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readedComments/threadedComment3.xml" ContentType="application/vnd.ms-excel.threadedcomments+xml"/>
  <Override PartName="/xl/comments9.xml" ContentType="application/vnd.openxmlformats-officedocument.spreadsheetml.comments+xml"/>
  <Override PartName="/xl/threadedComments/threadedComment4.xml" ContentType="application/vnd.ms-excel.threadedcomments+xml"/>
  <Override PartName="/xl/comments10.xml" ContentType="application/vnd.openxmlformats-officedocument.spreadsheetml.comments+xml"/>
  <Override PartName="/xl/threadedComments/threadedComment5.xml" ContentType="application/vnd.ms-excel.threadedcomments+xml"/>
  <Override PartName="/xl/comments11.xml" ContentType="application/vnd.openxmlformats-officedocument.spreadsheetml.comments+xml"/>
  <Override PartName="/xl/threadedComments/threadedComment6.xml" ContentType="application/vnd.ms-excel.threadedcomments+xml"/>
  <Override PartName="/xl/comments12.xml" ContentType="application/vnd.openxmlformats-officedocument.spreadsheetml.comments+xml"/>
  <Override PartName="/xl/threadedComments/threadedComment7.xml" ContentType="application/vnd.ms-excel.threadedcomments+xml"/>
  <Override PartName="/xl/comments13.xml" ContentType="application/vnd.openxmlformats-officedocument.spreadsheetml.comments+xml"/>
  <Override PartName="/xl/threadedComments/threadedComment8.xml" ContentType="application/vnd.ms-excel.threaded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threadedComments/threadedComment9.xml" ContentType="application/vnd.ms-excel.threadedcomments+xml"/>
  <Override PartName="/xl/comments16.xml" ContentType="application/vnd.openxmlformats-officedocument.spreadsheetml.comments+xml"/>
  <Override PartName="/xl/threadedComments/threadedComment10.xml" ContentType="application/vnd.ms-excel.threadedcomments+xml"/>
  <Override PartName="/xl/comments17.xml" ContentType="application/vnd.openxmlformats-officedocument.spreadsheetml.comments+xml"/>
  <Override PartName="/xl/threadedComments/threadedComment11.xml" ContentType="application/vnd.ms-excel.threaded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riplecpigs.sharepoint.com/sites/TripleCPigsFinance/Shared Documents/Management Accounting Section/Livestock Reports/FY2027/Feed Consumed FY2027/"/>
    </mc:Choice>
  </mc:AlternateContent>
  <xr:revisionPtr revIDLastSave="15" documentId="8_{0FBF69CB-289A-45BA-86F9-955850F9F3F3}" xr6:coauthVersionLast="47" xr6:coauthVersionMax="47" xr10:uidLastSave="{6B64C556-54C3-4984-B212-EEA7CCC21DA2}"/>
  <bookViews>
    <workbookView xWindow="-108" yWindow="-108" windowWidth="23256" windowHeight="13896" tabRatio="881" firstSheet="62" activeTab="62" xr2:uid="{00000000-000D-0000-FFFF-FFFF00000000}"/>
  </bookViews>
  <sheets>
    <sheet name="April journals" sheetId="6" state="hidden" r:id="rId1"/>
    <sheet name="Outgrower feed" sheetId="4" state="hidden" r:id="rId2"/>
    <sheet name="March pigs Journals" sheetId="5" state="hidden" r:id="rId3"/>
    <sheet name="Pigs Cost after IAS 41" sheetId="8" state="hidden" r:id="rId4"/>
    <sheet name="Pigs Cost" sheetId="2" state="hidden" r:id="rId5"/>
    <sheet name="IAS 41 Mvmnt Pigs" sheetId="10" state="hidden" r:id="rId6"/>
    <sheet name="USD" sheetId="16" state="hidden" r:id="rId7"/>
    <sheet name="Sheet18" sheetId="40" state="hidden" r:id="rId8"/>
    <sheet name="Sheet24" sheetId="47" state="hidden" r:id="rId9"/>
    <sheet name="Sheet26" sheetId="49" state="hidden" r:id="rId10"/>
    <sheet name="SUMMARY " sheetId="85" r:id="rId11"/>
    <sheet name="Sheet31" sheetId="121" state="hidden" r:id="rId12"/>
    <sheet name="Mvnmt Recon" sheetId="87" state="hidden" r:id="rId13"/>
    <sheet name="Summary Total Pigs" sheetId="1" r:id="rId14"/>
    <sheet name="Grasmere Batch Mvnt" sheetId="14" r:id="rId15"/>
    <sheet name="Learig Batch Mvnt" sheetId="91" r:id="rId16"/>
    <sheet name="Lionheads Batch Mvnt" sheetId="50" r:id="rId17"/>
    <sheet name="Lionheads Ext. Batch Mvnt" sheetId="51" r:id="rId18"/>
    <sheet name="Villa Batch Mvnt" sheetId="52" r:id="rId19"/>
    <sheet name="Richlands Batch Mvnt" sheetId="53" r:id="rId20"/>
    <sheet name="Porta Batch Mvnt" sheetId="108" r:id="rId21"/>
    <sheet name="Multiplier Batch Mvnt Split" sheetId="126" r:id="rId22"/>
    <sheet name="Multiplier Batch Mvnt" sheetId="116" r:id="rId23"/>
    <sheet name="Cattle Mvnt" sheetId="3" r:id="rId24"/>
    <sheet name="Grasmere Imported Sows" sheetId="74" r:id="rId25"/>
    <sheet name="Grasmere Imported Boars" sheetId="73" r:id="rId26"/>
    <sheet name="Lionhead TN 60" sheetId="90" r:id="rId27"/>
    <sheet name="Lionhead Imported Boars" sheetId="72" r:id="rId28"/>
    <sheet name="Lionshead TN 70" sheetId="123" r:id="rId29"/>
    <sheet name="Villa Imported Boars" sheetId="71" r:id="rId30"/>
    <sheet name="Richlands Imported Boars" sheetId="64" r:id="rId31"/>
    <sheet name="Richlands A LINE" sheetId="75" r:id="rId32"/>
    <sheet name="Richlands TN60" sheetId="89" state="hidden" r:id="rId33"/>
    <sheet name="Summary Imported Valuation" sheetId="70" state="hidden" r:id="rId34"/>
    <sheet name="Porta TN70" sheetId="109" r:id="rId35"/>
    <sheet name="Porta Imported Boars" sheetId="112" r:id="rId36"/>
    <sheet name="Quarantine Sows" sheetId="124" r:id="rId37"/>
    <sheet name="Quarantine Boars" sheetId="125" r:id="rId38"/>
    <sheet name="Multiplier Imported Sows" sheetId="118" r:id="rId39"/>
    <sheet name="Multiplier Imported Boars " sheetId="119" r:id="rId40"/>
    <sheet name="Grasmere Imported Valuation" sheetId="69" r:id="rId41"/>
    <sheet name="Richlands Imported Valuation" sheetId="65" r:id="rId42"/>
    <sheet name="Summary Splits" sheetId="54" state="hidden" r:id="rId43"/>
    <sheet name="Lionhead Imported Valuation" sheetId="94" state="hidden" r:id="rId44"/>
    <sheet name="Porta Imported Valuation" sheetId="110" r:id="rId45"/>
    <sheet name="Multiplier Imported Valuation" sheetId="120" r:id="rId46"/>
    <sheet name="Mult Imported Valuation Summary" sheetId="122" r:id="rId47"/>
    <sheet name="Summary Valuation" sheetId="55" state="hidden" r:id="rId48"/>
    <sheet name="Grasmere Valuation " sheetId="56" r:id="rId49"/>
    <sheet name="Learig Valuation" sheetId="92" r:id="rId50"/>
    <sheet name="Lionhead Valuation" sheetId="57" r:id="rId51"/>
    <sheet name="Lionhead Ext. Valuation" sheetId="58" r:id="rId52"/>
    <sheet name="Villa Valuation" sheetId="59" r:id="rId53"/>
    <sheet name="Richlands Valuation" sheetId="60" r:id="rId54"/>
    <sheet name="Porta Valuation" sheetId="111" r:id="rId55"/>
    <sheet name="Multiplier Valuation" sheetId="117" r:id="rId56"/>
    <sheet name="Grasmere Valuation  (2)" sheetId="127" r:id="rId57"/>
    <sheet name="Cattle Valuation" sheetId="61" r:id="rId58"/>
    <sheet name="Grasmere Pig Cost" sheetId="63" r:id="rId59"/>
    <sheet name="Grasmere Pig Cost (2)" sheetId="97" state="hidden" r:id="rId60"/>
    <sheet name="Learig Pig Cost" sheetId="93" r:id="rId61"/>
    <sheet name="Learig Pig Cost (2)" sheetId="98" state="hidden" r:id="rId62"/>
    <sheet name="Lionhead Pig Cost" sheetId="76" r:id="rId63"/>
    <sheet name="Lionhead Pig Cost (2)" sheetId="99" state="hidden" r:id="rId64"/>
    <sheet name="Lionhead Ext. Pig Cost" sheetId="95" r:id="rId65"/>
    <sheet name="Lionhead Ext. Pig Cost (2)" sheetId="100" state="hidden" r:id="rId66"/>
    <sheet name="Villa Pig Cost" sheetId="77" r:id="rId67"/>
    <sheet name="Villa Pig Cost (2)" sheetId="101" state="hidden" r:id="rId68"/>
    <sheet name="Richlands Pig Cost" sheetId="78" r:id="rId69"/>
    <sheet name="Sheet30" sheetId="114" state="hidden" r:id="rId70"/>
    <sheet name="Richlands Pig Cost (2)" sheetId="102" state="hidden" r:id="rId71"/>
    <sheet name="Porta Pig Cost" sheetId="113" r:id="rId72"/>
    <sheet name="Multiplier Pig Cost " sheetId="115" r:id="rId73"/>
    <sheet name="CCC (2)" sheetId="103" state="hidden" r:id="rId74"/>
    <sheet name="Triple C Pigs" sheetId="88" r:id="rId75"/>
    <sheet name="Total Pigs" sheetId="80" r:id="rId76"/>
    <sheet name="Sheet28" sheetId="106" r:id="rId77"/>
    <sheet name="Non Current" sheetId="81" r:id="rId78"/>
    <sheet name="Feed Cost &amp; Allocation" sheetId="83" r:id="rId79"/>
    <sheet name="FCA RData" sheetId="82" r:id="rId80"/>
    <sheet name="Feed Consumed" sheetId="84" r:id="rId81"/>
    <sheet name="Sheet27" sheetId="104" r:id="rId82"/>
    <sheet name="Micro Packs Undercharge" sheetId="105" r:id="rId83"/>
    <sheet name="Sheet29" sheetId="107" r:id="rId84"/>
    <sheet name="July Stock adjustment working" sheetId="39" state="hidden" r:id="rId85"/>
    <sheet name="Summary" sheetId="21" state="hidden" r:id="rId86"/>
    <sheet name="Growers" sheetId="15" state="hidden" r:id="rId87"/>
    <sheet name="Sheet25" sheetId="48" state="hidden" r:id="rId88"/>
    <sheet name="Sheet17" sheetId="38" state="hidden" r:id="rId89"/>
    <sheet name="Sheet19" sheetId="41" state="hidden" r:id="rId90"/>
    <sheet name="Cattle after IAS 41" sheetId="9" state="hidden" r:id="rId91"/>
    <sheet name="Sheet1" sheetId="12" state="hidden" r:id="rId92"/>
    <sheet name="IAS 41 Mvmnt Cattle" sheetId="11" state="hidden" r:id="rId93"/>
    <sheet name="Sheet2" sheetId="17" state="hidden" r:id="rId94"/>
    <sheet name="Journal" sheetId="18" state="hidden" r:id="rId95"/>
    <sheet name="G Analysis" sheetId="19" state="hidden" r:id="rId96"/>
    <sheet name="Lynian" sheetId="20" state="hidden" r:id="rId97"/>
    <sheet name="Sheet3" sheetId="23" state="hidden" r:id="rId98"/>
    <sheet name="Sheet4" sheetId="24" state="hidden" r:id="rId99"/>
    <sheet name="Sheet5" sheetId="25" state="hidden" r:id="rId100"/>
    <sheet name="Sheet6" sheetId="26" state="hidden" r:id="rId101"/>
    <sheet name="Sheet7" sheetId="27" state="hidden" r:id="rId102"/>
    <sheet name="Sheet8" sheetId="28" state="hidden" r:id="rId103"/>
    <sheet name="Jan Lion Head Colcom deliveries" sheetId="32" state="hidden" r:id="rId104"/>
    <sheet name="Sheet9" sheetId="29" state="hidden" r:id="rId105"/>
    <sheet name="Sheet10" sheetId="30" state="hidden" r:id="rId106"/>
    <sheet name="Sheet20" sheetId="42" state="hidden" r:id="rId107"/>
    <sheet name="Sheet21" sheetId="43" state="hidden" r:id="rId108"/>
    <sheet name="Sheet22" sheetId="44" state="hidden" r:id="rId109"/>
    <sheet name="Sheet23" sheetId="45" state="hidden" r:id="rId110"/>
    <sheet name="Sheet11" sheetId="31" state="hidden" r:id="rId111"/>
    <sheet name="Sheet12" sheetId="33" state="hidden" r:id="rId112"/>
    <sheet name="Sheet13" sheetId="34" state="hidden" r:id="rId113"/>
    <sheet name="Sheet14" sheetId="35" state="hidden" r:id="rId114"/>
    <sheet name="Sheet15" sheetId="36" state="hidden" r:id="rId115"/>
    <sheet name="Sheet16" sheetId="37" state="hidden" r:id="rId116"/>
  </sheets>
  <externalReferences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</externalReferences>
  <definedNames>
    <definedName name="_xlnm._FilterDatabase" localSheetId="25" hidden="1">'Grasmere Imported Boars'!$A$5:$F$86</definedName>
    <definedName name="_xlnm._FilterDatabase" localSheetId="34" hidden="1">'Porta TN70'!$A$3:$F$629</definedName>
    <definedName name="_xlnm.Print_Area" localSheetId="90">'Cattle after IAS 41'!$A$1:$Q$34</definedName>
    <definedName name="_xlnm.Print_Area" localSheetId="23">'Cattle Mvnt'!$A$1:$Q$45</definedName>
    <definedName name="_xlnm.Print_Area" localSheetId="57">'Cattle Valuation'!$A$1:$G$26</definedName>
    <definedName name="_xlnm.Print_Area" localSheetId="73">'CCC (2)'!$A$1:$AX$124</definedName>
    <definedName name="_xlnm.Print_Area" localSheetId="79">'FCA RData'!$A$1:$AF$188</definedName>
    <definedName name="_xlnm.Print_Area" localSheetId="78">'Feed Cost &amp; Allocation'!$A$1:$AY$92</definedName>
    <definedName name="_xlnm.Print_Area" localSheetId="14">'Grasmere Batch Mvnt'!$A$1:$RC$145</definedName>
    <definedName name="_xlnm.Print_Area" localSheetId="25">'Grasmere Imported Boars'!$A$1:$F$42</definedName>
    <definedName name="_xlnm.Print_Area" localSheetId="24">'Grasmere Imported Sows'!$A$1:$G$307</definedName>
    <definedName name="_xlnm.Print_Area" localSheetId="40">'Grasmere Imported Valuation'!$A$1:$DP$48</definedName>
    <definedName name="_xlnm.Print_Area" localSheetId="58">'Grasmere Pig Cost'!$A$1:$AW$94</definedName>
    <definedName name="_xlnm.Print_Area" localSheetId="59">'Grasmere Pig Cost (2)'!$A$1:$AW$87</definedName>
    <definedName name="_xlnm.Print_Area" localSheetId="48">'Grasmere Valuation '!$A$1:$O$190</definedName>
    <definedName name="_xlnm.Print_Area" localSheetId="56">'Grasmere Valuation  (2)'!$A$1:$O$190</definedName>
    <definedName name="_xlnm.Print_Area" localSheetId="86">Growers!$A$86:$N$328</definedName>
    <definedName name="_xlnm.Print_Area" localSheetId="92">'IAS 41 Mvmnt Cattle'!$A$1:$T$37</definedName>
    <definedName name="_xlnm.Print_Area" localSheetId="5">'IAS 41 Mvmnt Pigs'!$A$1:$N$165</definedName>
    <definedName name="_xlnm.Print_Area" localSheetId="84">'July Stock adjustment working'!$A$4:$S$15</definedName>
    <definedName name="_xlnm.Print_Area" localSheetId="60">'Learig Pig Cost'!$A$1:$AW$94</definedName>
    <definedName name="_xlnm.Print_Area" localSheetId="61">'Learig Pig Cost (2)'!$A$1:$AW$88</definedName>
    <definedName name="_xlnm.Print_Area" localSheetId="49">'Learig Valuation'!$A$1:$L$47</definedName>
    <definedName name="_xlnm.Print_Area" localSheetId="64">'Lionhead Ext. Pig Cost'!$A$1:$AW$95</definedName>
    <definedName name="_xlnm.Print_Area" localSheetId="65">'Lionhead Ext. Pig Cost (2)'!$A$1:$AW$88</definedName>
    <definedName name="_xlnm.Print_Area" localSheetId="51">'Lionhead Ext. Valuation'!$A$1:$L$60</definedName>
    <definedName name="_xlnm.Print_Area" localSheetId="27">'Lionhead Imported Boars'!$A$1:$F$13</definedName>
    <definedName name="_xlnm.Print_Area" localSheetId="43">'Lionhead Imported Valuation'!$A$1:$X$20</definedName>
    <definedName name="_xlnm.Print_Area" localSheetId="62">'Lionhead Pig Cost'!$A$1:$AY$94</definedName>
    <definedName name="_xlnm.Print_Area" localSheetId="26">'Lionhead TN 60'!$A$1:$H$5</definedName>
    <definedName name="_xlnm.Print_Area" localSheetId="50">'Lionhead Valuation'!$A$1:$L$72</definedName>
    <definedName name="_xlnm.Print_Area" localSheetId="16">'Lionheads Batch Mvnt'!$A$1:$L$29</definedName>
    <definedName name="_xlnm.Print_Area" localSheetId="17">'Lionheads Ext. Batch Mvnt'!$A$1:$L$29</definedName>
    <definedName name="_xlnm.Print_Area" localSheetId="28">'Lionshead TN 70'!$A$1:$F$11</definedName>
    <definedName name="_xlnm.Print_Area" localSheetId="96">Lynian!$A$1:$F$33</definedName>
    <definedName name="_xlnm.Print_Area" localSheetId="46">'Mult Imported Valuation Summary'!$A$1:$DT$48</definedName>
    <definedName name="_xlnm.Print_Area" localSheetId="22">'Multiplier Batch Mvnt'!$A$1:$L$37</definedName>
    <definedName name="_xlnm.Print_Area" localSheetId="21">'Multiplier Batch Mvnt Split'!$A$1:$RE$51</definedName>
    <definedName name="_xlnm.Print_Area" localSheetId="39">'Multiplier Imported Boars '!$A$1:$F$13</definedName>
    <definedName name="_xlnm.Print_Area" localSheetId="38">'Multiplier Imported Sows'!$A$1:$G$425</definedName>
    <definedName name="_xlnm.Print_Area" localSheetId="45">'Multiplier Imported Valuation'!$A$1:$BQ$48</definedName>
    <definedName name="_xlnm.Print_Area" localSheetId="72">'Multiplier Pig Cost '!$A$1:$AW$95</definedName>
    <definedName name="_xlnm.Print_Area" localSheetId="55">'Multiplier Valuation'!$A$1:$L$107</definedName>
    <definedName name="_xlnm.Print_Area" localSheetId="77">'Non Current'!$A$1:$AE$42</definedName>
    <definedName name="_xlnm.Print_Area" localSheetId="4">'Pigs Cost'!$A$1:$U$178</definedName>
    <definedName name="_xlnm.Print_Area" localSheetId="3">'Pigs Cost after IAS 41'!$A$1:$R$93</definedName>
    <definedName name="_xlnm.Print_Area" localSheetId="20">'Porta Batch Mvnt'!$A$1:$L$37</definedName>
    <definedName name="_xlnm.Print_Area" localSheetId="35">'Porta Imported Boars'!$A$1:$F$16</definedName>
    <definedName name="_xlnm.Print_Area" localSheetId="44">'Porta Imported Valuation'!$A$1:$AB$58</definedName>
    <definedName name="_xlnm.Print_Area" localSheetId="71">'Porta Pig Cost'!$A$1:$AW$95</definedName>
    <definedName name="_xlnm.Print_Area" localSheetId="34">'Porta TN70'!$A$1:$F$721</definedName>
    <definedName name="_xlnm.Print_Area" localSheetId="54">'Porta Valuation'!$A$1:$L$103</definedName>
    <definedName name="_xlnm.Print_Area" localSheetId="37">'Quarantine Boars'!$A$1:$G$161</definedName>
    <definedName name="_xlnm.Print_Area" localSheetId="36">'Quarantine Sows'!$A$1:$G$103</definedName>
    <definedName name="_xlnm.Print_Area" localSheetId="31">'Richlands A LINE'!$A$1:$F$12</definedName>
    <definedName name="_xlnm.Print_Area" localSheetId="19">'Richlands Batch Mvnt'!$A$1:$L$37</definedName>
    <definedName name="_xlnm.Print_Area" localSheetId="30">'Richlands Imported Boars'!$A$1:$F$15</definedName>
    <definedName name="_xlnm.Print_Area" localSheetId="41">'Richlands Imported Valuation'!$A$1:$AR$58</definedName>
    <definedName name="_xlnm.Print_Area" localSheetId="68">'Richlands Pig Cost'!$A$1:$AW$94</definedName>
    <definedName name="_xlnm.Print_Area" localSheetId="70">'Richlands Pig Cost (2)'!$A$1:$AW$88</definedName>
    <definedName name="_xlnm.Print_Area" localSheetId="32">'Richlands TN60'!$A$1:$H$9</definedName>
    <definedName name="_xlnm.Print_Area" localSheetId="53">'Richlands Valuation'!$A$1:$L$103</definedName>
    <definedName name="_xlnm.Print_Area" localSheetId="91">Sheet1!$A$1:$F$752</definedName>
    <definedName name="_xlnm.Print_Area" localSheetId="88">Sheet17!$B$1:$K$14</definedName>
    <definedName name="_xlnm.Print_Area" localSheetId="87">Sheet25!$A$1:$L$15</definedName>
    <definedName name="_xlnm.Print_Area" localSheetId="85">Summary!$A$1:$F$18</definedName>
    <definedName name="_xlnm.Print_Area" localSheetId="10">'SUMMARY '!$A$1:$F$76</definedName>
    <definedName name="_xlnm.Print_Area" localSheetId="33">'Summary Imported Valuation'!$A$1:$E$22</definedName>
    <definedName name="_xlnm.Print_Area" localSheetId="42">'Summary Splits'!$A$1:$N$49</definedName>
    <definedName name="_xlnm.Print_Area" localSheetId="13">'Summary Total Pigs'!$A$1:$AG$196</definedName>
    <definedName name="_xlnm.Print_Area" localSheetId="47">'Summary Valuation'!$A$1:$D$109</definedName>
    <definedName name="_xlnm.Print_Area" localSheetId="75">'Total Pigs'!$A$1:$R$336</definedName>
    <definedName name="_xlnm.Print_Area" localSheetId="74">'Triple C Pigs'!$A$1:$AX$157</definedName>
    <definedName name="_xlnm.Print_Area" localSheetId="6">USD!$A$1:$T$178</definedName>
    <definedName name="_xlnm.Print_Area" localSheetId="29">'Villa Imported Boars'!$A$1:$F$15</definedName>
    <definedName name="_xlnm.Print_Area" localSheetId="66">'Villa Pig Cost'!$A$1:$AW$95</definedName>
    <definedName name="_xlnm.Print_Area" localSheetId="67">'Villa Pig Cost (2)'!$A$1:$AW$88</definedName>
    <definedName name="_xlnm.Print_Area" localSheetId="52">'Villa Valuation'!$A$1:$L$62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33" i="63" l="1"/>
  <c r="DV12" i="122"/>
  <c r="W5" i="81"/>
  <c r="V5" i="81"/>
  <c r="S5" i="81"/>
  <c r="R5" i="81"/>
  <c r="O5" i="81"/>
  <c r="N5" i="81"/>
  <c r="K5" i="81"/>
  <c r="J5" i="81"/>
  <c r="G5" i="81"/>
  <c r="F5" i="81"/>
  <c r="C5" i="81"/>
  <c r="B5" i="81"/>
  <c r="C334" i="80"/>
  <c r="C333" i="80"/>
  <c r="C332" i="80"/>
  <c r="C331" i="80"/>
  <c r="C330" i="80"/>
  <c r="C329" i="80"/>
  <c r="H246" i="80"/>
  <c r="G246" i="80"/>
  <c r="C246" i="80"/>
  <c r="B246" i="80"/>
  <c r="H212" i="80"/>
  <c r="G212" i="80"/>
  <c r="C212" i="80"/>
  <c r="B212" i="80"/>
  <c r="C178" i="80"/>
  <c r="B178" i="80"/>
  <c r="H144" i="80"/>
  <c r="G144" i="80"/>
  <c r="C144" i="80"/>
  <c r="B144" i="80"/>
  <c r="C110" i="80"/>
  <c r="B110" i="80"/>
  <c r="H76" i="80"/>
  <c r="G76" i="80"/>
  <c r="C76" i="80"/>
  <c r="B76" i="80"/>
  <c r="H42" i="80"/>
  <c r="G42" i="80"/>
  <c r="C42" i="80"/>
  <c r="B42" i="80"/>
  <c r="H7" i="80"/>
  <c r="G7" i="80"/>
  <c r="C7" i="80"/>
  <c r="B7" i="80"/>
  <c r="AV33" i="115"/>
  <c r="AT33" i="115"/>
  <c r="AS33" i="115"/>
  <c r="AR33" i="115"/>
  <c r="AQ33" i="115"/>
  <c r="AP33" i="115"/>
  <c r="AO33" i="115"/>
  <c r="AN33" i="115"/>
  <c r="AM33" i="115"/>
  <c r="AL33" i="115"/>
  <c r="AK33" i="115"/>
  <c r="AJ33" i="115"/>
  <c r="AI33" i="115"/>
  <c r="AH33" i="115"/>
  <c r="AG33" i="115"/>
  <c r="AF33" i="115"/>
  <c r="AE33" i="115"/>
  <c r="AD33" i="115"/>
  <c r="AC33" i="115"/>
  <c r="AB33" i="115"/>
  <c r="AA33" i="115"/>
  <c r="Z33" i="115"/>
  <c r="Y33" i="115"/>
  <c r="X33" i="115"/>
  <c r="W33" i="115"/>
  <c r="V33" i="115"/>
  <c r="U33" i="115"/>
  <c r="T33" i="115"/>
  <c r="S33" i="115"/>
  <c r="R33" i="115"/>
  <c r="Q33" i="115"/>
  <c r="P33" i="115"/>
  <c r="O33" i="115"/>
  <c r="N33" i="115"/>
  <c r="M33" i="115"/>
  <c r="L33" i="115"/>
  <c r="K33" i="115"/>
  <c r="J33" i="115"/>
  <c r="I33" i="115"/>
  <c r="H33" i="115"/>
  <c r="G33" i="115"/>
  <c r="F33" i="115"/>
  <c r="AV7" i="115"/>
  <c r="AT7" i="115"/>
  <c r="AS7" i="115"/>
  <c r="AR7" i="115"/>
  <c r="AQ7" i="115"/>
  <c r="AP7" i="115"/>
  <c r="AO7" i="115"/>
  <c r="AN7" i="115"/>
  <c r="AM7" i="115"/>
  <c r="AL7" i="115"/>
  <c r="AK7" i="115"/>
  <c r="AJ7" i="115"/>
  <c r="AI7" i="115"/>
  <c r="AH7" i="115"/>
  <c r="AG7" i="115"/>
  <c r="AF7" i="115"/>
  <c r="AE7" i="115"/>
  <c r="AD7" i="115"/>
  <c r="AC7" i="115"/>
  <c r="AB7" i="115"/>
  <c r="AA7" i="115"/>
  <c r="Z7" i="115"/>
  <c r="Y7" i="115"/>
  <c r="X7" i="115"/>
  <c r="W7" i="115"/>
  <c r="AV33" i="113"/>
  <c r="AT33" i="113"/>
  <c r="AS33" i="113"/>
  <c r="AR33" i="113"/>
  <c r="AQ33" i="113"/>
  <c r="AP33" i="113"/>
  <c r="AO33" i="113"/>
  <c r="AN33" i="113"/>
  <c r="AM33" i="113"/>
  <c r="AL33" i="113"/>
  <c r="AK33" i="113"/>
  <c r="AJ33" i="113"/>
  <c r="AI33" i="113"/>
  <c r="AH33" i="113"/>
  <c r="AG33" i="113"/>
  <c r="AF33" i="113"/>
  <c r="AE33" i="113"/>
  <c r="AD33" i="113"/>
  <c r="AC33" i="113"/>
  <c r="AB33" i="113"/>
  <c r="AA33" i="113"/>
  <c r="Z33" i="113"/>
  <c r="Y33" i="113"/>
  <c r="X33" i="113"/>
  <c r="W33" i="113"/>
  <c r="V33" i="113"/>
  <c r="U33" i="113"/>
  <c r="T33" i="113"/>
  <c r="S33" i="113"/>
  <c r="R33" i="113"/>
  <c r="Q33" i="113"/>
  <c r="P33" i="113"/>
  <c r="O33" i="113"/>
  <c r="N33" i="113"/>
  <c r="M33" i="113"/>
  <c r="L33" i="113"/>
  <c r="K33" i="113"/>
  <c r="J33" i="113"/>
  <c r="I33" i="113"/>
  <c r="H33" i="113"/>
  <c r="G33" i="113"/>
  <c r="F33" i="113"/>
  <c r="AV7" i="113"/>
  <c r="AT7" i="113"/>
  <c r="AS7" i="113"/>
  <c r="AR7" i="113"/>
  <c r="AQ7" i="113"/>
  <c r="AP7" i="113"/>
  <c r="AO7" i="113"/>
  <c r="AN7" i="113"/>
  <c r="AM7" i="113"/>
  <c r="AL7" i="113"/>
  <c r="AK7" i="113"/>
  <c r="AJ7" i="113"/>
  <c r="AI7" i="113"/>
  <c r="AH7" i="113"/>
  <c r="AG7" i="113"/>
  <c r="AF7" i="113"/>
  <c r="AE7" i="113"/>
  <c r="AD7" i="113"/>
  <c r="AC7" i="113"/>
  <c r="AB7" i="113"/>
  <c r="AA7" i="113"/>
  <c r="Z7" i="113"/>
  <c r="Y7" i="113"/>
  <c r="X7" i="113"/>
  <c r="W7" i="113"/>
  <c r="AV33" i="78"/>
  <c r="AT33" i="78"/>
  <c r="AS33" i="78"/>
  <c r="AR33" i="78"/>
  <c r="AQ33" i="78"/>
  <c r="AP33" i="78"/>
  <c r="AO33" i="78"/>
  <c r="AN33" i="78"/>
  <c r="AM33" i="78"/>
  <c r="AL33" i="78"/>
  <c r="AK33" i="78"/>
  <c r="AJ33" i="78"/>
  <c r="AI33" i="78"/>
  <c r="AH33" i="78"/>
  <c r="AG33" i="78"/>
  <c r="AF33" i="78"/>
  <c r="AE33" i="78"/>
  <c r="AD33" i="78"/>
  <c r="AC33" i="78"/>
  <c r="AB33" i="78"/>
  <c r="AA33" i="78"/>
  <c r="Z33" i="78"/>
  <c r="Y33" i="78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H33" i="78"/>
  <c r="G33" i="78"/>
  <c r="F33" i="78"/>
  <c r="AV7" i="78"/>
  <c r="AT7" i="78"/>
  <c r="AS7" i="78"/>
  <c r="AR7" i="78"/>
  <c r="AQ7" i="78"/>
  <c r="AP7" i="78"/>
  <c r="AO7" i="78"/>
  <c r="AN7" i="78"/>
  <c r="AM7" i="78"/>
  <c r="AL7" i="78"/>
  <c r="AK7" i="78"/>
  <c r="AJ7" i="78"/>
  <c r="AI7" i="78"/>
  <c r="AH7" i="78"/>
  <c r="AG7" i="78"/>
  <c r="AF7" i="78"/>
  <c r="AE7" i="78"/>
  <c r="AD7" i="78"/>
  <c r="AC7" i="78"/>
  <c r="AB7" i="78"/>
  <c r="AA7" i="78"/>
  <c r="Z7" i="78"/>
  <c r="Y7" i="78"/>
  <c r="X7" i="78"/>
  <c r="W7" i="78"/>
  <c r="AV33" i="77"/>
  <c r="AT33" i="77"/>
  <c r="AS33" i="77"/>
  <c r="AR33" i="77"/>
  <c r="AQ33" i="77"/>
  <c r="AP33" i="77"/>
  <c r="AO33" i="77"/>
  <c r="AN33" i="77"/>
  <c r="AM33" i="77"/>
  <c r="AL33" i="77"/>
  <c r="AK33" i="77"/>
  <c r="AJ33" i="77"/>
  <c r="AI33" i="77"/>
  <c r="AH33" i="77"/>
  <c r="AG33" i="77"/>
  <c r="AF33" i="77"/>
  <c r="AE33" i="77"/>
  <c r="AD33" i="77"/>
  <c r="AC33" i="77"/>
  <c r="AB33" i="77"/>
  <c r="AA33" i="77"/>
  <c r="Z33" i="77"/>
  <c r="Y33" i="77"/>
  <c r="X33" i="77"/>
  <c r="W33" i="77"/>
  <c r="V33" i="77"/>
  <c r="U33" i="77"/>
  <c r="T33" i="77"/>
  <c r="S33" i="77"/>
  <c r="R33" i="77"/>
  <c r="Q33" i="77"/>
  <c r="P33" i="77"/>
  <c r="O33" i="77"/>
  <c r="N33" i="77"/>
  <c r="M33" i="77"/>
  <c r="L33" i="77"/>
  <c r="K33" i="77"/>
  <c r="J33" i="77"/>
  <c r="I33" i="77"/>
  <c r="H33" i="77"/>
  <c r="G33" i="77"/>
  <c r="F33" i="77"/>
  <c r="AV7" i="77"/>
  <c r="AT7" i="77"/>
  <c r="AS7" i="77"/>
  <c r="AR7" i="77"/>
  <c r="AQ7" i="77"/>
  <c r="AP7" i="77"/>
  <c r="AO7" i="77"/>
  <c r="AN7" i="77"/>
  <c r="AM7" i="77"/>
  <c r="AL7" i="77"/>
  <c r="AK7" i="77"/>
  <c r="AJ7" i="77"/>
  <c r="AI7" i="77"/>
  <c r="AH7" i="77"/>
  <c r="AG7" i="77"/>
  <c r="AF7" i="77"/>
  <c r="AE7" i="77"/>
  <c r="AD7" i="77"/>
  <c r="AC7" i="77"/>
  <c r="AB7" i="77"/>
  <c r="AA7" i="77"/>
  <c r="Z7" i="77"/>
  <c r="Y7" i="77"/>
  <c r="X7" i="77"/>
  <c r="W7" i="77"/>
  <c r="AV33" i="95"/>
  <c r="AT33" i="95"/>
  <c r="AS33" i="95"/>
  <c r="AR33" i="95"/>
  <c r="AQ33" i="95"/>
  <c r="AP33" i="95"/>
  <c r="AO33" i="95"/>
  <c r="AN33" i="95"/>
  <c r="AM33" i="95"/>
  <c r="AL33" i="95"/>
  <c r="AK33" i="95"/>
  <c r="AJ33" i="95"/>
  <c r="AI33" i="95"/>
  <c r="AH33" i="95"/>
  <c r="AG33" i="95"/>
  <c r="AF33" i="95"/>
  <c r="AE33" i="95"/>
  <c r="AD33" i="95"/>
  <c r="AC33" i="95"/>
  <c r="AB33" i="95"/>
  <c r="AA33" i="95"/>
  <c r="Z33" i="95"/>
  <c r="Y33" i="95"/>
  <c r="X33" i="95"/>
  <c r="W33" i="95"/>
  <c r="V33" i="95"/>
  <c r="U33" i="95"/>
  <c r="T33" i="95"/>
  <c r="S33" i="95"/>
  <c r="R33" i="95"/>
  <c r="Q33" i="95"/>
  <c r="P33" i="95"/>
  <c r="O33" i="95"/>
  <c r="N33" i="95"/>
  <c r="M33" i="95"/>
  <c r="L33" i="95"/>
  <c r="K33" i="95"/>
  <c r="J33" i="95"/>
  <c r="I33" i="95"/>
  <c r="H33" i="95"/>
  <c r="G33" i="95"/>
  <c r="F33" i="95"/>
  <c r="AV7" i="95"/>
  <c r="AT7" i="95"/>
  <c r="AS7" i="95"/>
  <c r="AR7" i="95"/>
  <c r="AQ7" i="95"/>
  <c r="AP7" i="95"/>
  <c r="AO7" i="95"/>
  <c r="AN7" i="95"/>
  <c r="AM7" i="95"/>
  <c r="AL7" i="95"/>
  <c r="AK7" i="95"/>
  <c r="AJ7" i="95"/>
  <c r="AI7" i="95"/>
  <c r="AH7" i="95"/>
  <c r="AG7" i="95"/>
  <c r="AF7" i="95"/>
  <c r="AE7" i="95"/>
  <c r="AD7" i="95"/>
  <c r="AC7" i="95"/>
  <c r="AB7" i="95"/>
  <c r="AA7" i="95"/>
  <c r="Z7" i="95"/>
  <c r="Y7" i="95"/>
  <c r="X7" i="95"/>
  <c r="W7" i="95"/>
  <c r="AV33" i="76"/>
  <c r="AT33" i="76"/>
  <c r="AS33" i="76"/>
  <c r="AR33" i="76"/>
  <c r="AQ33" i="76"/>
  <c r="AP33" i="76"/>
  <c r="AO33" i="76"/>
  <c r="AN33" i="76"/>
  <c r="AM33" i="76"/>
  <c r="AL33" i="76"/>
  <c r="AK33" i="76"/>
  <c r="AJ33" i="76"/>
  <c r="AI33" i="76"/>
  <c r="AH33" i="76"/>
  <c r="AG33" i="76"/>
  <c r="AF33" i="76"/>
  <c r="AE33" i="76"/>
  <c r="AD33" i="76"/>
  <c r="AC33" i="76"/>
  <c r="AB33" i="76"/>
  <c r="AA33" i="76"/>
  <c r="Z33" i="76"/>
  <c r="Y33" i="76"/>
  <c r="X33" i="76"/>
  <c r="W33" i="76"/>
  <c r="V33" i="76"/>
  <c r="U33" i="76"/>
  <c r="T33" i="76"/>
  <c r="S33" i="76"/>
  <c r="R33" i="76"/>
  <c r="Q33" i="76"/>
  <c r="P33" i="76"/>
  <c r="O33" i="76"/>
  <c r="N33" i="76"/>
  <c r="M33" i="76"/>
  <c r="L33" i="76"/>
  <c r="K33" i="76"/>
  <c r="J33" i="76"/>
  <c r="I33" i="76"/>
  <c r="H33" i="76"/>
  <c r="G33" i="76"/>
  <c r="F33" i="76"/>
  <c r="AV7" i="76"/>
  <c r="AT7" i="76"/>
  <c r="AS7" i="76"/>
  <c r="AR7" i="76"/>
  <c r="AQ7" i="76"/>
  <c r="AP7" i="76"/>
  <c r="AO7" i="76"/>
  <c r="AN7" i="76"/>
  <c r="AM7" i="76"/>
  <c r="AL7" i="76"/>
  <c r="AK7" i="76"/>
  <c r="AJ7" i="76"/>
  <c r="AI7" i="76"/>
  <c r="AH7" i="76"/>
  <c r="AG7" i="76"/>
  <c r="AF7" i="76"/>
  <c r="AE7" i="76"/>
  <c r="AD7" i="76"/>
  <c r="AC7" i="76"/>
  <c r="AB7" i="76"/>
  <c r="AA7" i="76"/>
  <c r="Z7" i="76"/>
  <c r="Y7" i="76"/>
  <c r="X7" i="76"/>
  <c r="W7" i="76"/>
  <c r="AV33" i="93"/>
  <c r="AT33" i="93"/>
  <c r="AS33" i="93"/>
  <c r="AR33" i="93"/>
  <c r="AQ33" i="93"/>
  <c r="AP33" i="93"/>
  <c r="AO33" i="93"/>
  <c r="AN33" i="93"/>
  <c r="AM33" i="93"/>
  <c r="AL33" i="93"/>
  <c r="AK33" i="93"/>
  <c r="AJ33" i="93"/>
  <c r="AI33" i="93"/>
  <c r="AH33" i="93"/>
  <c r="AG33" i="93"/>
  <c r="AF33" i="93"/>
  <c r="AE33" i="93"/>
  <c r="AD33" i="93"/>
  <c r="AC33" i="93"/>
  <c r="AB33" i="93"/>
  <c r="AA33" i="93"/>
  <c r="Z33" i="93"/>
  <c r="Y33" i="93"/>
  <c r="X33" i="93"/>
  <c r="W33" i="93"/>
  <c r="V33" i="93"/>
  <c r="U33" i="93"/>
  <c r="T33" i="93"/>
  <c r="S33" i="93"/>
  <c r="R33" i="93"/>
  <c r="Q33" i="93"/>
  <c r="P33" i="93"/>
  <c r="O33" i="93"/>
  <c r="N33" i="93"/>
  <c r="M33" i="93"/>
  <c r="L33" i="93"/>
  <c r="K33" i="93"/>
  <c r="J33" i="93"/>
  <c r="I33" i="93"/>
  <c r="H33" i="93"/>
  <c r="G33" i="93"/>
  <c r="F33" i="93"/>
  <c r="AV7" i="93"/>
  <c r="AT7" i="93"/>
  <c r="AS7" i="93"/>
  <c r="AR7" i="93"/>
  <c r="AQ7" i="93"/>
  <c r="AP7" i="93"/>
  <c r="AO7" i="93"/>
  <c r="AN7" i="93"/>
  <c r="AM7" i="93"/>
  <c r="AL7" i="93"/>
  <c r="AK7" i="93"/>
  <c r="AJ7" i="93"/>
  <c r="AI7" i="93"/>
  <c r="AH7" i="93"/>
  <c r="AG7" i="93"/>
  <c r="AF7" i="93"/>
  <c r="AE7" i="93"/>
  <c r="AD7" i="93"/>
  <c r="AC7" i="93"/>
  <c r="AB7" i="93"/>
  <c r="AA7" i="93"/>
  <c r="Z7" i="93"/>
  <c r="Y7" i="93"/>
  <c r="X7" i="93"/>
  <c r="W7" i="93"/>
  <c r="AT33" i="63"/>
  <c r="AS33" i="63"/>
  <c r="AR33" i="63"/>
  <c r="AQ33" i="63"/>
  <c r="AP33" i="63"/>
  <c r="AO33" i="63"/>
  <c r="AN33" i="63"/>
  <c r="AM33" i="63"/>
  <c r="AL33" i="63"/>
  <c r="AK33" i="63"/>
  <c r="AJ33" i="63"/>
  <c r="AI33" i="63"/>
  <c r="AH33" i="63"/>
  <c r="AG33" i="63"/>
  <c r="AF33" i="63"/>
  <c r="AE33" i="63"/>
  <c r="AD33" i="63"/>
  <c r="AC33" i="63"/>
  <c r="AB33" i="63"/>
  <c r="AA33" i="63"/>
  <c r="Z33" i="63"/>
  <c r="Y33" i="63"/>
  <c r="X33" i="63"/>
  <c r="W33" i="63"/>
  <c r="V33" i="63"/>
  <c r="U33" i="63"/>
  <c r="T33" i="63"/>
  <c r="S33" i="63"/>
  <c r="R33" i="63"/>
  <c r="Q33" i="63"/>
  <c r="P33" i="63"/>
  <c r="O33" i="63"/>
  <c r="N33" i="63"/>
  <c r="M33" i="63"/>
  <c r="L33" i="63"/>
  <c r="K33" i="63"/>
  <c r="J33" i="63"/>
  <c r="I33" i="63"/>
  <c r="H33" i="63"/>
  <c r="G33" i="63"/>
  <c r="F33" i="63"/>
  <c r="AV7" i="63"/>
  <c r="AT7" i="63"/>
  <c r="AS7" i="63"/>
  <c r="AR7" i="63"/>
  <c r="AQ7" i="63"/>
  <c r="AP7" i="63"/>
  <c r="AO7" i="63"/>
  <c r="AN7" i="63"/>
  <c r="AM7" i="63"/>
  <c r="AL7" i="63"/>
  <c r="AK7" i="63"/>
  <c r="AJ7" i="63"/>
  <c r="AI7" i="63"/>
  <c r="AH7" i="63"/>
  <c r="AG7" i="63"/>
  <c r="AF7" i="63"/>
  <c r="AE7" i="63"/>
  <c r="AD7" i="63"/>
  <c r="AC7" i="63"/>
  <c r="AB7" i="63"/>
  <c r="AA7" i="63"/>
  <c r="Z7" i="63"/>
  <c r="Y7" i="63"/>
  <c r="X7" i="63"/>
  <c r="W7" i="63"/>
  <c r="G24" i="61"/>
  <c r="G74" i="83" l="1"/>
  <c r="S74" i="83"/>
  <c r="T74" i="83"/>
  <c r="U74" i="83"/>
  <c r="V74" i="83"/>
  <c r="AF74" i="83"/>
  <c r="AG74" i="83"/>
  <c r="G75" i="83"/>
  <c r="S75" i="83"/>
  <c r="T75" i="83"/>
  <c r="U75" i="83"/>
  <c r="V75" i="83"/>
  <c r="AF75" i="83"/>
  <c r="AG75" i="83"/>
  <c r="G76" i="83"/>
  <c r="S76" i="83"/>
  <c r="T76" i="83"/>
  <c r="U76" i="83"/>
  <c r="V76" i="83"/>
  <c r="AF76" i="83"/>
  <c r="AG76" i="83"/>
  <c r="G77" i="83"/>
  <c r="S77" i="83"/>
  <c r="T77" i="83"/>
  <c r="U77" i="83"/>
  <c r="V77" i="83"/>
  <c r="AF77" i="83"/>
  <c r="AG77" i="83"/>
  <c r="C78" i="83"/>
  <c r="D78" i="83"/>
  <c r="E78" i="83"/>
  <c r="F78" i="83"/>
  <c r="G78" i="83"/>
  <c r="H78" i="83"/>
  <c r="I78" i="83"/>
  <c r="J78" i="83"/>
  <c r="K78" i="83"/>
  <c r="L78" i="83"/>
  <c r="M78" i="83"/>
  <c r="N78" i="83"/>
  <c r="O78" i="83"/>
  <c r="P78" i="83"/>
  <c r="Q78" i="83"/>
  <c r="R78" i="83"/>
  <c r="S78" i="83"/>
  <c r="T78" i="83"/>
  <c r="U78" i="83"/>
  <c r="V78" i="83"/>
  <c r="W78" i="83"/>
  <c r="X78" i="83"/>
  <c r="Y78" i="83"/>
  <c r="Z78" i="83"/>
  <c r="AA78" i="83"/>
  <c r="AB78" i="83"/>
  <c r="AC78" i="83"/>
  <c r="AD78" i="83"/>
  <c r="AE78" i="83"/>
  <c r="AF78" i="83"/>
  <c r="AG78" i="83"/>
  <c r="G79" i="83"/>
  <c r="S79" i="83"/>
  <c r="T79" i="83"/>
  <c r="U79" i="83"/>
  <c r="V79" i="83"/>
  <c r="AF79" i="83"/>
  <c r="AG79" i="83"/>
  <c r="G80" i="83"/>
  <c r="S80" i="83"/>
  <c r="T80" i="83"/>
  <c r="U80" i="83"/>
  <c r="V80" i="83"/>
  <c r="AF80" i="83"/>
  <c r="AG80" i="83"/>
  <c r="G81" i="83"/>
  <c r="S81" i="83"/>
  <c r="T81" i="83"/>
  <c r="U81" i="83"/>
  <c r="V81" i="83"/>
  <c r="AF81" i="83"/>
  <c r="AG81" i="83"/>
  <c r="G73" i="83"/>
  <c r="S73" i="83"/>
  <c r="T73" i="83"/>
  <c r="U73" i="83"/>
  <c r="V73" i="83"/>
  <c r="AF73" i="83"/>
  <c r="AG73" i="83"/>
  <c r="AT28" i="77" l="1"/>
  <c r="AU28" i="77" s="1"/>
  <c r="AT24" i="77"/>
  <c r="W91" i="1"/>
  <c r="W168" i="1"/>
  <c r="X168" i="1"/>
  <c r="AO28" i="77"/>
  <c r="D233" i="80" l="1"/>
  <c r="D234" i="80"/>
  <c r="D235" i="80"/>
  <c r="AQ24" i="115" l="1"/>
  <c r="W167" i="1" l="1"/>
  <c r="N168" i="1" l="1"/>
  <c r="X150" i="1" l="1"/>
  <c r="N150" i="1"/>
  <c r="D39" i="73"/>
  <c r="G198" i="127" l="1"/>
  <c r="D195" i="127"/>
  <c r="L194" i="127"/>
  <c r="C194" i="127"/>
  <c r="D194" i="127" s="1"/>
  <c r="L193" i="127"/>
  <c r="D193" i="127"/>
  <c r="L192" i="127"/>
  <c r="K192" i="127"/>
  <c r="M192" i="127" s="1"/>
  <c r="G192" i="127"/>
  <c r="G199" i="127" s="1"/>
  <c r="L191" i="127"/>
  <c r="G185" i="127"/>
  <c r="G184" i="127"/>
  <c r="K177" i="127"/>
  <c r="G177" i="127"/>
  <c r="G187" i="127" s="1"/>
  <c r="A177" i="127"/>
  <c r="K176" i="127"/>
  <c r="G176" i="127"/>
  <c r="A176" i="127"/>
  <c r="K175" i="127"/>
  <c r="G175" i="127"/>
  <c r="G174" i="127"/>
  <c r="G191" i="127" s="1"/>
  <c r="A172" i="127"/>
  <c r="H171" i="127"/>
  <c r="A170" i="127"/>
  <c r="M169" i="127"/>
  <c r="L169" i="127"/>
  <c r="K169" i="127"/>
  <c r="I169" i="127"/>
  <c r="A169" i="127"/>
  <c r="F166" i="127"/>
  <c r="K162" i="127"/>
  <c r="I162" i="127"/>
  <c r="J162" i="127" s="1"/>
  <c r="H162" i="127"/>
  <c r="E162" i="127"/>
  <c r="A162" i="127"/>
  <c r="K161" i="127"/>
  <c r="K194" i="127" s="1"/>
  <c r="M194" i="127" s="1"/>
  <c r="G161" i="127"/>
  <c r="F161" i="127"/>
  <c r="A161" i="127"/>
  <c r="A171" i="127" s="1"/>
  <c r="A178" i="127" s="1"/>
  <c r="K160" i="127"/>
  <c r="H160" i="127"/>
  <c r="G160" i="127"/>
  <c r="F160" i="127"/>
  <c r="E160" i="127"/>
  <c r="B160" i="127"/>
  <c r="A160" i="127"/>
  <c r="K159" i="127"/>
  <c r="H159" i="127"/>
  <c r="G159" i="127"/>
  <c r="F159" i="127"/>
  <c r="E159" i="127"/>
  <c r="B159" i="127"/>
  <c r="A159" i="127"/>
  <c r="G158" i="127"/>
  <c r="A158" i="127"/>
  <c r="A168" i="127" s="1"/>
  <c r="A175" i="127" s="1"/>
  <c r="O155" i="127"/>
  <c r="M155" i="127"/>
  <c r="O154" i="127"/>
  <c r="P154" i="127" s="1"/>
  <c r="M154" i="127"/>
  <c r="N154" i="127" s="1"/>
  <c r="K154" i="127"/>
  <c r="H154" i="127"/>
  <c r="E154" i="127"/>
  <c r="B154" i="127"/>
  <c r="L154" i="127" s="1"/>
  <c r="O153" i="127"/>
  <c r="P153" i="127" s="1"/>
  <c r="M153" i="127"/>
  <c r="N153" i="127" s="1"/>
  <c r="K153" i="127"/>
  <c r="H153" i="127"/>
  <c r="F153" i="127"/>
  <c r="B153" i="127"/>
  <c r="L153" i="127" s="1"/>
  <c r="O152" i="127"/>
  <c r="P152" i="127" s="1"/>
  <c r="M152" i="127"/>
  <c r="K152" i="127"/>
  <c r="H152" i="127"/>
  <c r="F152" i="127"/>
  <c r="E152" i="127"/>
  <c r="B152" i="127"/>
  <c r="L152" i="127" s="1"/>
  <c r="O151" i="127"/>
  <c r="P151" i="127" s="1"/>
  <c r="M151" i="127"/>
  <c r="K151" i="127"/>
  <c r="H151" i="127"/>
  <c r="F151" i="127"/>
  <c r="E151" i="127"/>
  <c r="B151" i="127"/>
  <c r="L151" i="127" s="1"/>
  <c r="O150" i="127"/>
  <c r="M150" i="127"/>
  <c r="Q146" i="127"/>
  <c r="D146" i="127"/>
  <c r="S145" i="127"/>
  <c r="Q145" i="127"/>
  <c r="L145" i="127"/>
  <c r="L146" i="127" s="1"/>
  <c r="I145" i="127"/>
  <c r="E145" i="127"/>
  <c r="Q144" i="127"/>
  <c r="Q143" i="127"/>
  <c r="R143" i="127" s="1"/>
  <c r="L143" i="127"/>
  <c r="I143" i="127"/>
  <c r="E140" i="127"/>
  <c r="E138" i="127"/>
  <c r="E136" i="127"/>
  <c r="E134" i="127"/>
  <c r="E132" i="127"/>
  <c r="E130" i="127"/>
  <c r="E128" i="127"/>
  <c r="E126" i="127"/>
  <c r="E124" i="127"/>
  <c r="E122" i="127"/>
  <c r="E120" i="127"/>
  <c r="E118" i="127"/>
  <c r="E116" i="127"/>
  <c r="E114" i="127"/>
  <c r="M113" i="127"/>
  <c r="N112" i="127"/>
  <c r="G112" i="127"/>
  <c r="H112" i="127" s="1"/>
  <c r="M112" i="127" s="1"/>
  <c r="E112" i="127"/>
  <c r="M111" i="127"/>
  <c r="Y110" i="127"/>
  <c r="Q110" i="127"/>
  <c r="R110" i="127" s="1"/>
  <c r="G110" i="127"/>
  <c r="E110" i="127"/>
  <c r="Q109" i="127"/>
  <c r="R109" i="127" s="1"/>
  <c r="M109" i="127"/>
  <c r="Q108" i="127"/>
  <c r="R108" i="127" s="1"/>
  <c r="G108" i="127"/>
  <c r="E108" i="127"/>
  <c r="Q107" i="127"/>
  <c r="R107" i="127" s="1"/>
  <c r="M107" i="127"/>
  <c r="Q106" i="127"/>
  <c r="R106" i="127" s="1"/>
  <c r="N106" i="127"/>
  <c r="E106" i="127"/>
  <c r="Q105" i="127"/>
  <c r="R105" i="127" s="1"/>
  <c r="M105" i="127"/>
  <c r="Q104" i="127"/>
  <c r="R104" i="127" s="1"/>
  <c r="G104" i="127"/>
  <c r="E104" i="127"/>
  <c r="Q103" i="127"/>
  <c r="Q102" i="127"/>
  <c r="R102" i="127" s="1"/>
  <c r="N102" i="127"/>
  <c r="G102" i="127"/>
  <c r="E102" i="127"/>
  <c r="H102" i="127" s="1"/>
  <c r="Q101" i="127"/>
  <c r="Q100" i="127"/>
  <c r="R100" i="127" s="1"/>
  <c r="N100" i="127"/>
  <c r="G100" i="127"/>
  <c r="E100" i="127"/>
  <c r="H100" i="127" s="1"/>
  <c r="O100" i="127" s="1"/>
  <c r="Q99" i="127"/>
  <c r="W98" i="127"/>
  <c r="Q98" i="127"/>
  <c r="R98" i="127" s="1"/>
  <c r="G98" i="127"/>
  <c r="E98" i="127"/>
  <c r="H98" i="127" s="1"/>
  <c r="Q97" i="127"/>
  <c r="Q96" i="127"/>
  <c r="R96" i="127" s="1"/>
  <c r="N96" i="127"/>
  <c r="G96" i="127"/>
  <c r="H96" i="127" s="1"/>
  <c r="E96" i="127"/>
  <c r="Q94" i="127"/>
  <c r="L94" i="127"/>
  <c r="I94" i="127"/>
  <c r="E91" i="127"/>
  <c r="E89" i="127"/>
  <c r="E87" i="127"/>
  <c r="E85" i="127"/>
  <c r="E83" i="127"/>
  <c r="E81" i="127"/>
  <c r="E79" i="127"/>
  <c r="E77" i="127"/>
  <c r="E75" i="127"/>
  <c r="E73" i="127"/>
  <c r="E71" i="127"/>
  <c r="P69" i="127"/>
  <c r="E69" i="127"/>
  <c r="M68" i="127"/>
  <c r="O67" i="127"/>
  <c r="N67" i="127"/>
  <c r="H67" i="127"/>
  <c r="M67" i="127" s="1"/>
  <c r="G67" i="127"/>
  <c r="E67" i="127"/>
  <c r="M66" i="127"/>
  <c r="Q65" i="127"/>
  <c r="R65" i="127" s="1"/>
  <c r="E65" i="127"/>
  <c r="N65" i="127" s="1"/>
  <c r="Q64" i="127"/>
  <c r="R64" i="127" s="1"/>
  <c r="M64" i="127"/>
  <c r="Q63" i="127"/>
  <c r="R63" i="127" s="1"/>
  <c r="E63" i="127"/>
  <c r="N63" i="127" s="1"/>
  <c r="Q62" i="127"/>
  <c r="R62" i="127" s="1"/>
  <c r="M62" i="127"/>
  <c r="Q61" i="127"/>
  <c r="R61" i="127" s="1"/>
  <c r="O61" i="127"/>
  <c r="N61" i="127"/>
  <c r="G61" i="127"/>
  <c r="E61" i="127"/>
  <c r="H61" i="127" s="1"/>
  <c r="M61" i="127" s="1"/>
  <c r="Q60" i="127"/>
  <c r="R60" i="127" s="1"/>
  <c r="O60" i="127"/>
  <c r="M60" i="127"/>
  <c r="Q59" i="127"/>
  <c r="R59" i="127" s="1"/>
  <c r="N59" i="127"/>
  <c r="G59" i="127"/>
  <c r="H59" i="127" s="1"/>
  <c r="E59" i="127"/>
  <c r="Q58" i="127"/>
  <c r="R58" i="127" s="1"/>
  <c r="O58" i="127"/>
  <c r="M58" i="127"/>
  <c r="Q57" i="127"/>
  <c r="R57" i="127" s="1"/>
  <c r="G57" i="127"/>
  <c r="E57" i="127"/>
  <c r="N57" i="127" s="1"/>
  <c r="Q56" i="127"/>
  <c r="R56" i="127" s="1"/>
  <c r="O56" i="127"/>
  <c r="M56" i="127"/>
  <c r="Q55" i="127"/>
  <c r="R55" i="127" s="1"/>
  <c r="E55" i="127"/>
  <c r="Q54" i="127"/>
  <c r="R54" i="127" s="1"/>
  <c r="O54" i="127"/>
  <c r="M54" i="127"/>
  <c r="Q53" i="127"/>
  <c r="R53" i="127" s="1"/>
  <c r="N53" i="127"/>
  <c r="G53" i="127"/>
  <c r="E53" i="127"/>
  <c r="H53" i="127" s="1"/>
  <c r="Q52" i="127"/>
  <c r="R52" i="127" s="1"/>
  <c r="O52" i="127"/>
  <c r="M52" i="127"/>
  <c r="Q51" i="127"/>
  <c r="R51" i="127" s="1"/>
  <c r="G51" i="127"/>
  <c r="E51" i="127"/>
  <c r="N51" i="127" s="1"/>
  <c r="R50" i="127"/>
  <c r="Q49" i="127"/>
  <c r="R49" i="127" s="1"/>
  <c r="N49" i="127"/>
  <c r="H49" i="127"/>
  <c r="O49" i="127" s="1"/>
  <c r="G49" i="127"/>
  <c r="E49" i="127"/>
  <c r="Q48" i="127"/>
  <c r="R48" i="127" s="1"/>
  <c r="O48" i="127"/>
  <c r="M48" i="127"/>
  <c r="Q47" i="127"/>
  <c r="R47" i="127" s="1"/>
  <c r="E47" i="127"/>
  <c r="N47" i="127" s="1"/>
  <c r="Q46" i="127"/>
  <c r="L46" i="127"/>
  <c r="M46" i="127" s="1"/>
  <c r="I46" i="127"/>
  <c r="Y45" i="127"/>
  <c r="X45" i="127"/>
  <c r="U45" i="127"/>
  <c r="Q45" i="127"/>
  <c r="L45" i="127"/>
  <c r="L144" i="127" s="1"/>
  <c r="K45" i="127"/>
  <c r="J45" i="127"/>
  <c r="I45" i="127"/>
  <c r="I144" i="127" s="1"/>
  <c r="U43" i="127"/>
  <c r="D42" i="127"/>
  <c r="G41" i="127"/>
  <c r="G42" i="127" s="1"/>
  <c r="G43" i="127" s="1"/>
  <c r="G44" i="127" s="1"/>
  <c r="H44" i="127" s="1"/>
  <c r="B38" i="127"/>
  <c r="B37" i="127"/>
  <c r="D37" i="127" s="1"/>
  <c r="D36" i="127"/>
  <c r="C36" i="127"/>
  <c r="D35" i="127"/>
  <c r="C35" i="127"/>
  <c r="Q34" i="127"/>
  <c r="R34" i="127" s="1"/>
  <c r="D34" i="127"/>
  <c r="C34" i="127"/>
  <c r="Q33" i="127"/>
  <c r="R33" i="127" s="1"/>
  <c r="D33" i="127"/>
  <c r="C33" i="127"/>
  <c r="Q32" i="127"/>
  <c r="R32" i="127" s="1"/>
  <c r="D32" i="127"/>
  <c r="C32" i="127"/>
  <c r="Q31" i="127"/>
  <c r="R31" i="127" s="1"/>
  <c r="D31" i="127"/>
  <c r="C31" i="127"/>
  <c r="Q30" i="127"/>
  <c r="R30" i="127" s="1"/>
  <c r="D30" i="127"/>
  <c r="C30" i="127"/>
  <c r="Q29" i="127"/>
  <c r="R29" i="127" s="1"/>
  <c r="G29" i="127"/>
  <c r="G30" i="127" s="1"/>
  <c r="H29" i="127"/>
  <c r="D29" i="127"/>
  <c r="C29" i="127"/>
  <c r="Q28" i="127"/>
  <c r="R28" i="127" s="1"/>
  <c r="D28" i="127"/>
  <c r="C28" i="127"/>
  <c r="Q27" i="127"/>
  <c r="R27" i="127" s="1"/>
  <c r="G27" i="127"/>
  <c r="G28" i="127" s="1"/>
  <c r="D27" i="127"/>
  <c r="H27" i="127" s="1"/>
  <c r="C27" i="127"/>
  <c r="Q26" i="127"/>
  <c r="R26" i="127" s="1"/>
  <c r="D26" i="127"/>
  <c r="C26" i="127"/>
  <c r="Q25" i="127"/>
  <c r="R25" i="127" s="1"/>
  <c r="D25" i="127"/>
  <c r="C25" i="127"/>
  <c r="Q24" i="127"/>
  <c r="R24" i="127" s="1"/>
  <c r="D24" i="127"/>
  <c r="C24" i="127"/>
  <c r="Q23" i="127"/>
  <c r="R23" i="127" s="1"/>
  <c r="D23" i="127"/>
  <c r="C23" i="127"/>
  <c r="Q22" i="127"/>
  <c r="R22" i="127" s="1"/>
  <c r="D22" i="127"/>
  <c r="C22" i="127"/>
  <c r="Q21" i="127"/>
  <c r="R21" i="127" s="1"/>
  <c r="D21" i="127"/>
  <c r="C21" i="127"/>
  <c r="Q20" i="127"/>
  <c r="R20" i="127" s="1"/>
  <c r="D20" i="127"/>
  <c r="C20" i="127"/>
  <c r="Q19" i="127"/>
  <c r="R19" i="127" s="1"/>
  <c r="D19" i="127"/>
  <c r="C19" i="127"/>
  <c r="Q18" i="127"/>
  <c r="R18" i="127" s="1"/>
  <c r="D18" i="127"/>
  <c r="C18" i="127"/>
  <c r="Q17" i="127"/>
  <c r="R17" i="127" s="1"/>
  <c r="D17" i="127"/>
  <c r="C17" i="127"/>
  <c r="Q16" i="127"/>
  <c r="R16" i="127" s="1"/>
  <c r="D16" i="127"/>
  <c r="C16" i="127"/>
  <c r="Q15" i="127"/>
  <c r="R15" i="127" s="1"/>
  <c r="D15" i="127"/>
  <c r="C15" i="127"/>
  <c r="Q14" i="127"/>
  <c r="R14" i="127" s="1"/>
  <c r="D14" i="127"/>
  <c r="C14" i="127"/>
  <c r="Q13" i="127"/>
  <c r="R13" i="127" s="1"/>
  <c r="D13" i="127"/>
  <c r="C13" i="127"/>
  <c r="Q12" i="127"/>
  <c r="R12" i="127" s="1"/>
  <c r="D12" i="127"/>
  <c r="C12" i="127"/>
  <c r="Q11" i="127"/>
  <c r="R11" i="127" s="1"/>
  <c r="D11" i="127"/>
  <c r="C11" i="127"/>
  <c r="Q10" i="127"/>
  <c r="R10" i="127" s="1"/>
  <c r="K174" i="127"/>
  <c r="K179" i="127" s="1"/>
  <c r="D10" i="127"/>
  <c r="C10" i="127"/>
  <c r="Q9" i="127"/>
  <c r="R9" i="127" s="1"/>
  <c r="F5" i="127"/>
  <c r="H2" i="127"/>
  <c r="N152" i="127" l="1"/>
  <c r="R94" i="127"/>
  <c r="R144" i="127"/>
  <c r="N151" i="127"/>
  <c r="H41" i="127"/>
  <c r="H42" i="127"/>
  <c r="I146" i="127"/>
  <c r="O59" i="127"/>
  <c r="M59" i="127"/>
  <c r="O29" i="127"/>
  <c r="N29" i="127"/>
  <c r="M29" i="127"/>
  <c r="H43" i="127"/>
  <c r="C158" i="127" s="1"/>
  <c r="B158" i="127"/>
  <c r="H32" i="127"/>
  <c r="O98" i="127"/>
  <c r="M98" i="127"/>
  <c r="N27" i="127"/>
  <c r="M27" i="127"/>
  <c r="O27" i="127"/>
  <c r="G31" i="127"/>
  <c r="G32" i="127" s="1"/>
  <c r="G33" i="127" s="1"/>
  <c r="G34" i="127" s="1"/>
  <c r="G35" i="127" s="1"/>
  <c r="G36" i="127" s="1"/>
  <c r="G37" i="127" s="1"/>
  <c r="G38" i="127" s="1"/>
  <c r="G39" i="127" s="1"/>
  <c r="G40" i="127" s="1"/>
  <c r="G45" i="127"/>
  <c r="M53" i="127"/>
  <c r="O53" i="127"/>
  <c r="H34" i="127"/>
  <c r="B39" i="127"/>
  <c r="D38" i="127"/>
  <c r="C38" i="127"/>
  <c r="M100" i="127"/>
  <c r="H57" i="127"/>
  <c r="O96" i="127"/>
  <c r="M96" i="127"/>
  <c r="H28" i="127"/>
  <c r="H35" i="127"/>
  <c r="N110" i="127"/>
  <c r="H110" i="127"/>
  <c r="M110" i="127" s="1"/>
  <c r="O102" i="127"/>
  <c r="M102" i="127"/>
  <c r="G193" i="127"/>
  <c r="G200" i="127" s="1"/>
  <c r="G186" i="127"/>
  <c r="H33" i="127"/>
  <c r="H36" i="127"/>
  <c r="M36" i="127" s="1"/>
  <c r="N104" i="127"/>
  <c r="H104" i="127"/>
  <c r="E45" i="127"/>
  <c r="H30" i="127"/>
  <c r="R46" i="127"/>
  <c r="O46" i="127"/>
  <c r="I158" i="127"/>
  <c r="C37" i="127"/>
  <c r="L195" i="127"/>
  <c r="H51" i="127"/>
  <c r="M49" i="127"/>
  <c r="K193" i="127"/>
  <c r="M193" i="127" s="1"/>
  <c r="K158" i="127"/>
  <c r="K163" i="127" s="1"/>
  <c r="N55" i="127"/>
  <c r="N98" i="127"/>
  <c r="E143" i="127"/>
  <c r="F158" i="127" s="1"/>
  <c r="F163" i="127" s="1"/>
  <c r="H158" i="127"/>
  <c r="N108" i="127"/>
  <c r="H108" i="127"/>
  <c r="M108" i="127" s="1"/>
  <c r="K166" i="127"/>
  <c r="K171" i="127" s="1"/>
  <c r="E94" i="127"/>
  <c r="D196" i="127"/>
  <c r="K150" i="127"/>
  <c r="R45" i="127"/>
  <c r="G194" i="127"/>
  <c r="G201" i="127" s="1"/>
  <c r="D158" i="127" l="1"/>
  <c r="J158" i="127"/>
  <c r="K155" i="127"/>
  <c r="P150" i="127"/>
  <c r="K191" i="127"/>
  <c r="O32" i="127"/>
  <c r="N32" i="127"/>
  <c r="M32" i="127"/>
  <c r="M35" i="127"/>
  <c r="N35" i="127"/>
  <c r="O28" i="127"/>
  <c r="N28" i="127"/>
  <c r="M28" i="127"/>
  <c r="F150" i="127"/>
  <c r="F155" i="127" s="1"/>
  <c r="F165" i="127" s="1"/>
  <c r="F167" i="127" s="1"/>
  <c r="E144" i="127"/>
  <c r="E146" i="127" s="1"/>
  <c r="C146" i="127" s="1"/>
  <c r="O57" i="127"/>
  <c r="M57" i="127"/>
  <c r="O51" i="127"/>
  <c r="M51" i="127"/>
  <c r="H37" i="127"/>
  <c r="M37" i="127" s="1"/>
  <c r="H38" i="127"/>
  <c r="M38" i="127" s="1"/>
  <c r="N34" i="127"/>
  <c r="M34" i="127"/>
  <c r="O104" i="127"/>
  <c r="M104" i="127"/>
  <c r="E158" i="127"/>
  <c r="O30" i="127"/>
  <c r="N30" i="127"/>
  <c r="M30" i="127"/>
  <c r="M33" i="127"/>
  <c r="N33" i="127"/>
  <c r="D39" i="127"/>
  <c r="H39" i="127" s="1"/>
  <c r="M39" i="127" s="1"/>
  <c r="C39" i="127"/>
  <c r="B40" i="127"/>
  <c r="H31" i="127"/>
  <c r="N31" i="127" l="1"/>
  <c r="M31" i="127"/>
  <c r="O31" i="127"/>
  <c r="D40" i="127"/>
  <c r="H40" i="127" s="1"/>
  <c r="C40" i="127"/>
  <c r="M191" i="127"/>
  <c r="M195" i="127" s="1"/>
  <c r="K195" i="127"/>
  <c r="P155" i="127"/>
  <c r="K181" i="127"/>
  <c r="B150" i="127"/>
  <c r="H150" i="127"/>
  <c r="H155" i="127" s="1"/>
  <c r="L150" i="127" l="1"/>
  <c r="N150" i="127" s="1"/>
  <c r="E150" i="127"/>
  <c r="B155" i="127"/>
  <c r="M40" i="127"/>
  <c r="F45" i="127"/>
  <c r="L155" i="127" l="1"/>
  <c r="N155" i="127" s="1"/>
  <c r="AP24" i="93" l="1"/>
  <c r="AR24" i="63" l="1"/>
  <c r="AR28" i="63"/>
  <c r="AR24" i="113"/>
  <c r="AR28" i="113"/>
  <c r="AP24" i="78"/>
  <c r="AP28" i="78"/>
  <c r="AA11" i="81" l="1"/>
  <c r="M332" i="80" l="1"/>
  <c r="V9" i="81" l="1"/>
  <c r="V11" i="81"/>
  <c r="R11" i="81"/>
  <c r="X169" i="1"/>
  <c r="V22" i="81"/>
  <c r="R22" i="81"/>
  <c r="N30" i="81"/>
  <c r="B45" i="81"/>
  <c r="B18" i="81"/>
  <c r="B23" i="81"/>
  <c r="B28" i="81"/>
  <c r="AZ78" i="83" l="1"/>
  <c r="BD71" i="83"/>
  <c r="B82" i="83"/>
  <c r="AQ70" i="83"/>
  <c r="V70" i="83"/>
  <c r="U70" i="83"/>
  <c r="T70" i="83"/>
  <c r="S70" i="83"/>
  <c r="V69" i="83"/>
  <c r="U69" i="83"/>
  <c r="T69" i="83"/>
  <c r="S69" i="83"/>
  <c r="AQ68" i="83"/>
  <c r="V68" i="83"/>
  <c r="U68" i="83"/>
  <c r="T68" i="83"/>
  <c r="S68" i="83"/>
  <c r="AQ66" i="83"/>
  <c r="V66" i="83"/>
  <c r="U66" i="83"/>
  <c r="T66" i="83"/>
  <c r="S66" i="83"/>
  <c r="AQ65" i="83"/>
  <c r="V65" i="83"/>
  <c r="U65" i="83"/>
  <c r="T65" i="83"/>
  <c r="S65" i="83"/>
  <c r="AQ64" i="83"/>
  <c r="V64" i="83"/>
  <c r="U64" i="83"/>
  <c r="T64" i="83"/>
  <c r="S64" i="83"/>
  <c r="AQ63" i="83"/>
  <c r="V63" i="83"/>
  <c r="U63" i="83"/>
  <c r="T63" i="83"/>
  <c r="S63" i="83"/>
  <c r="AQ62" i="83"/>
  <c r="V62" i="83"/>
  <c r="U62" i="83"/>
  <c r="T62" i="83"/>
  <c r="S62" i="83"/>
  <c r="AZ67" i="83"/>
  <c r="AP81" i="83" l="1"/>
  <c r="AO81" i="83"/>
  <c r="AN81" i="83"/>
  <c r="AM81" i="83"/>
  <c r="AL81" i="83"/>
  <c r="AK81" i="83"/>
  <c r="AJ81" i="83"/>
  <c r="AI81" i="83"/>
  <c r="AP80" i="83"/>
  <c r="AO80" i="83"/>
  <c r="AN80" i="83"/>
  <c r="AM80" i="83"/>
  <c r="AL80" i="83"/>
  <c r="AK80" i="83"/>
  <c r="AP79" i="83"/>
  <c r="AO79" i="83"/>
  <c r="AN79" i="83"/>
  <c r="AM79" i="83"/>
  <c r="AL79" i="83"/>
  <c r="AK79" i="83"/>
  <c r="AP77" i="83"/>
  <c r="AO77" i="83"/>
  <c r="AN77" i="83"/>
  <c r="AM77" i="83"/>
  <c r="AL77" i="83"/>
  <c r="AK77" i="83"/>
  <c r="AP76" i="83"/>
  <c r="AO76" i="83"/>
  <c r="AN76" i="83"/>
  <c r="AM76" i="83"/>
  <c r="AL76" i="83"/>
  <c r="AK76" i="83"/>
  <c r="AP75" i="83"/>
  <c r="AO75" i="83"/>
  <c r="AN75" i="83"/>
  <c r="AM75" i="83"/>
  <c r="AL75" i="83"/>
  <c r="AK75" i="83"/>
  <c r="AP74" i="83"/>
  <c r="AO74" i="83"/>
  <c r="AN74" i="83"/>
  <c r="AM74" i="83"/>
  <c r="AL74" i="83"/>
  <c r="AK74" i="83"/>
  <c r="AP73" i="83"/>
  <c r="AO73" i="83"/>
  <c r="AN73" i="83"/>
  <c r="AM73" i="83"/>
  <c r="AL73" i="83"/>
  <c r="AK73" i="83"/>
  <c r="AH81" i="83" l="1"/>
  <c r="AJ80" i="83"/>
  <c r="AI80" i="83"/>
  <c r="AH80" i="83"/>
  <c r="AJ79" i="83"/>
  <c r="AI79" i="83"/>
  <c r="AH79" i="83"/>
  <c r="AJ77" i="83"/>
  <c r="AI77" i="83"/>
  <c r="AH77" i="83"/>
  <c r="AJ76" i="83"/>
  <c r="AI76" i="83"/>
  <c r="AH76" i="83"/>
  <c r="AJ75" i="83"/>
  <c r="AI75" i="83"/>
  <c r="AH75" i="83"/>
  <c r="AJ74" i="83"/>
  <c r="AI74" i="83"/>
  <c r="AH74" i="83"/>
  <c r="AJ73" i="83"/>
  <c r="AI73" i="83"/>
  <c r="AH73" i="83"/>
  <c r="AH62" i="83" l="1"/>
  <c r="AI62" i="83"/>
  <c r="AJ62" i="83"/>
  <c r="AK62" i="83"/>
  <c r="AL62" i="83"/>
  <c r="AM62" i="83"/>
  <c r="AN62" i="83"/>
  <c r="AO62" i="83"/>
  <c r="AP62" i="83"/>
  <c r="AH63" i="83"/>
  <c r="AI63" i="83"/>
  <c r="AJ63" i="83"/>
  <c r="AK63" i="83"/>
  <c r="AL63" i="83"/>
  <c r="AM63" i="83"/>
  <c r="AN63" i="83"/>
  <c r="AO63" i="83"/>
  <c r="AP63" i="83"/>
  <c r="AH64" i="83"/>
  <c r="AI64" i="83"/>
  <c r="AJ64" i="83"/>
  <c r="AK64" i="83"/>
  <c r="AL64" i="83"/>
  <c r="AM64" i="83"/>
  <c r="AN64" i="83"/>
  <c r="AO64" i="83"/>
  <c r="AP64" i="83"/>
  <c r="AH65" i="83"/>
  <c r="AI65" i="83"/>
  <c r="AJ65" i="83"/>
  <c r="AK65" i="83"/>
  <c r="AL65" i="83"/>
  <c r="AM65" i="83"/>
  <c r="AN65" i="83"/>
  <c r="AO65" i="83"/>
  <c r="AP65" i="83"/>
  <c r="AH66" i="83"/>
  <c r="AI66" i="83"/>
  <c r="AJ66" i="83"/>
  <c r="AK66" i="83"/>
  <c r="AL66" i="83"/>
  <c r="AM66" i="83"/>
  <c r="AN66" i="83"/>
  <c r="AO66" i="83"/>
  <c r="AP66" i="83"/>
  <c r="AH68" i="83"/>
  <c r="AI68" i="83"/>
  <c r="AJ68" i="83"/>
  <c r="AK68" i="83"/>
  <c r="AL68" i="83"/>
  <c r="AM68" i="83"/>
  <c r="AN68" i="83"/>
  <c r="AO68" i="83"/>
  <c r="AP68" i="83"/>
  <c r="AH69" i="83"/>
  <c r="AI69" i="83"/>
  <c r="AJ69" i="83"/>
  <c r="AK69" i="83"/>
  <c r="AL69" i="83"/>
  <c r="AM69" i="83"/>
  <c r="AN69" i="83"/>
  <c r="AO69" i="83"/>
  <c r="AP69" i="83"/>
  <c r="AH70" i="83"/>
  <c r="AI70" i="83"/>
  <c r="AJ70" i="83"/>
  <c r="AK70" i="83"/>
  <c r="AL70" i="83"/>
  <c r="AM70" i="83"/>
  <c r="AN70" i="83"/>
  <c r="AO70" i="83"/>
  <c r="AP70" i="83"/>
  <c r="AQ80" i="83" l="1"/>
  <c r="AF70" i="83" l="1"/>
  <c r="AF64" i="83"/>
  <c r="AF65" i="83"/>
  <c r="AF66" i="83"/>
  <c r="AF63" i="83"/>
  <c r="AF69" i="83"/>
  <c r="AF68" i="83"/>
  <c r="G65" i="83" l="1"/>
  <c r="G69" i="83"/>
  <c r="G68" i="83"/>
  <c r="G70" i="83"/>
  <c r="G66" i="83"/>
  <c r="G64" i="83"/>
  <c r="G63" i="83"/>
  <c r="AQ69" i="83"/>
  <c r="AF62" i="83" l="1"/>
  <c r="G62" i="83" l="1"/>
  <c r="AG66" i="83" l="1"/>
  <c r="AG64" i="83"/>
  <c r="AG68" i="83"/>
  <c r="AG70" i="83"/>
  <c r="AG69" i="83"/>
  <c r="AG65" i="83"/>
  <c r="AG63" i="83"/>
  <c r="AZ65" i="83" l="1"/>
  <c r="AG62" i="83"/>
  <c r="AZ70" i="83"/>
  <c r="AZ64" i="83"/>
  <c r="AZ68" i="83" l="1"/>
  <c r="AZ63" i="83"/>
  <c r="AZ66" i="83"/>
  <c r="AZ62" i="83"/>
  <c r="AZ69" i="83"/>
  <c r="AZ61" i="83"/>
  <c r="AZ80" i="83" l="1"/>
  <c r="AZ74" i="83" l="1"/>
  <c r="AZ75" i="83"/>
  <c r="AZ77" i="83"/>
  <c r="AZ81" i="83" l="1"/>
  <c r="AZ79" i="83"/>
  <c r="AZ76" i="83"/>
  <c r="BB72" i="83"/>
  <c r="AZ73" i="83"/>
  <c r="E44" i="56" l="1"/>
  <c r="B48" i="85"/>
  <c r="L69" i="85"/>
  <c r="L62" i="85"/>
  <c r="C53" i="57"/>
  <c r="C80" i="111" s="1"/>
  <c r="E84" i="111" s="1"/>
  <c r="I7" i="116"/>
  <c r="N44" i="85" s="1"/>
  <c r="E90" i="117"/>
  <c r="E86" i="117"/>
  <c r="E96" i="117"/>
  <c r="E95" i="117"/>
  <c r="P38" i="85"/>
  <c r="P39" i="85"/>
  <c r="P40" i="85"/>
  <c r="P41" i="85"/>
  <c r="P42" i="85"/>
  <c r="N43" i="85"/>
  <c r="N42" i="85"/>
  <c r="N41" i="85"/>
  <c r="N40" i="85"/>
  <c r="N39" i="85"/>
  <c r="O38" i="85"/>
  <c r="O39" i="85"/>
  <c r="O40" i="85"/>
  <c r="O41" i="85"/>
  <c r="O42" i="85"/>
  <c r="N38" i="85"/>
  <c r="N37" i="85"/>
  <c r="B54" i="85"/>
  <c r="B55" i="85"/>
  <c r="B52" i="85" l="1"/>
  <c r="DW35" i="122" l="1"/>
  <c r="E145" i="56"/>
  <c r="E57" i="57"/>
  <c r="E88" i="60"/>
  <c r="E86" i="111"/>
  <c r="I6" i="116" l="1"/>
  <c r="I5" i="116"/>
  <c r="BR9" i="69"/>
  <c r="BR5" i="69"/>
  <c r="A8" i="74"/>
  <c r="A9" i="74"/>
  <c r="A10" i="74"/>
  <c r="A11" i="74"/>
  <c r="A12" i="74"/>
  <c r="A13" i="74"/>
  <c r="A14" i="74"/>
  <c r="A15" i="74"/>
  <c r="A16" i="74"/>
  <c r="A17" i="74"/>
  <c r="A18" i="74"/>
  <c r="A19" i="74"/>
  <c r="A20" i="74"/>
  <c r="A21" i="74"/>
  <c r="A22" i="74" s="1"/>
  <c r="A23" i="74" s="1"/>
  <c r="A24" i="74" s="1"/>
  <c r="A25" i="74" s="1"/>
  <c r="A26" i="74" s="1"/>
  <c r="A27" i="74" s="1"/>
  <c r="A28" i="74" s="1"/>
  <c r="A29" i="74" s="1"/>
  <c r="A30" i="74" s="1"/>
  <c r="A31" i="74" s="1"/>
  <c r="A32" i="74" s="1"/>
  <c r="A33" i="74" s="1"/>
  <c r="A34" i="74" s="1"/>
  <c r="A35" i="74" s="1"/>
  <c r="A36" i="74" s="1"/>
  <c r="A37" i="74" s="1"/>
  <c r="A38" i="74" s="1"/>
  <c r="A39" i="74" s="1"/>
  <c r="A40" i="74" s="1"/>
  <c r="A41" i="74" s="1"/>
  <c r="A42" i="74" s="1"/>
  <c r="A43" i="74" s="1"/>
  <c r="A44" i="74" s="1"/>
  <c r="A45" i="74" s="1"/>
  <c r="A46" i="74" s="1"/>
  <c r="A47" i="74" s="1"/>
  <c r="A48" i="74" s="1"/>
  <c r="A49" i="74" s="1"/>
  <c r="A50" i="74" s="1"/>
  <c r="A51" i="74" s="1"/>
  <c r="A52" i="74" s="1"/>
  <c r="A53" i="74" s="1"/>
  <c r="A54" i="74" s="1"/>
  <c r="A55" i="74" s="1"/>
  <c r="A56" i="74" s="1"/>
  <c r="A57" i="74" s="1"/>
  <c r="A58" i="74" s="1"/>
  <c r="A59" i="74" s="1"/>
  <c r="A60" i="74" s="1"/>
  <c r="A61" i="74" s="1"/>
  <c r="A62" i="74" s="1"/>
  <c r="A63" i="74" s="1"/>
  <c r="A64" i="74" s="1"/>
  <c r="A65" i="74" s="1"/>
  <c r="A66" i="74" s="1"/>
  <c r="A67" i="74" s="1"/>
  <c r="A68" i="74" s="1"/>
  <c r="A69" i="74" s="1"/>
  <c r="A70" i="74" s="1"/>
  <c r="A71" i="74" s="1"/>
  <c r="A72" i="74" s="1"/>
  <c r="A73" i="74" s="1"/>
  <c r="A74" i="74" s="1"/>
  <c r="A75" i="74" s="1"/>
  <c r="A76" i="74" s="1"/>
  <c r="A77" i="74" s="1"/>
  <c r="A78" i="74" s="1"/>
  <c r="A79" i="74" s="1"/>
  <c r="A80" i="74" s="1"/>
  <c r="A81" i="74" s="1"/>
  <c r="A82" i="74" s="1"/>
  <c r="A83" i="74" s="1"/>
  <c r="A84" i="74" s="1"/>
  <c r="A85" i="74" s="1"/>
  <c r="A86" i="74" s="1"/>
  <c r="A87" i="74" s="1"/>
  <c r="A88" i="74" s="1"/>
  <c r="A89" i="74" s="1"/>
  <c r="A90" i="74" s="1"/>
  <c r="A91" i="74" s="1"/>
  <c r="A92" i="74" s="1"/>
  <c r="A93" i="74" s="1"/>
  <c r="A94" i="74" s="1"/>
  <c r="A95" i="74" s="1"/>
  <c r="A96" i="74" s="1"/>
  <c r="A97" i="74" s="1"/>
  <c r="A98" i="74" s="1"/>
  <c r="A99" i="74" s="1"/>
  <c r="A100" i="74" s="1"/>
  <c r="A101" i="74" s="1"/>
  <c r="A102" i="74" s="1"/>
  <c r="A103" i="74" s="1"/>
  <c r="A104" i="74" s="1"/>
  <c r="A105" i="74" s="1"/>
  <c r="A106" i="74" s="1"/>
  <c r="A107" i="74" s="1"/>
  <c r="A108" i="74" s="1"/>
  <c r="A109" i="74" s="1"/>
  <c r="A110" i="74" s="1"/>
  <c r="A111" i="74" s="1"/>
  <c r="A112" i="74" s="1"/>
  <c r="A113" i="74" s="1"/>
  <c r="A114" i="74" s="1"/>
  <c r="A115" i="74" s="1"/>
  <c r="A116" i="74" s="1"/>
  <c r="A117" i="74" s="1"/>
  <c r="A118" i="74" s="1"/>
  <c r="A119" i="74" s="1"/>
  <c r="A120" i="74" s="1"/>
  <c r="A121" i="74" s="1"/>
  <c r="A122" i="74" s="1"/>
  <c r="A123" i="74" s="1"/>
  <c r="B99" i="118"/>
  <c r="E300" i="118"/>
  <c r="E298" i="118"/>
  <c r="A295" i="118"/>
  <c r="A296" i="118"/>
  <c r="A297" i="118"/>
  <c r="A298" i="118"/>
  <c r="A299" i="118"/>
  <c r="A300" i="118"/>
  <c r="A301" i="118"/>
  <c r="A302" i="118"/>
  <c r="A303" i="118"/>
  <c r="A304" i="118"/>
  <c r="A305" i="118"/>
  <c r="A306" i="118"/>
  <c r="A307" i="118"/>
  <c r="A308" i="118"/>
  <c r="A309" i="118" s="1"/>
  <c r="A310" i="118" s="1"/>
  <c r="A311" i="118" s="1"/>
  <c r="A312" i="118" s="1"/>
  <c r="A313" i="118" s="1"/>
  <c r="A314" i="118" s="1"/>
  <c r="A315" i="118" s="1"/>
  <c r="A316" i="118" s="1"/>
  <c r="A317" i="118" s="1"/>
  <c r="A318" i="118" s="1"/>
  <c r="A319" i="118" s="1"/>
  <c r="A320" i="118" s="1"/>
  <c r="A321" i="118" s="1"/>
  <c r="A322" i="118" s="1"/>
  <c r="A323" i="118" s="1"/>
  <c r="A324" i="118" s="1"/>
  <c r="A325" i="118" s="1"/>
  <c r="A326" i="118" s="1"/>
  <c r="A327" i="118" s="1"/>
  <c r="A328" i="118" s="1"/>
  <c r="A329" i="118" s="1"/>
  <c r="A330" i="118" s="1"/>
  <c r="A331" i="118" s="1"/>
  <c r="A332" i="118" s="1"/>
  <c r="A333" i="118" s="1"/>
  <c r="A334" i="118" s="1"/>
  <c r="A335" i="118" s="1"/>
  <c r="A336" i="118" s="1"/>
  <c r="A337" i="118" s="1"/>
  <c r="A338" i="118" s="1"/>
  <c r="A339" i="118" s="1"/>
  <c r="B77" i="74"/>
  <c r="B250" i="109"/>
  <c r="H5" i="109"/>
  <c r="H6" i="109"/>
  <c r="H7" i="109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36" i="109"/>
  <c r="H37" i="109"/>
  <c r="H38" i="109"/>
  <c r="H39" i="109"/>
  <c r="H40" i="109"/>
  <c r="H41" i="109"/>
  <c r="H42" i="109"/>
  <c r="H43" i="109"/>
  <c r="H44" i="109"/>
  <c r="H45" i="109"/>
  <c r="H46" i="109"/>
  <c r="H47" i="109"/>
  <c r="H48" i="109"/>
  <c r="H49" i="109"/>
  <c r="H50" i="109"/>
  <c r="H51" i="109"/>
  <c r="H52" i="109"/>
  <c r="H53" i="109"/>
  <c r="H54" i="109"/>
  <c r="H55" i="109"/>
  <c r="H56" i="109"/>
  <c r="H57" i="109"/>
  <c r="H58" i="109"/>
  <c r="H59" i="109"/>
  <c r="H60" i="109"/>
  <c r="H61" i="109"/>
  <c r="H62" i="109"/>
  <c r="H63" i="109"/>
  <c r="H64" i="109"/>
  <c r="H65" i="109"/>
  <c r="H66" i="109"/>
  <c r="H67" i="109"/>
  <c r="H68" i="109"/>
  <c r="H69" i="109"/>
  <c r="H70" i="109"/>
  <c r="H71" i="109"/>
  <c r="H72" i="109"/>
  <c r="H73" i="109"/>
  <c r="H74" i="109"/>
  <c r="H75" i="109"/>
  <c r="H76" i="109"/>
  <c r="H77" i="109"/>
  <c r="H78" i="109"/>
  <c r="H79" i="109"/>
  <c r="H80" i="109"/>
  <c r="H81" i="109"/>
  <c r="H82" i="109"/>
  <c r="H83" i="109"/>
  <c r="H84" i="109"/>
  <c r="H85" i="109"/>
  <c r="H86" i="109"/>
  <c r="H87" i="109"/>
  <c r="H88" i="109"/>
  <c r="H89" i="109"/>
  <c r="H90" i="109"/>
  <c r="H91" i="109"/>
  <c r="H92" i="109"/>
  <c r="H93" i="109"/>
  <c r="H94" i="109"/>
  <c r="H95" i="109"/>
  <c r="H96" i="109"/>
  <c r="H97" i="109"/>
  <c r="H98" i="109"/>
  <c r="H99" i="109"/>
  <c r="H100" i="109"/>
  <c r="H101" i="109"/>
  <c r="H102" i="109"/>
  <c r="H103" i="109"/>
  <c r="H104" i="109"/>
  <c r="H105" i="109"/>
  <c r="H106" i="109"/>
  <c r="H107" i="109"/>
  <c r="H108" i="109"/>
  <c r="H109" i="109"/>
  <c r="H110" i="109"/>
  <c r="H111" i="109"/>
  <c r="H112" i="109"/>
  <c r="H113" i="109"/>
  <c r="H114" i="109"/>
  <c r="H115" i="109"/>
  <c r="H116" i="109"/>
  <c r="H117" i="109"/>
  <c r="H118" i="109"/>
  <c r="H119" i="109"/>
  <c r="H120" i="109"/>
  <c r="H121" i="109"/>
  <c r="H122" i="109"/>
  <c r="H123" i="109"/>
  <c r="H124" i="109"/>
  <c r="H125" i="109"/>
  <c r="H126" i="109"/>
  <c r="H127" i="109"/>
  <c r="H128" i="109"/>
  <c r="H129" i="109"/>
  <c r="H130" i="109"/>
  <c r="H131" i="109"/>
  <c r="H132" i="109"/>
  <c r="H133" i="109"/>
  <c r="H134" i="109"/>
  <c r="H135" i="109"/>
  <c r="H136" i="109"/>
  <c r="H137" i="109"/>
  <c r="H138" i="109"/>
  <c r="H139" i="109"/>
  <c r="H140" i="109"/>
  <c r="H141" i="109"/>
  <c r="H142" i="109"/>
  <c r="H143" i="109"/>
  <c r="H144" i="109"/>
  <c r="H145" i="109"/>
  <c r="H146" i="109"/>
  <c r="H147" i="109"/>
  <c r="H148" i="109"/>
  <c r="H149" i="109"/>
  <c r="H150" i="109"/>
  <c r="H151" i="109"/>
  <c r="H152" i="109"/>
  <c r="H153" i="109"/>
  <c r="H154" i="109"/>
  <c r="H155" i="109"/>
  <c r="H156" i="109"/>
  <c r="H157" i="109"/>
  <c r="H158" i="109"/>
  <c r="H159" i="109"/>
  <c r="H160" i="109"/>
  <c r="H161" i="109"/>
  <c r="H162" i="109"/>
  <c r="H163" i="109"/>
  <c r="H164" i="109"/>
  <c r="H165" i="109"/>
  <c r="H166" i="109"/>
  <c r="H167" i="109"/>
  <c r="H168" i="109"/>
  <c r="H169" i="109"/>
  <c r="H170" i="109"/>
  <c r="H171" i="109"/>
  <c r="H172" i="109"/>
  <c r="H173" i="109"/>
  <c r="H174" i="109"/>
  <c r="H175" i="109"/>
  <c r="H176" i="109"/>
  <c r="H177" i="109"/>
  <c r="H178" i="109"/>
  <c r="H179" i="109"/>
  <c r="H180" i="109"/>
  <c r="H181" i="109"/>
  <c r="H182" i="109"/>
  <c r="H183" i="109"/>
  <c r="H184" i="109"/>
  <c r="H185" i="109"/>
  <c r="H186" i="109"/>
  <c r="H187" i="109"/>
  <c r="H188" i="109"/>
  <c r="H189" i="109"/>
  <c r="H190" i="109"/>
  <c r="H191" i="109"/>
  <c r="H192" i="109"/>
  <c r="H193" i="109"/>
  <c r="H194" i="109"/>
  <c r="H195" i="109"/>
  <c r="H196" i="109"/>
  <c r="H197" i="109"/>
  <c r="H198" i="109"/>
  <c r="H199" i="109"/>
  <c r="H200" i="109"/>
  <c r="H201" i="109"/>
  <c r="H202" i="109"/>
  <c r="H203" i="109"/>
  <c r="H204" i="109"/>
  <c r="H205" i="109"/>
  <c r="H206" i="109"/>
  <c r="H207" i="109"/>
  <c r="H208" i="109"/>
  <c r="H209" i="109"/>
  <c r="H210" i="109"/>
  <c r="H211" i="109"/>
  <c r="H212" i="109"/>
  <c r="H213" i="109"/>
  <c r="H214" i="109"/>
  <c r="H215" i="109"/>
  <c r="H216" i="109"/>
  <c r="H217" i="109"/>
  <c r="H218" i="109"/>
  <c r="H219" i="109"/>
  <c r="H220" i="109"/>
  <c r="H221" i="109"/>
  <c r="H222" i="109"/>
  <c r="H223" i="109"/>
  <c r="H224" i="109"/>
  <c r="H225" i="109"/>
  <c r="H226" i="109"/>
  <c r="H227" i="109"/>
  <c r="H228" i="109"/>
  <c r="H229" i="109"/>
  <c r="H230" i="109"/>
  <c r="H231" i="109"/>
  <c r="H232" i="109"/>
  <c r="H233" i="109"/>
  <c r="H234" i="109"/>
  <c r="H235" i="109"/>
  <c r="H236" i="109"/>
  <c r="H237" i="109"/>
  <c r="H238" i="109"/>
  <c r="H239" i="109"/>
  <c r="H240" i="109"/>
  <c r="H241" i="109"/>
  <c r="H242" i="109"/>
  <c r="H243" i="109"/>
  <c r="H244" i="109"/>
  <c r="H245" i="109"/>
  <c r="H246" i="109"/>
  <c r="H247" i="109"/>
  <c r="H248" i="109"/>
  <c r="H249" i="109"/>
  <c r="H250" i="109"/>
  <c r="H251" i="109"/>
  <c r="H252" i="109"/>
  <c r="H253" i="109"/>
  <c r="H254" i="109"/>
  <c r="H255" i="109"/>
  <c r="H256" i="109"/>
  <c r="H257" i="109"/>
  <c r="H258" i="109"/>
  <c r="H259" i="109"/>
  <c r="H260" i="109"/>
  <c r="H261" i="109"/>
  <c r="H262" i="109"/>
  <c r="H263" i="109"/>
  <c r="H264" i="109"/>
  <c r="H265" i="109"/>
  <c r="H266" i="109"/>
  <c r="H267" i="109"/>
  <c r="H268" i="109"/>
  <c r="H269" i="109"/>
  <c r="H270" i="109"/>
  <c r="H271" i="109"/>
  <c r="H272" i="109"/>
  <c r="H273" i="109"/>
  <c r="H274" i="109"/>
  <c r="H275" i="109"/>
  <c r="H276" i="109"/>
  <c r="H277" i="109"/>
  <c r="H278" i="109"/>
  <c r="H279" i="109"/>
  <c r="H280" i="109"/>
  <c r="H281" i="109"/>
  <c r="H282" i="109"/>
  <c r="H283" i="109"/>
  <c r="H284" i="109"/>
  <c r="H285" i="109"/>
  <c r="H286" i="109"/>
  <c r="H287" i="109"/>
  <c r="H288" i="109"/>
  <c r="H289" i="109"/>
  <c r="H290" i="109"/>
  <c r="H291" i="109"/>
  <c r="H292" i="109"/>
  <c r="H293" i="109"/>
  <c r="H294" i="109"/>
  <c r="H295" i="109"/>
  <c r="H296" i="109"/>
  <c r="H297" i="109"/>
  <c r="H298" i="109"/>
  <c r="H299" i="109"/>
  <c r="H300" i="109"/>
  <c r="H301" i="109"/>
  <c r="H302" i="109"/>
  <c r="H303" i="109"/>
  <c r="H304" i="109"/>
  <c r="H305" i="109"/>
  <c r="H306" i="109"/>
  <c r="H307" i="109"/>
  <c r="H308" i="109"/>
  <c r="H309" i="109"/>
  <c r="H310" i="109"/>
  <c r="H311" i="109"/>
  <c r="H312" i="109"/>
  <c r="H313" i="109"/>
  <c r="H314" i="109"/>
  <c r="H315" i="109"/>
  <c r="H316" i="109"/>
  <c r="H317" i="109"/>
  <c r="H318" i="109"/>
  <c r="H319" i="109"/>
  <c r="H320" i="109"/>
  <c r="H321" i="109"/>
  <c r="H322" i="109"/>
  <c r="H323" i="109"/>
  <c r="H324" i="109"/>
  <c r="H325" i="109"/>
  <c r="H326" i="109"/>
  <c r="H327" i="109"/>
  <c r="H328" i="109"/>
  <c r="H329" i="109"/>
  <c r="H330" i="109"/>
  <c r="H331" i="109"/>
  <c r="H332" i="109"/>
  <c r="H333" i="109"/>
  <c r="H334" i="109"/>
  <c r="H335" i="109"/>
  <c r="H336" i="109"/>
  <c r="H337" i="109"/>
  <c r="H338" i="109"/>
  <c r="H339" i="109"/>
  <c r="H340" i="109"/>
  <c r="H341" i="109"/>
  <c r="H342" i="109"/>
  <c r="H343" i="109"/>
  <c r="H344" i="109"/>
  <c r="H345" i="109"/>
  <c r="H346" i="109"/>
  <c r="H347" i="109"/>
  <c r="H348" i="109"/>
  <c r="H349" i="109"/>
  <c r="H350" i="109"/>
  <c r="H351" i="109"/>
  <c r="H352" i="109"/>
  <c r="H353" i="109"/>
  <c r="H354" i="109"/>
  <c r="H355" i="109"/>
  <c r="H356" i="109"/>
  <c r="H357" i="109"/>
  <c r="H358" i="109"/>
  <c r="H359" i="109"/>
  <c r="H360" i="109"/>
  <c r="H361" i="109"/>
  <c r="H362" i="109"/>
  <c r="H363" i="109"/>
  <c r="H364" i="109"/>
  <c r="H365" i="109"/>
  <c r="H366" i="109"/>
  <c r="H367" i="109"/>
  <c r="H368" i="109"/>
  <c r="H369" i="109"/>
  <c r="H370" i="109"/>
  <c r="H371" i="109"/>
  <c r="H372" i="109"/>
  <c r="H373" i="109"/>
  <c r="H374" i="109"/>
  <c r="H375" i="109"/>
  <c r="H376" i="109"/>
  <c r="H377" i="109"/>
  <c r="H378" i="109"/>
  <c r="H379" i="109"/>
  <c r="H380" i="109"/>
  <c r="H381" i="109"/>
  <c r="H382" i="109"/>
  <c r="H383" i="109"/>
  <c r="H384" i="109"/>
  <c r="H385" i="109"/>
  <c r="H386" i="109"/>
  <c r="H387" i="109"/>
  <c r="H388" i="109"/>
  <c r="H389" i="109"/>
  <c r="H390" i="109"/>
  <c r="H391" i="109"/>
  <c r="H392" i="109"/>
  <c r="H393" i="109"/>
  <c r="H394" i="109"/>
  <c r="H395" i="109"/>
  <c r="H396" i="109"/>
  <c r="H397" i="109"/>
  <c r="H398" i="109"/>
  <c r="H399" i="109"/>
  <c r="H400" i="109"/>
  <c r="H401" i="109"/>
  <c r="H402" i="109"/>
  <c r="H403" i="109"/>
  <c r="H404" i="109"/>
  <c r="H405" i="109"/>
  <c r="H406" i="109"/>
  <c r="H407" i="109"/>
  <c r="H408" i="109"/>
  <c r="H409" i="109"/>
  <c r="H410" i="109"/>
  <c r="H411" i="109"/>
  <c r="H412" i="109"/>
  <c r="H413" i="109"/>
  <c r="H414" i="109"/>
  <c r="H415" i="109"/>
  <c r="H416" i="109"/>
  <c r="H417" i="109"/>
  <c r="H418" i="109"/>
  <c r="H419" i="109"/>
  <c r="H420" i="109"/>
  <c r="H421" i="109"/>
  <c r="H422" i="109"/>
  <c r="H423" i="109"/>
  <c r="H424" i="109"/>
  <c r="H425" i="109"/>
  <c r="H426" i="109"/>
  <c r="H427" i="109"/>
  <c r="H428" i="109"/>
  <c r="H429" i="109"/>
  <c r="H430" i="109"/>
  <c r="H431" i="109"/>
  <c r="H432" i="109"/>
  <c r="H433" i="109"/>
  <c r="H434" i="109"/>
  <c r="H435" i="109"/>
  <c r="H436" i="109"/>
  <c r="H437" i="109"/>
  <c r="H438" i="109"/>
  <c r="H439" i="109"/>
  <c r="H440" i="109"/>
  <c r="H441" i="109"/>
  <c r="H442" i="109"/>
  <c r="H443" i="109"/>
  <c r="H444" i="109"/>
  <c r="H445" i="109"/>
  <c r="H446" i="109"/>
  <c r="H447" i="109"/>
  <c r="H448" i="109"/>
  <c r="H449" i="109"/>
  <c r="H450" i="109"/>
  <c r="H451" i="109"/>
  <c r="H452" i="109"/>
  <c r="H453" i="109"/>
  <c r="H454" i="109"/>
  <c r="H455" i="109"/>
  <c r="H456" i="109"/>
  <c r="H457" i="109"/>
  <c r="H458" i="109"/>
  <c r="H459" i="109"/>
  <c r="H460" i="109"/>
  <c r="H461" i="109"/>
  <c r="H462" i="109"/>
  <c r="H463" i="109"/>
  <c r="H464" i="109"/>
  <c r="H465" i="109"/>
  <c r="H466" i="109"/>
  <c r="H467" i="109"/>
  <c r="H468" i="109"/>
  <c r="H469" i="109"/>
  <c r="H470" i="109"/>
  <c r="H471" i="109"/>
  <c r="H472" i="109"/>
  <c r="H473" i="109"/>
  <c r="H474" i="109"/>
  <c r="H475" i="109"/>
  <c r="H476" i="109"/>
  <c r="H477" i="109"/>
  <c r="H478" i="109"/>
  <c r="H479" i="109"/>
  <c r="H480" i="109"/>
  <c r="H481" i="109"/>
  <c r="H482" i="109"/>
  <c r="H483" i="109"/>
  <c r="H484" i="109"/>
  <c r="H485" i="109"/>
  <c r="H486" i="109"/>
  <c r="H487" i="109"/>
  <c r="H488" i="109"/>
  <c r="H489" i="109"/>
  <c r="H490" i="109"/>
  <c r="H491" i="109"/>
  <c r="H492" i="109"/>
  <c r="H493" i="109"/>
  <c r="H494" i="109"/>
  <c r="H495" i="109"/>
  <c r="H496" i="109"/>
  <c r="H497" i="109"/>
  <c r="H498" i="109"/>
  <c r="H499" i="109"/>
  <c r="H500" i="109"/>
  <c r="H501" i="109"/>
  <c r="H502" i="109"/>
  <c r="H503" i="109"/>
  <c r="H504" i="109"/>
  <c r="H505" i="109"/>
  <c r="H506" i="109"/>
  <c r="H507" i="109"/>
  <c r="H508" i="109"/>
  <c r="H509" i="109"/>
  <c r="H510" i="109"/>
  <c r="H511" i="109"/>
  <c r="H512" i="109"/>
  <c r="H513" i="109"/>
  <c r="H514" i="109"/>
  <c r="H515" i="109"/>
  <c r="H516" i="109"/>
  <c r="H517" i="109"/>
  <c r="H518" i="109"/>
  <c r="H519" i="109"/>
  <c r="H520" i="109"/>
  <c r="H521" i="109"/>
  <c r="H522" i="109"/>
  <c r="H523" i="109"/>
  <c r="H524" i="109"/>
  <c r="H525" i="109"/>
  <c r="H526" i="109"/>
  <c r="H527" i="109"/>
  <c r="H528" i="109"/>
  <c r="H529" i="109"/>
  <c r="H530" i="109"/>
  <c r="H531" i="109"/>
  <c r="H532" i="109"/>
  <c r="H533" i="109"/>
  <c r="H534" i="109"/>
  <c r="H535" i="109"/>
  <c r="H536" i="109"/>
  <c r="H537" i="109"/>
  <c r="H538" i="109"/>
  <c r="H539" i="109"/>
  <c r="H540" i="109"/>
  <c r="H541" i="109"/>
  <c r="H542" i="109"/>
  <c r="H543" i="109"/>
  <c r="H544" i="109"/>
  <c r="H545" i="109"/>
  <c r="H546" i="109"/>
  <c r="H547" i="109"/>
  <c r="H548" i="109"/>
  <c r="H549" i="109"/>
  <c r="H550" i="109"/>
  <c r="H551" i="109"/>
  <c r="H552" i="109"/>
  <c r="H553" i="109"/>
  <c r="H554" i="109"/>
  <c r="H555" i="109"/>
  <c r="H556" i="109"/>
  <c r="H557" i="109"/>
  <c r="H558" i="109"/>
  <c r="H559" i="109"/>
  <c r="H560" i="109"/>
  <c r="H4" i="109"/>
  <c r="AF197" i="1" l="1"/>
  <c r="AF199" i="1" s="1"/>
  <c r="A124" i="74"/>
  <c r="A125" i="74" s="1"/>
  <c r="A126" i="74" s="1"/>
  <c r="A127" i="74" s="1"/>
  <c r="A128" i="74" s="1"/>
  <c r="A129" i="74" s="1"/>
  <c r="A130" i="74" s="1"/>
  <c r="A131" i="74" s="1"/>
  <c r="A132" i="74" s="1"/>
  <c r="A133" i="74" s="1"/>
  <c r="A134" i="74" s="1"/>
  <c r="A135" i="74" s="1"/>
  <c r="A136" i="74" s="1"/>
  <c r="A137" i="74" s="1"/>
  <c r="A138" i="74" s="1"/>
  <c r="A139" i="74" s="1"/>
  <c r="A140" i="74" s="1"/>
  <c r="A141" i="74" s="1"/>
  <c r="A142" i="74" s="1"/>
  <c r="A143" i="74" s="1"/>
  <c r="A144" i="74" s="1"/>
  <c r="A145" i="74" s="1"/>
  <c r="A146" i="74" s="1"/>
  <c r="A147" i="74" s="1"/>
  <c r="A148" i="74" s="1"/>
  <c r="A149" i="74" s="1"/>
  <c r="A150" i="74" s="1"/>
  <c r="A151" i="74" s="1"/>
  <c r="A152" i="74" s="1"/>
  <c r="A153" i="74" s="1"/>
  <c r="A154" i="74" s="1"/>
  <c r="A155" i="74" s="1"/>
  <c r="A156" i="74" s="1"/>
  <c r="A157" i="74" s="1"/>
  <c r="A158" i="74" s="1"/>
  <c r="A159" i="74" s="1"/>
  <c r="A160" i="74" s="1"/>
  <c r="A161" i="74" s="1"/>
  <c r="A162" i="74" s="1"/>
  <c r="A163" i="74" s="1"/>
  <c r="A164" i="74" s="1"/>
  <c r="A165" i="74" s="1"/>
  <c r="A166" i="74" s="1"/>
  <c r="F126" i="74"/>
  <c r="F124" i="74"/>
  <c r="I298" i="118" s="1"/>
  <c r="AF130" i="1" l="1"/>
  <c r="L130" i="1"/>
  <c r="AX31" i="115" l="1"/>
  <c r="AF187" i="1"/>
  <c r="AF186" i="1"/>
  <c r="S30" i="88"/>
  <c r="W61" i="14"/>
  <c r="O61" i="14"/>
  <c r="D61" i="14"/>
  <c r="W169" i="1"/>
  <c r="N169" i="1"/>
  <c r="J23" i="126"/>
  <c r="K23" i="126"/>
  <c r="J12" i="126"/>
  <c r="L11" i="126"/>
  <c r="O7" i="126"/>
  <c r="O8" i="126"/>
  <c r="O9" i="126"/>
  <c r="O10" i="126"/>
  <c r="O11" i="126"/>
  <c r="O6" i="126"/>
  <c r="M6" i="126"/>
  <c r="E6" i="126"/>
  <c r="J11" i="126"/>
  <c r="E11" i="126"/>
  <c r="AY15" i="115" l="1"/>
  <c r="T24" i="115"/>
  <c r="W165" i="1"/>
  <c r="W24" i="115"/>
  <c r="I28" i="126"/>
  <c r="I33" i="126" s="1"/>
  <c r="G28" i="126"/>
  <c r="F28" i="126"/>
  <c r="E28" i="126"/>
  <c r="G29" i="126"/>
  <c r="G33" i="126" s="1"/>
  <c r="F29" i="126"/>
  <c r="E29" i="126"/>
  <c r="I30" i="126"/>
  <c r="O30" i="126" s="1"/>
  <c r="G30" i="126"/>
  <c r="I31" i="126"/>
  <c r="G31" i="126"/>
  <c r="F31" i="126"/>
  <c r="E31" i="126"/>
  <c r="O31" i="126"/>
  <c r="I32" i="126"/>
  <c r="G32" i="126"/>
  <c r="F32" i="126"/>
  <c r="E32" i="126"/>
  <c r="O32" i="126" s="1"/>
  <c r="H33" i="126"/>
  <c r="K33" i="126"/>
  <c r="L33" i="126"/>
  <c r="M33" i="126"/>
  <c r="N33" i="126"/>
  <c r="D33" i="126"/>
  <c r="O27" i="126"/>
  <c r="Q14" i="126"/>
  <c r="P12" i="126"/>
  <c r="F18" i="126"/>
  <c r="O18" i="126" s="1"/>
  <c r="O15" i="126"/>
  <c r="O16" i="126"/>
  <c r="O17" i="126"/>
  <c r="O19" i="126"/>
  <c r="O20" i="126"/>
  <c r="E21" i="126"/>
  <c r="G21" i="126"/>
  <c r="G23" i="126" s="1"/>
  <c r="H21" i="126"/>
  <c r="H23" i="126" s="1"/>
  <c r="I21" i="126"/>
  <c r="I23" i="126" s="1"/>
  <c r="K21" i="126"/>
  <c r="L21" i="126"/>
  <c r="L23" i="126" s="1"/>
  <c r="M21" i="126"/>
  <c r="N21" i="126"/>
  <c r="N23" i="126" s="1"/>
  <c r="D21" i="126"/>
  <c r="E12" i="126"/>
  <c r="E23" i="126" s="1"/>
  <c r="F12" i="126"/>
  <c r="G12" i="126"/>
  <c r="H12" i="126"/>
  <c r="I12" i="126"/>
  <c r="K12" i="126"/>
  <c r="L12" i="126"/>
  <c r="M12" i="126"/>
  <c r="N12" i="126"/>
  <c r="O12" i="126"/>
  <c r="D12" i="126"/>
  <c r="AC18" i="126"/>
  <c r="P50" i="1"/>
  <c r="N50" i="1"/>
  <c r="AV9" i="76"/>
  <c r="AF24" i="76"/>
  <c r="AE24" i="76"/>
  <c r="AD24" i="76"/>
  <c r="M23" i="126" l="1"/>
  <c r="D23" i="126"/>
  <c r="O29" i="126"/>
  <c r="F33" i="126"/>
  <c r="O28" i="126"/>
  <c r="E33" i="126"/>
  <c r="J165" i="1" s="1"/>
  <c r="O33" i="126"/>
  <c r="O21" i="126"/>
  <c r="F21" i="126"/>
  <c r="F23" i="126" s="1"/>
  <c r="D169" i="1" s="1"/>
  <c r="AB24" i="76"/>
  <c r="Y24" i="76"/>
  <c r="V171" i="1"/>
  <c r="AV16" i="115" s="1"/>
  <c r="AV23" i="115"/>
  <c r="AL24" i="115"/>
  <c r="AJ24" i="115"/>
  <c r="AH24" i="115"/>
  <c r="AC24" i="115"/>
  <c r="Z24" i="115"/>
  <c r="Z23" i="115"/>
  <c r="Y23" i="115"/>
  <c r="X23" i="115"/>
  <c r="W23" i="115"/>
  <c r="W8" i="115"/>
  <c r="P13" i="126" l="1"/>
  <c r="Q15" i="126" s="1"/>
  <c r="O23" i="126"/>
  <c r="V24" i="115"/>
  <c r="V8" i="115"/>
  <c r="U24" i="115"/>
  <c r="U8" i="115"/>
  <c r="T8" i="115"/>
  <c r="S24" i="115"/>
  <c r="S8" i="115"/>
  <c r="W175" i="1"/>
  <c r="D168" i="1"/>
  <c r="D167" i="1"/>
  <c r="W166" i="1"/>
  <c r="N166" i="1"/>
  <c r="D166" i="1"/>
  <c r="N165" i="1"/>
  <c r="S165" i="1"/>
  <c r="U165" i="1"/>
  <c r="O165" i="1"/>
  <c r="P165" i="1"/>
  <c r="T165" i="1"/>
  <c r="AV21" i="78" l="1"/>
  <c r="AN24" i="78" l="1"/>
  <c r="AM24" i="78"/>
  <c r="AL24" i="78"/>
  <c r="AK24" i="78"/>
  <c r="AJ24" i="78"/>
  <c r="AH24" i="78"/>
  <c r="AG24" i="78"/>
  <c r="AF24" i="78"/>
  <c r="AE24" i="78"/>
  <c r="AD24" i="78"/>
  <c r="AC24" i="78"/>
  <c r="AB24" i="78"/>
  <c r="AA24" i="78"/>
  <c r="Z24" i="78"/>
  <c r="Y24" i="78"/>
  <c r="Y10" i="78"/>
  <c r="X10" i="78"/>
  <c r="X24" i="78"/>
  <c r="W24" i="78"/>
  <c r="W8" i="78"/>
  <c r="V24" i="78"/>
  <c r="V8" i="78"/>
  <c r="U24" i="78"/>
  <c r="U8" i="78"/>
  <c r="T24" i="78"/>
  <c r="T8" i="78"/>
  <c r="S8" i="78"/>
  <c r="N112" i="1"/>
  <c r="W112" i="1"/>
  <c r="D112" i="1"/>
  <c r="X112" i="1"/>
  <c r="Z112" i="1"/>
  <c r="W111" i="1"/>
  <c r="N111" i="1"/>
  <c r="D111" i="1"/>
  <c r="W108" i="1"/>
  <c r="N108" i="1"/>
  <c r="J108" i="1"/>
  <c r="D110" i="1" l="1"/>
  <c r="Q109" i="1"/>
  <c r="N109" i="1"/>
  <c r="L109" i="1"/>
  <c r="D109" i="1"/>
  <c r="AQ24" i="95"/>
  <c r="AN24" i="95"/>
  <c r="AL24" i="95"/>
  <c r="AK24" i="95"/>
  <c r="AJ24" i="95"/>
  <c r="AB24" i="95"/>
  <c r="W17" i="95"/>
  <c r="W71" i="1"/>
  <c r="D71" i="1"/>
  <c r="N70" i="1"/>
  <c r="W70" i="1"/>
  <c r="K70" i="1"/>
  <c r="F70" i="1"/>
  <c r="G70" i="1"/>
  <c r="I70" i="1"/>
  <c r="AR28" i="76"/>
  <c r="AP28" i="76"/>
  <c r="AP24" i="76"/>
  <c r="AO24" i="76"/>
  <c r="AN24" i="76"/>
  <c r="AM24" i="76"/>
  <c r="AL24" i="76"/>
  <c r="AK24" i="76"/>
  <c r="AJ24" i="76"/>
  <c r="AI24" i="76"/>
  <c r="AH24" i="76"/>
  <c r="AG24" i="76"/>
  <c r="Z24" i="76"/>
  <c r="X24" i="76"/>
  <c r="W24" i="76"/>
  <c r="V24" i="76"/>
  <c r="U24" i="76"/>
  <c r="T10" i="76"/>
  <c r="T24" i="76"/>
  <c r="Z52" i="1"/>
  <c r="W52" i="1"/>
  <c r="D52" i="1"/>
  <c r="Z54" i="1"/>
  <c r="X54" i="1"/>
  <c r="D54" i="1"/>
  <c r="N53" i="1"/>
  <c r="L53" i="1"/>
  <c r="W51" i="1"/>
  <c r="P51" i="1"/>
  <c r="N51" i="1"/>
  <c r="D51" i="1"/>
  <c r="W50" i="1"/>
  <c r="J50" i="1"/>
  <c r="AV10" i="63"/>
  <c r="AV9" i="63"/>
  <c r="AV20" i="63"/>
  <c r="N14" i="1"/>
  <c r="H109" i="14"/>
  <c r="N109" i="14"/>
  <c r="AQ28" i="63"/>
  <c r="AQ22" i="63"/>
  <c r="AQ24" i="63"/>
  <c r="AP28" i="63"/>
  <c r="AO28" i="63"/>
  <c r="AO24" i="63"/>
  <c r="AM22" i="63"/>
  <c r="AL24" i="63"/>
  <c r="AK24" i="63"/>
  <c r="AJ22" i="63"/>
  <c r="AJ24" i="63"/>
  <c r="AI24" i="63"/>
  <c r="AG24" i="63"/>
  <c r="AG22" i="63"/>
  <c r="AF22" i="63"/>
  <c r="AF24" i="63"/>
  <c r="AE22" i="63"/>
  <c r="AE24" i="63"/>
  <c r="AC24" i="63"/>
  <c r="AA24" i="63"/>
  <c r="Z24" i="63"/>
  <c r="X24" i="63"/>
  <c r="W24" i="63"/>
  <c r="W8" i="63"/>
  <c r="W9" i="63"/>
  <c r="U10" i="63"/>
  <c r="U8" i="63"/>
  <c r="U11" i="63" s="1"/>
  <c r="V24" i="63"/>
  <c r="V11" i="63"/>
  <c r="V10" i="63"/>
  <c r="V8" i="63"/>
  <c r="T24" i="63"/>
  <c r="T8" i="63"/>
  <c r="S24" i="63"/>
  <c r="S8" i="63"/>
  <c r="M131" i="1"/>
  <c r="M130" i="1"/>
  <c r="M129" i="1"/>
  <c r="M128" i="1"/>
  <c r="M127" i="1"/>
  <c r="T17" i="1"/>
  <c r="E88" i="14" l="1"/>
  <c r="J118" i="14"/>
  <c r="J70" i="14"/>
  <c r="I70" i="14"/>
  <c r="E70" i="14"/>
  <c r="D70" i="14"/>
  <c r="M71" i="14"/>
  <c r="I71" i="14"/>
  <c r="E71" i="14"/>
  <c r="J73" i="14"/>
  <c r="I73" i="14"/>
  <c r="J74" i="14"/>
  <c r="H74" i="14"/>
  <c r="I74" i="14"/>
  <c r="D74" i="14"/>
  <c r="E74" i="14"/>
  <c r="P61" i="14"/>
  <c r="E61" i="14"/>
  <c r="J62" i="14"/>
  <c r="H62" i="14"/>
  <c r="I64" i="14"/>
  <c r="D64" i="14"/>
  <c r="I65" i="14"/>
  <c r="H65" i="14"/>
  <c r="L66" i="14"/>
  <c r="J66" i="14"/>
  <c r="H66" i="14"/>
  <c r="D66" i="14"/>
  <c r="E66" i="14"/>
  <c r="W81" i="14"/>
  <c r="J81" i="14"/>
  <c r="F81" i="14"/>
  <c r="I79" i="14"/>
  <c r="D79" i="14"/>
  <c r="C139" i="14"/>
  <c r="AK10" i="14"/>
  <c r="AJ10" i="14"/>
  <c r="AI10" i="14"/>
  <c r="AB9" i="14"/>
  <c r="T8" i="14"/>
  <c r="L7" i="14"/>
  <c r="D6" i="14"/>
  <c r="C6" i="14"/>
  <c r="B6" i="14"/>
  <c r="AS25" i="113"/>
  <c r="AS28" i="113"/>
  <c r="AQ28" i="113"/>
  <c r="AQ25" i="113"/>
  <c r="AQ24" i="113"/>
  <c r="AP25" i="113"/>
  <c r="AO24" i="113"/>
  <c r="AK24" i="113"/>
  <c r="AJ24" i="113"/>
  <c r="AI24" i="113"/>
  <c r="AH24" i="113"/>
  <c r="AG24" i="113"/>
  <c r="AF24" i="113"/>
  <c r="AE24" i="113"/>
  <c r="AB24" i="113"/>
  <c r="Z24" i="113"/>
  <c r="Y24" i="113"/>
  <c r="X24" i="113"/>
  <c r="W8" i="113"/>
  <c r="V8" i="113"/>
  <c r="U24" i="113"/>
  <c r="U8" i="113"/>
  <c r="T24" i="113"/>
  <c r="T8" i="113"/>
  <c r="S24" i="113"/>
  <c r="S8" i="113"/>
  <c r="W150" i="1"/>
  <c r="D150" i="1"/>
  <c r="N149" i="1"/>
  <c r="K149" i="1"/>
  <c r="D148" i="1"/>
  <c r="W147" i="1" l="1"/>
  <c r="N147" i="1"/>
  <c r="D147" i="1"/>
  <c r="Q146" i="1"/>
  <c r="R146" i="1"/>
  <c r="W146" i="1"/>
  <c r="N146" i="1"/>
  <c r="J146" i="1"/>
  <c r="W15" i="81"/>
  <c r="AU22" i="93" l="1"/>
  <c r="AU24" i="93"/>
  <c r="AO25" i="93"/>
  <c r="AO24" i="93"/>
  <c r="AO22" i="93"/>
  <c r="AS28" i="93"/>
  <c r="AR28" i="93"/>
  <c r="AR24" i="93"/>
  <c r="AQ28" i="93"/>
  <c r="AP25" i="93"/>
  <c r="AL22" i="93"/>
  <c r="AJ24" i="93"/>
  <c r="AI22" i="93"/>
  <c r="AH24" i="93"/>
  <c r="AG22" i="93"/>
  <c r="AG24" i="93"/>
  <c r="AF22" i="93"/>
  <c r="AF24" i="93"/>
  <c r="AE24" i="93"/>
  <c r="AD24" i="93"/>
  <c r="AC22" i="93"/>
  <c r="AB24" i="93"/>
  <c r="B25" i="91"/>
  <c r="W33" i="1"/>
  <c r="Z33" i="1"/>
  <c r="D33" i="1"/>
  <c r="W32" i="1"/>
  <c r="N32" i="1"/>
  <c r="I32" i="1"/>
  <c r="K32" i="1"/>
  <c r="H32" i="1"/>
  <c r="AS28" i="77"/>
  <c r="AR28" i="77"/>
  <c r="AQ28" i="77"/>
  <c r="AP28" i="77"/>
  <c r="AM24" i="77"/>
  <c r="AJ24" i="77"/>
  <c r="AH24" i="77"/>
  <c r="AF24" i="77"/>
  <c r="AE24" i="77"/>
  <c r="AA24" i="77"/>
  <c r="Z24" i="77"/>
  <c r="Y24" i="77"/>
  <c r="X24" i="77"/>
  <c r="W24" i="77"/>
  <c r="V24" i="77"/>
  <c r="U24" i="77"/>
  <c r="T24" i="77"/>
  <c r="Z93" i="1"/>
  <c r="X93" i="1"/>
  <c r="D93" i="1"/>
  <c r="N92" i="1"/>
  <c r="L92" i="1"/>
  <c r="D91" i="1"/>
  <c r="N90" i="1"/>
  <c r="W90" i="1"/>
  <c r="D90" i="1"/>
  <c r="W89" i="1"/>
  <c r="R89" i="1"/>
  <c r="Q89" i="1"/>
  <c r="N89" i="1"/>
  <c r="J89" i="1"/>
  <c r="DN21" i="122"/>
  <c r="DN9" i="122"/>
  <c r="DN8" i="122"/>
  <c r="DN5" i="122"/>
  <c r="DN20" i="122"/>
  <c r="DN11" i="122"/>
  <c r="F57" i="125"/>
  <c r="B7" i="125"/>
  <c r="B8" i="125" s="1"/>
  <c r="B9" i="125" s="1"/>
  <c r="B10" i="125" s="1"/>
  <c r="B11" i="125" s="1"/>
  <c r="A7" i="125"/>
  <c r="A8" i="125" s="1"/>
  <c r="A9" i="125" s="1"/>
  <c r="A10" i="125" s="1"/>
  <c r="A11" i="125" s="1"/>
  <c r="F3" i="125"/>
  <c r="B7" i="124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B32" i="124" s="1"/>
  <c r="B33" i="124" s="1"/>
  <c r="B34" i="124" s="1"/>
  <c r="B35" i="124" s="1"/>
  <c r="B36" i="124" s="1"/>
  <c r="B37" i="124" s="1"/>
  <c r="B38" i="124" s="1"/>
  <c r="B39" i="124" s="1"/>
  <c r="B40" i="124" s="1"/>
  <c r="B41" i="124" s="1"/>
  <c r="B42" i="124" s="1"/>
  <c r="B43" i="124" s="1"/>
  <c r="B44" i="124" s="1"/>
  <c r="B45" i="124" s="1"/>
  <c r="B46" i="124" s="1"/>
  <c r="B47" i="124" s="1"/>
  <c r="B48" i="124" s="1"/>
  <c r="B49" i="124" s="1"/>
  <c r="B50" i="124" s="1"/>
  <c r="B51" i="124" s="1"/>
  <c r="B52" i="124" s="1"/>
  <c r="B53" i="124" s="1"/>
  <c r="B54" i="124" s="1"/>
  <c r="B55" i="124" s="1"/>
  <c r="B56" i="124" s="1"/>
  <c r="B57" i="124" s="1"/>
  <c r="B58" i="124" s="1"/>
  <c r="B59" i="124" s="1"/>
  <c r="B60" i="124" s="1"/>
  <c r="B61" i="124" s="1"/>
  <c r="B62" i="124" s="1"/>
  <c r="B63" i="124" s="1"/>
  <c r="B64" i="124" s="1"/>
  <c r="B65" i="124" s="1"/>
  <c r="B66" i="124" s="1"/>
  <c r="B67" i="124" s="1"/>
  <c r="B68" i="124" s="1"/>
  <c r="B69" i="124" s="1"/>
  <c r="B70" i="124" s="1"/>
  <c r="B71" i="124" s="1"/>
  <c r="B72" i="124" s="1"/>
  <c r="B73" i="124" s="1"/>
  <c r="B74" i="124" s="1"/>
  <c r="B75" i="124" s="1"/>
  <c r="B76" i="124" s="1"/>
  <c r="B77" i="124" s="1"/>
  <c r="B78" i="124" s="1"/>
  <c r="B79" i="124" s="1"/>
  <c r="B80" i="124" s="1"/>
  <c r="B81" i="124" s="1"/>
  <c r="B82" i="124" s="1"/>
  <c r="B83" i="124" s="1"/>
  <c r="B84" i="124" s="1"/>
  <c r="B85" i="124" s="1"/>
  <c r="B86" i="124" s="1"/>
  <c r="B87" i="124" s="1"/>
  <c r="B88" i="124" s="1"/>
  <c r="B89" i="124" s="1"/>
  <c r="J16" i="124"/>
  <c r="J15" i="124"/>
  <c r="J14" i="124"/>
  <c r="J13" i="124"/>
  <c r="J12" i="124"/>
  <c r="J11" i="124"/>
  <c r="J8" i="124"/>
  <c r="J7" i="124"/>
  <c r="A7" i="124"/>
  <c r="A8" i="124" s="1"/>
  <c r="A9" i="124" s="1"/>
  <c r="A10" i="124" s="1"/>
  <c r="A11" i="124" s="1"/>
  <c r="A12" i="124" s="1"/>
  <c r="A13" i="124" s="1"/>
  <c r="A14" i="124" s="1"/>
  <c r="A15" i="124" s="1"/>
  <c r="A16" i="124" s="1"/>
  <c r="A17" i="124" s="1"/>
  <c r="A18" i="124" s="1"/>
  <c r="A19" i="124" s="1"/>
  <c r="A20" i="124" s="1"/>
  <c r="A21" i="124" s="1"/>
  <c r="A22" i="124" s="1"/>
  <c r="A23" i="124" s="1"/>
  <c r="A24" i="124" s="1"/>
  <c r="A25" i="124" s="1"/>
  <c r="A26" i="124" s="1"/>
  <c r="A27" i="124" s="1"/>
  <c r="A28" i="124" s="1"/>
  <c r="A29" i="124" s="1"/>
  <c r="A30" i="124" s="1"/>
  <c r="A31" i="124" s="1"/>
  <c r="A32" i="124" s="1"/>
  <c r="A33" i="124" s="1"/>
  <c r="A34" i="124" s="1"/>
  <c r="A35" i="124" s="1"/>
  <c r="A36" i="124" s="1"/>
  <c r="A37" i="124" s="1"/>
  <c r="A38" i="124" s="1"/>
  <c r="A39" i="124" s="1"/>
  <c r="A40" i="124" s="1"/>
  <c r="A41" i="124" s="1"/>
  <c r="A42" i="124" s="1"/>
  <c r="A43" i="124" s="1"/>
  <c r="A44" i="124" s="1"/>
  <c r="A45" i="124" s="1"/>
  <c r="A46" i="124" s="1"/>
  <c r="A47" i="124" s="1"/>
  <c r="A48" i="124" s="1"/>
  <c r="A49" i="124" s="1"/>
  <c r="A50" i="124" s="1"/>
  <c r="A51" i="124" s="1"/>
  <c r="A52" i="124" s="1"/>
  <c r="A53" i="124" s="1"/>
  <c r="A54" i="124" s="1"/>
  <c r="A55" i="124" s="1"/>
  <c r="A56" i="124" s="1"/>
  <c r="A57" i="124" s="1"/>
  <c r="A58" i="124" s="1"/>
  <c r="A59" i="124" s="1"/>
  <c r="A60" i="124" s="1"/>
  <c r="A61" i="124" s="1"/>
  <c r="A62" i="124" s="1"/>
  <c r="A63" i="124" s="1"/>
  <c r="A64" i="124" s="1"/>
  <c r="A65" i="124" s="1"/>
  <c r="A66" i="124" s="1"/>
  <c r="A67" i="124" s="1"/>
  <c r="A68" i="124" s="1"/>
  <c r="A69" i="124" s="1"/>
  <c r="A70" i="124" s="1"/>
  <c r="A71" i="124" s="1"/>
  <c r="A72" i="124" s="1"/>
  <c r="A73" i="124" s="1"/>
  <c r="A74" i="124" s="1"/>
  <c r="A75" i="124" s="1"/>
  <c r="A76" i="124" s="1"/>
  <c r="A77" i="124" s="1"/>
  <c r="A78" i="124" s="1"/>
  <c r="A79" i="124" s="1"/>
  <c r="A80" i="124" s="1"/>
  <c r="A81" i="124" s="1"/>
  <c r="A82" i="124" s="1"/>
  <c r="A83" i="124" s="1"/>
  <c r="A84" i="124" s="1"/>
  <c r="A85" i="124" s="1"/>
  <c r="A86" i="124" s="1"/>
  <c r="A87" i="124" s="1"/>
  <c r="A88" i="124" s="1"/>
  <c r="A89" i="124" s="1"/>
  <c r="J6" i="124"/>
  <c r="J20" i="124" s="1"/>
  <c r="J22" i="124" s="1"/>
  <c r="F3" i="124"/>
  <c r="J18" i="124" l="1"/>
  <c r="J17" i="124"/>
  <c r="Q333" i="80"/>
  <c r="E333" i="80"/>
  <c r="W11" i="63" l="1"/>
  <c r="AE151" i="1"/>
  <c r="V64" i="14"/>
  <c r="V61" i="14"/>
  <c r="T73" i="14"/>
  <c r="G272" i="80"/>
  <c r="G41" i="56"/>
  <c r="D40" i="117" l="1"/>
  <c r="C40" i="117"/>
  <c r="D39" i="117"/>
  <c r="C39" i="117"/>
  <c r="D38" i="117"/>
  <c r="C38" i="117"/>
  <c r="D37" i="117"/>
  <c r="C37" i="117"/>
  <c r="D36" i="117"/>
  <c r="C36" i="117"/>
  <c r="D35" i="117"/>
  <c r="C35" i="117"/>
  <c r="D34" i="117"/>
  <c r="C34" i="117"/>
  <c r="D33" i="117"/>
  <c r="C33" i="117"/>
  <c r="D32" i="117"/>
  <c r="C32" i="117"/>
  <c r="D31" i="117"/>
  <c r="C31" i="117"/>
  <c r="D30" i="117"/>
  <c r="C30" i="117"/>
  <c r="D29" i="117"/>
  <c r="C29" i="117"/>
  <c r="D28" i="117"/>
  <c r="C28" i="117"/>
  <c r="D27" i="117"/>
  <c r="C27" i="117"/>
  <c r="D26" i="117"/>
  <c r="C26" i="117"/>
  <c r="D25" i="117"/>
  <c r="C25" i="117"/>
  <c r="D24" i="117"/>
  <c r="C24" i="117"/>
  <c r="D23" i="117"/>
  <c r="C23" i="117"/>
  <c r="D22" i="117"/>
  <c r="C22" i="117"/>
  <c r="D21" i="117"/>
  <c r="C21" i="117"/>
  <c r="D20" i="117"/>
  <c r="C20" i="117"/>
  <c r="D19" i="117"/>
  <c r="C19" i="117"/>
  <c r="D18" i="117"/>
  <c r="C18" i="117"/>
  <c r="D17" i="117"/>
  <c r="C17" i="117"/>
  <c r="D16" i="117"/>
  <c r="C16" i="117"/>
  <c r="D15" i="117"/>
  <c r="C15" i="117"/>
  <c r="D14" i="117"/>
  <c r="C14" i="117"/>
  <c r="D13" i="117"/>
  <c r="C13" i="117"/>
  <c r="D12" i="117"/>
  <c r="C12" i="117"/>
  <c r="D11" i="117"/>
  <c r="C11" i="117"/>
  <c r="D10" i="117"/>
  <c r="C10" i="117"/>
  <c r="D40" i="111"/>
  <c r="C40" i="111"/>
  <c r="D39" i="111"/>
  <c r="C39" i="111"/>
  <c r="D38" i="111"/>
  <c r="C38" i="111"/>
  <c r="D37" i="111"/>
  <c r="C37" i="111"/>
  <c r="D36" i="111"/>
  <c r="C36" i="111"/>
  <c r="D35" i="111"/>
  <c r="C35" i="111"/>
  <c r="D34" i="111"/>
  <c r="C34" i="111"/>
  <c r="D33" i="111"/>
  <c r="C33" i="111"/>
  <c r="D32" i="111"/>
  <c r="C32" i="111"/>
  <c r="D31" i="111"/>
  <c r="C31" i="111"/>
  <c r="D30" i="111"/>
  <c r="C30" i="111"/>
  <c r="D29" i="111"/>
  <c r="C29" i="111"/>
  <c r="D28" i="111"/>
  <c r="C28" i="111"/>
  <c r="D27" i="111"/>
  <c r="C27" i="111"/>
  <c r="D26" i="111"/>
  <c r="C26" i="111"/>
  <c r="D25" i="111"/>
  <c r="C25" i="111"/>
  <c r="D24" i="111"/>
  <c r="C24" i="111"/>
  <c r="D23" i="111"/>
  <c r="C23" i="111"/>
  <c r="D22" i="111"/>
  <c r="C22" i="111"/>
  <c r="D21" i="111"/>
  <c r="C21" i="111"/>
  <c r="D20" i="111"/>
  <c r="C20" i="111"/>
  <c r="D19" i="111"/>
  <c r="C19" i="111"/>
  <c r="D18" i="111"/>
  <c r="C18" i="111"/>
  <c r="D17" i="111"/>
  <c r="C17" i="111"/>
  <c r="D16" i="111"/>
  <c r="C16" i="111"/>
  <c r="D15" i="111"/>
  <c r="C15" i="111"/>
  <c r="D14" i="111"/>
  <c r="C14" i="111"/>
  <c r="D13" i="111"/>
  <c r="C13" i="111"/>
  <c r="D12" i="111"/>
  <c r="C12" i="111"/>
  <c r="D11" i="111"/>
  <c r="C11" i="111"/>
  <c r="D10" i="111"/>
  <c r="C10" i="111"/>
  <c r="D40" i="60"/>
  <c r="C40" i="60"/>
  <c r="D39" i="60"/>
  <c r="C39" i="60"/>
  <c r="D38" i="60"/>
  <c r="C38" i="60"/>
  <c r="D37" i="60"/>
  <c r="C37" i="60"/>
  <c r="D36" i="60"/>
  <c r="C36" i="60"/>
  <c r="D35" i="60"/>
  <c r="C35" i="60"/>
  <c r="D34" i="60"/>
  <c r="C34" i="60"/>
  <c r="D33" i="60"/>
  <c r="C33" i="60"/>
  <c r="D32" i="60"/>
  <c r="C32" i="60"/>
  <c r="D31" i="60"/>
  <c r="C31" i="60"/>
  <c r="D30" i="60"/>
  <c r="C30" i="60"/>
  <c r="D29" i="60"/>
  <c r="C29" i="60"/>
  <c r="D28" i="60"/>
  <c r="C28" i="60"/>
  <c r="D27" i="60"/>
  <c r="C27" i="60"/>
  <c r="D26" i="60"/>
  <c r="C26" i="60"/>
  <c r="D25" i="60"/>
  <c r="C25" i="60"/>
  <c r="D24" i="60"/>
  <c r="C24" i="60"/>
  <c r="D23" i="60"/>
  <c r="C23" i="60"/>
  <c r="D22" i="60"/>
  <c r="C22" i="60"/>
  <c r="D21" i="60"/>
  <c r="C21" i="60"/>
  <c r="D20" i="60"/>
  <c r="C20" i="60"/>
  <c r="D19" i="60"/>
  <c r="C19" i="60"/>
  <c r="D18" i="60"/>
  <c r="C18" i="60"/>
  <c r="D17" i="60"/>
  <c r="C17" i="60"/>
  <c r="D16" i="60"/>
  <c r="C16" i="60"/>
  <c r="D15" i="60"/>
  <c r="C15" i="60"/>
  <c r="D14" i="60"/>
  <c r="C14" i="60"/>
  <c r="D13" i="60"/>
  <c r="C13" i="60"/>
  <c r="D12" i="60"/>
  <c r="C12" i="60"/>
  <c r="D11" i="60"/>
  <c r="C11" i="60"/>
  <c r="D10" i="60"/>
  <c r="C10" i="60"/>
  <c r="D40" i="59"/>
  <c r="C40" i="59"/>
  <c r="D39" i="59"/>
  <c r="C39" i="59"/>
  <c r="D38" i="59"/>
  <c r="C38" i="59"/>
  <c r="D37" i="59"/>
  <c r="C37" i="59"/>
  <c r="D36" i="59"/>
  <c r="C36" i="59"/>
  <c r="D35" i="59"/>
  <c r="C35" i="59"/>
  <c r="D34" i="59"/>
  <c r="C34" i="59"/>
  <c r="D33" i="59"/>
  <c r="C33" i="59"/>
  <c r="D32" i="59"/>
  <c r="C32" i="59"/>
  <c r="D31" i="59"/>
  <c r="C31" i="59"/>
  <c r="D30" i="59"/>
  <c r="C30" i="59"/>
  <c r="D29" i="59"/>
  <c r="C29" i="59"/>
  <c r="D28" i="59"/>
  <c r="C28" i="59"/>
  <c r="D27" i="59"/>
  <c r="C27" i="59"/>
  <c r="D26" i="59"/>
  <c r="C26" i="59"/>
  <c r="D25" i="59"/>
  <c r="C25" i="59"/>
  <c r="D24" i="59"/>
  <c r="C24" i="59"/>
  <c r="D23" i="59"/>
  <c r="C23" i="59"/>
  <c r="D22" i="59"/>
  <c r="C22" i="59"/>
  <c r="D21" i="59"/>
  <c r="C21" i="59"/>
  <c r="D20" i="59"/>
  <c r="C20" i="59"/>
  <c r="D19" i="59"/>
  <c r="C19" i="59"/>
  <c r="D18" i="59"/>
  <c r="C18" i="59"/>
  <c r="D17" i="59"/>
  <c r="C17" i="59"/>
  <c r="D16" i="59"/>
  <c r="C16" i="59"/>
  <c r="D15" i="59"/>
  <c r="C15" i="59"/>
  <c r="D14" i="59"/>
  <c r="C14" i="59"/>
  <c r="D13" i="59"/>
  <c r="C13" i="59"/>
  <c r="D12" i="59"/>
  <c r="C12" i="59"/>
  <c r="D11" i="59"/>
  <c r="C11" i="59"/>
  <c r="D10" i="59"/>
  <c r="C10" i="59"/>
  <c r="D40" i="58"/>
  <c r="C40" i="58"/>
  <c r="D39" i="58"/>
  <c r="C39" i="58"/>
  <c r="D38" i="58"/>
  <c r="C38" i="58"/>
  <c r="D37" i="58"/>
  <c r="C37" i="58"/>
  <c r="D36" i="58"/>
  <c r="C36" i="58"/>
  <c r="D35" i="58"/>
  <c r="C35" i="58"/>
  <c r="D34" i="58"/>
  <c r="C34" i="58"/>
  <c r="D33" i="58"/>
  <c r="C33" i="58"/>
  <c r="D32" i="58"/>
  <c r="C32" i="58"/>
  <c r="D31" i="58"/>
  <c r="C31" i="58"/>
  <c r="D30" i="58"/>
  <c r="C30" i="58"/>
  <c r="D29" i="58"/>
  <c r="C29" i="58"/>
  <c r="D28" i="58"/>
  <c r="C28" i="58"/>
  <c r="D27" i="58"/>
  <c r="C27" i="58"/>
  <c r="D26" i="58"/>
  <c r="C26" i="58"/>
  <c r="D25" i="58"/>
  <c r="C25" i="58"/>
  <c r="D24" i="58"/>
  <c r="C24" i="58"/>
  <c r="D23" i="58"/>
  <c r="C23" i="58"/>
  <c r="D22" i="58"/>
  <c r="C22" i="58"/>
  <c r="D21" i="58"/>
  <c r="C21" i="58"/>
  <c r="D20" i="58"/>
  <c r="C20" i="58"/>
  <c r="D19" i="58"/>
  <c r="C19" i="58"/>
  <c r="D18" i="58"/>
  <c r="C18" i="58"/>
  <c r="D17" i="58"/>
  <c r="C17" i="58"/>
  <c r="D16" i="58"/>
  <c r="C16" i="58"/>
  <c r="D15" i="58"/>
  <c r="C15" i="58"/>
  <c r="D14" i="58"/>
  <c r="C14" i="58"/>
  <c r="D13" i="58"/>
  <c r="C13" i="58"/>
  <c r="D12" i="58"/>
  <c r="C12" i="58"/>
  <c r="D11" i="58"/>
  <c r="C11" i="58"/>
  <c r="D10" i="58"/>
  <c r="C10" i="58"/>
  <c r="D40" i="57"/>
  <c r="C40" i="57"/>
  <c r="D39" i="57"/>
  <c r="C39" i="57"/>
  <c r="D38" i="57"/>
  <c r="C38" i="57"/>
  <c r="D37" i="57"/>
  <c r="C37" i="57"/>
  <c r="D36" i="57"/>
  <c r="C36" i="57"/>
  <c r="D35" i="57"/>
  <c r="C35" i="57"/>
  <c r="D34" i="57"/>
  <c r="C34" i="57"/>
  <c r="D33" i="57"/>
  <c r="C33" i="57"/>
  <c r="D32" i="57"/>
  <c r="C32" i="57"/>
  <c r="D31" i="57"/>
  <c r="C31" i="57"/>
  <c r="D30" i="57"/>
  <c r="C30" i="57"/>
  <c r="D29" i="57"/>
  <c r="C29" i="57"/>
  <c r="D28" i="57"/>
  <c r="C28" i="57"/>
  <c r="D27" i="57"/>
  <c r="C27" i="57"/>
  <c r="D26" i="57"/>
  <c r="C26" i="57"/>
  <c r="D25" i="57"/>
  <c r="C25" i="57"/>
  <c r="D24" i="57"/>
  <c r="C24" i="57"/>
  <c r="D23" i="57"/>
  <c r="C23" i="57"/>
  <c r="D22" i="57"/>
  <c r="C22" i="57"/>
  <c r="D21" i="57"/>
  <c r="C21" i="57"/>
  <c r="D20" i="57"/>
  <c r="C20" i="57"/>
  <c r="D19" i="57"/>
  <c r="C19" i="57"/>
  <c r="D18" i="57"/>
  <c r="C18" i="57"/>
  <c r="D17" i="57"/>
  <c r="C17" i="57"/>
  <c r="D16" i="57"/>
  <c r="C16" i="57"/>
  <c r="D15" i="57"/>
  <c r="C15" i="57"/>
  <c r="D14" i="57"/>
  <c r="C14" i="57"/>
  <c r="D13" i="57"/>
  <c r="C13" i="57"/>
  <c r="D12" i="57"/>
  <c r="C12" i="57"/>
  <c r="D11" i="57"/>
  <c r="C11" i="57"/>
  <c r="D10" i="57"/>
  <c r="C10" i="57"/>
  <c r="D40" i="92"/>
  <c r="C40" i="92"/>
  <c r="D39" i="92"/>
  <c r="C39" i="92"/>
  <c r="D38" i="92"/>
  <c r="C38" i="92"/>
  <c r="D37" i="92"/>
  <c r="C37" i="92"/>
  <c r="D36" i="92"/>
  <c r="C36" i="92"/>
  <c r="D35" i="92"/>
  <c r="C35" i="92"/>
  <c r="D34" i="92"/>
  <c r="C34" i="92"/>
  <c r="D33" i="92"/>
  <c r="C33" i="92"/>
  <c r="D32" i="92"/>
  <c r="C32" i="92"/>
  <c r="D31" i="92"/>
  <c r="C31" i="92"/>
  <c r="D30" i="92"/>
  <c r="C30" i="92"/>
  <c r="D29" i="92"/>
  <c r="C29" i="92"/>
  <c r="D28" i="92"/>
  <c r="C28" i="92"/>
  <c r="D27" i="92"/>
  <c r="C27" i="92"/>
  <c r="D26" i="92"/>
  <c r="C26" i="92"/>
  <c r="D25" i="92"/>
  <c r="C25" i="92"/>
  <c r="D24" i="92"/>
  <c r="C24" i="92"/>
  <c r="D23" i="92"/>
  <c r="C23" i="92"/>
  <c r="D22" i="92"/>
  <c r="C22" i="92"/>
  <c r="D21" i="92"/>
  <c r="C21" i="92"/>
  <c r="D20" i="92"/>
  <c r="C20" i="92"/>
  <c r="D19" i="92"/>
  <c r="C19" i="92"/>
  <c r="D18" i="92"/>
  <c r="C18" i="92"/>
  <c r="D17" i="92"/>
  <c r="C17" i="92"/>
  <c r="D16" i="92"/>
  <c r="C16" i="92"/>
  <c r="D15" i="92"/>
  <c r="C15" i="92"/>
  <c r="D14" i="92"/>
  <c r="C14" i="92"/>
  <c r="D13" i="92"/>
  <c r="C13" i="92"/>
  <c r="D12" i="92"/>
  <c r="C12" i="92"/>
  <c r="D11" i="92"/>
  <c r="C11" i="92"/>
  <c r="D10" i="92"/>
  <c r="C10" i="92"/>
  <c r="D40" i="56"/>
  <c r="C40" i="56"/>
  <c r="D39" i="56"/>
  <c r="C39" i="56"/>
  <c r="D38" i="56"/>
  <c r="C38" i="56"/>
  <c r="D37" i="56"/>
  <c r="C37" i="56"/>
  <c r="D36" i="56"/>
  <c r="C36" i="56"/>
  <c r="D35" i="56"/>
  <c r="C35" i="56"/>
  <c r="D34" i="56"/>
  <c r="C34" i="56"/>
  <c r="D33" i="56"/>
  <c r="C33" i="56"/>
  <c r="D32" i="56"/>
  <c r="C32" i="56"/>
  <c r="D31" i="56"/>
  <c r="C31" i="56"/>
  <c r="D30" i="56"/>
  <c r="C30" i="56"/>
  <c r="D29" i="56"/>
  <c r="C29" i="56"/>
  <c r="D28" i="56"/>
  <c r="C28" i="56"/>
  <c r="D27" i="56"/>
  <c r="C27" i="56"/>
  <c r="D26" i="56"/>
  <c r="C26" i="56"/>
  <c r="D25" i="56"/>
  <c r="C25" i="56"/>
  <c r="D24" i="56"/>
  <c r="C24" i="56"/>
  <c r="D23" i="56"/>
  <c r="C23" i="56"/>
  <c r="D22" i="56"/>
  <c r="C22" i="56"/>
  <c r="D21" i="56"/>
  <c r="C21" i="56"/>
  <c r="D20" i="56"/>
  <c r="C20" i="56"/>
  <c r="D19" i="56"/>
  <c r="C19" i="56"/>
  <c r="D18" i="56"/>
  <c r="C18" i="56"/>
  <c r="D17" i="56"/>
  <c r="C17" i="56"/>
  <c r="D16" i="56"/>
  <c r="C16" i="56"/>
  <c r="D15" i="56"/>
  <c r="C15" i="56"/>
  <c r="D14" i="56"/>
  <c r="C14" i="56"/>
  <c r="D13" i="56"/>
  <c r="C13" i="56"/>
  <c r="D12" i="56"/>
  <c r="C12" i="56"/>
  <c r="D11" i="56"/>
  <c r="C11" i="56"/>
  <c r="D10" i="56"/>
  <c r="C10" i="56"/>
  <c r="G27" i="117" l="1"/>
  <c r="G27" i="111" l="1"/>
  <c r="G27" i="56" l="1"/>
  <c r="G27" i="59" l="1"/>
  <c r="G27" i="58"/>
  <c r="G27" i="57"/>
  <c r="G27" i="60" l="1"/>
  <c r="G27" i="92"/>
  <c r="N22" i="81" l="1"/>
  <c r="J19" i="81" l="1"/>
  <c r="J18" i="81"/>
  <c r="F566" i="109" l="1"/>
  <c r="E84" i="60" l="1"/>
  <c r="AV10" i="78" l="1"/>
  <c r="F10" i="112" l="1"/>
  <c r="F11" i="112"/>
  <c r="D37" i="73"/>
  <c r="D30" i="73" l="1"/>
  <c r="D31" i="73"/>
  <c r="D35" i="73"/>
  <c r="C9" i="120"/>
  <c r="K5" i="120"/>
  <c r="CH21" i="69"/>
  <c r="E59" i="109" l="1"/>
  <c r="B81" i="74" l="1"/>
  <c r="F9" i="61"/>
  <c r="F10" i="61"/>
  <c r="F11" i="61"/>
  <c r="F12" i="61"/>
  <c r="F13" i="61"/>
  <c r="F14" i="61"/>
  <c r="F15" i="61"/>
  <c r="F16" i="61"/>
  <c r="F17" i="61"/>
  <c r="F8" i="61"/>
  <c r="F24" i="61"/>
  <c r="AV25" i="115" l="1"/>
  <c r="AD165" i="1" l="1"/>
  <c r="AS168" i="1"/>
  <c r="AQ168" i="1"/>
  <c r="AP168" i="1"/>
  <c r="AQ165" i="1"/>
  <c r="AP165" i="1"/>
  <c r="AR168" i="1"/>
  <c r="AP167" i="1"/>
  <c r="AQ167" i="1"/>
  <c r="AP166" i="1"/>
  <c r="AP164" i="1"/>
  <c r="AM165" i="1"/>
  <c r="AN164" i="1"/>
  <c r="AM164" i="1"/>
  <c r="AG63" i="1"/>
  <c r="AJ169" i="1"/>
  <c r="T181" i="1"/>
  <c r="T180" i="1"/>
  <c r="T179" i="1"/>
  <c r="T178" i="1"/>
  <c r="T177" i="1"/>
  <c r="T176" i="1"/>
  <c r="V17" i="1"/>
  <c r="S109" i="14"/>
  <c r="R13" i="1"/>
  <c r="W49" i="14"/>
  <c r="W48" i="14"/>
  <c r="W47" i="14"/>
  <c r="T45" i="14"/>
  <c r="T44" i="14"/>
  <c r="W95" i="14"/>
  <c r="X60" i="14"/>
  <c r="Y60" i="14" s="1"/>
  <c r="T70" i="14" l="1"/>
  <c r="T71" i="14"/>
  <c r="T72" i="14"/>
  <c r="T74" i="14"/>
  <c r="U43" i="56" l="1"/>
  <c r="G616" i="109"/>
  <c r="Z6" i="110" l="1"/>
  <c r="F347" i="80" l="1"/>
  <c r="Q346" i="80" l="1"/>
  <c r="B199" i="80" l="1"/>
  <c r="E308" i="80" l="1"/>
  <c r="BD38" i="88" l="1"/>
  <c r="BD42" i="88"/>
  <c r="BD44" i="88"/>
  <c r="BD53" i="88"/>
  <c r="AZ72" i="83" l="1"/>
  <c r="R14" i="81" l="1"/>
  <c r="F14" i="81"/>
  <c r="V8" i="81"/>
  <c r="N14" i="81"/>
  <c r="E46" i="60" l="1"/>
  <c r="E48" i="60"/>
  <c r="E44" i="60"/>
  <c r="BR21" i="122" l="1"/>
  <c r="BR21" i="69"/>
  <c r="F13" i="123" l="1"/>
  <c r="B9" i="123"/>
  <c r="G114" i="14"/>
  <c r="AV15" i="115" l="1"/>
  <c r="AU23" i="115"/>
  <c r="AF170" i="1" l="1"/>
  <c r="AF169" i="1"/>
  <c r="AF168" i="1"/>
  <c r="AF112" i="1" l="1"/>
  <c r="AF111" i="1"/>
  <c r="AF55" i="1" l="1"/>
  <c r="AF54" i="1"/>
  <c r="AF53" i="1"/>
  <c r="AF150" i="1" l="1"/>
  <c r="AF151" i="1"/>
  <c r="AF149" i="1"/>
  <c r="AF17" i="1" l="1"/>
  <c r="AF16" i="1"/>
  <c r="AF15" i="1" l="1"/>
  <c r="AV18" i="93" l="1"/>
  <c r="AU23" i="77" l="1"/>
  <c r="AV23" i="77" s="1"/>
  <c r="F8" i="81" l="1"/>
  <c r="AV10" i="77"/>
  <c r="AD93" i="1" l="1"/>
  <c r="AF94" i="1"/>
  <c r="AF93" i="1"/>
  <c r="AF92" i="1"/>
  <c r="M32" i="1" l="1"/>
  <c r="AA6" i="81" l="1"/>
  <c r="Z7" i="81"/>
  <c r="Z6" i="81"/>
  <c r="H110" i="80" l="1"/>
  <c r="G110" i="80"/>
  <c r="B300" i="80" l="1"/>
  <c r="AA24" i="88"/>
  <c r="AB24" i="88"/>
  <c r="AC24" i="88"/>
  <c r="AD24" i="88"/>
  <c r="AE24" i="88"/>
  <c r="AF24" i="88"/>
  <c r="AG24" i="88"/>
  <c r="AH24" i="88"/>
  <c r="AI24" i="88"/>
  <c r="AJ24" i="88"/>
  <c r="AK24" i="88"/>
  <c r="AL24" i="88"/>
  <c r="AM24" i="88"/>
  <c r="AN24" i="88"/>
  <c r="AO24" i="88"/>
  <c r="AP24" i="88"/>
  <c r="AQ24" i="88"/>
  <c r="AR24" i="88"/>
  <c r="AS24" i="88"/>
  <c r="AT24" i="88"/>
  <c r="AL12" i="88"/>
  <c r="AM12" i="88"/>
  <c r="AN12" i="88"/>
  <c r="AO12" i="88"/>
  <c r="AP12" i="88"/>
  <c r="AQ12" i="88"/>
  <c r="AR12" i="88"/>
  <c r="AS12" i="88"/>
  <c r="AT12" i="88"/>
  <c r="AL13" i="88"/>
  <c r="AM13" i="88"/>
  <c r="AN13" i="88"/>
  <c r="AO13" i="88"/>
  <c r="AP13" i="88"/>
  <c r="AQ13" i="88"/>
  <c r="AR13" i="88"/>
  <c r="AS13" i="88"/>
  <c r="AT13" i="88"/>
  <c r="AL14" i="88"/>
  <c r="AM14" i="88"/>
  <c r="AN14" i="88"/>
  <c r="AO14" i="88"/>
  <c r="AP14" i="88"/>
  <c r="AQ14" i="88"/>
  <c r="AR14" i="88"/>
  <c r="AS14" i="88"/>
  <c r="AT14" i="88"/>
  <c r="AL15" i="88"/>
  <c r="AM15" i="88"/>
  <c r="AN15" i="88"/>
  <c r="AO15" i="88"/>
  <c r="AP15" i="88"/>
  <c r="AQ15" i="88"/>
  <c r="AR15" i="88"/>
  <c r="AS15" i="88"/>
  <c r="AT15" i="88"/>
  <c r="AL16" i="88"/>
  <c r="AM16" i="88"/>
  <c r="AN16" i="88"/>
  <c r="AO16" i="88"/>
  <c r="AP16" i="88"/>
  <c r="AQ16" i="88"/>
  <c r="AR16" i="88"/>
  <c r="AS16" i="88"/>
  <c r="AT16" i="88"/>
  <c r="AL17" i="88"/>
  <c r="AM17" i="88"/>
  <c r="AN17" i="88"/>
  <c r="AO17" i="88"/>
  <c r="AP17" i="88"/>
  <c r="AQ17" i="88"/>
  <c r="AR17" i="88"/>
  <c r="AS17" i="88"/>
  <c r="AT17" i="88"/>
  <c r="AL18" i="88"/>
  <c r="AM18" i="88"/>
  <c r="AN18" i="88"/>
  <c r="AO18" i="88"/>
  <c r="AP18" i="88"/>
  <c r="AQ18" i="88"/>
  <c r="AR18" i="88"/>
  <c r="AS18" i="88"/>
  <c r="AT18" i="88"/>
  <c r="AL19" i="88"/>
  <c r="AM19" i="88"/>
  <c r="AN19" i="88"/>
  <c r="AO19" i="88"/>
  <c r="AP19" i="88"/>
  <c r="AQ19" i="88"/>
  <c r="AR19" i="88"/>
  <c r="AS19" i="88"/>
  <c r="AT19" i="88"/>
  <c r="AL20" i="88"/>
  <c r="AM20" i="88"/>
  <c r="AN20" i="88"/>
  <c r="AO20" i="88"/>
  <c r="AP20" i="88"/>
  <c r="AQ20" i="88"/>
  <c r="AR20" i="88"/>
  <c r="AS20" i="88"/>
  <c r="AT20" i="88"/>
  <c r="AL21" i="88"/>
  <c r="AM21" i="88"/>
  <c r="AN21" i="88"/>
  <c r="AO21" i="88"/>
  <c r="AP21" i="88"/>
  <c r="AQ21" i="88"/>
  <c r="AR21" i="88"/>
  <c r="AS21" i="88"/>
  <c r="AT21" i="88"/>
  <c r="AL22" i="88"/>
  <c r="AM22" i="88"/>
  <c r="AN22" i="88"/>
  <c r="AO22" i="88"/>
  <c r="AP22" i="88"/>
  <c r="AQ22" i="88"/>
  <c r="AR22" i="88"/>
  <c r="AS22" i="88"/>
  <c r="AT22" i="88"/>
  <c r="AL23" i="88"/>
  <c r="AM23" i="88"/>
  <c r="AN23" i="88"/>
  <c r="AO23" i="88"/>
  <c r="AP23" i="88"/>
  <c r="AQ23" i="88"/>
  <c r="AR23" i="88"/>
  <c r="AS23" i="88"/>
  <c r="AT23" i="88"/>
  <c r="AL25" i="88"/>
  <c r="AM25" i="88"/>
  <c r="AL26" i="88"/>
  <c r="AM26" i="88"/>
  <c r="AN26" i="88"/>
  <c r="AO26" i="88"/>
  <c r="AP26" i="88"/>
  <c r="AQ26" i="88"/>
  <c r="AR26" i="88"/>
  <c r="AS26" i="88"/>
  <c r="AT26" i="88"/>
  <c r="AL27" i="88"/>
  <c r="AM27" i="88"/>
  <c r="AN27" i="88"/>
  <c r="AO27" i="88"/>
  <c r="AP27" i="88"/>
  <c r="AQ27" i="88"/>
  <c r="AR27" i="88"/>
  <c r="AS27" i="88"/>
  <c r="AT27" i="88"/>
  <c r="AL28" i="88"/>
  <c r="AM28" i="88"/>
  <c r="AN28" i="88"/>
  <c r="AO28" i="88"/>
  <c r="AP28" i="88"/>
  <c r="AQ28" i="88"/>
  <c r="AR28" i="88"/>
  <c r="AS28" i="88"/>
  <c r="AT28" i="88"/>
  <c r="AL29" i="88"/>
  <c r="AM29" i="88"/>
  <c r="G300" i="80" l="1"/>
  <c r="D117" i="80" l="1"/>
  <c r="D119" i="80"/>
  <c r="D120" i="80"/>
  <c r="AX124" i="88" l="1"/>
  <c r="K105" i="80" l="1"/>
  <c r="CL21" i="69" l="1"/>
  <c r="V19" i="81"/>
  <c r="BJ9" i="69"/>
  <c r="BN9" i="69"/>
  <c r="F11" i="75"/>
  <c r="R19" i="81"/>
  <c r="R24" i="81"/>
  <c r="S24" i="81" s="1"/>
  <c r="N21" i="81"/>
  <c r="B10" i="119" l="1"/>
  <c r="B10" i="74" l="1"/>
  <c r="AF23" i="88" l="1"/>
  <c r="AE23" i="88"/>
  <c r="AD23" i="88"/>
  <c r="AC23" i="88"/>
  <c r="AF22" i="88"/>
  <c r="AE22" i="88"/>
  <c r="AD22" i="88"/>
  <c r="AC22" i="88"/>
  <c r="J13" i="81"/>
  <c r="AU18" i="115" l="1"/>
  <c r="AW18" i="115" s="1"/>
  <c r="T11" i="115"/>
  <c r="AI168" i="1" l="1"/>
  <c r="AI169" i="1"/>
  <c r="AI170" i="1" s="1"/>
  <c r="M109" i="1" l="1"/>
  <c r="V81" i="14" l="1"/>
  <c r="S88" i="14"/>
  <c r="I12" i="14" l="1"/>
  <c r="B85" i="1" l="1"/>
  <c r="AU19" i="93"/>
  <c r="AW19" i="93" s="1"/>
  <c r="AU20" i="93"/>
  <c r="AW20" i="93" s="1"/>
  <c r="AU21" i="93"/>
  <c r="AU23" i="93"/>
  <c r="AW23" i="93" s="1"/>
  <c r="K15" i="1" l="1"/>
  <c r="B285" i="80"/>
  <c r="V15" i="81"/>
  <c r="D28" i="116"/>
  <c r="AF167" i="1" s="1"/>
  <c r="A8" i="75"/>
  <c r="A9" i="75" s="1"/>
  <c r="A10" i="75" s="1"/>
  <c r="B10" i="75"/>
  <c r="N18" i="81"/>
  <c r="K36" i="80" l="1"/>
  <c r="AQ40" i="115"/>
  <c r="AP40" i="115"/>
  <c r="AO40" i="115"/>
  <c r="AV13" i="115" l="1"/>
  <c r="G662" i="109" l="1"/>
  <c r="J4" i="110" l="1"/>
  <c r="R4" i="110"/>
  <c r="DV34" i="122" l="1"/>
  <c r="I167" i="74" l="1"/>
  <c r="B118" i="118"/>
  <c r="B8" i="73"/>
  <c r="AV17" i="95" l="1"/>
  <c r="AV18" i="95"/>
  <c r="M70" i="1"/>
  <c r="L75" i="1"/>
  <c r="G21" i="3" l="1"/>
  <c r="AO34" i="77" l="1"/>
  <c r="C186" i="1" l="1"/>
  <c r="DK22" i="69" l="1"/>
  <c r="DK19" i="69"/>
  <c r="DK20" i="69" s="1"/>
  <c r="L82" i="14"/>
  <c r="D27" i="91"/>
  <c r="AF33" i="1" s="1"/>
  <c r="DK21" i="69" l="1"/>
  <c r="DL19" i="69"/>
  <c r="AF189" i="1" l="1"/>
  <c r="AF190" i="1"/>
  <c r="M132" i="1" l="1"/>
  <c r="AU21" i="115" l="1"/>
  <c r="V30" i="81" l="1"/>
  <c r="AV21" i="115"/>
  <c r="AU17" i="115"/>
  <c r="AW17" i="115" s="1"/>
  <c r="AU22" i="63" l="1"/>
  <c r="E142" i="14"/>
  <c r="AF14" i="1" s="1"/>
  <c r="DJ5" i="122"/>
  <c r="BK5" i="120"/>
  <c r="BL10" i="120"/>
  <c r="BL7" i="120"/>
  <c r="BL8" i="120" s="1"/>
  <c r="BL9" i="120" s="1"/>
  <c r="B22" i="73"/>
  <c r="B23" i="73" s="1"/>
  <c r="B24" i="73" s="1"/>
  <c r="B25" i="73" s="1"/>
  <c r="B26" i="73" s="1"/>
  <c r="B27" i="73" s="1"/>
  <c r="B28" i="73" s="1"/>
  <c r="B235" i="118"/>
  <c r="B236" i="118" s="1"/>
  <c r="B237" i="118" s="1"/>
  <c r="B238" i="118" s="1"/>
  <c r="B239" i="118" s="1"/>
  <c r="B240" i="118" s="1"/>
  <c r="B241" i="118" s="1"/>
  <c r="B242" i="118" s="1"/>
  <c r="B243" i="118" s="1"/>
  <c r="B244" i="118" s="1"/>
  <c r="B245" i="118" s="1"/>
  <c r="B246" i="118" s="1"/>
  <c r="B247" i="118" s="1"/>
  <c r="B248" i="118" s="1"/>
  <c r="B249" i="118" s="1"/>
  <c r="B250" i="118" s="1"/>
  <c r="B251" i="118" s="1"/>
  <c r="B252" i="118" s="1"/>
  <c r="B253" i="118" s="1"/>
  <c r="B254" i="118" s="1"/>
  <c r="B255" i="118" s="1"/>
  <c r="B256" i="118" s="1"/>
  <c r="B257" i="118" s="1"/>
  <c r="B258" i="118" s="1"/>
  <c r="B259" i="118" s="1"/>
  <c r="B260" i="118" s="1"/>
  <c r="B261" i="118" s="1"/>
  <c r="B262" i="118" s="1"/>
  <c r="B263" i="118" s="1"/>
  <c r="B264" i="118" s="1"/>
  <c r="B265" i="118" s="1"/>
  <c r="B266" i="118" s="1"/>
  <c r="B267" i="118" s="1"/>
  <c r="B268" i="118" s="1"/>
  <c r="B269" i="118" s="1"/>
  <c r="B270" i="118" s="1"/>
  <c r="B271" i="118" s="1"/>
  <c r="B272" i="118" s="1"/>
  <c r="B273" i="118" s="1"/>
  <c r="B274" i="118" s="1"/>
  <c r="B275" i="118" s="1"/>
  <c r="B276" i="118" s="1"/>
  <c r="B277" i="118" s="1"/>
  <c r="B278" i="118" s="1"/>
  <c r="B279" i="118" s="1"/>
  <c r="AV17" i="93"/>
  <c r="AU17" i="93"/>
  <c r="AU18" i="93"/>
  <c r="AW18" i="93" s="1"/>
  <c r="B280" i="118" l="1"/>
  <c r="B281" i="118" s="1"/>
  <c r="B282" i="118" s="1"/>
  <c r="B283" i="118" s="1"/>
  <c r="B284" i="118" s="1"/>
  <c r="B285" i="118" s="1"/>
  <c r="B286" i="118" s="1"/>
  <c r="B287" i="118" s="1"/>
  <c r="B288" i="118" s="1"/>
  <c r="B289" i="118" s="1"/>
  <c r="B290" i="118" s="1"/>
  <c r="B291" i="118" s="1"/>
  <c r="B292" i="118" s="1"/>
  <c r="B293" i="118" s="1"/>
  <c r="B294" i="118" s="1"/>
  <c r="B295" i="118" s="1"/>
  <c r="DJ21" i="122"/>
  <c r="DJ20" i="122" s="1"/>
  <c r="DJ21" i="69"/>
  <c r="AW17" i="93"/>
  <c r="BM7" i="120"/>
  <c r="DJ9" i="122" l="1"/>
  <c r="BK9" i="120"/>
  <c r="DJ20" i="69"/>
  <c r="DL20" i="69" s="1"/>
  <c r="DL21" i="69" s="1"/>
  <c r="DL22" i="69"/>
  <c r="DJ23" i="69"/>
  <c r="E140" i="56" s="1"/>
  <c r="BK11" i="120"/>
  <c r="E72" i="117"/>
  <c r="BK8" i="120"/>
  <c r="BM8" i="120" s="1"/>
  <c r="BM9" i="120" s="1"/>
  <c r="BM10" i="120"/>
  <c r="K13" i="119"/>
  <c r="K14" i="119" s="1"/>
  <c r="DJ11" i="122" l="1"/>
  <c r="DJ8" i="122"/>
  <c r="DL23" i="69"/>
  <c r="DL25" i="69" s="1"/>
  <c r="BM11" i="120"/>
  <c r="BM13" i="120" s="1"/>
  <c r="BM15" i="120" s="1"/>
  <c r="AU51" i="63" l="1"/>
  <c r="AU52" i="95" l="1"/>
  <c r="K53" i="85" l="1"/>
  <c r="K51" i="85"/>
  <c r="K50" i="85"/>
  <c r="K49" i="85"/>
  <c r="K40" i="85"/>
  <c r="M168" i="1" l="1"/>
  <c r="D7" i="53" l="1"/>
  <c r="AF108" i="1" s="1"/>
  <c r="D12" i="53"/>
  <c r="AF109" i="1" s="1"/>
  <c r="D28" i="53"/>
  <c r="AF110" i="1" s="1"/>
  <c r="AU17" i="95"/>
  <c r="AU18" i="95"/>
  <c r="AW18" i="95" s="1"/>
  <c r="AU19" i="95"/>
  <c r="AW19" i="95" s="1"/>
  <c r="M71" i="1"/>
  <c r="M72" i="1"/>
  <c r="M73" i="1"/>
  <c r="M74" i="1"/>
  <c r="M69" i="1"/>
  <c r="AW17" i="95" l="1"/>
  <c r="V66" i="14"/>
  <c r="T11" i="77" l="1"/>
  <c r="I96" i="83" l="1"/>
  <c r="I97" i="83"/>
  <c r="I98" i="83"/>
  <c r="I99" i="83"/>
  <c r="I100" i="83"/>
  <c r="I101" i="83"/>
  <c r="I102" i="83"/>
  <c r="I95" i="83"/>
  <c r="J104" i="83" l="1"/>
  <c r="L49" i="85" l="1"/>
  <c r="L50" i="85"/>
  <c r="L51" i="85"/>
  <c r="L53" i="85"/>
  <c r="L40" i="85"/>
  <c r="D36" i="80" l="1"/>
  <c r="G332" i="80" s="1"/>
  <c r="J97" i="117" l="1"/>
  <c r="H300" i="80" l="1"/>
  <c r="C300" i="80"/>
  <c r="CD5" i="69" l="1"/>
  <c r="CD18" i="69" s="1"/>
  <c r="B72" i="118"/>
  <c r="D68" i="14" l="1"/>
  <c r="H18" i="3" l="1"/>
  <c r="B18" i="73"/>
  <c r="B19" i="73" s="1"/>
  <c r="B20" i="73" s="1"/>
  <c r="F2" i="123"/>
  <c r="DF21" i="69" l="1"/>
  <c r="A106" i="83"/>
  <c r="A107" i="83"/>
  <c r="A108" i="83"/>
  <c r="A109" i="83"/>
  <c r="A110" i="83"/>
  <c r="A111" i="83"/>
  <c r="A112" i="83"/>
  <c r="A105" i="83"/>
  <c r="I36" i="80" l="1"/>
  <c r="G331" i="80" s="1"/>
  <c r="I275" i="80"/>
  <c r="M331" i="80" s="1"/>
  <c r="I220" i="80" l="1"/>
  <c r="M92" i="1"/>
  <c r="D175" i="1" l="1"/>
  <c r="M54" i="1" l="1"/>
  <c r="M55" i="1"/>
  <c r="M53" i="1"/>
  <c r="M112" i="1" l="1"/>
  <c r="M113" i="1"/>
  <c r="M111" i="1"/>
  <c r="I82" i="14" l="1"/>
  <c r="F82" i="14"/>
  <c r="E82" i="14"/>
  <c r="H82" i="14"/>
  <c r="G385" i="80" l="1"/>
  <c r="G384" i="80"/>
  <c r="I361" i="80"/>
  <c r="AR120" i="88" l="1"/>
  <c r="D80" i="60" l="1"/>
  <c r="CX5" i="69"/>
  <c r="CX5" i="122"/>
  <c r="DF5" i="122"/>
  <c r="N20" i="116" l="1"/>
  <c r="N18" i="116"/>
  <c r="J382" i="118"/>
  <c r="J799" i="109" l="1"/>
  <c r="I7" i="50" l="1"/>
  <c r="AV8" i="115" l="1"/>
  <c r="AQ13" i="14" l="1"/>
  <c r="B5" i="123" l="1"/>
  <c r="B6" i="123" s="1"/>
  <c r="B7" i="123" s="1"/>
  <c r="B8" i="123" s="1"/>
  <c r="A5" i="123"/>
  <c r="A6" i="123" s="1"/>
  <c r="A7" i="123" s="1"/>
  <c r="A8" i="123" s="1"/>
  <c r="A9" i="123" s="1"/>
  <c r="A10" i="123" s="1"/>
  <c r="A11" i="123" s="1"/>
  <c r="L84" i="117" l="1"/>
  <c r="L92" i="117"/>
  <c r="L93" i="117"/>
  <c r="I92" i="117"/>
  <c r="L89" i="111"/>
  <c r="I89" i="111"/>
  <c r="L89" i="60"/>
  <c r="I89" i="60"/>
  <c r="I51" i="59"/>
  <c r="L51" i="59"/>
  <c r="L51" i="58"/>
  <c r="I51" i="58"/>
  <c r="L62" i="57"/>
  <c r="I62" i="57"/>
  <c r="L46" i="56"/>
  <c r="M46" i="56" s="1"/>
  <c r="I46" i="56"/>
  <c r="L46" i="92"/>
  <c r="L45" i="92"/>
  <c r="I46" i="92"/>
  <c r="I93" i="117" l="1"/>
  <c r="D300" i="80" l="1"/>
  <c r="D275" i="80"/>
  <c r="I284" i="80" l="1"/>
  <c r="L10" i="81" l="1"/>
  <c r="G82" i="111" l="1"/>
  <c r="G44" i="59"/>
  <c r="D37" i="85"/>
  <c r="G55" i="57"/>
  <c r="G82" i="60"/>
  <c r="G86" i="117"/>
  <c r="L66" i="85"/>
  <c r="N19" i="88" l="1"/>
  <c r="O19" i="88"/>
  <c r="P19" i="88"/>
  <c r="Q19" i="88"/>
  <c r="R19" i="88"/>
  <c r="S19" i="88"/>
  <c r="T19" i="88"/>
  <c r="U19" i="88"/>
  <c r="V19" i="88"/>
  <c r="W19" i="88"/>
  <c r="X19" i="88"/>
  <c r="Y19" i="88"/>
  <c r="Z19" i="88"/>
  <c r="AA19" i="88"/>
  <c r="AB19" i="88"/>
  <c r="AC19" i="88"/>
  <c r="AD19" i="88"/>
  <c r="AE19" i="88"/>
  <c r="AF19" i="88"/>
  <c r="AG19" i="88"/>
  <c r="AH19" i="88"/>
  <c r="AI19" i="88"/>
  <c r="AJ19" i="88"/>
  <c r="AK19" i="88"/>
  <c r="M19" i="88"/>
  <c r="AD170" i="1" l="1"/>
  <c r="AK154" i="1" l="1"/>
  <c r="AK155" i="1" s="1"/>
  <c r="A5" i="75"/>
  <c r="A6" i="75" s="1"/>
  <c r="A7" i="75" l="1"/>
  <c r="V4" i="110" l="1"/>
  <c r="DG22" i="69"/>
  <c r="DG19" i="69"/>
  <c r="DH19" i="69" s="1"/>
  <c r="A8" i="119"/>
  <c r="A9" i="119" s="1"/>
  <c r="A10" i="119" s="1"/>
  <c r="A11" i="119" s="1"/>
  <c r="A12" i="119" s="1"/>
  <c r="B8" i="119"/>
  <c r="B9" i="119" s="1"/>
  <c r="BH10" i="120"/>
  <c r="BH7" i="120"/>
  <c r="BH8" i="120" s="1"/>
  <c r="BH9" i="120" s="1"/>
  <c r="DF23" i="69" l="1"/>
  <c r="E138" i="56" s="1"/>
  <c r="DF21" i="122"/>
  <c r="DF20" i="122" s="1"/>
  <c r="DG21" i="69"/>
  <c r="DH22" i="69"/>
  <c r="DF20" i="69"/>
  <c r="DG20" i="69"/>
  <c r="BI7" i="120"/>
  <c r="DH20" i="69" l="1"/>
  <c r="DH21" i="69" s="1"/>
  <c r="DH23" i="69" s="1"/>
  <c r="DH25" i="69" s="1"/>
  <c r="DH27" i="69" s="1"/>
  <c r="AU18" i="63" l="1"/>
  <c r="AV19" i="88" s="1"/>
  <c r="AU19" i="63"/>
  <c r="AW19" i="63" s="1"/>
  <c r="AW18" i="63" l="1"/>
  <c r="T14" i="1" l="1"/>
  <c r="T188" i="1" s="1"/>
  <c r="T13" i="1"/>
  <c r="E56" i="14"/>
  <c r="K52" i="14"/>
  <c r="B162" i="118" l="1"/>
  <c r="B163" i="118" l="1"/>
  <c r="B164" i="118" s="1"/>
  <c r="B165" i="118" s="1"/>
  <c r="N12" i="88"/>
  <c r="O12" i="88"/>
  <c r="P12" i="88"/>
  <c r="Q12" i="88"/>
  <c r="R12" i="88"/>
  <c r="S12" i="88"/>
  <c r="T12" i="88"/>
  <c r="U12" i="88"/>
  <c r="V12" i="88"/>
  <c r="W12" i="88"/>
  <c r="X12" i="88"/>
  <c r="Y12" i="88"/>
  <c r="Z12" i="88"/>
  <c r="AA12" i="88"/>
  <c r="AB12" i="88"/>
  <c r="AC12" i="88"/>
  <c r="AD12" i="88"/>
  <c r="AE12" i="88"/>
  <c r="AF12" i="88"/>
  <c r="AG12" i="88"/>
  <c r="AH12" i="88"/>
  <c r="AI12" i="88"/>
  <c r="AJ12" i="88"/>
  <c r="AK12" i="88"/>
  <c r="N13" i="88"/>
  <c r="O13" i="88"/>
  <c r="P13" i="88"/>
  <c r="Q13" i="88"/>
  <c r="R13" i="88"/>
  <c r="S13" i="88"/>
  <c r="T13" i="88"/>
  <c r="U13" i="88"/>
  <c r="V13" i="88"/>
  <c r="W13" i="88"/>
  <c r="X13" i="88"/>
  <c r="Y13" i="88"/>
  <c r="Z13" i="88"/>
  <c r="AA13" i="88"/>
  <c r="AB13" i="88"/>
  <c r="AC13" i="88"/>
  <c r="AD13" i="88"/>
  <c r="AE13" i="88"/>
  <c r="AF13" i="88"/>
  <c r="AG13" i="88"/>
  <c r="AH13" i="88"/>
  <c r="AI13" i="88"/>
  <c r="AJ13" i="88"/>
  <c r="AK13" i="88"/>
  <c r="N14" i="88"/>
  <c r="O14" i="88"/>
  <c r="P14" i="88"/>
  <c r="Q14" i="88"/>
  <c r="R14" i="88"/>
  <c r="S14" i="88"/>
  <c r="T14" i="88"/>
  <c r="U14" i="88"/>
  <c r="V14" i="88"/>
  <c r="W14" i="88"/>
  <c r="X14" i="88"/>
  <c r="Y14" i="88"/>
  <c r="Z14" i="88"/>
  <c r="AA14" i="88"/>
  <c r="AB14" i="88"/>
  <c r="AC14" i="88"/>
  <c r="AD14" i="88"/>
  <c r="AE14" i="88"/>
  <c r="AF14" i="88"/>
  <c r="AG14" i="88"/>
  <c r="AH14" i="88"/>
  <c r="AI14" i="88"/>
  <c r="AJ14" i="88"/>
  <c r="AK14" i="88"/>
  <c r="N15" i="88"/>
  <c r="O15" i="88"/>
  <c r="P15" i="88"/>
  <c r="Q15" i="88"/>
  <c r="R15" i="88"/>
  <c r="S15" i="88"/>
  <c r="T15" i="88"/>
  <c r="U15" i="88"/>
  <c r="V15" i="88"/>
  <c r="W15" i="88"/>
  <c r="X15" i="88"/>
  <c r="Y15" i="88"/>
  <c r="Z15" i="88"/>
  <c r="AA15" i="88"/>
  <c r="AB15" i="88"/>
  <c r="AC15" i="88"/>
  <c r="AD15" i="88"/>
  <c r="AE15" i="88"/>
  <c r="AF15" i="88"/>
  <c r="AG15" i="88"/>
  <c r="AH15" i="88"/>
  <c r="AI15" i="88"/>
  <c r="AJ15" i="88"/>
  <c r="AK15" i="88"/>
  <c r="N16" i="88"/>
  <c r="O16" i="88"/>
  <c r="P16" i="88"/>
  <c r="Q16" i="88"/>
  <c r="R16" i="88"/>
  <c r="S16" i="88"/>
  <c r="T16" i="88"/>
  <c r="U16" i="88"/>
  <c r="V16" i="88"/>
  <c r="W16" i="88"/>
  <c r="X16" i="88"/>
  <c r="Y16" i="88"/>
  <c r="Z16" i="88"/>
  <c r="AA16" i="88"/>
  <c r="AB16" i="88"/>
  <c r="AC16" i="88"/>
  <c r="AD16" i="88"/>
  <c r="AE16" i="88"/>
  <c r="AF16" i="88"/>
  <c r="AG16" i="88"/>
  <c r="AH16" i="88"/>
  <c r="AI16" i="88"/>
  <c r="AJ16" i="88"/>
  <c r="AK16" i="88"/>
  <c r="N17" i="88"/>
  <c r="O17" i="88"/>
  <c r="P17" i="88"/>
  <c r="Q17" i="88"/>
  <c r="R17" i="88"/>
  <c r="S17" i="88"/>
  <c r="T17" i="88"/>
  <c r="U17" i="88"/>
  <c r="V17" i="88"/>
  <c r="W17" i="88"/>
  <c r="X17" i="88"/>
  <c r="Y17" i="88"/>
  <c r="Z17" i="88"/>
  <c r="AA17" i="88"/>
  <c r="AB17" i="88"/>
  <c r="AC17" i="88"/>
  <c r="AD17" i="88"/>
  <c r="AE17" i="88"/>
  <c r="AF17" i="88"/>
  <c r="AG17" i="88"/>
  <c r="AH17" i="88"/>
  <c r="AI17" i="88"/>
  <c r="AJ17" i="88"/>
  <c r="AK17" i="88"/>
  <c r="N18" i="88"/>
  <c r="O18" i="88"/>
  <c r="P18" i="88"/>
  <c r="Q18" i="88"/>
  <c r="R18" i="88"/>
  <c r="S18" i="88"/>
  <c r="T18" i="88"/>
  <c r="U18" i="88"/>
  <c r="V18" i="88"/>
  <c r="W18" i="88"/>
  <c r="X18" i="88"/>
  <c r="Y18" i="88"/>
  <c r="Z18" i="88"/>
  <c r="AA18" i="88"/>
  <c r="AB18" i="88"/>
  <c r="AC18" i="88"/>
  <c r="AD18" i="88"/>
  <c r="AE18" i="88"/>
  <c r="AF18" i="88"/>
  <c r="AG18" i="88"/>
  <c r="AH18" i="88"/>
  <c r="AI18" i="88"/>
  <c r="AJ18" i="88"/>
  <c r="AK18" i="88"/>
  <c r="N20" i="88"/>
  <c r="O20" i="88"/>
  <c r="P20" i="88"/>
  <c r="Q20" i="88"/>
  <c r="R20" i="88"/>
  <c r="S20" i="88"/>
  <c r="T20" i="88"/>
  <c r="U20" i="88"/>
  <c r="V20" i="88"/>
  <c r="W20" i="88"/>
  <c r="X20" i="88"/>
  <c r="Y20" i="88"/>
  <c r="Z20" i="88"/>
  <c r="AA20" i="88"/>
  <c r="AB20" i="88"/>
  <c r="AC20" i="88"/>
  <c r="AD20" i="88"/>
  <c r="AE20" i="88"/>
  <c r="AF20" i="88"/>
  <c r="AG20" i="88"/>
  <c r="AH20" i="88"/>
  <c r="AI20" i="88"/>
  <c r="AJ20" i="88"/>
  <c r="AK20" i="88"/>
  <c r="N21" i="88"/>
  <c r="O21" i="88"/>
  <c r="P21" i="88"/>
  <c r="Q21" i="88"/>
  <c r="R21" i="88"/>
  <c r="S21" i="88"/>
  <c r="T21" i="88"/>
  <c r="U21" i="88"/>
  <c r="V21" i="88"/>
  <c r="W21" i="88"/>
  <c r="X21" i="88"/>
  <c r="Y21" i="88"/>
  <c r="Z21" i="88"/>
  <c r="AA21" i="88"/>
  <c r="AB21" i="88"/>
  <c r="AC21" i="88"/>
  <c r="AD21" i="88"/>
  <c r="AE21" i="88"/>
  <c r="AF21" i="88"/>
  <c r="AG21" i="88"/>
  <c r="AH21" i="88"/>
  <c r="AI21" i="88"/>
  <c r="AJ21" i="88"/>
  <c r="AK21" i="88"/>
  <c r="N22" i="88"/>
  <c r="O22" i="88"/>
  <c r="P22" i="88"/>
  <c r="Q22" i="88"/>
  <c r="R22" i="88"/>
  <c r="S22" i="88"/>
  <c r="T22" i="88"/>
  <c r="U22" i="88"/>
  <c r="V22" i="88"/>
  <c r="W22" i="88"/>
  <c r="X22" i="88"/>
  <c r="Y22" i="88"/>
  <c r="Z22" i="88"/>
  <c r="AA22" i="88"/>
  <c r="AB22" i="88"/>
  <c r="AG22" i="88"/>
  <c r="AH22" i="88"/>
  <c r="AI22" i="88"/>
  <c r="AJ22" i="88"/>
  <c r="AK22" i="88"/>
  <c r="N23" i="88"/>
  <c r="O23" i="88"/>
  <c r="P23" i="88"/>
  <c r="Q23" i="88"/>
  <c r="R23" i="88"/>
  <c r="S23" i="88"/>
  <c r="T23" i="88"/>
  <c r="U23" i="88"/>
  <c r="V23" i="88"/>
  <c r="W23" i="88"/>
  <c r="X23" i="88"/>
  <c r="Y23" i="88"/>
  <c r="Z23" i="88"/>
  <c r="AA23" i="88"/>
  <c r="AB23" i="88"/>
  <c r="AG23" i="88"/>
  <c r="AH23" i="88"/>
  <c r="AI23" i="88"/>
  <c r="AJ23" i="88"/>
  <c r="AK23" i="88"/>
  <c r="N24" i="88"/>
  <c r="O24" i="88"/>
  <c r="P24" i="88"/>
  <c r="Q24" i="88"/>
  <c r="R24" i="88"/>
  <c r="S24" i="88"/>
  <c r="T24" i="88"/>
  <c r="U24" i="88"/>
  <c r="V24" i="88"/>
  <c r="W24" i="88"/>
  <c r="X24" i="88"/>
  <c r="Y24" i="88"/>
  <c r="Z24" i="88"/>
  <c r="N25" i="88"/>
  <c r="O25" i="88"/>
  <c r="P25" i="88"/>
  <c r="Q25" i="88"/>
  <c r="R25" i="88"/>
  <c r="S25" i="88"/>
  <c r="T25" i="88"/>
  <c r="U25" i="88"/>
  <c r="V25" i="88"/>
  <c r="W25" i="88"/>
  <c r="X25" i="88"/>
  <c r="Y25" i="88"/>
  <c r="AA25" i="88"/>
  <c r="AB25" i="88"/>
  <c r="AC25" i="88"/>
  <c r="AD25" i="88"/>
  <c r="AE25" i="88"/>
  <c r="AF25" i="88"/>
  <c r="AG25" i="88"/>
  <c r="AH25" i="88"/>
  <c r="AI25" i="88"/>
  <c r="AJ25" i="88"/>
  <c r="AK25" i="88"/>
  <c r="N26" i="88"/>
  <c r="O26" i="88"/>
  <c r="P26" i="88"/>
  <c r="Q26" i="88"/>
  <c r="R26" i="88"/>
  <c r="S26" i="88"/>
  <c r="T26" i="88"/>
  <c r="U26" i="88"/>
  <c r="V26" i="88"/>
  <c r="W26" i="88"/>
  <c r="X26" i="88"/>
  <c r="Y26" i="88"/>
  <c r="Z26" i="88"/>
  <c r="AA26" i="88"/>
  <c r="AB26" i="88"/>
  <c r="AC26" i="88"/>
  <c r="AD26" i="88"/>
  <c r="AE26" i="88"/>
  <c r="AF26" i="88"/>
  <c r="AG26" i="88"/>
  <c r="AH26" i="88"/>
  <c r="AI26" i="88"/>
  <c r="AJ26" i="88"/>
  <c r="AK26" i="88"/>
  <c r="N27" i="88"/>
  <c r="O27" i="88"/>
  <c r="P27" i="88"/>
  <c r="Q27" i="88"/>
  <c r="R27" i="88"/>
  <c r="S27" i="88"/>
  <c r="T27" i="88"/>
  <c r="U27" i="88"/>
  <c r="V27" i="88"/>
  <c r="W27" i="88"/>
  <c r="X27" i="88"/>
  <c r="Y27" i="88"/>
  <c r="Z27" i="88"/>
  <c r="AA27" i="88"/>
  <c r="AB27" i="88"/>
  <c r="AC27" i="88"/>
  <c r="AD27" i="88"/>
  <c r="AE27" i="88"/>
  <c r="AF27" i="88"/>
  <c r="AG27" i="88"/>
  <c r="AH27" i="88"/>
  <c r="AI27" i="88"/>
  <c r="AJ27" i="88"/>
  <c r="AK27" i="88"/>
  <c r="N28" i="88"/>
  <c r="O28" i="88"/>
  <c r="P28" i="88"/>
  <c r="Q28" i="88"/>
  <c r="R28" i="88"/>
  <c r="S28" i="88"/>
  <c r="T28" i="88"/>
  <c r="U28" i="88"/>
  <c r="V28" i="88"/>
  <c r="W28" i="88"/>
  <c r="X28" i="88"/>
  <c r="Y28" i="88"/>
  <c r="Z28" i="88"/>
  <c r="AA28" i="88"/>
  <c r="AB28" i="88"/>
  <c r="AC28" i="88"/>
  <c r="AD28" i="88"/>
  <c r="AE28" i="88"/>
  <c r="AF28" i="88"/>
  <c r="AG28" i="88"/>
  <c r="AH28" i="88"/>
  <c r="AI28" i="88"/>
  <c r="AJ28" i="88"/>
  <c r="AK28" i="88"/>
  <c r="N29" i="88"/>
  <c r="O29" i="88"/>
  <c r="P29" i="88"/>
  <c r="Q29" i="88"/>
  <c r="R29" i="88"/>
  <c r="S29" i="88"/>
  <c r="T29" i="88"/>
  <c r="U29" i="88"/>
  <c r="V29" i="88"/>
  <c r="W29" i="88"/>
  <c r="X29" i="88"/>
  <c r="Y29" i="88"/>
  <c r="Z29" i="88"/>
  <c r="AA29" i="88"/>
  <c r="AB29" i="88"/>
  <c r="AC29" i="88"/>
  <c r="AD29" i="88"/>
  <c r="AE29" i="88"/>
  <c r="AF29" i="88"/>
  <c r="AG29" i="88"/>
  <c r="AH29" i="88"/>
  <c r="AI29" i="88"/>
  <c r="AJ29" i="88"/>
  <c r="AK29" i="88"/>
  <c r="V8" i="88"/>
  <c r="W8" i="88"/>
  <c r="X8" i="88"/>
  <c r="Y8" i="88"/>
  <c r="Z8" i="88"/>
  <c r="AA8" i="88"/>
  <c r="AB8" i="88"/>
  <c r="AC8" i="88"/>
  <c r="AD8" i="88"/>
  <c r="AE8" i="88"/>
  <c r="AF8" i="88"/>
  <c r="AG8" i="88"/>
  <c r="AH8" i="88"/>
  <c r="AI8" i="88"/>
  <c r="AJ8" i="88"/>
  <c r="AK8" i="88"/>
  <c r="AL8" i="88"/>
  <c r="AM8" i="88"/>
  <c r="AN8" i="88"/>
  <c r="AO8" i="88"/>
  <c r="AP8" i="88"/>
  <c r="AQ8" i="88"/>
  <c r="AR8" i="88"/>
  <c r="AS8" i="88"/>
  <c r="AT8" i="88"/>
  <c r="V9" i="88"/>
  <c r="W9" i="88"/>
  <c r="X9" i="88"/>
  <c r="Y9" i="88"/>
  <c r="Z9" i="88"/>
  <c r="AA9" i="88"/>
  <c r="AB9" i="88"/>
  <c r="AC9" i="88"/>
  <c r="AD9" i="88"/>
  <c r="AE9" i="88"/>
  <c r="AF9" i="88"/>
  <c r="AG9" i="88"/>
  <c r="AH9" i="88"/>
  <c r="AI9" i="88"/>
  <c r="AJ9" i="88"/>
  <c r="AK9" i="88"/>
  <c r="AL9" i="88"/>
  <c r="AM9" i="88"/>
  <c r="AN9" i="88"/>
  <c r="AO9" i="88"/>
  <c r="AP9" i="88"/>
  <c r="AQ9" i="88"/>
  <c r="AR9" i="88"/>
  <c r="AS9" i="88"/>
  <c r="AT9" i="88"/>
  <c r="V10" i="88"/>
  <c r="W10" i="88"/>
  <c r="X10" i="88"/>
  <c r="Y10" i="88"/>
  <c r="AA10" i="88"/>
  <c r="AB10" i="88"/>
  <c r="AC10" i="88"/>
  <c r="AD10" i="88"/>
  <c r="AE10" i="88"/>
  <c r="AF10" i="88"/>
  <c r="AG10" i="88"/>
  <c r="AH10" i="88"/>
  <c r="AI10" i="88"/>
  <c r="AJ10" i="88"/>
  <c r="AK10" i="88"/>
  <c r="AL10" i="88"/>
  <c r="AM10" i="88"/>
  <c r="AN10" i="88"/>
  <c r="AO10" i="88"/>
  <c r="AP10" i="88"/>
  <c r="AQ10" i="88"/>
  <c r="AR10" i="88"/>
  <c r="AS10" i="88"/>
  <c r="AT10" i="88"/>
  <c r="U8" i="88"/>
  <c r="U9" i="88"/>
  <c r="U10" i="88"/>
  <c r="N8" i="88"/>
  <c r="O8" i="88"/>
  <c r="P8" i="88"/>
  <c r="Q8" i="88"/>
  <c r="R8" i="88"/>
  <c r="S8" i="88"/>
  <c r="T8" i="88"/>
  <c r="N9" i="88"/>
  <c r="O9" i="88"/>
  <c r="P9" i="88"/>
  <c r="Q9" i="88"/>
  <c r="R9" i="88"/>
  <c r="S9" i="88"/>
  <c r="T9" i="88"/>
  <c r="N10" i="88"/>
  <c r="O10" i="88"/>
  <c r="P10" i="88"/>
  <c r="Q10" i="88"/>
  <c r="R10" i="88"/>
  <c r="S10" i="88"/>
  <c r="T10" i="88"/>
  <c r="N45" i="88"/>
  <c r="O45" i="88"/>
  <c r="P45" i="88"/>
  <c r="Q45" i="88"/>
  <c r="R45" i="88"/>
  <c r="N46" i="88"/>
  <c r="O46" i="88"/>
  <c r="P46" i="88"/>
  <c r="Q46" i="88"/>
  <c r="R46" i="88"/>
  <c r="N47" i="88"/>
  <c r="O47" i="88"/>
  <c r="P47" i="88"/>
  <c r="Q47" i="88"/>
  <c r="R47" i="88"/>
  <c r="N48" i="88"/>
  <c r="O48" i="88"/>
  <c r="P48" i="88"/>
  <c r="Q48" i="88"/>
  <c r="R48" i="88"/>
  <c r="N49" i="88"/>
  <c r="O49" i="88"/>
  <c r="P49" i="88"/>
  <c r="Q49" i="88"/>
  <c r="R49" i="88"/>
  <c r="N50" i="88"/>
  <c r="O50" i="88"/>
  <c r="P50" i="88"/>
  <c r="Q50" i="88"/>
  <c r="R50" i="88"/>
  <c r="N51" i="88"/>
  <c r="O51" i="88"/>
  <c r="P51" i="88"/>
  <c r="Q51" i="88"/>
  <c r="R51" i="88"/>
  <c r="N52" i="88"/>
  <c r="O52" i="88"/>
  <c r="P52" i="88"/>
  <c r="Q52" i="88"/>
  <c r="R52" i="88"/>
  <c r="N54" i="88"/>
  <c r="O54" i="88"/>
  <c r="P54" i="88"/>
  <c r="Q54" i="88"/>
  <c r="R54" i="88"/>
  <c r="N55" i="88"/>
  <c r="O55" i="88"/>
  <c r="P55" i="88"/>
  <c r="Q55" i="88"/>
  <c r="R55" i="88"/>
  <c r="N56" i="88"/>
  <c r="O56" i="88"/>
  <c r="P56" i="88"/>
  <c r="Q56" i="88"/>
  <c r="R56" i="88"/>
  <c r="N57" i="88"/>
  <c r="O57" i="88"/>
  <c r="P57" i="88"/>
  <c r="Q57" i="88"/>
  <c r="R57" i="88"/>
  <c r="N58" i="88"/>
  <c r="O58" i="88"/>
  <c r="P58" i="88"/>
  <c r="Q58" i="88"/>
  <c r="R58" i="88"/>
  <c r="N59" i="88"/>
  <c r="O59" i="88"/>
  <c r="P59" i="88"/>
  <c r="Q59" i="88"/>
  <c r="R59" i="88"/>
  <c r="N60" i="88"/>
  <c r="O60" i="88"/>
  <c r="P60" i="88"/>
  <c r="Q60" i="88"/>
  <c r="R60" i="88"/>
  <c r="N61" i="88"/>
  <c r="O61" i="88"/>
  <c r="P61" i="88"/>
  <c r="Q61" i="88"/>
  <c r="R61" i="88"/>
  <c r="N62" i="88"/>
  <c r="O62" i="88"/>
  <c r="P62" i="88"/>
  <c r="Q62" i="88"/>
  <c r="R62" i="88"/>
  <c r="M62" i="88"/>
  <c r="M61" i="88"/>
  <c r="M60" i="88"/>
  <c r="M59" i="88"/>
  <c r="M58" i="88"/>
  <c r="M57" i="88"/>
  <c r="M56" i="88"/>
  <c r="M54" i="88"/>
  <c r="M52" i="88"/>
  <c r="M51" i="88"/>
  <c r="M50" i="88"/>
  <c r="M49" i="88"/>
  <c r="M48" i="88"/>
  <c r="M47" i="88"/>
  <c r="M46" i="88"/>
  <c r="M45" i="88"/>
  <c r="M29" i="88"/>
  <c r="M28" i="88"/>
  <c r="M27" i="88"/>
  <c r="M26" i="88"/>
  <c r="M25" i="88"/>
  <c r="M24" i="88"/>
  <c r="M23" i="88"/>
  <c r="M22" i="88"/>
  <c r="M21" i="88"/>
  <c r="M18" i="88"/>
  <c r="M17" i="88"/>
  <c r="M16" i="88"/>
  <c r="M15" i="88"/>
  <c r="M14" i="88"/>
  <c r="M13" i="88"/>
  <c r="M12" i="88"/>
  <c r="K12" i="88"/>
  <c r="K7" i="88"/>
  <c r="L7" i="88"/>
  <c r="K8" i="88"/>
  <c r="L8" i="88"/>
  <c r="K9" i="88"/>
  <c r="L9" i="88"/>
  <c r="K10" i="88"/>
  <c r="L10" i="88"/>
  <c r="M10" i="88"/>
  <c r="M9" i="88"/>
  <c r="M8" i="88"/>
  <c r="B166" i="118" l="1"/>
  <c r="B167" i="118" s="1"/>
  <c r="B168" i="118" s="1"/>
  <c r="AU9" i="88"/>
  <c r="B169" i="118" l="1"/>
  <c r="B170" i="118" s="1"/>
  <c r="B171" i="118" s="1"/>
  <c r="B172" i="118" s="1"/>
  <c r="B173" i="118" s="1"/>
  <c r="B174" i="118" s="1"/>
  <c r="B175" i="118" s="1"/>
  <c r="B176" i="118" s="1"/>
  <c r="B177" i="118" s="1"/>
  <c r="B178" i="118" s="1"/>
  <c r="B179" i="118" s="1"/>
  <c r="B180" i="118" s="1"/>
  <c r="B181" i="118" s="1"/>
  <c r="B182" i="118" s="1"/>
  <c r="B183" i="118" s="1"/>
  <c r="B184" i="118" s="1"/>
  <c r="B185" i="118" s="1"/>
  <c r="B186" i="118" s="1"/>
  <c r="B187" i="118" s="1"/>
  <c r="B188" i="118" s="1"/>
  <c r="B189" i="118" s="1"/>
  <c r="B190" i="118" s="1"/>
  <c r="B191" i="118" s="1"/>
  <c r="E33" i="58"/>
  <c r="E32" i="58"/>
  <c r="B192" i="118" l="1"/>
  <c r="B193" i="118" s="1"/>
  <c r="B194" i="118" s="1"/>
  <c r="B195" i="118" s="1"/>
  <c r="B196" i="118" s="1"/>
  <c r="B197" i="118" s="1"/>
  <c r="B198" i="118" s="1"/>
  <c r="B199" i="118" s="1"/>
  <c r="B200" i="118" s="1"/>
  <c r="B201" i="118" s="1"/>
  <c r="B202" i="118" s="1"/>
  <c r="B203" i="118" s="1"/>
  <c r="B204" i="118" s="1"/>
  <c r="B205" i="118" s="1"/>
  <c r="B206" i="118" s="1"/>
  <c r="B207" i="118" s="1"/>
  <c r="B208" i="118" s="1"/>
  <c r="B209" i="118" s="1"/>
  <c r="B210" i="118" s="1"/>
  <c r="B211" i="118" s="1"/>
  <c r="B212" i="118" s="1"/>
  <c r="B213" i="118" s="1"/>
  <c r="B214" i="118" s="1"/>
  <c r="B215" i="118" s="1"/>
  <c r="B216" i="118" s="1"/>
  <c r="B217" i="118" s="1"/>
  <c r="B218" i="118" s="1"/>
  <c r="B219" i="118" s="1"/>
  <c r="B220" i="118" s="1"/>
  <c r="B221" i="118" s="1"/>
  <c r="B222" i="118" s="1"/>
  <c r="B223" i="118" s="1"/>
  <c r="B224" i="118" s="1"/>
  <c r="B225" i="118" s="1"/>
  <c r="B226" i="118" s="1"/>
  <c r="B227" i="118" s="1"/>
  <c r="N338" i="80"/>
  <c r="B228" i="118" l="1"/>
  <c r="B229" i="118" s="1"/>
  <c r="B230" i="118" s="1"/>
  <c r="B231" i="118" s="1"/>
  <c r="B232" i="118" s="1"/>
  <c r="B233" i="118" s="1"/>
  <c r="BG9" i="120" s="1"/>
  <c r="BG11" i="120" l="1"/>
  <c r="DF9" i="122"/>
  <c r="DF8" i="122" s="1"/>
  <c r="BG8" i="120"/>
  <c r="BI8" i="120" s="1"/>
  <c r="BI9" i="120" s="1"/>
  <c r="BI10" i="120"/>
  <c r="E70" i="117"/>
  <c r="DF11" i="122"/>
  <c r="I241" i="80"/>
  <c r="BI11" i="120" l="1"/>
  <c r="BI13" i="120" s="1"/>
  <c r="BI15" i="120" s="1"/>
  <c r="N4" i="110"/>
  <c r="CT5" i="69" l="1"/>
  <c r="BV5" i="69"/>
  <c r="B14" i="74"/>
  <c r="AY5" i="120"/>
  <c r="AU5" i="120"/>
  <c r="S5" i="120"/>
  <c r="B73" i="118"/>
  <c r="B55" i="118"/>
  <c r="B56" i="118" s="1"/>
  <c r="B57" i="118" s="1"/>
  <c r="B58" i="118" s="1"/>
  <c r="B59" i="118" s="1"/>
  <c r="B60" i="118" s="1"/>
  <c r="B61" i="118" s="1"/>
  <c r="B62" i="118" s="1"/>
  <c r="B38" i="118"/>
  <c r="B39" i="118" s="1"/>
  <c r="B40" i="118" s="1"/>
  <c r="B41" i="118" s="1"/>
  <c r="B42" i="118" s="1"/>
  <c r="B43" i="118" s="1"/>
  <c r="B44" i="118" s="1"/>
  <c r="B45" i="118" s="1"/>
  <c r="B10" i="118"/>
  <c r="BT32" i="120"/>
  <c r="CB42" i="122"/>
  <c r="BX42" i="122"/>
  <c r="BX37" i="122"/>
  <c r="AV37" i="122"/>
  <c r="AN37" i="122"/>
  <c r="AJ37" i="122"/>
  <c r="T37" i="122"/>
  <c r="P37" i="122"/>
  <c r="L37" i="122"/>
  <c r="H37" i="122"/>
  <c r="AZ36" i="122"/>
  <c r="H36" i="122"/>
  <c r="M31" i="122"/>
  <c r="K31" i="122"/>
  <c r="J31" i="122"/>
  <c r="C31" i="122"/>
  <c r="B31" i="122"/>
  <c r="BD30" i="122"/>
  <c r="AZ30" i="122"/>
  <c r="AB30" i="122"/>
  <c r="DT28" i="122"/>
  <c r="A27" i="122"/>
  <c r="DT26" i="122"/>
  <c r="A25" i="122"/>
  <c r="DT24" i="122"/>
  <c r="BN23" i="122"/>
  <c r="BF23" i="122"/>
  <c r="BB23" i="122"/>
  <c r="AD23" i="122"/>
  <c r="V23" i="122"/>
  <c r="F23" i="122"/>
  <c r="A23" i="122"/>
  <c r="DR22" i="122"/>
  <c r="DC22" i="122"/>
  <c r="CY22" i="122"/>
  <c r="CU22" i="122"/>
  <c r="CQ22" i="122"/>
  <c r="CM22" i="122"/>
  <c r="CI22" i="122"/>
  <c r="CE22" i="122"/>
  <c r="CA22" i="122"/>
  <c r="BH22" i="122"/>
  <c r="BD22" i="122"/>
  <c r="AF22" i="122"/>
  <c r="X22" i="122"/>
  <c r="X35" i="122" s="1"/>
  <c r="H22" i="122"/>
  <c r="H35" i="122" s="1"/>
  <c r="A22" i="122"/>
  <c r="CT20" i="122"/>
  <c r="CD20" i="122"/>
  <c r="BR23" i="122"/>
  <c r="BJ23" i="122"/>
  <c r="AX21" i="122"/>
  <c r="AT21" i="122"/>
  <c r="AT23" i="122" s="1"/>
  <c r="AP21" i="122"/>
  <c r="AP20" i="122" s="1"/>
  <c r="Z21" i="122"/>
  <c r="AB22" i="122" s="1"/>
  <c r="EG20" i="122"/>
  <c r="BN20" i="122"/>
  <c r="BF20" i="122"/>
  <c r="BB20" i="122"/>
  <c r="AD20" i="122"/>
  <c r="V20" i="122"/>
  <c r="F20" i="122"/>
  <c r="A20" i="122"/>
  <c r="DC19" i="122"/>
  <c r="CY19" i="122"/>
  <c r="CY21" i="122" s="1"/>
  <c r="CU19" i="122"/>
  <c r="CU21" i="122" s="1"/>
  <c r="CQ19" i="122"/>
  <c r="CQ20" i="122" s="1"/>
  <c r="CP19" i="122"/>
  <c r="CM19" i="122"/>
  <c r="CM21" i="122" s="1"/>
  <c r="CL19" i="122"/>
  <c r="CI19" i="122"/>
  <c r="CI21" i="122" s="1"/>
  <c r="CE19" i="122"/>
  <c r="CF19" i="122" s="1"/>
  <c r="CA19" i="122"/>
  <c r="CA21" i="122" s="1"/>
  <c r="BS19" i="122"/>
  <c r="BS21" i="122" s="1"/>
  <c r="BP19" i="122"/>
  <c r="BK19" i="122"/>
  <c r="BL19" i="122" s="1"/>
  <c r="BH19" i="122"/>
  <c r="BG19" i="122"/>
  <c r="BC19" i="122"/>
  <c r="BC21" i="122" s="1"/>
  <c r="AY19" i="122"/>
  <c r="AY21" i="122" s="1"/>
  <c r="AU19" i="122"/>
  <c r="AQ19" i="122"/>
  <c r="AQ20" i="122" s="1"/>
  <c r="AE19" i="122"/>
  <c r="AE21" i="122" s="1"/>
  <c r="AF21" i="122" s="1"/>
  <c r="AA19" i="122"/>
  <c r="AA21" i="122" s="1"/>
  <c r="W19" i="122"/>
  <c r="W20" i="122" s="1"/>
  <c r="G19" i="122"/>
  <c r="G20" i="122" s="1"/>
  <c r="A19" i="122"/>
  <c r="DB18" i="122"/>
  <c r="CF18" i="122"/>
  <c r="CN18" i="122" s="1"/>
  <c r="CV18" i="122" s="1"/>
  <c r="DD18" i="122" s="1"/>
  <c r="CD18" i="122"/>
  <c r="BZ18" i="122"/>
  <c r="BN18" i="122"/>
  <c r="BF18" i="122"/>
  <c r="AX18" i="122"/>
  <c r="AP18" i="122"/>
  <c r="Z18" i="122"/>
  <c r="L18" i="122"/>
  <c r="T18" i="122" s="1"/>
  <c r="X18" i="122" s="1"/>
  <c r="AB18" i="122" s="1"/>
  <c r="AF18" i="122" s="1"/>
  <c r="AJ18" i="122" s="1"/>
  <c r="AN18" i="122" s="1"/>
  <c r="AR18" i="122" s="1"/>
  <c r="AV18" i="122" s="1"/>
  <c r="DC17" i="122"/>
  <c r="CY17" i="122"/>
  <c r="CU17" i="122"/>
  <c r="CQ17" i="122"/>
  <c r="CM17" i="122"/>
  <c r="CI17" i="122"/>
  <c r="CF17" i="122"/>
  <c r="CN17" i="122" s="1"/>
  <c r="CV17" i="122" s="1"/>
  <c r="DD17" i="122" s="1"/>
  <c r="CE17" i="122"/>
  <c r="CA17" i="122"/>
  <c r="BS17" i="122"/>
  <c r="BO17" i="122"/>
  <c r="BK17" i="122"/>
  <c r="BG17" i="122"/>
  <c r="BH37" i="122" s="1"/>
  <c r="BC17" i="122"/>
  <c r="BD37" i="122" s="1"/>
  <c r="AY17" i="122"/>
  <c r="AZ37" i="122" s="1"/>
  <c r="AQ17" i="122"/>
  <c r="AR37" i="122" s="1"/>
  <c r="AE17" i="122"/>
  <c r="AF37" i="122" s="1"/>
  <c r="AA17" i="122"/>
  <c r="AB37" i="122" s="1"/>
  <c r="W17" i="122"/>
  <c r="L17" i="122"/>
  <c r="T17" i="122" s="1"/>
  <c r="X17" i="122" s="1"/>
  <c r="AB17" i="122" s="1"/>
  <c r="AF17" i="122" s="1"/>
  <c r="AJ17" i="122" s="1"/>
  <c r="AN17" i="122" s="1"/>
  <c r="AR17" i="122" s="1"/>
  <c r="AV17" i="122" s="1"/>
  <c r="K16" i="122"/>
  <c r="R16" i="122" s="1"/>
  <c r="Z16" i="122" s="1"/>
  <c r="AD16" i="122" s="1"/>
  <c r="DT14" i="122"/>
  <c r="BC14" i="122"/>
  <c r="DT12" i="122"/>
  <c r="AT11" i="122"/>
  <c r="AP11" i="122"/>
  <c r="AL11" i="122"/>
  <c r="AH11" i="122"/>
  <c r="AD11" i="122"/>
  <c r="Z11" i="122"/>
  <c r="R11" i="122"/>
  <c r="N11" i="122"/>
  <c r="J11" i="122"/>
  <c r="B11" i="122"/>
  <c r="EF10" i="122"/>
  <c r="DR10" i="122"/>
  <c r="DC10" i="122"/>
  <c r="CY10" i="122"/>
  <c r="CU10" i="122"/>
  <c r="CQ10" i="122"/>
  <c r="CM10" i="122"/>
  <c r="CI10" i="122"/>
  <c r="CE10" i="122"/>
  <c r="BW10" i="122"/>
  <c r="BS10" i="122"/>
  <c r="BS22" i="122" s="1"/>
  <c r="BO10" i="122"/>
  <c r="BO22" i="122" s="1"/>
  <c r="BP22" i="122" s="1"/>
  <c r="AU10" i="122"/>
  <c r="AV10" i="122" s="1"/>
  <c r="AR10" i="122"/>
  <c r="AN10" i="122"/>
  <c r="AN35" i="122" s="1"/>
  <c r="AJ10" i="122"/>
  <c r="AJ35" i="122" s="1"/>
  <c r="AF10" i="122"/>
  <c r="AB10" i="122"/>
  <c r="T10" i="122"/>
  <c r="T35" i="122" s="1"/>
  <c r="O10" i="122"/>
  <c r="P10" i="122" s="1"/>
  <c r="P35" i="122" s="1"/>
  <c r="K10" i="122"/>
  <c r="L10" i="122" s="1"/>
  <c r="L35" i="122" s="1"/>
  <c r="D10" i="122"/>
  <c r="AU8" i="122"/>
  <c r="AU9" i="122" s="1"/>
  <c r="AP8" i="122"/>
  <c r="AL8" i="122"/>
  <c r="AH8" i="122"/>
  <c r="AD8" i="122"/>
  <c r="Z8" i="122"/>
  <c r="R8" i="122"/>
  <c r="N8" i="122"/>
  <c r="J8" i="122"/>
  <c r="B8" i="122"/>
  <c r="DC7" i="122"/>
  <c r="DD7" i="122" s="1"/>
  <c r="CY7" i="122"/>
  <c r="CZ7" i="122" s="1"/>
  <c r="CU7" i="122"/>
  <c r="CU8" i="122" s="1"/>
  <c r="CU9" i="122" s="1"/>
  <c r="CQ7" i="122"/>
  <c r="CQ8" i="122" s="1"/>
  <c r="CQ9" i="122" s="1"/>
  <c r="CP7" i="122"/>
  <c r="CM7" i="122"/>
  <c r="CM8" i="122" s="1"/>
  <c r="CM9" i="122" s="1"/>
  <c r="CL7" i="122"/>
  <c r="CI7" i="122"/>
  <c r="CI8" i="122" s="1"/>
  <c r="CI9" i="122" s="1"/>
  <c r="CE7" i="122"/>
  <c r="CE8" i="122" s="1"/>
  <c r="CE9" i="122" s="1"/>
  <c r="BW7" i="122"/>
  <c r="BX7" i="122" s="1"/>
  <c r="BS7" i="122"/>
  <c r="BS8" i="122" s="1"/>
  <c r="BS9" i="122" s="1"/>
  <c r="BO7" i="122"/>
  <c r="BO8" i="122" s="1"/>
  <c r="BO9" i="122" s="1"/>
  <c r="BK7" i="122"/>
  <c r="BL7" i="122" s="1"/>
  <c r="BG7" i="122"/>
  <c r="BH7" i="122" s="1"/>
  <c r="BC7" i="122"/>
  <c r="BC8" i="122" s="1"/>
  <c r="BC9" i="122" s="1"/>
  <c r="AV7" i="122"/>
  <c r="AV30" i="122" s="1"/>
  <c r="AU7" i="122"/>
  <c r="AT7" i="122"/>
  <c r="AQ7" i="122"/>
  <c r="AQ8" i="122" s="1"/>
  <c r="AQ9" i="122" s="1"/>
  <c r="AM7" i="122"/>
  <c r="AN7" i="122" s="1"/>
  <c r="AI7" i="122"/>
  <c r="AI8" i="122" s="1"/>
  <c r="AI9" i="122" s="1"/>
  <c r="AE7" i="122"/>
  <c r="AE8" i="122" s="1"/>
  <c r="AE9" i="122" s="1"/>
  <c r="AA7" i="122"/>
  <c r="AA8" i="122" s="1"/>
  <c r="AA9" i="122" s="1"/>
  <c r="S7" i="122"/>
  <c r="T7" i="122" s="1"/>
  <c r="T30" i="122" s="1"/>
  <c r="P7" i="122"/>
  <c r="O7" i="122" s="1"/>
  <c r="O8" i="122" s="1"/>
  <c r="L7" i="122"/>
  <c r="L30" i="122" s="1"/>
  <c r="D7" i="122"/>
  <c r="D30" i="122" s="1"/>
  <c r="L6" i="122"/>
  <c r="X6" i="122" s="1"/>
  <c r="AB6" i="122" s="1"/>
  <c r="AF6" i="122" s="1"/>
  <c r="AJ6" i="122" s="1"/>
  <c r="AN6" i="122" s="1"/>
  <c r="AR6" i="122" s="1"/>
  <c r="AV6" i="122" s="1"/>
  <c r="AZ6" i="122" s="1"/>
  <c r="BD6" i="122" s="1"/>
  <c r="BH6" i="122" s="1"/>
  <c r="BL6" i="122" s="1"/>
  <c r="BP6" i="122" s="1"/>
  <c r="K6" i="122"/>
  <c r="O6" i="122" s="1"/>
  <c r="J6" i="122"/>
  <c r="N6" i="122" s="1"/>
  <c r="H6" i="122"/>
  <c r="T6" i="122" s="1"/>
  <c r="G6" i="122"/>
  <c r="S6" i="122" s="1"/>
  <c r="F6" i="122"/>
  <c r="R6" i="122" s="1"/>
  <c r="CX18" i="122"/>
  <c r="CT18" i="122"/>
  <c r="CP5" i="122"/>
  <c r="CP18" i="122" s="1"/>
  <c r="CL5" i="122"/>
  <c r="CL18" i="122" s="1"/>
  <c r="CH5" i="122"/>
  <c r="CH18" i="122" s="1"/>
  <c r="BZ5" i="122"/>
  <c r="BR5" i="122"/>
  <c r="BR18" i="122" s="1"/>
  <c r="BJ5" i="122"/>
  <c r="BB5" i="122"/>
  <c r="AJ5" i="122"/>
  <c r="AN5" i="122" s="1"/>
  <c r="AR5" i="122" s="1"/>
  <c r="AV5" i="122" s="1"/>
  <c r="H5" i="122"/>
  <c r="DC4" i="122"/>
  <c r="CY4" i="122"/>
  <c r="CU4" i="122"/>
  <c r="CQ4" i="122"/>
  <c r="CM4" i="122"/>
  <c r="CI4" i="122"/>
  <c r="CE4" i="122"/>
  <c r="CA4" i="122"/>
  <c r="CB36" i="122" s="1"/>
  <c r="BW4" i="122"/>
  <c r="BS4" i="122"/>
  <c r="BO4" i="122"/>
  <c r="BK4" i="122"/>
  <c r="BG4" i="122"/>
  <c r="BC4" i="122"/>
  <c r="AU4" i="122"/>
  <c r="AV36" i="122" s="1"/>
  <c r="AQ4" i="122"/>
  <c r="AR36" i="122" s="1"/>
  <c r="AM4" i="122"/>
  <c r="AN36" i="122" s="1"/>
  <c r="AI4" i="122"/>
  <c r="AJ36" i="122" s="1"/>
  <c r="AE4" i="122"/>
  <c r="AB4" i="122"/>
  <c r="AF4" i="122" s="1"/>
  <c r="AJ4" i="122" s="1"/>
  <c r="AN4" i="122" s="1"/>
  <c r="AR4" i="122" s="1"/>
  <c r="AV4" i="122" s="1"/>
  <c r="AA4" i="122"/>
  <c r="W4" i="122"/>
  <c r="X36" i="122" s="1"/>
  <c r="S4" i="122"/>
  <c r="O4" i="122"/>
  <c r="K4" i="122"/>
  <c r="J4" i="122"/>
  <c r="R4" i="122" s="1"/>
  <c r="V4" i="122" s="1"/>
  <c r="Z4" i="122" s="1"/>
  <c r="AD4" i="122" s="1"/>
  <c r="AH4" i="122" s="1"/>
  <c r="AL4" i="122" s="1"/>
  <c r="AP4" i="122" s="1"/>
  <c r="AT4" i="122" s="1"/>
  <c r="H4" i="122"/>
  <c r="F4" i="122"/>
  <c r="N4" i="122" s="1"/>
  <c r="C4" i="122"/>
  <c r="A1" i="122"/>
  <c r="DR7" i="122" l="1"/>
  <c r="AF27" i="122"/>
  <c r="P8" i="122"/>
  <c r="P32" i="122" s="1"/>
  <c r="AF35" i="122"/>
  <c r="H38" i="122"/>
  <c r="DR19" i="122"/>
  <c r="BC20" i="122"/>
  <c r="BD20" i="122" s="1"/>
  <c r="BD21" i="122" s="1"/>
  <c r="BD27" i="122" s="1"/>
  <c r="B74" i="118"/>
  <c r="B75" i="118" s="1"/>
  <c r="B46" i="118"/>
  <c r="B63" i="118"/>
  <c r="Z20" i="122"/>
  <c r="P6" i="122"/>
  <c r="X19" i="122"/>
  <c r="X30" i="122" s="1"/>
  <c r="X20" i="122"/>
  <c r="X32" i="122" s="1"/>
  <c r="AM8" i="122"/>
  <c r="AA20" i="122"/>
  <c r="K7" i="122"/>
  <c r="K8" i="122" s="1"/>
  <c r="K9" i="122" s="1"/>
  <c r="AV22" i="122"/>
  <c r="AV35" i="122" s="1"/>
  <c r="AV38" i="122" s="1"/>
  <c r="AT20" i="122"/>
  <c r="W21" i="122"/>
  <c r="X21" i="122" s="1"/>
  <c r="X23" i="122" s="1"/>
  <c r="X25" i="122" s="1"/>
  <c r="H20" i="122"/>
  <c r="H32" i="122" s="1"/>
  <c r="AY20" i="122"/>
  <c r="AF8" i="122"/>
  <c r="H19" i="122"/>
  <c r="H30" i="122" s="1"/>
  <c r="BJ20" i="122"/>
  <c r="BL22" i="122"/>
  <c r="CV22" i="122"/>
  <c r="CR19" i="122"/>
  <c r="BT19" i="122"/>
  <c r="CN7" i="122"/>
  <c r="BK21" i="122"/>
  <c r="CQ21" i="122"/>
  <c r="S8" i="122"/>
  <c r="S9" i="122" s="1"/>
  <c r="AR19" i="122"/>
  <c r="CN19" i="122"/>
  <c r="CI20" i="122"/>
  <c r="CM20" i="122"/>
  <c r="AQ21" i="122"/>
  <c r="AR21" i="122" s="1"/>
  <c r="CF22" i="122"/>
  <c r="BG8" i="122"/>
  <c r="BG9" i="122" s="1"/>
  <c r="CE21" i="122"/>
  <c r="BW8" i="122"/>
  <c r="BW9" i="122" s="1"/>
  <c r="BS20" i="122"/>
  <c r="CJ19" i="122"/>
  <c r="CY8" i="122"/>
  <c r="CY9" i="122" s="1"/>
  <c r="CV19" i="122"/>
  <c r="DC8" i="122"/>
  <c r="DC9" i="122" s="1"/>
  <c r="CZ19" i="122"/>
  <c r="CZ30" i="122" s="1"/>
  <c r="CY20" i="122"/>
  <c r="BT6" i="122"/>
  <c r="BX6" i="122" s="1"/>
  <c r="CB6" i="122" s="1"/>
  <c r="CF6" i="122" s="1"/>
  <c r="CJ6" i="122" s="1"/>
  <c r="CN6" i="122" s="1"/>
  <c r="CR6" i="122" s="1"/>
  <c r="CV6" i="122" s="1"/>
  <c r="CZ6" i="122" s="1"/>
  <c r="DD6" i="122" s="1"/>
  <c r="DT6" i="122"/>
  <c r="AZ4" i="122"/>
  <c r="BD4" i="122"/>
  <c r="BL4" i="122" s="1"/>
  <c r="BT4" i="122" s="1"/>
  <c r="BX4" i="122" s="1"/>
  <c r="CB4" i="122" s="1"/>
  <c r="BH4" i="122"/>
  <c r="BP4" i="122" s="1"/>
  <c r="BD17" i="122"/>
  <c r="BH17" i="122" s="1"/>
  <c r="BL17" i="122" s="1"/>
  <c r="BP17" i="122" s="1"/>
  <c r="BT17" i="122" s="1"/>
  <c r="CB17" i="122" s="1"/>
  <c r="CJ17" i="122" s="1"/>
  <c r="CR17" i="122" s="1"/>
  <c r="CZ17" i="122" s="1"/>
  <c r="AZ17" i="122"/>
  <c r="BH30" i="122"/>
  <c r="AJ8" i="122"/>
  <c r="AJ32" i="122" s="1"/>
  <c r="AX4" i="122"/>
  <c r="BB4" i="122"/>
  <c r="BF4" i="122" s="1"/>
  <c r="BJ4" i="122" s="1"/>
  <c r="BN4" i="122" s="1"/>
  <c r="BR4" i="122" s="1"/>
  <c r="BV4" i="122" s="1"/>
  <c r="BZ4" i="122" s="1"/>
  <c r="CD4" i="122" s="1"/>
  <c r="CH4" i="122" s="1"/>
  <c r="CL4" i="122" s="1"/>
  <c r="CP4" i="122" s="1"/>
  <c r="CT4" i="122" s="1"/>
  <c r="CX4" i="122" s="1"/>
  <c r="DB4" i="122" s="1"/>
  <c r="BD18" i="122"/>
  <c r="BH18" i="122" s="1"/>
  <c r="BL18" i="122" s="1"/>
  <c r="BP18" i="122" s="1"/>
  <c r="BT18" i="122" s="1"/>
  <c r="CB18" i="122" s="1"/>
  <c r="CJ18" i="122" s="1"/>
  <c r="CR18" i="122" s="1"/>
  <c r="CZ18" i="122" s="1"/>
  <c r="AZ18" i="122"/>
  <c r="AN30" i="122"/>
  <c r="BL30" i="122"/>
  <c r="AZ5" i="122"/>
  <c r="BD5" i="122"/>
  <c r="BH5" i="122" s="1"/>
  <c r="BL5" i="122" s="1"/>
  <c r="BP5" i="122" s="1"/>
  <c r="BT5" i="122" s="1"/>
  <c r="BX5" i="122" s="1"/>
  <c r="CB5" i="122" s="1"/>
  <c r="CF5" i="122" s="1"/>
  <c r="CJ5" i="122" s="1"/>
  <c r="CN5" i="122" s="1"/>
  <c r="CR5" i="122" s="1"/>
  <c r="CV5" i="122" s="1"/>
  <c r="CZ5" i="122" s="1"/>
  <c r="DD5" i="122" s="1"/>
  <c r="BX30" i="122"/>
  <c r="AR8" i="122"/>
  <c r="BK8" i="122"/>
  <c r="C7" i="122"/>
  <c r="C8" i="122" s="1"/>
  <c r="AR7" i="122"/>
  <c r="CF7" i="122"/>
  <c r="CR7" i="122"/>
  <c r="AB8" i="122"/>
  <c r="AJ38" i="122"/>
  <c r="BP7" i="122"/>
  <c r="V6" i="122"/>
  <c r="Z6" i="122" s="1"/>
  <c r="AD6" i="122" s="1"/>
  <c r="AH6" i="122" s="1"/>
  <c r="AL6" i="122" s="1"/>
  <c r="AP6" i="122" s="1"/>
  <c r="AT6" i="122" s="1"/>
  <c r="AX6" i="122" s="1"/>
  <c r="BB6" i="122" s="1"/>
  <c r="BF6" i="122" s="1"/>
  <c r="BJ6" i="122" s="1"/>
  <c r="BN6" i="122" s="1"/>
  <c r="O9" i="122"/>
  <c r="AF19" i="122"/>
  <c r="AE20" i="122"/>
  <c r="AF20" i="122" s="1"/>
  <c r="AF32" i="122" s="1"/>
  <c r="AR20" i="122"/>
  <c r="AN38" i="122"/>
  <c r="BG21" i="122"/>
  <c r="BG20" i="122"/>
  <c r="BH20" i="122" s="1"/>
  <c r="W6" i="122"/>
  <c r="AA6" i="122" s="1"/>
  <c r="AE6" i="122" s="1"/>
  <c r="AI6" i="122" s="1"/>
  <c r="AM6" i="122" s="1"/>
  <c r="AQ6" i="122" s="1"/>
  <c r="AU6" i="122" s="1"/>
  <c r="AY6" i="122" s="1"/>
  <c r="BC6" i="122" s="1"/>
  <c r="BG6" i="122" s="1"/>
  <c r="BK6" i="122" s="1"/>
  <c r="BO6" i="122" s="1"/>
  <c r="AJ7" i="122"/>
  <c r="BT7" i="122"/>
  <c r="BO19" i="122"/>
  <c r="DC21" i="122"/>
  <c r="DD19" i="122"/>
  <c r="DD30" i="122" s="1"/>
  <c r="DC20" i="122"/>
  <c r="AF7" i="122"/>
  <c r="CJ7" i="122"/>
  <c r="P9" i="122"/>
  <c r="P11" i="122" s="1"/>
  <c r="P13" i="122" s="1"/>
  <c r="P30" i="122"/>
  <c r="AT8" i="122"/>
  <c r="CV7" i="122"/>
  <c r="AB35" i="122"/>
  <c r="AU21" i="122"/>
  <c r="AU20" i="122"/>
  <c r="AX23" i="122"/>
  <c r="AZ22" i="122"/>
  <c r="AZ35" i="122" s="1"/>
  <c r="AZ38" i="122" s="1"/>
  <c r="AX20" i="122"/>
  <c r="CA20" i="122"/>
  <c r="CB19" i="122"/>
  <c r="CE20" i="122"/>
  <c r="CF20" i="122" s="1"/>
  <c r="CF21" i="122" s="1"/>
  <c r="G21" i="122"/>
  <c r="H21" i="122" s="1"/>
  <c r="H27" i="122" s="1"/>
  <c r="AR22" i="122"/>
  <c r="CD23" i="122"/>
  <c r="CT23" i="122"/>
  <c r="BR20" i="122"/>
  <c r="BT22" i="122"/>
  <c r="Z23" i="122"/>
  <c r="AP23" i="122"/>
  <c r="BK20" i="122"/>
  <c r="CU20" i="122"/>
  <c r="CV20" i="122" s="1"/>
  <c r="AB21" i="122"/>
  <c r="AB27" i="122" s="1"/>
  <c r="AZ20" i="122" l="1"/>
  <c r="AV20" i="122"/>
  <c r="AV21" i="122" s="1"/>
  <c r="B76" i="118"/>
  <c r="B77" i="118" s="1"/>
  <c r="B78" i="118" s="1"/>
  <c r="B79" i="118" s="1"/>
  <c r="B80" i="118" s="1"/>
  <c r="B81" i="118" s="1"/>
  <c r="B82" i="118" s="1"/>
  <c r="B83" i="118" s="1"/>
  <c r="B84" i="118" s="1"/>
  <c r="B85" i="118" s="1"/>
  <c r="B86" i="118" s="1"/>
  <c r="B64" i="118"/>
  <c r="B47" i="118"/>
  <c r="B48" i="118" s="1"/>
  <c r="B49" i="118" s="1"/>
  <c r="AB20" i="122"/>
  <c r="AB32" i="122" s="1"/>
  <c r="BL20" i="122"/>
  <c r="BL21" i="122" s="1"/>
  <c r="BL23" i="122" s="1"/>
  <c r="BL25" i="122" s="1"/>
  <c r="S9" i="120"/>
  <c r="AV8" i="122"/>
  <c r="AV32" i="122" s="1"/>
  <c r="AR27" i="122"/>
  <c r="AM9" i="122"/>
  <c r="AN8" i="122"/>
  <c r="L8" i="122"/>
  <c r="L32" i="122" s="1"/>
  <c r="AV27" i="122"/>
  <c r="CF23" i="122"/>
  <c r="CF25" i="122" s="1"/>
  <c r="CF37" i="122" s="1"/>
  <c r="CN30" i="122"/>
  <c r="CV21" i="122"/>
  <c r="CV23" i="122" s="1"/>
  <c r="CV25" i="122" s="1"/>
  <c r="CV27" i="122" s="1"/>
  <c r="DT19" i="122"/>
  <c r="DS19" i="122" s="1"/>
  <c r="T8" i="122"/>
  <c r="DT7" i="122"/>
  <c r="DS7" i="122" s="1"/>
  <c r="BT20" i="122"/>
  <c r="BT21" i="122" s="1"/>
  <c r="BT23" i="122" s="1"/>
  <c r="BT25" i="122" s="1"/>
  <c r="BT27" i="122" s="1"/>
  <c r="AR35" i="122"/>
  <c r="AR38" i="122" s="1"/>
  <c r="BO21" i="122"/>
  <c r="BO20" i="122"/>
  <c r="BP20" i="122" s="1"/>
  <c r="AR32" i="122"/>
  <c r="H31" i="122"/>
  <c r="H33" i="122" s="1"/>
  <c r="H39" i="122" s="1"/>
  <c r="BT30" i="122"/>
  <c r="BK9" i="122"/>
  <c r="P15" i="122"/>
  <c r="P36" i="122"/>
  <c r="P38" i="122" s="1"/>
  <c r="DR6" i="122"/>
  <c r="BR6" i="122"/>
  <c r="BV6" i="122" s="1"/>
  <c r="BZ6" i="122" s="1"/>
  <c r="CD6" i="122" s="1"/>
  <c r="CH6" i="122" s="1"/>
  <c r="CL6" i="122" s="1"/>
  <c r="CP6" i="122" s="1"/>
  <c r="AB9" i="122"/>
  <c r="AB11" i="122" s="1"/>
  <c r="AB13" i="122" s="1"/>
  <c r="AJ9" i="122"/>
  <c r="AJ15" i="122" s="1"/>
  <c r="AJ30" i="122"/>
  <c r="CB30" i="122"/>
  <c r="AZ32" i="122"/>
  <c r="AZ21" i="122"/>
  <c r="AZ27" i="122" s="1"/>
  <c r="CV30" i="122"/>
  <c r="BP30" i="122"/>
  <c r="X37" i="122"/>
  <c r="X38" i="122" s="1"/>
  <c r="X27" i="122"/>
  <c r="CR30" i="122"/>
  <c r="CJ30" i="122"/>
  <c r="AF30" i="122"/>
  <c r="AF9" i="122"/>
  <c r="AF11" i="122" s="1"/>
  <c r="AF13" i="122" s="1"/>
  <c r="CF30" i="122"/>
  <c r="DS6" i="122"/>
  <c r="BS6" i="122"/>
  <c r="BW6" i="122" s="1"/>
  <c r="CA6" i="122" s="1"/>
  <c r="CE6" i="122" s="1"/>
  <c r="CI6" i="122" s="1"/>
  <c r="CM6" i="122" s="1"/>
  <c r="CQ6" i="122" s="1"/>
  <c r="CU6" i="122" s="1"/>
  <c r="CY6" i="122" s="1"/>
  <c r="DC6" i="122" s="1"/>
  <c r="BH21" i="122"/>
  <c r="BH27" i="122" s="1"/>
  <c r="AR30" i="122"/>
  <c r="AR9" i="122"/>
  <c r="AR15" i="122" s="1"/>
  <c r="C9" i="122"/>
  <c r="D8" i="122"/>
  <c r="L9" i="122" l="1"/>
  <c r="L11" i="122" s="1"/>
  <c r="L13" i="122" s="1"/>
  <c r="B87" i="118"/>
  <c r="B88" i="118" s="1"/>
  <c r="B89" i="118" s="1"/>
  <c r="B90" i="118" s="1"/>
  <c r="B91" i="118" s="1"/>
  <c r="B92" i="118" s="1"/>
  <c r="AU9" i="120" s="1"/>
  <c r="B65" i="118"/>
  <c r="B66" i="118" s="1"/>
  <c r="B67" i="118" s="1"/>
  <c r="B68" i="118" s="1"/>
  <c r="B69" i="118" s="1"/>
  <c r="B70" i="118" s="1"/>
  <c r="AQ9" i="120" s="1"/>
  <c r="AV9" i="122"/>
  <c r="AV15" i="122" s="1"/>
  <c r="AV31" i="122" s="1"/>
  <c r="AV33" i="122" s="1"/>
  <c r="AV39" i="122" s="1"/>
  <c r="B50" i="118"/>
  <c r="B51" i="118" s="1"/>
  <c r="B52" i="118" s="1"/>
  <c r="B53" i="118" s="1"/>
  <c r="AM9" i="120" s="1"/>
  <c r="AR31" i="122"/>
  <c r="AR33" i="122" s="1"/>
  <c r="AR39" i="122" s="1"/>
  <c r="CF27" i="122"/>
  <c r="CT6" i="122"/>
  <c r="CX6" i="122" s="1"/>
  <c r="DB6" i="122" s="1"/>
  <c r="AN32" i="122"/>
  <c r="AN9" i="122"/>
  <c r="AN15" i="122" s="1"/>
  <c r="AN31" i="122" s="1"/>
  <c r="AN33" i="122" s="1"/>
  <c r="AN39" i="122" s="1"/>
  <c r="CV37" i="122"/>
  <c r="BT37" i="122"/>
  <c r="T32" i="122"/>
  <c r="T9" i="122"/>
  <c r="T11" i="122" s="1"/>
  <c r="T13" i="122" s="1"/>
  <c r="DT30" i="122"/>
  <c r="X31" i="122"/>
  <c r="X33" i="122" s="1"/>
  <c r="X39" i="122" s="1"/>
  <c r="AJ31" i="122"/>
  <c r="AJ33" i="122" s="1"/>
  <c r="AJ39" i="122" s="1"/>
  <c r="BP21" i="122"/>
  <c r="BP23" i="122" s="1"/>
  <c r="D32" i="122"/>
  <c r="D9" i="122"/>
  <c r="D11" i="122" s="1"/>
  <c r="AF36" i="122"/>
  <c r="AF38" i="122" s="1"/>
  <c r="AF15" i="122"/>
  <c r="AZ31" i="122"/>
  <c r="AZ33" i="122" s="1"/>
  <c r="AZ39" i="122" s="1"/>
  <c r="BL27" i="122"/>
  <c r="BL37" i="122"/>
  <c r="L36" i="122"/>
  <c r="L38" i="122" s="1"/>
  <c r="L15" i="122"/>
  <c r="P31" i="122"/>
  <c r="P33" i="122" s="1"/>
  <c r="P39" i="122" s="1"/>
  <c r="AB15" i="122"/>
  <c r="AB36" i="122"/>
  <c r="AB38" i="122" s="1"/>
  <c r="T15" i="122" l="1"/>
  <c r="T31" i="122" s="1"/>
  <c r="T33" i="122" s="1"/>
  <c r="T36" i="122"/>
  <c r="T38" i="122" s="1"/>
  <c r="AF31" i="122"/>
  <c r="AF33" i="122" s="1"/>
  <c r="AF39" i="122" s="1"/>
  <c r="AB31" i="122"/>
  <c r="AB33" i="122" s="1"/>
  <c r="AB39" i="122" s="1"/>
  <c r="L31" i="122"/>
  <c r="L33" i="122" s="1"/>
  <c r="L39" i="122" s="1"/>
  <c r="BP25" i="122"/>
  <c r="D13" i="122"/>
  <c r="T39" i="122" l="1"/>
  <c r="BP27" i="122"/>
  <c r="BP37" i="122"/>
  <c r="D15" i="122"/>
  <c r="D31" i="122" l="1"/>
  <c r="D33" i="122" l="1"/>
  <c r="I845" i="109" l="1"/>
  <c r="Z25" i="88" l="1"/>
  <c r="Z10" i="88"/>
  <c r="S68" i="14" l="1"/>
  <c r="S82" i="14"/>
  <c r="AR83" i="83" l="1"/>
  <c r="AS83" i="83"/>
  <c r="AT83" i="83"/>
  <c r="AU83" i="83"/>
  <c r="AV83" i="83"/>
  <c r="AW83" i="83"/>
  <c r="AX83" i="83"/>
  <c r="AQ84" i="83"/>
  <c r="AR84" i="83"/>
  <c r="AS84" i="83"/>
  <c r="AT84" i="83"/>
  <c r="AU84" i="83"/>
  <c r="AV84" i="83"/>
  <c r="AW84" i="83"/>
  <c r="AX84" i="83"/>
  <c r="AQ85" i="83"/>
  <c r="AR85" i="83"/>
  <c r="AS85" i="83"/>
  <c r="AT85" i="83"/>
  <c r="AU85" i="83"/>
  <c r="AV85" i="83"/>
  <c r="AW85" i="83"/>
  <c r="AX85" i="83"/>
  <c r="AQ86" i="83"/>
  <c r="AR86" i="83"/>
  <c r="AS86" i="83"/>
  <c r="AT86" i="83"/>
  <c r="AU86" i="83"/>
  <c r="AV86" i="83"/>
  <c r="AW86" i="83"/>
  <c r="AX86" i="83"/>
  <c r="AQ87" i="83"/>
  <c r="AR87" i="83"/>
  <c r="AS87" i="83"/>
  <c r="AT87" i="83"/>
  <c r="AU87" i="83"/>
  <c r="AV87" i="83"/>
  <c r="AW87" i="83"/>
  <c r="AX87" i="83"/>
  <c r="AQ88" i="83"/>
  <c r="AR88" i="83"/>
  <c r="AS88" i="83"/>
  <c r="AT88" i="83"/>
  <c r="AU88" i="83"/>
  <c r="AV88" i="83"/>
  <c r="AW88" i="83"/>
  <c r="AX88" i="83"/>
  <c r="G89" i="83"/>
  <c r="S89" i="83"/>
  <c r="T89" i="83"/>
  <c r="U89" i="83"/>
  <c r="V89" i="83"/>
  <c r="AF89" i="83"/>
  <c r="AG89" i="83"/>
  <c r="AH89" i="83"/>
  <c r="AI89" i="83"/>
  <c r="AJ89" i="83"/>
  <c r="AK89" i="83"/>
  <c r="AL89" i="83"/>
  <c r="AM89" i="83"/>
  <c r="AN89" i="83"/>
  <c r="AO89" i="83"/>
  <c r="AP89" i="83"/>
  <c r="AQ89" i="83"/>
  <c r="AR89" i="83"/>
  <c r="AS89" i="83"/>
  <c r="AT89" i="83"/>
  <c r="AU89" i="83"/>
  <c r="AV89" i="83"/>
  <c r="AW89" i="83"/>
  <c r="AX89" i="83"/>
  <c r="AQ90" i="83"/>
  <c r="AR90" i="83"/>
  <c r="AS90" i="83"/>
  <c r="AT90" i="83"/>
  <c r="AU90" i="83"/>
  <c r="AV90" i="83"/>
  <c r="AW90" i="83"/>
  <c r="AX90" i="83"/>
  <c r="AR91" i="83"/>
  <c r="AS91" i="83"/>
  <c r="AT91" i="83"/>
  <c r="AU91" i="83"/>
  <c r="AV91" i="83"/>
  <c r="AW91" i="83"/>
  <c r="AX91" i="83"/>
  <c r="AQ92" i="83"/>
  <c r="AR92" i="83"/>
  <c r="AS92" i="83"/>
  <c r="AT92" i="83"/>
  <c r="AU92" i="83"/>
  <c r="AV92" i="83"/>
  <c r="AW92" i="83"/>
  <c r="AX92" i="83"/>
  <c r="AY67" i="83"/>
  <c r="AY1" i="83" l="1"/>
  <c r="AY2" i="83"/>
  <c r="U92" i="83" l="1"/>
  <c r="U90" i="83"/>
  <c r="U85" i="83"/>
  <c r="V88" i="83"/>
  <c r="T92" i="83"/>
  <c r="T90" i="83"/>
  <c r="T85" i="83"/>
  <c r="U88" i="83"/>
  <c r="S92" i="83"/>
  <c r="S90" i="83"/>
  <c r="S85" i="83"/>
  <c r="T88" i="83"/>
  <c r="V91" i="83"/>
  <c r="V86" i="83"/>
  <c r="V84" i="83"/>
  <c r="S88" i="83"/>
  <c r="U91" i="83"/>
  <c r="U86" i="83"/>
  <c r="U84" i="83"/>
  <c r="V87" i="83"/>
  <c r="T91" i="83"/>
  <c r="T86" i="83"/>
  <c r="T84" i="83"/>
  <c r="U87" i="83"/>
  <c r="S91" i="83"/>
  <c r="S86" i="83"/>
  <c r="S84" i="83"/>
  <c r="T87" i="83"/>
  <c r="V92" i="83"/>
  <c r="V90" i="83"/>
  <c r="V85" i="83"/>
  <c r="S87" i="83"/>
  <c r="C55" i="88" l="1"/>
  <c r="D55" i="88"/>
  <c r="E55" i="88"/>
  <c r="F55" i="88"/>
  <c r="G55" i="88"/>
  <c r="H55" i="88"/>
  <c r="I55" i="88"/>
  <c r="J55" i="88"/>
  <c r="K55" i="88"/>
  <c r="L55" i="88"/>
  <c r="M55" i="88"/>
  <c r="B55" i="88"/>
  <c r="I300" i="80" l="1"/>
  <c r="X20" i="81" l="1"/>
  <c r="X21" i="81"/>
  <c r="R25" i="81"/>
  <c r="J128" i="14" l="1"/>
  <c r="J127" i="14"/>
  <c r="J126" i="14"/>
  <c r="J130" i="14" l="1"/>
  <c r="G61" i="14"/>
  <c r="J60" i="14"/>
  <c r="CH5" i="69" l="1"/>
  <c r="B11" i="74" l="1"/>
  <c r="B12" i="74" s="1"/>
  <c r="AV10" i="113"/>
  <c r="BV9" i="69" l="1"/>
  <c r="AV9" i="113"/>
  <c r="B15" i="118" l="1"/>
  <c r="B16" i="118" s="1"/>
  <c r="B17" i="118" s="1"/>
  <c r="B18" i="118" s="1"/>
  <c r="B19" i="118" s="1"/>
  <c r="B20" i="118" s="1"/>
  <c r="B12" i="118"/>
  <c r="B13" i="118" s="1"/>
  <c r="W9" i="120" s="1"/>
  <c r="E48" i="117"/>
  <c r="E46" i="117"/>
  <c r="BF9" i="122"/>
  <c r="E52" i="117"/>
  <c r="B21" i="118" l="1"/>
  <c r="B22" i="118" s="1"/>
  <c r="B23" i="118" s="1"/>
  <c r="B24" i="118" s="1"/>
  <c r="AE9" i="120" s="1"/>
  <c r="BF11" i="122"/>
  <c r="BH10" i="122"/>
  <c r="BH35" i="122" s="1"/>
  <c r="BF8" i="122"/>
  <c r="BH8" i="122" s="1"/>
  <c r="BB9" i="122" l="1"/>
  <c r="BH9" i="122"/>
  <c r="BH11" i="122" s="1"/>
  <c r="BH13" i="122" s="1"/>
  <c r="BH32" i="122"/>
  <c r="C34" i="88"/>
  <c r="D34" i="88"/>
  <c r="E34" i="88"/>
  <c r="F34" i="88"/>
  <c r="G34" i="88"/>
  <c r="H34" i="88"/>
  <c r="I34" i="88"/>
  <c r="J34" i="88"/>
  <c r="K34" i="88"/>
  <c r="L34" i="88"/>
  <c r="M34" i="88"/>
  <c r="N34" i="88"/>
  <c r="O34" i="88"/>
  <c r="P34" i="88"/>
  <c r="Q34" i="88"/>
  <c r="R34" i="88"/>
  <c r="AM34" i="88"/>
  <c r="AT34" i="88"/>
  <c r="C35" i="88"/>
  <c r="D35" i="88"/>
  <c r="E35" i="88"/>
  <c r="F35" i="88"/>
  <c r="G35" i="88"/>
  <c r="H35" i="88"/>
  <c r="I35" i="88"/>
  <c r="J35" i="88"/>
  <c r="K35" i="88"/>
  <c r="L35" i="88"/>
  <c r="M35" i="88"/>
  <c r="N35" i="88"/>
  <c r="O35" i="88"/>
  <c r="P35" i="88"/>
  <c r="Q35" i="88"/>
  <c r="R35" i="88"/>
  <c r="B34" i="88"/>
  <c r="B35" i="88"/>
  <c r="C33" i="88"/>
  <c r="D33" i="88"/>
  <c r="E33" i="88"/>
  <c r="B33" i="88"/>
  <c r="BD10" i="122" l="1"/>
  <c r="BD35" i="122" s="1"/>
  <c r="BB8" i="122"/>
  <c r="BB11" i="122"/>
  <c r="BH15" i="122"/>
  <c r="BH36" i="122"/>
  <c r="BH38" i="122" s="1"/>
  <c r="D173" i="80"/>
  <c r="K332" i="80" s="1"/>
  <c r="D105" i="80"/>
  <c r="I332" i="80" s="1"/>
  <c r="BD8" i="122" l="1"/>
  <c r="BD32" i="122" s="1"/>
  <c r="BH31" i="122"/>
  <c r="BH33" i="122" s="1"/>
  <c r="BH39" i="122" s="1"/>
  <c r="AR40" i="88"/>
  <c r="AS40" i="88"/>
  <c r="AT40" i="88"/>
  <c r="BD9" i="122" l="1"/>
  <c r="BD11" i="122" s="1"/>
  <c r="BD13" i="122" s="1"/>
  <c r="BD36" i="122" s="1"/>
  <c r="BD38" i="122" s="1"/>
  <c r="BD15" i="122" l="1"/>
  <c r="BD31" i="122" s="1"/>
  <c r="BD33" i="122" s="1"/>
  <c r="D157" i="80"/>
  <c r="D241" i="80"/>
  <c r="L332" i="80" s="1"/>
  <c r="BD39" i="122" l="1"/>
  <c r="O35" i="81"/>
  <c r="E53" i="85" l="1"/>
  <c r="B61" i="83" l="1"/>
  <c r="V61" i="83" l="1"/>
  <c r="U61" i="83"/>
  <c r="T61" i="83"/>
  <c r="S61" i="83"/>
  <c r="CP5" i="69" l="1"/>
  <c r="CL5" i="69"/>
  <c r="B82" i="74"/>
  <c r="B83" i="74" l="1"/>
  <c r="B84" i="74" s="1"/>
  <c r="B85" i="74" l="1"/>
  <c r="B86" i="74" s="1"/>
  <c r="B286" i="80"/>
  <c r="L331" i="80"/>
  <c r="B87" i="74" l="1"/>
  <c r="K275" i="80"/>
  <c r="J275" i="80"/>
  <c r="K274" i="80"/>
  <c r="K273" i="80"/>
  <c r="K272" i="80"/>
  <c r="K269" i="80"/>
  <c r="K268" i="80"/>
  <c r="K267" i="80"/>
  <c r="K266" i="80"/>
  <c r="J266" i="80"/>
  <c r="I266" i="80"/>
  <c r="K265" i="80"/>
  <c r="K264" i="80"/>
  <c r="K263" i="80"/>
  <c r="K262" i="80"/>
  <c r="K261" i="80"/>
  <c r="K260" i="80"/>
  <c r="K259" i="80"/>
  <c r="J259" i="80"/>
  <c r="I259" i="80"/>
  <c r="K257" i="80"/>
  <c r="J257" i="80"/>
  <c r="I257" i="80"/>
  <c r="K256" i="80"/>
  <c r="K253" i="80"/>
  <c r="K252" i="80"/>
  <c r="J252" i="80"/>
  <c r="L252" i="80" s="1"/>
  <c r="K251" i="80"/>
  <c r="J251" i="80"/>
  <c r="I251" i="80"/>
  <c r="K250" i="80"/>
  <c r="J250" i="80"/>
  <c r="I250" i="80"/>
  <c r="K249" i="80"/>
  <c r="J249" i="80"/>
  <c r="L249" i="80" s="1"/>
  <c r="I249" i="80"/>
  <c r="K248" i="80"/>
  <c r="K247" i="80"/>
  <c r="G262" i="80"/>
  <c r="I262" i="80" s="1"/>
  <c r="G263" i="80"/>
  <c r="I263" i="80" s="1"/>
  <c r="D249" i="80"/>
  <c r="D250" i="80"/>
  <c r="D273" i="80"/>
  <c r="D269" i="80"/>
  <c r="D268" i="80"/>
  <c r="D267" i="80"/>
  <c r="D266" i="80"/>
  <c r="D265" i="80"/>
  <c r="D259" i="80"/>
  <c r="D257" i="80"/>
  <c r="D256" i="80"/>
  <c r="D252" i="80"/>
  <c r="D251" i="80"/>
  <c r="D248" i="80"/>
  <c r="D134" i="80"/>
  <c r="D135" i="80"/>
  <c r="D50" i="80"/>
  <c r="D51" i="80"/>
  <c r="B32" i="80"/>
  <c r="D32" i="80" s="1"/>
  <c r="I15" i="80"/>
  <c r="D15" i="80"/>
  <c r="D16" i="80"/>
  <c r="D14" i="80"/>
  <c r="P60" i="14"/>
  <c r="B88" i="74" l="1"/>
  <c r="B89" i="74" s="1"/>
  <c r="B90" i="74" s="1"/>
  <c r="B91" i="74" s="1"/>
  <c r="B92" i="74" s="1"/>
  <c r="B93" i="74" s="1"/>
  <c r="B94" i="74" s="1"/>
  <c r="B95" i="74" s="1"/>
  <c r="B96" i="74" s="1"/>
  <c r="B97" i="74" s="1"/>
  <c r="B98" i="74" s="1"/>
  <c r="B99" i="74" s="1"/>
  <c r="B100" i="74" s="1"/>
  <c r="CX9" i="69" s="1"/>
  <c r="L259" i="80"/>
  <c r="L275" i="80"/>
  <c r="L266" i="80"/>
  <c r="L250" i="80"/>
  <c r="L257" i="80"/>
  <c r="L251" i="80"/>
  <c r="N152" i="1"/>
  <c r="BO19" i="120" l="1"/>
  <c r="BO10" i="120"/>
  <c r="AC42" i="120"/>
  <c r="Y42" i="120"/>
  <c r="Y37" i="120"/>
  <c r="E30" i="120"/>
  <c r="A27" i="120"/>
  <c r="A25" i="120"/>
  <c r="A23" i="120"/>
  <c r="A22" i="120"/>
  <c r="CD20" i="120"/>
  <c r="A20" i="120"/>
  <c r="A19" i="120"/>
  <c r="I37" i="120"/>
  <c r="E37" i="120"/>
  <c r="D14" i="120"/>
  <c r="CC10" i="120"/>
  <c r="BD10" i="120"/>
  <c r="AZ10" i="120"/>
  <c r="AV10" i="120"/>
  <c r="AR10" i="120"/>
  <c r="AN10" i="120"/>
  <c r="AJ10" i="120"/>
  <c r="AF10" i="120"/>
  <c r="X10" i="120"/>
  <c r="T10" i="120"/>
  <c r="P10" i="120"/>
  <c r="S8" i="120"/>
  <c r="K11" i="120"/>
  <c r="BD7" i="120"/>
  <c r="BE7" i="120" s="1"/>
  <c r="AZ7" i="120"/>
  <c r="AZ8" i="120" s="1"/>
  <c r="AZ9" i="120" s="1"/>
  <c r="AV7" i="120"/>
  <c r="AW7" i="120" s="1"/>
  <c r="AR7" i="120"/>
  <c r="AR8" i="120" s="1"/>
  <c r="AR9" i="120" s="1"/>
  <c r="AN7" i="120"/>
  <c r="AN8" i="120" s="1"/>
  <c r="AN9" i="120" s="1"/>
  <c r="AJ7" i="120"/>
  <c r="AK7" i="120" s="1"/>
  <c r="AF7" i="120"/>
  <c r="AG7" i="120" s="1"/>
  <c r="X7" i="120"/>
  <c r="X8" i="120" s="1"/>
  <c r="X9" i="120" s="1"/>
  <c r="T7" i="120"/>
  <c r="T8" i="120" s="1"/>
  <c r="P7" i="120"/>
  <c r="Q7" i="120" s="1"/>
  <c r="L7" i="120"/>
  <c r="M7" i="120" s="1"/>
  <c r="H7" i="120"/>
  <c r="H8" i="120" s="1"/>
  <c r="H9" i="120" s="1"/>
  <c r="D7" i="120"/>
  <c r="D8" i="120" s="1"/>
  <c r="D9" i="120" s="1"/>
  <c r="AC36" i="120"/>
  <c r="A1" i="120"/>
  <c r="J6" i="118"/>
  <c r="C8" i="120" l="1"/>
  <c r="E44" i="117"/>
  <c r="E10" i="120"/>
  <c r="E35" i="120" s="1"/>
  <c r="K8" i="120"/>
  <c r="AS7" i="120"/>
  <c r="AS30" i="120" s="1"/>
  <c r="I7" i="120"/>
  <c r="I30" i="120" s="1"/>
  <c r="L8" i="120"/>
  <c r="L9" i="120" s="1"/>
  <c r="BD8" i="120"/>
  <c r="BD9" i="120" s="1"/>
  <c r="P8" i="120"/>
  <c r="P9" i="120" s="1"/>
  <c r="M10" i="120"/>
  <c r="C11" i="120"/>
  <c r="Y7" i="120"/>
  <c r="U10" i="120"/>
  <c r="AW30" i="120"/>
  <c r="BP6" i="120"/>
  <c r="BO6" i="120"/>
  <c r="AG30" i="120"/>
  <c r="BA7" i="120"/>
  <c r="AK30" i="120"/>
  <c r="AO7" i="120"/>
  <c r="BE30" i="120"/>
  <c r="Q30" i="120"/>
  <c r="U8" i="120"/>
  <c r="T9" i="120"/>
  <c r="U7" i="120"/>
  <c r="M30" i="120"/>
  <c r="AF8" i="120"/>
  <c r="AF9" i="120" s="1"/>
  <c r="AC35" i="120"/>
  <c r="AJ8" i="120"/>
  <c r="AJ9" i="120" s="1"/>
  <c r="AV8" i="120"/>
  <c r="S11" i="120"/>
  <c r="A7" i="118"/>
  <c r="A8" i="118" s="1"/>
  <c r="A9" i="118" s="1"/>
  <c r="A10" i="118" s="1"/>
  <c r="A11" i="118" s="1"/>
  <c r="A12" i="118" s="1"/>
  <c r="A13" i="118" s="1"/>
  <c r="A14" i="118" s="1"/>
  <c r="A15" i="118" s="1"/>
  <c r="A16" i="118" s="1"/>
  <c r="A17" i="118" s="1"/>
  <c r="A18" i="118" s="1"/>
  <c r="A19" i="118" s="1"/>
  <c r="A20" i="118" s="1"/>
  <c r="A21" i="118" s="1"/>
  <c r="A22" i="118" s="1"/>
  <c r="A23" i="118" s="1"/>
  <c r="A24" i="118" s="1"/>
  <c r="A25" i="118" s="1"/>
  <c r="A26" i="118" s="1"/>
  <c r="A27" i="118" s="1"/>
  <c r="A28" i="118" s="1"/>
  <c r="A29" i="118" s="1"/>
  <c r="A30" i="118" s="1"/>
  <c r="A31" i="118" s="1"/>
  <c r="A32" i="118" s="1"/>
  <c r="A33" i="118" s="1"/>
  <c r="A34" i="118" s="1"/>
  <c r="A35" i="118" s="1"/>
  <c r="A36" i="118" s="1"/>
  <c r="A37" i="118" s="1"/>
  <c r="A38" i="118" s="1"/>
  <c r="A39" i="118" s="1"/>
  <c r="A40" i="118" s="1"/>
  <c r="A41" i="118" s="1"/>
  <c r="A42" i="118" s="1"/>
  <c r="A43" i="118" s="1"/>
  <c r="A44" i="118" s="1"/>
  <c r="A45" i="118" s="1"/>
  <c r="A46" i="118" s="1"/>
  <c r="A47" i="118" s="1"/>
  <c r="A48" i="118" s="1"/>
  <c r="A49" i="118" s="1"/>
  <c r="A50" i="118" s="1"/>
  <c r="A51" i="118" s="1"/>
  <c r="A52" i="118" s="1"/>
  <c r="A53" i="118" s="1"/>
  <c r="A54" i="118" s="1"/>
  <c r="A55" i="118" s="1"/>
  <c r="A56" i="118" s="1"/>
  <c r="A57" i="118" s="1"/>
  <c r="A58" i="118" s="1"/>
  <c r="A59" i="118" s="1"/>
  <c r="A60" i="118" s="1"/>
  <c r="A61" i="118" s="1"/>
  <c r="A62" i="118" s="1"/>
  <c r="A63" i="118" s="1"/>
  <c r="A64" i="118" s="1"/>
  <c r="A65" i="118" s="1"/>
  <c r="A66" i="118" s="1"/>
  <c r="A67" i="118" s="1"/>
  <c r="A68" i="118" s="1"/>
  <c r="A69" i="118" s="1"/>
  <c r="A70" i="118" s="1"/>
  <c r="A71" i="118" s="1"/>
  <c r="A72" i="118" s="1"/>
  <c r="A73" i="118" s="1"/>
  <c r="A74" i="118" s="1"/>
  <c r="A75" i="118" s="1"/>
  <c r="A76" i="118" s="1"/>
  <c r="A77" i="118" s="1"/>
  <c r="A78" i="118" s="1"/>
  <c r="A79" i="118" s="1"/>
  <c r="A80" i="118" s="1"/>
  <c r="A81" i="118" s="1"/>
  <c r="A82" i="118" s="1"/>
  <c r="A83" i="118" s="1"/>
  <c r="A84" i="118" s="1"/>
  <c r="A85" i="118" s="1"/>
  <c r="A86" i="118" s="1"/>
  <c r="A87" i="118" s="1"/>
  <c r="A88" i="118" s="1"/>
  <c r="A89" i="118" s="1"/>
  <c r="A90" i="118" s="1"/>
  <c r="A91" i="118" s="1"/>
  <c r="A92" i="118" s="1"/>
  <c r="A93" i="118" s="1"/>
  <c r="A94" i="118" s="1"/>
  <c r="A95" i="118" s="1"/>
  <c r="A96" i="118" s="1"/>
  <c r="A97" i="118" s="1"/>
  <c r="A98" i="118" s="1"/>
  <c r="A99" i="118" s="1"/>
  <c r="A100" i="118" s="1"/>
  <c r="A101" i="118" s="1"/>
  <c r="A102" i="118" s="1"/>
  <c r="A103" i="118" s="1"/>
  <c r="A104" i="118" s="1"/>
  <c r="A105" i="118" s="1"/>
  <c r="A106" i="118" s="1"/>
  <c r="A107" i="118" s="1"/>
  <c r="A108" i="118" s="1"/>
  <c r="A109" i="118" s="1"/>
  <c r="A110" i="118" s="1"/>
  <c r="A111" i="118" s="1"/>
  <c r="A112" i="118" s="1"/>
  <c r="A113" i="118" s="1"/>
  <c r="A114" i="118" s="1"/>
  <c r="A115" i="118" s="1"/>
  <c r="A116" i="118" s="1"/>
  <c r="A117" i="118" s="1"/>
  <c r="A118" i="118" s="1"/>
  <c r="A119" i="118" s="1"/>
  <c r="A120" i="118" s="1"/>
  <c r="A121" i="118" s="1"/>
  <c r="A122" i="118" s="1"/>
  <c r="A123" i="118" s="1"/>
  <c r="A124" i="118" s="1"/>
  <c r="A125" i="118" s="1"/>
  <c r="A126" i="118" s="1"/>
  <c r="A127" i="118" s="1"/>
  <c r="A128" i="118" s="1"/>
  <c r="A129" i="118" s="1"/>
  <c r="A130" i="118" s="1"/>
  <c r="A131" i="118" s="1"/>
  <c r="A132" i="118" s="1"/>
  <c r="A133" i="118" s="1"/>
  <c r="A134" i="118" s="1"/>
  <c r="A135" i="118" s="1"/>
  <c r="A136" i="118" s="1"/>
  <c r="A137" i="118" s="1"/>
  <c r="A138" i="118" s="1"/>
  <c r="A139" i="118" s="1"/>
  <c r="A140" i="118" s="1"/>
  <c r="A141" i="118" s="1"/>
  <c r="A142" i="118" s="1"/>
  <c r="A143" i="118" s="1"/>
  <c r="A144" i="118" s="1"/>
  <c r="A145" i="118" s="1"/>
  <c r="A146" i="118" s="1"/>
  <c r="A147" i="118" s="1"/>
  <c r="A148" i="118" s="1"/>
  <c r="A149" i="118" s="1"/>
  <c r="A150" i="118" s="1"/>
  <c r="A151" i="118" s="1"/>
  <c r="A152" i="118" s="1"/>
  <c r="A153" i="118" s="1"/>
  <c r="A154" i="118" s="1"/>
  <c r="A155" i="118" s="1"/>
  <c r="A156" i="118" s="1"/>
  <c r="A157" i="118" s="1"/>
  <c r="A158" i="118" s="1"/>
  <c r="A159" i="118" s="1"/>
  <c r="A160" i="118" s="1"/>
  <c r="A161" i="118" s="1"/>
  <c r="A162" i="118" s="1"/>
  <c r="A163" i="118" s="1"/>
  <c r="A164" i="118" s="1"/>
  <c r="A165" i="118" s="1"/>
  <c r="A166" i="118" s="1"/>
  <c r="A167" i="118" s="1"/>
  <c r="A168" i="118" s="1"/>
  <c r="A169" i="118" s="1"/>
  <c r="A170" i="118" s="1"/>
  <c r="A171" i="118" s="1"/>
  <c r="A172" i="118" s="1"/>
  <c r="A173" i="118" s="1"/>
  <c r="A174" i="118" s="1"/>
  <c r="A175" i="118" s="1"/>
  <c r="A176" i="118" s="1"/>
  <c r="A177" i="118" s="1"/>
  <c r="A178" i="118" s="1"/>
  <c r="A179" i="118" s="1"/>
  <c r="A180" i="118" s="1"/>
  <c r="A181" i="118" s="1"/>
  <c r="A182" i="118" s="1"/>
  <c r="A183" i="118" s="1"/>
  <c r="A184" i="118" s="1"/>
  <c r="A185" i="118" s="1"/>
  <c r="A186" i="118" s="1"/>
  <c r="A187" i="118" s="1"/>
  <c r="A188" i="118" s="1"/>
  <c r="A189" i="118" s="1"/>
  <c r="A190" i="118" s="1"/>
  <c r="A191" i="118" s="1"/>
  <c r="A192" i="118" s="1"/>
  <c r="A193" i="118" s="1"/>
  <c r="A194" i="118" s="1"/>
  <c r="A195" i="118" s="1"/>
  <c r="A196" i="118" s="1"/>
  <c r="A197" i="118" s="1"/>
  <c r="A198" i="118" s="1"/>
  <c r="A199" i="118" s="1"/>
  <c r="A200" i="118" s="1"/>
  <c r="A201" i="118" s="1"/>
  <c r="A202" i="118" s="1"/>
  <c r="A203" i="118" s="1"/>
  <c r="A204" i="118" s="1"/>
  <c r="A205" i="118" s="1"/>
  <c r="A206" i="118" s="1"/>
  <c r="A207" i="118" s="1"/>
  <c r="A208" i="118" s="1"/>
  <c r="A209" i="118" s="1"/>
  <c r="A210" i="118" s="1"/>
  <c r="A211" i="118" s="1"/>
  <c r="A212" i="118" s="1"/>
  <c r="A213" i="118" s="1"/>
  <c r="A214" i="118" s="1"/>
  <c r="A215" i="118" s="1"/>
  <c r="A216" i="118" s="1"/>
  <c r="A217" i="118" s="1"/>
  <c r="A218" i="118" s="1"/>
  <c r="A219" i="118" s="1"/>
  <c r="A220" i="118" s="1"/>
  <c r="A221" i="118" s="1"/>
  <c r="A222" i="118" s="1"/>
  <c r="A223" i="118" s="1"/>
  <c r="A224" i="118" s="1"/>
  <c r="A225" i="118" s="1"/>
  <c r="A226" i="118" s="1"/>
  <c r="A227" i="118" s="1"/>
  <c r="A228" i="118" s="1"/>
  <c r="A229" i="118" s="1"/>
  <c r="A230" i="118" s="1"/>
  <c r="A231" i="118" s="1"/>
  <c r="A232" i="118" s="1"/>
  <c r="A233" i="118" s="1"/>
  <c r="A234" i="118" s="1"/>
  <c r="A235" i="118" s="1"/>
  <c r="A236" i="118" s="1"/>
  <c r="A237" i="118" s="1"/>
  <c r="A238" i="118" s="1"/>
  <c r="A239" i="118" s="1"/>
  <c r="A240" i="118" s="1"/>
  <c r="A241" i="118" s="1"/>
  <c r="A242" i="118" s="1"/>
  <c r="A243" i="118" s="1"/>
  <c r="A244" i="118" s="1"/>
  <c r="A245" i="118" s="1"/>
  <c r="A246" i="118" s="1"/>
  <c r="A247" i="118" s="1"/>
  <c r="A248" i="118" s="1"/>
  <c r="A249" i="118" s="1"/>
  <c r="A250" i="118" s="1"/>
  <c r="A251" i="118" s="1"/>
  <c r="A252" i="118" s="1"/>
  <c r="A253" i="118" s="1"/>
  <c r="A254" i="118" s="1"/>
  <c r="A255" i="118" s="1"/>
  <c r="A256" i="118" s="1"/>
  <c r="A257" i="118" s="1"/>
  <c r="A258" i="118" s="1"/>
  <c r="A259" i="118" s="1"/>
  <c r="A260" i="118" s="1"/>
  <c r="A261" i="118" s="1"/>
  <c r="A262" i="118" s="1"/>
  <c r="A263" i="118" s="1"/>
  <c r="A264" i="118" s="1"/>
  <c r="A265" i="118" s="1"/>
  <c r="A266" i="118" s="1"/>
  <c r="A267" i="118" s="1"/>
  <c r="A268" i="118" s="1"/>
  <c r="A269" i="118" s="1"/>
  <c r="A270" i="118" s="1"/>
  <c r="A271" i="118" s="1"/>
  <c r="A272" i="118" s="1"/>
  <c r="A273" i="118" s="1"/>
  <c r="A274" i="118" s="1"/>
  <c r="A275" i="118" s="1"/>
  <c r="A276" i="118" s="1"/>
  <c r="A277" i="118" s="1"/>
  <c r="A278" i="118" s="1"/>
  <c r="A279" i="118" s="1"/>
  <c r="A280" i="118" s="1"/>
  <c r="A281" i="118" s="1"/>
  <c r="A282" i="118" s="1"/>
  <c r="A283" i="118" s="1"/>
  <c r="A284" i="118" s="1"/>
  <c r="A285" i="118" s="1"/>
  <c r="A286" i="118" s="1"/>
  <c r="A287" i="118" s="1"/>
  <c r="A288" i="118" s="1"/>
  <c r="A289" i="118" s="1"/>
  <c r="A290" i="118" s="1"/>
  <c r="A291" i="118" s="1"/>
  <c r="A292" i="118" s="1"/>
  <c r="A293" i="118" s="1"/>
  <c r="A294" i="118" s="1"/>
  <c r="B119" i="118"/>
  <c r="B120" i="118" s="1"/>
  <c r="B121" i="118" s="1"/>
  <c r="B122" i="118" s="1"/>
  <c r="B123" i="118" s="1"/>
  <c r="B124" i="118" s="1"/>
  <c r="B125" i="118" s="1"/>
  <c r="B94" i="118"/>
  <c r="B95" i="118" s="1"/>
  <c r="B96" i="118" s="1"/>
  <c r="E3" i="119"/>
  <c r="F3" i="118"/>
  <c r="A340" i="118" l="1"/>
  <c r="A341" i="118" s="1"/>
  <c r="A342" i="118" s="1"/>
  <c r="B97" i="118"/>
  <c r="B98" i="118" s="1"/>
  <c r="B100" i="118" s="1"/>
  <c r="B101" i="118" s="1"/>
  <c r="B102" i="118" s="1"/>
  <c r="B103" i="118" s="1"/>
  <c r="B104" i="118" s="1"/>
  <c r="B105" i="118" s="1"/>
  <c r="B106" i="118" s="1"/>
  <c r="B107" i="118" s="1"/>
  <c r="B108" i="118" s="1"/>
  <c r="B109" i="118" s="1"/>
  <c r="B110" i="118" s="1"/>
  <c r="B111" i="118" s="1"/>
  <c r="B112" i="118" s="1"/>
  <c r="B113" i="118" s="1"/>
  <c r="B114" i="118" s="1"/>
  <c r="B115" i="118" s="1"/>
  <c r="B116" i="118" s="1"/>
  <c r="E8" i="120"/>
  <c r="E9" i="120" s="1"/>
  <c r="E11" i="120" s="1"/>
  <c r="E13" i="120" s="1"/>
  <c r="B126" i="118"/>
  <c r="B127" i="118" s="1"/>
  <c r="B128" i="118" s="1"/>
  <c r="B129" i="118" s="1"/>
  <c r="B130" i="118" s="1"/>
  <c r="B131" i="118" s="1"/>
  <c r="B132" i="118" s="1"/>
  <c r="B133" i="118" s="1"/>
  <c r="B134" i="118" s="1"/>
  <c r="B135" i="118" s="1"/>
  <c r="B8" i="118"/>
  <c r="O9" i="120" s="1"/>
  <c r="J12" i="118"/>
  <c r="BQ7" i="120"/>
  <c r="J7" i="118"/>
  <c r="J8" i="118"/>
  <c r="E54" i="117"/>
  <c r="J11" i="118"/>
  <c r="J14" i="118"/>
  <c r="M35" i="120"/>
  <c r="AO37" i="120"/>
  <c r="AC32" i="120"/>
  <c r="Y30" i="120"/>
  <c r="U35" i="120"/>
  <c r="BQ19" i="120"/>
  <c r="BP19" i="120" s="1"/>
  <c r="M8" i="120"/>
  <c r="M9" i="120" s="1"/>
  <c r="M11" i="120" s="1"/>
  <c r="M13" i="120" s="1"/>
  <c r="M36" i="120" s="1"/>
  <c r="U32" i="120"/>
  <c r="AK37" i="120"/>
  <c r="BE37" i="120"/>
  <c r="BA30" i="120"/>
  <c r="U30" i="120"/>
  <c r="U9" i="120"/>
  <c r="U11" i="120" s="1"/>
  <c r="U13" i="120" s="1"/>
  <c r="AC30" i="120"/>
  <c r="AO30" i="120"/>
  <c r="BQ6" i="120"/>
  <c r="AV9" i="120"/>
  <c r="B136" i="118" l="1"/>
  <c r="B137" i="118" s="1"/>
  <c r="B138" i="118" s="1"/>
  <c r="B139" i="118" s="1"/>
  <c r="B140" i="118" s="1"/>
  <c r="B141" i="118" s="1"/>
  <c r="B142" i="118" s="1"/>
  <c r="B143" i="118" s="1"/>
  <c r="B144" i="118" s="1"/>
  <c r="B145" i="118" s="1"/>
  <c r="B146" i="118" s="1"/>
  <c r="B147" i="118" s="1"/>
  <c r="B148" i="118" s="1"/>
  <c r="B149" i="118" s="1"/>
  <c r="B150" i="118" s="1"/>
  <c r="B151" i="118" s="1"/>
  <c r="B152" i="118" s="1"/>
  <c r="E32" i="120"/>
  <c r="F509" i="118"/>
  <c r="E56" i="117"/>
  <c r="AE8" i="120"/>
  <c r="AG8" i="120" s="1"/>
  <c r="AG32" i="120" s="1"/>
  <c r="AG10" i="120"/>
  <c r="AG35" i="120" s="1"/>
  <c r="AE11" i="120"/>
  <c r="W8" i="120"/>
  <c r="Y8" i="120" s="1"/>
  <c r="W11" i="120"/>
  <c r="Y10" i="120"/>
  <c r="Y35" i="120" s="1"/>
  <c r="G11" i="120"/>
  <c r="G8" i="120"/>
  <c r="I10" i="120"/>
  <c r="I35" i="120" s="1"/>
  <c r="AC37" i="120"/>
  <c r="AC38" i="120" s="1"/>
  <c r="M32" i="120"/>
  <c r="M15" i="120"/>
  <c r="U37" i="120"/>
  <c r="AG37" i="120"/>
  <c r="BA37" i="120"/>
  <c r="AW37" i="120"/>
  <c r="AS37" i="120"/>
  <c r="U36" i="120"/>
  <c r="U15" i="120"/>
  <c r="U31" i="120" s="1"/>
  <c r="U33" i="120" s="1"/>
  <c r="E36" i="120"/>
  <c r="E38" i="120" s="1"/>
  <c r="E15" i="120"/>
  <c r="Q37" i="120"/>
  <c r="B153" i="118" l="1"/>
  <c r="B154" i="118" s="1"/>
  <c r="B155" i="118" s="1"/>
  <c r="B156" i="118" s="1"/>
  <c r="B157" i="118" s="1"/>
  <c r="B158" i="118" s="1"/>
  <c r="B159" i="118" s="1"/>
  <c r="B160" i="118" s="1"/>
  <c r="BC9" i="120" s="1"/>
  <c r="Q10" i="120"/>
  <c r="Q35" i="120" s="1"/>
  <c r="O11" i="120"/>
  <c r="E50" i="117"/>
  <c r="O8" i="120"/>
  <c r="AG9" i="120"/>
  <c r="AG11" i="120" s="1"/>
  <c r="AG13" i="120" s="1"/>
  <c r="AG36" i="120" s="1"/>
  <c r="AG38" i="120" s="1"/>
  <c r="Y32" i="120"/>
  <c r="Y9" i="120"/>
  <c r="Y11" i="120" s="1"/>
  <c r="Y13" i="120" s="1"/>
  <c r="I8" i="120"/>
  <c r="AC31" i="120"/>
  <c r="AC33" i="120" s="1"/>
  <c r="AC39" i="120" s="1"/>
  <c r="U38" i="120"/>
  <c r="U39" i="120" s="1"/>
  <c r="E31" i="120"/>
  <c r="E33" i="120" s="1"/>
  <c r="E39" i="120" s="1"/>
  <c r="BQ38" i="120"/>
  <c r="Q8" i="120" l="1"/>
  <c r="Q9" i="120" s="1"/>
  <c r="Q11" i="120" s="1"/>
  <c r="Q13" i="120" s="1"/>
  <c r="Q15" i="120" s="1"/>
  <c r="Q31" i="120" s="1"/>
  <c r="AG15" i="120"/>
  <c r="AG31" i="120" s="1"/>
  <c r="AG33" i="120" s="1"/>
  <c r="AG39" i="120" s="1"/>
  <c r="I32" i="120"/>
  <c r="I9" i="120"/>
  <c r="I11" i="120" s="1"/>
  <c r="I13" i="120" s="1"/>
  <c r="Y36" i="120"/>
  <c r="Y38" i="120" s="1"/>
  <c r="Y15" i="120"/>
  <c r="Y31" i="120" s="1"/>
  <c r="Y33" i="120" s="1"/>
  <c r="BQ41" i="120"/>
  <c r="M37" i="120"/>
  <c r="M38" i="120" s="1"/>
  <c r="AY9" i="120" l="1"/>
  <c r="Q32" i="120"/>
  <c r="Q33" i="120" s="1"/>
  <c r="Q36" i="120"/>
  <c r="Q38" i="120" s="1"/>
  <c r="Y39" i="120"/>
  <c r="I36" i="120"/>
  <c r="I38" i="120" s="1"/>
  <c r="I15" i="120"/>
  <c r="M31" i="120"/>
  <c r="M33" i="120" s="1"/>
  <c r="M39" i="120" s="1"/>
  <c r="Q39" i="120" l="1"/>
  <c r="I31" i="120"/>
  <c r="I33" i="120" s="1"/>
  <c r="I39" i="120" s="1"/>
  <c r="B135" i="109" l="1"/>
  <c r="B136" i="109" s="1"/>
  <c r="B137" i="109" s="1"/>
  <c r="B138" i="109" s="1"/>
  <c r="B139" i="109" s="1"/>
  <c r="B140" i="109" s="1"/>
  <c r="B141" i="109" s="1"/>
  <c r="B142" i="109" s="1"/>
  <c r="B143" i="109" s="1"/>
  <c r="B144" i="109" s="1"/>
  <c r="B145" i="109" s="1"/>
  <c r="B146" i="109" l="1"/>
  <c r="B147" i="109" s="1"/>
  <c r="B148" i="109" s="1"/>
  <c r="B149" i="109" s="1"/>
  <c r="B150" i="109" s="1"/>
  <c r="B151" i="109" s="1"/>
  <c r="B152" i="109" s="1"/>
  <c r="B153" i="109" s="1"/>
  <c r="B154" i="109" s="1"/>
  <c r="I83" i="80"/>
  <c r="Z29" i="81"/>
  <c r="Z31" i="81"/>
  <c r="N13" i="81"/>
  <c r="Z13" i="81" s="1"/>
  <c r="V186" i="1"/>
  <c r="V187" i="1"/>
  <c r="V191" i="1"/>
  <c r="AF191" i="1"/>
  <c r="N10" i="85" s="1"/>
  <c r="B155" i="109" l="1"/>
  <c r="B156" i="109" s="1"/>
  <c r="S60" i="14"/>
  <c r="L68" i="14"/>
  <c r="V68" i="14"/>
  <c r="K22" i="116"/>
  <c r="D12" i="116"/>
  <c r="AF166" i="1" s="1"/>
  <c r="AU23" i="63"/>
  <c r="B8" i="81" s="1"/>
  <c r="B157" i="109" l="1"/>
  <c r="B158" i="109" s="1"/>
  <c r="B159" i="109" s="1"/>
  <c r="B160" i="109" s="1"/>
  <c r="B161" i="109" s="1"/>
  <c r="B162" i="109" s="1"/>
  <c r="B163" i="109" s="1"/>
  <c r="B164" i="109" s="1"/>
  <c r="B165" i="109" s="1"/>
  <c r="AA72" i="14"/>
  <c r="V16" i="1"/>
  <c r="B166" i="109" l="1"/>
  <c r="B167" i="109" s="1"/>
  <c r="B168" i="109" s="1"/>
  <c r="B169" i="109" s="1"/>
  <c r="B170" i="109" s="1"/>
  <c r="B171" i="109" s="1"/>
  <c r="B172" i="109" s="1"/>
  <c r="B173" i="109" s="1"/>
  <c r="B174" i="109" s="1"/>
  <c r="B175" i="109" s="1"/>
  <c r="B176" i="109" s="1"/>
  <c r="B177" i="109" s="1"/>
  <c r="B178" i="109" s="1"/>
  <c r="B179" i="109" s="1"/>
  <c r="B180" i="109" s="1"/>
  <c r="B181" i="109" s="1"/>
  <c r="B182" i="109" s="1"/>
  <c r="B183" i="109" s="1"/>
  <c r="B184" i="109" s="1"/>
  <c r="B185" i="109" s="1"/>
  <c r="B186" i="109" s="1"/>
  <c r="B187" i="109" s="1"/>
  <c r="B188" i="109" s="1"/>
  <c r="B189" i="109" s="1"/>
  <c r="B190" i="109" s="1"/>
  <c r="B191" i="109" s="1"/>
  <c r="B192" i="109" s="1"/>
  <c r="B193" i="109" s="1"/>
  <c r="B194" i="109" s="1"/>
  <c r="B195" i="109" s="1"/>
  <c r="B196" i="109" s="1"/>
  <c r="B197" i="109" s="1"/>
  <c r="B198" i="109" s="1"/>
  <c r="B199" i="109" s="1"/>
  <c r="V190" i="1"/>
  <c r="B200" i="109" l="1"/>
  <c r="B201" i="109" s="1"/>
  <c r="B202" i="109" s="1"/>
  <c r="R60" i="14"/>
  <c r="R68" i="14"/>
  <c r="V15" i="1"/>
  <c r="R82" i="14"/>
  <c r="B203" i="109" l="1"/>
  <c r="B204" i="109" s="1"/>
  <c r="B205" i="109" s="1"/>
  <c r="B206" i="109" s="1"/>
  <c r="B207" i="109" s="1"/>
  <c r="V189" i="1"/>
  <c r="H60" i="14"/>
  <c r="B208" i="109" l="1"/>
  <c r="B209" i="109" s="1"/>
  <c r="B210" i="109" s="1"/>
  <c r="B211" i="109" s="1"/>
  <c r="V65" i="14"/>
  <c r="V69" i="14"/>
  <c r="B212" i="109" l="1"/>
  <c r="B213" i="109" s="1"/>
  <c r="B214" i="109" s="1"/>
  <c r="B215" i="109" s="1"/>
  <c r="B216" i="109" s="1"/>
  <c r="B217" i="109" s="1"/>
  <c r="B218" i="109" s="1"/>
  <c r="AC187" i="1"/>
  <c r="AC189" i="1"/>
  <c r="AC190" i="1"/>
  <c r="AC191" i="1"/>
  <c r="AC186" i="1"/>
  <c r="AB187" i="1"/>
  <c r="AB189" i="1"/>
  <c r="AB191" i="1"/>
  <c r="AB186" i="1"/>
  <c r="AA187" i="1"/>
  <c r="AA188" i="1"/>
  <c r="AA189" i="1"/>
  <c r="AA190" i="1"/>
  <c r="AA191" i="1"/>
  <c r="AA186" i="1"/>
  <c r="Z187" i="1"/>
  <c r="Z191" i="1"/>
  <c r="Z186" i="1"/>
  <c r="Y187" i="1"/>
  <c r="Y189" i="1"/>
  <c r="Y190" i="1"/>
  <c r="Y191" i="1"/>
  <c r="Y186" i="1"/>
  <c r="X187" i="1"/>
  <c r="X191" i="1"/>
  <c r="X186" i="1"/>
  <c r="U187" i="1"/>
  <c r="U190" i="1"/>
  <c r="U191" i="1"/>
  <c r="U186" i="1"/>
  <c r="T187" i="1"/>
  <c r="T191" i="1"/>
  <c r="T186" i="1"/>
  <c r="S187" i="1"/>
  <c r="S188" i="1"/>
  <c r="S191" i="1"/>
  <c r="S186" i="1"/>
  <c r="R188" i="1"/>
  <c r="R189" i="1"/>
  <c r="R190" i="1"/>
  <c r="R191" i="1"/>
  <c r="Q188" i="1"/>
  <c r="Q190" i="1"/>
  <c r="Q191" i="1"/>
  <c r="Q186" i="1"/>
  <c r="P188" i="1"/>
  <c r="P189" i="1"/>
  <c r="P190" i="1"/>
  <c r="P191" i="1"/>
  <c r="O188" i="1"/>
  <c r="O191" i="1"/>
  <c r="O186" i="1"/>
  <c r="L187" i="1"/>
  <c r="L188" i="1"/>
  <c r="L191" i="1"/>
  <c r="L186" i="1"/>
  <c r="K187" i="1"/>
  <c r="K188" i="1"/>
  <c r="K191" i="1"/>
  <c r="K186" i="1"/>
  <c r="J187" i="1"/>
  <c r="J188" i="1"/>
  <c r="J189" i="1"/>
  <c r="J190" i="1"/>
  <c r="J191" i="1"/>
  <c r="I188" i="1"/>
  <c r="I189" i="1"/>
  <c r="I190" i="1"/>
  <c r="I191" i="1"/>
  <c r="I186" i="1"/>
  <c r="H187" i="1"/>
  <c r="H188" i="1"/>
  <c r="H189" i="1"/>
  <c r="H190" i="1"/>
  <c r="H191" i="1"/>
  <c r="H186" i="1"/>
  <c r="G187" i="1"/>
  <c r="G188" i="1"/>
  <c r="G189" i="1"/>
  <c r="G190" i="1"/>
  <c r="G191" i="1"/>
  <c r="G186" i="1"/>
  <c r="F188" i="1"/>
  <c r="F189" i="1"/>
  <c r="F190" i="1"/>
  <c r="F191" i="1"/>
  <c r="F186" i="1"/>
  <c r="E187" i="1"/>
  <c r="E188" i="1"/>
  <c r="E190" i="1"/>
  <c r="E191" i="1"/>
  <c r="E186" i="1"/>
  <c r="D186" i="1"/>
  <c r="C187" i="1"/>
  <c r="C188" i="1"/>
  <c r="C189" i="1"/>
  <c r="AJ189" i="1" s="1"/>
  <c r="C190" i="1"/>
  <c r="AJ190" i="1" s="1"/>
  <c r="C191" i="1"/>
  <c r="AJ191" i="1" s="1"/>
  <c r="M165" i="1"/>
  <c r="AC171" i="1"/>
  <c r="AB171" i="1"/>
  <c r="AA171" i="1"/>
  <c r="U171" i="1"/>
  <c r="T171" i="1"/>
  <c r="S171" i="1"/>
  <c r="R171" i="1"/>
  <c r="E174" i="1" s="1"/>
  <c r="Q171" i="1"/>
  <c r="E175" i="1" s="1"/>
  <c r="F175" i="1" s="1"/>
  <c r="P171" i="1"/>
  <c r="O171" i="1"/>
  <c r="K171" i="1"/>
  <c r="I171" i="1"/>
  <c r="H171" i="1"/>
  <c r="G171" i="1"/>
  <c r="F171" i="1"/>
  <c r="E171" i="1"/>
  <c r="C171" i="1"/>
  <c r="C180" i="1" s="1"/>
  <c r="M170" i="1"/>
  <c r="AD169" i="1"/>
  <c r="M169" i="1"/>
  <c r="AD168" i="1"/>
  <c r="L171" i="1"/>
  <c r="Z171" i="1"/>
  <c r="M167" i="1"/>
  <c r="W171" i="1"/>
  <c r="J171" i="1"/>
  <c r="B219" i="109" l="1"/>
  <c r="B220" i="109" s="1"/>
  <c r="B221" i="109" s="1"/>
  <c r="B222" i="109" s="1"/>
  <c r="B223" i="109" s="1"/>
  <c r="B224" i="109" s="1"/>
  <c r="B225" i="109" s="1"/>
  <c r="B226" i="109" s="1"/>
  <c r="B227" i="109" s="1"/>
  <c r="B228" i="109" s="1"/>
  <c r="B229" i="109" s="1"/>
  <c r="B230" i="109" s="1"/>
  <c r="B231" i="109" s="1"/>
  <c r="B232" i="109" s="1"/>
  <c r="B233" i="109" s="1"/>
  <c r="B234" i="109" s="1"/>
  <c r="B235" i="109" s="1"/>
  <c r="B236" i="109" s="1"/>
  <c r="B237" i="109" s="1"/>
  <c r="B238" i="109" s="1"/>
  <c r="B239" i="109" s="1"/>
  <c r="B240" i="109" s="1"/>
  <c r="B241" i="109" s="1"/>
  <c r="B242" i="109" s="1"/>
  <c r="B243" i="109" s="1"/>
  <c r="B244" i="109" s="1"/>
  <c r="B245" i="109" s="1"/>
  <c r="B246" i="109" s="1"/>
  <c r="B247" i="109" s="1"/>
  <c r="B248" i="109" s="1"/>
  <c r="AV7" i="88"/>
  <c r="E176" i="1"/>
  <c r="E179" i="1"/>
  <c r="E173" i="1"/>
  <c r="E177" i="1"/>
  <c r="E178" i="1"/>
  <c r="AE170" i="1"/>
  <c r="D171" i="1"/>
  <c r="AD166" i="1"/>
  <c r="N171" i="1"/>
  <c r="AE169" i="1"/>
  <c r="J5" i="116" s="1"/>
  <c r="AE168" i="1"/>
  <c r="J6" i="116" s="1"/>
  <c r="M166" i="1"/>
  <c r="B249" i="109" l="1"/>
  <c r="B251" i="109" s="1"/>
  <c r="B252" i="109" s="1"/>
  <c r="J8" i="110" s="1"/>
  <c r="AG170" i="1"/>
  <c r="J4" i="116"/>
  <c r="AG168" i="1"/>
  <c r="AG169" i="1"/>
  <c r="AE166" i="1"/>
  <c r="AE165" i="1"/>
  <c r="M171" i="1"/>
  <c r="J7" i="116" l="1"/>
  <c r="E7" i="116"/>
  <c r="AG166" i="1"/>
  <c r="E12" i="116"/>
  <c r="E40" i="117" l="1"/>
  <c r="E39" i="117"/>
  <c r="E38" i="117"/>
  <c r="E37" i="117"/>
  <c r="E36" i="117"/>
  <c r="E35" i="117"/>
  <c r="E34" i="117"/>
  <c r="E33" i="117"/>
  <c r="E32" i="117"/>
  <c r="E31" i="117"/>
  <c r="E30" i="117"/>
  <c r="E29" i="117"/>
  <c r="E28" i="117"/>
  <c r="E27" i="117"/>
  <c r="E26" i="117"/>
  <c r="E25" i="117"/>
  <c r="E24" i="117"/>
  <c r="E23" i="117"/>
  <c r="E22" i="117"/>
  <c r="E21" i="117"/>
  <c r="E20" i="117"/>
  <c r="E19" i="117"/>
  <c r="E18" i="117"/>
  <c r="E17" i="117"/>
  <c r="E16" i="117"/>
  <c r="E15" i="117"/>
  <c r="E14" i="117"/>
  <c r="E13" i="117"/>
  <c r="E12" i="117"/>
  <c r="E11" i="117"/>
  <c r="E10" i="117"/>
  <c r="U106" i="117"/>
  <c r="U105" i="117"/>
  <c r="E103" i="117"/>
  <c r="M102" i="117"/>
  <c r="N101" i="117"/>
  <c r="F99" i="117"/>
  <c r="L97" i="117"/>
  <c r="M95" i="117"/>
  <c r="U91" i="117"/>
  <c r="R91" i="117"/>
  <c r="O91" i="117"/>
  <c r="M91" i="117"/>
  <c r="O90" i="117"/>
  <c r="P90" i="117" s="1"/>
  <c r="D90" i="117"/>
  <c r="F90" i="117" s="1"/>
  <c r="O89" i="117"/>
  <c r="P89" i="117" s="1"/>
  <c r="M89" i="117"/>
  <c r="Z88" i="117"/>
  <c r="O88" i="117"/>
  <c r="P88" i="117" s="1"/>
  <c r="O87" i="117"/>
  <c r="P87" i="117" s="1"/>
  <c r="M87" i="117"/>
  <c r="O86" i="117"/>
  <c r="P86" i="117" s="1"/>
  <c r="G88" i="117"/>
  <c r="P84" i="117"/>
  <c r="M84" i="117"/>
  <c r="O81" i="117"/>
  <c r="P81" i="117" s="1"/>
  <c r="P80" i="117"/>
  <c r="O79" i="117"/>
  <c r="P79" i="117" s="1"/>
  <c r="O78" i="117"/>
  <c r="P78" i="117" s="1"/>
  <c r="M78" i="117"/>
  <c r="O77" i="117"/>
  <c r="P77" i="117" s="1"/>
  <c r="M77" i="117"/>
  <c r="O76" i="117"/>
  <c r="P76" i="117" s="1"/>
  <c r="M76" i="117"/>
  <c r="O75" i="117"/>
  <c r="P75" i="117" s="1"/>
  <c r="M75" i="117"/>
  <c r="O74" i="117"/>
  <c r="P74" i="117" s="1"/>
  <c r="M74" i="117"/>
  <c r="O73" i="117"/>
  <c r="P73" i="117" s="1"/>
  <c r="M73" i="117"/>
  <c r="O72" i="117"/>
  <c r="P72" i="117" s="1"/>
  <c r="M72" i="117"/>
  <c r="O71" i="117"/>
  <c r="P71" i="117" s="1"/>
  <c r="M71" i="117"/>
  <c r="O70" i="117"/>
  <c r="P70" i="117" s="1"/>
  <c r="M70" i="117"/>
  <c r="O69" i="117"/>
  <c r="P69" i="117" s="1"/>
  <c r="M69" i="117"/>
  <c r="O68" i="117"/>
  <c r="P68" i="117" s="1"/>
  <c r="M68" i="117"/>
  <c r="O67" i="117"/>
  <c r="P67" i="117" s="1"/>
  <c r="M67" i="117"/>
  <c r="O66" i="117"/>
  <c r="P66" i="117" s="1"/>
  <c r="M66" i="117"/>
  <c r="O65" i="117"/>
  <c r="P65" i="117" s="1"/>
  <c r="M65" i="117"/>
  <c r="O64" i="117"/>
  <c r="P64" i="117" s="1"/>
  <c r="M64" i="117"/>
  <c r="O63" i="117"/>
  <c r="P63" i="117" s="1"/>
  <c r="M63" i="117"/>
  <c r="O62" i="117"/>
  <c r="P62" i="117" s="1"/>
  <c r="M62" i="117"/>
  <c r="O61" i="117"/>
  <c r="P61" i="117" s="1"/>
  <c r="M61" i="117"/>
  <c r="O60" i="117"/>
  <c r="P60" i="117" s="1"/>
  <c r="M60" i="117"/>
  <c r="O59" i="117"/>
  <c r="P59" i="117" s="1"/>
  <c r="M59" i="117"/>
  <c r="O58" i="117"/>
  <c r="P58" i="117" s="1"/>
  <c r="M58" i="117"/>
  <c r="O57" i="117"/>
  <c r="P57" i="117" s="1"/>
  <c r="M57" i="117"/>
  <c r="O56" i="117"/>
  <c r="P56" i="117" s="1"/>
  <c r="M56" i="117"/>
  <c r="O55" i="117"/>
  <c r="P55" i="117" s="1"/>
  <c r="M55" i="117"/>
  <c r="AA54" i="117"/>
  <c r="O54" i="117"/>
  <c r="P54" i="117" s="1"/>
  <c r="M54" i="117"/>
  <c r="O51" i="117"/>
  <c r="P51" i="117" s="1"/>
  <c r="M51" i="117"/>
  <c r="O50" i="117"/>
  <c r="P50" i="117" s="1"/>
  <c r="M50" i="117"/>
  <c r="O49" i="117"/>
  <c r="P49" i="117" s="1"/>
  <c r="M49" i="117"/>
  <c r="O48" i="117"/>
  <c r="P48" i="117" s="1"/>
  <c r="M48" i="117"/>
  <c r="O45" i="117"/>
  <c r="P45" i="117" s="1"/>
  <c r="M45" i="117"/>
  <c r="Y44" i="117"/>
  <c r="O44" i="117"/>
  <c r="P44" i="117" s="1"/>
  <c r="H100" i="117"/>
  <c r="M43" i="117"/>
  <c r="T42" i="117"/>
  <c r="R42" i="117"/>
  <c r="Q42" i="117"/>
  <c r="O42" i="117"/>
  <c r="J92" i="117"/>
  <c r="D42" i="117"/>
  <c r="H41" i="117"/>
  <c r="M41" i="117" s="1"/>
  <c r="B37" i="117"/>
  <c r="B32" i="117"/>
  <c r="J5" i="117"/>
  <c r="F5" i="117"/>
  <c r="H2" i="117"/>
  <c r="F12" i="116"/>
  <c r="D7" i="116"/>
  <c r="AF165" i="1" s="1"/>
  <c r="AG165" i="1" s="1"/>
  <c r="K6" i="116"/>
  <c r="K4" i="116"/>
  <c r="AF171" i="1" l="1"/>
  <c r="E42" i="117"/>
  <c r="C42" i="117" s="1"/>
  <c r="B21" i="85"/>
  <c r="K21" i="85" s="1"/>
  <c r="L21" i="85" s="1"/>
  <c r="G90" i="117"/>
  <c r="H90" i="117" s="1"/>
  <c r="H103" i="117" s="1"/>
  <c r="S30" i="115" a="1"/>
  <c r="S30" i="115" s="1"/>
  <c r="AU30" i="115" s="1"/>
  <c r="B33" i="85"/>
  <c r="L94" i="117"/>
  <c r="P42" i="117"/>
  <c r="S42" i="117" s="1"/>
  <c r="T91" i="117"/>
  <c r="V91" i="117" s="1"/>
  <c r="I94" i="117"/>
  <c r="B33" i="117"/>
  <c r="F86" i="117"/>
  <c r="H86" i="117" s="1"/>
  <c r="H97" i="117"/>
  <c r="H101" i="117"/>
  <c r="M44" i="117"/>
  <c r="B38" i="117"/>
  <c r="K33" i="85" l="1"/>
  <c r="L33" i="85" s="1"/>
  <c r="E99" i="117"/>
  <c r="G99" i="117" s="1"/>
  <c r="V42" i="117"/>
  <c r="M90" i="117"/>
  <c r="M97" i="117"/>
  <c r="B39" i="117"/>
  <c r="M99" i="117"/>
  <c r="M86" i="117"/>
  <c r="B40" i="117" l="1"/>
  <c r="S7" i="88" l="1"/>
  <c r="S11" i="88" s="1"/>
  <c r="T7" i="88"/>
  <c r="U7" i="88"/>
  <c r="V7" i="88"/>
  <c r="R7" i="88"/>
  <c r="R11" i="88" s="1"/>
  <c r="AT49" i="115"/>
  <c r="AT51" i="115"/>
  <c r="T49" i="115"/>
  <c r="U49" i="115"/>
  <c r="V49" i="115"/>
  <c r="W49" i="115"/>
  <c r="X49" i="115"/>
  <c r="Y49" i="115"/>
  <c r="Z49" i="115"/>
  <c r="AA49" i="115"/>
  <c r="AB49" i="115"/>
  <c r="AC49" i="115"/>
  <c r="AD49" i="115"/>
  <c r="AE49" i="115"/>
  <c r="AF49" i="115"/>
  <c r="AG49" i="115"/>
  <c r="AH49" i="115"/>
  <c r="AI49" i="115"/>
  <c r="AJ49" i="115"/>
  <c r="AK49" i="115"/>
  <c r="AL49" i="115"/>
  <c r="AM49" i="115"/>
  <c r="AN49" i="115"/>
  <c r="AO49" i="115"/>
  <c r="AP49" i="115"/>
  <c r="AQ49" i="115"/>
  <c r="AR49" i="115"/>
  <c r="AS49" i="115"/>
  <c r="T51" i="115"/>
  <c r="U51" i="115"/>
  <c r="V51" i="115"/>
  <c r="W51" i="115"/>
  <c r="X51" i="115"/>
  <c r="Y51" i="115"/>
  <c r="Z51" i="115"/>
  <c r="AA51" i="115"/>
  <c r="AB51" i="115"/>
  <c r="AC51" i="115"/>
  <c r="AD51" i="115"/>
  <c r="AE51" i="115"/>
  <c r="AF51" i="115"/>
  <c r="AG51" i="115"/>
  <c r="AH51" i="115"/>
  <c r="AI51" i="115"/>
  <c r="AJ51" i="115"/>
  <c r="AK51" i="115"/>
  <c r="AL51" i="115"/>
  <c r="AM51" i="115"/>
  <c r="AN51" i="115"/>
  <c r="AO51" i="115"/>
  <c r="AP51" i="115"/>
  <c r="AQ51" i="115"/>
  <c r="AR51" i="115"/>
  <c r="AS51" i="115"/>
  <c r="S51" i="115"/>
  <c r="S49" i="115"/>
  <c r="B73" i="63"/>
  <c r="AU51" i="115" l="1"/>
  <c r="B20" i="88"/>
  <c r="C20" i="88"/>
  <c r="D20" i="88"/>
  <c r="E20" i="88"/>
  <c r="F20" i="88"/>
  <c r="G20" i="88"/>
  <c r="H20" i="88"/>
  <c r="I20" i="88"/>
  <c r="J20" i="88"/>
  <c r="K20" i="88"/>
  <c r="L20" i="88"/>
  <c r="M20" i="88"/>
  <c r="C19" i="88"/>
  <c r="D19" i="88"/>
  <c r="E19" i="88"/>
  <c r="F19" i="88"/>
  <c r="G19" i="88"/>
  <c r="H19" i="88"/>
  <c r="I19" i="88"/>
  <c r="J19" i="88"/>
  <c r="K19" i="88"/>
  <c r="L19" i="88"/>
  <c r="B19" i="88"/>
  <c r="A52" i="88"/>
  <c r="A53" i="88"/>
  <c r="A51" i="115"/>
  <c r="A52" i="115"/>
  <c r="A51" i="113"/>
  <c r="A52" i="113"/>
  <c r="A51" i="78"/>
  <c r="A52" i="78"/>
  <c r="A18" i="78"/>
  <c r="A19" i="78"/>
  <c r="A51" i="77"/>
  <c r="A52" i="77"/>
  <c r="A18" i="77"/>
  <c r="A19" i="77"/>
  <c r="A51" i="95"/>
  <c r="A52" i="95"/>
  <c r="A18" i="95"/>
  <c r="A19" i="95"/>
  <c r="A52" i="76"/>
  <c r="A51" i="76"/>
  <c r="A19" i="76"/>
  <c r="A18" i="76"/>
  <c r="A52" i="93"/>
  <c r="A18" i="93"/>
  <c r="A51" i="93" s="1"/>
  <c r="A52" i="63"/>
  <c r="A51" i="63"/>
  <c r="AU19" i="88" l="1"/>
  <c r="B91" i="115"/>
  <c r="B92" i="115" s="1"/>
  <c r="AN90" i="115"/>
  <c r="AM90" i="115"/>
  <c r="AL90" i="115"/>
  <c r="AK90" i="115"/>
  <c r="AJ90" i="115"/>
  <c r="AI90" i="115"/>
  <c r="AH90" i="115"/>
  <c r="AG90" i="115"/>
  <c r="AF90" i="115"/>
  <c r="AE90" i="115"/>
  <c r="AD90" i="115"/>
  <c r="AC90" i="115"/>
  <c r="AB90" i="115"/>
  <c r="AA90" i="115"/>
  <c r="Z90" i="115"/>
  <c r="Y90" i="115"/>
  <c r="X90" i="115"/>
  <c r="W90" i="115"/>
  <c r="V90" i="115"/>
  <c r="U90" i="115"/>
  <c r="T90" i="115"/>
  <c r="S90" i="115"/>
  <c r="R89" i="115"/>
  <c r="Q89" i="115"/>
  <c r="P89" i="115"/>
  <c r="O89" i="115"/>
  <c r="N89" i="115"/>
  <c r="M89" i="115"/>
  <c r="L89" i="115"/>
  <c r="K89" i="115"/>
  <c r="J89" i="115"/>
  <c r="I89" i="115"/>
  <c r="H89" i="115"/>
  <c r="G89" i="115"/>
  <c r="F89" i="115"/>
  <c r="E89" i="115"/>
  <c r="D89" i="115"/>
  <c r="C89" i="115"/>
  <c r="B89" i="115"/>
  <c r="AP82" i="115"/>
  <c r="AN82" i="115"/>
  <c r="AJ82" i="115"/>
  <c r="AG82" i="115"/>
  <c r="AE82" i="115"/>
  <c r="AC82" i="115"/>
  <c r="Y82" i="115"/>
  <c r="W82" i="115"/>
  <c r="V82" i="115"/>
  <c r="S82" i="115"/>
  <c r="R82" i="115"/>
  <c r="Q82" i="115"/>
  <c r="X81" i="115"/>
  <c r="AN80" i="115"/>
  <c r="AJ80" i="115"/>
  <c r="AG80" i="115"/>
  <c r="AE80" i="115"/>
  <c r="AC80" i="115"/>
  <c r="Y80" i="115"/>
  <c r="W80" i="115"/>
  <c r="V80" i="115"/>
  <c r="S80" i="115"/>
  <c r="R80" i="115"/>
  <c r="Q80" i="115"/>
  <c r="AO79" i="115"/>
  <c r="AJ79" i="115"/>
  <c r="B73" i="115"/>
  <c r="B74" i="115" s="1"/>
  <c r="AN70" i="115"/>
  <c r="AM70" i="115"/>
  <c r="AL70" i="115"/>
  <c r="AK70" i="115"/>
  <c r="AJ70" i="115"/>
  <c r="AI70" i="115"/>
  <c r="AH70" i="115"/>
  <c r="AG70" i="115"/>
  <c r="AF70" i="115"/>
  <c r="AE70" i="115"/>
  <c r="AD70" i="115"/>
  <c r="AA70" i="115"/>
  <c r="AB70" i="115" s="1"/>
  <c r="AC70" i="115" s="1"/>
  <c r="Z70" i="115"/>
  <c r="Y70" i="115"/>
  <c r="X70" i="115"/>
  <c r="W70" i="115"/>
  <c r="V70" i="115"/>
  <c r="U70" i="115"/>
  <c r="T70" i="115"/>
  <c r="S70" i="115"/>
  <c r="R70" i="115"/>
  <c r="Q70" i="115"/>
  <c r="P70" i="115"/>
  <c r="O70" i="115"/>
  <c r="N70" i="115"/>
  <c r="M70" i="115"/>
  <c r="L70" i="115"/>
  <c r="K70" i="115"/>
  <c r="J70" i="115"/>
  <c r="I70" i="115"/>
  <c r="H70" i="115"/>
  <c r="G70" i="115"/>
  <c r="F70" i="115"/>
  <c r="E70" i="115"/>
  <c r="D70" i="115"/>
  <c r="C70" i="115"/>
  <c r="B70" i="115"/>
  <c r="A49" i="115"/>
  <c r="E36" i="115"/>
  <c r="E39" i="115" s="1"/>
  <c r="D36" i="115"/>
  <c r="D39" i="115" s="1"/>
  <c r="C36" i="115"/>
  <c r="C39" i="115" s="1"/>
  <c r="B36" i="115"/>
  <c r="B39" i="115" s="1"/>
  <c r="A28" i="115"/>
  <c r="A61" i="115" s="1"/>
  <c r="AU27" i="115"/>
  <c r="A27" i="115"/>
  <c r="A60" i="115" s="1"/>
  <c r="AU26" i="115"/>
  <c r="A26" i="115"/>
  <c r="A59" i="115" s="1"/>
  <c r="AU25" i="115"/>
  <c r="A25" i="115"/>
  <c r="A58" i="115" s="1"/>
  <c r="A24" i="115"/>
  <c r="A57" i="115" s="1"/>
  <c r="A23" i="115"/>
  <c r="A56" i="115" s="1"/>
  <c r="AU22" i="115"/>
  <c r="A22" i="115"/>
  <c r="A55" i="115" s="1"/>
  <c r="A21" i="115"/>
  <c r="A54" i="115" s="1"/>
  <c r="AU20" i="115"/>
  <c r="A20" i="115"/>
  <c r="A53" i="115" s="1"/>
  <c r="A17" i="115"/>
  <c r="A50" i="115" s="1"/>
  <c r="AU16" i="115"/>
  <c r="AU15" i="115"/>
  <c r="A15" i="115"/>
  <c r="A48" i="115" s="1"/>
  <c r="AU14" i="115"/>
  <c r="A14" i="115"/>
  <c r="A47" i="115" s="1"/>
  <c r="AU13" i="115"/>
  <c r="AW13" i="115" s="1"/>
  <c r="A13" i="115"/>
  <c r="A46" i="115" s="1"/>
  <c r="AU12" i="115"/>
  <c r="A12" i="115"/>
  <c r="A45" i="115" s="1"/>
  <c r="V11" i="115"/>
  <c r="V29" i="115" s="1"/>
  <c r="V31" i="115" s="1"/>
  <c r="U11" i="115"/>
  <c r="U29" i="115" s="1"/>
  <c r="U31" i="115" s="1"/>
  <c r="T29" i="115"/>
  <c r="T31" i="115" s="1"/>
  <c r="S11" i="115"/>
  <c r="R11" i="115"/>
  <c r="R29" i="115" s="1"/>
  <c r="Q11" i="115"/>
  <c r="Q29" i="115" s="1"/>
  <c r="P11" i="115"/>
  <c r="P29" i="115" s="1"/>
  <c r="O11" i="115"/>
  <c r="O29" i="115" s="1"/>
  <c r="N11" i="115"/>
  <c r="N29" i="115" s="1"/>
  <c r="M11" i="115"/>
  <c r="M29" i="115" s="1"/>
  <c r="L11" i="115"/>
  <c r="L29" i="115" s="1"/>
  <c r="K11" i="115"/>
  <c r="K29" i="115" s="1"/>
  <c r="J11" i="115"/>
  <c r="J29" i="115" s="1"/>
  <c r="I11" i="115"/>
  <c r="I29" i="115" s="1"/>
  <c r="H11" i="115"/>
  <c r="G11" i="115"/>
  <c r="G29" i="115" s="1"/>
  <c r="F11" i="115"/>
  <c r="F29" i="115" s="1"/>
  <c r="E11" i="115"/>
  <c r="E29" i="115" s="1"/>
  <c r="D11" i="115"/>
  <c r="D29" i="115" s="1"/>
  <c r="C11" i="115"/>
  <c r="C29" i="115" s="1"/>
  <c r="B11" i="115"/>
  <c r="B29" i="115" s="1"/>
  <c r="AU10" i="115"/>
  <c r="AU9" i="115"/>
  <c r="AU8" i="115"/>
  <c r="Z11" i="115"/>
  <c r="Y11" i="115"/>
  <c r="Y29" i="115" s="1"/>
  <c r="Y31" i="115" s="1"/>
  <c r="AT5" i="115"/>
  <c r="AS5" i="115"/>
  <c r="AR5" i="115"/>
  <c r="AQ5" i="115"/>
  <c r="AP5" i="115"/>
  <c r="AN5" i="115"/>
  <c r="AM5" i="115"/>
  <c r="AL5" i="115"/>
  <c r="AK5" i="115"/>
  <c r="AJ5" i="115"/>
  <c r="AI5" i="115"/>
  <c r="AH5" i="115"/>
  <c r="AG5" i="115"/>
  <c r="AF5" i="115"/>
  <c r="AE5" i="115"/>
  <c r="AD5" i="115"/>
  <c r="AC5" i="115"/>
  <c r="AB5" i="115"/>
  <c r="AA5" i="115"/>
  <c r="Z5" i="115"/>
  <c r="Y5" i="115"/>
  <c r="X5" i="115"/>
  <c r="W5" i="115"/>
  <c r="V5" i="115"/>
  <c r="U5" i="115"/>
  <c r="T5" i="115"/>
  <c r="S5" i="115"/>
  <c r="R5" i="115"/>
  <c r="Q5" i="115"/>
  <c r="P5" i="115"/>
  <c r="O5" i="115"/>
  <c r="N5" i="115"/>
  <c r="M5" i="115"/>
  <c r="L5" i="115"/>
  <c r="K5" i="115"/>
  <c r="J5" i="115"/>
  <c r="I5" i="115"/>
  <c r="H5" i="115"/>
  <c r="G5" i="115"/>
  <c r="F5" i="115"/>
  <c r="E5" i="115"/>
  <c r="D5" i="115"/>
  <c r="C5" i="115"/>
  <c r="B5" i="115"/>
  <c r="AN4" i="115"/>
  <c r="AM4" i="115"/>
  <c r="AL4" i="115"/>
  <c r="AK4" i="115"/>
  <c r="AJ4" i="115"/>
  <c r="AI4" i="115"/>
  <c r="AH4" i="115"/>
  <c r="AG4" i="115"/>
  <c r="AF4" i="115"/>
  <c r="AE4" i="115"/>
  <c r="AD4" i="115"/>
  <c r="AC4" i="115"/>
  <c r="AB4" i="115"/>
  <c r="AA4" i="115"/>
  <c r="Z4" i="115"/>
  <c r="Y4" i="115"/>
  <c r="X4" i="115"/>
  <c r="W4" i="115"/>
  <c r="V4" i="115"/>
  <c r="U4" i="115"/>
  <c r="T4" i="115"/>
  <c r="S4" i="115"/>
  <c r="R4" i="115"/>
  <c r="Q4" i="115"/>
  <c r="P4" i="115"/>
  <c r="O4" i="115"/>
  <c r="N4" i="115"/>
  <c r="M4" i="115"/>
  <c r="L4" i="115"/>
  <c r="K4" i="115"/>
  <c r="J4" i="115"/>
  <c r="I4" i="115"/>
  <c r="H4" i="115"/>
  <c r="G4" i="115"/>
  <c r="F4" i="115"/>
  <c r="E4" i="115"/>
  <c r="D4" i="115"/>
  <c r="C4" i="115"/>
  <c r="B4" i="115"/>
  <c r="AN2" i="115"/>
  <c r="AM2" i="115"/>
  <c r="AL2" i="115"/>
  <c r="AK2" i="115"/>
  <c r="AJ2" i="115"/>
  <c r="AI2" i="115"/>
  <c r="AH2" i="115"/>
  <c r="AG2" i="115"/>
  <c r="AF2" i="115"/>
  <c r="AE2" i="115"/>
  <c r="AD2" i="115"/>
  <c r="AC2" i="115"/>
  <c r="AB2" i="115"/>
  <c r="AA2" i="115"/>
  <c r="Z2" i="115"/>
  <c r="Y2" i="115"/>
  <c r="X2" i="115"/>
  <c r="W2" i="115"/>
  <c r="V2" i="115"/>
  <c r="U2" i="115"/>
  <c r="T2" i="115"/>
  <c r="S2" i="115"/>
  <c r="R2" i="115"/>
  <c r="Q2" i="115"/>
  <c r="P2" i="115"/>
  <c r="O2" i="115"/>
  <c r="N2" i="115"/>
  <c r="M2" i="115"/>
  <c r="L2" i="115"/>
  <c r="K2" i="115"/>
  <c r="J2" i="115"/>
  <c r="I2" i="115"/>
  <c r="H2" i="115"/>
  <c r="G2" i="115"/>
  <c r="F2" i="115"/>
  <c r="E2" i="115"/>
  <c r="D2" i="115"/>
  <c r="C2" i="115"/>
  <c r="B2" i="115"/>
  <c r="AW23" i="115" l="1"/>
  <c r="AW21" i="115"/>
  <c r="AW20" i="115"/>
  <c r="V16" i="81"/>
  <c r="Z16" i="81" s="1"/>
  <c r="AJ81" i="115"/>
  <c r="AJ83" i="115" s="1"/>
  <c r="AW26" i="115"/>
  <c r="AW14" i="115"/>
  <c r="AW12" i="115"/>
  <c r="AO80" i="115"/>
  <c r="AP80" i="115" s="1"/>
  <c r="AW27" i="115"/>
  <c r="AW16" i="115"/>
  <c r="C91" i="115"/>
  <c r="D91" i="115" s="1"/>
  <c r="E91" i="115" s="1"/>
  <c r="X11" i="115"/>
  <c r="X29" i="115" s="1"/>
  <c r="X31" i="115" s="1"/>
  <c r="W91" i="115"/>
  <c r="W92" i="115" s="1"/>
  <c r="W73" i="115"/>
  <c r="W74" i="115" s="1"/>
  <c r="X73" i="115"/>
  <c r="X74" i="115" s="1"/>
  <c r="Y91" i="115"/>
  <c r="Y92" i="115" s="1"/>
  <c r="X91" i="115"/>
  <c r="X92" i="115" s="1"/>
  <c r="H29" i="115"/>
  <c r="W11" i="115"/>
  <c r="W29" i="115" s="1"/>
  <c r="Z29" i="115"/>
  <c r="Z31" i="115" s="1"/>
  <c r="S29" i="115"/>
  <c r="AA11" i="115"/>
  <c r="AA29" i="115" s="1"/>
  <c r="AA31" i="115" s="1"/>
  <c r="C73" i="115"/>
  <c r="AP81" i="115" l="1"/>
  <c r="AP83" i="115" s="1"/>
  <c r="D92" i="115"/>
  <c r="C92" i="115"/>
  <c r="X93" i="115"/>
  <c r="X94" i="115" s="1"/>
  <c r="D73" i="115"/>
  <c r="C74" i="115"/>
  <c r="S31" i="115"/>
  <c r="F91" i="115"/>
  <c r="E92" i="115"/>
  <c r="W31" i="115"/>
  <c r="W79" i="115"/>
  <c r="W81" i="115" s="1"/>
  <c r="W83" i="115" s="1"/>
  <c r="E73" i="115" l="1"/>
  <c r="D74" i="115"/>
  <c r="G91" i="115"/>
  <c r="F92" i="115"/>
  <c r="G92" i="115" l="1"/>
  <c r="H91" i="115"/>
  <c r="F73" i="115"/>
  <c r="E74" i="115"/>
  <c r="G73" i="115" l="1"/>
  <c r="F74" i="115"/>
  <c r="H92" i="115"/>
  <c r="I91" i="115"/>
  <c r="H73" i="115" l="1"/>
  <c r="G74" i="115"/>
  <c r="J91" i="115"/>
  <c r="I92" i="115"/>
  <c r="K91" i="115" l="1"/>
  <c r="J92" i="115"/>
  <c r="I73" i="115"/>
  <c r="H74" i="115"/>
  <c r="I74" i="115" l="1"/>
  <c r="J73" i="115"/>
  <c r="L91" i="115"/>
  <c r="K92" i="115"/>
  <c r="M91" i="115" l="1"/>
  <c r="L92" i="115"/>
  <c r="J74" i="115"/>
  <c r="K73" i="115"/>
  <c r="E82" i="111"/>
  <c r="B12" i="73"/>
  <c r="CX21" i="122" s="1"/>
  <c r="N191" i="1"/>
  <c r="CX20" i="122" l="1"/>
  <c r="CZ20" i="122" s="1"/>
  <c r="CZ21" i="122" s="1"/>
  <c r="CX23" i="122"/>
  <c r="CZ22" i="122"/>
  <c r="L73" i="115"/>
  <c r="K74" i="115"/>
  <c r="N91" i="115"/>
  <c r="M92" i="115"/>
  <c r="CZ23" i="122" l="1"/>
  <c r="CZ25" i="122" s="1"/>
  <c r="O91" i="115"/>
  <c r="N92" i="115"/>
  <c r="M73" i="115"/>
  <c r="L74" i="115"/>
  <c r="CZ27" i="122" l="1"/>
  <c r="CZ37" i="122"/>
  <c r="N73" i="115"/>
  <c r="M74" i="115"/>
  <c r="O92" i="115"/>
  <c r="P91" i="115"/>
  <c r="Q187" i="1"/>
  <c r="R187" i="1"/>
  <c r="F7" i="116" l="1"/>
  <c r="K5" i="116"/>
  <c r="K7" i="116" s="1"/>
  <c r="P92" i="115"/>
  <c r="Q91" i="115"/>
  <c r="O73" i="115"/>
  <c r="N74" i="115"/>
  <c r="Z189" i="1"/>
  <c r="E189" i="1"/>
  <c r="P186" i="1"/>
  <c r="F187" i="1"/>
  <c r="I187" i="1"/>
  <c r="P73" i="115" l="1"/>
  <c r="O74" i="115"/>
  <c r="R91" i="115"/>
  <c r="Q92" i="115"/>
  <c r="T190" i="1"/>
  <c r="AW25" i="115"/>
  <c r="AW15" i="115"/>
  <c r="J82" i="14" l="1"/>
  <c r="V79" i="14"/>
  <c r="AW8" i="115"/>
  <c r="S91" i="115"/>
  <c r="R92" i="115"/>
  <c r="Q73" i="115"/>
  <c r="P74" i="115"/>
  <c r="Q74" i="115" l="1"/>
  <c r="R73" i="115"/>
  <c r="R93" i="115"/>
  <c r="T91" i="115"/>
  <c r="S92" i="115"/>
  <c r="U91" i="115" l="1"/>
  <c r="T92" i="115"/>
  <c r="B94" i="115"/>
  <c r="C94" i="115"/>
  <c r="D94" i="115"/>
  <c r="E94" i="115"/>
  <c r="F94" i="115"/>
  <c r="G94" i="115"/>
  <c r="H94" i="115"/>
  <c r="I94" i="115"/>
  <c r="J94" i="115"/>
  <c r="K94" i="115"/>
  <c r="L94" i="115"/>
  <c r="M94" i="115"/>
  <c r="N94" i="115"/>
  <c r="O94" i="115"/>
  <c r="P94" i="115"/>
  <c r="Q94" i="115"/>
  <c r="R94" i="115"/>
  <c r="R74" i="115"/>
  <c r="S73" i="115"/>
  <c r="Q79" i="115"/>
  <c r="Q81" i="115" s="1"/>
  <c r="R79" i="115" l="1"/>
  <c r="R81" i="115" s="1"/>
  <c r="R83" i="115" s="1"/>
  <c r="R75" i="115"/>
  <c r="V91" i="115"/>
  <c r="V92" i="115" s="1"/>
  <c r="U92" i="115"/>
  <c r="T73" i="115"/>
  <c r="S74" i="115"/>
  <c r="Q83" i="115"/>
  <c r="Z7" i="88"/>
  <c r="W7" i="88"/>
  <c r="W93" i="115" l="1"/>
  <c r="T94" i="115" s="1"/>
  <c r="AA7" i="88"/>
  <c r="Y7" i="88"/>
  <c r="X7" i="88"/>
  <c r="T79" i="115"/>
  <c r="U73" i="115"/>
  <c r="T74" i="115"/>
  <c r="B76" i="115"/>
  <c r="C76" i="115"/>
  <c r="D76" i="115"/>
  <c r="E76" i="115"/>
  <c r="F76" i="115"/>
  <c r="G76" i="115"/>
  <c r="H76" i="115"/>
  <c r="I76" i="115"/>
  <c r="J76" i="115"/>
  <c r="K76" i="115"/>
  <c r="L76" i="115"/>
  <c r="M76" i="115"/>
  <c r="N76" i="115"/>
  <c r="O76" i="115"/>
  <c r="P76" i="115"/>
  <c r="Q76" i="115"/>
  <c r="R76" i="115"/>
  <c r="S79" i="115"/>
  <c r="S81" i="115" s="1"/>
  <c r="BB61" i="83"/>
  <c r="U94" i="115" l="1"/>
  <c r="S94" i="115"/>
  <c r="W94" i="115"/>
  <c r="V94" i="115"/>
  <c r="S83" i="115"/>
  <c r="U79" i="115"/>
  <c r="V73" i="115"/>
  <c r="U74" i="115"/>
  <c r="J22" i="81"/>
  <c r="U75" i="115" l="1"/>
  <c r="V79" i="115"/>
  <c r="V81" i="115" s="1"/>
  <c r="V74" i="115"/>
  <c r="V83" i="115" l="1"/>
  <c r="S76" i="115"/>
  <c r="T76" i="115"/>
  <c r="W75" i="115"/>
  <c r="W76" i="115" s="1"/>
  <c r="U76" i="115"/>
  <c r="DN22" i="69"/>
  <c r="DN10" i="69"/>
  <c r="DC22" i="69"/>
  <c r="DC19" i="69"/>
  <c r="DC21" i="69" s="1"/>
  <c r="DC17" i="69"/>
  <c r="DC10" i="69"/>
  <c r="DC7" i="69"/>
  <c r="DC8" i="69" s="1"/>
  <c r="DC9" i="69" s="1"/>
  <c r="DB18" i="69"/>
  <c r="DC4" i="69"/>
  <c r="V76" i="115" l="1"/>
  <c r="DD7" i="69"/>
  <c r="DD19" i="69"/>
  <c r="DC20" i="69"/>
  <c r="DD30" i="69" l="1"/>
  <c r="AA18" i="1"/>
  <c r="E18" i="1"/>
  <c r="N188" i="1"/>
  <c r="P13" i="1"/>
  <c r="P18" i="1" l="1"/>
  <c r="P187" i="1"/>
  <c r="B102" i="74" l="1"/>
  <c r="B103" i="74" s="1"/>
  <c r="B14" i="73"/>
  <c r="B15" i="73" s="1"/>
  <c r="B16" i="73" s="1"/>
  <c r="DB21" i="69" l="1"/>
  <c r="DB20" i="69" s="1"/>
  <c r="DD20" i="69" s="1"/>
  <c r="DD21" i="69" s="1"/>
  <c r="DB21" i="122"/>
  <c r="B104" i="74"/>
  <c r="B105" i="74" s="1"/>
  <c r="B106" i="74" l="1"/>
  <c r="DD22" i="69"/>
  <c r="DD23" i="69" s="1"/>
  <c r="DD25" i="69" s="1"/>
  <c r="DB23" i="69"/>
  <c r="E136" i="56" s="1"/>
  <c r="DB23" i="122"/>
  <c r="DB20" i="122"/>
  <c r="DD20" i="122" s="1"/>
  <c r="DD21" i="122" s="1"/>
  <c r="DD22" i="122"/>
  <c r="B107" i="74" l="1"/>
  <c r="B108" i="74" s="1"/>
  <c r="B109" i="74" s="1"/>
  <c r="B110" i="74" s="1"/>
  <c r="B111" i="74" s="1"/>
  <c r="B112" i="74" s="1"/>
  <c r="B113" i="74" s="1"/>
  <c r="B114" i="74" s="1"/>
  <c r="B115" i="74" s="1"/>
  <c r="B116" i="74" s="1"/>
  <c r="B117" i="74" s="1"/>
  <c r="B118" i="74" s="1"/>
  <c r="B119" i="74" s="1"/>
  <c r="B120" i="74" s="1"/>
  <c r="B121" i="74" s="1"/>
  <c r="B122" i="74" s="1"/>
  <c r="B123" i="74" s="1"/>
  <c r="DD23" i="122"/>
  <c r="DD25" i="122" s="1"/>
  <c r="DD27" i="69"/>
  <c r="DD37" i="69"/>
  <c r="DB9" i="69" l="1"/>
  <c r="DB9" i="122" s="1"/>
  <c r="DD27" i="122"/>
  <c r="DD37" i="122"/>
  <c r="DB8" i="122" l="1"/>
  <c r="DD8" i="122" s="1"/>
  <c r="DB11" i="122"/>
  <c r="DD10" i="122"/>
  <c r="DD35" i="122" s="1"/>
  <c r="DB8" i="69"/>
  <c r="DD8" i="69" s="1"/>
  <c r="DD32" i="69" s="1"/>
  <c r="E91" i="56"/>
  <c r="DB11" i="69"/>
  <c r="DD10" i="69"/>
  <c r="DD35" i="69" s="1"/>
  <c r="DD9" i="69" l="1"/>
  <c r="DD11" i="69" s="1"/>
  <c r="DD13" i="69" s="1"/>
  <c r="DD36" i="69" s="1"/>
  <c r="DD38" i="69" s="1"/>
  <c r="DD9" i="122"/>
  <c r="DD11" i="122" s="1"/>
  <c r="DD13" i="122" s="1"/>
  <c r="DD32" i="122"/>
  <c r="D28" i="51"/>
  <c r="AF71" i="1" s="1"/>
  <c r="D12" i="51"/>
  <c r="AF70" i="1" s="1"/>
  <c r="L65" i="85" l="1"/>
  <c r="DD15" i="69"/>
  <c r="DD31" i="69" s="1"/>
  <c r="DD33" i="69" s="1"/>
  <c r="DD39" i="69" s="1"/>
  <c r="DD36" i="122"/>
  <c r="DD38" i="122" s="1"/>
  <c r="DD15" i="122"/>
  <c r="DD31" i="122" s="1"/>
  <c r="DD33" i="122" s="1"/>
  <c r="DD39" i="122" l="1"/>
  <c r="D34" i="73" l="1"/>
  <c r="F12" i="64"/>
  <c r="J1018" i="109" l="1"/>
  <c r="AH4" i="65" l="1"/>
  <c r="V62" i="14" l="1"/>
  <c r="V63" i="14"/>
  <c r="I60" i="14" l="1"/>
  <c r="BC91" i="83" l="1"/>
  <c r="AE3" i="83" l="1"/>
  <c r="AD3" i="83"/>
  <c r="AC3" i="83"/>
  <c r="AB3" i="83"/>
  <c r="AA3" i="83"/>
  <c r="Z3" i="83"/>
  <c r="Y3" i="83"/>
  <c r="X3" i="83"/>
  <c r="W3" i="83"/>
  <c r="R3" i="83"/>
  <c r="Q3" i="83"/>
  <c r="P3" i="83"/>
  <c r="O3" i="83"/>
  <c r="N3" i="83"/>
  <c r="M3" i="83"/>
  <c r="L3" i="83"/>
  <c r="K3" i="83"/>
  <c r="J3" i="83"/>
  <c r="I3" i="83"/>
  <c r="H3" i="83"/>
  <c r="G3" i="83"/>
  <c r="F3" i="83"/>
  <c r="E3" i="83"/>
  <c r="D3" i="83"/>
  <c r="C3" i="83"/>
  <c r="AE1" i="83"/>
  <c r="AD1" i="83"/>
  <c r="AC1" i="83"/>
  <c r="AB1" i="83"/>
  <c r="AA1" i="83"/>
  <c r="Z1" i="83"/>
  <c r="Y1" i="83"/>
  <c r="X1" i="83"/>
  <c r="W1" i="83"/>
  <c r="R1" i="83"/>
  <c r="Q1" i="83"/>
  <c r="P1" i="83"/>
  <c r="O1" i="83"/>
  <c r="N1" i="83"/>
  <c r="M1" i="83"/>
  <c r="L1" i="83"/>
  <c r="K1" i="83"/>
  <c r="J1" i="83"/>
  <c r="I1" i="83"/>
  <c r="H1" i="83"/>
  <c r="F1" i="83"/>
  <c r="E1" i="83"/>
  <c r="D1" i="83"/>
  <c r="C1" i="83"/>
  <c r="M70" i="83" l="1"/>
  <c r="M81" i="83" s="1"/>
  <c r="M68" i="83"/>
  <c r="M79" i="83" s="1"/>
  <c r="M66" i="83"/>
  <c r="M77" i="83" s="1"/>
  <c r="M63" i="83"/>
  <c r="M74" i="83" s="1"/>
  <c r="M69" i="83"/>
  <c r="M80" i="83" s="1"/>
  <c r="M64" i="83"/>
  <c r="M75" i="83" s="1"/>
  <c r="M65" i="83"/>
  <c r="M76" i="83" s="1"/>
  <c r="M62" i="83"/>
  <c r="M73" i="83" s="1"/>
  <c r="AE62" i="83"/>
  <c r="AE73" i="83" s="1"/>
  <c r="AE70" i="83"/>
  <c r="AE81" i="83" s="1"/>
  <c r="AE69" i="83"/>
  <c r="AE80" i="83" s="1"/>
  <c r="AE64" i="83"/>
  <c r="AE75" i="83" s="1"/>
  <c r="AE65" i="83"/>
  <c r="AE76" i="83" s="1"/>
  <c r="AE63" i="83"/>
  <c r="AE74" i="83" s="1"/>
  <c r="AE68" i="83"/>
  <c r="AE79" i="83" s="1"/>
  <c r="AE66" i="83"/>
  <c r="AE77" i="83" s="1"/>
  <c r="O66" i="83"/>
  <c r="O77" i="83" s="1"/>
  <c r="O69" i="83"/>
  <c r="O80" i="83" s="1"/>
  <c r="O70" i="83"/>
  <c r="O81" i="83" s="1"/>
  <c r="O68" i="83"/>
  <c r="O79" i="83" s="1"/>
  <c r="O63" i="83"/>
  <c r="O74" i="83" s="1"/>
  <c r="O65" i="83"/>
  <c r="O76" i="83" s="1"/>
  <c r="O64" i="83"/>
  <c r="O75" i="83" s="1"/>
  <c r="O62" i="83"/>
  <c r="O73" i="83" s="1"/>
  <c r="L70" i="83"/>
  <c r="L81" i="83" s="1"/>
  <c r="L65" i="83"/>
  <c r="L76" i="83" s="1"/>
  <c r="L63" i="83"/>
  <c r="L74" i="83" s="1"/>
  <c r="L69" i="83"/>
  <c r="L80" i="83" s="1"/>
  <c r="L68" i="83"/>
  <c r="L79" i="83" s="1"/>
  <c r="L64" i="83"/>
  <c r="L75" i="83" s="1"/>
  <c r="L66" i="83"/>
  <c r="L77" i="83" s="1"/>
  <c r="L62" i="83"/>
  <c r="L73" i="83" s="1"/>
  <c r="C66" i="83"/>
  <c r="C77" i="83" s="1"/>
  <c r="C64" i="83"/>
  <c r="C75" i="83" s="1"/>
  <c r="C70" i="83"/>
  <c r="C81" i="83" s="1"/>
  <c r="C69" i="83"/>
  <c r="C80" i="83" s="1"/>
  <c r="C65" i="83"/>
  <c r="C76" i="83" s="1"/>
  <c r="C63" i="83"/>
  <c r="C74" i="83" s="1"/>
  <c r="C68" i="83"/>
  <c r="C79" i="83" s="1"/>
  <c r="C62" i="83"/>
  <c r="C73" i="83" s="1"/>
  <c r="AC63" i="83"/>
  <c r="AC74" i="83" s="1"/>
  <c r="AC69" i="83"/>
  <c r="AC80" i="83" s="1"/>
  <c r="AC64" i="83"/>
  <c r="AC75" i="83" s="1"/>
  <c r="AC70" i="83"/>
  <c r="AC81" i="83" s="1"/>
  <c r="AC65" i="83"/>
  <c r="AC76" i="83" s="1"/>
  <c r="AC62" i="83"/>
  <c r="AC73" i="83" s="1"/>
  <c r="AC66" i="83"/>
  <c r="AC77" i="83" s="1"/>
  <c r="AC68" i="83"/>
  <c r="AC79" i="83" s="1"/>
  <c r="X66" i="83"/>
  <c r="X77" i="83" s="1"/>
  <c r="X63" i="83"/>
  <c r="X74" i="83" s="1"/>
  <c r="X64" i="83"/>
  <c r="X75" i="83" s="1"/>
  <c r="X70" i="83"/>
  <c r="X81" i="83" s="1"/>
  <c r="X68" i="83"/>
  <c r="X79" i="83" s="1"/>
  <c r="X65" i="83"/>
  <c r="X76" i="83" s="1"/>
  <c r="X69" i="83"/>
  <c r="X80" i="83" s="1"/>
  <c r="X62" i="83"/>
  <c r="X73" i="83" s="1"/>
  <c r="AD68" i="83"/>
  <c r="AD79" i="83" s="1"/>
  <c r="AD63" i="83"/>
  <c r="AD74" i="83" s="1"/>
  <c r="AD69" i="83"/>
  <c r="AD80" i="83" s="1"/>
  <c r="AD70" i="83"/>
  <c r="AD81" i="83" s="1"/>
  <c r="AD66" i="83"/>
  <c r="AD77" i="83" s="1"/>
  <c r="AD64" i="83"/>
  <c r="AD75" i="83" s="1"/>
  <c r="AD65" i="83"/>
  <c r="AD76" i="83" s="1"/>
  <c r="AD62" i="83"/>
  <c r="AD73" i="83" s="1"/>
  <c r="D64" i="83"/>
  <c r="D75" i="83" s="1"/>
  <c r="D66" i="83"/>
  <c r="D77" i="83" s="1"/>
  <c r="D70" i="83"/>
  <c r="D81" i="83" s="1"/>
  <c r="D69" i="83"/>
  <c r="D80" i="83" s="1"/>
  <c r="D68" i="83"/>
  <c r="D79" i="83" s="1"/>
  <c r="D63" i="83"/>
  <c r="D74" i="83" s="1"/>
  <c r="D65" i="83"/>
  <c r="D76" i="83" s="1"/>
  <c r="D62" i="83"/>
  <c r="D73" i="83" s="1"/>
  <c r="N65" i="83"/>
  <c r="N76" i="83" s="1"/>
  <c r="N70" i="83"/>
  <c r="N81" i="83" s="1"/>
  <c r="N69" i="83"/>
  <c r="N80" i="83" s="1"/>
  <c r="N63" i="83"/>
  <c r="N74" i="83" s="1"/>
  <c r="N64" i="83"/>
  <c r="N75" i="83" s="1"/>
  <c r="N68" i="83"/>
  <c r="N79" i="83" s="1"/>
  <c r="N66" i="83"/>
  <c r="N77" i="83" s="1"/>
  <c r="N62" i="83"/>
  <c r="N73" i="83" s="1"/>
  <c r="R68" i="83"/>
  <c r="R79" i="83" s="1"/>
  <c r="R64" i="83"/>
  <c r="R75" i="83" s="1"/>
  <c r="R70" i="83"/>
  <c r="R81" i="83" s="1"/>
  <c r="R66" i="83"/>
  <c r="R77" i="83" s="1"/>
  <c r="R69" i="83"/>
  <c r="R80" i="83" s="1"/>
  <c r="R65" i="83"/>
  <c r="R76" i="83" s="1"/>
  <c r="R63" i="83"/>
  <c r="R74" i="83" s="1"/>
  <c r="R62" i="83"/>
  <c r="R73" i="83" s="1"/>
  <c r="Z66" i="83"/>
  <c r="Z77" i="83" s="1"/>
  <c r="Z68" i="83"/>
  <c r="Z79" i="83" s="1"/>
  <c r="Z70" i="83"/>
  <c r="Z81" i="83" s="1"/>
  <c r="Z69" i="83"/>
  <c r="Z80" i="83" s="1"/>
  <c r="Z65" i="83"/>
  <c r="Z76" i="83" s="1"/>
  <c r="Z63" i="83"/>
  <c r="Z74" i="83" s="1"/>
  <c r="Z64" i="83"/>
  <c r="Z75" i="83" s="1"/>
  <c r="Z62" i="83"/>
  <c r="Z73" i="83" s="1"/>
  <c r="K68" i="83"/>
  <c r="K79" i="83" s="1"/>
  <c r="K65" i="83"/>
  <c r="K76" i="83" s="1"/>
  <c r="K66" i="83"/>
  <c r="K77" i="83" s="1"/>
  <c r="K69" i="83"/>
  <c r="K80" i="83" s="1"/>
  <c r="K64" i="83"/>
  <c r="K75" i="83" s="1"/>
  <c r="K63" i="83"/>
  <c r="K74" i="83" s="1"/>
  <c r="K70" i="83"/>
  <c r="K81" i="83" s="1"/>
  <c r="K62" i="83"/>
  <c r="K73" i="83" s="1"/>
  <c r="P64" i="83"/>
  <c r="P75" i="83" s="1"/>
  <c r="P65" i="83"/>
  <c r="P76" i="83" s="1"/>
  <c r="P66" i="83"/>
  <c r="P77" i="83" s="1"/>
  <c r="P63" i="83"/>
  <c r="P74" i="83" s="1"/>
  <c r="P69" i="83"/>
  <c r="P80" i="83" s="1"/>
  <c r="P70" i="83"/>
  <c r="P81" i="83" s="1"/>
  <c r="P68" i="83"/>
  <c r="P79" i="83" s="1"/>
  <c r="P62" i="83"/>
  <c r="P73" i="83" s="1"/>
  <c r="Y66" i="83"/>
  <c r="Y77" i="83" s="1"/>
  <c r="Y64" i="83"/>
  <c r="Y75" i="83" s="1"/>
  <c r="Y68" i="83"/>
  <c r="Y79" i="83" s="1"/>
  <c r="Y70" i="83"/>
  <c r="Y81" i="83" s="1"/>
  <c r="Y69" i="83"/>
  <c r="Y80" i="83" s="1"/>
  <c r="Y65" i="83"/>
  <c r="Y76" i="83" s="1"/>
  <c r="Y63" i="83"/>
  <c r="Y74" i="83" s="1"/>
  <c r="Y62" i="83"/>
  <c r="Y73" i="83" s="1"/>
  <c r="Q64" i="83"/>
  <c r="Q75" i="83" s="1"/>
  <c r="Q65" i="83"/>
  <c r="Q76" i="83" s="1"/>
  <c r="Q69" i="83"/>
  <c r="Q80" i="83" s="1"/>
  <c r="Q66" i="83"/>
  <c r="Q77" i="83" s="1"/>
  <c r="Q68" i="83"/>
  <c r="Q79" i="83" s="1"/>
  <c r="Q63" i="83"/>
  <c r="Q74" i="83" s="1"/>
  <c r="Q70" i="83"/>
  <c r="Q81" i="83" s="1"/>
  <c r="Q62" i="83"/>
  <c r="Q73" i="83" s="1"/>
  <c r="W63" i="83"/>
  <c r="W74" i="83" s="1"/>
  <c r="W68" i="83"/>
  <c r="W79" i="83" s="1"/>
  <c r="W66" i="83"/>
  <c r="W77" i="83" s="1"/>
  <c r="W64" i="83"/>
  <c r="W75" i="83" s="1"/>
  <c r="W65" i="83"/>
  <c r="W76" i="83" s="1"/>
  <c r="W69" i="83"/>
  <c r="W80" i="83" s="1"/>
  <c r="W70" i="83"/>
  <c r="W81" i="83" s="1"/>
  <c r="W62" i="83"/>
  <c r="W73" i="83" s="1"/>
  <c r="E70" i="83"/>
  <c r="E81" i="83" s="1"/>
  <c r="E69" i="83"/>
  <c r="E80" i="83" s="1"/>
  <c r="E63" i="83"/>
  <c r="E74" i="83" s="1"/>
  <c r="E68" i="83"/>
  <c r="E79" i="83" s="1"/>
  <c r="E65" i="83"/>
  <c r="E76" i="83" s="1"/>
  <c r="E64" i="83"/>
  <c r="E75" i="83" s="1"/>
  <c r="E66" i="83"/>
  <c r="E77" i="83" s="1"/>
  <c r="E62" i="83"/>
  <c r="E73" i="83" s="1"/>
  <c r="F68" i="83"/>
  <c r="F79" i="83" s="1"/>
  <c r="F66" i="83"/>
  <c r="F77" i="83" s="1"/>
  <c r="F69" i="83"/>
  <c r="F80" i="83" s="1"/>
  <c r="F65" i="83"/>
  <c r="F76" i="83" s="1"/>
  <c r="F63" i="83"/>
  <c r="F74" i="83" s="1"/>
  <c r="F70" i="83"/>
  <c r="F81" i="83" s="1"/>
  <c r="F64" i="83"/>
  <c r="F75" i="83" s="1"/>
  <c r="F62" i="83"/>
  <c r="F73" i="83" s="1"/>
  <c r="H70" i="83"/>
  <c r="H81" i="83" s="1"/>
  <c r="H63" i="83"/>
  <c r="H74" i="83" s="1"/>
  <c r="H65" i="83"/>
  <c r="H76" i="83" s="1"/>
  <c r="H68" i="83"/>
  <c r="H79" i="83" s="1"/>
  <c r="H64" i="83"/>
  <c r="H75" i="83" s="1"/>
  <c r="H66" i="83"/>
  <c r="H77" i="83" s="1"/>
  <c r="H69" i="83"/>
  <c r="H80" i="83" s="1"/>
  <c r="H62" i="83"/>
  <c r="H73" i="83" s="1"/>
  <c r="I64" i="83"/>
  <c r="I75" i="83" s="1"/>
  <c r="I65" i="83"/>
  <c r="I76" i="83" s="1"/>
  <c r="I69" i="83"/>
  <c r="I80" i="83" s="1"/>
  <c r="I63" i="83"/>
  <c r="I74" i="83" s="1"/>
  <c r="I68" i="83"/>
  <c r="I79" i="83" s="1"/>
  <c r="I70" i="83"/>
  <c r="I81" i="83" s="1"/>
  <c r="I66" i="83"/>
  <c r="I77" i="83" s="1"/>
  <c r="I62" i="83"/>
  <c r="I73" i="83" s="1"/>
  <c r="AA63" i="83"/>
  <c r="AA74" i="83" s="1"/>
  <c r="AA69" i="83"/>
  <c r="AA80" i="83" s="1"/>
  <c r="AA64" i="83"/>
  <c r="AA75" i="83" s="1"/>
  <c r="AA70" i="83"/>
  <c r="AA81" i="83" s="1"/>
  <c r="AA62" i="83"/>
  <c r="AA73" i="83" s="1"/>
  <c r="AA66" i="83"/>
  <c r="AA77" i="83" s="1"/>
  <c r="AA68" i="83"/>
  <c r="AA79" i="83" s="1"/>
  <c r="AA65" i="83"/>
  <c r="AA76" i="83" s="1"/>
  <c r="J69" i="83"/>
  <c r="J80" i="83" s="1"/>
  <c r="J63" i="83"/>
  <c r="J74" i="83" s="1"/>
  <c r="J68" i="83"/>
  <c r="J79" i="83" s="1"/>
  <c r="J65" i="83"/>
  <c r="J76" i="83" s="1"/>
  <c r="J66" i="83"/>
  <c r="J77" i="83" s="1"/>
  <c r="J64" i="83"/>
  <c r="J75" i="83" s="1"/>
  <c r="J70" i="83"/>
  <c r="J81" i="83" s="1"/>
  <c r="J62" i="83"/>
  <c r="J73" i="83" s="1"/>
  <c r="AB66" i="83"/>
  <c r="AB77" i="83" s="1"/>
  <c r="AB64" i="83"/>
  <c r="AB75" i="83" s="1"/>
  <c r="AB68" i="83"/>
  <c r="AB79" i="83" s="1"/>
  <c r="AB70" i="83"/>
  <c r="AB81" i="83" s="1"/>
  <c r="AB69" i="83"/>
  <c r="AB80" i="83" s="1"/>
  <c r="AB65" i="83"/>
  <c r="AB76" i="83" s="1"/>
  <c r="AB63" i="83"/>
  <c r="AB74" i="83" s="1"/>
  <c r="AB62" i="83"/>
  <c r="AB73" i="83" s="1"/>
  <c r="AD89" i="83"/>
  <c r="N89" i="83"/>
  <c r="O89" i="83"/>
  <c r="D89" i="83"/>
  <c r="W89" i="83"/>
  <c r="E89" i="83"/>
  <c r="X89" i="83"/>
  <c r="K89" i="83"/>
  <c r="P89" i="83"/>
  <c r="Y89" i="83"/>
  <c r="AA89" i="83"/>
  <c r="AC89" i="83"/>
  <c r="L89" i="83"/>
  <c r="M89" i="83"/>
  <c r="AE89" i="83"/>
  <c r="Q89" i="83"/>
  <c r="R89" i="83"/>
  <c r="F89" i="83"/>
  <c r="H89" i="83"/>
  <c r="Z89" i="83"/>
  <c r="I89" i="83"/>
  <c r="J89" i="83"/>
  <c r="AB89" i="83"/>
  <c r="AX129" i="88"/>
  <c r="C89" i="83" l="1"/>
  <c r="AY78" i="83"/>
  <c r="AY89" i="83" s="1"/>
  <c r="AX128" i="88"/>
  <c r="AX132" i="88" s="1"/>
  <c r="AX133" i="88" s="1"/>
  <c r="T72" i="83" l="1"/>
  <c r="U72" i="83"/>
  <c r="S72" i="83"/>
  <c r="V72" i="83"/>
  <c r="V83" i="83" l="1"/>
  <c r="V82" i="83"/>
  <c r="S83" i="83"/>
  <c r="S82" i="83"/>
  <c r="U83" i="83"/>
  <c r="U82" i="83"/>
  <c r="T83" i="83"/>
  <c r="T82" i="83"/>
  <c r="S334" i="80"/>
  <c r="S333" i="80"/>
  <c r="S332" i="80"/>
  <c r="S331" i="80"/>
  <c r="S330" i="80"/>
  <c r="S329" i="80"/>
  <c r="L145" i="56" l="1"/>
  <c r="I145" i="56"/>
  <c r="B73" i="113" l="1"/>
  <c r="B73" i="78"/>
  <c r="B91" i="77"/>
  <c r="B73" i="95"/>
  <c r="B73" i="76"/>
  <c r="AH151" i="1"/>
  <c r="AH150" i="1"/>
  <c r="AH149" i="1"/>
  <c r="AH132" i="1"/>
  <c r="AH131" i="1"/>
  <c r="AH130" i="1"/>
  <c r="AH129" i="1"/>
  <c r="AH128" i="1"/>
  <c r="AH127" i="1"/>
  <c r="AH113" i="1"/>
  <c r="AH112" i="1"/>
  <c r="AH111" i="1"/>
  <c r="AH110" i="1"/>
  <c r="AH109" i="1"/>
  <c r="AH108" i="1"/>
  <c r="AH94" i="1"/>
  <c r="AH93" i="1"/>
  <c r="AH92" i="1"/>
  <c r="AH74" i="1"/>
  <c r="AH73" i="1"/>
  <c r="AH72" i="1"/>
  <c r="AH71" i="1"/>
  <c r="AH70" i="1"/>
  <c r="AH69" i="1"/>
  <c r="AH55" i="1"/>
  <c r="AH54" i="1"/>
  <c r="AH53" i="1"/>
  <c r="AH36" i="1"/>
  <c r="AH35" i="1"/>
  <c r="AH34" i="1"/>
  <c r="AH33" i="1"/>
  <c r="AH31" i="1"/>
  <c r="AH14" i="1"/>
  <c r="AH15" i="1"/>
  <c r="AH16" i="1"/>
  <c r="AH17" i="1"/>
  <c r="E82" i="60" l="1"/>
  <c r="CX21" i="69"/>
  <c r="CX23" i="69" s="1"/>
  <c r="CX18" i="69"/>
  <c r="CY22" i="69"/>
  <c r="CY19" i="69"/>
  <c r="CY21" i="69" s="1"/>
  <c r="CY17" i="69"/>
  <c r="CY10" i="69"/>
  <c r="CY7" i="69"/>
  <c r="CZ7" i="69" s="1"/>
  <c r="CY4" i="69"/>
  <c r="E134" i="56" l="1"/>
  <c r="CY8" i="69"/>
  <c r="CY9" i="69" s="1"/>
  <c r="CX20" i="69"/>
  <c r="CZ22" i="69"/>
  <c r="CY20" i="69"/>
  <c r="CZ19" i="69"/>
  <c r="CZ30" i="69" s="1"/>
  <c r="CZ20" i="69" l="1"/>
  <c r="CZ21" i="69" l="1"/>
  <c r="CZ23" i="69" s="1"/>
  <c r="CZ25" i="69" s="1"/>
  <c r="CZ27" i="69" s="1"/>
  <c r="CZ37" i="69" l="1"/>
  <c r="K65" i="14" l="1"/>
  <c r="CX9" i="122" l="1"/>
  <c r="CX11" i="122" l="1"/>
  <c r="CX8" i="122"/>
  <c r="CZ8" i="122" s="1"/>
  <c r="CZ10" i="122"/>
  <c r="CZ35" i="122" s="1"/>
  <c r="CX11" i="69"/>
  <c r="CZ10" i="69"/>
  <c r="CZ35" i="69" s="1"/>
  <c r="CX8" i="69"/>
  <c r="CZ8" i="69" s="1"/>
  <c r="CZ9" i="69" s="1"/>
  <c r="E89" i="56"/>
  <c r="CZ11" i="69" l="1"/>
  <c r="CZ13" i="69" s="1"/>
  <c r="CZ36" i="69" s="1"/>
  <c r="CZ38" i="69" s="1"/>
  <c r="CZ9" i="122"/>
  <c r="CZ11" i="122" s="1"/>
  <c r="CZ13" i="122" s="1"/>
  <c r="CZ32" i="122"/>
  <c r="CZ32" i="69"/>
  <c r="CZ15" i="69" l="1"/>
  <c r="CZ31" i="69" s="1"/>
  <c r="CZ33" i="69" s="1"/>
  <c r="CZ39" i="69" s="1"/>
  <c r="CZ36" i="122"/>
  <c r="CZ38" i="122" s="1"/>
  <c r="CZ15" i="122"/>
  <c r="CZ31" i="122" s="1"/>
  <c r="CZ33" i="122" s="1"/>
  <c r="Y184" i="82"/>
  <c r="CZ39" i="122" l="1"/>
  <c r="BN20" i="69" l="1"/>
  <c r="AY129" i="88" l="1"/>
  <c r="E121" i="14" l="1"/>
  <c r="AF12" i="1" s="1"/>
  <c r="AH12" i="1" s="1"/>
  <c r="AH13" i="14"/>
  <c r="Y12" i="14"/>
  <c r="Q12" i="14"/>
  <c r="E332" i="80" l="1"/>
  <c r="BA51" i="88" l="1"/>
  <c r="B73" i="93" l="1"/>
  <c r="B21" i="81" l="1"/>
  <c r="F3" i="74" l="1"/>
  <c r="B15" i="74"/>
  <c r="B16" i="74" s="1"/>
  <c r="B22" i="74"/>
  <c r="B45" i="74"/>
  <c r="B46" i="74" s="1"/>
  <c r="B47" i="74" s="1"/>
  <c r="B48" i="74" l="1"/>
  <c r="B49" i="74" s="1"/>
  <c r="B23" i="74"/>
  <c r="B17" i="74"/>
  <c r="B50" i="74" l="1"/>
  <c r="B51" i="74" s="1"/>
  <c r="B52" i="74" s="1"/>
  <c r="B53" i="74" s="1"/>
  <c r="B54" i="74" s="1"/>
  <c r="B55" i="74" s="1"/>
  <c r="B18" i="74"/>
  <c r="B24" i="74"/>
  <c r="B25" i="74" s="1"/>
  <c r="B26" i="74" s="1"/>
  <c r="B32" i="74"/>
  <c r="B33" i="74" s="1"/>
  <c r="BJ9" i="122"/>
  <c r="B67" i="74"/>
  <c r="B68" i="74" s="1"/>
  <c r="B69" i="74" s="1"/>
  <c r="B70" i="74" s="1"/>
  <c r="B71" i="74" s="1"/>
  <c r="B72" i="74" s="1"/>
  <c r="B73" i="74" s="1"/>
  <c r="B27" i="74" l="1"/>
  <c r="B28" i="74" s="1"/>
  <c r="B29" i="74" s="1"/>
  <c r="B30" i="74" s="1"/>
  <c r="CH9" i="69" s="1"/>
  <c r="B19" i="74"/>
  <c r="B20" i="74" s="1"/>
  <c r="CD9" i="69" s="1"/>
  <c r="B56" i="74"/>
  <c r="B57" i="74" s="1"/>
  <c r="B58" i="74" s="1"/>
  <c r="B59" i="74" s="1"/>
  <c r="B60" i="74" s="1"/>
  <c r="B74" i="74"/>
  <c r="B34" i="74"/>
  <c r="B35" i="74" s="1"/>
  <c r="BL10" i="122"/>
  <c r="BL35" i="122" s="1"/>
  <c r="BJ11" i="122"/>
  <c r="BJ8" i="122"/>
  <c r="B36" i="74" l="1"/>
  <c r="B37" i="74" s="1"/>
  <c r="B38" i="74" s="1"/>
  <c r="B39" i="74" s="1"/>
  <c r="B40" i="74" s="1"/>
  <c r="B41" i="74" s="1"/>
  <c r="B75" i="74"/>
  <c r="B76" i="74" s="1"/>
  <c r="B78" i="74" s="1"/>
  <c r="B79" i="74" s="1"/>
  <c r="CT9" i="69" s="1"/>
  <c r="B61" i="74"/>
  <c r="B62" i="74" s="1"/>
  <c r="B63" i="74" s="1"/>
  <c r="B64" i="74" s="1"/>
  <c r="B65" i="74" s="1"/>
  <c r="CP9" i="69" s="1"/>
  <c r="BL8" i="122"/>
  <c r="BL32" i="122" s="1"/>
  <c r="CD9" i="122"/>
  <c r="BN9" i="122"/>
  <c r="B42" i="74" l="1"/>
  <c r="B43" i="74" s="1"/>
  <c r="CL9" i="69" s="1"/>
  <c r="BL9" i="122"/>
  <c r="BL11" i="122" s="1"/>
  <c r="BL13" i="122" s="1"/>
  <c r="BL36" i="122" s="1"/>
  <c r="BL38" i="122" s="1"/>
  <c r="BR9" i="122"/>
  <c r="BP10" i="122"/>
  <c r="BP35" i="122" s="1"/>
  <c r="BN8" i="122"/>
  <c r="BN11" i="122"/>
  <c r="CF10" i="122"/>
  <c r="CF35" i="122" s="1"/>
  <c r="CD11" i="122"/>
  <c r="CD8" i="122"/>
  <c r="CF8" i="122" s="1"/>
  <c r="CP9" i="122"/>
  <c r="BL15" i="122" l="1"/>
  <c r="BL31" i="122" s="1"/>
  <c r="BL33" i="122" s="1"/>
  <c r="BL39" i="122" s="1"/>
  <c r="BP8" i="122"/>
  <c r="BP9" i="122" s="1"/>
  <c r="BP11" i="122" s="1"/>
  <c r="BP13" i="122" s="1"/>
  <c r="CF32" i="122"/>
  <c r="CF9" i="122"/>
  <c r="CF11" i="122" s="1"/>
  <c r="CF13" i="122" s="1"/>
  <c r="CP8" i="122"/>
  <c r="CR8" i="122" s="1"/>
  <c r="CR10" i="122"/>
  <c r="CP11" i="122"/>
  <c r="BT10" i="122"/>
  <c r="BT35" i="122" s="1"/>
  <c r="BR8" i="122"/>
  <c r="BT8" i="122" s="1"/>
  <c r="BR11" i="122"/>
  <c r="BV9" i="122"/>
  <c r="J103" i="14"/>
  <c r="S98" i="14"/>
  <c r="BP32" i="122" l="1"/>
  <c r="BP36" i="122"/>
  <c r="BP38" i="122" s="1"/>
  <c r="BP15" i="122"/>
  <c r="BP31" i="122" s="1"/>
  <c r="CR9" i="122"/>
  <c r="CR11" i="122" s="1"/>
  <c r="CR13" i="122" s="1"/>
  <c r="BX10" i="122"/>
  <c r="BX35" i="122" s="1"/>
  <c r="BV11" i="122"/>
  <c r="BV8" i="122"/>
  <c r="BX8" i="122" s="1"/>
  <c r="CF36" i="122"/>
  <c r="CF38" i="122" s="1"/>
  <c r="CF15" i="122"/>
  <c r="CF31" i="122" s="1"/>
  <c r="CF33" i="122" s="1"/>
  <c r="BT9" i="122"/>
  <c r="BT11" i="122" s="1"/>
  <c r="BT13" i="122" s="1"/>
  <c r="BT32" i="122"/>
  <c r="BP33" i="122" l="1"/>
  <c r="BP39" i="122" s="1"/>
  <c r="CR15" i="122"/>
  <c r="CR36" i="122"/>
  <c r="BX32" i="122"/>
  <c r="BX9" i="122"/>
  <c r="BX11" i="122" s="1"/>
  <c r="BX13" i="122" s="1"/>
  <c r="BT15" i="122"/>
  <c r="BT31" i="122" s="1"/>
  <c r="BT33" i="122" s="1"/>
  <c r="BT36" i="122"/>
  <c r="BT38" i="122" s="1"/>
  <c r="CF39" i="122"/>
  <c r="X11" i="77"/>
  <c r="W11" i="77"/>
  <c r="BT39" i="122" l="1"/>
  <c r="BX15" i="122"/>
  <c r="BX31" i="122" s="1"/>
  <c r="BX33" i="122" s="1"/>
  <c r="BX36" i="122"/>
  <c r="BX38" i="122" s="1"/>
  <c r="BX39" i="122" l="1"/>
  <c r="D207" i="80"/>
  <c r="F332" i="80" s="1"/>
  <c r="G297" i="80" l="1"/>
  <c r="Q3" i="1" l="1"/>
  <c r="D114" i="1"/>
  <c r="V17" i="110"/>
  <c r="X13" i="110"/>
  <c r="W6" i="110"/>
  <c r="W8" i="110" s="1"/>
  <c r="W3" i="110"/>
  <c r="X6" i="110" l="1"/>
  <c r="H52" i="111" s="1"/>
  <c r="W7" i="110"/>
  <c r="AX18" i="69" l="1"/>
  <c r="A9" i="112"/>
  <c r="A10" i="112" l="1"/>
  <c r="AU21" i="78"/>
  <c r="J30" i="81" s="1"/>
  <c r="O4" i="1" l="1"/>
  <c r="K73" i="14" l="1"/>
  <c r="B425" i="109" l="1"/>
  <c r="B426" i="109" s="1"/>
  <c r="B427" i="109" s="1"/>
  <c r="B428" i="109" l="1"/>
  <c r="B429" i="109" s="1"/>
  <c r="B430" i="109" s="1"/>
  <c r="B431" i="109" s="1"/>
  <c r="B432" i="109" s="1"/>
  <c r="B433" i="109" s="1"/>
  <c r="B434" i="109" s="1"/>
  <c r="B435" i="109" s="1"/>
  <c r="B36" i="113"/>
  <c r="B436" i="109" l="1"/>
  <c r="B184" i="82"/>
  <c r="G296" i="80"/>
  <c r="G290" i="80"/>
  <c r="B437" i="109" l="1"/>
  <c r="B438" i="109" s="1"/>
  <c r="B439" i="109" s="1"/>
  <c r="B440" i="109" s="1"/>
  <c r="S6" i="110"/>
  <c r="B441" i="109" l="1"/>
  <c r="B442" i="109" s="1"/>
  <c r="B443" i="109" s="1"/>
  <c r="B444" i="109" s="1"/>
  <c r="B445" i="109" s="1"/>
  <c r="B446" i="109" s="1"/>
  <c r="B447" i="109" s="1"/>
  <c r="B448" i="109" s="1"/>
  <c r="B449" i="109" s="1"/>
  <c r="B450" i="109" s="1"/>
  <c r="B451" i="109" s="1"/>
  <c r="B452" i="109" s="1"/>
  <c r="B453" i="109" s="1"/>
  <c r="L143" i="56"/>
  <c r="I143" i="56"/>
  <c r="I45" i="56"/>
  <c r="I94" i="56"/>
  <c r="B454" i="109" l="1"/>
  <c r="B455" i="109" s="1"/>
  <c r="B456" i="109" s="1"/>
  <c r="B457" i="109" s="1"/>
  <c r="B458" i="109" s="1"/>
  <c r="B459" i="109" s="1"/>
  <c r="B460" i="109" s="1"/>
  <c r="B461" i="109" s="1"/>
  <c r="B462" i="109" s="1"/>
  <c r="B463" i="109" s="1"/>
  <c r="B464" i="109" s="1"/>
  <c r="B465" i="109" s="1"/>
  <c r="B466" i="109" s="1"/>
  <c r="I144" i="56"/>
  <c r="B467" i="109" l="1"/>
  <c r="B468" i="109" s="1"/>
  <c r="B469" i="109" s="1"/>
  <c r="B470" i="109" s="1"/>
  <c r="B471" i="109" s="1"/>
  <c r="B472" i="109" s="1"/>
  <c r="B473" i="109" s="1"/>
  <c r="B474" i="109" s="1"/>
  <c r="B475" i="109" s="1"/>
  <c r="B476" i="109" s="1"/>
  <c r="B477" i="109" s="1"/>
  <c r="B478" i="109" s="1"/>
  <c r="B479" i="109" s="1"/>
  <c r="B480" i="109" s="1"/>
  <c r="B481" i="109" s="1"/>
  <c r="B482" i="109" s="1"/>
  <c r="B483" i="109" s="1"/>
  <c r="AU26" i="93"/>
  <c r="B484" i="109" l="1"/>
  <c r="B485" i="109" s="1"/>
  <c r="B486" i="109" s="1"/>
  <c r="B487" i="109" s="1"/>
  <c r="BA126" i="88"/>
  <c r="B488" i="109" l="1"/>
  <c r="B489" i="109" s="1"/>
  <c r="B490" i="109" s="1"/>
  <c r="B491" i="109" s="1"/>
  <c r="B492" i="109" s="1"/>
  <c r="B493" i="109" s="1"/>
  <c r="B494" i="109" s="1"/>
  <c r="B495" i="109" s="1"/>
  <c r="B496" i="109" s="1"/>
  <c r="B497" i="109" s="1"/>
  <c r="B498" i="109" s="1"/>
  <c r="B499" i="109" s="1"/>
  <c r="B500" i="109" s="1"/>
  <c r="B501" i="109" s="1"/>
  <c r="B502" i="109" s="1"/>
  <c r="B503" i="109" s="1"/>
  <c r="B504" i="109" s="1"/>
  <c r="B73" i="77"/>
  <c r="B120" i="88"/>
  <c r="K241" i="80"/>
  <c r="L241" i="80" s="1"/>
  <c r="J241" i="80"/>
  <c r="K240" i="80"/>
  <c r="K239" i="80"/>
  <c r="K238" i="80"/>
  <c r="K235" i="80"/>
  <c r="J235" i="80"/>
  <c r="K234" i="80"/>
  <c r="J234" i="80"/>
  <c r="L234" i="80" s="1"/>
  <c r="K233" i="80"/>
  <c r="K232" i="80"/>
  <c r="K231" i="80"/>
  <c r="K230" i="80"/>
  <c r="K229" i="80"/>
  <c r="K228" i="80"/>
  <c r="K227" i="80"/>
  <c r="K226" i="80"/>
  <c r="K225" i="80"/>
  <c r="J225" i="80"/>
  <c r="K223" i="80"/>
  <c r="K222" i="80"/>
  <c r="K219" i="80"/>
  <c r="K218" i="80"/>
  <c r="J218" i="80"/>
  <c r="K217" i="80"/>
  <c r="J217" i="80"/>
  <c r="K216" i="80"/>
  <c r="J216" i="80"/>
  <c r="K215" i="80"/>
  <c r="J215" i="80"/>
  <c r="L215" i="80" s="1"/>
  <c r="K214" i="80"/>
  <c r="K213" i="80"/>
  <c r="I235" i="80"/>
  <c r="I234" i="80"/>
  <c r="I232" i="80"/>
  <c r="I229" i="80"/>
  <c r="I228" i="80"/>
  <c r="I225" i="80"/>
  <c r="I223" i="80"/>
  <c r="I217" i="80"/>
  <c r="I216" i="80"/>
  <c r="I215" i="80"/>
  <c r="D231" i="80"/>
  <c r="D225" i="80"/>
  <c r="D222" i="80"/>
  <c r="D218" i="80"/>
  <c r="D217" i="80"/>
  <c r="D216" i="80"/>
  <c r="D215" i="80"/>
  <c r="D214" i="80"/>
  <c r="R17" i="110"/>
  <c r="T13" i="110"/>
  <c r="S8" i="110"/>
  <c r="S3" i="110"/>
  <c r="B505" i="109" l="1"/>
  <c r="B506" i="109" s="1"/>
  <c r="B507" i="109" s="1"/>
  <c r="B508" i="109" s="1"/>
  <c r="B509" i="109" s="1"/>
  <c r="L225" i="80"/>
  <c r="L216" i="80"/>
  <c r="L235" i="80"/>
  <c r="L217" i="80"/>
  <c r="L218" i="80"/>
  <c r="T6" i="110"/>
  <c r="H50" i="111" s="1"/>
  <c r="S7" i="110"/>
  <c r="K63" i="14"/>
  <c r="K62" i="14"/>
  <c r="J21" i="81"/>
  <c r="D42" i="60"/>
  <c r="B510" i="109" l="1"/>
  <c r="B511" i="109" s="1"/>
  <c r="B512" i="109" s="1"/>
  <c r="B513" i="109" s="1"/>
  <c r="B514" i="109" s="1"/>
  <c r="B515" i="109" s="1"/>
  <c r="B516" i="109" s="1"/>
  <c r="C45" i="88"/>
  <c r="D45" i="88"/>
  <c r="E45" i="88"/>
  <c r="F45" i="88"/>
  <c r="G45" i="88"/>
  <c r="H45" i="88"/>
  <c r="I45" i="88"/>
  <c r="J45" i="88"/>
  <c r="K45" i="88"/>
  <c r="L45" i="88"/>
  <c r="C46" i="88"/>
  <c r="D46" i="88"/>
  <c r="E46" i="88"/>
  <c r="F46" i="88"/>
  <c r="G46" i="88"/>
  <c r="H46" i="88"/>
  <c r="I46" i="88"/>
  <c r="J46" i="88"/>
  <c r="K46" i="88"/>
  <c r="L46" i="88"/>
  <c r="C47" i="88"/>
  <c r="D47" i="88"/>
  <c r="E47" i="88"/>
  <c r="F47" i="88"/>
  <c r="G47" i="88"/>
  <c r="H47" i="88"/>
  <c r="I47" i="88"/>
  <c r="J47" i="88"/>
  <c r="K47" i="88"/>
  <c r="L47" i="88"/>
  <c r="C48" i="88"/>
  <c r="D48" i="88"/>
  <c r="E48" i="88"/>
  <c r="F48" i="88"/>
  <c r="G48" i="88"/>
  <c r="H48" i="88"/>
  <c r="I48" i="88"/>
  <c r="J48" i="88"/>
  <c r="K48" i="88"/>
  <c r="L48" i="88"/>
  <c r="C49" i="88"/>
  <c r="D49" i="88"/>
  <c r="E49" i="88"/>
  <c r="F49" i="88"/>
  <c r="G49" i="88"/>
  <c r="H49" i="88"/>
  <c r="I49" i="88"/>
  <c r="J49" i="88"/>
  <c r="K49" i="88"/>
  <c r="L49" i="88"/>
  <c r="C50" i="88"/>
  <c r="D50" i="88"/>
  <c r="E50" i="88"/>
  <c r="F50" i="88"/>
  <c r="G50" i="88"/>
  <c r="H50" i="88"/>
  <c r="I50" i="88"/>
  <c r="J50" i="88"/>
  <c r="K50" i="88"/>
  <c r="L50" i="88"/>
  <c r="C51" i="88"/>
  <c r="D51" i="88"/>
  <c r="E51" i="88"/>
  <c r="F51" i="88"/>
  <c r="G51" i="88"/>
  <c r="H51" i="88"/>
  <c r="I51" i="88"/>
  <c r="J51" i="88"/>
  <c r="K51" i="88"/>
  <c r="L51" i="88"/>
  <c r="C54" i="88"/>
  <c r="D54" i="88"/>
  <c r="E54" i="88"/>
  <c r="F54" i="88"/>
  <c r="G54" i="88"/>
  <c r="H54" i="88"/>
  <c r="I54" i="88"/>
  <c r="J54" i="88"/>
  <c r="K54" i="88"/>
  <c r="L54" i="88"/>
  <c r="C56" i="88"/>
  <c r="D56" i="88"/>
  <c r="E56" i="88"/>
  <c r="F56" i="88"/>
  <c r="G56" i="88"/>
  <c r="H56" i="88"/>
  <c r="I56" i="88"/>
  <c r="J56" i="88"/>
  <c r="K56" i="88"/>
  <c r="L56" i="88"/>
  <c r="C57" i="88"/>
  <c r="D57" i="88"/>
  <c r="E57" i="88"/>
  <c r="F57" i="88"/>
  <c r="G57" i="88"/>
  <c r="H57" i="88"/>
  <c r="I57" i="88"/>
  <c r="J57" i="88"/>
  <c r="K57" i="88"/>
  <c r="L57" i="88"/>
  <c r="C58" i="88"/>
  <c r="D58" i="88"/>
  <c r="E58" i="88"/>
  <c r="F58" i="88"/>
  <c r="G58" i="88"/>
  <c r="H58" i="88"/>
  <c r="I58" i="88"/>
  <c r="J58" i="88"/>
  <c r="K58" i="88"/>
  <c r="L58" i="88"/>
  <c r="C59" i="88"/>
  <c r="D59" i="88"/>
  <c r="E59" i="88"/>
  <c r="F59" i="88"/>
  <c r="G59" i="88"/>
  <c r="H59" i="88"/>
  <c r="I59" i="88"/>
  <c r="J59" i="88"/>
  <c r="K59" i="88"/>
  <c r="L59" i="88"/>
  <c r="C60" i="88"/>
  <c r="D60" i="88"/>
  <c r="E60" i="88"/>
  <c r="F60" i="88"/>
  <c r="G60" i="88"/>
  <c r="H60" i="88"/>
  <c r="I60" i="88"/>
  <c r="J60" i="88"/>
  <c r="K60" i="88"/>
  <c r="L60" i="88"/>
  <c r="C61" i="88"/>
  <c r="D61" i="88"/>
  <c r="E61" i="88"/>
  <c r="F61" i="88"/>
  <c r="G61" i="88"/>
  <c r="H61" i="88"/>
  <c r="I61" i="88"/>
  <c r="J61" i="88"/>
  <c r="K61" i="88"/>
  <c r="L61" i="88"/>
  <c r="C62" i="88"/>
  <c r="D62" i="88"/>
  <c r="E62" i="88"/>
  <c r="F62" i="88"/>
  <c r="G62" i="88"/>
  <c r="H62" i="88"/>
  <c r="I62" i="88"/>
  <c r="J62" i="88"/>
  <c r="K62" i="88"/>
  <c r="L62" i="88"/>
  <c r="B62" i="88"/>
  <c r="B61" i="88"/>
  <c r="B60" i="88"/>
  <c r="B59" i="88"/>
  <c r="B58" i="88"/>
  <c r="B57" i="88"/>
  <c r="B56" i="88"/>
  <c r="B54" i="88"/>
  <c r="B51" i="88"/>
  <c r="B50" i="88"/>
  <c r="B49" i="88"/>
  <c r="B48" i="88"/>
  <c r="B47" i="88"/>
  <c r="B46" i="88"/>
  <c r="B45" i="88"/>
  <c r="L29" i="88"/>
  <c r="K29" i="88"/>
  <c r="J29" i="88"/>
  <c r="I29" i="88"/>
  <c r="H29" i="88"/>
  <c r="G29" i="88"/>
  <c r="F29" i="88"/>
  <c r="E29" i="88"/>
  <c r="D29" i="88"/>
  <c r="C29" i="88"/>
  <c r="L28" i="88"/>
  <c r="K28" i="88"/>
  <c r="J28" i="88"/>
  <c r="I28" i="88"/>
  <c r="H28" i="88"/>
  <c r="G28" i="88"/>
  <c r="F28" i="88"/>
  <c r="E28" i="88"/>
  <c r="D28" i="88"/>
  <c r="C28" i="88"/>
  <c r="L27" i="88"/>
  <c r="K27" i="88"/>
  <c r="J27" i="88"/>
  <c r="I27" i="88"/>
  <c r="H27" i="88"/>
  <c r="G27" i="88"/>
  <c r="F27" i="88"/>
  <c r="E27" i="88"/>
  <c r="D27" i="88"/>
  <c r="C27" i="88"/>
  <c r="L26" i="88"/>
  <c r="K26" i="88"/>
  <c r="J26" i="88"/>
  <c r="I26" i="88"/>
  <c r="H26" i="88"/>
  <c r="G26" i="88"/>
  <c r="F26" i="88"/>
  <c r="E26" i="88"/>
  <c r="D26" i="88"/>
  <c r="C26" i="88"/>
  <c r="L25" i="88"/>
  <c r="K25" i="88"/>
  <c r="J25" i="88"/>
  <c r="I25" i="88"/>
  <c r="H25" i="88"/>
  <c r="G25" i="88"/>
  <c r="F25" i="88"/>
  <c r="E25" i="88"/>
  <c r="D25" i="88"/>
  <c r="C25" i="88"/>
  <c r="L24" i="88"/>
  <c r="K24" i="88"/>
  <c r="J24" i="88"/>
  <c r="I24" i="88"/>
  <c r="H24" i="88"/>
  <c r="G24" i="88"/>
  <c r="F24" i="88"/>
  <c r="E24" i="88"/>
  <c r="D24" i="88"/>
  <c r="C24" i="88"/>
  <c r="L23" i="88"/>
  <c r="K23" i="88"/>
  <c r="J23" i="88"/>
  <c r="I23" i="88"/>
  <c r="H23" i="88"/>
  <c r="G23" i="88"/>
  <c r="F23" i="88"/>
  <c r="E23" i="88"/>
  <c r="D23" i="88"/>
  <c r="C23" i="88"/>
  <c r="L22" i="88"/>
  <c r="K22" i="88"/>
  <c r="J22" i="88"/>
  <c r="I22" i="88"/>
  <c r="H22" i="88"/>
  <c r="G22" i="88"/>
  <c r="F22" i="88"/>
  <c r="E22" i="88"/>
  <c r="D22" i="88"/>
  <c r="C22" i="88"/>
  <c r="L21" i="88"/>
  <c r="K21" i="88"/>
  <c r="J21" i="88"/>
  <c r="I21" i="88"/>
  <c r="H21" i="88"/>
  <c r="G21" i="88"/>
  <c r="F21" i="88"/>
  <c r="E21" i="88"/>
  <c r="D21" i="88"/>
  <c r="C21" i="88"/>
  <c r="L18" i="88"/>
  <c r="K18" i="88"/>
  <c r="J18" i="88"/>
  <c r="I18" i="88"/>
  <c r="H18" i="88"/>
  <c r="G18" i="88"/>
  <c r="F18" i="88"/>
  <c r="E18" i="88"/>
  <c r="D18" i="88"/>
  <c r="C18" i="88"/>
  <c r="L17" i="88"/>
  <c r="K17" i="88"/>
  <c r="J17" i="88"/>
  <c r="I17" i="88"/>
  <c r="H17" i="88"/>
  <c r="G17" i="88"/>
  <c r="F17" i="88"/>
  <c r="E17" i="88"/>
  <c r="D17" i="88"/>
  <c r="C17" i="88"/>
  <c r="L16" i="88"/>
  <c r="K16" i="88"/>
  <c r="J16" i="88"/>
  <c r="I16" i="88"/>
  <c r="H16" i="88"/>
  <c r="G16" i="88"/>
  <c r="F16" i="88"/>
  <c r="E16" i="88"/>
  <c r="D16" i="88"/>
  <c r="C16" i="88"/>
  <c r="L15" i="88"/>
  <c r="K15" i="88"/>
  <c r="J15" i="88"/>
  <c r="I15" i="88"/>
  <c r="H15" i="88"/>
  <c r="G15" i="88"/>
  <c r="F15" i="88"/>
  <c r="E15" i="88"/>
  <c r="D15" i="88"/>
  <c r="C15" i="88"/>
  <c r="L14" i="88"/>
  <c r="K14" i="88"/>
  <c r="J14" i="88"/>
  <c r="I14" i="88"/>
  <c r="H14" i="88"/>
  <c r="G14" i="88"/>
  <c r="F14" i="88"/>
  <c r="E14" i="88"/>
  <c r="D14" i="88"/>
  <c r="C14" i="88"/>
  <c r="L13" i="88"/>
  <c r="K13" i="88"/>
  <c r="J13" i="88"/>
  <c r="I13" i="88"/>
  <c r="H13" i="88"/>
  <c r="G13" i="88"/>
  <c r="F13" i="88"/>
  <c r="E13" i="88"/>
  <c r="D13" i="88"/>
  <c r="C13" i="88"/>
  <c r="L12" i="88"/>
  <c r="J12" i="88"/>
  <c r="I12" i="88"/>
  <c r="H12" i="88"/>
  <c r="G12" i="88"/>
  <c r="F12" i="88"/>
  <c r="E12" i="88"/>
  <c r="D12" i="88"/>
  <c r="C12" i="88"/>
  <c r="C7" i="88"/>
  <c r="D7" i="88"/>
  <c r="E7" i="88"/>
  <c r="F7" i="88"/>
  <c r="G7" i="88"/>
  <c r="H7" i="88"/>
  <c r="I7" i="88"/>
  <c r="J7" i="88"/>
  <c r="M7" i="88"/>
  <c r="N7" i="88"/>
  <c r="N11" i="88" s="1"/>
  <c r="O7" i="88"/>
  <c r="O11" i="88" s="1"/>
  <c r="P7" i="88"/>
  <c r="P11" i="88" s="1"/>
  <c r="Q7" i="88"/>
  <c r="Q11" i="88" s="1"/>
  <c r="C8" i="88"/>
  <c r="D8" i="88"/>
  <c r="E8" i="88"/>
  <c r="F8" i="88"/>
  <c r="G8" i="88"/>
  <c r="H8" i="88"/>
  <c r="I8" i="88"/>
  <c r="J8" i="88"/>
  <c r="B29" i="88"/>
  <c r="B28" i="88"/>
  <c r="B27" i="88"/>
  <c r="B26" i="88"/>
  <c r="B25" i="88"/>
  <c r="B24" i="88"/>
  <c r="B23" i="88"/>
  <c r="B22" i="88"/>
  <c r="B21" i="88"/>
  <c r="B18" i="88"/>
  <c r="B17" i="88"/>
  <c r="B16" i="88"/>
  <c r="B15" i="88"/>
  <c r="B14" i="88"/>
  <c r="B13" i="88"/>
  <c r="B12" i="88"/>
  <c r="B8" i="88"/>
  <c r="B7" i="88"/>
  <c r="A51" i="88"/>
  <c r="A50" i="113"/>
  <c r="A17" i="78"/>
  <c r="A50" i="78" s="1"/>
  <c r="A17" i="77"/>
  <c r="A50" i="77" s="1"/>
  <c r="A17" i="95"/>
  <c r="A50" i="95" s="1"/>
  <c r="A17" i="76"/>
  <c r="A50" i="76" s="1"/>
  <c r="A17" i="93"/>
  <c r="A50" i="93" s="1"/>
  <c r="AU17" i="63"/>
  <c r="A50" i="63"/>
  <c r="B517" i="109" l="1"/>
  <c r="B518" i="109" s="1"/>
  <c r="B519" i="109" s="1"/>
  <c r="B520" i="109" s="1"/>
  <c r="B521" i="109" s="1"/>
  <c r="B522" i="109" s="1"/>
  <c r="B523" i="109" s="1"/>
  <c r="AU21" i="88"/>
  <c r="AU12" i="88"/>
  <c r="AV18" i="88"/>
  <c r="AU18" i="88"/>
  <c r="B524" i="109" l="1"/>
  <c r="B525" i="109" s="1"/>
  <c r="B526" i="109" s="1"/>
  <c r="B527" i="109" s="1"/>
  <c r="B528" i="109" s="1"/>
  <c r="B529" i="109" s="1"/>
  <c r="B530" i="109" s="1"/>
  <c r="B531" i="109" s="1"/>
  <c r="B532" i="109" s="1"/>
  <c r="B533" i="109" s="1"/>
  <c r="T60" i="14"/>
  <c r="S16" i="1" s="1"/>
  <c r="S190" i="1" s="1"/>
  <c r="U82" i="14"/>
  <c r="X15" i="1" s="1"/>
  <c r="X189" i="1" s="1"/>
  <c r="H114" i="14"/>
  <c r="B534" i="109" l="1"/>
  <c r="B535" i="109" s="1"/>
  <c r="B536" i="109" s="1"/>
  <c r="B537" i="109" s="1"/>
  <c r="B538" i="109" s="1"/>
  <c r="B539" i="109" s="1"/>
  <c r="B540" i="109" s="1"/>
  <c r="B541" i="109" s="1"/>
  <c r="B542" i="109" s="1"/>
  <c r="K66" i="14"/>
  <c r="B543" i="109" l="1"/>
  <c r="B544" i="109" s="1"/>
  <c r="B545" i="109" s="1"/>
  <c r="B546" i="109" s="1"/>
  <c r="B547" i="109" s="1"/>
  <c r="B548" i="109" s="1"/>
  <c r="B549" i="109" s="1"/>
  <c r="B550" i="109" s="1"/>
  <c r="B551" i="109" s="1"/>
  <c r="B552" i="109" s="1"/>
  <c r="B553" i="109" s="1"/>
  <c r="B554" i="109" s="1"/>
  <c r="B555" i="109" s="1"/>
  <c r="B556" i="109" s="1"/>
  <c r="B557" i="109" s="1"/>
  <c r="B558" i="109" s="1"/>
  <c r="B559" i="109" s="1"/>
  <c r="V8" i="110" s="1"/>
  <c r="AV27" i="77"/>
  <c r="V10" i="110" l="1"/>
  <c r="E52" i="111"/>
  <c r="G52" i="111" s="1"/>
  <c r="V7" i="110"/>
  <c r="X7" i="110" s="1"/>
  <c r="X8" i="110"/>
  <c r="X9" i="110"/>
  <c r="X10" i="110" l="1"/>
  <c r="X12" i="110" s="1"/>
  <c r="X14" i="110" s="1"/>
  <c r="B290" i="109"/>
  <c r="B291" i="109" s="1"/>
  <c r="B292" i="109" s="1"/>
  <c r="B293" i="109" s="1"/>
  <c r="B294" i="109" s="1"/>
  <c r="B295" i="109" s="1"/>
  <c r="B296" i="109" s="1"/>
  <c r="B297" i="109" s="1"/>
  <c r="B298" i="109" l="1"/>
  <c r="B299" i="109" s="1"/>
  <c r="B300" i="109" s="1"/>
  <c r="B301" i="109" s="1"/>
  <c r="B302" i="109" s="1"/>
  <c r="B303" i="109" s="1"/>
  <c r="B304" i="109" s="1"/>
  <c r="B305" i="109" s="1"/>
  <c r="B306" i="109" s="1"/>
  <c r="B307" i="109" s="1"/>
  <c r="B308" i="109" s="1"/>
  <c r="B309" i="109" s="1"/>
  <c r="B310" i="109" s="1"/>
  <c r="B311" i="109" s="1"/>
  <c r="B312" i="109" s="1"/>
  <c r="B313" i="109" s="1"/>
  <c r="B314" i="109" s="1"/>
  <c r="B315" i="109" s="1"/>
  <c r="B316" i="109" s="1"/>
  <c r="B317" i="109" s="1"/>
  <c r="B318" i="109" s="1"/>
  <c r="B319" i="109" s="1"/>
  <c r="B320" i="109" s="1"/>
  <c r="B321" i="109" s="1"/>
  <c r="B322" i="109" s="1"/>
  <c r="B323" i="109" s="1"/>
  <c r="B324" i="109" s="1"/>
  <c r="B325" i="109" s="1"/>
  <c r="B326" i="109" s="1"/>
  <c r="B327" i="109" s="1"/>
  <c r="B328" i="109" s="1"/>
  <c r="B329" i="109" s="1"/>
  <c r="W184" i="82"/>
  <c r="X184" i="82"/>
  <c r="Z184" i="82"/>
  <c r="AA184" i="82"/>
  <c r="AB184" i="82"/>
  <c r="AC184" i="82"/>
  <c r="AD184" i="82"/>
  <c r="U175" i="82"/>
  <c r="V175" i="82"/>
  <c r="W175" i="82"/>
  <c r="X175" i="82"/>
  <c r="Y175" i="82"/>
  <c r="Z175" i="82"/>
  <c r="AA175" i="82"/>
  <c r="AB175" i="82"/>
  <c r="AC175" i="82"/>
  <c r="AD175" i="82"/>
  <c r="U176" i="82"/>
  <c r="V176" i="82"/>
  <c r="W176" i="82"/>
  <c r="X176" i="82"/>
  <c r="Y176" i="82"/>
  <c r="Z176" i="82"/>
  <c r="AA176" i="82"/>
  <c r="AB176" i="82"/>
  <c r="AC176" i="82"/>
  <c r="AD176" i="82"/>
  <c r="U177" i="82"/>
  <c r="V177" i="82"/>
  <c r="W177" i="82"/>
  <c r="X177" i="82"/>
  <c r="Y177" i="82"/>
  <c r="Z177" i="82"/>
  <c r="AA177" i="82"/>
  <c r="AB177" i="82"/>
  <c r="AC177" i="82"/>
  <c r="AD177" i="82"/>
  <c r="U178" i="82"/>
  <c r="V178" i="82"/>
  <c r="W178" i="82"/>
  <c r="X178" i="82"/>
  <c r="Y178" i="82"/>
  <c r="Z178" i="82"/>
  <c r="AA178" i="82"/>
  <c r="AB178" i="82"/>
  <c r="AC178" i="82"/>
  <c r="AD178" i="82"/>
  <c r="U179" i="82"/>
  <c r="V179" i="82"/>
  <c r="W179" i="82"/>
  <c r="X179" i="82"/>
  <c r="Y179" i="82"/>
  <c r="Z179" i="82"/>
  <c r="AA179" i="82"/>
  <c r="AB179" i="82"/>
  <c r="AC179" i="82"/>
  <c r="AD179" i="82"/>
  <c r="U180" i="82"/>
  <c r="V180" i="82"/>
  <c r="W180" i="82"/>
  <c r="X180" i="82"/>
  <c r="Y180" i="82"/>
  <c r="Z180" i="82"/>
  <c r="AA180" i="82"/>
  <c r="AB180" i="82"/>
  <c r="AC180" i="82"/>
  <c r="AD180" i="82"/>
  <c r="B330" i="109" l="1"/>
  <c r="B331" i="109" s="1"/>
  <c r="B332" i="109" s="1"/>
  <c r="B333" i="109" s="1"/>
  <c r="B334" i="109" s="1"/>
  <c r="B335" i="109" s="1"/>
  <c r="B336" i="109" s="1"/>
  <c r="B337" i="109" s="1"/>
  <c r="B338" i="109" s="1"/>
  <c r="B339" i="109" s="1"/>
  <c r="B340" i="109" s="1"/>
  <c r="B341" i="109" s="1"/>
  <c r="B342" i="109" s="1"/>
  <c r="B343" i="109" s="1"/>
  <c r="B344" i="109" s="1"/>
  <c r="B345" i="109" s="1"/>
  <c r="B346" i="109" s="1"/>
  <c r="B347" i="109" s="1"/>
  <c r="B348" i="109" s="1"/>
  <c r="B349" i="109" s="1"/>
  <c r="B350" i="109" s="1"/>
  <c r="B351" i="109" s="1"/>
  <c r="B352" i="109" s="1"/>
  <c r="B353" i="109" s="1"/>
  <c r="B354" i="109" s="1"/>
  <c r="B355" i="109" s="1"/>
  <c r="B356" i="109" s="1"/>
  <c r="B357" i="109" s="1"/>
  <c r="B358" i="109" s="1"/>
  <c r="B359" i="109" s="1"/>
  <c r="B360" i="109" s="1"/>
  <c r="B361" i="109" s="1"/>
  <c r="B362" i="109" s="1"/>
  <c r="B363" i="109" s="1"/>
  <c r="B364" i="109" s="1"/>
  <c r="B365" i="109" s="1"/>
  <c r="B366" i="109" s="1"/>
  <c r="B367" i="109" s="1"/>
  <c r="B368" i="109" s="1"/>
  <c r="B369" i="109" s="1"/>
  <c r="B370" i="109" s="1"/>
  <c r="B371" i="109" s="1"/>
  <c r="AD181" i="82"/>
  <c r="AD183" i="82" s="1"/>
  <c r="AD185" i="82" s="1"/>
  <c r="AA181" i="82"/>
  <c r="AA183" i="82" s="1"/>
  <c r="AA185" i="82" s="1"/>
  <c r="AC181" i="82"/>
  <c r="AC183" i="82" s="1"/>
  <c r="AC185" i="82" s="1"/>
  <c r="Z181" i="82"/>
  <c r="Z183" i="82" s="1"/>
  <c r="Z185" i="82" s="1"/>
  <c r="AB181" i="82"/>
  <c r="AB183" i="82" s="1"/>
  <c r="AB185" i="82" s="1"/>
  <c r="Y181" i="82"/>
  <c r="Y183" i="82" s="1"/>
  <c r="Y185" i="82" s="1"/>
  <c r="U181" i="82"/>
  <c r="X181" i="82"/>
  <c r="X183" i="82" s="1"/>
  <c r="X185" i="82" s="1"/>
  <c r="W181" i="82"/>
  <c r="W183" i="82" s="1"/>
  <c r="W185" i="82" s="1"/>
  <c r="V181" i="82"/>
  <c r="B372" i="109" l="1"/>
  <c r="B373" i="109" s="1"/>
  <c r="B374" i="109" s="1"/>
  <c r="B375" i="109" s="1"/>
  <c r="O6" i="110"/>
  <c r="P6" i="110" s="1"/>
  <c r="H48" i="111" s="1"/>
  <c r="CU19" i="69"/>
  <c r="G132" i="127" s="1"/>
  <c r="H132" i="127" s="1"/>
  <c r="CU7" i="69"/>
  <c r="B376" i="109" l="1"/>
  <c r="B377" i="109" s="1"/>
  <c r="B378" i="109" s="1"/>
  <c r="B379" i="109" s="1"/>
  <c r="B380" i="109" s="1"/>
  <c r="B381" i="109" s="1"/>
  <c r="B382" i="109" s="1"/>
  <c r="B383" i="109" s="1"/>
  <c r="B384" i="109" s="1"/>
  <c r="B385" i="109" s="1"/>
  <c r="B386" i="109" s="1"/>
  <c r="B387" i="109" s="1"/>
  <c r="B388" i="109" s="1"/>
  <c r="B389" i="109" s="1"/>
  <c r="B390" i="109" s="1"/>
  <c r="B391" i="109" s="1"/>
  <c r="B392" i="109" s="1"/>
  <c r="B393" i="109" s="1"/>
  <c r="B394" i="109" s="1"/>
  <c r="B395" i="109" s="1"/>
  <c r="B396" i="109" s="1"/>
  <c r="B397" i="109" s="1"/>
  <c r="B398" i="109" s="1"/>
  <c r="B399" i="109" s="1"/>
  <c r="B400" i="109" s="1"/>
  <c r="B401" i="109" s="1"/>
  <c r="B402" i="109" s="1"/>
  <c r="B403" i="109" s="1"/>
  <c r="B404" i="109" s="1"/>
  <c r="B405" i="109" s="1"/>
  <c r="B406" i="109" s="1"/>
  <c r="B407" i="109" s="1"/>
  <c r="B408" i="109" s="1"/>
  <c r="B409" i="109" s="1"/>
  <c r="B410" i="109" s="1"/>
  <c r="B411" i="109" s="1"/>
  <c r="B412" i="109" s="1"/>
  <c r="B413" i="109" s="1"/>
  <c r="B414" i="109" s="1"/>
  <c r="B415" i="109" s="1"/>
  <c r="B416" i="109" s="1"/>
  <c r="B417" i="109" s="1"/>
  <c r="B418" i="109" s="1"/>
  <c r="B419" i="109" s="1"/>
  <c r="B420" i="109" s="1"/>
  <c r="B421" i="109" s="1"/>
  <c r="B422" i="109" s="1"/>
  <c r="B423" i="109" s="1"/>
  <c r="R8" i="110" s="1"/>
  <c r="N17" i="110"/>
  <c r="P13" i="110"/>
  <c r="O8" i="110"/>
  <c r="O3" i="110"/>
  <c r="O7" i="110" l="1"/>
  <c r="CT18" i="69" l="1"/>
  <c r="CU22" i="69"/>
  <c r="CU20" i="69"/>
  <c r="CU17" i="69"/>
  <c r="CU10" i="69"/>
  <c r="CU8" i="69"/>
  <c r="CU9" i="69" s="1"/>
  <c r="CU4" i="69"/>
  <c r="BZ5" i="69"/>
  <c r="G132" i="56" l="1"/>
  <c r="CU21" i="69"/>
  <c r="CV19" i="69"/>
  <c r="CV7" i="69"/>
  <c r="CV30" i="69" l="1"/>
  <c r="B254" i="109" l="1"/>
  <c r="B255" i="109" s="1"/>
  <c r="B256" i="109" s="1"/>
  <c r="B257" i="109" s="1"/>
  <c r="B258" i="109" s="1"/>
  <c r="B259" i="109" s="1"/>
  <c r="B260" i="109" s="1"/>
  <c r="B261" i="109" s="1"/>
  <c r="B262" i="109" s="1"/>
  <c r="B263" i="109" s="1"/>
  <c r="B264" i="109" s="1"/>
  <c r="B265" i="109" s="1"/>
  <c r="B266" i="109" s="1"/>
  <c r="B267" i="109" s="1"/>
  <c r="B268" i="109" s="1"/>
  <c r="B269" i="109" s="1"/>
  <c r="B270" i="109" s="1"/>
  <c r="B271" i="109" s="1"/>
  <c r="B272" i="109" s="1"/>
  <c r="B273" i="109" s="1"/>
  <c r="B274" i="109" s="1"/>
  <c r="B275" i="109" s="1"/>
  <c r="B276" i="109" s="1"/>
  <c r="B277" i="109" s="1"/>
  <c r="B278" i="109" s="1"/>
  <c r="B279" i="109" s="1"/>
  <c r="B280" i="109" s="1"/>
  <c r="B281" i="109" s="1"/>
  <c r="B282" i="109" s="1"/>
  <c r="B283" i="109" s="1"/>
  <c r="B284" i="109" s="1"/>
  <c r="B285" i="109" s="1"/>
  <c r="B286" i="109" s="1"/>
  <c r="B287" i="109" s="1"/>
  <c r="B288" i="109" s="1"/>
  <c r="CV10" i="69" l="1"/>
  <c r="E132" i="56"/>
  <c r="H132" i="56" s="1"/>
  <c r="CT23" i="69"/>
  <c r="CV22" i="69"/>
  <c r="CT20" i="69"/>
  <c r="CV20" i="69" s="1"/>
  <c r="CV21" i="69" s="1"/>
  <c r="CV35" i="69" l="1"/>
  <c r="E87" i="56"/>
  <c r="CT8" i="69"/>
  <c r="CV8" i="69" s="1"/>
  <c r="CV32" i="69" s="1"/>
  <c r="CT11" i="69"/>
  <c r="CV23" i="69"/>
  <c r="CV25" i="69" s="1"/>
  <c r="CV37" i="69" s="1"/>
  <c r="CV9" i="69" l="1"/>
  <c r="CV11" i="69" s="1"/>
  <c r="CV13" i="69" s="1"/>
  <c r="CV36" i="69" s="1"/>
  <c r="CV38" i="69" s="1"/>
  <c r="CV27" i="69"/>
  <c r="CV15" i="69" l="1"/>
  <c r="CV31" i="69" s="1"/>
  <c r="CV33" i="69" s="1"/>
  <c r="CV39" i="69" s="1"/>
  <c r="N8" i="110" l="1"/>
  <c r="E48" i="111" s="1"/>
  <c r="C184" i="82"/>
  <c r="U184" i="82"/>
  <c r="V184" i="82"/>
  <c r="G48" i="111" l="1"/>
  <c r="P8" i="110"/>
  <c r="N7" i="110"/>
  <c r="P7" i="110" s="1"/>
  <c r="N10" i="110"/>
  <c r="P9" i="110"/>
  <c r="AX21" i="69"/>
  <c r="P10" i="110" l="1"/>
  <c r="P12" i="110" s="1"/>
  <c r="P14" i="110" s="1"/>
  <c r="K6" i="110"/>
  <c r="K3" i="110" l="1"/>
  <c r="G3" i="110"/>
  <c r="J17" i="110"/>
  <c r="L13" i="110"/>
  <c r="K8" i="110"/>
  <c r="L6" i="110" l="1"/>
  <c r="H46" i="111" s="1"/>
  <c r="K7" i="110"/>
  <c r="AL4" i="65"/>
  <c r="Y11" i="95" l="1"/>
  <c r="Z11" i="95"/>
  <c r="AA11" i="95"/>
  <c r="W11" i="95"/>
  <c r="V11" i="95"/>
  <c r="X11" i="95"/>
  <c r="E50" i="111" l="1"/>
  <c r="G50" i="111" s="1"/>
  <c r="R7" i="110"/>
  <c r="T7" i="110" s="1"/>
  <c r="R10" i="110"/>
  <c r="T8" i="110"/>
  <c r="T9" i="110"/>
  <c r="T10" i="110" l="1"/>
  <c r="T12" i="110" s="1"/>
  <c r="T14" i="110" s="1"/>
  <c r="C180" i="82" l="1"/>
  <c r="D180" i="82"/>
  <c r="E180" i="82"/>
  <c r="F180" i="82"/>
  <c r="G180" i="82"/>
  <c r="H180" i="82"/>
  <c r="I180" i="82"/>
  <c r="J180" i="82"/>
  <c r="K180" i="82"/>
  <c r="L180" i="82"/>
  <c r="M180" i="82"/>
  <c r="N180" i="82"/>
  <c r="O180" i="82"/>
  <c r="P180" i="82"/>
  <c r="Q180" i="82"/>
  <c r="R180" i="82"/>
  <c r="S180" i="82"/>
  <c r="T180" i="82"/>
  <c r="U183" i="82"/>
  <c r="U185" i="82" s="1"/>
  <c r="V183" i="82"/>
  <c r="V185" i="82" s="1"/>
  <c r="B180" i="82"/>
  <c r="AF180" i="82" l="1"/>
  <c r="B36" i="88" l="1"/>
  <c r="B39" i="88" s="1"/>
  <c r="AZ122" i="88"/>
  <c r="AZ123" i="88" s="1"/>
  <c r="E60" i="14" l="1"/>
  <c r="E68" i="14"/>
  <c r="G74" i="14"/>
  <c r="O122" i="14" l="1"/>
  <c r="F10" i="72"/>
  <c r="F13" i="72" l="1"/>
  <c r="AF114" i="1"/>
  <c r="F105" i="117" s="1"/>
  <c r="O68" i="14" l="1"/>
  <c r="U60" i="14"/>
  <c r="H68" i="14"/>
  <c r="G70" i="14"/>
  <c r="Q82" i="14"/>
  <c r="O15" i="1" s="1"/>
  <c r="P82" i="14"/>
  <c r="Q15" i="1" s="1"/>
  <c r="K74" i="14"/>
  <c r="U74" i="14" s="1"/>
  <c r="F68" i="14"/>
  <c r="G71" i="14"/>
  <c r="G62" i="14"/>
  <c r="G63" i="14"/>
  <c r="F60" i="14"/>
  <c r="G64" i="14"/>
  <c r="G65" i="14"/>
  <c r="O82" i="14"/>
  <c r="S15" i="1" s="1"/>
  <c r="B82" i="14"/>
  <c r="D82" i="14"/>
  <c r="L15" i="1" s="1"/>
  <c r="G82" i="14"/>
  <c r="D15" i="1" s="1"/>
  <c r="K82" i="14"/>
  <c r="N82" i="14"/>
  <c r="T15" i="1" s="1"/>
  <c r="M82" i="14"/>
  <c r="L189" i="1" l="1"/>
  <c r="B14" i="81"/>
  <c r="K189" i="1"/>
  <c r="F76" i="14"/>
  <c r="L16" i="1" s="1"/>
  <c r="L190" i="1" s="1"/>
  <c r="T68" i="14"/>
  <c r="T76" i="14" s="1"/>
  <c r="Q18" i="1"/>
  <c r="Q189" i="1"/>
  <c r="T18" i="1"/>
  <c r="T189" i="1"/>
  <c r="S18" i="1"/>
  <c r="S189" i="1"/>
  <c r="O189" i="1"/>
  <c r="U15" i="1"/>
  <c r="B27" i="81" s="1"/>
  <c r="R9" i="81" s="1"/>
  <c r="N15" i="1"/>
  <c r="N189" i="1" s="1"/>
  <c r="D189" i="1"/>
  <c r="O60" i="14"/>
  <c r="O76" i="14" s="1"/>
  <c r="Z16" i="1" s="1"/>
  <c r="K70" i="14"/>
  <c r="U70" i="14" s="1"/>
  <c r="W70" i="14" s="1"/>
  <c r="G73" i="14"/>
  <c r="U73" i="14" s="1"/>
  <c r="K71" i="14"/>
  <c r="U71" i="14" s="1"/>
  <c r="G66" i="14"/>
  <c r="W66" i="14" s="1"/>
  <c r="G72" i="14"/>
  <c r="K72" i="14"/>
  <c r="I68" i="14"/>
  <c r="D60" i="14"/>
  <c r="G60" i="14" s="1"/>
  <c r="U72" i="14" l="1"/>
  <c r="B19" i="81"/>
  <c r="K190" i="1"/>
  <c r="W73" i="14"/>
  <c r="G68" i="14"/>
  <c r="Z190" i="1"/>
  <c r="K68" i="14"/>
  <c r="W74" i="14"/>
  <c r="U189" i="1"/>
  <c r="AV27" i="113"/>
  <c r="AV26" i="113"/>
  <c r="AV25" i="113"/>
  <c r="AV21" i="113"/>
  <c r="AV16" i="113"/>
  <c r="AV15" i="113"/>
  <c r="AV13" i="113"/>
  <c r="AV12" i="113"/>
  <c r="AV8" i="113"/>
  <c r="B91" i="113"/>
  <c r="AN90" i="113"/>
  <c r="AM90" i="113"/>
  <c r="AL90" i="113"/>
  <c r="AK90" i="113"/>
  <c r="AJ90" i="113"/>
  <c r="AI90" i="113"/>
  <c r="AH90" i="113"/>
  <c r="AG90" i="113"/>
  <c r="AF90" i="113"/>
  <c r="AE90" i="113"/>
  <c r="AD90" i="113"/>
  <c r="AC90" i="113"/>
  <c r="AB90" i="113"/>
  <c r="AA90" i="113"/>
  <c r="Z90" i="113"/>
  <c r="Y90" i="113"/>
  <c r="X90" i="113"/>
  <c r="W90" i="113"/>
  <c r="V90" i="113"/>
  <c r="U90" i="113"/>
  <c r="T90" i="113"/>
  <c r="S90" i="113"/>
  <c r="R89" i="113"/>
  <c r="Q89" i="113"/>
  <c r="P89" i="113"/>
  <c r="O89" i="113"/>
  <c r="N89" i="113"/>
  <c r="M89" i="113"/>
  <c r="L89" i="113"/>
  <c r="K89" i="113"/>
  <c r="J89" i="113"/>
  <c r="I89" i="113"/>
  <c r="H89" i="113"/>
  <c r="G89" i="113"/>
  <c r="F89" i="113"/>
  <c r="E89" i="113"/>
  <c r="D89" i="113"/>
  <c r="C89" i="113"/>
  <c r="B89" i="113"/>
  <c r="AP82" i="113"/>
  <c r="AN82" i="113"/>
  <c r="AJ82" i="113"/>
  <c r="AG82" i="113"/>
  <c r="AE82" i="113"/>
  <c r="AC82" i="113"/>
  <c r="Y82" i="113"/>
  <c r="W82" i="113"/>
  <c r="V82" i="113"/>
  <c r="S82" i="113"/>
  <c r="R82" i="113"/>
  <c r="Q82" i="113"/>
  <c r="X81" i="113"/>
  <c r="AN80" i="113"/>
  <c r="AJ80" i="113"/>
  <c r="AG80" i="113"/>
  <c r="AE80" i="113"/>
  <c r="AC80" i="113"/>
  <c r="Y80" i="113"/>
  <c r="W80" i="113"/>
  <c r="V80" i="113"/>
  <c r="S80" i="113"/>
  <c r="R80" i="113"/>
  <c r="Q80" i="113"/>
  <c r="Y79" i="113"/>
  <c r="AN70" i="113"/>
  <c r="AM70" i="113"/>
  <c r="AL70" i="113"/>
  <c r="AK70" i="113"/>
  <c r="AJ70" i="113"/>
  <c r="AI70" i="113"/>
  <c r="AH70" i="113"/>
  <c r="AG70" i="113"/>
  <c r="AF70" i="113"/>
  <c r="AE70" i="113"/>
  <c r="AD70" i="113"/>
  <c r="AA70" i="113"/>
  <c r="AB70" i="113" s="1"/>
  <c r="AC70" i="113" s="1"/>
  <c r="Z70" i="113"/>
  <c r="Y70" i="113"/>
  <c r="X70" i="113"/>
  <c r="W70" i="113"/>
  <c r="V70" i="113"/>
  <c r="U70" i="113"/>
  <c r="T70" i="113"/>
  <c r="S70" i="113"/>
  <c r="R70" i="113"/>
  <c r="Q70" i="113"/>
  <c r="P70" i="113"/>
  <c r="O70" i="113"/>
  <c r="N70" i="113"/>
  <c r="M70" i="113"/>
  <c r="L70" i="113"/>
  <c r="K70" i="113"/>
  <c r="J70" i="113"/>
  <c r="I70" i="113"/>
  <c r="H70" i="113"/>
  <c r="G70" i="113"/>
  <c r="F70" i="113"/>
  <c r="E70" i="113"/>
  <c r="D70" i="113"/>
  <c r="C70" i="113"/>
  <c r="B70" i="113"/>
  <c r="A47" i="113"/>
  <c r="E36" i="113"/>
  <c r="E39" i="113" s="1"/>
  <c r="D36" i="113"/>
  <c r="D39" i="113" s="1"/>
  <c r="C36" i="113"/>
  <c r="C39" i="113" s="1"/>
  <c r="B39" i="113"/>
  <c r="A28" i="113"/>
  <c r="A61" i="113" s="1"/>
  <c r="AU27" i="113"/>
  <c r="A27" i="113"/>
  <c r="A60" i="113" s="1"/>
  <c r="AU26" i="113"/>
  <c r="A26" i="113"/>
  <c r="A59" i="113" s="1"/>
  <c r="AU25" i="113"/>
  <c r="A25" i="113"/>
  <c r="A58" i="113" s="1"/>
  <c r="A24" i="113"/>
  <c r="A57" i="113" s="1"/>
  <c r="AU23" i="113"/>
  <c r="A23" i="113"/>
  <c r="A56" i="113" s="1"/>
  <c r="AU22" i="113"/>
  <c r="A22" i="113"/>
  <c r="A55" i="113" s="1"/>
  <c r="AU21" i="113"/>
  <c r="A21" i="113"/>
  <c r="A54" i="113" s="1"/>
  <c r="AU20" i="113"/>
  <c r="R15" i="81" s="1"/>
  <c r="A20" i="113"/>
  <c r="A53" i="113" s="1"/>
  <c r="AU16" i="113"/>
  <c r="A16" i="113"/>
  <c r="A49" i="113" s="1"/>
  <c r="AU15" i="113"/>
  <c r="A15" i="113"/>
  <c r="A48" i="113" s="1"/>
  <c r="AU14" i="113"/>
  <c r="AU13" i="113"/>
  <c r="A13" i="113"/>
  <c r="A46" i="113" s="1"/>
  <c r="AU12" i="113"/>
  <c r="A12" i="113"/>
  <c r="A45" i="113" s="1"/>
  <c r="V11" i="113"/>
  <c r="V29" i="113" s="1"/>
  <c r="R11" i="113"/>
  <c r="R29" i="113" s="1"/>
  <c r="Q11" i="113"/>
  <c r="Q29" i="113" s="1"/>
  <c r="P11" i="113"/>
  <c r="P29" i="113" s="1"/>
  <c r="O11" i="113"/>
  <c r="O29" i="113" s="1"/>
  <c r="N11" i="113"/>
  <c r="N29" i="113" s="1"/>
  <c r="M11" i="113"/>
  <c r="M29" i="113" s="1"/>
  <c r="L11" i="113"/>
  <c r="L29" i="113" s="1"/>
  <c r="K11" i="113"/>
  <c r="K29" i="113" s="1"/>
  <c r="J11" i="113"/>
  <c r="J29" i="113" s="1"/>
  <c r="I11" i="113"/>
  <c r="I29" i="113" s="1"/>
  <c r="H11" i="113"/>
  <c r="H29" i="113" s="1"/>
  <c r="G11" i="113"/>
  <c r="G29" i="113" s="1"/>
  <c r="F11" i="113"/>
  <c r="F29" i="113" s="1"/>
  <c r="E11" i="113"/>
  <c r="E29" i="113" s="1"/>
  <c r="D11" i="113"/>
  <c r="D29" i="113" s="1"/>
  <c r="C11" i="113"/>
  <c r="C29" i="113" s="1"/>
  <c r="B11" i="113"/>
  <c r="B29" i="113" s="1"/>
  <c r="AU10" i="113"/>
  <c r="AU9" i="113"/>
  <c r="U11" i="113"/>
  <c r="U29" i="113" s="1"/>
  <c r="T11" i="113"/>
  <c r="T29" i="113" s="1"/>
  <c r="S11" i="113"/>
  <c r="S29" i="113" s="1"/>
  <c r="X91" i="113"/>
  <c r="AS5" i="113"/>
  <c r="AR5" i="113"/>
  <c r="AQ5" i="113"/>
  <c r="AP5" i="113"/>
  <c r="AO5" i="113"/>
  <c r="AM5" i="113"/>
  <c r="AL5" i="113"/>
  <c r="AK5" i="113"/>
  <c r="AJ5" i="113"/>
  <c r="AI5" i="113"/>
  <c r="AH5" i="113"/>
  <c r="AG5" i="113"/>
  <c r="AF5" i="113"/>
  <c r="AE5" i="113"/>
  <c r="AD5" i="113"/>
  <c r="AC5" i="113"/>
  <c r="AB5" i="113"/>
  <c r="AA5" i="113"/>
  <c r="Z5" i="113"/>
  <c r="Y5" i="113"/>
  <c r="X5" i="113"/>
  <c r="W5" i="113"/>
  <c r="V5" i="113"/>
  <c r="U5" i="113"/>
  <c r="T5" i="113"/>
  <c r="S5" i="113"/>
  <c r="R5" i="113"/>
  <c r="Q5" i="113"/>
  <c r="P5" i="113"/>
  <c r="O5" i="113"/>
  <c r="N5" i="113"/>
  <c r="M5" i="113"/>
  <c r="L5" i="113"/>
  <c r="K5" i="113"/>
  <c r="J5" i="113"/>
  <c r="I5" i="113"/>
  <c r="H5" i="113"/>
  <c r="G5" i="113"/>
  <c r="F5" i="113"/>
  <c r="E5" i="113"/>
  <c r="D5" i="113"/>
  <c r="C5" i="113"/>
  <c r="B5" i="113"/>
  <c r="AM4" i="113"/>
  <c r="AL4" i="113"/>
  <c r="AK4" i="113"/>
  <c r="AJ4" i="113"/>
  <c r="AI4" i="113"/>
  <c r="AH4" i="113"/>
  <c r="AG4" i="113"/>
  <c r="AF4" i="113"/>
  <c r="AE4" i="113"/>
  <c r="AD4" i="113"/>
  <c r="AC4" i="113"/>
  <c r="AB4" i="113"/>
  <c r="AA4" i="113"/>
  <c r="Z4" i="113"/>
  <c r="Y4" i="113"/>
  <c r="X4" i="113"/>
  <c r="W4" i="113"/>
  <c r="V4" i="113"/>
  <c r="U4" i="113"/>
  <c r="T4" i="113"/>
  <c r="S4" i="113"/>
  <c r="R4" i="113"/>
  <c r="Q4" i="113"/>
  <c r="P4" i="113"/>
  <c r="O4" i="113"/>
  <c r="N4" i="113"/>
  <c r="M4" i="113"/>
  <c r="L4" i="113"/>
  <c r="K4" i="113"/>
  <c r="J4" i="113"/>
  <c r="I4" i="113"/>
  <c r="H4" i="113"/>
  <c r="G4" i="113"/>
  <c r="F4" i="113"/>
  <c r="E4" i="113"/>
  <c r="D4" i="113"/>
  <c r="C4" i="113"/>
  <c r="B4" i="113"/>
  <c r="AM2" i="113"/>
  <c r="AL2" i="113"/>
  <c r="AK2" i="113"/>
  <c r="AJ2" i="113"/>
  <c r="AI2" i="113"/>
  <c r="AH2" i="113"/>
  <c r="AG2" i="113"/>
  <c r="AF2" i="113"/>
  <c r="AE2" i="113"/>
  <c r="AD2" i="113"/>
  <c r="AC2" i="113"/>
  <c r="AB2" i="113"/>
  <c r="AA2" i="113"/>
  <c r="Z2" i="113"/>
  <c r="Y2" i="113"/>
  <c r="X2" i="113"/>
  <c r="W2" i="113"/>
  <c r="V2" i="113"/>
  <c r="U2" i="113"/>
  <c r="T2" i="113"/>
  <c r="S2" i="113"/>
  <c r="R2" i="113"/>
  <c r="Q2" i="113"/>
  <c r="P2" i="113"/>
  <c r="O2" i="113"/>
  <c r="N2" i="113"/>
  <c r="M2" i="113"/>
  <c r="L2" i="113"/>
  <c r="K2" i="113"/>
  <c r="J2" i="113"/>
  <c r="I2" i="113"/>
  <c r="H2" i="113"/>
  <c r="G2" i="113"/>
  <c r="F2" i="113"/>
  <c r="E2" i="113"/>
  <c r="D2" i="113"/>
  <c r="C2" i="113"/>
  <c r="B2" i="113"/>
  <c r="E3" i="112"/>
  <c r="J6" i="108"/>
  <c r="J5" i="108"/>
  <c r="J4" i="108"/>
  <c r="G76" i="14" l="1"/>
  <c r="D16" i="1" s="1"/>
  <c r="D190" i="1" s="1"/>
  <c r="AW12" i="113"/>
  <c r="AW13" i="113"/>
  <c r="AV23" i="113"/>
  <c r="AW23" i="113"/>
  <c r="U68" i="14"/>
  <c r="Z27" i="81"/>
  <c r="AW21" i="113"/>
  <c r="AW20" i="113"/>
  <c r="Y81" i="113"/>
  <c r="Y83" i="113" s="1"/>
  <c r="AW25" i="113"/>
  <c r="AW16" i="113"/>
  <c r="AW15" i="113"/>
  <c r="AW26" i="113"/>
  <c r="W73" i="113"/>
  <c r="W74" i="113" s="1"/>
  <c r="W11" i="113"/>
  <c r="W29" i="113" s="1"/>
  <c r="X11" i="113"/>
  <c r="X29" i="113" s="1"/>
  <c r="Y11" i="113"/>
  <c r="Y29" i="113" s="1"/>
  <c r="B74" i="113"/>
  <c r="C73" i="113"/>
  <c r="AA11" i="113"/>
  <c r="AA29" i="113" s="1"/>
  <c r="X73" i="113"/>
  <c r="X74" i="113" s="1"/>
  <c r="W91" i="113"/>
  <c r="W92" i="113" s="1"/>
  <c r="AU8" i="113"/>
  <c r="AW8" i="113" s="1"/>
  <c r="Z11" i="113"/>
  <c r="Z29" i="113" s="1"/>
  <c r="AW27" i="113"/>
  <c r="X92" i="113"/>
  <c r="AO80" i="113"/>
  <c r="C91" i="113"/>
  <c r="B92" i="113"/>
  <c r="E11" i="111"/>
  <c r="E12" i="111"/>
  <c r="U30" i="113" s="1"/>
  <c r="U31" i="113" s="1"/>
  <c r="E13" i="111"/>
  <c r="V30" i="113" s="1"/>
  <c r="V31" i="113" s="1"/>
  <c r="E14" i="111"/>
  <c r="W30" i="113" s="1"/>
  <c r="E15" i="111"/>
  <c r="X30" i="113" s="1"/>
  <c r="E16" i="111"/>
  <c r="Y30" i="113" s="1"/>
  <c r="E17" i="111"/>
  <c r="Z30" i="113" s="1"/>
  <c r="E18" i="111"/>
  <c r="AA30" i="113" s="1"/>
  <c r="E19" i="111"/>
  <c r="AB30" i="113" s="1"/>
  <c r="E20" i="111"/>
  <c r="AC30" i="113" s="1"/>
  <c r="E21" i="111"/>
  <c r="AD30" i="113" s="1"/>
  <c r="E22" i="111"/>
  <c r="AE30" i="113" s="1"/>
  <c r="E23" i="111"/>
  <c r="AF30" i="113" s="1"/>
  <c r="E24" i="111"/>
  <c r="AG30" i="113" s="1"/>
  <c r="E25" i="111"/>
  <c r="E26" i="111"/>
  <c r="AI30" i="113" s="1"/>
  <c r="E27" i="111"/>
  <c r="E28" i="111"/>
  <c r="E29" i="111"/>
  <c r="E30" i="111"/>
  <c r="E31" i="111"/>
  <c r="E32" i="111"/>
  <c r="E33" i="111"/>
  <c r="E34" i="111"/>
  <c r="AQ30" i="113" s="1"/>
  <c r="E35" i="111"/>
  <c r="AR30" i="113" s="1"/>
  <c r="E36" i="111"/>
  <c r="AS30" i="113" s="1"/>
  <c r="E37" i="111"/>
  <c r="AT30" i="113" s="1"/>
  <c r="E38" i="111"/>
  <c r="E39" i="111"/>
  <c r="E40" i="111"/>
  <c r="E10" i="111"/>
  <c r="U102" i="111"/>
  <c r="U101" i="111"/>
  <c r="M98" i="111"/>
  <c r="N97" i="111"/>
  <c r="F95" i="111"/>
  <c r="L93" i="111"/>
  <c r="M91" i="111"/>
  <c r="U87" i="111"/>
  <c r="R87" i="111"/>
  <c r="O87" i="111"/>
  <c r="M87" i="111"/>
  <c r="O86" i="111"/>
  <c r="P86" i="111" s="1"/>
  <c r="D86" i="111"/>
  <c r="F86" i="111" s="1"/>
  <c r="O85" i="111"/>
  <c r="P85" i="111" s="1"/>
  <c r="M85" i="111"/>
  <c r="Z84" i="111"/>
  <c r="O84" i="111"/>
  <c r="P84" i="111" s="1"/>
  <c r="O83" i="111"/>
  <c r="P83" i="111" s="1"/>
  <c r="M83" i="111"/>
  <c r="O82" i="111"/>
  <c r="P82" i="111" s="1"/>
  <c r="G84" i="111"/>
  <c r="G86" i="111" s="1"/>
  <c r="P80" i="111"/>
  <c r="M80" i="111"/>
  <c r="O77" i="111"/>
  <c r="P77" i="111" s="1"/>
  <c r="P76" i="111"/>
  <c r="O75" i="111"/>
  <c r="P75" i="111" s="1"/>
  <c r="O74" i="111"/>
  <c r="P74" i="111" s="1"/>
  <c r="O73" i="111"/>
  <c r="P73" i="111" s="1"/>
  <c r="M73" i="111"/>
  <c r="O72" i="111"/>
  <c r="P72" i="111" s="1"/>
  <c r="O71" i="111"/>
  <c r="P71" i="111" s="1"/>
  <c r="M71" i="111"/>
  <c r="O70" i="111"/>
  <c r="P70" i="111" s="1"/>
  <c r="O69" i="111"/>
  <c r="P69" i="111" s="1"/>
  <c r="M69" i="111"/>
  <c r="O68" i="111"/>
  <c r="P68" i="111" s="1"/>
  <c r="O67" i="111"/>
  <c r="P67" i="111" s="1"/>
  <c r="M67" i="111"/>
  <c r="O66" i="111"/>
  <c r="P66" i="111" s="1"/>
  <c r="O65" i="111"/>
  <c r="P65" i="111" s="1"/>
  <c r="M65" i="111"/>
  <c r="O64" i="111"/>
  <c r="P64" i="111" s="1"/>
  <c r="O63" i="111"/>
  <c r="P63" i="111" s="1"/>
  <c r="M63" i="111"/>
  <c r="O62" i="111"/>
  <c r="P62" i="111" s="1"/>
  <c r="O61" i="111"/>
  <c r="P61" i="111" s="1"/>
  <c r="M61" i="111"/>
  <c r="O60" i="111"/>
  <c r="P60" i="111" s="1"/>
  <c r="O59" i="111"/>
  <c r="P59" i="111" s="1"/>
  <c r="M59" i="111"/>
  <c r="O58" i="111"/>
  <c r="P58" i="111" s="1"/>
  <c r="O57" i="111"/>
  <c r="P57" i="111" s="1"/>
  <c r="M57" i="111"/>
  <c r="O56" i="111"/>
  <c r="P56" i="111" s="1"/>
  <c r="O55" i="111"/>
  <c r="P55" i="111" s="1"/>
  <c r="M55" i="111"/>
  <c r="O54" i="111"/>
  <c r="P54" i="111" s="1"/>
  <c r="O53" i="111"/>
  <c r="P53" i="111" s="1"/>
  <c r="M53" i="111"/>
  <c r="O52" i="111"/>
  <c r="P52" i="111" s="1"/>
  <c r="O51" i="111"/>
  <c r="P51" i="111" s="1"/>
  <c r="M51" i="111"/>
  <c r="AA50" i="111"/>
  <c r="O50" i="111"/>
  <c r="P50" i="111" s="1"/>
  <c r="O49" i="111"/>
  <c r="P49" i="111" s="1"/>
  <c r="M49" i="111"/>
  <c r="O48" i="111"/>
  <c r="P48" i="111" s="1"/>
  <c r="O47" i="111"/>
  <c r="P47" i="111" s="1"/>
  <c r="M47" i="111"/>
  <c r="O46" i="111"/>
  <c r="P46" i="111" s="1"/>
  <c r="O45" i="111"/>
  <c r="P45" i="111" s="1"/>
  <c r="M45" i="111"/>
  <c r="Y44" i="111"/>
  <c r="O44" i="111"/>
  <c r="P44" i="111" s="1"/>
  <c r="M43" i="111"/>
  <c r="T42" i="111"/>
  <c r="R42" i="111"/>
  <c r="Q42" i="111"/>
  <c r="O42" i="111"/>
  <c r="D42" i="111"/>
  <c r="H41" i="111"/>
  <c r="M41" i="111" s="1"/>
  <c r="B37" i="111"/>
  <c r="B32" i="111"/>
  <c r="J5" i="111"/>
  <c r="F5" i="111"/>
  <c r="H2" i="111"/>
  <c r="AB43" i="110"/>
  <c r="AB41" i="110"/>
  <c r="AB38" i="110"/>
  <c r="AA38" i="110" s="1"/>
  <c r="AB36" i="110"/>
  <c r="Z36" i="110"/>
  <c r="Z35" i="110"/>
  <c r="AB35" i="110"/>
  <c r="Z21" i="110"/>
  <c r="Z20" i="110"/>
  <c r="E99" i="111" s="1"/>
  <c r="AB26" i="110"/>
  <c r="AB24" i="110"/>
  <c r="AP30" i="113" l="1"/>
  <c r="AN30" i="113"/>
  <c r="AM30" i="113"/>
  <c r="AL30" i="113"/>
  <c r="AK30" i="113"/>
  <c r="AO30" i="113"/>
  <c r="B38" i="111"/>
  <c r="T30" i="113"/>
  <c r="T31" i="113" s="1"/>
  <c r="E42" i="111"/>
  <c r="AJ30" i="113"/>
  <c r="B32" i="85"/>
  <c r="AH30" i="113"/>
  <c r="H86" i="111"/>
  <c r="W31" i="113"/>
  <c r="AA31" i="113"/>
  <c r="B20" i="85"/>
  <c r="AV30" i="113"/>
  <c r="S30" i="113"/>
  <c r="Z31" i="113"/>
  <c r="Y31" i="113"/>
  <c r="X31" i="113"/>
  <c r="T87" i="111"/>
  <c r="V87" i="111" s="1"/>
  <c r="AA35" i="110"/>
  <c r="I90" i="111"/>
  <c r="L90" i="111"/>
  <c r="X93" i="113"/>
  <c r="X94" i="113" s="1"/>
  <c r="W79" i="113"/>
  <c r="W81" i="113" s="1"/>
  <c r="W83" i="113" s="1"/>
  <c r="C92" i="113"/>
  <c r="D91" i="113"/>
  <c r="C74" i="113"/>
  <c r="D73" i="113"/>
  <c r="AP81" i="113"/>
  <c r="AP83" i="113" s="1"/>
  <c r="AP80" i="113"/>
  <c r="P42" i="111"/>
  <c r="S42" i="111" s="1"/>
  <c r="B33" i="111"/>
  <c r="AA36" i="110"/>
  <c r="Z37" i="110"/>
  <c r="K20" i="85" l="1"/>
  <c r="L20" i="85" s="1"/>
  <c r="K32" i="85"/>
  <c r="L32" i="85" s="1"/>
  <c r="B39" i="111"/>
  <c r="E95" i="111"/>
  <c r="G95" i="111" s="1"/>
  <c r="V42" i="111"/>
  <c r="C42" i="111"/>
  <c r="S31" i="113"/>
  <c r="AU30" i="113"/>
  <c r="AW30" i="113" s="1"/>
  <c r="E73" i="113"/>
  <c r="D74" i="113"/>
  <c r="D92" i="113"/>
  <c r="E91" i="113"/>
  <c r="H99" i="111"/>
  <c r="M86" i="111"/>
  <c r="B40" i="111" l="1"/>
  <c r="E92" i="113"/>
  <c r="F91" i="113"/>
  <c r="E74" i="113"/>
  <c r="F73" i="113"/>
  <c r="E46" i="111" l="1"/>
  <c r="F74" i="113"/>
  <c r="G73" i="113"/>
  <c r="G91" i="113"/>
  <c r="F92" i="113"/>
  <c r="G46" i="111" l="1"/>
  <c r="J7" i="110"/>
  <c r="L7" i="110" s="1"/>
  <c r="J10" i="110"/>
  <c r="L8" i="110"/>
  <c r="L9" i="110"/>
  <c r="H73" i="113"/>
  <c r="G74" i="113"/>
  <c r="H91" i="113"/>
  <c r="G92" i="113"/>
  <c r="L10" i="110" l="1"/>
  <c r="L12" i="110" s="1"/>
  <c r="L14" i="110" s="1"/>
  <c r="E97" i="111"/>
  <c r="H92" i="113"/>
  <c r="I91" i="113"/>
  <c r="I73" i="113"/>
  <c r="H74" i="113"/>
  <c r="J91" i="113" l="1"/>
  <c r="I92" i="113"/>
  <c r="J73" i="113"/>
  <c r="I74" i="113"/>
  <c r="J74" i="113" l="1"/>
  <c r="K73" i="113"/>
  <c r="K91" i="113"/>
  <c r="J92" i="113"/>
  <c r="K92" i="113" l="1"/>
  <c r="L91" i="113"/>
  <c r="L73" i="113"/>
  <c r="K74" i="113"/>
  <c r="M73" i="113" l="1"/>
  <c r="L74" i="113"/>
  <c r="L92" i="113"/>
  <c r="M91" i="113"/>
  <c r="M92" i="113" l="1"/>
  <c r="N91" i="113"/>
  <c r="M74" i="113"/>
  <c r="N73" i="113"/>
  <c r="N74" i="113" l="1"/>
  <c r="O73" i="113"/>
  <c r="O91" i="113"/>
  <c r="N92" i="113"/>
  <c r="O74" i="113" l="1"/>
  <c r="P73" i="113"/>
  <c r="O92" i="113"/>
  <c r="P91" i="113"/>
  <c r="P92" i="113" l="1"/>
  <c r="Q91" i="113"/>
  <c r="Q73" i="113"/>
  <c r="P74" i="113"/>
  <c r="R73" i="113" l="1"/>
  <c r="Q74" i="113"/>
  <c r="R91" i="113"/>
  <c r="Q92" i="113"/>
  <c r="S91" i="113" l="1"/>
  <c r="R92" i="113"/>
  <c r="Q79" i="113"/>
  <c r="R74" i="113"/>
  <c r="S73" i="113"/>
  <c r="R79" i="113" l="1"/>
  <c r="R81" i="113" s="1"/>
  <c r="R83" i="113" s="1"/>
  <c r="R75" i="113"/>
  <c r="T73" i="113"/>
  <c r="S74" i="113"/>
  <c r="Q81" i="113"/>
  <c r="R93" i="113"/>
  <c r="R94" i="113" s="1"/>
  <c r="T91" i="113"/>
  <c r="S92" i="113"/>
  <c r="S79" i="113" l="1"/>
  <c r="U91" i="113"/>
  <c r="T92" i="113"/>
  <c r="Q83" i="113"/>
  <c r="T79" i="113"/>
  <c r="U73" i="113"/>
  <c r="T74" i="113"/>
  <c r="B76" i="113"/>
  <c r="C76" i="113"/>
  <c r="D76" i="113"/>
  <c r="E76" i="113"/>
  <c r="F76" i="113"/>
  <c r="G76" i="113"/>
  <c r="H76" i="113"/>
  <c r="I76" i="113"/>
  <c r="J76" i="113"/>
  <c r="K76" i="113"/>
  <c r="L76" i="113"/>
  <c r="M76" i="113"/>
  <c r="N76" i="113"/>
  <c r="O76" i="113"/>
  <c r="P76" i="113"/>
  <c r="Q76" i="113"/>
  <c r="B94" i="113"/>
  <c r="C94" i="113"/>
  <c r="D94" i="113"/>
  <c r="E94" i="113"/>
  <c r="F94" i="113"/>
  <c r="G94" i="113"/>
  <c r="H94" i="113"/>
  <c r="I94" i="113"/>
  <c r="J94" i="113"/>
  <c r="K94" i="113"/>
  <c r="L94" i="113"/>
  <c r="M94" i="113"/>
  <c r="N94" i="113"/>
  <c r="O94" i="113"/>
  <c r="P94" i="113"/>
  <c r="Q94" i="113"/>
  <c r="R76" i="113"/>
  <c r="B97" i="113" l="1"/>
  <c r="U92" i="113"/>
  <c r="V91" i="113"/>
  <c r="V92" i="113" s="1"/>
  <c r="S81" i="113"/>
  <c r="V73" i="113"/>
  <c r="U79" i="113"/>
  <c r="U74" i="113"/>
  <c r="U75" i="113" s="1"/>
  <c r="S76" i="113" l="1"/>
  <c r="U76" i="113"/>
  <c r="V74" i="113"/>
  <c r="V79" i="113"/>
  <c r="T76" i="113"/>
  <c r="S83" i="113"/>
  <c r="W93" i="113"/>
  <c r="U94" i="113" s="1"/>
  <c r="W94" i="113" l="1"/>
  <c r="S94" i="113"/>
  <c r="T94" i="113"/>
  <c r="W75" i="113"/>
  <c r="V76" i="113" s="1"/>
  <c r="V94" i="113"/>
  <c r="V81" i="113"/>
  <c r="W76" i="113" l="1"/>
  <c r="V83" i="113"/>
  <c r="AB22" i="110" l="1"/>
  <c r="AB21" i="110"/>
  <c r="AA21" i="110" s="1"/>
  <c r="AB20" i="110"/>
  <c r="AA20" i="110" s="1"/>
  <c r="AB19" i="110"/>
  <c r="Z19" i="110"/>
  <c r="Z18" i="110"/>
  <c r="AB18" i="110"/>
  <c r="AP18" i="65"/>
  <c r="AB11" i="110"/>
  <c r="Z9" i="110"/>
  <c r="H3" i="110"/>
  <c r="L3" i="110" s="1"/>
  <c r="P3" i="110" s="1"/>
  <c r="T3" i="110" s="1"/>
  <c r="X3" i="110" s="1"/>
  <c r="F3" i="110"/>
  <c r="J3" i="110" s="1"/>
  <c r="N3" i="110" s="1"/>
  <c r="R3" i="110" s="1"/>
  <c r="V3" i="110" s="1"/>
  <c r="H52" i="110"/>
  <c r="A48" i="110"/>
  <c r="H47" i="110"/>
  <c r="A47" i="110"/>
  <c r="H46" i="110"/>
  <c r="A46" i="110"/>
  <c r="H45" i="110"/>
  <c r="A43" i="110"/>
  <c r="A41" i="110"/>
  <c r="A39" i="110"/>
  <c r="A38" i="110"/>
  <c r="A37" i="110"/>
  <c r="A36" i="110"/>
  <c r="A35" i="110"/>
  <c r="A26" i="110"/>
  <c r="A14" i="110"/>
  <c r="H13" i="110"/>
  <c r="AB13" i="110" s="1"/>
  <c r="A12" i="110"/>
  <c r="A24" i="110" s="1"/>
  <c r="A10" i="110"/>
  <c r="A22" i="110" s="1"/>
  <c r="A9" i="110"/>
  <c r="A21" i="110" s="1"/>
  <c r="A8" i="110"/>
  <c r="A20" i="110" s="1"/>
  <c r="A7" i="110"/>
  <c r="A19" i="110" s="1"/>
  <c r="A6" i="110"/>
  <c r="A18" i="110" s="1"/>
  <c r="A2" i="110"/>
  <c r="A1" i="110"/>
  <c r="E5" i="109"/>
  <c r="E6" i="109" s="1"/>
  <c r="B5" i="109"/>
  <c r="A5" i="109"/>
  <c r="F2" i="109"/>
  <c r="D28" i="108"/>
  <c r="D12" i="108"/>
  <c r="I7" i="108"/>
  <c r="M13" i="108" s="1"/>
  <c r="D7" i="108"/>
  <c r="K6" i="108"/>
  <c r="K5" i="108"/>
  <c r="K4" i="108"/>
  <c r="A6" i="109" l="1"/>
  <c r="A7" i="109" s="1"/>
  <c r="A8" i="109" s="1"/>
  <c r="A9" i="109" s="1"/>
  <c r="A10" i="109" s="1"/>
  <c r="A11" i="109" s="1"/>
  <c r="A12" i="109" s="1"/>
  <c r="A13" i="109" s="1"/>
  <c r="A14" i="109" s="1"/>
  <c r="A15" i="109" s="1"/>
  <c r="A16" i="109" s="1"/>
  <c r="A17" i="109" s="1"/>
  <c r="A18" i="109" s="1"/>
  <c r="A19" i="109" s="1"/>
  <c r="A20" i="109" s="1"/>
  <c r="A21" i="109" s="1"/>
  <c r="A22" i="109" s="1"/>
  <c r="A23" i="109" s="1"/>
  <c r="A24" i="109" s="1"/>
  <c r="A25" i="109" s="1"/>
  <c r="A26" i="109" s="1"/>
  <c r="A27" i="109" s="1"/>
  <c r="A28" i="109" s="1"/>
  <c r="A29" i="109" s="1"/>
  <c r="A30" i="109" s="1"/>
  <c r="A31" i="109" s="1"/>
  <c r="A32" i="109" s="1"/>
  <c r="A33" i="109" s="1"/>
  <c r="A34" i="109" s="1"/>
  <c r="A35" i="109" s="1"/>
  <c r="A36" i="109" s="1"/>
  <c r="A37" i="109" s="1"/>
  <c r="A38" i="109" s="1"/>
  <c r="A39" i="109" s="1"/>
  <c r="A40" i="109" s="1"/>
  <c r="A41" i="109" s="1"/>
  <c r="A42" i="109" s="1"/>
  <c r="A43" i="109" s="1"/>
  <c r="A44" i="109" s="1"/>
  <c r="A45" i="109" s="1"/>
  <c r="A46" i="109" s="1"/>
  <c r="A47" i="109" s="1"/>
  <c r="A48" i="109" s="1"/>
  <c r="A49" i="109" s="1"/>
  <c r="A50" i="109" s="1"/>
  <c r="A51" i="109" s="1"/>
  <c r="A52" i="109" s="1"/>
  <c r="A53" i="109" s="1"/>
  <c r="A54" i="109" s="1"/>
  <c r="A55" i="109" s="1"/>
  <c r="A56" i="109" s="1"/>
  <c r="A57" i="109" s="1"/>
  <c r="A58" i="109" s="1"/>
  <c r="A59" i="109" s="1"/>
  <c r="A60" i="109" s="1"/>
  <c r="A61" i="109" s="1"/>
  <c r="A62" i="109" s="1"/>
  <c r="A63" i="109" s="1"/>
  <c r="A64" i="109" s="1"/>
  <c r="A65" i="109" s="1"/>
  <c r="A66" i="109" s="1"/>
  <c r="A67" i="109" s="1"/>
  <c r="A68" i="109" s="1"/>
  <c r="A69" i="109" s="1"/>
  <c r="A70" i="109" s="1"/>
  <c r="A71" i="109" s="1"/>
  <c r="A72" i="109" s="1"/>
  <c r="A73" i="109" s="1"/>
  <c r="B6" i="109"/>
  <c r="B7" i="109" s="1"/>
  <c r="B8" i="109" s="1"/>
  <c r="B9" i="109" s="1"/>
  <c r="B10" i="109" s="1"/>
  <c r="B11" i="109" s="1"/>
  <c r="AF148" i="1"/>
  <c r="AF146" i="1"/>
  <c r="AF147" i="1"/>
  <c r="AA19" i="110"/>
  <c r="AA18" i="110"/>
  <c r="H48" i="110"/>
  <c r="K7" i="108"/>
  <c r="J7" i="108"/>
  <c r="B12" i="109" l="1"/>
  <c r="B13" i="109" s="1"/>
  <c r="B14" i="109" s="1"/>
  <c r="B15" i="109" s="1"/>
  <c r="B16" i="109" s="1"/>
  <c r="B17" i="109" s="1"/>
  <c r="B18" i="109" s="1"/>
  <c r="B19" i="109" s="1"/>
  <c r="B20" i="109" s="1"/>
  <c r="B21" i="109" s="1"/>
  <c r="B22" i="109" s="1"/>
  <c r="B23" i="109" s="1"/>
  <c r="B24" i="109" s="1"/>
  <c r="B25" i="109" s="1"/>
  <c r="B26" i="109" s="1"/>
  <c r="A74" i="109"/>
  <c r="A75" i="109" s="1"/>
  <c r="A76" i="109" s="1"/>
  <c r="A77" i="109" s="1"/>
  <c r="A78" i="109" s="1"/>
  <c r="A79" i="109" s="1"/>
  <c r="A80" i="109" s="1"/>
  <c r="A81" i="109" s="1"/>
  <c r="A82" i="109" s="1"/>
  <c r="A83" i="109" s="1"/>
  <c r="A84" i="109" s="1"/>
  <c r="A85" i="109" s="1"/>
  <c r="A86" i="109" s="1"/>
  <c r="A87" i="109" s="1"/>
  <c r="A88" i="109" s="1"/>
  <c r="A89" i="109" s="1"/>
  <c r="A90" i="109" s="1"/>
  <c r="A91" i="109" s="1"/>
  <c r="A92" i="109" s="1"/>
  <c r="A93" i="109" s="1"/>
  <c r="A94" i="109" s="1"/>
  <c r="A95" i="109" s="1"/>
  <c r="A96" i="109" s="1"/>
  <c r="A97" i="109" s="1"/>
  <c r="A98" i="109" s="1"/>
  <c r="A99" i="109" s="1"/>
  <c r="A100" i="109" s="1"/>
  <c r="A101" i="109" s="1"/>
  <c r="A102" i="109" s="1"/>
  <c r="A103" i="109" s="1"/>
  <c r="A104" i="109" s="1"/>
  <c r="A105" i="109" s="1"/>
  <c r="A106" i="109" s="1"/>
  <c r="A107" i="109" s="1"/>
  <c r="A108" i="109" s="1"/>
  <c r="A109" i="109" s="1"/>
  <c r="A110" i="109" s="1"/>
  <c r="A111" i="109" s="1"/>
  <c r="A112" i="109" s="1"/>
  <c r="A113" i="109" s="1"/>
  <c r="A114" i="109" s="1"/>
  <c r="A115" i="109" s="1"/>
  <c r="A116" i="109" s="1"/>
  <c r="A117" i="109" s="1"/>
  <c r="A118" i="109" s="1"/>
  <c r="A119" i="109" s="1"/>
  <c r="A120" i="109" s="1"/>
  <c r="A121" i="109" s="1"/>
  <c r="A122" i="109" s="1"/>
  <c r="A123" i="109" s="1"/>
  <c r="A124" i="109" s="1"/>
  <c r="A125" i="109" s="1"/>
  <c r="A126" i="109" s="1"/>
  <c r="A127" i="109" s="1"/>
  <c r="A128" i="109" s="1"/>
  <c r="A129" i="109" s="1"/>
  <c r="A130" i="109" s="1"/>
  <c r="A131" i="109" s="1"/>
  <c r="A132" i="109" s="1"/>
  <c r="A133" i="109" s="1"/>
  <c r="A134" i="109" s="1"/>
  <c r="A135" i="109" s="1"/>
  <c r="A136" i="109" s="1"/>
  <c r="A137" i="109" s="1"/>
  <c r="A138" i="109" s="1"/>
  <c r="A139" i="109" s="1"/>
  <c r="A140" i="109" s="1"/>
  <c r="A141" i="109" s="1"/>
  <c r="A142" i="109" s="1"/>
  <c r="A143" i="109" s="1"/>
  <c r="A144" i="109" s="1"/>
  <c r="A145" i="109" s="1"/>
  <c r="A146" i="109" s="1"/>
  <c r="A147" i="109" s="1"/>
  <c r="A148" i="109" s="1"/>
  <c r="A149" i="109" s="1"/>
  <c r="A150" i="109" s="1"/>
  <c r="A151" i="109" s="1"/>
  <c r="A152" i="109" s="1"/>
  <c r="A153" i="109" s="1"/>
  <c r="A154" i="109" s="1"/>
  <c r="A155" i="109" s="1"/>
  <c r="A156" i="109" s="1"/>
  <c r="A157" i="109" s="1"/>
  <c r="A158" i="109" s="1"/>
  <c r="A159" i="109" s="1"/>
  <c r="A160" i="109" s="1"/>
  <c r="A161" i="109" s="1"/>
  <c r="A162" i="109" s="1"/>
  <c r="A163" i="109" s="1"/>
  <c r="A164" i="109" s="1"/>
  <c r="A165" i="109" s="1"/>
  <c r="A166" i="109" s="1"/>
  <c r="A167" i="109" s="1"/>
  <c r="A168" i="109" s="1"/>
  <c r="A169" i="109" s="1"/>
  <c r="A170" i="109" s="1"/>
  <c r="A171" i="109" s="1"/>
  <c r="A172" i="109" s="1"/>
  <c r="A173" i="109" s="1"/>
  <c r="A174" i="109" s="1"/>
  <c r="A175" i="109" s="1"/>
  <c r="A176" i="109" s="1"/>
  <c r="A177" i="109" s="1"/>
  <c r="A178" i="109" s="1"/>
  <c r="A179" i="109" s="1"/>
  <c r="A180" i="109" s="1"/>
  <c r="A181" i="109" s="1"/>
  <c r="A182" i="109" s="1"/>
  <c r="A183" i="109" s="1"/>
  <c r="A184" i="109" s="1"/>
  <c r="A185" i="109" s="1"/>
  <c r="A186" i="109" s="1"/>
  <c r="A187" i="109" s="1"/>
  <c r="A188" i="109" s="1"/>
  <c r="A189" i="109" s="1"/>
  <c r="A190" i="109" s="1"/>
  <c r="A191" i="109" s="1"/>
  <c r="A192" i="109" s="1"/>
  <c r="A193" i="109" s="1"/>
  <c r="A194" i="109" s="1"/>
  <c r="A195" i="109" s="1"/>
  <c r="A196" i="109" s="1"/>
  <c r="A197" i="109" s="1"/>
  <c r="A198" i="109" s="1"/>
  <c r="A199" i="109" s="1"/>
  <c r="A200" i="109" s="1"/>
  <c r="A201" i="109" s="1"/>
  <c r="A202" i="109" s="1"/>
  <c r="A203" i="109" s="1"/>
  <c r="A204" i="109" s="1"/>
  <c r="A205" i="109" s="1"/>
  <c r="A206" i="109" s="1"/>
  <c r="A207" i="109" s="1"/>
  <c r="A208" i="109" s="1"/>
  <c r="A209" i="109" s="1"/>
  <c r="A210" i="109" s="1"/>
  <c r="A211" i="109" s="1"/>
  <c r="A212" i="109" s="1"/>
  <c r="A213" i="109" s="1"/>
  <c r="A214" i="109" s="1"/>
  <c r="A215" i="109" s="1"/>
  <c r="A216" i="109" s="1"/>
  <c r="A217" i="109" s="1"/>
  <c r="A218" i="109" s="1"/>
  <c r="A219" i="109" s="1"/>
  <c r="A220" i="109" s="1"/>
  <c r="A221" i="109" s="1"/>
  <c r="A222" i="109" s="1"/>
  <c r="A223" i="109" s="1"/>
  <c r="A224" i="109" s="1"/>
  <c r="A225" i="109" s="1"/>
  <c r="A226" i="109" s="1"/>
  <c r="A227" i="109" s="1"/>
  <c r="A228" i="109" s="1"/>
  <c r="A229" i="109" s="1"/>
  <c r="A230" i="109" s="1"/>
  <c r="A231" i="109" s="1"/>
  <c r="A232" i="109" s="1"/>
  <c r="A233" i="109" s="1"/>
  <c r="A234" i="109" s="1"/>
  <c r="A235" i="109" s="1"/>
  <c r="A236" i="109" s="1"/>
  <c r="A237" i="109" s="1"/>
  <c r="A238" i="109" s="1"/>
  <c r="A239" i="109" s="1"/>
  <c r="A240" i="109" s="1"/>
  <c r="A241" i="109" s="1"/>
  <c r="A242" i="109" s="1"/>
  <c r="A243" i="109" s="1"/>
  <c r="A244" i="109" s="1"/>
  <c r="A245" i="109" s="1"/>
  <c r="A246" i="109" s="1"/>
  <c r="A247" i="109" s="1"/>
  <c r="A248" i="109" s="1"/>
  <c r="A249" i="109" s="1"/>
  <c r="A250" i="109" s="1"/>
  <c r="A251" i="109" s="1"/>
  <c r="A252" i="109" s="1"/>
  <c r="A253" i="109" s="1"/>
  <c r="A254" i="109" s="1"/>
  <c r="A255" i="109" s="1"/>
  <c r="A256" i="109" s="1"/>
  <c r="A257" i="109" s="1"/>
  <c r="A258" i="109" s="1"/>
  <c r="A259" i="109" s="1"/>
  <c r="A260" i="109" s="1"/>
  <c r="A261" i="109" s="1"/>
  <c r="A262" i="109" s="1"/>
  <c r="A263" i="109" s="1"/>
  <c r="A264" i="109" s="1"/>
  <c r="A265" i="109" s="1"/>
  <c r="A266" i="109" s="1"/>
  <c r="A267" i="109" s="1"/>
  <c r="A268" i="109" s="1"/>
  <c r="A269" i="109" s="1"/>
  <c r="A270" i="109" s="1"/>
  <c r="A271" i="109" s="1"/>
  <c r="A272" i="109" s="1"/>
  <c r="A273" i="109" s="1"/>
  <c r="A274" i="109" s="1"/>
  <c r="A275" i="109" s="1"/>
  <c r="A276" i="109" s="1"/>
  <c r="A277" i="109" s="1"/>
  <c r="A278" i="109" s="1"/>
  <c r="A279" i="109" s="1"/>
  <c r="A280" i="109" s="1"/>
  <c r="A281" i="109" s="1"/>
  <c r="A282" i="109" s="1"/>
  <c r="A283" i="109" s="1"/>
  <c r="A284" i="109" s="1"/>
  <c r="A285" i="109" s="1"/>
  <c r="A286" i="109" s="1"/>
  <c r="A287" i="109" s="1"/>
  <c r="A288" i="109" s="1"/>
  <c r="A289" i="109" s="1"/>
  <c r="A290" i="109" s="1"/>
  <c r="A291" i="109" s="1"/>
  <c r="A292" i="109" s="1"/>
  <c r="A293" i="109" s="1"/>
  <c r="A294" i="109" s="1"/>
  <c r="A295" i="109" s="1"/>
  <c r="A296" i="109" s="1"/>
  <c r="A297" i="109" s="1"/>
  <c r="A298" i="109" s="1"/>
  <c r="A299" i="109" s="1"/>
  <c r="A300" i="109" s="1"/>
  <c r="A301" i="109" s="1"/>
  <c r="A302" i="109" s="1"/>
  <c r="A303" i="109" s="1"/>
  <c r="A304" i="109" s="1"/>
  <c r="A305" i="109" s="1"/>
  <c r="A306" i="109" s="1"/>
  <c r="A307" i="109" s="1"/>
  <c r="A308" i="109" s="1"/>
  <c r="A309" i="109" s="1"/>
  <c r="A310" i="109" s="1"/>
  <c r="A311" i="109" s="1"/>
  <c r="A312" i="109" s="1"/>
  <c r="A313" i="109" s="1"/>
  <c r="A314" i="109" s="1"/>
  <c r="A315" i="109" s="1"/>
  <c r="A316" i="109" s="1"/>
  <c r="A317" i="109" s="1"/>
  <c r="A318" i="109" s="1"/>
  <c r="A319" i="109" s="1"/>
  <c r="A320" i="109" s="1"/>
  <c r="A321" i="109" s="1"/>
  <c r="A322" i="109" s="1"/>
  <c r="A323" i="109" s="1"/>
  <c r="A324" i="109" s="1"/>
  <c r="A325" i="109" s="1"/>
  <c r="A326" i="109" s="1"/>
  <c r="A327" i="109" s="1"/>
  <c r="A328" i="109" s="1"/>
  <c r="A329" i="109" s="1"/>
  <c r="A330" i="109" s="1"/>
  <c r="A331" i="109" s="1"/>
  <c r="A332" i="109" s="1"/>
  <c r="A333" i="109" s="1"/>
  <c r="A334" i="109" s="1"/>
  <c r="A335" i="109" s="1"/>
  <c r="A336" i="109" s="1"/>
  <c r="A337" i="109" s="1"/>
  <c r="A338" i="109" s="1"/>
  <c r="A339" i="109" s="1"/>
  <c r="A340" i="109" s="1"/>
  <c r="A341" i="109" s="1"/>
  <c r="A342" i="109" s="1"/>
  <c r="A343" i="109" s="1"/>
  <c r="A344" i="109" s="1"/>
  <c r="A345" i="109" s="1"/>
  <c r="A346" i="109" s="1"/>
  <c r="A347" i="109" s="1"/>
  <c r="A348" i="109" s="1"/>
  <c r="A349" i="109" s="1"/>
  <c r="A350" i="109" s="1"/>
  <c r="A351" i="109" s="1"/>
  <c r="A352" i="109" s="1"/>
  <c r="A353" i="109" s="1"/>
  <c r="A354" i="109" s="1"/>
  <c r="A355" i="109" s="1"/>
  <c r="A356" i="109" s="1"/>
  <c r="A357" i="109" s="1"/>
  <c r="A358" i="109" s="1"/>
  <c r="A359" i="109" s="1"/>
  <c r="A360" i="109" s="1"/>
  <c r="A361" i="109" s="1"/>
  <c r="A362" i="109" s="1"/>
  <c r="A363" i="109" s="1"/>
  <c r="A364" i="109" s="1"/>
  <c r="A365" i="109" s="1"/>
  <c r="A366" i="109" s="1"/>
  <c r="A367" i="109" s="1"/>
  <c r="A368" i="109" s="1"/>
  <c r="A369" i="109" s="1"/>
  <c r="A370" i="109" s="1"/>
  <c r="A371" i="109" s="1"/>
  <c r="A372" i="109" s="1"/>
  <c r="A373" i="109" s="1"/>
  <c r="A374" i="109" s="1"/>
  <c r="A375" i="109" s="1"/>
  <c r="A376" i="109" s="1"/>
  <c r="A377" i="109" s="1"/>
  <c r="A378" i="109" s="1"/>
  <c r="A379" i="109" s="1"/>
  <c r="A380" i="109" s="1"/>
  <c r="A381" i="109" s="1"/>
  <c r="A382" i="109" s="1"/>
  <c r="A383" i="109" s="1"/>
  <c r="A384" i="109" s="1"/>
  <c r="A385" i="109" s="1"/>
  <c r="A386" i="109" s="1"/>
  <c r="A387" i="109" s="1"/>
  <c r="A388" i="109" s="1"/>
  <c r="A389" i="109" s="1"/>
  <c r="A390" i="109" s="1"/>
  <c r="A391" i="109" s="1"/>
  <c r="A392" i="109" s="1"/>
  <c r="A393" i="109" s="1"/>
  <c r="A394" i="109" s="1"/>
  <c r="A395" i="109" s="1"/>
  <c r="A396" i="109" s="1"/>
  <c r="A397" i="109" s="1"/>
  <c r="A398" i="109" s="1"/>
  <c r="A399" i="109" s="1"/>
  <c r="A400" i="109" s="1"/>
  <c r="A401" i="109" s="1"/>
  <c r="A402" i="109" s="1"/>
  <c r="A403" i="109" s="1"/>
  <c r="A404" i="109" s="1"/>
  <c r="A405" i="109" s="1"/>
  <c r="A406" i="109" s="1"/>
  <c r="A407" i="109" s="1"/>
  <c r="A408" i="109" s="1"/>
  <c r="A409" i="109" s="1"/>
  <c r="A410" i="109" s="1"/>
  <c r="A411" i="109" s="1"/>
  <c r="A412" i="109" s="1"/>
  <c r="A413" i="109" s="1"/>
  <c r="A414" i="109" s="1"/>
  <c r="A415" i="109" s="1"/>
  <c r="A416" i="109" s="1"/>
  <c r="A417" i="109" s="1"/>
  <c r="A418" i="109" s="1"/>
  <c r="A419" i="109" s="1"/>
  <c r="A420" i="109" s="1"/>
  <c r="A421" i="109" s="1"/>
  <c r="A422" i="109" s="1"/>
  <c r="A423" i="109" s="1"/>
  <c r="A424" i="109" s="1"/>
  <c r="A425" i="109" s="1"/>
  <c r="A426" i="109" s="1"/>
  <c r="A427" i="109" s="1"/>
  <c r="A428" i="109" s="1"/>
  <c r="A429" i="109" s="1"/>
  <c r="A430" i="109" s="1"/>
  <c r="A431" i="109" s="1"/>
  <c r="A432" i="109" s="1"/>
  <c r="A433" i="109" s="1"/>
  <c r="A434" i="109" s="1"/>
  <c r="A435" i="109" s="1"/>
  <c r="A436" i="109" s="1"/>
  <c r="A437" i="109" s="1"/>
  <c r="A438" i="109" s="1"/>
  <c r="A439" i="109" s="1"/>
  <c r="A440" i="109" s="1"/>
  <c r="A441" i="109" s="1"/>
  <c r="A442" i="109" s="1"/>
  <c r="A443" i="109" s="1"/>
  <c r="A444" i="109" s="1"/>
  <c r="A445" i="109" s="1"/>
  <c r="A446" i="109" s="1"/>
  <c r="A447" i="109" s="1"/>
  <c r="A448" i="109" s="1"/>
  <c r="A449" i="109" s="1"/>
  <c r="A450" i="109" s="1"/>
  <c r="A451" i="109" s="1"/>
  <c r="A452" i="109" s="1"/>
  <c r="A453" i="109" s="1"/>
  <c r="A454" i="109" s="1"/>
  <c r="A455" i="109" s="1"/>
  <c r="A456" i="109" s="1"/>
  <c r="A457" i="109" s="1"/>
  <c r="A458" i="109" s="1"/>
  <c r="A459" i="109" s="1"/>
  <c r="A460" i="109" s="1"/>
  <c r="A461" i="109" s="1"/>
  <c r="A462" i="109" s="1"/>
  <c r="A463" i="109" s="1"/>
  <c r="A464" i="109" s="1"/>
  <c r="A465" i="109" s="1"/>
  <c r="A466" i="109" s="1"/>
  <c r="A467" i="109" s="1"/>
  <c r="A468" i="109" s="1"/>
  <c r="A469" i="109" s="1"/>
  <c r="A470" i="109" s="1"/>
  <c r="A471" i="109" s="1"/>
  <c r="A472" i="109" s="1"/>
  <c r="A473" i="109" s="1"/>
  <c r="A474" i="109" s="1"/>
  <c r="A475" i="109" s="1"/>
  <c r="A476" i="109" s="1"/>
  <c r="A477" i="109" s="1"/>
  <c r="A478" i="109" s="1"/>
  <c r="A479" i="109" s="1"/>
  <c r="A480" i="109" s="1"/>
  <c r="A481" i="109" s="1"/>
  <c r="A482" i="109" s="1"/>
  <c r="A483" i="109" s="1"/>
  <c r="A484" i="109" s="1"/>
  <c r="A485" i="109" s="1"/>
  <c r="A486" i="109" s="1"/>
  <c r="A487" i="109" s="1"/>
  <c r="A488" i="109" s="1"/>
  <c r="A489" i="109" s="1"/>
  <c r="A490" i="109" s="1"/>
  <c r="A491" i="109" s="1"/>
  <c r="A492" i="109" s="1"/>
  <c r="A493" i="109" s="1"/>
  <c r="A494" i="109" s="1"/>
  <c r="A495" i="109" s="1"/>
  <c r="A496" i="109" s="1"/>
  <c r="A497" i="109" s="1"/>
  <c r="A498" i="109" s="1"/>
  <c r="A499" i="109" s="1"/>
  <c r="A500" i="109" s="1"/>
  <c r="A501" i="109" s="1"/>
  <c r="A502" i="109" s="1"/>
  <c r="A503" i="109" s="1"/>
  <c r="A504" i="109" s="1"/>
  <c r="A505" i="109" s="1"/>
  <c r="A506" i="109" s="1"/>
  <c r="A507" i="109" s="1"/>
  <c r="A508" i="109" s="1"/>
  <c r="A509" i="109" s="1"/>
  <c r="A510" i="109" s="1"/>
  <c r="A511" i="109" s="1"/>
  <c r="A512" i="109" s="1"/>
  <c r="A513" i="109" s="1"/>
  <c r="A514" i="109" s="1"/>
  <c r="A515" i="109" s="1"/>
  <c r="A516" i="109" s="1"/>
  <c r="A517" i="109" s="1"/>
  <c r="A518" i="109" s="1"/>
  <c r="A519" i="109" s="1"/>
  <c r="A520" i="109" s="1"/>
  <c r="A521" i="109" s="1"/>
  <c r="A522" i="109" s="1"/>
  <c r="A523" i="109" s="1"/>
  <c r="A524" i="109" s="1"/>
  <c r="A525" i="109" s="1"/>
  <c r="A526" i="109" s="1"/>
  <c r="A527" i="109" s="1"/>
  <c r="A528" i="109" s="1"/>
  <c r="A529" i="109" s="1"/>
  <c r="A530" i="109" s="1"/>
  <c r="A531" i="109" s="1"/>
  <c r="A532" i="109" s="1"/>
  <c r="A533" i="109" s="1"/>
  <c r="A534" i="109" s="1"/>
  <c r="A535" i="109" s="1"/>
  <c r="A536" i="109" s="1"/>
  <c r="A537" i="109" s="1"/>
  <c r="A538" i="109" s="1"/>
  <c r="A539" i="109" s="1"/>
  <c r="A540" i="109" s="1"/>
  <c r="A541" i="109" s="1"/>
  <c r="A542" i="109" s="1"/>
  <c r="A543" i="109" s="1"/>
  <c r="A544" i="109" s="1"/>
  <c r="A545" i="109" s="1"/>
  <c r="A546" i="109" s="1"/>
  <c r="A547" i="109" s="1"/>
  <c r="A548" i="109" s="1"/>
  <c r="A549" i="109" s="1"/>
  <c r="A550" i="109" s="1"/>
  <c r="A551" i="109" s="1"/>
  <c r="A552" i="109" s="1"/>
  <c r="A553" i="109" s="1"/>
  <c r="A554" i="109" s="1"/>
  <c r="A555" i="109" s="1"/>
  <c r="A556" i="109" s="1"/>
  <c r="A557" i="109" s="1"/>
  <c r="A558" i="109" s="1"/>
  <c r="A559" i="109" s="1"/>
  <c r="A560" i="109" s="1"/>
  <c r="A561" i="109" s="1"/>
  <c r="A562" i="109" s="1"/>
  <c r="A563" i="109" s="1"/>
  <c r="A564" i="109" s="1"/>
  <c r="A565" i="109" s="1"/>
  <c r="A566" i="109" s="1"/>
  <c r="A567" i="109" s="1"/>
  <c r="A568" i="109" s="1"/>
  <c r="A569" i="109" s="1"/>
  <c r="A570" i="109" s="1"/>
  <c r="A571" i="109" s="1"/>
  <c r="A572" i="109" s="1"/>
  <c r="A573" i="109" s="1"/>
  <c r="A574" i="109" s="1"/>
  <c r="A575" i="109" s="1"/>
  <c r="A576" i="109" s="1"/>
  <c r="A577" i="109" s="1"/>
  <c r="A578" i="109" s="1"/>
  <c r="A579" i="109" s="1"/>
  <c r="A580" i="109" s="1"/>
  <c r="A581" i="109" s="1"/>
  <c r="A582" i="109" s="1"/>
  <c r="A583" i="109" s="1"/>
  <c r="A584" i="109" s="1"/>
  <c r="A585" i="109" s="1"/>
  <c r="A586" i="109" s="1"/>
  <c r="F564" i="109" s="1"/>
  <c r="AH147" i="1"/>
  <c r="E12" i="108"/>
  <c r="F12" i="108" s="1"/>
  <c r="AI146" i="1"/>
  <c r="L68" i="85"/>
  <c r="AF152" i="1"/>
  <c r="E89" i="111" s="1"/>
  <c r="AH146" i="1"/>
  <c r="E7" i="108"/>
  <c r="F7" i="108" s="1"/>
  <c r="AV31" i="113"/>
  <c r="AH148" i="1"/>
  <c r="E28" i="108"/>
  <c r="F28" i="108" s="1"/>
  <c r="E10" i="109"/>
  <c r="E11" i="109" s="1"/>
  <c r="AA9" i="110"/>
  <c r="AB47" i="110"/>
  <c r="AB45" i="110"/>
  <c r="AB37" i="110"/>
  <c r="AA37" i="110" s="1"/>
  <c r="A587" i="109" l="1"/>
  <c r="A588" i="109" s="1"/>
  <c r="A589" i="109" s="1"/>
  <c r="A590" i="109" s="1"/>
  <c r="A591" i="109" s="1"/>
  <c r="A592" i="109" s="1"/>
  <c r="A593" i="109" s="1"/>
  <c r="A594" i="109" s="1"/>
  <c r="A595" i="109" s="1"/>
  <c r="A596" i="109" s="1"/>
  <c r="A597" i="109" s="1"/>
  <c r="A598" i="109" s="1"/>
  <c r="A599" i="109" s="1"/>
  <c r="A600" i="109" s="1"/>
  <c r="A601" i="109" s="1"/>
  <c r="A602" i="109" s="1"/>
  <c r="A603" i="109" s="1"/>
  <c r="A604" i="109" s="1"/>
  <c r="A605" i="109" s="1"/>
  <c r="A606" i="109" s="1"/>
  <c r="A607" i="109" s="1"/>
  <c r="A608" i="109" s="1"/>
  <c r="A609" i="109" s="1"/>
  <c r="A610" i="109" s="1"/>
  <c r="A611" i="109" s="1"/>
  <c r="A612" i="109" s="1"/>
  <c r="A613" i="109" s="1"/>
  <c r="A614" i="109" s="1"/>
  <c r="A615" i="109" s="1"/>
  <c r="A616" i="109" s="1"/>
  <c r="A617" i="109" s="1"/>
  <c r="A618" i="109" s="1"/>
  <c r="A619" i="109" s="1"/>
  <c r="A620" i="109" s="1"/>
  <c r="A621" i="109" s="1"/>
  <c r="A622" i="109" s="1"/>
  <c r="A623" i="109" s="1"/>
  <c r="A624" i="109" s="1"/>
  <c r="A625" i="109" s="1"/>
  <c r="A626" i="109" s="1"/>
  <c r="A627" i="109" s="1"/>
  <c r="A628" i="109" s="1"/>
  <c r="A629" i="109" s="1"/>
  <c r="F562" i="109"/>
  <c r="B27" i="109"/>
  <c r="B28" i="109" s="1"/>
  <c r="E12" i="109"/>
  <c r="E13" i="109" s="1"/>
  <c r="E14" i="109" s="1"/>
  <c r="E15" i="109" s="1"/>
  <c r="E16" i="109" s="1"/>
  <c r="E17" i="109" s="1"/>
  <c r="E18" i="109" s="1"/>
  <c r="AB39" i="110"/>
  <c r="B29" i="109" l="1"/>
  <c r="B30" i="109" s="1"/>
  <c r="B31" i="109" s="1"/>
  <c r="B32" i="109" s="1"/>
  <c r="B33" i="109" s="1"/>
  <c r="B34" i="109" s="1"/>
  <c r="B35" i="109" s="1"/>
  <c r="B36" i="109" s="1"/>
  <c r="B37" i="109" s="1"/>
  <c r="B38" i="109" s="1"/>
  <c r="B39" i="109" s="1"/>
  <c r="B40" i="109" s="1"/>
  <c r="B41" i="109" s="1"/>
  <c r="B42" i="109" s="1"/>
  <c r="B43" i="109" s="1"/>
  <c r="B44" i="109" s="1"/>
  <c r="B45" i="109" s="1"/>
  <c r="E23" i="109"/>
  <c r="E24" i="109" s="1"/>
  <c r="E25" i="109" s="1"/>
  <c r="E26" i="109" s="1"/>
  <c r="AB46" i="110"/>
  <c r="AB48" i="110" s="1"/>
  <c r="B46" i="109" l="1"/>
  <c r="B47" i="109" s="1"/>
  <c r="B48" i="109" s="1"/>
  <c r="B49" i="109" s="1"/>
  <c r="B50" i="109" s="1"/>
  <c r="B51" i="109" s="1"/>
  <c r="B52" i="109" s="1"/>
  <c r="B53" i="109" s="1"/>
  <c r="E27" i="109"/>
  <c r="E28" i="109" s="1"/>
  <c r="E29" i="109" s="1"/>
  <c r="C37" i="81"/>
  <c r="B54" i="109" l="1"/>
  <c r="B55" i="109" s="1"/>
  <c r="B56" i="109" s="1"/>
  <c r="B57" i="109" s="1"/>
  <c r="B58" i="109" s="1"/>
  <c r="B59" i="109" s="1"/>
  <c r="B60" i="109" s="1"/>
  <c r="B61" i="109" s="1"/>
  <c r="B62" i="109" s="1"/>
  <c r="B63" i="109" s="1"/>
  <c r="B64" i="109" s="1"/>
  <c r="E30" i="109"/>
  <c r="E31" i="109" s="1"/>
  <c r="E32" i="109" s="1"/>
  <c r="E33" i="109" s="1"/>
  <c r="E34" i="109" s="1"/>
  <c r="E36" i="109" s="1"/>
  <c r="E38" i="109" s="1"/>
  <c r="E39" i="109" s="1"/>
  <c r="E42" i="109"/>
  <c r="B65" i="109" l="1"/>
  <c r="B66" i="109" s="1"/>
  <c r="B67" i="109" s="1"/>
  <c r="B68" i="109" s="1"/>
  <c r="B69" i="109" s="1"/>
  <c r="B70" i="109" s="1"/>
  <c r="B71" i="109" s="1"/>
  <c r="B72" i="109" s="1"/>
  <c r="B73" i="109" s="1"/>
  <c r="B74" i="109" s="1"/>
  <c r="B75" i="109" s="1"/>
  <c r="E44" i="109"/>
  <c r="E45" i="109" s="1"/>
  <c r="E47" i="109" s="1"/>
  <c r="E48" i="109" s="1"/>
  <c r="E49" i="109" s="1"/>
  <c r="E62" i="109"/>
  <c r="E63" i="109" s="1"/>
  <c r="E64" i="109" s="1"/>
  <c r="E96" i="109"/>
  <c r="E97" i="109" s="1"/>
  <c r="B76" i="109" l="1"/>
  <c r="B77" i="109" s="1"/>
  <c r="B78" i="109" s="1"/>
  <c r="B79" i="109" s="1"/>
  <c r="B80" i="109" s="1"/>
  <c r="B81" i="109" s="1"/>
  <c r="B82" i="109" s="1"/>
  <c r="B83" i="109" s="1"/>
  <c r="B84" i="109" s="1"/>
  <c r="E65" i="109"/>
  <c r="E66" i="109" s="1"/>
  <c r="E67" i="109" s="1"/>
  <c r="E68" i="109" s="1"/>
  <c r="E69" i="109" s="1"/>
  <c r="E70" i="109" s="1"/>
  <c r="E50" i="109"/>
  <c r="E51" i="109" s="1"/>
  <c r="E52" i="109" s="1"/>
  <c r="E53" i="109" s="1"/>
  <c r="E60" i="109"/>
  <c r="E98" i="109"/>
  <c r="E99" i="109" s="1"/>
  <c r="B85" i="109" l="1"/>
  <c r="B86" i="109" s="1"/>
  <c r="B87" i="109" s="1"/>
  <c r="B88" i="109" s="1"/>
  <c r="B89" i="109" s="1"/>
  <c r="B90" i="109" s="1"/>
  <c r="B91" i="109" s="1"/>
  <c r="B92" i="109" s="1"/>
  <c r="B93" i="109" s="1"/>
  <c r="B94" i="109" s="1"/>
  <c r="B95" i="109" s="1"/>
  <c r="B96" i="109" s="1"/>
  <c r="B97" i="109" s="1"/>
  <c r="B98" i="109" s="1"/>
  <c r="B99" i="109" s="1"/>
  <c r="B100" i="109" s="1"/>
  <c r="B101" i="109" s="1"/>
  <c r="B102" i="109" s="1"/>
  <c r="B103" i="109" s="1"/>
  <c r="B104" i="109" s="1"/>
  <c r="B105" i="109" s="1"/>
  <c r="B106" i="109" s="1"/>
  <c r="B107" i="109" s="1"/>
  <c r="B108" i="109" s="1"/>
  <c r="B109" i="109" s="1"/>
  <c r="B110" i="109" s="1"/>
  <c r="B111" i="109" s="1"/>
  <c r="B112" i="109" s="1"/>
  <c r="B113" i="109" s="1"/>
  <c r="B114" i="109" s="1"/>
  <c r="B115" i="109" s="1"/>
  <c r="B116" i="109" s="1"/>
  <c r="B117" i="109" s="1"/>
  <c r="B118" i="109" s="1"/>
  <c r="B119" i="109" s="1"/>
  <c r="B120" i="109" s="1"/>
  <c r="B121" i="109" s="1"/>
  <c r="B122" i="109" s="1"/>
  <c r="B123" i="109" s="1"/>
  <c r="B124" i="109" s="1"/>
  <c r="B125" i="109" s="1"/>
  <c r="B126" i="109" s="1"/>
  <c r="B127" i="109" s="1"/>
  <c r="B128" i="109" s="1"/>
  <c r="B129" i="109" s="1"/>
  <c r="B130" i="109" s="1"/>
  <c r="B131" i="109" s="1"/>
  <c r="B132" i="109" s="1"/>
  <c r="B133" i="109" s="1"/>
  <c r="F8" i="110" s="1"/>
  <c r="E54" i="109"/>
  <c r="E55" i="109" s="1"/>
  <c r="E100" i="109"/>
  <c r="E101" i="109" s="1"/>
  <c r="E103" i="109" s="1"/>
  <c r="E104" i="109" s="1"/>
  <c r="E105" i="109" s="1"/>
  <c r="E106" i="109" s="1"/>
  <c r="E107" i="109" s="1"/>
  <c r="E108" i="109" s="1"/>
  <c r="E109" i="109" s="1"/>
  <c r="E110" i="109" s="1"/>
  <c r="E71" i="109"/>
  <c r="E111" i="109" l="1"/>
  <c r="E112" i="109" s="1"/>
  <c r="E113" i="109" s="1"/>
  <c r="E114" i="109" s="1"/>
  <c r="E115" i="109" s="1"/>
  <c r="E116" i="109" s="1"/>
  <c r="E118" i="109" s="1"/>
  <c r="E120" i="109" s="1"/>
  <c r="E121" i="109" s="1"/>
  <c r="E123" i="109" s="1"/>
  <c r="F4" i="110"/>
  <c r="F17" i="110" s="1"/>
  <c r="E72" i="109"/>
  <c r="E73" i="109" s="1"/>
  <c r="E74" i="109" s="1"/>
  <c r="E75" i="109" s="1"/>
  <c r="E76" i="109" s="1"/>
  <c r="E125" i="109"/>
  <c r="E126" i="109" s="1"/>
  <c r="E127" i="109" s="1"/>
  <c r="AV27" i="93"/>
  <c r="E77" i="109" l="1"/>
  <c r="E78" i="109" s="1"/>
  <c r="E79" i="109" s="1"/>
  <c r="E128" i="109"/>
  <c r="E129" i="109" s="1"/>
  <c r="E130" i="109" s="1"/>
  <c r="E84" i="109" l="1"/>
  <c r="E80" i="109"/>
  <c r="E81" i="109" s="1"/>
  <c r="E82" i="109" s="1"/>
  <c r="E131" i="109"/>
  <c r="E132" i="109" s="1"/>
  <c r="E133" i="109" s="1"/>
  <c r="AT21" i="69"/>
  <c r="E85" i="109" l="1"/>
  <c r="E86" i="109" s="1"/>
  <c r="E87" i="109" s="1"/>
  <c r="E88" i="109" s="1"/>
  <c r="E89" i="109" s="1"/>
  <c r="E91" i="109" s="1"/>
  <c r="E92" i="109" s="1"/>
  <c r="E93" i="109" s="1"/>
  <c r="K64" i="14"/>
  <c r="L94" i="56" l="1"/>
  <c r="BJ20" i="69" l="1"/>
  <c r="N56" i="1" l="1"/>
  <c r="B33" i="50" l="1"/>
  <c r="F82" i="111" l="1"/>
  <c r="H82" i="111" s="1"/>
  <c r="P184" i="82"/>
  <c r="M82" i="111" l="1"/>
  <c r="S335" i="80"/>
  <c r="AD17" i="81" l="1"/>
  <c r="AR30" i="76" l="1"/>
  <c r="CQ19" i="69" l="1"/>
  <c r="CP19" i="69"/>
  <c r="CP7" i="69"/>
  <c r="CQ7" i="69"/>
  <c r="G130" i="56" l="1"/>
  <c r="G130" i="127"/>
  <c r="H130" i="127" s="1"/>
  <c r="E44" i="111"/>
  <c r="D80" i="111" s="1"/>
  <c r="H9" i="110"/>
  <c r="AB9" i="110" s="1"/>
  <c r="F7" i="110"/>
  <c r="Z7" i="110" s="1"/>
  <c r="DP26" i="69"/>
  <c r="DP24" i="69"/>
  <c r="DP14" i="69"/>
  <c r="DP12" i="69"/>
  <c r="Z8" i="110" l="1"/>
  <c r="R33" i="81"/>
  <c r="CQ4" i="69"/>
  <c r="CP18" i="69"/>
  <c r="CQ22" i="69"/>
  <c r="CQ21" i="69"/>
  <c r="CQ17" i="69"/>
  <c r="CQ10" i="69"/>
  <c r="CQ8" i="69"/>
  <c r="CQ9" i="69" s="1"/>
  <c r="E88" i="111" l="1"/>
  <c r="K54" i="85"/>
  <c r="L54" i="85" s="1"/>
  <c r="B80" i="111"/>
  <c r="CR19" i="69"/>
  <c r="CR7" i="69"/>
  <c r="CQ20" i="69"/>
  <c r="B9" i="73"/>
  <c r="B10" i="73" s="1"/>
  <c r="E90" i="111" l="1"/>
  <c r="CP21" i="69"/>
  <c r="E130" i="56" s="1"/>
  <c r="H130" i="56" s="1"/>
  <c r="CP21" i="122"/>
  <c r="CR30" i="69"/>
  <c r="CP20" i="69" l="1"/>
  <c r="CR20" i="69" s="1"/>
  <c r="CR21" i="69" s="1"/>
  <c r="CR22" i="69"/>
  <c r="CP23" i="69"/>
  <c r="CP23" i="122"/>
  <c r="CP20" i="122"/>
  <c r="CR20" i="122" s="1"/>
  <c r="CR22" i="122"/>
  <c r="CR35" i="122" s="1"/>
  <c r="CR23" i="69" l="1"/>
  <c r="CR25" i="69" s="1"/>
  <c r="CR27" i="69" s="1"/>
  <c r="CR21" i="122"/>
  <c r="CR23" i="122" s="1"/>
  <c r="CR25" i="122" s="1"/>
  <c r="CR32" i="122"/>
  <c r="CR37" i="69" l="1"/>
  <c r="CR27" i="122"/>
  <c r="CR31" i="122" s="1"/>
  <c r="CR33" i="122" s="1"/>
  <c r="CR37" i="122"/>
  <c r="CR38" i="122" s="1"/>
  <c r="CL23" i="122" l="1"/>
  <c r="CN22" i="122"/>
  <c r="CL20" i="122"/>
  <c r="CN20" i="122" s="1"/>
  <c r="CN21" i="122" s="1"/>
  <c r="CR39" i="122"/>
  <c r="AV10" i="76"/>
  <c r="CN23" i="122" l="1"/>
  <c r="CN25" i="122" s="1"/>
  <c r="CN27" i="122" s="1"/>
  <c r="P114" i="14"/>
  <c r="CN37" i="122" l="1"/>
  <c r="E126" i="14"/>
  <c r="AF13" i="1" s="1"/>
  <c r="AH13" i="1" s="1"/>
  <c r="AC5" i="81" l="1"/>
  <c r="J329" i="80" l="1"/>
  <c r="AB33" i="81" l="1"/>
  <c r="D38" i="85" l="1"/>
  <c r="D39" i="85" l="1"/>
  <c r="D40" i="85" l="1"/>
  <c r="D41" i="85" s="1"/>
  <c r="O184" i="82"/>
  <c r="D42" i="85" l="1"/>
  <c r="R184" i="82"/>
  <c r="D43" i="85" l="1"/>
  <c r="D44" i="85" s="1"/>
  <c r="E41" i="56" l="1"/>
  <c r="F41" i="56" s="1"/>
  <c r="H41" i="56" s="1"/>
  <c r="AP21" i="69" l="1"/>
  <c r="AU12" i="63" l="1"/>
  <c r="X79" i="14" l="1"/>
  <c r="P103" i="14" l="1"/>
  <c r="L365" i="80" l="1"/>
  <c r="C18" i="1" l="1"/>
  <c r="C27" i="1" s="1"/>
  <c r="N114" i="1" l="1"/>
  <c r="B21" i="3" l="1"/>
  <c r="E14" i="58" l="1"/>
  <c r="E15" i="58"/>
  <c r="E16" i="58"/>
  <c r="E17" i="58"/>
  <c r="E18" i="58"/>
  <c r="E19" i="58"/>
  <c r="E20" i="58"/>
  <c r="E21" i="58"/>
  <c r="E22" i="58"/>
  <c r="E23" i="58"/>
  <c r="E24" i="58"/>
  <c r="E25" i="58"/>
  <c r="E26" i="58"/>
  <c r="E27" i="58"/>
  <c r="E28" i="58"/>
  <c r="E29" i="58"/>
  <c r="E30" i="58"/>
  <c r="E31" i="58"/>
  <c r="C387" i="80" l="1"/>
  <c r="D387" i="80" s="1"/>
  <c r="C386" i="80"/>
  <c r="D386" i="80" s="1"/>
  <c r="C385" i="80"/>
  <c r="D385" i="80" s="1"/>
  <c r="C384" i="80"/>
  <c r="D384" i="80" s="1"/>
  <c r="C383" i="80"/>
  <c r="D383" i="80" s="1"/>
  <c r="C382" i="80"/>
  <c r="D382" i="80" s="1"/>
  <c r="AU13" i="88" l="1"/>
  <c r="O103" i="14" l="1"/>
  <c r="L103" i="14"/>
  <c r="M103" i="14"/>
  <c r="O13" i="1" s="1"/>
  <c r="K103" i="14"/>
  <c r="N133" i="1"/>
  <c r="O187" i="1" l="1"/>
  <c r="AU20" i="63"/>
  <c r="AV16" i="63" l="1"/>
  <c r="I324" i="80" l="1"/>
  <c r="H324" i="80"/>
  <c r="G324" i="80"/>
  <c r="AU27" i="78" l="1"/>
  <c r="D17" i="61" l="1"/>
  <c r="C21" i="3" l="1"/>
  <c r="F103" i="14" l="1"/>
  <c r="AV9" i="78"/>
  <c r="AU13" i="76" l="1"/>
  <c r="D7" i="50" l="1"/>
  <c r="AF50" i="1" s="1"/>
  <c r="AU27" i="77"/>
  <c r="AH50" i="1" l="1"/>
  <c r="CM19" i="69"/>
  <c r="G128" i="127" s="1"/>
  <c r="H128" i="127" s="1"/>
  <c r="CL19" i="69"/>
  <c r="DN19" i="69" s="1"/>
  <c r="CM7" i="69"/>
  <c r="CM8" i="69" s="1"/>
  <c r="CM9" i="69" s="1"/>
  <c r="CL7" i="69"/>
  <c r="CL8" i="69" s="1"/>
  <c r="CL18" i="69"/>
  <c r="CM22" i="69"/>
  <c r="CM17" i="69"/>
  <c r="CM10" i="69"/>
  <c r="CM4" i="69"/>
  <c r="CM21" i="69" l="1"/>
  <c r="G128" i="56"/>
  <c r="E128" i="56"/>
  <c r="CL20" i="69"/>
  <c r="CL23" i="69"/>
  <c r="CN7" i="69"/>
  <c r="CM20" i="69"/>
  <c r="CN19" i="69"/>
  <c r="C25" i="105"/>
  <c r="C21" i="105"/>
  <c r="C20" i="105"/>
  <c r="C17" i="105"/>
  <c r="C16" i="105"/>
  <c r="C13" i="105"/>
  <c r="C12" i="105"/>
  <c r="C9" i="105"/>
  <c r="C8" i="105"/>
  <c r="E3" i="105"/>
  <c r="F3" i="105"/>
  <c r="G3" i="105"/>
  <c r="H3" i="105"/>
  <c r="I3" i="105"/>
  <c r="J3" i="105"/>
  <c r="K3" i="105"/>
  <c r="L3" i="105"/>
  <c r="M3" i="105"/>
  <c r="N3" i="105"/>
  <c r="O3" i="105"/>
  <c r="P3" i="105"/>
  <c r="Q3" i="105"/>
  <c r="R3" i="105"/>
  <c r="S3" i="105"/>
  <c r="T3" i="105"/>
  <c r="U3" i="105"/>
  <c r="V3" i="105"/>
  <c r="W3" i="105"/>
  <c r="X3" i="105"/>
  <c r="Y3" i="105"/>
  <c r="Z3" i="105"/>
  <c r="AA3" i="105"/>
  <c r="AB3" i="105"/>
  <c r="AC3" i="105"/>
  <c r="AD3" i="105"/>
  <c r="AE3" i="105"/>
  <c r="AF3" i="105"/>
  <c r="AG3" i="105"/>
  <c r="AH3" i="105"/>
  <c r="AI3" i="105"/>
  <c r="AJ3" i="105"/>
  <c r="AK3" i="105"/>
  <c r="AL3" i="105"/>
  <c r="AM3" i="105"/>
  <c r="AN3" i="105"/>
  <c r="AO3" i="105"/>
  <c r="AP3" i="105"/>
  <c r="AQ3" i="105"/>
  <c r="D3" i="105"/>
  <c r="A3" i="105"/>
  <c r="AQ2" i="105"/>
  <c r="D4" i="105"/>
  <c r="C11" i="105"/>
  <c r="C15" i="105"/>
  <c r="C19" i="105"/>
  <c r="C7" i="105"/>
  <c r="A11" i="105"/>
  <c r="A15" i="105"/>
  <c r="A19" i="105"/>
  <c r="A7" i="105"/>
  <c r="D5" i="105"/>
  <c r="A5" i="105"/>
  <c r="G83" i="56" l="1"/>
  <c r="G83" i="127"/>
  <c r="H128" i="56"/>
  <c r="CN20" i="69"/>
  <c r="CN21" i="69" s="1"/>
  <c r="CN22" i="69"/>
  <c r="CN30" i="69"/>
  <c r="C23" i="105"/>
  <c r="C26" i="105" s="1"/>
  <c r="CN23" i="69" l="1"/>
  <c r="CN25" i="69" s="1"/>
  <c r="CN27" i="69" s="1"/>
  <c r="CN37" i="69" l="1"/>
  <c r="M361" i="80"/>
  <c r="M362" i="80"/>
  <c r="M363" i="80"/>
  <c r="M364" i="80" l="1"/>
  <c r="N364" i="80" l="1"/>
  <c r="K173" i="80" l="1"/>
  <c r="C192" i="82"/>
  <c r="D192" i="82"/>
  <c r="E192" i="82"/>
  <c r="F192" i="82"/>
  <c r="G192" i="82"/>
  <c r="H192" i="82"/>
  <c r="I192" i="82"/>
  <c r="J192" i="82"/>
  <c r="K192" i="82"/>
  <c r="L192" i="82"/>
  <c r="M192" i="82"/>
  <c r="N192" i="82"/>
  <c r="O192" i="82"/>
  <c r="P192" i="82"/>
  <c r="Q192" i="82"/>
  <c r="R192" i="82"/>
  <c r="S192" i="82"/>
  <c r="T192" i="82"/>
  <c r="AF192" i="82"/>
  <c r="B192" i="82"/>
  <c r="D184" i="82"/>
  <c r="E184" i="82"/>
  <c r="F184" i="82"/>
  <c r="G184" i="82"/>
  <c r="H184" i="82"/>
  <c r="I184" i="82"/>
  <c r="J184" i="82"/>
  <c r="K184" i="82"/>
  <c r="L184" i="82"/>
  <c r="M184" i="82"/>
  <c r="N184" i="82"/>
  <c r="Q184" i="82"/>
  <c r="S184" i="82"/>
  <c r="T184" i="82"/>
  <c r="C175" i="82"/>
  <c r="D175" i="82"/>
  <c r="E175" i="82"/>
  <c r="F175" i="82"/>
  <c r="G175" i="82"/>
  <c r="H175" i="82"/>
  <c r="I175" i="82"/>
  <c r="J175" i="82"/>
  <c r="K175" i="82"/>
  <c r="L175" i="82"/>
  <c r="M175" i="82"/>
  <c r="N175" i="82"/>
  <c r="O175" i="82"/>
  <c r="P175" i="82"/>
  <c r="Q175" i="82"/>
  <c r="R175" i="82"/>
  <c r="S175" i="82"/>
  <c r="T175" i="82"/>
  <c r="C176" i="82"/>
  <c r="D176" i="82"/>
  <c r="E176" i="82"/>
  <c r="F176" i="82"/>
  <c r="G176" i="82"/>
  <c r="H176" i="82"/>
  <c r="I176" i="82"/>
  <c r="J176" i="82"/>
  <c r="K176" i="82"/>
  <c r="L176" i="82"/>
  <c r="M176" i="82"/>
  <c r="N176" i="82"/>
  <c r="O176" i="82"/>
  <c r="P176" i="82"/>
  <c r="Q176" i="82"/>
  <c r="R176" i="82"/>
  <c r="S176" i="82"/>
  <c r="T176" i="82"/>
  <c r="C177" i="82"/>
  <c r="D177" i="82"/>
  <c r="E177" i="82"/>
  <c r="F177" i="82"/>
  <c r="G177" i="82"/>
  <c r="H177" i="82"/>
  <c r="I177" i="82"/>
  <c r="J177" i="82"/>
  <c r="K177" i="82"/>
  <c r="L177" i="82"/>
  <c r="M177" i="82"/>
  <c r="N177" i="82"/>
  <c r="O177" i="82"/>
  <c r="P177" i="82"/>
  <c r="Q177" i="82"/>
  <c r="R177" i="82"/>
  <c r="S177" i="82"/>
  <c r="T177" i="82"/>
  <c r="C178" i="82"/>
  <c r="D178" i="82"/>
  <c r="E178" i="82"/>
  <c r="F178" i="82"/>
  <c r="G178" i="82"/>
  <c r="H178" i="82"/>
  <c r="I178" i="82"/>
  <c r="J178" i="82"/>
  <c r="K178" i="82"/>
  <c r="L178" i="82"/>
  <c r="M178" i="82"/>
  <c r="N178" i="82"/>
  <c r="O178" i="82"/>
  <c r="P178" i="82"/>
  <c r="Q178" i="82"/>
  <c r="R178" i="82"/>
  <c r="S178" i="82"/>
  <c r="T178" i="82"/>
  <c r="C179" i="82"/>
  <c r="D179" i="82"/>
  <c r="E179" i="82"/>
  <c r="F179" i="82"/>
  <c r="G179" i="82"/>
  <c r="H179" i="82"/>
  <c r="I179" i="82"/>
  <c r="J179" i="82"/>
  <c r="K179" i="82"/>
  <c r="L179" i="82"/>
  <c r="M179" i="82"/>
  <c r="N179" i="82"/>
  <c r="O179" i="82"/>
  <c r="P179" i="82"/>
  <c r="Q179" i="82"/>
  <c r="R179" i="82"/>
  <c r="S179" i="82"/>
  <c r="T179" i="82"/>
  <c r="B175" i="82"/>
  <c r="B176" i="82"/>
  <c r="B177" i="82"/>
  <c r="AF177" i="82" s="1"/>
  <c r="B178" i="82"/>
  <c r="B179" i="82"/>
  <c r="AF176" i="82" l="1"/>
  <c r="T181" i="82"/>
  <c r="T183" i="82" s="1"/>
  <c r="AF175" i="82"/>
  <c r="AF179" i="82"/>
  <c r="AF178" i="82"/>
  <c r="AF184" i="82"/>
  <c r="B181" i="82"/>
  <c r="B183" i="82" s="1"/>
  <c r="B185" i="82" s="1"/>
  <c r="M181" i="82"/>
  <c r="M183" i="82" s="1"/>
  <c r="M185" i="82" s="1"/>
  <c r="M194" i="82" s="1"/>
  <c r="E181" i="82"/>
  <c r="E183" i="82" s="1"/>
  <c r="E185" i="82" s="1"/>
  <c r="E194" i="82" s="1"/>
  <c r="D181" i="82"/>
  <c r="D183" i="82" s="1"/>
  <c r="D185" i="82" s="1"/>
  <c r="D194" i="82" s="1"/>
  <c r="C181" i="82"/>
  <c r="C183" i="82" s="1"/>
  <c r="R181" i="82"/>
  <c r="R183" i="82" s="1"/>
  <c r="R185" i="82" s="1"/>
  <c r="R194" i="82" s="1"/>
  <c r="J181" i="82"/>
  <c r="J183" i="82" s="1"/>
  <c r="J185" i="82" s="1"/>
  <c r="J194" i="82" s="1"/>
  <c r="K181" i="82"/>
  <c r="K183" i="82" s="1"/>
  <c r="K185" i="82" s="1"/>
  <c r="K194" i="82" s="1"/>
  <c r="Q181" i="82"/>
  <c r="Q183" i="82" s="1"/>
  <c r="Q185" i="82" s="1"/>
  <c r="Q194" i="82" s="1"/>
  <c r="I181" i="82"/>
  <c r="I183" i="82" s="1"/>
  <c r="S181" i="82"/>
  <c r="S183" i="82" s="1"/>
  <c r="S185" i="82" s="1"/>
  <c r="S194" i="82" s="1"/>
  <c r="P181" i="82"/>
  <c r="P183" i="82" s="1"/>
  <c r="P185" i="82" s="1"/>
  <c r="P194" i="82" s="1"/>
  <c r="H181" i="82"/>
  <c r="H183" i="82" s="1"/>
  <c r="H185" i="82" s="1"/>
  <c r="H194" i="82" s="1"/>
  <c r="L181" i="82"/>
  <c r="L183" i="82" s="1"/>
  <c r="L185" i="82" s="1"/>
  <c r="L194" i="82" s="1"/>
  <c r="O181" i="82"/>
  <c r="G181" i="82"/>
  <c r="G183" i="82" s="1"/>
  <c r="G185" i="82" s="1"/>
  <c r="G194" i="82" s="1"/>
  <c r="N181" i="82"/>
  <c r="N183" i="82" s="1"/>
  <c r="N185" i="82" s="1"/>
  <c r="N194" i="82" s="1"/>
  <c r="F181" i="82"/>
  <c r="F183" i="82" s="1"/>
  <c r="F185" i="82" s="1"/>
  <c r="F194" i="82" s="1"/>
  <c r="AF181" i="82" l="1"/>
  <c r="C185" i="82"/>
  <c r="C194" i="82" s="1"/>
  <c r="O183" i="82"/>
  <c r="O185" i="82" s="1"/>
  <c r="O194" i="82" s="1"/>
  <c r="I185" i="82"/>
  <c r="I194" i="82" s="1"/>
  <c r="T185" i="82"/>
  <c r="T194" i="82" s="1"/>
  <c r="B194" i="82"/>
  <c r="D324" i="80"/>
  <c r="C324" i="80"/>
  <c r="B324" i="80"/>
  <c r="AF183" i="82" l="1"/>
  <c r="AF185" i="82" s="1"/>
  <c r="AF194" i="82" s="1"/>
  <c r="V80" i="14" l="1"/>
  <c r="B15" i="55" l="1"/>
  <c r="G44" i="58" l="1"/>
  <c r="C35" i="81"/>
  <c r="G4" i="90" l="1"/>
  <c r="G6" i="90" s="1"/>
  <c r="H4" i="90" l="1"/>
  <c r="J45" i="92" l="1"/>
  <c r="K45" i="92"/>
  <c r="BZ23" i="122" l="1"/>
  <c r="BZ20" i="122"/>
  <c r="CB22" i="122"/>
  <c r="AU20" i="76"/>
  <c r="N15" i="81" s="1"/>
  <c r="CB35" i="122" l="1"/>
  <c r="CB20" i="122"/>
  <c r="B108" i="55"/>
  <c r="B104" i="55"/>
  <c r="B103" i="55"/>
  <c r="B102" i="55"/>
  <c r="B101" i="55"/>
  <c r="B100" i="55"/>
  <c r="B99" i="55"/>
  <c r="B98" i="55"/>
  <c r="B97" i="55"/>
  <c r="B96" i="55"/>
  <c r="B95" i="55"/>
  <c r="B94" i="55"/>
  <c r="B93" i="55"/>
  <c r="B92" i="55"/>
  <c r="B91" i="55"/>
  <c r="B90" i="55"/>
  <c r="B89" i="55"/>
  <c r="B88" i="55"/>
  <c r="B87" i="55"/>
  <c r="B86" i="55"/>
  <c r="B85" i="55"/>
  <c r="B84" i="55"/>
  <c r="B83" i="55"/>
  <c r="B82" i="55"/>
  <c r="B81" i="55"/>
  <c r="B80" i="55"/>
  <c r="B79" i="55"/>
  <c r="B78" i="55"/>
  <c r="B77" i="55"/>
  <c r="B76" i="55"/>
  <c r="B75" i="55"/>
  <c r="B74" i="55"/>
  <c r="B73" i="55"/>
  <c r="B72" i="55"/>
  <c r="B71" i="55"/>
  <c r="B70" i="55"/>
  <c r="B69" i="55"/>
  <c r="B68" i="55"/>
  <c r="B67" i="55"/>
  <c r="B66" i="55"/>
  <c r="B65" i="55"/>
  <c r="B64" i="55"/>
  <c r="B63" i="55"/>
  <c r="B62" i="55"/>
  <c r="B61" i="55"/>
  <c r="B60" i="55"/>
  <c r="B59" i="55"/>
  <c r="B58" i="55"/>
  <c r="B57" i="55"/>
  <c r="B56" i="55"/>
  <c r="B55" i="55"/>
  <c r="B54" i="55"/>
  <c r="B53" i="55"/>
  <c r="B52" i="55"/>
  <c r="B51" i="55"/>
  <c r="B50" i="55"/>
  <c r="B49" i="55"/>
  <c r="B48" i="55"/>
  <c r="B47" i="55"/>
  <c r="B46" i="55"/>
  <c r="B45" i="55"/>
  <c r="B44" i="55"/>
  <c r="B43" i="55"/>
  <c r="B42" i="55"/>
  <c r="B41" i="55"/>
  <c r="B40" i="55"/>
  <c r="B39" i="55"/>
  <c r="B38" i="55"/>
  <c r="B37" i="55"/>
  <c r="B36" i="55"/>
  <c r="B35" i="55"/>
  <c r="B34" i="55"/>
  <c r="B33" i="55"/>
  <c r="B32" i="55"/>
  <c r="B31" i="55"/>
  <c r="B30" i="55"/>
  <c r="B26" i="55"/>
  <c r="B25" i="55"/>
  <c r="B24" i="55"/>
  <c r="B23" i="55"/>
  <c r="B22" i="55"/>
  <c r="B21" i="55"/>
  <c r="B12" i="55"/>
  <c r="B11" i="55"/>
  <c r="B10" i="55"/>
  <c r="B9" i="55"/>
  <c r="B8" i="55"/>
  <c r="B7" i="55"/>
  <c r="B6" i="55"/>
  <c r="BC4" i="69"/>
  <c r="E14" i="70"/>
  <c r="D14" i="70"/>
  <c r="C14" i="70"/>
  <c r="B14" i="70"/>
  <c r="E7" i="70"/>
  <c r="D7" i="70"/>
  <c r="C7" i="70"/>
  <c r="B7" i="70"/>
  <c r="CB32" i="122" l="1"/>
  <c r="CB21" i="122"/>
  <c r="CB23" i="122" s="1"/>
  <c r="AU8" i="78"/>
  <c r="CB25" i="122" l="1"/>
  <c r="D58" i="14"/>
  <c r="CB37" i="122" l="1"/>
  <c r="CB38" i="122" s="1"/>
  <c r="CB27" i="122"/>
  <c r="L45" i="56"/>
  <c r="CB31" i="122" l="1"/>
  <c r="CB33" i="122" s="1"/>
  <c r="CB39" i="122" s="1"/>
  <c r="DP28" i="69"/>
  <c r="CI22" i="69" l="1"/>
  <c r="CI10" i="69"/>
  <c r="CI19" i="69"/>
  <c r="G126" i="127" s="1"/>
  <c r="H126" i="127" s="1"/>
  <c r="CI7" i="69"/>
  <c r="G81" i="127" s="1"/>
  <c r="H81" i="127" s="1"/>
  <c r="CI4" i="69" l="1"/>
  <c r="CH18" i="69"/>
  <c r="CI17" i="69"/>
  <c r="CJ7" i="69"/>
  <c r="CE4" i="69"/>
  <c r="CI20" i="69" l="1"/>
  <c r="G126" i="56"/>
  <c r="G81" i="56"/>
  <c r="CI8" i="69"/>
  <c r="CI21" i="69"/>
  <c r="CJ19" i="69"/>
  <c r="CJ30" i="69" l="1"/>
  <c r="CI9" i="69"/>
  <c r="T82" i="14" l="1"/>
  <c r="W15" i="1" s="1"/>
  <c r="V82" i="14"/>
  <c r="AW22" i="93"/>
  <c r="W189" i="1" l="1"/>
  <c r="E74" i="60"/>
  <c r="N115" i="1" l="1"/>
  <c r="A9" i="64" l="1"/>
  <c r="F5" i="89" l="1"/>
  <c r="F10" i="89" l="1"/>
  <c r="C80" i="60"/>
  <c r="B91" i="78"/>
  <c r="B91" i="95"/>
  <c r="B91" i="76"/>
  <c r="B91" i="93"/>
  <c r="B91" i="63"/>
  <c r="D41" i="57" l="1"/>
  <c r="A7" i="73" l="1"/>
  <c r="A8" i="73" l="1"/>
  <c r="A9" i="73" s="1"/>
  <c r="N114" i="14"/>
  <c r="A10" i="73" l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K52" i="85"/>
  <c r="L52" i="85" s="1"/>
  <c r="D8" i="89"/>
  <c r="A22" i="73" l="1"/>
  <c r="A23" i="73" s="1"/>
  <c r="A24" i="73" s="1"/>
  <c r="A25" i="73" s="1"/>
  <c r="A26" i="73" s="1"/>
  <c r="A27" i="73" s="1"/>
  <c r="A28" i="73" s="1"/>
  <c r="A29" i="73" s="1"/>
  <c r="F31" i="73"/>
  <c r="D49" i="73"/>
  <c r="D48" i="73"/>
  <c r="D51" i="73" s="1"/>
  <c r="D7" i="89"/>
  <c r="F20" i="69"/>
  <c r="A30" i="73" l="1"/>
  <c r="A31" i="73" s="1"/>
  <c r="A32" i="73" s="1"/>
  <c r="A33" i="73" s="1"/>
  <c r="A34" i="73" s="1"/>
  <c r="A35" i="73" s="1"/>
  <c r="A36" i="73" s="1"/>
  <c r="A37" i="73" s="1"/>
  <c r="A38" i="73" s="1"/>
  <c r="AV8" i="78"/>
  <c r="AU9" i="63" l="1"/>
  <c r="AU10" i="63"/>
  <c r="I61" i="57" l="1"/>
  <c r="I45" i="92"/>
  <c r="I47" i="92" l="1"/>
  <c r="W91" i="63" l="1"/>
  <c r="AU9" i="78" l="1"/>
  <c r="AW9" i="78" s="1"/>
  <c r="AU10" i="77"/>
  <c r="AW10" i="77" s="1"/>
  <c r="AU9" i="77"/>
  <c r="AU8" i="77"/>
  <c r="AU9" i="76"/>
  <c r="AU10" i="76"/>
  <c r="AA3" i="65" l="1"/>
  <c r="AO79" i="77"/>
  <c r="AI70" i="77"/>
  <c r="AJ70" i="77"/>
  <c r="AK70" i="77"/>
  <c r="AL70" i="77"/>
  <c r="AM70" i="77"/>
  <c r="AN70" i="77"/>
  <c r="AJ79" i="77"/>
  <c r="AJ80" i="77"/>
  <c r="AN80" i="77"/>
  <c r="AJ82" i="77"/>
  <c r="AN82" i="77"/>
  <c r="AP37" i="103"/>
  <c r="AQ37" i="103"/>
  <c r="AR37" i="103"/>
  <c r="AS37" i="103"/>
  <c r="AT37" i="103"/>
  <c r="AT31" i="103"/>
  <c r="AL12" i="103"/>
  <c r="AM12" i="103"/>
  <c r="AN12" i="103"/>
  <c r="AO12" i="103"/>
  <c r="AP12" i="103"/>
  <c r="AQ12" i="103"/>
  <c r="AR12" i="103"/>
  <c r="AS12" i="103"/>
  <c r="AT12" i="103"/>
  <c r="AL13" i="103"/>
  <c r="AM13" i="103"/>
  <c r="AN13" i="103"/>
  <c r="AO13" i="103"/>
  <c r="AP13" i="103"/>
  <c r="AQ13" i="103"/>
  <c r="AR13" i="103"/>
  <c r="AS13" i="103"/>
  <c r="AT13" i="103"/>
  <c r="AL14" i="103"/>
  <c r="AM14" i="103"/>
  <c r="AN14" i="103"/>
  <c r="AO14" i="103"/>
  <c r="AP14" i="103"/>
  <c r="AQ14" i="103"/>
  <c r="AR14" i="103"/>
  <c r="AS14" i="103"/>
  <c r="AT14" i="103"/>
  <c r="AL15" i="103"/>
  <c r="AM15" i="103"/>
  <c r="AN15" i="103"/>
  <c r="AO15" i="103"/>
  <c r="AP15" i="103"/>
  <c r="AQ15" i="103"/>
  <c r="AR15" i="103"/>
  <c r="AS15" i="103"/>
  <c r="AT15" i="103"/>
  <c r="AL16" i="103"/>
  <c r="AM16" i="103"/>
  <c r="AN16" i="103"/>
  <c r="AO16" i="103"/>
  <c r="AP16" i="103"/>
  <c r="AQ16" i="103"/>
  <c r="AR16" i="103"/>
  <c r="AS16" i="103"/>
  <c r="AT16" i="103"/>
  <c r="AL17" i="103"/>
  <c r="AM17" i="103"/>
  <c r="AN17" i="103"/>
  <c r="AO17" i="103"/>
  <c r="AP17" i="103"/>
  <c r="AQ17" i="103"/>
  <c r="AR17" i="103"/>
  <c r="AS17" i="103"/>
  <c r="AT17" i="103"/>
  <c r="AL18" i="103"/>
  <c r="AM18" i="103"/>
  <c r="AN18" i="103"/>
  <c r="AO18" i="103"/>
  <c r="AP18" i="103"/>
  <c r="AQ18" i="103"/>
  <c r="AR18" i="103"/>
  <c r="AS18" i="103"/>
  <c r="AT18" i="103"/>
  <c r="AL19" i="103"/>
  <c r="AM19" i="103"/>
  <c r="AN19" i="103"/>
  <c r="AO19" i="103"/>
  <c r="AP19" i="103"/>
  <c r="AQ19" i="103"/>
  <c r="AR19" i="103"/>
  <c r="AS19" i="103"/>
  <c r="AT19" i="103"/>
  <c r="AL20" i="103"/>
  <c r="AM20" i="103"/>
  <c r="AN20" i="103"/>
  <c r="AO20" i="103"/>
  <c r="AP20" i="103"/>
  <c r="AQ20" i="103"/>
  <c r="AR20" i="103"/>
  <c r="AS20" i="103"/>
  <c r="AT20" i="103"/>
  <c r="AL21" i="103"/>
  <c r="AM21" i="103"/>
  <c r="AN21" i="103"/>
  <c r="AO21" i="103"/>
  <c r="AP21" i="103"/>
  <c r="AQ21" i="103"/>
  <c r="AR21" i="103"/>
  <c r="AS21" i="103"/>
  <c r="AT21" i="103"/>
  <c r="AL23" i="103"/>
  <c r="AM23" i="103"/>
  <c r="AN23" i="103"/>
  <c r="AO23" i="103"/>
  <c r="AS23" i="103"/>
  <c r="AL24" i="103"/>
  <c r="AM24" i="103"/>
  <c r="AN24" i="103"/>
  <c r="AO24" i="103"/>
  <c r="AP24" i="103"/>
  <c r="AQ24" i="103"/>
  <c r="AR24" i="103"/>
  <c r="AS24" i="103"/>
  <c r="AT24" i="103"/>
  <c r="AL25" i="103"/>
  <c r="AM25" i="103"/>
  <c r="AN25" i="103"/>
  <c r="AO25" i="103"/>
  <c r="AP25" i="103"/>
  <c r="AQ25" i="103"/>
  <c r="AR25" i="103"/>
  <c r="AS25" i="103"/>
  <c r="AT25" i="103"/>
  <c r="AL26" i="103"/>
  <c r="AM26" i="103"/>
  <c r="AL8" i="103"/>
  <c r="AM8" i="103"/>
  <c r="AN8" i="103"/>
  <c r="AO8" i="103"/>
  <c r="AP8" i="103"/>
  <c r="AQ8" i="103"/>
  <c r="AR8" i="103"/>
  <c r="AS8" i="103"/>
  <c r="AT8" i="103"/>
  <c r="AL9" i="103"/>
  <c r="AM9" i="103"/>
  <c r="AN9" i="103"/>
  <c r="AO9" i="103"/>
  <c r="AP9" i="103"/>
  <c r="AQ9" i="103"/>
  <c r="AR9" i="103"/>
  <c r="AS9" i="103"/>
  <c r="AT9" i="103"/>
  <c r="AL10" i="103"/>
  <c r="AM10" i="103"/>
  <c r="AN10" i="103"/>
  <c r="AO10" i="103"/>
  <c r="AP10" i="103"/>
  <c r="AQ10" i="103"/>
  <c r="AR10" i="103"/>
  <c r="AS10" i="103"/>
  <c r="AT10" i="103"/>
  <c r="C12" i="104"/>
  <c r="D12" i="104"/>
  <c r="E12" i="104"/>
  <c r="F12" i="104"/>
  <c r="G12" i="104"/>
  <c r="H12" i="104"/>
  <c r="I12" i="104"/>
  <c r="J12" i="104"/>
  <c r="K12" i="104"/>
  <c r="L12" i="104"/>
  <c r="M12" i="104"/>
  <c r="N12" i="104"/>
  <c r="O12" i="104"/>
  <c r="P12" i="104"/>
  <c r="Q12" i="104"/>
  <c r="R12" i="104"/>
  <c r="S12" i="104"/>
  <c r="T12" i="104"/>
  <c r="U12" i="104"/>
  <c r="V12" i="104"/>
  <c r="W12" i="104"/>
  <c r="X12" i="104"/>
  <c r="Y12" i="104"/>
  <c r="Z12" i="104"/>
  <c r="AA12" i="104"/>
  <c r="AB12" i="104"/>
  <c r="AC12" i="104"/>
  <c r="AD12" i="104"/>
  <c r="AE12" i="104"/>
  <c r="AF12" i="104"/>
  <c r="AG12" i="104"/>
  <c r="AH12" i="104"/>
  <c r="AI12" i="104"/>
  <c r="AJ12" i="104"/>
  <c r="AK12" i="104"/>
  <c r="AL12" i="104"/>
  <c r="AM12" i="104"/>
  <c r="AN12" i="104"/>
  <c r="AO12" i="104"/>
  <c r="B12" i="104"/>
  <c r="H9" i="104"/>
  <c r="I9" i="104"/>
  <c r="J9" i="104"/>
  <c r="K9" i="104"/>
  <c r="L9" i="104"/>
  <c r="M9" i="104"/>
  <c r="N9" i="104"/>
  <c r="O9" i="104"/>
  <c r="P9" i="104"/>
  <c r="Q9" i="104"/>
  <c r="R9" i="104"/>
  <c r="S9" i="104"/>
  <c r="T9" i="104"/>
  <c r="U9" i="104"/>
  <c r="V9" i="104"/>
  <c r="W9" i="104"/>
  <c r="X9" i="104"/>
  <c r="Y9" i="104"/>
  <c r="Z9" i="104"/>
  <c r="AA9" i="104"/>
  <c r="AB9" i="104"/>
  <c r="AC9" i="104"/>
  <c r="AD9" i="104"/>
  <c r="AE9" i="104"/>
  <c r="AF9" i="104"/>
  <c r="AG9" i="104"/>
  <c r="AH9" i="104"/>
  <c r="AI9" i="104"/>
  <c r="AJ9" i="104"/>
  <c r="AK9" i="104"/>
  <c r="AL9" i="104"/>
  <c r="AM9" i="104"/>
  <c r="AN9" i="104"/>
  <c r="AO9" i="104"/>
  <c r="AP9" i="104"/>
  <c r="AQ9" i="104"/>
  <c r="AR9" i="104"/>
  <c r="AS9" i="104"/>
  <c r="AT9" i="104"/>
  <c r="AU9" i="104"/>
  <c r="G9" i="104"/>
  <c r="AJ81" i="77" l="1"/>
  <c r="AJ83" i="77" s="1"/>
  <c r="C31" i="103" l="1"/>
  <c r="D31" i="103"/>
  <c r="E31" i="103"/>
  <c r="F31" i="103"/>
  <c r="G31" i="103"/>
  <c r="H31" i="103"/>
  <c r="I31" i="103"/>
  <c r="J31" i="103"/>
  <c r="K31" i="103"/>
  <c r="L31" i="103"/>
  <c r="M31" i="103"/>
  <c r="N31" i="103"/>
  <c r="O31" i="103"/>
  <c r="P31" i="103"/>
  <c r="Q31" i="103"/>
  <c r="R31" i="103"/>
  <c r="C32" i="103"/>
  <c r="D32" i="103"/>
  <c r="E32" i="103"/>
  <c r="F32" i="103"/>
  <c r="G32" i="103"/>
  <c r="H32" i="103"/>
  <c r="I32" i="103"/>
  <c r="J32" i="103"/>
  <c r="K32" i="103"/>
  <c r="L32" i="103"/>
  <c r="M32" i="103"/>
  <c r="N32" i="103"/>
  <c r="O32" i="103"/>
  <c r="P32" i="103"/>
  <c r="Q32" i="103"/>
  <c r="R32" i="103"/>
  <c r="AN123" i="103"/>
  <c r="AJ123" i="103"/>
  <c r="AG123" i="103"/>
  <c r="AE123" i="103"/>
  <c r="AC123" i="103"/>
  <c r="Y123" i="103"/>
  <c r="W123" i="103"/>
  <c r="V123" i="103"/>
  <c r="S123" i="103"/>
  <c r="R123" i="103"/>
  <c r="Q123" i="103"/>
  <c r="X122" i="103"/>
  <c r="AN121" i="103"/>
  <c r="AJ121" i="103"/>
  <c r="AG121" i="103"/>
  <c r="AE121" i="103"/>
  <c r="AC121" i="103"/>
  <c r="Y121" i="103"/>
  <c r="W121" i="103"/>
  <c r="V121" i="103"/>
  <c r="S121" i="103"/>
  <c r="R121" i="103"/>
  <c r="Q121" i="103"/>
  <c r="B114" i="103"/>
  <c r="C114" i="103" s="1"/>
  <c r="C115" i="103" s="1"/>
  <c r="E101" i="103"/>
  <c r="C101" i="103"/>
  <c r="E100" i="103"/>
  <c r="C100" i="103"/>
  <c r="F99" i="103"/>
  <c r="E99" i="103"/>
  <c r="D99" i="103"/>
  <c r="C99" i="103"/>
  <c r="AV58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C56" i="103"/>
  <c r="B56" i="103"/>
  <c r="A56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C55" i="103"/>
  <c r="B55" i="103"/>
  <c r="A55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C54" i="103"/>
  <c r="B54" i="103"/>
  <c r="A54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C53" i="103"/>
  <c r="B53" i="103"/>
  <c r="A53" i="103"/>
  <c r="R52" i="103"/>
  <c r="Q52" i="103"/>
  <c r="P52" i="103"/>
  <c r="O52" i="103"/>
  <c r="N52" i="103"/>
  <c r="M52" i="103"/>
  <c r="L52" i="103"/>
  <c r="K52" i="103"/>
  <c r="J52" i="103"/>
  <c r="I52" i="103"/>
  <c r="H52" i="103"/>
  <c r="G52" i="103"/>
  <c r="F52" i="103"/>
  <c r="E52" i="103"/>
  <c r="D52" i="103"/>
  <c r="C52" i="103"/>
  <c r="B52" i="103"/>
  <c r="A52" i="103"/>
  <c r="R51" i="103"/>
  <c r="Q51" i="103"/>
  <c r="P51" i="103"/>
  <c r="O51" i="103"/>
  <c r="N51" i="103"/>
  <c r="M51" i="103"/>
  <c r="L51" i="103"/>
  <c r="K51" i="103"/>
  <c r="J51" i="103"/>
  <c r="I51" i="103"/>
  <c r="H51" i="103"/>
  <c r="G51" i="103"/>
  <c r="F51" i="103"/>
  <c r="E51" i="103"/>
  <c r="D51" i="103"/>
  <c r="C51" i="103"/>
  <c r="B51" i="103"/>
  <c r="A51" i="103"/>
  <c r="R50" i="103"/>
  <c r="Q50" i="103"/>
  <c r="P50" i="103"/>
  <c r="O50" i="103"/>
  <c r="N50" i="103"/>
  <c r="M50" i="103"/>
  <c r="L50" i="103"/>
  <c r="K50" i="103"/>
  <c r="J50" i="103"/>
  <c r="I50" i="103"/>
  <c r="H50" i="103"/>
  <c r="G50" i="103"/>
  <c r="F50" i="103"/>
  <c r="E50" i="103"/>
  <c r="D50" i="103"/>
  <c r="C50" i="103"/>
  <c r="B50" i="103"/>
  <c r="R49" i="103"/>
  <c r="Q49" i="103"/>
  <c r="P49" i="103"/>
  <c r="O49" i="103"/>
  <c r="N49" i="103"/>
  <c r="M49" i="103"/>
  <c r="L49" i="103"/>
  <c r="K49" i="103"/>
  <c r="J49" i="103"/>
  <c r="I49" i="103"/>
  <c r="H49" i="103"/>
  <c r="G49" i="103"/>
  <c r="F49" i="103"/>
  <c r="E49" i="103"/>
  <c r="D49" i="103"/>
  <c r="C49" i="103"/>
  <c r="B49" i="103"/>
  <c r="A49" i="103"/>
  <c r="R48" i="103"/>
  <c r="Q48" i="103"/>
  <c r="P48" i="103"/>
  <c r="O48" i="103"/>
  <c r="N48" i="103"/>
  <c r="M48" i="103"/>
  <c r="L48" i="103"/>
  <c r="K48" i="103"/>
  <c r="J48" i="103"/>
  <c r="I48" i="103"/>
  <c r="H48" i="103"/>
  <c r="G48" i="103"/>
  <c r="F48" i="103"/>
  <c r="E48" i="103"/>
  <c r="D48" i="103"/>
  <c r="C48" i="103"/>
  <c r="B48" i="103"/>
  <c r="A48" i="103"/>
  <c r="R47" i="103"/>
  <c r="Q47" i="103"/>
  <c r="P47" i="103"/>
  <c r="O47" i="103"/>
  <c r="N47" i="103"/>
  <c r="M47" i="103"/>
  <c r="L47" i="103"/>
  <c r="K47" i="103"/>
  <c r="J47" i="103"/>
  <c r="I47" i="103"/>
  <c r="H47" i="103"/>
  <c r="G47" i="103"/>
  <c r="F47" i="103"/>
  <c r="E47" i="103"/>
  <c r="D47" i="103"/>
  <c r="C47" i="103"/>
  <c r="B47" i="103"/>
  <c r="A47" i="103"/>
  <c r="R46" i="103"/>
  <c r="Q46" i="103"/>
  <c r="P46" i="103"/>
  <c r="O46" i="103"/>
  <c r="N46" i="103"/>
  <c r="M46" i="103"/>
  <c r="L46" i="103"/>
  <c r="K46" i="103"/>
  <c r="J46" i="103"/>
  <c r="I46" i="103"/>
  <c r="H46" i="103"/>
  <c r="G46" i="103"/>
  <c r="F46" i="103"/>
  <c r="E46" i="103"/>
  <c r="D46" i="103"/>
  <c r="C46" i="103"/>
  <c r="B46" i="103"/>
  <c r="A46" i="103"/>
  <c r="R45" i="103"/>
  <c r="Q45" i="103"/>
  <c r="P45" i="103"/>
  <c r="O45" i="103"/>
  <c r="N45" i="103"/>
  <c r="M45" i="103"/>
  <c r="L45" i="103"/>
  <c r="K45" i="103"/>
  <c r="J45" i="103"/>
  <c r="I45" i="103"/>
  <c r="H45" i="103"/>
  <c r="G45" i="103"/>
  <c r="F45" i="103"/>
  <c r="E45" i="103"/>
  <c r="D45" i="103"/>
  <c r="C45" i="103"/>
  <c r="B45" i="103"/>
  <c r="A45" i="103"/>
  <c r="R44" i="103"/>
  <c r="Q44" i="103"/>
  <c r="P44" i="103"/>
  <c r="O44" i="103"/>
  <c r="N44" i="103"/>
  <c r="M44" i="103"/>
  <c r="L44" i="103"/>
  <c r="K44" i="103"/>
  <c r="J44" i="103"/>
  <c r="I44" i="103"/>
  <c r="H44" i="103"/>
  <c r="G44" i="103"/>
  <c r="F44" i="103"/>
  <c r="E44" i="103"/>
  <c r="D44" i="103"/>
  <c r="C44" i="103"/>
  <c r="B44" i="103"/>
  <c r="A44" i="103"/>
  <c r="R43" i="103"/>
  <c r="Q43" i="103"/>
  <c r="P43" i="103"/>
  <c r="O43" i="103"/>
  <c r="N43" i="103"/>
  <c r="M43" i="103"/>
  <c r="L43" i="103"/>
  <c r="K43" i="103"/>
  <c r="J43" i="103"/>
  <c r="I43" i="103"/>
  <c r="H43" i="103"/>
  <c r="G43" i="103"/>
  <c r="F43" i="103"/>
  <c r="E43" i="103"/>
  <c r="D43" i="103"/>
  <c r="C43" i="103"/>
  <c r="B43" i="103"/>
  <c r="A43" i="103"/>
  <c r="R42" i="103"/>
  <c r="Q42" i="103"/>
  <c r="P42" i="103"/>
  <c r="O42" i="103"/>
  <c r="N42" i="103"/>
  <c r="M42" i="103"/>
  <c r="L42" i="103"/>
  <c r="K42" i="103"/>
  <c r="J42" i="103"/>
  <c r="I42" i="103"/>
  <c r="H42" i="103"/>
  <c r="G42" i="103"/>
  <c r="F42" i="103"/>
  <c r="E42" i="103"/>
  <c r="D42" i="103"/>
  <c r="C42" i="103"/>
  <c r="B42" i="103"/>
  <c r="A42" i="103"/>
  <c r="B32" i="103"/>
  <c r="B31" i="103"/>
  <c r="E30" i="103"/>
  <c r="D30" i="103"/>
  <c r="C30" i="103"/>
  <c r="B30" i="103"/>
  <c r="AK26" i="103"/>
  <c r="AJ26" i="103"/>
  <c r="AI26" i="103"/>
  <c r="AH26" i="103"/>
  <c r="AG26" i="103"/>
  <c r="AF26" i="103"/>
  <c r="AE26" i="103"/>
  <c r="AD26" i="103"/>
  <c r="AC26" i="103"/>
  <c r="AB26" i="103"/>
  <c r="AA26" i="103"/>
  <c r="Z26" i="103"/>
  <c r="Y26" i="103"/>
  <c r="X26" i="103"/>
  <c r="W26" i="103"/>
  <c r="V26" i="103"/>
  <c r="U26" i="103"/>
  <c r="T26" i="103"/>
  <c r="S26" i="103"/>
  <c r="R26" i="103"/>
  <c r="Q26" i="103"/>
  <c r="P26" i="103"/>
  <c r="O26" i="103"/>
  <c r="N26" i="103"/>
  <c r="M26" i="103"/>
  <c r="L26" i="103"/>
  <c r="K26" i="103"/>
  <c r="J26" i="103"/>
  <c r="I26" i="103"/>
  <c r="H26" i="103"/>
  <c r="G26" i="103"/>
  <c r="F26" i="103"/>
  <c r="E26" i="103"/>
  <c r="D26" i="103"/>
  <c r="C26" i="103"/>
  <c r="B26" i="103"/>
  <c r="AZ25" i="103"/>
  <c r="AK25" i="103"/>
  <c r="AJ25" i="103"/>
  <c r="AI25" i="103"/>
  <c r="AH25" i="103"/>
  <c r="AG25" i="103"/>
  <c r="AF25" i="103"/>
  <c r="AE25" i="103"/>
  <c r="AD25" i="103"/>
  <c r="AC25" i="103"/>
  <c r="AB25" i="103"/>
  <c r="AA25" i="103"/>
  <c r="Z25" i="103"/>
  <c r="Y25" i="103"/>
  <c r="X25" i="103"/>
  <c r="W25" i="103"/>
  <c r="V25" i="103"/>
  <c r="U25" i="103"/>
  <c r="T25" i="103"/>
  <c r="S25" i="103"/>
  <c r="R25" i="103"/>
  <c r="Q25" i="103"/>
  <c r="P25" i="103"/>
  <c r="O25" i="103"/>
  <c r="N25" i="103"/>
  <c r="M25" i="103"/>
  <c r="L25" i="103"/>
  <c r="K25" i="103"/>
  <c r="J25" i="103"/>
  <c r="I25" i="103"/>
  <c r="H25" i="103"/>
  <c r="G25" i="103"/>
  <c r="F25" i="103"/>
  <c r="E25" i="103"/>
  <c r="D25" i="103"/>
  <c r="C25" i="103"/>
  <c r="B25" i="103"/>
  <c r="AK24" i="103"/>
  <c r="AJ24" i="103"/>
  <c r="AI24" i="103"/>
  <c r="AH24" i="103"/>
  <c r="AG24" i="103"/>
  <c r="AF24" i="103"/>
  <c r="AE24" i="103"/>
  <c r="AD24" i="103"/>
  <c r="AC24" i="103"/>
  <c r="AB24" i="103"/>
  <c r="AA24" i="103"/>
  <c r="Z24" i="103"/>
  <c r="Y24" i="103"/>
  <c r="X24" i="103"/>
  <c r="W24" i="103"/>
  <c r="V24" i="103"/>
  <c r="U24" i="103"/>
  <c r="T24" i="103"/>
  <c r="S24" i="103"/>
  <c r="R24" i="103"/>
  <c r="Q24" i="103"/>
  <c r="P24" i="103"/>
  <c r="O24" i="103"/>
  <c r="N24" i="103"/>
  <c r="M24" i="103"/>
  <c r="L24" i="103"/>
  <c r="K24" i="103"/>
  <c r="J24" i="103"/>
  <c r="I24" i="103"/>
  <c r="H24" i="103"/>
  <c r="G24" i="103"/>
  <c r="F24" i="103"/>
  <c r="E24" i="103"/>
  <c r="D24" i="103"/>
  <c r="C24" i="103"/>
  <c r="B24" i="103"/>
  <c r="AK23" i="103"/>
  <c r="AJ23" i="103"/>
  <c r="AI23" i="103"/>
  <c r="AH23" i="103"/>
  <c r="AF23" i="103"/>
  <c r="AE23" i="103"/>
  <c r="AD23" i="103"/>
  <c r="AC23" i="103"/>
  <c r="AB23" i="103"/>
  <c r="AA23" i="103"/>
  <c r="Z23" i="103"/>
  <c r="Y23" i="103"/>
  <c r="X23" i="103"/>
  <c r="W23" i="103"/>
  <c r="V23" i="103"/>
  <c r="U23" i="103"/>
  <c r="T23" i="103"/>
  <c r="S23" i="103"/>
  <c r="R23" i="103"/>
  <c r="Q23" i="103"/>
  <c r="P23" i="103"/>
  <c r="O23" i="103"/>
  <c r="N23" i="103"/>
  <c r="M23" i="103"/>
  <c r="L23" i="103"/>
  <c r="K23" i="103"/>
  <c r="J23" i="103"/>
  <c r="I23" i="103"/>
  <c r="H23" i="103"/>
  <c r="G23" i="103"/>
  <c r="F23" i="103"/>
  <c r="E23" i="103"/>
  <c r="D23" i="103"/>
  <c r="C23" i="103"/>
  <c r="B23" i="103"/>
  <c r="AJ22" i="103"/>
  <c r="S22" i="103"/>
  <c r="R22" i="103"/>
  <c r="Q22" i="103"/>
  <c r="P22" i="103"/>
  <c r="O22" i="103"/>
  <c r="N22" i="103"/>
  <c r="M22" i="103"/>
  <c r="L22" i="103"/>
  <c r="K22" i="103"/>
  <c r="J22" i="103"/>
  <c r="I22" i="103"/>
  <c r="H22" i="103"/>
  <c r="G22" i="103"/>
  <c r="F22" i="103"/>
  <c r="E22" i="103"/>
  <c r="D22" i="103"/>
  <c r="C22" i="103"/>
  <c r="B22" i="103"/>
  <c r="AK21" i="103"/>
  <c r="AJ21" i="103"/>
  <c r="AI21" i="103"/>
  <c r="AH21" i="103"/>
  <c r="AG21" i="103"/>
  <c r="AF21" i="103"/>
  <c r="AE21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B21" i="103"/>
  <c r="AK20" i="103"/>
  <c r="AJ20" i="103"/>
  <c r="AI20" i="103"/>
  <c r="AH20" i="103"/>
  <c r="AG20" i="103"/>
  <c r="AF20" i="103"/>
  <c r="AE20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B20" i="103"/>
  <c r="AK19" i="103"/>
  <c r="AJ19" i="103"/>
  <c r="AI19" i="103"/>
  <c r="AH19" i="103"/>
  <c r="AG19" i="103"/>
  <c r="AF19" i="103"/>
  <c r="AE19" i="103"/>
  <c r="AD19" i="103"/>
  <c r="AC19" i="103"/>
  <c r="AB19" i="103"/>
  <c r="AA19" i="103"/>
  <c r="Z19" i="103"/>
  <c r="Y19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B19" i="103"/>
  <c r="AK18" i="103"/>
  <c r="AJ18" i="103"/>
  <c r="AI18" i="103"/>
  <c r="AH18" i="103"/>
  <c r="AG18" i="103"/>
  <c r="AF18" i="103"/>
  <c r="AE18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R18" i="103"/>
  <c r="Q18" i="103"/>
  <c r="P18" i="103"/>
  <c r="O18" i="103"/>
  <c r="N18" i="103"/>
  <c r="M18" i="103"/>
  <c r="L18" i="103"/>
  <c r="K18" i="103"/>
  <c r="J18" i="103"/>
  <c r="I18" i="103"/>
  <c r="H18" i="103"/>
  <c r="G18" i="103"/>
  <c r="F18" i="103"/>
  <c r="E18" i="103"/>
  <c r="D18" i="103"/>
  <c r="C18" i="103"/>
  <c r="B18" i="103"/>
  <c r="BB17" i="103"/>
  <c r="AK17" i="103"/>
  <c r="AJ17" i="103"/>
  <c r="AI17" i="103"/>
  <c r="AH17" i="103"/>
  <c r="AG17" i="103"/>
  <c r="AF17" i="103"/>
  <c r="AE17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R17" i="103"/>
  <c r="Q17" i="103"/>
  <c r="P17" i="103"/>
  <c r="O17" i="103"/>
  <c r="N17" i="103"/>
  <c r="M17" i="103"/>
  <c r="L17" i="103"/>
  <c r="K17" i="103"/>
  <c r="J17" i="103"/>
  <c r="I17" i="103"/>
  <c r="H17" i="103"/>
  <c r="G17" i="103"/>
  <c r="F17" i="103"/>
  <c r="E17" i="103"/>
  <c r="D17" i="103"/>
  <c r="C17" i="103"/>
  <c r="B17" i="103"/>
  <c r="AK16" i="103"/>
  <c r="AJ16" i="103"/>
  <c r="AI16" i="103"/>
  <c r="AH16" i="103"/>
  <c r="AG16" i="103"/>
  <c r="AF16" i="103"/>
  <c r="AE16" i="103"/>
  <c r="AD16" i="103"/>
  <c r="AC16" i="103"/>
  <c r="Z16" i="103"/>
  <c r="Y16" i="103"/>
  <c r="X16" i="103"/>
  <c r="W16" i="103"/>
  <c r="V16" i="103"/>
  <c r="U16" i="103"/>
  <c r="T16" i="103"/>
  <c r="S16" i="103"/>
  <c r="R16" i="103"/>
  <c r="Q16" i="103"/>
  <c r="P16" i="103"/>
  <c r="O16" i="103"/>
  <c r="N16" i="103"/>
  <c r="M16" i="103"/>
  <c r="L16" i="103"/>
  <c r="K16" i="103"/>
  <c r="J16" i="103"/>
  <c r="I16" i="103"/>
  <c r="H16" i="103"/>
  <c r="G16" i="103"/>
  <c r="F16" i="103"/>
  <c r="E16" i="103"/>
  <c r="D16" i="103"/>
  <c r="C16" i="103"/>
  <c r="B16" i="103"/>
  <c r="AK15" i="103"/>
  <c r="AJ15" i="103"/>
  <c r="AI15" i="103"/>
  <c r="AH15" i="103"/>
  <c r="AG15" i="103"/>
  <c r="AF15" i="103"/>
  <c r="AE15" i="103"/>
  <c r="AD15" i="103"/>
  <c r="AC15" i="103"/>
  <c r="AB15" i="103"/>
  <c r="AA15" i="103"/>
  <c r="Z15" i="103"/>
  <c r="Y15" i="103"/>
  <c r="X15" i="103"/>
  <c r="W15" i="103"/>
  <c r="V15" i="103"/>
  <c r="U15" i="103"/>
  <c r="T15" i="103"/>
  <c r="S15" i="103"/>
  <c r="R15" i="103"/>
  <c r="Q15" i="103"/>
  <c r="P15" i="103"/>
  <c r="O15" i="103"/>
  <c r="N15" i="103"/>
  <c r="M15" i="103"/>
  <c r="L15" i="103"/>
  <c r="K15" i="103"/>
  <c r="J15" i="103"/>
  <c r="I15" i="103"/>
  <c r="H15" i="103"/>
  <c r="G15" i="103"/>
  <c r="F15" i="103"/>
  <c r="E15" i="103"/>
  <c r="D15" i="103"/>
  <c r="C15" i="103"/>
  <c r="B15" i="103"/>
  <c r="AK14" i="103"/>
  <c r="AJ14" i="103"/>
  <c r="AI14" i="103"/>
  <c r="AH14" i="103"/>
  <c r="AG14" i="103"/>
  <c r="AF14" i="103"/>
  <c r="AE14" i="103"/>
  <c r="AD14" i="103"/>
  <c r="AC14" i="103"/>
  <c r="AB14" i="103"/>
  <c r="AA14" i="103"/>
  <c r="Z14" i="103"/>
  <c r="Y14" i="103"/>
  <c r="X14" i="103"/>
  <c r="W14" i="103"/>
  <c r="V14" i="103"/>
  <c r="U14" i="103"/>
  <c r="T14" i="103"/>
  <c r="S14" i="103"/>
  <c r="R14" i="103"/>
  <c r="Q14" i="103"/>
  <c r="P14" i="103"/>
  <c r="O14" i="103"/>
  <c r="N14" i="103"/>
  <c r="M14" i="103"/>
  <c r="L14" i="103"/>
  <c r="K14" i="103"/>
  <c r="J14" i="103"/>
  <c r="I14" i="103"/>
  <c r="H14" i="103"/>
  <c r="G14" i="103"/>
  <c r="F14" i="103"/>
  <c r="E14" i="103"/>
  <c r="D14" i="103"/>
  <c r="C14" i="103"/>
  <c r="B14" i="103"/>
  <c r="AK13" i="103"/>
  <c r="AJ13" i="103"/>
  <c r="AI13" i="103"/>
  <c r="AH13" i="103"/>
  <c r="AG13" i="103"/>
  <c r="AF13" i="103"/>
  <c r="AE13" i="103"/>
  <c r="AD13" i="103"/>
  <c r="AC13" i="103"/>
  <c r="AB13" i="103"/>
  <c r="AA13" i="103"/>
  <c r="Z13" i="103"/>
  <c r="Y13" i="103"/>
  <c r="X13" i="103"/>
  <c r="W13" i="103"/>
  <c r="V13" i="103"/>
  <c r="U13" i="103"/>
  <c r="T13" i="103"/>
  <c r="S13" i="103"/>
  <c r="R13" i="103"/>
  <c r="Q13" i="103"/>
  <c r="P13" i="103"/>
  <c r="O13" i="103"/>
  <c r="N13" i="103"/>
  <c r="M13" i="103"/>
  <c r="L13" i="103"/>
  <c r="K13" i="103"/>
  <c r="J13" i="103"/>
  <c r="I13" i="103"/>
  <c r="H13" i="103"/>
  <c r="G13" i="103"/>
  <c r="F13" i="103"/>
  <c r="E13" i="103"/>
  <c r="D13" i="103"/>
  <c r="C13" i="103"/>
  <c r="B13" i="103"/>
  <c r="AK12" i="103"/>
  <c r="AJ12" i="103"/>
  <c r="AI12" i="103"/>
  <c r="AH12" i="103"/>
  <c r="AG12" i="103"/>
  <c r="AF12" i="103"/>
  <c r="AE12" i="103"/>
  <c r="AD12" i="103"/>
  <c r="AC12" i="103"/>
  <c r="AB12" i="103"/>
  <c r="AA12" i="103"/>
  <c r="Z12" i="103"/>
  <c r="Y12" i="103"/>
  <c r="X12" i="103"/>
  <c r="W12" i="103"/>
  <c r="V12" i="103"/>
  <c r="U12" i="103"/>
  <c r="T12" i="103"/>
  <c r="S12" i="103"/>
  <c r="R12" i="103"/>
  <c r="Q12" i="103"/>
  <c r="P12" i="103"/>
  <c r="O12" i="103"/>
  <c r="N12" i="103"/>
  <c r="M12" i="103"/>
  <c r="L12" i="103"/>
  <c r="K12" i="103"/>
  <c r="J12" i="103"/>
  <c r="I12" i="103"/>
  <c r="H12" i="103"/>
  <c r="G12" i="103"/>
  <c r="F12" i="103"/>
  <c r="E12" i="103"/>
  <c r="D12" i="103"/>
  <c r="C12" i="103"/>
  <c r="B12" i="103"/>
  <c r="AK10" i="103"/>
  <c r="AJ10" i="103"/>
  <c r="AI10" i="103"/>
  <c r="AH10" i="103"/>
  <c r="AG10" i="103"/>
  <c r="AF10" i="103"/>
  <c r="AE10" i="103"/>
  <c r="AD10" i="103"/>
  <c r="AC10" i="103"/>
  <c r="AB10" i="103"/>
  <c r="AA10" i="103"/>
  <c r="Z10" i="103"/>
  <c r="Y10" i="103"/>
  <c r="X10" i="103"/>
  <c r="W10" i="103"/>
  <c r="V10" i="103"/>
  <c r="U10" i="103"/>
  <c r="T10" i="103"/>
  <c r="S10" i="103"/>
  <c r="AK9" i="103"/>
  <c r="AJ9" i="103"/>
  <c r="AI9" i="103"/>
  <c r="AH9" i="103"/>
  <c r="AG9" i="103"/>
  <c r="AF9" i="103"/>
  <c r="AE9" i="103"/>
  <c r="AD9" i="103"/>
  <c r="AC9" i="103"/>
  <c r="AB9" i="103"/>
  <c r="AA9" i="103"/>
  <c r="Z9" i="103"/>
  <c r="Y9" i="103"/>
  <c r="X9" i="103"/>
  <c r="W9" i="103"/>
  <c r="V9" i="103"/>
  <c r="U9" i="103"/>
  <c r="T9" i="103"/>
  <c r="S9" i="103"/>
  <c r="AK8" i="103"/>
  <c r="AJ8" i="103"/>
  <c r="AI8" i="103"/>
  <c r="AH8" i="103"/>
  <c r="AG8" i="103"/>
  <c r="AF8" i="103"/>
  <c r="AE8" i="103"/>
  <c r="AD8" i="103"/>
  <c r="AC8" i="103"/>
  <c r="AB8" i="103"/>
  <c r="AA8" i="103"/>
  <c r="Z8" i="103"/>
  <c r="Y8" i="103"/>
  <c r="X8" i="103"/>
  <c r="W8" i="103"/>
  <c r="V8" i="103"/>
  <c r="U8" i="103"/>
  <c r="T8" i="103"/>
  <c r="S8" i="103"/>
  <c r="R8" i="103"/>
  <c r="Q8" i="103"/>
  <c r="P8" i="103"/>
  <c r="O8" i="103"/>
  <c r="N8" i="103"/>
  <c r="M8" i="103"/>
  <c r="L8" i="103"/>
  <c r="K8" i="103"/>
  <c r="J8" i="103"/>
  <c r="I8" i="103"/>
  <c r="H8" i="103"/>
  <c r="G8" i="103"/>
  <c r="F8" i="103"/>
  <c r="E8" i="103"/>
  <c r="D8" i="103"/>
  <c r="C8" i="103"/>
  <c r="B8" i="103"/>
  <c r="W7" i="103"/>
  <c r="V7" i="103"/>
  <c r="U7" i="103"/>
  <c r="T7" i="103"/>
  <c r="S7" i="103"/>
  <c r="R7" i="103"/>
  <c r="Q7" i="103"/>
  <c r="P7" i="103"/>
  <c r="O7" i="103"/>
  <c r="N7" i="103"/>
  <c r="M7" i="103"/>
  <c r="L7" i="103"/>
  <c r="K7" i="103"/>
  <c r="J7" i="103"/>
  <c r="I7" i="103"/>
  <c r="H7" i="103"/>
  <c r="G7" i="103"/>
  <c r="F7" i="103"/>
  <c r="E7" i="103"/>
  <c r="D7" i="103"/>
  <c r="C7" i="103"/>
  <c r="B7" i="103"/>
  <c r="C5" i="103"/>
  <c r="D5" i="103" s="1"/>
  <c r="E5" i="103" s="1"/>
  <c r="F5" i="103" s="1"/>
  <c r="G5" i="103" s="1"/>
  <c r="H5" i="103" s="1"/>
  <c r="I5" i="103" s="1"/>
  <c r="J5" i="103" s="1"/>
  <c r="K5" i="103" s="1"/>
  <c r="L5" i="103" s="1"/>
  <c r="M5" i="103" s="1"/>
  <c r="N5" i="103" s="1"/>
  <c r="O5" i="103" s="1"/>
  <c r="P5" i="103" s="1"/>
  <c r="Q5" i="103" s="1"/>
  <c r="R5" i="103" s="1"/>
  <c r="S5" i="103" s="1"/>
  <c r="T5" i="103" s="1"/>
  <c r="U5" i="103" s="1"/>
  <c r="V5" i="103" s="1"/>
  <c r="W5" i="103" s="1"/>
  <c r="X5" i="103" s="1"/>
  <c r="Y5" i="103" s="1"/>
  <c r="Z5" i="103" s="1"/>
  <c r="AA5" i="103" s="1"/>
  <c r="AB5" i="103" s="1"/>
  <c r="AC5" i="103" s="1"/>
  <c r="AD5" i="103" s="1"/>
  <c r="AE5" i="103" s="1"/>
  <c r="AF5" i="103" s="1"/>
  <c r="AG5" i="103" s="1"/>
  <c r="AH5" i="103" s="1"/>
  <c r="AI5" i="103" s="1"/>
  <c r="AJ5" i="103" s="1"/>
  <c r="AK5" i="103" s="1"/>
  <c r="AL5" i="103" s="1"/>
  <c r="AM5" i="103" s="1"/>
  <c r="AN5" i="103" s="1"/>
  <c r="AG4" i="103"/>
  <c r="AH4" i="103" s="1"/>
  <c r="AI4" i="103" s="1"/>
  <c r="AJ4" i="103" s="1"/>
  <c r="AK4" i="103" s="1"/>
  <c r="AL4" i="103" s="1"/>
  <c r="AM4" i="103" s="1"/>
  <c r="AN4" i="103" s="1"/>
  <c r="T4" i="103"/>
  <c r="U4" i="103" s="1"/>
  <c r="V4" i="103" s="1"/>
  <c r="W4" i="103" s="1"/>
  <c r="X4" i="103" s="1"/>
  <c r="Y4" i="103" s="1"/>
  <c r="Z4" i="103" s="1"/>
  <c r="AA4" i="103" s="1"/>
  <c r="AB4" i="103" s="1"/>
  <c r="AC4" i="103" s="1"/>
  <c r="AD4" i="103" s="1"/>
  <c r="AE4" i="103" s="1"/>
  <c r="R4" i="103"/>
  <c r="Q4" i="103" s="1"/>
  <c r="P4" i="103" s="1"/>
  <c r="O4" i="103" s="1"/>
  <c r="N4" i="103" s="1"/>
  <c r="M4" i="103" s="1"/>
  <c r="L4" i="103" s="1"/>
  <c r="K4" i="103" s="1"/>
  <c r="J4" i="103" s="1"/>
  <c r="I4" i="103" s="1"/>
  <c r="H4" i="103" s="1"/>
  <c r="G4" i="103" s="1"/>
  <c r="F4" i="103" s="1"/>
  <c r="E4" i="103" s="1"/>
  <c r="D4" i="103" s="1"/>
  <c r="C4" i="103" s="1"/>
  <c r="B4" i="103" s="1"/>
  <c r="AK3" i="103"/>
  <c r="AH3" i="103"/>
  <c r="AH111" i="103" s="1"/>
  <c r="AF3" i="103"/>
  <c r="AF111" i="103" s="1"/>
  <c r="AD3" i="103"/>
  <c r="AD111" i="103" s="1"/>
  <c r="Z3" i="103"/>
  <c r="AA3" i="103" s="1"/>
  <c r="AB3" i="103" s="1"/>
  <c r="AC3" i="103" s="1"/>
  <c r="X3" i="103"/>
  <c r="X111" i="103" s="1"/>
  <c r="W3" i="103"/>
  <c r="W111" i="103" s="1"/>
  <c r="T3" i="103"/>
  <c r="T111" i="103" s="1"/>
  <c r="S3" i="103"/>
  <c r="S111" i="103" s="1"/>
  <c r="R3" i="103"/>
  <c r="R111" i="103" s="1"/>
  <c r="B3" i="103"/>
  <c r="C3" i="103" s="1"/>
  <c r="C2" i="103"/>
  <c r="D2" i="103" s="1"/>
  <c r="E2" i="103" s="1"/>
  <c r="F2" i="103" s="1"/>
  <c r="G2" i="103" s="1"/>
  <c r="H2" i="103" s="1"/>
  <c r="I2" i="103" s="1"/>
  <c r="J2" i="103" s="1"/>
  <c r="K2" i="103" s="1"/>
  <c r="L2" i="103" s="1"/>
  <c r="M2" i="103" s="1"/>
  <c r="N2" i="103" s="1"/>
  <c r="O2" i="103" s="1"/>
  <c r="P2" i="103" s="1"/>
  <c r="Q2" i="103" s="1"/>
  <c r="R2" i="103" s="1"/>
  <c r="S2" i="103" s="1"/>
  <c r="T2" i="103" s="1"/>
  <c r="U2" i="103" s="1"/>
  <c r="V2" i="103" s="1"/>
  <c r="W2" i="103" s="1"/>
  <c r="X2" i="103" s="1"/>
  <c r="Y2" i="103" s="1"/>
  <c r="Z2" i="103" s="1"/>
  <c r="AA2" i="103" s="1"/>
  <c r="AB2" i="103" s="1"/>
  <c r="AC2" i="103" s="1"/>
  <c r="AD2" i="103" s="1"/>
  <c r="AE2" i="103" s="1"/>
  <c r="AF2" i="103" s="1"/>
  <c r="AG2" i="103" s="1"/>
  <c r="AH2" i="103" s="1"/>
  <c r="AI2" i="103" s="1"/>
  <c r="AJ2" i="103" s="1"/>
  <c r="AK2" i="103" s="1"/>
  <c r="AL2" i="103" s="1"/>
  <c r="AM2" i="103" s="1"/>
  <c r="AN2" i="103" s="1"/>
  <c r="E33" i="103" l="1"/>
  <c r="E36" i="103" s="1"/>
  <c r="B33" i="103"/>
  <c r="B36" i="103" s="1"/>
  <c r="F11" i="103"/>
  <c r="F27" i="103" s="1"/>
  <c r="D33" i="103"/>
  <c r="D36" i="103" s="1"/>
  <c r="C33" i="103"/>
  <c r="C36" i="103" s="1"/>
  <c r="B115" i="103"/>
  <c r="E11" i="103"/>
  <c r="E27" i="103" s="1"/>
  <c r="M11" i="103"/>
  <c r="M27" i="103" s="1"/>
  <c r="C11" i="103"/>
  <c r="C27" i="103" s="1"/>
  <c r="D11" i="103"/>
  <c r="D27" i="103" s="1"/>
  <c r="N11" i="103"/>
  <c r="N27" i="103" s="1"/>
  <c r="G11" i="103"/>
  <c r="G27" i="103" s="1"/>
  <c r="T11" i="103"/>
  <c r="H11" i="103"/>
  <c r="H27" i="103" s="1"/>
  <c r="P11" i="103"/>
  <c r="P27" i="103" s="1"/>
  <c r="O11" i="103"/>
  <c r="O27" i="103" s="1"/>
  <c r="L11" i="103"/>
  <c r="L27" i="103" s="1"/>
  <c r="AU13" i="103"/>
  <c r="AU17" i="103"/>
  <c r="AU24" i="103"/>
  <c r="E102" i="103"/>
  <c r="J11" i="103"/>
  <c r="J27" i="103" s="1"/>
  <c r="I11" i="103"/>
  <c r="I27" i="103" s="1"/>
  <c r="AU12" i="103"/>
  <c r="B11" i="103"/>
  <c r="B27" i="103" s="1"/>
  <c r="AE3" i="103"/>
  <c r="AE111" i="103" s="1"/>
  <c r="K11" i="103"/>
  <c r="K27" i="103" s="1"/>
  <c r="AU15" i="103"/>
  <c r="S11" i="103"/>
  <c r="S27" i="103" s="1"/>
  <c r="Z111" i="103"/>
  <c r="R11" i="103"/>
  <c r="R27" i="103" s="1"/>
  <c r="AU21" i="103"/>
  <c r="AU25" i="103"/>
  <c r="AU8" i="103"/>
  <c r="Q11" i="103"/>
  <c r="Q27" i="103" s="1"/>
  <c r="U11" i="103"/>
  <c r="AU14" i="103"/>
  <c r="AI3" i="103"/>
  <c r="AI111" i="103" s="1"/>
  <c r="V11" i="103"/>
  <c r="AU9" i="103"/>
  <c r="C111" i="103"/>
  <c r="D3" i="103"/>
  <c r="AA111" i="103"/>
  <c r="AB111" i="103" s="1"/>
  <c r="AC111" i="103" s="1"/>
  <c r="U3" i="103"/>
  <c r="B111" i="103"/>
  <c r="AL3" i="103"/>
  <c r="AK111" i="103"/>
  <c r="AU20" i="103"/>
  <c r="Y3" i="103"/>
  <c r="Y111" i="103" s="1"/>
  <c r="AU19" i="103"/>
  <c r="AG3" i="103"/>
  <c r="AG111" i="103" s="1"/>
  <c r="AU10" i="103"/>
  <c r="W11" i="103"/>
  <c r="AU18" i="103"/>
  <c r="D114" i="103"/>
  <c r="AJ3" i="103" l="1"/>
  <c r="AJ111" i="103" s="1"/>
  <c r="E114" i="103"/>
  <c r="D115" i="103"/>
  <c r="D111" i="103"/>
  <c r="E3" i="103"/>
  <c r="AL111" i="103"/>
  <c r="AM3" i="103"/>
  <c r="V3" i="103"/>
  <c r="V111" i="103" s="1"/>
  <c r="U111" i="103"/>
  <c r="AM111" i="103" l="1"/>
  <c r="AN3" i="103"/>
  <c r="AN111" i="103" s="1"/>
  <c r="F3" i="103"/>
  <c r="E111" i="103"/>
  <c r="F114" i="103"/>
  <c r="E115" i="103"/>
  <c r="F111" i="103" l="1"/>
  <c r="G3" i="103"/>
  <c r="G114" i="103"/>
  <c r="F115" i="103"/>
  <c r="G111" i="103" l="1"/>
  <c r="H3" i="103"/>
  <c r="H114" i="103"/>
  <c r="G115" i="103"/>
  <c r="H111" i="103" l="1"/>
  <c r="I3" i="103"/>
  <c r="I114" i="103"/>
  <c r="H115" i="103"/>
  <c r="J114" i="103" l="1"/>
  <c r="I115" i="103"/>
  <c r="I111" i="103"/>
  <c r="J3" i="103"/>
  <c r="J111" i="103" l="1"/>
  <c r="K3" i="103"/>
  <c r="J115" i="103"/>
  <c r="K114" i="103"/>
  <c r="K115" i="103" l="1"/>
  <c r="L114" i="103"/>
  <c r="K111" i="103"/>
  <c r="L3" i="103"/>
  <c r="L111" i="103" l="1"/>
  <c r="M3" i="103"/>
  <c r="M114" i="103"/>
  <c r="L115" i="103"/>
  <c r="N114" i="103" l="1"/>
  <c r="M115" i="103"/>
  <c r="N3" i="103"/>
  <c r="M111" i="103"/>
  <c r="N111" i="103" l="1"/>
  <c r="O3" i="103"/>
  <c r="O114" i="103"/>
  <c r="N115" i="103"/>
  <c r="P114" i="103" l="1"/>
  <c r="O115" i="103"/>
  <c r="O111" i="103"/>
  <c r="P3" i="103"/>
  <c r="P111" i="103" l="1"/>
  <c r="Q3" i="103"/>
  <c r="Q111" i="103" s="1"/>
  <c r="Q114" i="103"/>
  <c r="P115" i="103"/>
  <c r="R114" i="103" l="1"/>
  <c r="Q115" i="103"/>
  <c r="R115" i="103" l="1"/>
  <c r="S114" i="103"/>
  <c r="Q120" i="103"/>
  <c r="Q122" i="103" s="1"/>
  <c r="Q124" i="103" s="1"/>
  <c r="S115" i="103" l="1"/>
  <c r="T114" i="103"/>
  <c r="R120" i="103"/>
  <c r="R122" i="103" s="1"/>
  <c r="R124" i="103" s="1"/>
  <c r="R116" i="103"/>
  <c r="U114" i="103" l="1"/>
  <c r="T115" i="103"/>
  <c r="T120" i="103"/>
  <c r="S116" i="103"/>
  <c r="S120" i="103"/>
  <c r="S122" i="103" s="1"/>
  <c r="S124" i="103" s="1"/>
  <c r="S117" i="103"/>
  <c r="C117" i="103"/>
  <c r="B117" i="103"/>
  <c r="D117" i="103"/>
  <c r="E117" i="103"/>
  <c r="F117" i="103"/>
  <c r="G117" i="103"/>
  <c r="H117" i="103"/>
  <c r="I117" i="103"/>
  <c r="J117" i="103"/>
  <c r="K117" i="103"/>
  <c r="L117" i="103"/>
  <c r="M117" i="103"/>
  <c r="N117" i="103"/>
  <c r="O117" i="103"/>
  <c r="P117" i="103"/>
  <c r="Q117" i="103"/>
  <c r="R117" i="103"/>
  <c r="V114" i="103" l="1"/>
  <c r="U120" i="103"/>
  <c r="U115" i="103"/>
  <c r="V120" i="103" l="1"/>
  <c r="V122" i="103" s="1"/>
  <c r="V124" i="103" s="1"/>
  <c r="V115" i="103"/>
  <c r="V116" i="103" l="1"/>
  <c r="T117" i="103" l="1"/>
  <c r="U117" i="103"/>
  <c r="V117" i="103"/>
  <c r="AP20" i="69" l="1"/>
  <c r="AT23" i="103" l="1"/>
  <c r="E59" i="57" l="1"/>
  <c r="D33" i="73"/>
  <c r="AV25" i="93"/>
  <c r="W64" i="14" l="1"/>
  <c r="B68" i="14"/>
  <c r="W65" i="14" l="1"/>
  <c r="Y65" i="14" s="1"/>
  <c r="B47" i="3"/>
  <c r="AC22" i="103"/>
  <c r="AD22" i="103"/>
  <c r="AF22" i="103"/>
  <c r="AG23" i="103"/>
  <c r="AG22" i="103"/>
  <c r="AH22" i="103"/>
  <c r="AI22" i="103"/>
  <c r="AK22" i="103"/>
  <c r="AL22" i="103"/>
  <c r="AM22" i="103"/>
  <c r="AP23" i="103"/>
  <c r="AQ23" i="103"/>
  <c r="AR23" i="103"/>
  <c r="AT30" i="77"/>
  <c r="AS30" i="77"/>
  <c r="AR30" i="77"/>
  <c r="AQ30" i="77"/>
  <c r="AU23" i="103" l="1"/>
  <c r="AB22" i="103"/>
  <c r="AB16" i="103"/>
  <c r="AA16" i="103"/>
  <c r="AA22" i="103"/>
  <c r="Z22" i="103"/>
  <c r="Y22" i="103"/>
  <c r="X22" i="103"/>
  <c r="W22" i="103"/>
  <c r="W27" i="103" s="1"/>
  <c r="V22" i="103"/>
  <c r="V27" i="103" s="1"/>
  <c r="U22" i="103"/>
  <c r="U27" i="103" s="1"/>
  <c r="T22" i="103"/>
  <c r="AU16" i="103" l="1"/>
  <c r="T27" i="103"/>
  <c r="D7" i="52" l="1"/>
  <c r="AF89" i="1" s="1"/>
  <c r="E7" i="52" s="1"/>
  <c r="AF18" i="1"/>
  <c r="AH18" i="1" s="1"/>
  <c r="AH89" i="1" l="1"/>
  <c r="C36" i="78"/>
  <c r="C39" i="78" s="1"/>
  <c r="D36" i="78"/>
  <c r="D39" i="78" s="1"/>
  <c r="E36" i="78"/>
  <c r="E39" i="78" s="1"/>
  <c r="B36" i="78"/>
  <c r="B39" i="78" s="1"/>
  <c r="C36" i="77"/>
  <c r="C39" i="77" s="1"/>
  <c r="D36" i="77"/>
  <c r="D39" i="77" s="1"/>
  <c r="E36" i="77"/>
  <c r="E39" i="77" s="1"/>
  <c r="B36" i="77"/>
  <c r="B39" i="77" s="1"/>
  <c r="C36" i="95"/>
  <c r="C39" i="95" s="1"/>
  <c r="D36" i="95"/>
  <c r="D39" i="95" s="1"/>
  <c r="E36" i="95"/>
  <c r="E39" i="95" s="1"/>
  <c r="B36" i="95"/>
  <c r="B39" i="95" s="1"/>
  <c r="A40" i="95"/>
  <c r="C36" i="76"/>
  <c r="C39" i="76" s="1"/>
  <c r="D36" i="76"/>
  <c r="D39" i="76" s="1"/>
  <c r="E36" i="76"/>
  <c r="E39" i="76" s="1"/>
  <c r="B36" i="76"/>
  <c r="B39" i="76" s="1"/>
  <c r="AJ186" i="1" l="1"/>
  <c r="C36" i="93"/>
  <c r="C39" i="93" s="1"/>
  <c r="D36" i="93"/>
  <c r="D39" i="93" s="1"/>
  <c r="E36" i="93"/>
  <c r="E39" i="93" s="1"/>
  <c r="B36" i="93"/>
  <c r="B39" i="93" s="1"/>
  <c r="C36" i="63"/>
  <c r="C39" i="63" s="1"/>
  <c r="D36" i="63"/>
  <c r="D39" i="63" s="1"/>
  <c r="E36" i="63"/>
  <c r="E39" i="63" s="1"/>
  <c r="B36" i="63"/>
  <c r="B39" i="63" s="1"/>
  <c r="Y7" i="97"/>
  <c r="Z7" i="97"/>
  <c r="AA7" i="97"/>
  <c r="X7" i="97"/>
  <c r="X10" i="97" l="1"/>
  <c r="W10" i="97"/>
  <c r="V10" i="97"/>
  <c r="U10" i="97"/>
  <c r="T10" i="97"/>
  <c r="S10" i="97"/>
  <c r="Y9" i="97"/>
  <c r="X9" i="97"/>
  <c r="W9" i="97"/>
  <c r="V9" i="97"/>
  <c r="U9" i="97"/>
  <c r="T9" i="97"/>
  <c r="W8" i="97"/>
  <c r="V8" i="97"/>
  <c r="U8" i="97"/>
  <c r="T8" i="97"/>
  <c r="S8" i="97"/>
  <c r="W7" i="97"/>
  <c r="C36" i="98" l="1"/>
  <c r="D36" i="98"/>
  <c r="E36" i="98"/>
  <c r="B36" i="98"/>
  <c r="D33" i="97" l="1"/>
  <c r="D36" i="97" s="1"/>
  <c r="E33" i="97"/>
  <c r="E36" i="97" s="1"/>
  <c r="F33" i="97"/>
  <c r="F36" i="97" s="1"/>
  <c r="AD5" i="81" l="1"/>
  <c r="Y7" i="102" l="1"/>
  <c r="Z7" i="102"/>
  <c r="AA7" i="102"/>
  <c r="X7" i="102"/>
  <c r="H30" i="102"/>
  <c r="I30" i="102"/>
  <c r="J30" i="102"/>
  <c r="G30" i="102"/>
  <c r="H30" i="101"/>
  <c r="I30" i="101"/>
  <c r="J30" i="101"/>
  <c r="G30" i="101"/>
  <c r="Y7" i="101"/>
  <c r="Z7" i="101"/>
  <c r="AA7" i="101"/>
  <c r="X7" i="101"/>
  <c r="H30" i="100"/>
  <c r="I30" i="100"/>
  <c r="J30" i="100"/>
  <c r="G30" i="100"/>
  <c r="Y7" i="100"/>
  <c r="Z7" i="100"/>
  <c r="AA7" i="100"/>
  <c r="X7" i="100"/>
  <c r="H30" i="99"/>
  <c r="I30" i="99"/>
  <c r="J30" i="99"/>
  <c r="G30" i="99"/>
  <c r="Y7" i="99"/>
  <c r="Z7" i="99"/>
  <c r="AA7" i="99"/>
  <c r="X7" i="99"/>
  <c r="H30" i="98"/>
  <c r="I30" i="98"/>
  <c r="J30" i="98"/>
  <c r="G30" i="98"/>
  <c r="Y7" i="98"/>
  <c r="Z7" i="98"/>
  <c r="AA7" i="98"/>
  <c r="AB7" i="98"/>
  <c r="AC7" i="98"/>
  <c r="AD7" i="98"/>
  <c r="AE7" i="98"/>
  <c r="AF7" i="98"/>
  <c r="X7" i="98"/>
  <c r="AU18" i="97"/>
  <c r="AU12" i="97"/>
  <c r="AU13" i="97"/>
  <c r="AU14" i="97"/>
  <c r="AW31" i="97"/>
  <c r="AV28" i="97"/>
  <c r="H30" i="97"/>
  <c r="H33" i="97" s="1"/>
  <c r="H36" i="97" s="1"/>
  <c r="I30" i="97"/>
  <c r="I33" i="97" s="1"/>
  <c r="I36" i="97" s="1"/>
  <c r="J30" i="97"/>
  <c r="J33" i="97" s="1"/>
  <c r="J36" i="97" s="1"/>
  <c r="G30" i="97"/>
  <c r="G33" i="97" s="1"/>
  <c r="G36" i="97" s="1"/>
  <c r="X7" i="103" l="1"/>
  <c r="X11" i="103" s="1"/>
  <c r="Z7" i="103"/>
  <c r="Y7" i="103"/>
  <c r="AW32" i="97"/>
  <c r="W114" i="103" l="1"/>
  <c r="W115" i="103" s="1"/>
  <c r="W120" i="103" s="1"/>
  <c r="W122" i="103" s="1"/>
  <c r="W124" i="103" s="1"/>
  <c r="X27" i="103"/>
  <c r="Z11" i="103"/>
  <c r="Z27" i="103" s="1"/>
  <c r="Y11" i="103"/>
  <c r="Y27" i="103" s="1"/>
  <c r="W116" i="103" l="1"/>
  <c r="W117" i="103" s="1"/>
  <c r="C33" i="102" l="1"/>
  <c r="C36" i="102" s="1"/>
  <c r="D33" i="102"/>
  <c r="D36" i="102" s="1"/>
  <c r="E33" i="102"/>
  <c r="E36" i="102" s="1"/>
  <c r="B33" i="102"/>
  <c r="B36" i="102" s="1"/>
  <c r="B84" i="102"/>
  <c r="C84" i="102" s="1"/>
  <c r="D84" i="102" s="1"/>
  <c r="AN83" i="102"/>
  <c r="AM83" i="102"/>
  <c r="AL83" i="102"/>
  <c r="AK83" i="102"/>
  <c r="AJ83" i="102"/>
  <c r="AI83" i="102"/>
  <c r="AH83" i="102"/>
  <c r="AG83" i="102"/>
  <c r="AF83" i="102"/>
  <c r="AE83" i="102"/>
  <c r="AD83" i="102"/>
  <c r="AC83" i="102"/>
  <c r="AB83" i="102"/>
  <c r="AA83" i="102"/>
  <c r="Z83" i="102"/>
  <c r="Y83" i="102"/>
  <c r="X83" i="102"/>
  <c r="W83" i="102"/>
  <c r="V83" i="102"/>
  <c r="U83" i="102"/>
  <c r="T83" i="102"/>
  <c r="S83" i="102"/>
  <c r="R82" i="102"/>
  <c r="Q82" i="102"/>
  <c r="P82" i="102"/>
  <c r="O82" i="102"/>
  <c r="N82" i="102"/>
  <c r="M82" i="102"/>
  <c r="L82" i="102"/>
  <c r="K82" i="102"/>
  <c r="J82" i="102"/>
  <c r="I82" i="102"/>
  <c r="H82" i="102"/>
  <c r="G82" i="102"/>
  <c r="F82" i="102"/>
  <c r="E82" i="102"/>
  <c r="D82" i="102"/>
  <c r="C82" i="102"/>
  <c r="B82" i="102"/>
  <c r="AP75" i="102"/>
  <c r="AN75" i="102"/>
  <c r="AJ75" i="102"/>
  <c r="AG75" i="102"/>
  <c r="AE75" i="102"/>
  <c r="AC75" i="102"/>
  <c r="Y75" i="102"/>
  <c r="W75" i="102"/>
  <c r="V75" i="102"/>
  <c r="S75" i="102"/>
  <c r="R75" i="102"/>
  <c r="Q75" i="102"/>
  <c r="X74" i="102"/>
  <c r="AN73" i="102"/>
  <c r="AJ73" i="102"/>
  <c r="AG73" i="102"/>
  <c r="AE73" i="102"/>
  <c r="AC73" i="102"/>
  <c r="Y73" i="102"/>
  <c r="W73" i="102"/>
  <c r="V73" i="102"/>
  <c r="S73" i="102"/>
  <c r="R73" i="102"/>
  <c r="Q73" i="102"/>
  <c r="Y72" i="102"/>
  <c r="B66" i="102"/>
  <c r="B67" i="102" s="1"/>
  <c r="AN63" i="102"/>
  <c r="AM63" i="102"/>
  <c r="AL63" i="102"/>
  <c r="AK63" i="102"/>
  <c r="AJ63" i="102"/>
  <c r="AI63" i="102"/>
  <c r="AH63" i="102"/>
  <c r="AG63" i="102"/>
  <c r="AF63" i="102"/>
  <c r="AE63" i="102"/>
  <c r="AD63" i="102"/>
  <c r="AA63" i="102"/>
  <c r="AB63" i="102" s="1"/>
  <c r="AC63" i="102" s="1"/>
  <c r="Z63" i="102"/>
  <c r="Y63" i="102"/>
  <c r="X63" i="102"/>
  <c r="W63" i="102"/>
  <c r="V63" i="102"/>
  <c r="U63" i="102"/>
  <c r="T63" i="102"/>
  <c r="S63" i="102"/>
  <c r="R63" i="102"/>
  <c r="Q63" i="102"/>
  <c r="P63" i="102"/>
  <c r="O63" i="102"/>
  <c r="N63" i="102"/>
  <c r="M63" i="102"/>
  <c r="L63" i="102"/>
  <c r="K63" i="102"/>
  <c r="J63" i="102"/>
  <c r="I63" i="102"/>
  <c r="H63" i="102"/>
  <c r="G63" i="102"/>
  <c r="F63" i="102"/>
  <c r="E63" i="102"/>
  <c r="D63" i="102"/>
  <c r="C63" i="102"/>
  <c r="B63" i="102"/>
  <c r="B58" i="102"/>
  <c r="A43" i="102"/>
  <c r="AV30" i="102"/>
  <c r="J33" i="102"/>
  <c r="I33" i="102"/>
  <c r="H33" i="102"/>
  <c r="G33" i="102"/>
  <c r="F33" i="102"/>
  <c r="AV28" i="102"/>
  <c r="AT27" i="102"/>
  <c r="AS27" i="102"/>
  <c r="AR27" i="102"/>
  <c r="AQ27" i="102"/>
  <c r="AQ25" i="102"/>
  <c r="AP25" i="102"/>
  <c r="AO25" i="102"/>
  <c r="AN25" i="102"/>
  <c r="A25" i="102"/>
  <c r="A54" i="102" s="1"/>
  <c r="AV24" i="102"/>
  <c r="AU24" i="102"/>
  <c r="A24" i="102"/>
  <c r="A53" i="102" s="1"/>
  <c r="AV23" i="102"/>
  <c r="AU23" i="102"/>
  <c r="A23" i="102"/>
  <c r="A52" i="102" s="1"/>
  <c r="AV22" i="102"/>
  <c r="AP22" i="102"/>
  <c r="AO22" i="102"/>
  <c r="AN22" i="102"/>
  <c r="AM22" i="102"/>
  <c r="A22" i="102"/>
  <c r="A51" i="102" s="1"/>
  <c r="AP21" i="102"/>
  <c r="AO21" i="102"/>
  <c r="AN21" i="102"/>
  <c r="AM21" i="102"/>
  <c r="AL21" i="102"/>
  <c r="AK21" i="102"/>
  <c r="AJ21" i="102"/>
  <c r="AI21" i="102"/>
  <c r="AH21" i="102"/>
  <c r="AG21" i="102"/>
  <c r="AF21" i="102"/>
  <c r="AE21" i="102"/>
  <c r="AD21" i="102"/>
  <c r="AB21" i="102"/>
  <c r="AA21" i="102"/>
  <c r="Z21" i="102"/>
  <c r="Y21" i="102"/>
  <c r="X21" i="102"/>
  <c r="W21" i="102"/>
  <c r="V21" i="102"/>
  <c r="U21" i="102"/>
  <c r="T21" i="102"/>
  <c r="S21" i="102"/>
  <c r="A21" i="102"/>
  <c r="A50" i="102" s="1"/>
  <c r="AV20" i="102"/>
  <c r="AF20" i="102"/>
  <c r="AE20" i="102"/>
  <c r="AD20" i="102"/>
  <c r="AC20" i="102"/>
  <c r="A20" i="102"/>
  <c r="A49" i="102" s="1"/>
  <c r="AU19" i="102"/>
  <c r="A19" i="102"/>
  <c r="A48" i="102" s="1"/>
  <c r="AU18" i="102"/>
  <c r="AW18" i="102" s="1"/>
  <c r="A18" i="102"/>
  <c r="A47" i="102" s="1"/>
  <c r="AU17" i="102"/>
  <c r="AW17" i="102" s="1"/>
  <c r="A17" i="102"/>
  <c r="A46" i="102" s="1"/>
  <c r="AV16" i="102"/>
  <c r="AA16" i="102"/>
  <c r="Z16" i="102"/>
  <c r="A16" i="102"/>
  <c r="A45" i="102" s="1"/>
  <c r="AV15" i="102"/>
  <c r="Z15" i="102"/>
  <c r="Y15" i="102"/>
  <c r="X15" i="102"/>
  <c r="A15" i="102"/>
  <c r="A44" i="102" s="1"/>
  <c r="AV14" i="102"/>
  <c r="AU14" i="102"/>
  <c r="AV13" i="102"/>
  <c r="AA13" i="102"/>
  <c r="A13" i="102"/>
  <c r="A42" i="102" s="1"/>
  <c r="AV12" i="102"/>
  <c r="AU12" i="102"/>
  <c r="A12" i="102"/>
  <c r="A41" i="102" s="1"/>
  <c r="R11" i="102"/>
  <c r="R26" i="102" s="1"/>
  <c r="Q11" i="102"/>
  <c r="Q26" i="102" s="1"/>
  <c r="P11" i="102"/>
  <c r="P26" i="102" s="1"/>
  <c r="O11" i="102"/>
  <c r="O26" i="102" s="1"/>
  <c r="N11" i="102"/>
  <c r="N26" i="102" s="1"/>
  <c r="M11" i="102"/>
  <c r="M26" i="102" s="1"/>
  <c r="L11" i="102"/>
  <c r="L26" i="102" s="1"/>
  <c r="K11" i="102"/>
  <c r="K26" i="102" s="1"/>
  <c r="J11" i="102"/>
  <c r="J26" i="102" s="1"/>
  <c r="I11" i="102"/>
  <c r="I26" i="102" s="1"/>
  <c r="H11" i="102"/>
  <c r="H26" i="102" s="1"/>
  <c r="G11" i="102"/>
  <c r="G26" i="102" s="1"/>
  <c r="F11" i="102"/>
  <c r="F26" i="102" s="1"/>
  <c r="E11" i="102"/>
  <c r="E26" i="102" s="1"/>
  <c r="D11" i="102"/>
  <c r="D26" i="102" s="1"/>
  <c r="C11" i="102"/>
  <c r="C26" i="102" s="1"/>
  <c r="B11" i="102"/>
  <c r="B26" i="102" s="1"/>
  <c r="AV10" i="102"/>
  <c r="AQ10" i="102"/>
  <c r="AP10" i="102"/>
  <c r="AO10" i="102"/>
  <c r="AD10" i="102"/>
  <c r="Y10" i="102"/>
  <c r="X10" i="102"/>
  <c r="W10" i="102"/>
  <c r="AV9" i="102"/>
  <c r="AP9" i="102"/>
  <c r="AO9" i="102"/>
  <c r="AN9" i="102"/>
  <c r="AC9" i="102"/>
  <c r="W9" i="102"/>
  <c r="AV8" i="102"/>
  <c r="W8" i="102"/>
  <c r="V8" i="102"/>
  <c r="V11" i="102" s="1"/>
  <c r="U8" i="102"/>
  <c r="U11" i="102" s="1"/>
  <c r="T8" i="102"/>
  <c r="T11" i="102" s="1"/>
  <c r="S8" i="102"/>
  <c r="S11" i="102" s="1"/>
  <c r="AA11" i="102"/>
  <c r="AS5" i="102"/>
  <c r="AR5" i="102"/>
  <c r="AQ5" i="102"/>
  <c r="AP5" i="102"/>
  <c r="AO5" i="102"/>
  <c r="AM5" i="102"/>
  <c r="AL5" i="102"/>
  <c r="AK5" i="102"/>
  <c r="AJ5" i="102"/>
  <c r="AI5" i="102"/>
  <c r="AH5" i="102"/>
  <c r="AG5" i="102"/>
  <c r="AF5" i="102"/>
  <c r="AE5" i="102"/>
  <c r="AD5" i="102"/>
  <c r="AC5" i="102"/>
  <c r="AB5" i="102"/>
  <c r="AA5" i="102"/>
  <c r="Z5" i="102"/>
  <c r="Y5" i="102"/>
  <c r="X5" i="102"/>
  <c r="W5" i="102"/>
  <c r="V5" i="102"/>
  <c r="U5" i="102"/>
  <c r="T5" i="102"/>
  <c r="S5" i="102"/>
  <c r="R5" i="102"/>
  <c r="Q5" i="102"/>
  <c r="P5" i="102"/>
  <c r="O5" i="102"/>
  <c r="N5" i="102"/>
  <c r="M5" i="102"/>
  <c r="L5" i="102"/>
  <c r="K5" i="102"/>
  <c r="J5" i="102"/>
  <c r="I5" i="102"/>
  <c r="H5" i="102"/>
  <c r="G5" i="102"/>
  <c r="F5" i="102"/>
  <c r="E5" i="102"/>
  <c r="D5" i="102"/>
  <c r="C5" i="102"/>
  <c r="B5" i="102"/>
  <c r="AM4" i="102"/>
  <c r="AL4" i="102"/>
  <c r="AK4" i="102"/>
  <c r="AJ4" i="102"/>
  <c r="AI4" i="102"/>
  <c r="AH4" i="102"/>
  <c r="AG4" i="102"/>
  <c r="AF4" i="102"/>
  <c r="AE4" i="102"/>
  <c r="AD4" i="102"/>
  <c r="AC4" i="102"/>
  <c r="AB4" i="102"/>
  <c r="AA4" i="102"/>
  <c r="Z4" i="102"/>
  <c r="Y4" i="102"/>
  <c r="X4" i="102"/>
  <c r="W4" i="102"/>
  <c r="V4" i="102"/>
  <c r="U4" i="102"/>
  <c r="T4" i="102"/>
  <c r="S4" i="102"/>
  <c r="R4" i="102"/>
  <c r="Q4" i="102"/>
  <c r="P4" i="102"/>
  <c r="O4" i="102"/>
  <c r="N4" i="102"/>
  <c r="M4" i="102"/>
  <c r="L4" i="102"/>
  <c r="K4" i="102"/>
  <c r="J4" i="102"/>
  <c r="I4" i="102"/>
  <c r="H4" i="102"/>
  <c r="G4" i="102"/>
  <c r="F4" i="102"/>
  <c r="E4" i="102"/>
  <c r="D4" i="102"/>
  <c r="C4" i="102"/>
  <c r="B4" i="102"/>
  <c r="AM2" i="102"/>
  <c r="AL2" i="102"/>
  <c r="AK2" i="102"/>
  <c r="AJ2" i="102"/>
  <c r="AI2" i="102"/>
  <c r="AH2" i="102"/>
  <c r="AG2" i="102"/>
  <c r="AF2" i="102"/>
  <c r="AE2" i="102"/>
  <c r="AD2" i="102"/>
  <c r="AC2" i="102"/>
  <c r="AB2" i="102"/>
  <c r="AA2" i="102"/>
  <c r="Z2" i="102"/>
  <c r="Y2" i="102"/>
  <c r="X2" i="102"/>
  <c r="W2" i="102"/>
  <c r="V2" i="102"/>
  <c r="U2" i="102"/>
  <c r="T2" i="102"/>
  <c r="S2" i="102"/>
  <c r="R2" i="102"/>
  <c r="Q2" i="102"/>
  <c r="P2" i="102"/>
  <c r="O2" i="102"/>
  <c r="N2" i="102"/>
  <c r="M2" i="102"/>
  <c r="L2" i="102"/>
  <c r="K2" i="102"/>
  <c r="J2" i="102"/>
  <c r="I2" i="102"/>
  <c r="H2" i="102"/>
  <c r="G2" i="102"/>
  <c r="F2" i="102"/>
  <c r="E2" i="102"/>
  <c r="D2" i="102"/>
  <c r="C2" i="102"/>
  <c r="B2" i="102"/>
  <c r="S26" i="102" l="1"/>
  <c r="T26" i="102"/>
  <c r="AA26" i="102"/>
  <c r="U26" i="102"/>
  <c r="V26" i="102"/>
  <c r="AW14" i="102"/>
  <c r="I36" i="102"/>
  <c r="AU25" i="102"/>
  <c r="J36" i="102"/>
  <c r="AU8" i="102"/>
  <c r="AW8" i="102" s="1"/>
  <c r="F36" i="102"/>
  <c r="G36" i="102"/>
  <c r="H36" i="102"/>
  <c r="AU21" i="102"/>
  <c r="AU9" i="102"/>
  <c r="AU22" i="102"/>
  <c r="AW22" i="102" s="1"/>
  <c r="AW23" i="102"/>
  <c r="Y74" i="102"/>
  <c r="Y76" i="102" s="1"/>
  <c r="X66" i="102"/>
  <c r="X67" i="102" s="1"/>
  <c r="AW12" i="102"/>
  <c r="AW24" i="102"/>
  <c r="B85" i="102"/>
  <c r="C85" i="102"/>
  <c r="W66" i="102"/>
  <c r="W67" i="102" s="1"/>
  <c r="AU10" i="102"/>
  <c r="W84" i="102"/>
  <c r="W85" i="102" s="1"/>
  <c r="AU16" i="102"/>
  <c r="AW16" i="102" s="1"/>
  <c r="W11" i="102"/>
  <c r="W26" i="102" s="1"/>
  <c r="AU15" i="102"/>
  <c r="AW15" i="102" s="1"/>
  <c r="X84" i="102"/>
  <c r="X85" i="102" s="1"/>
  <c r="X11" i="102"/>
  <c r="X26" i="102" s="1"/>
  <c r="AU20" i="102"/>
  <c r="AW20" i="102" s="1"/>
  <c r="AU13" i="102"/>
  <c r="AW13" i="102" s="1"/>
  <c r="C66" i="102"/>
  <c r="Y11" i="102"/>
  <c r="Y26" i="102" s="1"/>
  <c r="Z11" i="102"/>
  <c r="Z26" i="102" s="1"/>
  <c r="AO73" i="102"/>
  <c r="E84" i="102"/>
  <c r="D85" i="102"/>
  <c r="F84" i="102" l="1"/>
  <c r="E85" i="102"/>
  <c r="D66" i="102"/>
  <c r="C67" i="102"/>
  <c r="W72" i="102"/>
  <c r="W74" i="102" s="1"/>
  <c r="W76" i="102" s="1"/>
  <c r="X86" i="102"/>
  <c r="X87" i="102" s="1"/>
  <c r="AP74" i="102"/>
  <c r="AP76" i="102" s="1"/>
  <c r="AP73" i="102"/>
  <c r="E66" i="102" l="1"/>
  <c r="D67" i="102"/>
  <c r="F85" i="102"/>
  <c r="G84" i="102"/>
  <c r="F66" i="102" l="1"/>
  <c r="E67" i="102"/>
  <c r="G85" i="102"/>
  <c r="H84" i="102"/>
  <c r="H85" i="102" l="1"/>
  <c r="I84" i="102"/>
  <c r="F67" i="102"/>
  <c r="G66" i="102"/>
  <c r="I85" i="102" l="1"/>
  <c r="J84" i="102"/>
  <c r="H66" i="102"/>
  <c r="G67" i="102"/>
  <c r="K84" i="102" l="1"/>
  <c r="J85" i="102"/>
  <c r="I66" i="102"/>
  <c r="H67" i="102"/>
  <c r="L84" i="102" l="1"/>
  <c r="K85" i="102"/>
  <c r="I67" i="102"/>
  <c r="J66" i="102"/>
  <c r="C33" i="101"/>
  <c r="C36" i="101" s="1"/>
  <c r="D33" i="101"/>
  <c r="D36" i="101" s="1"/>
  <c r="E33" i="101"/>
  <c r="E36" i="101" s="1"/>
  <c r="B33" i="101"/>
  <c r="B36" i="101" s="1"/>
  <c r="I55" i="100"/>
  <c r="H55" i="100"/>
  <c r="G55" i="100"/>
  <c r="F55" i="100"/>
  <c r="E55" i="100"/>
  <c r="D55" i="100"/>
  <c r="C55" i="100"/>
  <c r="B55" i="100"/>
  <c r="B84" i="101"/>
  <c r="B85" i="101" s="1"/>
  <c r="AN83" i="101"/>
  <c r="AM83" i="101"/>
  <c r="AL83" i="101"/>
  <c r="AK83" i="101"/>
  <c r="AJ83" i="101"/>
  <c r="AI83" i="101"/>
  <c r="AH83" i="101"/>
  <c r="AG83" i="101"/>
  <c r="AF83" i="101"/>
  <c r="AE83" i="101"/>
  <c r="AD83" i="101"/>
  <c r="AC83" i="101"/>
  <c r="AB83" i="101"/>
  <c r="AA83" i="101"/>
  <c r="Z83" i="101"/>
  <c r="Y83" i="101"/>
  <c r="X83" i="101"/>
  <c r="W83" i="101"/>
  <c r="V83" i="101"/>
  <c r="U83" i="101"/>
  <c r="T83" i="101"/>
  <c r="S83" i="101"/>
  <c r="R82" i="101"/>
  <c r="Q82" i="101"/>
  <c r="P82" i="101"/>
  <c r="O82" i="101"/>
  <c r="N82" i="101"/>
  <c r="M82" i="101"/>
  <c r="L82" i="101"/>
  <c r="K82" i="101"/>
  <c r="J82" i="101"/>
  <c r="I82" i="101"/>
  <c r="H82" i="101"/>
  <c r="G82" i="101"/>
  <c r="F82" i="101"/>
  <c r="E82" i="101"/>
  <c r="D82" i="101"/>
  <c r="C82" i="101"/>
  <c r="B82" i="101"/>
  <c r="AP75" i="101"/>
  <c r="AN75" i="101"/>
  <c r="AJ75" i="101"/>
  <c r="AG75" i="101"/>
  <c r="AE75" i="101"/>
  <c r="AC75" i="101"/>
  <c r="Y75" i="101"/>
  <c r="W75" i="101"/>
  <c r="V75" i="101"/>
  <c r="S75" i="101"/>
  <c r="R75" i="101"/>
  <c r="Q75" i="101"/>
  <c r="X74" i="101"/>
  <c r="AN73" i="101"/>
  <c r="AJ73" i="101"/>
  <c r="AG73" i="101"/>
  <c r="AE73" i="101"/>
  <c r="AC73" i="101"/>
  <c r="Y73" i="101"/>
  <c r="W73" i="101"/>
  <c r="V73" i="101"/>
  <c r="S73" i="101"/>
  <c r="R73" i="101"/>
  <c r="Q73" i="101"/>
  <c r="AJ72" i="101"/>
  <c r="B66" i="101"/>
  <c r="AN63" i="101"/>
  <c r="AM63" i="101"/>
  <c r="AL63" i="101"/>
  <c r="AK63" i="101"/>
  <c r="AJ63" i="101"/>
  <c r="AI63" i="101"/>
  <c r="AH63" i="101"/>
  <c r="AG63" i="101"/>
  <c r="AF63" i="101"/>
  <c r="AE63" i="101"/>
  <c r="AD63" i="101"/>
  <c r="AA63" i="101"/>
  <c r="AB63" i="101" s="1"/>
  <c r="AC63" i="101" s="1"/>
  <c r="Z63" i="101"/>
  <c r="Y63" i="101"/>
  <c r="X63" i="101"/>
  <c r="W63" i="101"/>
  <c r="V63" i="101"/>
  <c r="U63" i="101"/>
  <c r="T63" i="101"/>
  <c r="S63" i="101"/>
  <c r="R63" i="101"/>
  <c r="Q63" i="101"/>
  <c r="P63" i="101"/>
  <c r="O63" i="101"/>
  <c r="N63" i="101"/>
  <c r="M63" i="101"/>
  <c r="L63" i="101"/>
  <c r="K63" i="101"/>
  <c r="J63" i="101"/>
  <c r="I63" i="101"/>
  <c r="H63" i="101"/>
  <c r="G63" i="101"/>
  <c r="F63" i="101"/>
  <c r="E63" i="101"/>
  <c r="D63" i="101"/>
  <c r="C63" i="101"/>
  <c r="B63" i="101"/>
  <c r="B58" i="101"/>
  <c r="A45" i="101"/>
  <c r="AU32" i="101"/>
  <c r="AU31" i="101"/>
  <c r="J33" i="101"/>
  <c r="J36" i="101" s="1"/>
  <c r="I33" i="101"/>
  <c r="I36" i="101" s="1"/>
  <c r="H33" i="101"/>
  <c r="H36" i="101" s="1"/>
  <c r="G33" i="101"/>
  <c r="G36" i="101" s="1"/>
  <c r="F33" i="101"/>
  <c r="F36" i="101" s="1"/>
  <c r="AT27" i="101"/>
  <c r="AS27" i="101"/>
  <c r="AR27" i="101"/>
  <c r="AQ27" i="101"/>
  <c r="A25" i="101"/>
  <c r="A54" i="101" s="1"/>
  <c r="AV24" i="101"/>
  <c r="AU24" i="101"/>
  <c r="A24" i="101"/>
  <c r="A53" i="101" s="1"/>
  <c r="AV23" i="101"/>
  <c r="AU23" i="101"/>
  <c r="A23" i="101"/>
  <c r="A52" i="101" s="1"/>
  <c r="AV22" i="101"/>
  <c r="A22" i="101"/>
  <c r="A51" i="101" s="1"/>
  <c r="A21" i="101"/>
  <c r="A50" i="101" s="1"/>
  <c r="AV20" i="101"/>
  <c r="AU20" i="101"/>
  <c r="A20" i="101"/>
  <c r="A49" i="101" s="1"/>
  <c r="AU19" i="101"/>
  <c r="A19" i="101"/>
  <c r="A48" i="101" s="1"/>
  <c r="AU18" i="101"/>
  <c r="AW18" i="101" s="1"/>
  <c r="A18" i="101"/>
  <c r="A47" i="101" s="1"/>
  <c r="AU17" i="101"/>
  <c r="AW17" i="101" s="1"/>
  <c r="A17" i="101"/>
  <c r="A46" i="101" s="1"/>
  <c r="AV16" i="101"/>
  <c r="AU16" i="101"/>
  <c r="AV15" i="101"/>
  <c r="AU15" i="101"/>
  <c r="A15" i="101"/>
  <c r="A44" i="101" s="1"/>
  <c r="AV14" i="101"/>
  <c r="AU14" i="101"/>
  <c r="A14" i="101"/>
  <c r="A43" i="101" s="1"/>
  <c r="AV13" i="101"/>
  <c r="AU13" i="101"/>
  <c r="A13" i="101"/>
  <c r="A42" i="101" s="1"/>
  <c r="AV12" i="101"/>
  <c r="AU12" i="101"/>
  <c r="A12" i="101"/>
  <c r="A41" i="101" s="1"/>
  <c r="V11" i="101"/>
  <c r="V26" i="101" s="1"/>
  <c r="U11" i="101"/>
  <c r="U26" i="101" s="1"/>
  <c r="T11" i="101"/>
  <c r="T26" i="101" s="1"/>
  <c r="S11" i="101"/>
  <c r="S26" i="101" s="1"/>
  <c r="R11" i="101"/>
  <c r="R26" i="101" s="1"/>
  <c r="Q11" i="101"/>
  <c r="Q26" i="101" s="1"/>
  <c r="P11" i="101"/>
  <c r="P26" i="101" s="1"/>
  <c r="O11" i="101"/>
  <c r="O26" i="101" s="1"/>
  <c r="N11" i="101"/>
  <c r="N26" i="101" s="1"/>
  <c r="M11" i="101"/>
  <c r="M26" i="101" s="1"/>
  <c r="L11" i="101"/>
  <c r="L26" i="101" s="1"/>
  <c r="K11" i="101"/>
  <c r="K26" i="101" s="1"/>
  <c r="J11" i="101"/>
  <c r="J26" i="101" s="1"/>
  <c r="I11" i="101"/>
  <c r="I26" i="101" s="1"/>
  <c r="H11" i="101"/>
  <c r="H26" i="101" s="1"/>
  <c r="G11" i="101"/>
  <c r="G26" i="101" s="1"/>
  <c r="F11" i="101"/>
  <c r="F26" i="101" s="1"/>
  <c r="E11" i="101"/>
  <c r="E26" i="101" s="1"/>
  <c r="D11" i="101"/>
  <c r="D26" i="101" s="1"/>
  <c r="C11" i="101"/>
  <c r="C26" i="101" s="1"/>
  <c r="B11" i="101"/>
  <c r="AV10" i="101"/>
  <c r="AU10" i="101"/>
  <c r="AV9" i="101"/>
  <c r="AU9" i="101"/>
  <c r="AV8" i="101"/>
  <c r="AU8" i="101"/>
  <c r="AA11" i="101"/>
  <c r="Y11" i="101"/>
  <c r="Y26" i="101" s="1"/>
  <c r="W11" i="101"/>
  <c r="W26" i="101" s="1"/>
  <c r="AS5" i="101"/>
  <c r="AR5" i="101"/>
  <c r="AQ5" i="101"/>
  <c r="AP5" i="101"/>
  <c r="AO5" i="101"/>
  <c r="AN5" i="101"/>
  <c r="AM5" i="101"/>
  <c r="AL5" i="101"/>
  <c r="AK5" i="101"/>
  <c r="AJ5" i="101"/>
  <c r="AI5" i="101"/>
  <c r="AH5" i="101"/>
  <c r="AG5" i="101"/>
  <c r="AF5" i="101"/>
  <c r="AE5" i="101"/>
  <c r="AD5" i="101"/>
  <c r="AC5" i="101"/>
  <c r="AB5" i="101"/>
  <c r="AA5" i="101"/>
  <c r="Z5" i="101"/>
  <c r="Y5" i="101"/>
  <c r="X5" i="101"/>
  <c r="W5" i="101"/>
  <c r="V5" i="101"/>
  <c r="U5" i="101"/>
  <c r="T5" i="101"/>
  <c r="S5" i="101"/>
  <c r="R5" i="101"/>
  <c r="Q5" i="101"/>
  <c r="P5" i="101"/>
  <c r="O5" i="101"/>
  <c r="N5" i="101"/>
  <c r="M5" i="101"/>
  <c r="L5" i="101"/>
  <c r="K5" i="101"/>
  <c r="J5" i="101"/>
  <c r="I5" i="101"/>
  <c r="H5" i="101"/>
  <c r="G5" i="101"/>
  <c r="F5" i="101"/>
  <c r="E5" i="101"/>
  <c r="D5" i="101"/>
  <c r="C5" i="101"/>
  <c r="B5" i="101"/>
  <c r="AN4" i="101"/>
  <c r="AM4" i="101"/>
  <c r="AL4" i="101"/>
  <c r="AK4" i="101"/>
  <c r="AJ4" i="101"/>
  <c r="AI4" i="101"/>
  <c r="AH4" i="101"/>
  <c r="AG4" i="101"/>
  <c r="AF4" i="101"/>
  <c r="AE4" i="101"/>
  <c r="AD4" i="101"/>
  <c r="AC4" i="101"/>
  <c r="AB4" i="101"/>
  <c r="AA4" i="101"/>
  <c r="Z4" i="101"/>
  <c r="Y4" i="101"/>
  <c r="X4" i="101"/>
  <c r="W4" i="101"/>
  <c r="V4" i="101"/>
  <c r="U4" i="101"/>
  <c r="T4" i="101"/>
  <c r="S4" i="101"/>
  <c r="R4" i="101"/>
  <c r="Q4" i="101"/>
  <c r="P4" i="101"/>
  <c r="O4" i="101"/>
  <c r="N4" i="101"/>
  <c r="M4" i="101"/>
  <c r="L4" i="101"/>
  <c r="K4" i="101"/>
  <c r="J4" i="101"/>
  <c r="I4" i="101"/>
  <c r="H4" i="101"/>
  <c r="G4" i="101"/>
  <c r="F4" i="101"/>
  <c r="E4" i="101"/>
  <c r="D4" i="101"/>
  <c r="C4" i="101"/>
  <c r="B4" i="101"/>
  <c r="AN2" i="101"/>
  <c r="AM2" i="101"/>
  <c r="AL2" i="101"/>
  <c r="AK2" i="101"/>
  <c r="AJ2" i="101"/>
  <c r="AI2" i="101"/>
  <c r="AH2" i="101"/>
  <c r="AG2" i="101"/>
  <c r="AF2" i="101"/>
  <c r="AE2" i="101"/>
  <c r="AD2" i="101"/>
  <c r="AC2" i="101"/>
  <c r="AB2" i="101"/>
  <c r="AA2" i="101"/>
  <c r="Z2" i="101"/>
  <c r="Y2" i="101"/>
  <c r="X2" i="101"/>
  <c r="W2" i="101"/>
  <c r="V2" i="101"/>
  <c r="U2" i="101"/>
  <c r="T2" i="101"/>
  <c r="S2" i="101"/>
  <c r="R2" i="101"/>
  <c r="Q2" i="101"/>
  <c r="P2" i="101"/>
  <c r="O2" i="101"/>
  <c r="N2" i="101"/>
  <c r="M2" i="101"/>
  <c r="L2" i="101"/>
  <c r="K2" i="101"/>
  <c r="J2" i="101"/>
  <c r="I2" i="101"/>
  <c r="H2" i="101"/>
  <c r="G2" i="101"/>
  <c r="F2" i="101"/>
  <c r="E2" i="101"/>
  <c r="D2" i="101"/>
  <c r="C2" i="101"/>
  <c r="B2" i="101"/>
  <c r="E33" i="100"/>
  <c r="E36" i="100" s="1"/>
  <c r="D33" i="100"/>
  <c r="D36" i="100" s="1"/>
  <c r="C33" i="100"/>
  <c r="C36" i="100" s="1"/>
  <c r="B33" i="100"/>
  <c r="B36" i="100" s="1"/>
  <c r="AW16" i="101" l="1"/>
  <c r="AW24" i="101"/>
  <c r="AW23" i="101"/>
  <c r="AW15" i="101"/>
  <c r="AW13" i="101"/>
  <c r="AW14" i="101"/>
  <c r="AW8" i="101"/>
  <c r="AU22" i="101"/>
  <c r="AW22" i="101" s="1"/>
  <c r="Z11" i="101"/>
  <c r="Z26" i="101" s="1"/>
  <c r="AW12" i="101"/>
  <c r="AO73" i="101"/>
  <c r="AP73" i="101" s="1"/>
  <c r="C84" i="101"/>
  <c r="D84" i="101" s="1"/>
  <c r="E84" i="101" s="1"/>
  <c r="AJ74" i="101"/>
  <c r="AJ76" i="101" s="1"/>
  <c r="AW20" i="101"/>
  <c r="AU25" i="101"/>
  <c r="K66" i="102"/>
  <c r="J67" i="102"/>
  <c r="M84" i="102"/>
  <c r="L85" i="102"/>
  <c r="B26" i="101"/>
  <c r="AU21" i="101"/>
  <c r="Y84" i="101"/>
  <c r="Y85" i="101" s="1"/>
  <c r="X66" i="101"/>
  <c r="X67" i="101" s="1"/>
  <c r="X84" i="101"/>
  <c r="X85" i="101" s="1"/>
  <c r="X11" i="101"/>
  <c r="X26" i="101" s="1"/>
  <c r="AA26" i="101"/>
  <c r="C66" i="101"/>
  <c r="B67" i="101"/>
  <c r="W84" i="101"/>
  <c r="W85" i="101" s="1"/>
  <c r="W66" i="101"/>
  <c r="W67" i="101" s="1"/>
  <c r="AP74" i="101" l="1"/>
  <c r="AP76" i="101" s="1"/>
  <c r="D85" i="101"/>
  <c r="C85" i="101"/>
  <c r="N84" i="102"/>
  <c r="M85" i="102"/>
  <c r="L66" i="102"/>
  <c r="K67" i="102"/>
  <c r="D66" i="101"/>
  <c r="C67" i="101"/>
  <c r="E85" i="101"/>
  <c r="F84" i="101"/>
  <c r="W72" i="101"/>
  <c r="W74" i="101" s="1"/>
  <c r="W76" i="101" s="1"/>
  <c r="X86" i="101"/>
  <c r="X87" i="101" s="1"/>
  <c r="M66" i="102" l="1"/>
  <c r="L67" i="102"/>
  <c r="N85" i="102"/>
  <c r="O84" i="102"/>
  <c r="E66" i="101"/>
  <c r="D67" i="101"/>
  <c r="G84" i="101"/>
  <c r="F85" i="101"/>
  <c r="O85" i="102" l="1"/>
  <c r="P84" i="102"/>
  <c r="N66" i="102"/>
  <c r="M67" i="102"/>
  <c r="F66" i="101"/>
  <c r="E67" i="101"/>
  <c r="G85" i="101"/>
  <c r="H84" i="101"/>
  <c r="N67" i="102" l="1"/>
  <c r="O66" i="102"/>
  <c r="P85" i="102"/>
  <c r="Q84" i="102"/>
  <c r="I84" i="101"/>
  <c r="H85" i="101"/>
  <c r="F67" i="101"/>
  <c r="G66" i="101"/>
  <c r="B84" i="100"/>
  <c r="C84" i="100" s="1"/>
  <c r="C85" i="100" s="1"/>
  <c r="AO83" i="100"/>
  <c r="AN83" i="100"/>
  <c r="AM83" i="100"/>
  <c r="AL83" i="100"/>
  <c r="AK83" i="100"/>
  <c r="AJ83" i="100"/>
  <c r="AI83" i="100"/>
  <c r="AH83" i="100"/>
  <c r="AG83" i="100"/>
  <c r="AF83" i="100"/>
  <c r="AE83" i="100"/>
  <c r="AD83" i="100"/>
  <c r="AC83" i="100"/>
  <c r="AB83" i="100"/>
  <c r="AA83" i="100"/>
  <c r="Z83" i="100"/>
  <c r="Y83" i="100"/>
  <c r="X83" i="100"/>
  <c r="W83" i="100"/>
  <c r="V83" i="100"/>
  <c r="U83" i="100"/>
  <c r="T83" i="100"/>
  <c r="S83" i="100"/>
  <c r="R82" i="100"/>
  <c r="Q82" i="100"/>
  <c r="P82" i="100"/>
  <c r="O82" i="100"/>
  <c r="N82" i="100"/>
  <c r="M82" i="100"/>
  <c r="L82" i="100"/>
  <c r="K82" i="100"/>
  <c r="J82" i="100"/>
  <c r="I82" i="100"/>
  <c r="H82" i="100"/>
  <c r="G82" i="100"/>
  <c r="F82" i="100"/>
  <c r="E82" i="100"/>
  <c r="D82" i="100"/>
  <c r="C82" i="100"/>
  <c r="B82" i="100"/>
  <c r="AP75" i="100"/>
  <c r="AN75" i="100"/>
  <c r="AJ75" i="100"/>
  <c r="AG75" i="100"/>
  <c r="AE75" i="100"/>
  <c r="AC75" i="100"/>
  <c r="Y75" i="100"/>
  <c r="W75" i="100"/>
  <c r="V75" i="100"/>
  <c r="S75" i="100"/>
  <c r="R75" i="100"/>
  <c r="Q75" i="100"/>
  <c r="X74" i="100"/>
  <c r="AN73" i="100"/>
  <c r="AJ73" i="100"/>
  <c r="AG73" i="100"/>
  <c r="AE73" i="100"/>
  <c r="AC73" i="100"/>
  <c r="Y73" i="100"/>
  <c r="W73" i="100"/>
  <c r="V73" i="100"/>
  <c r="S73" i="100"/>
  <c r="R73" i="100"/>
  <c r="Q73" i="100"/>
  <c r="AJ72" i="100"/>
  <c r="B66" i="100"/>
  <c r="B67" i="100" s="1"/>
  <c r="AN63" i="100"/>
  <c r="AM63" i="100"/>
  <c r="AL63" i="100"/>
  <c r="AK63" i="100"/>
  <c r="AJ63" i="100"/>
  <c r="AI63" i="100"/>
  <c r="AH63" i="100"/>
  <c r="AG63" i="100"/>
  <c r="AF63" i="100"/>
  <c r="AE63" i="100"/>
  <c r="AD63" i="100"/>
  <c r="AA63" i="100"/>
  <c r="AB63" i="100" s="1"/>
  <c r="AC63" i="100" s="1"/>
  <c r="Z63" i="100"/>
  <c r="Y63" i="100"/>
  <c r="X63" i="100"/>
  <c r="W63" i="100"/>
  <c r="V63" i="100"/>
  <c r="U63" i="100"/>
  <c r="T63" i="100"/>
  <c r="S63" i="100"/>
  <c r="R63" i="100"/>
  <c r="Q63" i="100"/>
  <c r="P63" i="100"/>
  <c r="O63" i="100"/>
  <c r="N63" i="100"/>
  <c r="M63" i="100"/>
  <c r="L63" i="100"/>
  <c r="K63" i="100"/>
  <c r="J63" i="100"/>
  <c r="I63" i="100"/>
  <c r="H63" i="100"/>
  <c r="G63" i="100"/>
  <c r="F63" i="100"/>
  <c r="E63" i="100"/>
  <c r="D63" i="100"/>
  <c r="C63" i="100"/>
  <c r="B63" i="100"/>
  <c r="B58" i="100"/>
  <c r="A42" i="100"/>
  <c r="A41" i="100"/>
  <c r="AU32" i="100"/>
  <c r="A32" i="100"/>
  <c r="AU31" i="100"/>
  <c r="A31" i="100"/>
  <c r="A37" i="100"/>
  <c r="J33" i="100"/>
  <c r="J36" i="100" s="1"/>
  <c r="I33" i="100"/>
  <c r="I36" i="100" s="1"/>
  <c r="H33" i="100"/>
  <c r="H36" i="100" s="1"/>
  <c r="G33" i="100"/>
  <c r="G36" i="100" s="1"/>
  <c r="F33" i="100"/>
  <c r="F36" i="100" s="1"/>
  <c r="A30" i="100"/>
  <c r="A29" i="100"/>
  <c r="AT27" i="100"/>
  <c r="AS27" i="100"/>
  <c r="AR27" i="100"/>
  <c r="AQ27" i="100"/>
  <c r="V27" i="100"/>
  <c r="U27" i="100"/>
  <c r="T27" i="100"/>
  <c r="S27" i="100"/>
  <c r="A26" i="100"/>
  <c r="AR25" i="100"/>
  <c r="AQ25" i="100"/>
  <c r="AP25" i="100"/>
  <c r="AO25" i="100"/>
  <c r="A25" i="100"/>
  <c r="A54" i="100" s="1"/>
  <c r="AV24" i="100"/>
  <c r="AU24" i="100"/>
  <c r="A24" i="100"/>
  <c r="A53" i="100" s="1"/>
  <c r="AV23" i="100"/>
  <c r="AU23" i="100"/>
  <c r="A23" i="100"/>
  <c r="A52" i="100" s="1"/>
  <c r="AV22" i="100"/>
  <c r="AQ22" i="100"/>
  <c r="AP22" i="100"/>
  <c r="AO22" i="100"/>
  <c r="A22" i="100"/>
  <c r="A51" i="100" s="1"/>
  <c r="AR21" i="100"/>
  <c r="A21" i="100"/>
  <c r="A50" i="100" s="1"/>
  <c r="AV20" i="100"/>
  <c r="AU20" i="100"/>
  <c r="A20" i="100"/>
  <c r="A49" i="100" s="1"/>
  <c r="AU19" i="100"/>
  <c r="A19" i="100"/>
  <c r="A48" i="100" s="1"/>
  <c r="AU18" i="100"/>
  <c r="AW18" i="100" s="1"/>
  <c r="A18" i="100"/>
  <c r="A47" i="100" s="1"/>
  <c r="AU17" i="100"/>
  <c r="AW17" i="100" s="1"/>
  <c r="A17" i="100"/>
  <c r="A46" i="100" s="1"/>
  <c r="AV16" i="100"/>
  <c r="AU16" i="100"/>
  <c r="A16" i="100"/>
  <c r="A45" i="100" s="1"/>
  <c r="AV15" i="100"/>
  <c r="AU15" i="100"/>
  <c r="A15" i="100"/>
  <c r="A44" i="100" s="1"/>
  <c r="AV14" i="100"/>
  <c r="AU14" i="100"/>
  <c r="A14" i="100"/>
  <c r="A43" i="100" s="1"/>
  <c r="AV13" i="100"/>
  <c r="AU13" i="100"/>
  <c r="AV12" i="100"/>
  <c r="AU12" i="100"/>
  <c r="V11" i="100"/>
  <c r="V26" i="100" s="1"/>
  <c r="U11" i="100"/>
  <c r="U26" i="100" s="1"/>
  <c r="T11" i="100"/>
  <c r="T26" i="100" s="1"/>
  <c r="S11" i="100"/>
  <c r="S26" i="100" s="1"/>
  <c r="R11" i="100"/>
  <c r="R26" i="100" s="1"/>
  <c r="Q11" i="100"/>
  <c r="Q26" i="100" s="1"/>
  <c r="P11" i="100"/>
  <c r="P26" i="100" s="1"/>
  <c r="O11" i="100"/>
  <c r="O26" i="100" s="1"/>
  <c r="N11" i="100"/>
  <c r="N26" i="100" s="1"/>
  <c r="M11" i="100"/>
  <c r="M26" i="100" s="1"/>
  <c r="L11" i="100"/>
  <c r="L26" i="100" s="1"/>
  <c r="K11" i="100"/>
  <c r="K26" i="100" s="1"/>
  <c r="J11" i="100"/>
  <c r="J26" i="100" s="1"/>
  <c r="I11" i="100"/>
  <c r="I26" i="100" s="1"/>
  <c r="H11" i="100"/>
  <c r="H26" i="100" s="1"/>
  <c r="G11" i="100"/>
  <c r="G26" i="100" s="1"/>
  <c r="F11" i="100"/>
  <c r="F26" i="100" s="1"/>
  <c r="E11" i="100"/>
  <c r="E26" i="100" s="1"/>
  <c r="D11" i="100"/>
  <c r="D26" i="100" s="1"/>
  <c r="C11" i="100"/>
  <c r="C26" i="100" s="1"/>
  <c r="B11" i="100"/>
  <c r="B26" i="100" s="1"/>
  <c r="A11" i="100"/>
  <c r="AV10" i="100"/>
  <c r="AU10" i="100"/>
  <c r="A10" i="100"/>
  <c r="AV9" i="100"/>
  <c r="AU9" i="100"/>
  <c r="A9" i="100"/>
  <c r="AV8" i="100"/>
  <c r="AU8" i="100"/>
  <c r="A8" i="100"/>
  <c r="AA11" i="100"/>
  <c r="AA26" i="100" s="1"/>
  <c r="Z11" i="100"/>
  <c r="Z26" i="100" s="1"/>
  <c r="Y11" i="100"/>
  <c r="Y26" i="100" s="1"/>
  <c r="X11" i="100"/>
  <c r="X26" i="100" s="1"/>
  <c r="A7" i="100"/>
  <c r="AS5" i="100"/>
  <c r="AR5" i="100"/>
  <c r="AQ5" i="100"/>
  <c r="AP5" i="100"/>
  <c r="AN5" i="100"/>
  <c r="AM5" i="100"/>
  <c r="AL5" i="100"/>
  <c r="AK5" i="100"/>
  <c r="AJ5" i="100"/>
  <c r="AI5" i="100"/>
  <c r="AH5" i="100"/>
  <c r="AG5" i="100"/>
  <c r="AF5" i="100"/>
  <c r="AE5" i="100"/>
  <c r="AD5" i="100"/>
  <c r="AC5" i="100"/>
  <c r="AB5" i="100"/>
  <c r="AA5" i="100"/>
  <c r="Z5" i="100"/>
  <c r="Y5" i="100"/>
  <c r="X5" i="100"/>
  <c r="W5" i="100"/>
  <c r="V5" i="100"/>
  <c r="U5" i="100"/>
  <c r="T5" i="100"/>
  <c r="S5" i="100"/>
  <c r="R5" i="100"/>
  <c r="Q5" i="100"/>
  <c r="P5" i="100"/>
  <c r="O5" i="100"/>
  <c r="N5" i="100"/>
  <c r="M5" i="100"/>
  <c r="L5" i="100"/>
  <c r="K5" i="100"/>
  <c r="J5" i="100"/>
  <c r="I5" i="100"/>
  <c r="H5" i="100"/>
  <c r="G5" i="100"/>
  <c r="F5" i="100"/>
  <c r="E5" i="100"/>
  <c r="D5" i="100"/>
  <c r="C5" i="100"/>
  <c r="B5" i="100"/>
  <c r="AN4" i="100"/>
  <c r="AM4" i="100"/>
  <c r="AL4" i="100"/>
  <c r="AK4" i="100"/>
  <c r="AJ4" i="100"/>
  <c r="AI4" i="100"/>
  <c r="AH4" i="100"/>
  <c r="AG4" i="100"/>
  <c r="AF4" i="100"/>
  <c r="AE4" i="100"/>
  <c r="AD4" i="100"/>
  <c r="AC4" i="100"/>
  <c r="AB4" i="100"/>
  <c r="AA4" i="100"/>
  <c r="Z4" i="100"/>
  <c r="Y4" i="100"/>
  <c r="X4" i="100"/>
  <c r="W4" i="100"/>
  <c r="V4" i="100"/>
  <c r="U4" i="100"/>
  <c r="T4" i="100"/>
  <c r="S4" i="100"/>
  <c r="R4" i="100"/>
  <c r="Q4" i="100"/>
  <c r="P4" i="100"/>
  <c r="O4" i="100"/>
  <c r="N4" i="100"/>
  <c r="M4" i="100"/>
  <c r="L4" i="100"/>
  <c r="K4" i="100"/>
  <c r="J4" i="100"/>
  <c r="I4" i="100"/>
  <c r="H4" i="100"/>
  <c r="G4" i="100"/>
  <c r="F4" i="100"/>
  <c r="E4" i="100"/>
  <c r="D4" i="100"/>
  <c r="C4" i="100"/>
  <c r="B4" i="100"/>
  <c r="AN2" i="100"/>
  <c r="AM2" i="100"/>
  <c r="AL2" i="100"/>
  <c r="AK2" i="100"/>
  <c r="AJ2" i="100"/>
  <c r="AI2" i="100"/>
  <c r="AH2" i="100"/>
  <c r="AG2" i="100"/>
  <c r="AF2" i="100"/>
  <c r="AE2" i="100"/>
  <c r="AD2" i="100"/>
  <c r="AC2" i="100"/>
  <c r="AB2" i="100"/>
  <c r="AA2" i="100"/>
  <c r="Z2" i="100"/>
  <c r="Y2" i="100"/>
  <c r="X2" i="100"/>
  <c r="W2" i="100"/>
  <c r="V2" i="100"/>
  <c r="U2" i="100"/>
  <c r="T2" i="100"/>
  <c r="S2" i="100"/>
  <c r="R2" i="100"/>
  <c r="Q2" i="100"/>
  <c r="P2" i="100"/>
  <c r="O2" i="100"/>
  <c r="N2" i="100"/>
  <c r="M2" i="100"/>
  <c r="L2" i="100"/>
  <c r="K2" i="100"/>
  <c r="J2" i="100"/>
  <c r="I2" i="100"/>
  <c r="H2" i="100"/>
  <c r="G2" i="100"/>
  <c r="F2" i="100"/>
  <c r="E2" i="100"/>
  <c r="D2" i="100"/>
  <c r="C2" i="100"/>
  <c r="B2" i="100"/>
  <c r="V28" i="100" l="1"/>
  <c r="U28" i="100"/>
  <c r="AW23" i="100"/>
  <c r="AW8" i="100"/>
  <c r="AW12" i="100"/>
  <c r="AW24" i="100"/>
  <c r="AW16" i="100"/>
  <c r="AW20" i="100"/>
  <c r="T28" i="100"/>
  <c r="S28" i="100"/>
  <c r="AW14" i="100"/>
  <c r="AW13" i="100"/>
  <c r="AJ74" i="100"/>
  <c r="AJ76" i="100" s="1"/>
  <c r="P66" i="102"/>
  <c r="O67" i="102"/>
  <c r="Q85" i="102"/>
  <c r="R84" i="102"/>
  <c r="AU25" i="100"/>
  <c r="AU22" i="100"/>
  <c r="AW22" i="100" s="1"/>
  <c r="C66" i="100"/>
  <c r="AO73" i="100"/>
  <c r="AP73" i="100" s="1"/>
  <c r="AW15" i="100"/>
  <c r="AU21" i="100"/>
  <c r="G67" i="101"/>
  <c r="H66" i="101"/>
  <c r="J84" i="101"/>
  <c r="I85" i="101"/>
  <c r="W84" i="100"/>
  <c r="W85" i="100" s="1"/>
  <c r="X84" i="100"/>
  <c r="X85" i="100" s="1"/>
  <c r="X66" i="100"/>
  <c r="X67" i="100" s="1"/>
  <c r="W11" i="100"/>
  <c r="W26" i="100" s="1"/>
  <c r="D84" i="100"/>
  <c r="B85" i="100"/>
  <c r="S84" i="102" l="1"/>
  <c r="R85" i="102"/>
  <c r="Q66" i="102"/>
  <c r="P67" i="102"/>
  <c r="AP74" i="100"/>
  <c r="AP76" i="100" s="1"/>
  <c r="C67" i="100"/>
  <c r="C69" i="100" s="1"/>
  <c r="D66" i="100"/>
  <c r="K84" i="101"/>
  <c r="J85" i="101"/>
  <c r="I66" i="101"/>
  <c r="H67" i="101"/>
  <c r="X86" i="100"/>
  <c r="X87" i="100" s="1"/>
  <c r="W66" i="100"/>
  <c r="W67" i="100" s="1"/>
  <c r="E84" i="100"/>
  <c r="D85" i="100"/>
  <c r="C33" i="99"/>
  <c r="C36" i="99" s="1"/>
  <c r="D33" i="99"/>
  <c r="D36" i="99" s="1"/>
  <c r="E33" i="99"/>
  <c r="E36" i="99" s="1"/>
  <c r="B33" i="99"/>
  <c r="B36" i="99" s="1"/>
  <c r="B84" i="99"/>
  <c r="B85" i="99" s="1"/>
  <c r="AO83" i="99"/>
  <c r="AN83" i="99"/>
  <c r="AM83" i="99"/>
  <c r="AL83" i="99"/>
  <c r="AK83" i="99"/>
  <c r="AJ83" i="99"/>
  <c r="AI83" i="99"/>
  <c r="AH83" i="99"/>
  <c r="AG83" i="99"/>
  <c r="AF83" i="99"/>
  <c r="AE83" i="99"/>
  <c r="AD83" i="99"/>
  <c r="AC83" i="99"/>
  <c r="AB83" i="99"/>
  <c r="AA83" i="99"/>
  <c r="Z83" i="99"/>
  <c r="Y83" i="99"/>
  <c r="X83" i="99"/>
  <c r="W83" i="99"/>
  <c r="V83" i="99"/>
  <c r="U83" i="99"/>
  <c r="T83" i="99"/>
  <c r="S83" i="99"/>
  <c r="R82" i="99"/>
  <c r="Q82" i="99"/>
  <c r="P82" i="99"/>
  <c r="O82" i="99"/>
  <c r="N82" i="99"/>
  <c r="M82" i="99"/>
  <c r="L82" i="99"/>
  <c r="K82" i="99"/>
  <c r="J82" i="99"/>
  <c r="I82" i="99"/>
  <c r="H82" i="99"/>
  <c r="G82" i="99"/>
  <c r="F82" i="99"/>
  <c r="E82" i="99"/>
  <c r="D82" i="99"/>
  <c r="C82" i="99"/>
  <c r="B82" i="99"/>
  <c r="AP75" i="99"/>
  <c r="AN75" i="99"/>
  <c r="AJ75" i="99"/>
  <c r="AG75" i="99"/>
  <c r="AE75" i="99"/>
  <c r="AC75" i="99"/>
  <c r="Y75" i="99"/>
  <c r="W75" i="99"/>
  <c r="V75" i="99"/>
  <c r="S75" i="99"/>
  <c r="R75" i="99"/>
  <c r="Q75" i="99"/>
  <c r="X74" i="99"/>
  <c r="AN73" i="99"/>
  <c r="AJ73" i="99"/>
  <c r="AG73" i="99"/>
  <c r="AE73" i="99"/>
  <c r="AC73" i="99"/>
  <c r="Y73" i="99"/>
  <c r="W73" i="99"/>
  <c r="V73" i="99"/>
  <c r="S73" i="99"/>
  <c r="R73" i="99"/>
  <c r="Q73" i="99"/>
  <c r="AJ72" i="99"/>
  <c r="B66" i="99"/>
  <c r="C66" i="99" s="1"/>
  <c r="AN63" i="99"/>
  <c r="AM63" i="99"/>
  <c r="AL63" i="99"/>
  <c r="AK63" i="99"/>
  <c r="AJ63" i="99"/>
  <c r="AI63" i="99"/>
  <c r="AH63" i="99"/>
  <c r="AG63" i="99"/>
  <c r="AF63" i="99"/>
  <c r="AE63" i="99"/>
  <c r="AD63" i="99"/>
  <c r="AA63" i="99"/>
  <c r="AB63" i="99" s="1"/>
  <c r="AC63" i="99" s="1"/>
  <c r="Z63" i="99"/>
  <c r="Y63" i="99"/>
  <c r="X63" i="99"/>
  <c r="W63" i="99"/>
  <c r="V63" i="99"/>
  <c r="U63" i="99"/>
  <c r="T63" i="99"/>
  <c r="S63" i="99"/>
  <c r="R63" i="99"/>
  <c r="Q63" i="99"/>
  <c r="P63" i="99"/>
  <c r="O63" i="99"/>
  <c r="N63" i="99"/>
  <c r="M63" i="99"/>
  <c r="L63" i="99"/>
  <c r="K63" i="99"/>
  <c r="J63" i="99"/>
  <c r="I63" i="99"/>
  <c r="H63" i="99"/>
  <c r="G63" i="99"/>
  <c r="F63" i="99"/>
  <c r="E63" i="99"/>
  <c r="D63" i="99"/>
  <c r="C63" i="99"/>
  <c r="B63" i="99"/>
  <c r="B58" i="99"/>
  <c r="A41" i="99"/>
  <c r="A32" i="99"/>
  <c r="A31" i="99"/>
  <c r="A37" i="99"/>
  <c r="J33" i="99"/>
  <c r="J36" i="99" s="1"/>
  <c r="H33" i="99"/>
  <c r="H36" i="99" s="1"/>
  <c r="G33" i="99"/>
  <c r="G36" i="99" s="1"/>
  <c r="F33" i="99"/>
  <c r="F36" i="99" s="1"/>
  <c r="A30" i="99"/>
  <c r="A29" i="99"/>
  <c r="AT27" i="99"/>
  <c r="AS27" i="99"/>
  <c r="AR27" i="99"/>
  <c r="AQ27" i="99"/>
  <c r="A26" i="99"/>
  <c r="AR25" i="99"/>
  <c r="AQ25" i="99"/>
  <c r="AP25" i="99"/>
  <c r="AO25" i="99"/>
  <c r="A25" i="99"/>
  <c r="A54" i="99" s="1"/>
  <c r="AV24" i="99"/>
  <c r="AU24" i="99"/>
  <c r="A24" i="99"/>
  <c r="A53" i="99" s="1"/>
  <c r="AV23" i="99"/>
  <c r="AU23" i="99"/>
  <c r="A23" i="99"/>
  <c r="A52" i="99" s="1"/>
  <c r="AV22" i="99"/>
  <c r="AQ22" i="99"/>
  <c r="AP22" i="99"/>
  <c r="AO22" i="99"/>
  <c r="AN22" i="99"/>
  <c r="AM22" i="99"/>
  <c r="AK22" i="99"/>
  <c r="AJ22" i="99"/>
  <c r="AF22" i="99"/>
  <c r="A22" i="99"/>
  <c r="A51" i="99" s="1"/>
  <c r="AQ21" i="99"/>
  <c r="AP21" i="99"/>
  <c r="AN21" i="99"/>
  <c r="AM21" i="99"/>
  <c r="AL21" i="99"/>
  <c r="AK21" i="99"/>
  <c r="AJ21" i="99"/>
  <c r="AH21" i="99"/>
  <c r="AG21" i="99"/>
  <c r="AF21" i="99"/>
  <c r="AE21" i="99"/>
  <c r="AD21" i="99"/>
  <c r="AB21" i="99"/>
  <c r="AA21" i="99"/>
  <c r="Z21" i="99"/>
  <c r="Y21" i="99"/>
  <c r="X21" i="99"/>
  <c r="W21" i="99"/>
  <c r="V21" i="99"/>
  <c r="U21" i="99"/>
  <c r="T21" i="99"/>
  <c r="S21" i="99"/>
  <c r="A21" i="99"/>
  <c r="A50" i="99" s="1"/>
  <c r="AV20" i="99"/>
  <c r="AU20" i="99"/>
  <c r="A20" i="99"/>
  <c r="A49" i="99" s="1"/>
  <c r="AU19" i="99"/>
  <c r="A19" i="99"/>
  <c r="A48" i="99" s="1"/>
  <c r="AU18" i="99"/>
  <c r="AW18" i="99" s="1"/>
  <c r="A18" i="99"/>
  <c r="A47" i="99" s="1"/>
  <c r="AV17" i="99"/>
  <c r="AU17" i="99"/>
  <c r="A17" i="99"/>
  <c r="A46" i="99" s="1"/>
  <c r="AV16" i="99"/>
  <c r="AU16" i="99"/>
  <c r="A16" i="99"/>
  <c r="A45" i="99" s="1"/>
  <c r="AV15" i="99"/>
  <c r="AU15" i="99"/>
  <c r="A15" i="99"/>
  <c r="A44" i="99" s="1"/>
  <c r="AV14" i="99"/>
  <c r="AU14" i="99"/>
  <c r="A14" i="99"/>
  <c r="A43" i="99" s="1"/>
  <c r="AV13" i="99"/>
  <c r="AA13" i="99"/>
  <c r="Z13" i="99"/>
  <c r="Y13" i="99"/>
  <c r="X13" i="99"/>
  <c r="A13" i="99"/>
  <c r="A42" i="99" s="1"/>
  <c r="AV12" i="99"/>
  <c r="AU12" i="99"/>
  <c r="R11" i="99"/>
  <c r="R26" i="99" s="1"/>
  <c r="Q11" i="99"/>
  <c r="Q26" i="99" s="1"/>
  <c r="P11" i="99"/>
  <c r="P26" i="99" s="1"/>
  <c r="O11" i="99"/>
  <c r="O26" i="99" s="1"/>
  <c r="N11" i="99"/>
  <c r="N26" i="99" s="1"/>
  <c r="M11" i="99"/>
  <c r="M26" i="99" s="1"/>
  <c r="L11" i="99"/>
  <c r="L26" i="99" s="1"/>
  <c r="K11" i="99"/>
  <c r="K26" i="99" s="1"/>
  <c r="J11" i="99"/>
  <c r="J26" i="99" s="1"/>
  <c r="I11" i="99"/>
  <c r="I26" i="99" s="1"/>
  <c r="H11" i="99"/>
  <c r="H26" i="99" s="1"/>
  <c r="G11" i="99"/>
  <c r="G26" i="99" s="1"/>
  <c r="F11" i="99"/>
  <c r="F26" i="99" s="1"/>
  <c r="E11" i="99"/>
  <c r="E26" i="99" s="1"/>
  <c r="D11" i="99"/>
  <c r="D26" i="99" s="1"/>
  <c r="C11" i="99"/>
  <c r="C26" i="99" s="1"/>
  <c r="B11" i="99"/>
  <c r="B26" i="99" s="1"/>
  <c r="A11" i="99"/>
  <c r="AV10" i="99"/>
  <c r="AW10" i="99" s="1"/>
  <c r="AE10" i="99"/>
  <c r="AD10" i="99"/>
  <c r="Y10" i="99"/>
  <c r="X10" i="99"/>
  <c r="W10" i="99"/>
  <c r="V10" i="99"/>
  <c r="U10" i="99"/>
  <c r="A10" i="99"/>
  <c r="AV9" i="99"/>
  <c r="AE9" i="99"/>
  <c r="AC9" i="99"/>
  <c r="Z9" i="99"/>
  <c r="Y9" i="99"/>
  <c r="X9" i="99"/>
  <c r="W9" i="99"/>
  <c r="V9" i="99"/>
  <c r="V11" i="99" s="1"/>
  <c r="V26" i="99" s="1"/>
  <c r="A9" i="99"/>
  <c r="AV8" i="99"/>
  <c r="U8" i="99"/>
  <c r="T8" i="99"/>
  <c r="T11" i="99" s="1"/>
  <c r="S8" i="99"/>
  <c r="A8" i="99"/>
  <c r="W11" i="99"/>
  <c r="A7" i="99"/>
  <c r="AS5" i="99"/>
  <c r="AR5" i="99"/>
  <c r="AQ5" i="99"/>
  <c r="AP5" i="99"/>
  <c r="AN5" i="99"/>
  <c r="AM5" i="99"/>
  <c r="AL5" i="99"/>
  <c r="AK5" i="99"/>
  <c r="AJ5" i="99"/>
  <c r="AI5" i="99"/>
  <c r="AH5" i="99"/>
  <c r="AG5" i="99"/>
  <c r="AF5" i="99"/>
  <c r="AE5" i="99"/>
  <c r="AD5" i="99"/>
  <c r="AC5" i="99"/>
  <c r="AB5" i="99"/>
  <c r="AA5" i="99"/>
  <c r="Z5" i="99"/>
  <c r="Y5" i="99"/>
  <c r="X5" i="99"/>
  <c r="W5" i="99"/>
  <c r="V5" i="99"/>
  <c r="U5" i="99"/>
  <c r="T5" i="99"/>
  <c r="S5" i="99"/>
  <c r="R5" i="99"/>
  <c r="Q5" i="99"/>
  <c r="P5" i="99"/>
  <c r="O5" i="99"/>
  <c r="N5" i="99"/>
  <c r="M5" i="99"/>
  <c r="L5" i="99"/>
  <c r="K5" i="99"/>
  <c r="J5" i="99"/>
  <c r="I5" i="99"/>
  <c r="H5" i="99"/>
  <c r="G5" i="99"/>
  <c r="F5" i="99"/>
  <c r="E5" i="99"/>
  <c r="D5" i="99"/>
  <c r="C5" i="99"/>
  <c r="B5" i="99"/>
  <c r="AN4" i="99"/>
  <c r="AM4" i="99"/>
  <c r="AL4" i="99"/>
  <c r="AK4" i="99"/>
  <c r="AJ4" i="99"/>
  <c r="AI4" i="99"/>
  <c r="AH4" i="99"/>
  <c r="AG4" i="99"/>
  <c r="AF4" i="99"/>
  <c r="AE4" i="99"/>
  <c r="AD4" i="99"/>
  <c r="AC4" i="99"/>
  <c r="AB4" i="99"/>
  <c r="AA4" i="99"/>
  <c r="Z4" i="99"/>
  <c r="Y4" i="99"/>
  <c r="X4" i="99"/>
  <c r="W4" i="99"/>
  <c r="V4" i="99"/>
  <c r="U4" i="99"/>
  <c r="T4" i="99"/>
  <c r="S4" i="99"/>
  <c r="R4" i="99"/>
  <c r="Q4" i="99"/>
  <c r="P4" i="99"/>
  <c r="O4" i="99"/>
  <c r="N4" i="99"/>
  <c r="M4" i="99"/>
  <c r="L4" i="99"/>
  <c r="K4" i="99"/>
  <c r="J4" i="99"/>
  <c r="I4" i="99"/>
  <c r="H4" i="99"/>
  <c r="G4" i="99"/>
  <c r="F4" i="99"/>
  <c r="E4" i="99"/>
  <c r="D4" i="99"/>
  <c r="C4" i="99"/>
  <c r="B4" i="99"/>
  <c r="AN2" i="99"/>
  <c r="AM2" i="99"/>
  <c r="AL2" i="99"/>
  <c r="AK2" i="99"/>
  <c r="AJ2" i="99"/>
  <c r="AI2" i="99"/>
  <c r="AH2" i="99"/>
  <c r="AG2" i="99"/>
  <c r="AF2" i="99"/>
  <c r="AE2" i="99"/>
  <c r="AD2" i="99"/>
  <c r="AC2" i="99"/>
  <c r="AB2" i="99"/>
  <c r="AA2" i="99"/>
  <c r="Z2" i="99"/>
  <c r="Y2" i="99"/>
  <c r="X2" i="99"/>
  <c r="W2" i="99"/>
  <c r="V2" i="99"/>
  <c r="U2" i="99"/>
  <c r="T2" i="99"/>
  <c r="S2" i="99"/>
  <c r="R2" i="99"/>
  <c r="Q2" i="99"/>
  <c r="P2" i="99"/>
  <c r="O2" i="99"/>
  <c r="N2" i="99"/>
  <c r="M2" i="99"/>
  <c r="L2" i="99"/>
  <c r="K2" i="99"/>
  <c r="J2" i="99"/>
  <c r="I2" i="99"/>
  <c r="H2" i="99"/>
  <c r="G2" i="99"/>
  <c r="F2" i="99"/>
  <c r="E2" i="99"/>
  <c r="D2" i="99"/>
  <c r="C2" i="99"/>
  <c r="B2" i="99"/>
  <c r="AW24" i="99" l="1"/>
  <c r="AW16" i="99"/>
  <c r="T26" i="99"/>
  <c r="AW14" i="99"/>
  <c r="AW15" i="99"/>
  <c r="AJ74" i="99"/>
  <c r="AJ76" i="99" s="1"/>
  <c r="Q67" i="102"/>
  <c r="R66" i="102"/>
  <c r="R86" i="102"/>
  <c r="T84" i="102"/>
  <c r="S85" i="102"/>
  <c r="D67" i="100"/>
  <c r="D69" i="100" s="1"/>
  <c r="E66" i="100"/>
  <c r="I67" i="101"/>
  <c r="J66" i="101"/>
  <c r="L84" i="101"/>
  <c r="K85" i="101"/>
  <c r="AW12" i="99"/>
  <c r="C84" i="99"/>
  <c r="C85" i="99" s="1"/>
  <c r="AU13" i="99"/>
  <c r="AW13" i="99" s="1"/>
  <c r="AW20" i="99"/>
  <c r="AU10" i="99"/>
  <c r="AU8" i="99"/>
  <c r="AW8" i="99" s="1"/>
  <c r="AW17" i="99"/>
  <c r="AU25" i="99"/>
  <c r="B67" i="99"/>
  <c r="U11" i="99"/>
  <c r="U26" i="99" s="1"/>
  <c r="S11" i="99"/>
  <c r="S26" i="99" s="1"/>
  <c r="AW23" i="99"/>
  <c r="W72" i="100"/>
  <c r="W74" i="100" s="1"/>
  <c r="W76" i="100" s="1"/>
  <c r="F84" i="100"/>
  <c r="E85" i="100"/>
  <c r="AA11" i="99"/>
  <c r="AA26" i="99" s="1"/>
  <c r="W26" i="99"/>
  <c r="X84" i="99"/>
  <c r="X85" i="99" s="1"/>
  <c r="X11" i="99"/>
  <c r="X26" i="99" s="1"/>
  <c r="AU21" i="99"/>
  <c r="AU9" i="99"/>
  <c r="C67" i="99"/>
  <c r="D66" i="99"/>
  <c r="I33" i="99"/>
  <c r="I36" i="99" s="1"/>
  <c r="Y11" i="99"/>
  <c r="Y26" i="99" s="1"/>
  <c r="AU22" i="99"/>
  <c r="AW22" i="99" s="1"/>
  <c r="W84" i="99"/>
  <c r="W85" i="99" s="1"/>
  <c r="W66" i="99"/>
  <c r="W67" i="99" s="1"/>
  <c r="X66" i="99"/>
  <c r="X67" i="99" s="1"/>
  <c r="Z11" i="99"/>
  <c r="Z26" i="99" s="1"/>
  <c r="AO73" i="99"/>
  <c r="B33" i="97"/>
  <c r="B36" i="97" s="1"/>
  <c r="D84" i="99" l="1"/>
  <c r="E84" i="99" s="1"/>
  <c r="U84" i="102"/>
  <c r="T85" i="102"/>
  <c r="C87" i="102"/>
  <c r="B87" i="102"/>
  <c r="D87" i="102"/>
  <c r="E87" i="102"/>
  <c r="F87" i="102"/>
  <c r="G87" i="102"/>
  <c r="H87" i="102"/>
  <c r="I87" i="102"/>
  <c r="J87" i="102"/>
  <c r="K87" i="102"/>
  <c r="L87" i="102"/>
  <c r="M87" i="102"/>
  <c r="N87" i="102"/>
  <c r="O87" i="102"/>
  <c r="P87" i="102"/>
  <c r="Q87" i="102"/>
  <c r="R87" i="102"/>
  <c r="S66" i="102"/>
  <c r="R67" i="102"/>
  <c r="Q72" i="102"/>
  <c r="F66" i="100"/>
  <c r="E67" i="100"/>
  <c r="L85" i="101"/>
  <c r="M84" i="101"/>
  <c r="K66" i="101"/>
  <c r="J67" i="101"/>
  <c r="G84" i="100"/>
  <c r="F85" i="100"/>
  <c r="X86" i="99"/>
  <c r="X87" i="99" s="1"/>
  <c r="W72" i="99"/>
  <c r="W74" i="99" s="1"/>
  <c r="W76" i="99" s="1"/>
  <c r="AP74" i="99"/>
  <c r="AP76" i="99" s="1"/>
  <c r="AP73" i="99"/>
  <c r="D67" i="99"/>
  <c r="E66" i="99"/>
  <c r="B84" i="98"/>
  <c r="B85" i="98" s="1"/>
  <c r="AO83" i="98"/>
  <c r="AN83" i="98"/>
  <c r="AM83" i="98"/>
  <c r="AL83" i="98"/>
  <c r="AK83" i="98"/>
  <c r="AJ83" i="98"/>
  <c r="AI83" i="98"/>
  <c r="AH83" i="98"/>
  <c r="AG83" i="98"/>
  <c r="AF83" i="98"/>
  <c r="AE83" i="98"/>
  <c r="AD83" i="98"/>
  <c r="AC83" i="98"/>
  <c r="AB83" i="98"/>
  <c r="AA83" i="98"/>
  <c r="Z83" i="98"/>
  <c r="Y83" i="98"/>
  <c r="X83" i="98"/>
  <c r="W83" i="98"/>
  <c r="V83" i="98"/>
  <c r="U83" i="98"/>
  <c r="T83" i="98"/>
  <c r="S83" i="98"/>
  <c r="R82" i="98"/>
  <c r="Q82" i="98"/>
  <c r="P82" i="98"/>
  <c r="O82" i="98"/>
  <c r="N82" i="98"/>
  <c r="M82" i="98"/>
  <c r="L82" i="98"/>
  <c r="K82" i="98"/>
  <c r="J82" i="98"/>
  <c r="I82" i="98"/>
  <c r="H82" i="98"/>
  <c r="G82" i="98"/>
  <c r="F82" i="98"/>
  <c r="E82" i="98"/>
  <c r="D82" i="98"/>
  <c r="C82" i="98"/>
  <c r="B82" i="98"/>
  <c r="B66" i="98"/>
  <c r="B67" i="98" s="1"/>
  <c r="AN63" i="98"/>
  <c r="AM63" i="98"/>
  <c r="AL63" i="98"/>
  <c r="AK63" i="98"/>
  <c r="AJ63" i="98"/>
  <c r="AI63" i="98"/>
  <c r="AH63" i="98"/>
  <c r="AG63" i="98"/>
  <c r="AF63" i="98"/>
  <c r="AE63" i="98"/>
  <c r="AD63" i="98"/>
  <c r="AC63" i="98"/>
  <c r="AB63" i="98"/>
  <c r="AA63" i="98"/>
  <c r="Z63" i="98"/>
  <c r="Y63" i="98"/>
  <c r="X63" i="98"/>
  <c r="W63" i="98"/>
  <c r="V63" i="98"/>
  <c r="U63" i="98"/>
  <c r="T63" i="98"/>
  <c r="S63" i="98"/>
  <c r="B58" i="98"/>
  <c r="A44" i="98"/>
  <c r="AQ31" i="98"/>
  <c r="Y31" i="98"/>
  <c r="I33" i="98"/>
  <c r="H33" i="98"/>
  <c r="G33" i="98"/>
  <c r="AU29" i="98"/>
  <c r="AT27" i="98"/>
  <c r="AS27" i="98"/>
  <c r="AR27" i="98"/>
  <c r="AQ27" i="98"/>
  <c r="AP27" i="98"/>
  <c r="AR25" i="98"/>
  <c r="AQ25" i="98"/>
  <c r="AP25" i="98"/>
  <c r="AO25" i="98"/>
  <c r="A25" i="98"/>
  <c r="A54" i="98" s="1"/>
  <c r="AV24" i="98"/>
  <c r="AU24" i="98"/>
  <c r="A24" i="98"/>
  <c r="A53" i="98" s="1"/>
  <c r="AV23" i="98"/>
  <c r="AU23" i="98"/>
  <c r="A23" i="98"/>
  <c r="A52" i="98" s="1"/>
  <c r="AV22" i="98"/>
  <c r="AN22" i="98"/>
  <c r="A22" i="98"/>
  <c r="A51" i="98" s="1"/>
  <c r="AP21" i="98"/>
  <c r="AO21" i="98"/>
  <c r="AN21" i="98"/>
  <c r="AM21" i="98"/>
  <c r="AK21" i="98"/>
  <c r="AG21" i="98"/>
  <c r="AE21" i="98"/>
  <c r="AC21" i="98"/>
  <c r="AB21" i="98"/>
  <c r="AA21" i="98"/>
  <c r="Z21" i="98"/>
  <c r="A21" i="98"/>
  <c r="A50" i="98" s="1"/>
  <c r="AU20" i="98"/>
  <c r="AW20" i="98" s="1"/>
  <c r="A20" i="98"/>
  <c r="A49" i="98" s="1"/>
  <c r="AR19" i="98"/>
  <c r="AP19" i="98"/>
  <c r="AO19" i="98"/>
  <c r="AN19" i="98"/>
  <c r="AL19" i="98"/>
  <c r="AK19" i="98"/>
  <c r="AF19" i="98"/>
  <c r="A19" i="98"/>
  <c r="A48" i="98" s="1"/>
  <c r="AU18" i="98"/>
  <c r="AW18" i="98" s="1"/>
  <c r="A18" i="98"/>
  <c r="A47" i="98" s="1"/>
  <c r="AU17" i="98"/>
  <c r="AW17" i="98" s="1"/>
  <c r="A17" i="98"/>
  <c r="A46" i="98" s="1"/>
  <c r="AV16" i="98"/>
  <c r="AU16" i="98"/>
  <c r="A16" i="98"/>
  <c r="A45" i="98" s="1"/>
  <c r="AV15" i="98"/>
  <c r="Z15" i="98"/>
  <c r="AV14" i="98"/>
  <c r="AU14" i="98"/>
  <c r="A14" i="98"/>
  <c r="A43" i="98" s="1"/>
  <c r="AV13" i="98"/>
  <c r="AU13" i="98"/>
  <c r="A13" i="98"/>
  <c r="A42" i="98" s="1"/>
  <c r="AV12" i="98"/>
  <c r="AU12" i="98"/>
  <c r="A12" i="98"/>
  <c r="A41" i="98" s="1"/>
  <c r="V11" i="98"/>
  <c r="U11" i="98"/>
  <c r="T11" i="98"/>
  <c r="S11" i="98"/>
  <c r="R11" i="98"/>
  <c r="R26" i="98" s="1"/>
  <c r="Q11" i="98"/>
  <c r="Q26" i="98" s="1"/>
  <c r="P11" i="98"/>
  <c r="P26" i="98" s="1"/>
  <c r="O11" i="98"/>
  <c r="O26" i="98" s="1"/>
  <c r="N11" i="98"/>
  <c r="N26" i="98" s="1"/>
  <c r="M11" i="98"/>
  <c r="M26" i="98" s="1"/>
  <c r="L11" i="98"/>
  <c r="L26" i="98" s="1"/>
  <c r="K11" i="98"/>
  <c r="K26" i="98" s="1"/>
  <c r="J11" i="98"/>
  <c r="J26" i="98" s="1"/>
  <c r="I11" i="98"/>
  <c r="I26" i="98" s="1"/>
  <c r="H11" i="98"/>
  <c r="H26" i="98" s="1"/>
  <c r="G11" i="98"/>
  <c r="G26" i="98" s="1"/>
  <c r="F11" i="98"/>
  <c r="F26" i="98" s="1"/>
  <c r="E11" i="98"/>
  <c r="E26" i="98" s="1"/>
  <c r="D11" i="98"/>
  <c r="D26" i="98" s="1"/>
  <c r="C11" i="98"/>
  <c r="C26" i="98" s="1"/>
  <c r="B11" i="98"/>
  <c r="B26" i="98" s="1"/>
  <c r="A11" i="98"/>
  <c r="AV10" i="98"/>
  <c r="AR10" i="98"/>
  <c r="A10" i="98"/>
  <c r="AV9" i="98"/>
  <c r="AN9" i="98"/>
  <c r="AU9" i="98" s="1"/>
  <c r="A9" i="98"/>
  <c r="AV8" i="98"/>
  <c r="AU8" i="98"/>
  <c r="A8" i="98"/>
  <c r="AC11" i="98"/>
  <c r="AB11" i="98"/>
  <c r="AA11" i="98"/>
  <c r="Z11" i="98"/>
  <c r="Y11" i="98"/>
  <c r="Y26" i="98" s="1"/>
  <c r="X11" i="98"/>
  <c r="X26" i="98" s="1"/>
  <c r="W11" i="98"/>
  <c r="A7" i="98"/>
  <c r="C2" i="98"/>
  <c r="D2" i="98" s="1"/>
  <c r="E2" i="98" s="1"/>
  <c r="F2" i="98" s="1"/>
  <c r="G2" i="98" s="1"/>
  <c r="H2" i="98" s="1"/>
  <c r="I2" i="98" s="1"/>
  <c r="J2" i="98" s="1"/>
  <c r="K2" i="98" s="1"/>
  <c r="L2" i="98" s="1"/>
  <c r="M2" i="98" s="1"/>
  <c r="N2" i="98" s="1"/>
  <c r="O2" i="98" s="1"/>
  <c r="P2" i="98" s="1"/>
  <c r="Q2" i="98" s="1"/>
  <c r="R2" i="98" s="1"/>
  <c r="S2" i="98" s="1"/>
  <c r="T2" i="98" s="1"/>
  <c r="U2" i="98" s="1"/>
  <c r="V2" i="98" s="1"/>
  <c r="W2" i="98" s="1"/>
  <c r="X2" i="98" s="1"/>
  <c r="Y2" i="98" s="1"/>
  <c r="Z2" i="98" s="1"/>
  <c r="AA2" i="98" s="1"/>
  <c r="AB2" i="98" s="1"/>
  <c r="AC2" i="98" s="1"/>
  <c r="AD2" i="98" s="1"/>
  <c r="AE2" i="98" s="1"/>
  <c r="AF2" i="98" s="1"/>
  <c r="AG2" i="98" s="1"/>
  <c r="AH2" i="98" s="1"/>
  <c r="AI2" i="98" s="1"/>
  <c r="AJ2" i="98" s="1"/>
  <c r="AK2" i="98" s="1"/>
  <c r="AL2" i="98" s="1"/>
  <c r="AM2" i="98" s="1"/>
  <c r="AN2" i="98" s="1"/>
  <c r="AO2" i="98" s="1"/>
  <c r="D85" i="99" l="1"/>
  <c r="H36" i="98"/>
  <c r="I36" i="98"/>
  <c r="G36" i="98"/>
  <c r="R72" i="102"/>
  <c r="R74" i="102" s="1"/>
  <c r="R76" i="102" s="1"/>
  <c r="R68" i="102"/>
  <c r="S67" i="102"/>
  <c r="T66" i="102"/>
  <c r="V84" i="102"/>
  <c r="V85" i="102" s="1"/>
  <c r="U85" i="102"/>
  <c r="Q74" i="102"/>
  <c r="G66" i="100"/>
  <c r="F67" i="100"/>
  <c r="F69" i="100" s="1"/>
  <c r="L66" i="101"/>
  <c r="K67" i="101"/>
  <c r="M85" i="101"/>
  <c r="N84" i="101"/>
  <c r="H84" i="100"/>
  <c r="G85" i="100"/>
  <c r="E85" i="99"/>
  <c r="F84" i="99"/>
  <c r="E67" i="99"/>
  <c r="F66" i="99"/>
  <c r="AD11" i="98"/>
  <c r="AD26" i="98" s="1"/>
  <c r="V26" i="98"/>
  <c r="AF11" i="98"/>
  <c r="AF26" i="98" s="1"/>
  <c r="AU15" i="98"/>
  <c r="AW15" i="98" s="1"/>
  <c r="U26" i="98"/>
  <c r="W26" i="98"/>
  <c r="AU22" i="98"/>
  <c r="AW22" i="98" s="1"/>
  <c r="AA26" i="98"/>
  <c r="AB26" i="98"/>
  <c r="S26" i="98"/>
  <c r="F33" i="98"/>
  <c r="F36" i="98" s="1"/>
  <c r="AE11" i="98"/>
  <c r="AE26" i="98" s="1"/>
  <c r="AC26" i="98"/>
  <c r="T26" i="98"/>
  <c r="AU21" i="98"/>
  <c r="J33" i="98"/>
  <c r="AU19" i="98"/>
  <c r="AW19" i="98" s="1"/>
  <c r="Z26" i="98"/>
  <c r="AW13" i="98"/>
  <c r="AW16" i="98"/>
  <c r="AW8" i="98"/>
  <c r="AW12" i="98"/>
  <c r="AW14" i="98"/>
  <c r="AW23" i="98"/>
  <c r="C66" i="98"/>
  <c r="C67" i="98" s="1"/>
  <c r="AW24" i="98"/>
  <c r="C84" i="98"/>
  <c r="C85" i="98" s="1"/>
  <c r="AU10" i="98"/>
  <c r="AU25" i="98"/>
  <c r="W84" i="98"/>
  <c r="W85" i="98" s="1"/>
  <c r="D66" i="98" l="1"/>
  <c r="D67" i="98" s="1"/>
  <c r="J36" i="98"/>
  <c r="T72" i="102"/>
  <c r="U66" i="102"/>
  <c r="T67" i="102"/>
  <c r="B69" i="102"/>
  <c r="C69" i="102"/>
  <c r="D69" i="102"/>
  <c r="E69" i="102"/>
  <c r="F69" i="102"/>
  <c r="G69" i="102"/>
  <c r="H69" i="102"/>
  <c r="I69" i="102"/>
  <c r="J69" i="102"/>
  <c r="K69" i="102"/>
  <c r="L69" i="102"/>
  <c r="M69" i="102"/>
  <c r="N69" i="102"/>
  <c r="O69" i="102"/>
  <c r="P69" i="102"/>
  <c r="Q69" i="102"/>
  <c r="W86" i="102"/>
  <c r="Q76" i="102"/>
  <c r="S72" i="102"/>
  <c r="S74" i="102" s="1"/>
  <c r="S76" i="102" s="1"/>
  <c r="R69" i="102"/>
  <c r="G67" i="100"/>
  <c r="H66" i="100"/>
  <c r="O84" i="101"/>
  <c r="N85" i="101"/>
  <c r="M66" i="101"/>
  <c r="L67" i="101"/>
  <c r="I84" i="100"/>
  <c r="H85" i="100"/>
  <c r="Z84" i="98"/>
  <c r="Z85" i="98" s="1"/>
  <c r="AA84" i="98"/>
  <c r="AA85" i="98" s="1"/>
  <c r="AA66" i="98"/>
  <c r="AA67" i="98" s="1"/>
  <c r="G66" i="99"/>
  <c r="F67" i="99"/>
  <c r="G84" i="99"/>
  <c r="F85" i="99"/>
  <c r="W66" i="98"/>
  <c r="W67" i="98" s="1"/>
  <c r="X84" i="98"/>
  <c r="X85" i="98" s="1"/>
  <c r="X86" i="98" s="1"/>
  <c r="X87" i="98" s="1"/>
  <c r="X66" i="98"/>
  <c r="X67" i="98" s="1"/>
  <c r="Y66" i="98"/>
  <c r="Y67" i="98" s="1"/>
  <c r="Y84" i="98"/>
  <c r="Y85" i="98" s="1"/>
  <c r="Z66" i="98"/>
  <c r="Z67" i="98" s="1"/>
  <c r="D84" i="98"/>
  <c r="D85" i="98" s="1"/>
  <c r="AC66" i="98"/>
  <c r="AC67" i="98" s="1"/>
  <c r="AC84" i="98"/>
  <c r="AC85" i="98" s="1"/>
  <c r="AB66" i="98"/>
  <c r="AB67" i="98" s="1"/>
  <c r="AB84" i="98"/>
  <c r="AB85" i="98" s="1"/>
  <c r="E66" i="98" l="1"/>
  <c r="Z86" i="98"/>
  <c r="Y87" i="98" s="1"/>
  <c r="W87" i="102"/>
  <c r="S87" i="102"/>
  <c r="T87" i="102"/>
  <c r="U72" i="102"/>
  <c r="V66" i="102"/>
  <c r="U67" i="102"/>
  <c r="U68" i="102" s="1"/>
  <c r="T69" i="102" s="1"/>
  <c r="V87" i="102"/>
  <c r="U87" i="102"/>
  <c r="H67" i="100"/>
  <c r="H69" i="100" s="1"/>
  <c r="I66" i="100"/>
  <c r="N66" i="101"/>
  <c r="M67" i="101"/>
  <c r="O85" i="101"/>
  <c r="P84" i="101"/>
  <c r="J84" i="100"/>
  <c r="I85" i="100"/>
  <c r="Y68" i="98"/>
  <c r="Y69" i="98" s="1"/>
  <c r="H84" i="99"/>
  <c r="G85" i="99"/>
  <c r="G67" i="99"/>
  <c r="H66" i="99"/>
  <c r="E84" i="98"/>
  <c r="F84" i="98" s="1"/>
  <c r="F66" i="98"/>
  <c r="E67" i="98"/>
  <c r="AC86" i="98"/>
  <c r="AA87" i="98" s="1"/>
  <c r="AC68" i="98"/>
  <c r="Z87" i="98" l="1"/>
  <c r="X69" i="98"/>
  <c r="U69" i="102"/>
  <c r="S69" i="102"/>
  <c r="V72" i="102"/>
  <c r="V67" i="102"/>
  <c r="J66" i="100"/>
  <c r="I67" i="100"/>
  <c r="Q84" i="101"/>
  <c r="P85" i="101"/>
  <c r="N67" i="101"/>
  <c r="O66" i="101"/>
  <c r="K84" i="100"/>
  <c r="J85" i="100"/>
  <c r="H67" i="99"/>
  <c r="I66" i="99"/>
  <c r="H85" i="99"/>
  <c r="I84" i="99"/>
  <c r="E85" i="98"/>
  <c r="AC87" i="98"/>
  <c r="AA69" i="98"/>
  <c r="Z69" i="98"/>
  <c r="AB87" i="98"/>
  <c r="G84" i="98"/>
  <c r="F85" i="98"/>
  <c r="G66" i="98"/>
  <c r="F67" i="98"/>
  <c r="AB69" i="98"/>
  <c r="AC69" i="98"/>
  <c r="V74" i="102" l="1"/>
  <c r="V76" i="102" s="1"/>
  <c r="W68" i="102"/>
  <c r="K66" i="100"/>
  <c r="J67" i="100"/>
  <c r="J69" i="100" s="1"/>
  <c r="O67" i="101"/>
  <c r="P66" i="101"/>
  <c r="R84" i="101"/>
  <c r="Q85" i="101"/>
  <c r="K85" i="100"/>
  <c r="L84" i="100"/>
  <c r="I85" i="99"/>
  <c r="J84" i="99"/>
  <c r="J66" i="99"/>
  <c r="I67" i="99"/>
  <c r="G67" i="98"/>
  <c r="H66" i="98"/>
  <c r="G85" i="98"/>
  <c r="H84" i="98"/>
  <c r="W69" i="102" l="1"/>
  <c r="V69" i="102"/>
  <c r="K67" i="100"/>
  <c r="K69" i="100" s="1"/>
  <c r="L66" i="100"/>
  <c r="S84" i="101"/>
  <c r="R85" i="101"/>
  <c r="Q66" i="101"/>
  <c r="P67" i="101"/>
  <c r="M84" i="100"/>
  <c r="L85" i="100"/>
  <c r="J85" i="99"/>
  <c r="K84" i="99"/>
  <c r="K66" i="99"/>
  <c r="J67" i="99"/>
  <c r="I66" i="98"/>
  <c r="H67" i="98"/>
  <c r="I84" i="98"/>
  <c r="H85" i="98"/>
  <c r="M66" i="100" l="1"/>
  <c r="L67" i="100"/>
  <c r="L69" i="100" s="1"/>
  <c r="Q67" i="101"/>
  <c r="R66" i="101"/>
  <c r="R86" i="101"/>
  <c r="T84" i="101"/>
  <c r="S85" i="101"/>
  <c r="N84" i="100"/>
  <c r="M85" i="100"/>
  <c r="K67" i="99"/>
  <c r="L66" i="99"/>
  <c r="L84" i="99"/>
  <c r="K85" i="99"/>
  <c r="J84" i="98"/>
  <c r="I85" i="98"/>
  <c r="J66" i="98"/>
  <c r="I67" i="98"/>
  <c r="N66" i="100" l="1"/>
  <c r="M67" i="100"/>
  <c r="U84" i="101"/>
  <c r="T85" i="101"/>
  <c r="B87" i="101"/>
  <c r="D87" i="101"/>
  <c r="C87" i="101"/>
  <c r="E87" i="101"/>
  <c r="F87" i="101"/>
  <c r="G87" i="101"/>
  <c r="H87" i="101"/>
  <c r="I87" i="101"/>
  <c r="J87" i="101"/>
  <c r="K87" i="101"/>
  <c r="L87" i="101"/>
  <c r="M87" i="101"/>
  <c r="N87" i="101"/>
  <c r="O87" i="101"/>
  <c r="P87" i="101"/>
  <c r="Q87" i="101"/>
  <c r="R87" i="101"/>
  <c r="S66" i="101"/>
  <c r="R67" i="101"/>
  <c r="Q72" i="101"/>
  <c r="O84" i="100"/>
  <c r="N85" i="100"/>
  <c r="L85" i="99"/>
  <c r="M84" i="99"/>
  <c r="L67" i="99"/>
  <c r="M66" i="99"/>
  <c r="J67" i="98"/>
  <c r="K66" i="98"/>
  <c r="J85" i="98"/>
  <c r="K84" i="98"/>
  <c r="O66" i="100" l="1"/>
  <c r="N67" i="100"/>
  <c r="R72" i="101"/>
  <c r="R74" i="101" s="1"/>
  <c r="R76" i="101" s="1"/>
  <c r="R68" i="101"/>
  <c r="T66" i="101"/>
  <c r="S67" i="101"/>
  <c r="V84" i="101"/>
  <c r="V85" i="101" s="1"/>
  <c r="U85" i="101"/>
  <c r="Q74" i="101"/>
  <c r="P84" i="100"/>
  <c r="O85" i="100"/>
  <c r="M67" i="99"/>
  <c r="N66" i="99"/>
  <c r="M85" i="99"/>
  <c r="N84" i="99"/>
  <c r="L84" i="98"/>
  <c r="K85" i="98"/>
  <c r="K67" i="98"/>
  <c r="L66" i="98"/>
  <c r="N69" i="100" l="1"/>
  <c r="O67" i="100"/>
  <c r="P66" i="100"/>
  <c r="S72" i="101"/>
  <c r="T72" i="101"/>
  <c r="U66" i="101"/>
  <c r="T67" i="101"/>
  <c r="B69" i="101"/>
  <c r="C69" i="101"/>
  <c r="D69" i="101"/>
  <c r="E69" i="101"/>
  <c r="F69" i="101"/>
  <c r="G69" i="101"/>
  <c r="H69" i="101"/>
  <c r="I69" i="101"/>
  <c r="J69" i="101"/>
  <c r="K69" i="101"/>
  <c r="L69" i="101"/>
  <c r="M69" i="101"/>
  <c r="N69" i="101"/>
  <c r="O69" i="101"/>
  <c r="P69" i="101"/>
  <c r="Q69" i="101"/>
  <c r="Q76" i="101"/>
  <c r="R69" i="101"/>
  <c r="W86" i="101"/>
  <c r="V87" i="101" s="1"/>
  <c r="Q84" i="100"/>
  <c r="P85" i="100"/>
  <c r="O84" i="99"/>
  <c r="N85" i="99"/>
  <c r="O66" i="99"/>
  <c r="N67" i="99"/>
  <c r="L67" i="98"/>
  <c r="M66" i="98"/>
  <c r="L85" i="98"/>
  <c r="M84" i="98"/>
  <c r="P67" i="100" l="1"/>
  <c r="P69" i="100" s="1"/>
  <c r="Q66" i="100"/>
  <c r="U72" i="101"/>
  <c r="V66" i="101"/>
  <c r="U67" i="101"/>
  <c r="U68" i="101" s="1"/>
  <c r="W87" i="101"/>
  <c r="S87" i="101"/>
  <c r="T87" i="101"/>
  <c r="S74" i="101"/>
  <c r="U87" i="101"/>
  <c r="R84" i="100"/>
  <c r="Q85" i="100"/>
  <c r="O67" i="99"/>
  <c r="P66" i="99"/>
  <c r="P84" i="99"/>
  <c r="O85" i="99"/>
  <c r="N66" i="98"/>
  <c r="M67" i="98"/>
  <c r="N84" i="98"/>
  <c r="M85" i="98"/>
  <c r="Q67" i="100" l="1"/>
  <c r="Q72" i="100" s="1"/>
  <c r="Q74" i="100" s="1"/>
  <c r="Q76" i="100" s="1"/>
  <c r="R66" i="100"/>
  <c r="S76" i="101"/>
  <c r="S69" i="101"/>
  <c r="U69" i="101"/>
  <c r="V67" i="101"/>
  <c r="V72" i="101"/>
  <c r="T69" i="101"/>
  <c r="S84" i="100"/>
  <c r="R85" i="100"/>
  <c r="P85" i="99"/>
  <c r="Q84" i="99"/>
  <c r="P67" i="99"/>
  <c r="Q66" i="99"/>
  <c r="O66" i="98"/>
  <c r="N67" i="98"/>
  <c r="O84" i="98"/>
  <c r="N85" i="98"/>
  <c r="S66" i="100" l="1"/>
  <c r="R67" i="100"/>
  <c r="W68" i="101"/>
  <c r="V69" i="101" s="1"/>
  <c r="V74" i="101"/>
  <c r="T84" i="100"/>
  <c r="S85" i="100"/>
  <c r="R86" i="100"/>
  <c r="R66" i="99"/>
  <c r="Q67" i="99"/>
  <c r="Q85" i="99"/>
  <c r="R84" i="99"/>
  <c r="O85" i="98"/>
  <c r="P84" i="98"/>
  <c r="O67" i="98"/>
  <c r="P66" i="98"/>
  <c r="R72" i="100" l="1"/>
  <c r="R74" i="100" s="1"/>
  <c r="R76" i="100" s="1"/>
  <c r="R69" i="100"/>
  <c r="S67" i="100"/>
  <c r="T66" i="100"/>
  <c r="V76" i="101"/>
  <c r="W69" i="101"/>
  <c r="C87" i="100"/>
  <c r="B87" i="100"/>
  <c r="W87" i="100"/>
  <c r="D87" i="100"/>
  <c r="E87" i="100"/>
  <c r="F87" i="100"/>
  <c r="G87" i="100"/>
  <c r="H87" i="100"/>
  <c r="I87" i="100"/>
  <c r="J87" i="100"/>
  <c r="K87" i="100"/>
  <c r="L87" i="100"/>
  <c r="M87" i="100"/>
  <c r="N87" i="100"/>
  <c r="O87" i="100"/>
  <c r="P87" i="100"/>
  <c r="Q87" i="100"/>
  <c r="S87" i="100"/>
  <c r="U84" i="100"/>
  <c r="T85" i="100"/>
  <c r="T87" i="100" s="1"/>
  <c r="R87" i="100"/>
  <c r="R85" i="99"/>
  <c r="S84" i="99"/>
  <c r="Q72" i="99"/>
  <c r="S66" i="99"/>
  <c r="R67" i="99"/>
  <c r="Q66" i="98"/>
  <c r="P67" i="98"/>
  <c r="Q84" i="98"/>
  <c r="P85" i="98"/>
  <c r="U66" i="100" l="1"/>
  <c r="T72" i="100"/>
  <c r="T67" i="100"/>
  <c r="S72" i="100"/>
  <c r="S74" i="100" s="1"/>
  <c r="R68" i="100"/>
  <c r="V84" i="100"/>
  <c r="V85" i="100" s="1"/>
  <c r="V87" i="100" s="1"/>
  <c r="U85" i="100"/>
  <c r="R72" i="99"/>
  <c r="R74" i="99" s="1"/>
  <c r="R76" i="99" s="1"/>
  <c r="R68" i="99"/>
  <c r="S67" i="99"/>
  <c r="T66" i="99"/>
  <c r="Q74" i="99"/>
  <c r="T84" i="99"/>
  <c r="S85" i="99"/>
  <c r="R86" i="99"/>
  <c r="R84" i="98"/>
  <c r="Q85" i="98"/>
  <c r="R66" i="98"/>
  <c r="Q67" i="98"/>
  <c r="B69" i="100" l="1"/>
  <c r="S76" i="100"/>
  <c r="U72" i="100"/>
  <c r="V66" i="100"/>
  <c r="U67" i="100"/>
  <c r="U87" i="100"/>
  <c r="W86" i="100"/>
  <c r="U84" i="99"/>
  <c r="T85" i="99"/>
  <c r="Q76" i="99"/>
  <c r="T67" i="99"/>
  <c r="T72" i="99"/>
  <c r="U66" i="99"/>
  <c r="S72" i="99"/>
  <c r="B87" i="99"/>
  <c r="C87" i="99"/>
  <c r="D87" i="99"/>
  <c r="E87" i="99"/>
  <c r="F87" i="99"/>
  <c r="G87" i="99"/>
  <c r="H87" i="99"/>
  <c r="I87" i="99"/>
  <c r="J87" i="99"/>
  <c r="K87" i="99"/>
  <c r="L87" i="99"/>
  <c r="M87" i="99"/>
  <c r="N87" i="99"/>
  <c r="O87" i="99"/>
  <c r="P87" i="99"/>
  <c r="Q87" i="99"/>
  <c r="B69" i="99"/>
  <c r="C69" i="99"/>
  <c r="D69" i="99"/>
  <c r="E69" i="99"/>
  <c r="F69" i="99"/>
  <c r="G69" i="99"/>
  <c r="H69" i="99"/>
  <c r="I69" i="99"/>
  <c r="J69" i="99"/>
  <c r="K69" i="99"/>
  <c r="L69" i="99"/>
  <c r="M69" i="99"/>
  <c r="N69" i="99"/>
  <c r="O69" i="99"/>
  <c r="P69" i="99"/>
  <c r="Q69" i="99"/>
  <c r="R87" i="99"/>
  <c r="R69" i="99"/>
  <c r="R85" i="98"/>
  <c r="S84" i="98"/>
  <c r="R67" i="98"/>
  <c r="S66" i="98"/>
  <c r="V67" i="100" l="1"/>
  <c r="V72" i="100"/>
  <c r="U68" i="100"/>
  <c r="U69" i="100" s="1"/>
  <c r="U67" i="99"/>
  <c r="V66" i="99"/>
  <c r="U72" i="99"/>
  <c r="S74" i="99"/>
  <c r="V84" i="99"/>
  <c r="V85" i="99" s="1"/>
  <c r="U85" i="99"/>
  <c r="S67" i="98"/>
  <c r="T66" i="98"/>
  <c r="T84" i="98"/>
  <c r="S85" i="98"/>
  <c r="R86" i="98"/>
  <c r="V69" i="100" l="1"/>
  <c r="W68" i="100"/>
  <c r="E69" i="100"/>
  <c r="S69" i="100"/>
  <c r="T69" i="100"/>
  <c r="V74" i="100"/>
  <c r="U68" i="99"/>
  <c r="U69" i="99" s="1"/>
  <c r="V72" i="99"/>
  <c r="V74" i="99" s="1"/>
  <c r="V67" i="99"/>
  <c r="W86" i="99"/>
  <c r="V87" i="99" s="1"/>
  <c r="S76" i="99"/>
  <c r="S87" i="98"/>
  <c r="U66" i="98"/>
  <c r="T67" i="98"/>
  <c r="T69" i="98" s="1"/>
  <c r="B87" i="98"/>
  <c r="C87" i="98"/>
  <c r="W87" i="98"/>
  <c r="D87" i="98"/>
  <c r="E87" i="98"/>
  <c r="F87" i="98"/>
  <c r="G87" i="98"/>
  <c r="H87" i="98"/>
  <c r="I87" i="98"/>
  <c r="J87" i="98"/>
  <c r="K87" i="98"/>
  <c r="L87" i="98"/>
  <c r="M87" i="98"/>
  <c r="N87" i="98"/>
  <c r="O87" i="98"/>
  <c r="P87" i="98"/>
  <c r="Q87" i="98"/>
  <c r="R87" i="98"/>
  <c r="U84" i="98"/>
  <c r="T85" i="98"/>
  <c r="T87" i="98" s="1"/>
  <c r="S68" i="98"/>
  <c r="R68" i="98"/>
  <c r="S69" i="98" s="1"/>
  <c r="V76" i="100" l="1"/>
  <c r="G69" i="100"/>
  <c r="W69" i="100"/>
  <c r="V76" i="99"/>
  <c r="U87" i="99"/>
  <c r="W87" i="99"/>
  <c r="S87" i="99"/>
  <c r="T87" i="99"/>
  <c r="S69" i="99"/>
  <c r="T69" i="99"/>
  <c r="W68" i="99"/>
  <c r="W69" i="99" s="1"/>
  <c r="V66" i="98"/>
  <c r="V67" i="98" s="1"/>
  <c r="U67" i="98"/>
  <c r="U69" i="98" s="1"/>
  <c r="V84" i="98"/>
  <c r="V85" i="98" s="1"/>
  <c r="V87" i="98" s="1"/>
  <c r="U85" i="98"/>
  <c r="U87" i="98" s="1"/>
  <c r="B69" i="98"/>
  <c r="C69" i="98"/>
  <c r="D69" i="98"/>
  <c r="E69" i="98"/>
  <c r="F69" i="98"/>
  <c r="G69" i="98"/>
  <c r="H69" i="98"/>
  <c r="I69" i="98"/>
  <c r="J69" i="98"/>
  <c r="K69" i="98"/>
  <c r="L69" i="98"/>
  <c r="M69" i="98"/>
  <c r="N69" i="98"/>
  <c r="O69" i="98"/>
  <c r="P69" i="98"/>
  <c r="Q69" i="98"/>
  <c r="R69" i="98"/>
  <c r="V69" i="99" l="1"/>
  <c r="W86" i="98"/>
  <c r="W68" i="98"/>
  <c r="W69" i="98" l="1"/>
  <c r="V69" i="98"/>
  <c r="AT49" i="97" l="1"/>
  <c r="AT42" i="97"/>
  <c r="AT41" i="100" s="1"/>
  <c r="AT43" i="97"/>
  <c r="AT44" i="97"/>
  <c r="AT44" i="98" s="1"/>
  <c r="AT45" i="97"/>
  <c r="AT45" i="101" s="1"/>
  <c r="AT46" i="97"/>
  <c r="AT47" i="97"/>
  <c r="AT48" i="97"/>
  <c r="AT41" i="97"/>
  <c r="AT41" i="99" s="1"/>
  <c r="C33" i="97"/>
  <c r="C36" i="97" s="1"/>
  <c r="B84" i="97" l="1"/>
  <c r="B85" i="97" s="1"/>
  <c r="AO83" i="97"/>
  <c r="AN83" i="97"/>
  <c r="AM83" i="97"/>
  <c r="AL83" i="97"/>
  <c r="AK83" i="97"/>
  <c r="AJ83" i="97"/>
  <c r="AI83" i="97"/>
  <c r="AH83" i="97"/>
  <c r="AG83" i="97"/>
  <c r="AF83" i="97"/>
  <c r="AE83" i="97"/>
  <c r="AD83" i="97"/>
  <c r="AC83" i="97"/>
  <c r="AB83" i="97"/>
  <c r="AA83" i="97"/>
  <c r="Z83" i="97"/>
  <c r="Y83" i="97"/>
  <c r="X83" i="97"/>
  <c r="W83" i="97"/>
  <c r="V83" i="97"/>
  <c r="U83" i="97"/>
  <c r="T83" i="97"/>
  <c r="S83" i="97"/>
  <c r="R82" i="97"/>
  <c r="Q82" i="97"/>
  <c r="P82" i="97"/>
  <c r="O82" i="97"/>
  <c r="N82" i="97"/>
  <c r="M82" i="97"/>
  <c r="L82" i="97"/>
  <c r="K82" i="97"/>
  <c r="J82" i="97"/>
  <c r="I82" i="97"/>
  <c r="H82" i="97"/>
  <c r="G82" i="97"/>
  <c r="F82" i="97"/>
  <c r="E82" i="97"/>
  <c r="D82" i="97"/>
  <c r="C82" i="97"/>
  <c r="B82" i="97"/>
  <c r="AP75" i="97"/>
  <c r="AN75" i="97"/>
  <c r="AJ75" i="97"/>
  <c r="AG75" i="97"/>
  <c r="AE75" i="97"/>
  <c r="AC75" i="97"/>
  <c r="Y75" i="97"/>
  <c r="W75" i="97"/>
  <c r="V75" i="97"/>
  <c r="S75" i="97"/>
  <c r="R75" i="97"/>
  <c r="Q75" i="97"/>
  <c r="X74" i="97"/>
  <c r="AN73" i="97"/>
  <c r="AJ73" i="97"/>
  <c r="AG73" i="97"/>
  <c r="AE73" i="97"/>
  <c r="AC73" i="97"/>
  <c r="Y73" i="97"/>
  <c r="W73" i="97"/>
  <c r="V73" i="97"/>
  <c r="S73" i="97"/>
  <c r="R73" i="97"/>
  <c r="Q73" i="97"/>
  <c r="AJ72" i="97"/>
  <c r="B66" i="97"/>
  <c r="B67" i="97" s="1"/>
  <c r="AN63" i="97"/>
  <c r="AM63" i="97"/>
  <c r="AL63" i="97"/>
  <c r="AK63" i="97"/>
  <c r="AJ63" i="97"/>
  <c r="AI63" i="97"/>
  <c r="AH63" i="97"/>
  <c r="AG63" i="97"/>
  <c r="AF63" i="97"/>
  <c r="AE63" i="97"/>
  <c r="AD63" i="97"/>
  <c r="AA63" i="97"/>
  <c r="AB63" i="97" s="1"/>
  <c r="AC63" i="97" s="1"/>
  <c r="Z63" i="97"/>
  <c r="Y63" i="97"/>
  <c r="X63" i="97"/>
  <c r="W63" i="97"/>
  <c r="V63" i="97"/>
  <c r="U63" i="97"/>
  <c r="T63" i="97"/>
  <c r="S63" i="97"/>
  <c r="R63" i="97"/>
  <c r="Q63" i="97"/>
  <c r="P63" i="97"/>
  <c r="O63" i="97"/>
  <c r="N63" i="97"/>
  <c r="M63" i="97"/>
  <c r="L63" i="97"/>
  <c r="K63" i="97"/>
  <c r="J63" i="97"/>
  <c r="I63" i="97"/>
  <c r="H63" i="97"/>
  <c r="G63" i="97"/>
  <c r="F63" i="97"/>
  <c r="E63" i="97"/>
  <c r="D63" i="97"/>
  <c r="C63" i="97"/>
  <c r="B63" i="97"/>
  <c r="B58" i="97"/>
  <c r="A54" i="97"/>
  <c r="A53" i="97"/>
  <c r="A52" i="97"/>
  <c r="A51" i="97"/>
  <c r="A50" i="97"/>
  <c r="A49" i="97"/>
  <c r="A48" i="97"/>
  <c r="A47" i="97"/>
  <c r="A46" i="97"/>
  <c r="A45" i="97"/>
  <c r="A44" i="97"/>
  <c r="A43" i="97"/>
  <c r="A42" i="97"/>
  <c r="A41" i="97"/>
  <c r="AS25" i="97"/>
  <c r="AR25" i="97"/>
  <c r="AQ25" i="97"/>
  <c r="AP25" i="97"/>
  <c r="AR24" i="97"/>
  <c r="AQ24" i="97"/>
  <c r="AP24" i="97"/>
  <c r="AN24" i="97"/>
  <c r="AO23" i="97"/>
  <c r="AS22" i="97"/>
  <c r="AR22" i="97"/>
  <c r="AQ22" i="97"/>
  <c r="AP22" i="97"/>
  <c r="AO22" i="97"/>
  <c r="AS21" i="97"/>
  <c r="AR21" i="97"/>
  <c r="AQ21" i="97"/>
  <c r="AP21" i="97"/>
  <c r="AO21" i="97"/>
  <c r="AN21" i="97"/>
  <c r="AM21" i="97"/>
  <c r="AL21" i="97"/>
  <c r="AK21" i="97"/>
  <c r="AJ21" i="97"/>
  <c r="AI21" i="97"/>
  <c r="AH21" i="97"/>
  <c r="AG21" i="97"/>
  <c r="AF21" i="97"/>
  <c r="AE21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Z20" i="97"/>
  <c r="Y20" i="97"/>
  <c r="X20" i="97"/>
  <c r="W20" i="97"/>
  <c r="AR19" i="97"/>
  <c r="AQ19" i="97"/>
  <c r="AP19" i="97"/>
  <c r="AO19" i="97"/>
  <c r="AN19" i="97"/>
  <c r="AM19" i="97"/>
  <c r="AL19" i="97"/>
  <c r="AK19" i="97"/>
  <c r="AI19" i="97"/>
  <c r="AH19" i="97"/>
  <c r="AG19" i="97"/>
  <c r="AF19" i="97"/>
  <c r="AW18" i="97"/>
  <c r="AU17" i="97"/>
  <c r="AW17" i="97" s="1"/>
  <c r="AU16" i="97"/>
  <c r="AW16" i="97" s="1"/>
  <c r="Z15" i="97"/>
  <c r="Y15" i="97"/>
  <c r="X15" i="97"/>
  <c r="R11" i="97"/>
  <c r="R26" i="97" s="1"/>
  <c r="Q11" i="97"/>
  <c r="Q26" i="97" s="1"/>
  <c r="P11" i="97"/>
  <c r="P26" i="97" s="1"/>
  <c r="O11" i="97"/>
  <c r="O26" i="97" s="1"/>
  <c r="N11" i="97"/>
  <c r="N26" i="97" s="1"/>
  <c r="M11" i="97"/>
  <c r="M26" i="97" s="1"/>
  <c r="L11" i="97"/>
  <c r="L26" i="97" s="1"/>
  <c r="K11" i="97"/>
  <c r="K26" i="97" s="1"/>
  <c r="J11" i="97"/>
  <c r="J26" i="97" s="1"/>
  <c r="I11" i="97"/>
  <c r="I26" i="97" s="1"/>
  <c r="H11" i="97"/>
  <c r="H26" i="97" s="1"/>
  <c r="G11" i="97"/>
  <c r="G26" i="97" s="1"/>
  <c r="F11" i="97"/>
  <c r="F26" i="97" s="1"/>
  <c r="E11" i="97"/>
  <c r="E26" i="97" s="1"/>
  <c r="D11" i="97"/>
  <c r="D26" i="97" s="1"/>
  <c r="C11" i="97"/>
  <c r="C26" i="97" s="1"/>
  <c r="B11" i="97"/>
  <c r="B26" i="97" s="1"/>
  <c r="S11" i="97"/>
  <c r="Z11" i="97"/>
  <c r="Y11" i="97"/>
  <c r="X11" i="97"/>
  <c r="C5" i="97"/>
  <c r="D5" i="97" s="1"/>
  <c r="E5" i="97" s="1"/>
  <c r="F5" i="97" s="1"/>
  <c r="G5" i="97" s="1"/>
  <c r="H5" i="97" s="1"/>
  <c r="I5" i="97" s="1"/>
  <c r="J5" i="97" s="1"/>
  <c r="K5" i="97" s="1"/>
  <c r="L5" i="97" s="1"/>
  <c r="M5" i="97" s="1"/>
  <c r="N5" i="97" s="1"/>
  <c r="O5" i="97" s="1"/>
  <c r="P5" i="97" s="1"/>
  <c r="Q5" i="97" s="1"/>
  <c r="R5" i="97" s="1"/>
  <c r="S5" i="97" s="1"/>
  <c r="T5" i="97" s="1"/>
  <c r="U5" i="97" s="1"/>
  <c r="V5" i="97" s="1"/>
  <c r="W5" i="97" s="1"/>
  <c r="X5" i="97" s="1"/>
  <c r="Y5" i="97" s="1"/>
  <c r="Z5" i="97" s="1"/>
  <c r="AA5" i="97" s="1"/>
  <c r="AB5" i="97" s="1"/>
  <c r="AC5" i="97" s="1"/>
  <c r="AD5" i="97" s="1"/>
  <c r="AE5" i="97" s="1"/>
  <c r="AF5" i="97" s="1"/>
  <c r="AG5" i="97" s="1"/>
  <c r="AH5" i="97" s="1"/>
  <c r="AI5" i="97" s="1"/>
  <c r="AJ5" i="97" s="1"/>
  <c r="AK5" i="97" s="1"/>
  <c r="AL5" i="97" s="1"/>
  <c r="AM5" i="97" s="1"/>
  <c r="AN5" i="97" s="1"/>
  <c r="AO5" i="97" s="1"/>
  <c r="AG4" i="97"/>
  <c r="AH4" i="97" s="1"/>
  <c r="AI4" i="97" s="1"/>
  <c r="AJ4" i="97" s="1"/>
  <c r="AK4" i="97" s="1"/>
  <c r="AL4" i="97" s="1"/>
  <c r="AM4" i="97" s="1"/>
  <c r="AN4" i="97" s="1"/>
  <c r="AO4" i="97" s="1"/>
  <c r="T4" i="97"/>
  <c r="U4" i="97" s="1"/>
  <c r="V4" i="97" s="1"/>
  <c r="W4" i="97" s="1"/>
  <c r="X4" i="97" s="1"/>
  <c r="Y4" i="97" s="1"/>
  <c r="Z4" i="97" s="1"/>
  <c r="AA4" i="97" s="1"/>
  <c r="AB4" i="97" s="1"/>
  <c r="AC4" i="97" s="1"/>
  <c r="AD4" i="97" s="1"/>
  <c r="AE4" i="97" s="1"/>
  <c r="R4" i="97"/>
  <c r="Q4" i="97" s="1"/>
  <c r="P4" i="97" s="1"/>
  <c r="O4" i="97" s="1"/>
  <c r="N4" i="97" s="1"/>
  <c r="M4" i="97" s="1"/>
  <c r="L4" i="97" s="1"/>
  <c r="K4" i="97" s="1"/>
  <c r="J4" i="97" s="1"/>
  <c r="I4" i="97" s="1"/>
  <c r="H4" i="97" s="1"/>
  <c r="G4" i="97" s="1"/>
  <c r="F4" i="97" s="1"/>
  <c r="E4" i="97" s="1"/>
  <c r="D4" i="97" s="1"/>
  <c r="C4" i="97" s="1"/>
  <c r="B4" i="97" s="1"/>
  <c r="C2" i="97"/>
  <c r="D2" i="97" s="1"/>
  <c r="E2" i="97" s="1"/>
  <c r="F2" i="97" s="1"/>
  <c r="G2" i="97" s="1"/>
  <c r="H2" i="97" s="1"/>
  <c r="I2" i="97" s="1"/>
  <c r="J2" i="97" s="1"/>
  <c r="K2" i="97" s="1"/>
  <c r="L2" i="97" s="1"/>
  <c r="M2" i="97" s="1"/>
  <c r="N2" i="97" s="1"/>
  <c r="O2" i="97" s="1"/>
  <c r="P2" i="97" s="1"/>
  <c r="Q2" i="97" s="1"/>
  <c r="R2" i="97" s="1"/>
  <c r="S2" i="97" s="1"/>
  <c r="T2" i="97" s="1"/>
  <c r="U2" i="97" s="1"/>
  <c r="V2" i="97" s="1"/>
  <c r="W2" i="97" s="1"/>
  <c r="X2" i="97" s="1"/>
  <c r="Y2" i="97" s="1"/>
  <c r="Z2" i="97" s="1"/>
  <c r="AA2" i="97" s="1"/>
  <c r="AB2" i="97" s="1"/>
  <c r="AC2" i="97" s="1"/>
  <c r="AD2" i="97" s="1"/>
  <c r="AE2" i="97" s="1"/>
  <c r="AF2" i="97" s="1"/>
  <c r="AG2" i="97" s="1"/>
  <c r="AH2" i="97" s="1"/>
  <c r="AI2" i="97" s="1"/>
  <c r="AJ2" i="97" s="1"/>
  <c r="AK2" i="97" s="1"/>
  <c r="AL2" i="97" s="1"/>
  <c r="AM2" i="97" s="1"/>
  <c r="AN2" i="97" s="1"/>
  <c r="AO2" i="97" s="1"/>
  <c r="Z26" i="97" l="1"/>
  <c r="AU15" i="97"/>
  <c r="X26" i="97"/>
  <c r="AU19" i="97"/>
  <c r="AU9" i="97"/>
  <c r="T11" i="97"/>
  <c r="T26" i="97" s="1"/>
  <c r="W11" i="97"/>
  <c r="W26" i="97" s="1"/>
  <c r="AU10" i="97"/>
  <c r="Y26" i="97"/>
  <c r="AJ74" i="97"/>
  <c r="AJ76" i="97" s="1"/>
  <c r="C66" i="97"/>
  <c r="D66" i="97" s="1"/>
  <c r="C84" i="97"/>
  <c r="AA11" i="97"/>
  <c r="AA26" i="97" s="1"/>
  <c r="AU20" i="97"/>
  <c r="AU24" i="97"/>
  <c r="U11" i="97"/>
  <c r="U26" i="97" s="1"/>
  <c r="AU8" i="97"/>
  <c r="S26" i="97"/>
  <c r="AU25" i="97"/>
  <c r="V11" i="97"/>
  <c r="V26" i="97" s="1"/>
  <c r="W84" i="97"/>
  <c r="W85" i="97" s="1"/>
  <c r="X66" i="97"/>
  <c r="X67" i="97" s="1"/>
  <c r="W66" i="97"/>
  <c r="W67" i="97" s="1"/>
  <c r="AU22" i="97"/>
  <c r="AU23" i="97"/>
  <c r="X84" i="97"/>
  <c r="X85" i="97" s="1"/>
  <c r="AU21" i="97"/>
  <c r="AO73" i="97"/>
  <c r="G19" i="70"/>
  <c r="H18" i="70"/>
  <c r="G18" i="70"/>
  <c r="G16" i="70"/>
  <c r="H16" i="70" s="1"/>
  <c r="C67" i="97" l="1"/>
  <c r="D84" i="97"/>
  <c r="C85" i="97"/>
  <c r="X86" i="97"/>
  <c r="X87" i="97" s="1"/>
  <c r="AP73" i="97"/>
  <c r="AP74" i="97"/>
  <c r="AP76" i="97" s="1"/>
  <c r="W72" i="97"/>
  <c r="W74" i="97" s="1"/>
  <c r="W76" i="97" s="1"/>
  <c r="E66" i="97"/>
  <c r="D67" i="97"/>
  <c r="CE10" i="69"/>
  <c r="CE22" i="69"/>
  <c r="E84" i="97" l="1"/>
  <c r="D85" i="97"/>
  <c r="E67" i="97"/>
  <c r="F66" i="97"/>
  <c r="F84" i="97" l="1"/>
  <c r="E85" i="97"/>
  <c r="F67" i="97"/>
  <c r="G66" i="97"/>
  <c r="G84" i="97" l="1"/>
  <c r="F85" i="97"/>
  <c r="H66" i="97"/>
  <c r="G67" i="97"/>
  <c r="BW7" i="69"/>
  <c r="G77" i="127" s="1"/>
  <c r="H77" i="127" s="1"/>
  <c r="G85" i="97" l="1"/>
  <c r="H84" i="97"/>
  <c r="I66" i="97"/>
  <c r="H67" i="97"/>
  <c r="I84" i="97" l="1"/>
  <c r="H85" i="97"/>
  <c r="J66" i="97"/>
  <c r="I67" i="97"/>
  <c r="S11" i="76"/>
  <c r="S29" i="76" s="1"/>
  <c r="I85" i="97" l="1"/>
  <c r="J84" i="97"/>
  <c r="J67" i="97"/>
  <c r="K66" i="97"/>
  <c r="J85" i="97" l="1"/>
  <c r="K84" i="97"/>
  <c r="L66" i="97"/>
  <c r="K67" i="97"/>
  <c r="K85" i="97" l="1"/>
  <c r="L84" i="97"/>
  <c r="M66" i="97"/>
  <c r="L67" i="97"/>
  <c r="M84" i="97" l="1"/>
  <c r="L85" i="97"/>
  <c r="M67" i="97"/>
  <c r="N66" i="97"/>
  <c r="N84" i="97" l="1"/>
  <c r="M85" i="97"/>
  <c r="N67" i="97"/>
  <c r="O66" i="97"/>
  <c r="N85" i="97" l="1"/>
  <c r="O84" i="97"/>
  <c r="P66" i="97"/>
  <c r="O67" i="97"/>
  <c r="P84" i="97" l="1"/>
  <c r="O85" i="97"/>
  <c r="Q66" i="97"/>
  <c r="P67" i="97"/>
  <c r="Q84" i="97" l="1"/>
  <c r="P85" i="97"/>
  <c r="R66" i="97"/>
  <c r="Q67" i="97"/>
  <c r="CE19" i="69"/>
  <c r="G124" i="127" s="1"/>
  <c r="H124" i="127" s="1"/>
  <c r="R84" i="97" l="1"/>
  <c r="Q85" i="97"/>
  <c r="Q72" i="97"/>
  <c r="R67" i="97"/>
  <c r="S66" i="97"/>
  <c r="CE21" i="69"/>
  <c r="G124" i="56"/>
  <c r="CE20" i="69"/>
  <c r="S84" i="97" l="1"/>
  <c r="R85" i="97"/>
  <c r="R86" i="97" s="1"/>
  <c r="C87" i="97" s="1"/>
  <c r="T66" i="97"/>
  <c r="S67" i="97"/>
  <c r="Q74" i="97"/>
  <c r="R72" i="97"/>
  <c r="R74" i="97" s="1"/>
  <c r="R76" i="97" s="1"/>
  <c r="R68" i="97"/>
  <c r="CF19" i="69"/>
  <c r="CF18" i="69"/>
  <c r="CN18" i="69" s="1"/>
  <c r="CV18" i="69" s="1"/>
  <c r="DD18" i="69" s="1"/>
  <c r="CF17" i="69"/>
  <c r="CN17" i="69" s="1"/>
  <c r="CV17" i="69" s="1"/>
  <c r="DD17" i="69" s="1"/>
  <c r="B87" i="97" l="1"/>
  <c r="Q87" i="97"/>
  <c r="P87" i="97"/>
  <c r="N87" i="97"/>
  <c r="L87" i="97"/>
  <c r="J87" i="97"/>
  <c r="I87" i="97"/>
  <c r="H87" i="97"/>
  <c r="R87" i="97"/>
  <c r="G87" i="97"/>
  <c r="F87" i="97"/>
  <c r="O87" i="97"/>
  <c r="E87" i="97"/>
  <c r="M87" i="97"/>
  <c r="D87" i="97"/>
  <c r="K87" i="97"/>
  <c r="T84" i="97"/>
  <c r="S85" i="97"/>
  <c r="B69" i="97"/>
  <c r="C69" i="97"/>
  <c r="D69" i="97"/>
  <c r="E69" i="97"/>
  <c r="F69" i="97"/>
  <c r="G69" i="97"/>
  <c r="H69" i="97"/>
  <c r="I69" i="97"/>
  <c r="J69" i="97"/>
  <c r="K69" i="97"/>
  <c r="L69" i="97"/>
  <c r="M69" i="97"/>
  <c r="N69" i="97"/>
  <c r="O69" i="97"/>
  <c r="P69" i="97"/>
  <c r="Q69" i="97"/>
  <c r="S72" i="97"/>
  <c r="S74" i="97" s="1"/>
  <c r="S76" i="97" s="1"/>
  <c r="R69" i="97"/>
  <c r="Q76" i="97"/>
  <c r="T72" i="97"/>
  <c r="U66" i="97"/>
  <c r="T67" i="97"/>
  <c r="U84" i="97" l="1"/>
  <c r="T85" i="97"/>
  <c r="U67" i="97"/>
  <c r="V66" i="97"/>
  <c r="U72" i="97"/>
  <c r="CE17" i="69"/>
  <c r="CE7" i="69"/>
  <c r="G79" i="127" s="1"/>
  <c r="H79" i="127" s="1"/>
  <c r="V84" i="97" l="1"/>
  <c r="V85" i="97" s="1"/>
  <c r="U85" i="97"/>
  <c r="V67" i="97"/>
  <c r="V72" i="97"/>
  <c r="U68" i="97"/>
  <c r="U69" i="97" s="1"/>
  <c r="CF7" i="69"/>
  <c r="CF30" i="69" s="1"/>
  <c r="G79" i="56"/>
  <c r="CE8" i="69"/>
  <c r="CE9" i="69" s="1"/>
  <c r="W86" i="97" l="1"/>
  <c r="V87" i="97" s="1"/>
  <c r="S69" i="97"/>
  <c r="T69" i="97"/>
  <c r="V74" i="97"/>
  <c r="V68" i="97"/>
  <c r="V69" i="97" s="1"/>
  <c r="T87" i="97" l="1"/>
  <c r="S87" i="97"/>
  <c r="W87" i="97"/>
  <c r="U87" i="97"/>
  <c r="V76" i="97"/>
  <c r="CH20" i="122" l="1"/>
  <c r="DR20" i="122" s="1"/>
  <c r="DR21" i="122" s="1"/>
  <c r="CH23" i="122"/>
  <c r="CJ22" i="122"/>
  <c r="DT22" i="122" s="1"/>
  <c r="DS22" i="122" s="1"/>
  <c r="E126" i="56"/>
  <c r="H126" i="56" s="1"/>
  <c r="E54" i="14"/>
  <c r="E52" i="14"/>
  <c r="CJ20" i="122" l="1"/>
  <c r="CH20" i="69"/>
  <c r="CJ22" i="69"/>
  <c r="CH23" i="69"/>
  <c r="AU12" i="77"/>
  <c r="CJ20" i="69" l="1"/>
  <c r="CJ21" i="69" s="1"/>
  <c r="CJ23" i="69" s="1"/>
  <c r="CJ25" i="69" s="1"/>
  <c r="CJ37" i="69" s="1"/>
  <c r="DR23" i="122"/>
  <c r="CJ21" i="122"/>
  <c r="CJ23" i="122" s="1"/>
  <c r="DT20" i="122"/>
  <c r="E200" i="1"/>
  <c r="DS20" i="122" l="1"/>
  <c r="DT21" i="122"/>
  <c r="DS21" i="122" s="1"/>
  <c r="CJ25" i="122"/>
  <c r="DT23" i="122"/>
  <c r="DS23" i="122" s="1"/>
  <c r="CJ27" i="69"/>
  <c r="CJ37" i="122" l="1"/>
  <c r="CJ27" i="122"/>
  <c r="DT27" i="122" s="1"/>
  <c r="DT25" i="122"/>
  <c r="T133" i="1"/>
  <c r="D110" i="14"/>
  <c r="S110" i="14" s="1"/>
  <c r="B60" i="14" l="1"/>
  <c r="B76" i="14" s="1"/>
  <c r="A76" i="14" s="1"/>
  <c r="AE22" i="103" l="1"/>
  <c r="E10" i="57" l="1"/>
  <c r="E11" i="57"/>
  <c r="E12" i="57"/>
  <c r="E13" i="57"/>
  <c r="E14" i="57"/>
  <c r="E15" i="57"/>
  <c r="X27" i="99" s="1"/>
  <c r="X28" i="99" s="1"/>
  <c r="E16" i="57"/>
  <c r="Y27" i="99" s="1"/>
  <c r="Y28" i="99" s="1"/>
  <c r="E17" i="57"/>
  <c r="Z27" i="99" s="1"/>
  <c r="Z28" i="99" s="1"/>
  <c r="E18" i="57"/>
  <c r="AA27" i="99" s="1"/>
  <c r="AA28" i="99" s="1"/>
  <c r="E19" i="57"/>
  <c r="AB27" i="99" s="1"/>
  <c r="E20" i="57"/>
  <c r="AC30" i="76" s="1"/>
  <c r="E21" i="57"/>
  <c r="AD27" i="99" s="1"/>
  <c r="E22" i="57"/>
  <c r="AE27" i="99" s="1"/>
  <c r="E23" i="57"/>
  <c r="AF27" i="99" s="1"/>
  <c r="E24" i="57"/>
  <c r="AG27" i="99" s="1"/>
  <c r="E25" i="57"/>
  <c r="AH27" i="99" s="1"/>
  <c r="E26" i="57"/>
  <c r="AI27" i="99" s="1"/>
  <c r="E27" i="57"/>
  <c r="E28" i="57"/>
  <c r="E29" i="57"/>
  <c r="E30" i="57"/>
  <c r="E31" i="57"/>
  <c r="E32" i="57"/>
  <c r="E33" i="57"/>
  <c r="AP27" i="99" s="1"/>
  <c r="H41" i="57"/>
  <c r="E46" i="57"/>
  <c r="D53" i="57" s="1"/>
  <c r="E42" i="57" l="1"/>
  <c r="AM27" i="99"/>
  <c r="AL27" i="99"/>
  <c r="AK27" i="99"/>
  <c r="AN27" i="99"/>
  <c r="W27" i="99"/>
  <c r="W28" i="99" s="1"/>
  <c r="V27" i="99"/>
  <c r="V28" i="99" s="1"/>
  <c r="U27" i="99"/>
  <c r="U28" i="99" s="1"/>
  <c r="T27" i="99"/>
  <c r="T28" i="99" s="1"/>
  <c r="AJ27" i="99"/>
  <c r="B28" i="85"/>
  <c r="S27" i="99"/>
  <c r="S28" i="99" s="1"/>
  <c r="B16" i="85"/>
  <c r="AO30" i="76"/>
  <c r="AO27" i="99"/>
  <c r="AC27" i="99"/>
  <c r="AV27" i="99"/>
  <c r="K16" i="85" l="1"/>
  <c r="L16" i="85" s="1"/>
  <c r="K28" i="85"/>
  <c r="L28" i="85" s="1"/>
  <c r="AU27" i="99"/>
  <c r="BP19" i="69"/>
  <c r="BO19" i="69" s="1"/>
  <c r="G118" i="127" s="1"/>
  <c r="H118" i="127" s="1"/>
  <c r="E124" i="56" l="1"/>
  <c r="H124" i="56" s="1"/>
  <c r="CD23" i="69"/>
  <c r="CD20" i="69"/>
  <c r="CF20" i="69" s="1"/>
  <c r="AW27" i="99"/>
  <c r="CF21" i="69" l="1"/>
  <c r="AU8" i="63"/>
  <c r="CA22" i="69" l="1"/>
  <c r="CF22" i="69" s="1"/>
  <c r="CF23" i="69" l="1"/>
  <c r="CF25" i="69" s="1"/>
  <c r="CF37" i="69" s="1"/>
  <c r="CF27" i="69" l="1"/>
  <c r="T75" i="14" l="1"/>
  <c r="N68" i="14"/>
  <c r="Q68" i="14"/>
  <c r="W62" i="14"/>
  <c r="CB42" i="69"/>
  <c r="CA17" i="69"/>
  <c r="CA4" i="69"/>
  <c r="CB36" i="69" s="1"/>
  <c r="E122" i="56" l="1"/>
  <c r="CB22" i="69"/>
  <c r="BZ20" i="69"/>
  <c r="DN20" i="69" s="1"/>
  <c r="BZ23" i="69"/>
  <c r="CB35" i="69" l="1"/>
  <c r="H11" i="3" l="1"/>
  <c r="M11" i="3" s="1"/>
  <c r="O11" i="3" s="1"/>
  <c r="H12" i="3"/>
  <c r="M12" i="3" s="1"/>
  <c r="O12" i="3" s="1"/>
  <c r="H13" i="3"/>
  <c r="M13" i="3" s="1"/>
  <c r="O13" i="3" s="1"/>
  <c r="H14" i="3"/>
  <c r="M14" i="3" s="1"/>
  <c r="O14" i="3" s="1"/>
  <c r="H15" i="3"/>
  <c r="M15" i="3" s="1"/>
  <c r="O15" i="3" s="1"/>
  <c r="H16" i="3"/>
  <c r="M16" i="3" s="1"/>
  <c r="O16" i="3" s="1"/>
  <c r="H17" i="3"/>
  <c r="M17" i="3" s="1"/>
  <c r="O17" i="3" s="1"/>
  <c r="M18" i="3"/>
  <c r="O18" i="3" s="1"/>
  <c r="H19" i="3"/>
  <c r="M19" i="3" s="1"/>
  <c r="O19" i="3" s="1"/>
  <c r="H20" i="3"/>
  <c r="M20" i="3" s="1"/>
  <c r="O20" i="3" s="1"/>
  <c r="AT30" i="78" l="1"/>
  <c r="AU13" i="78"/>
  <c r="AU14" i="78"/>
  <c r="AU15" i="78"/>
  <c r="AU16" i="78"/>
  <c r="F10" i="81" s="1"/>
  <c r="AU20" i="78"/>
  <c r="J15" i="81" s="1"/>
  <c r="AU22" i="78"/>
  <c r="AU23" i="78"/>
  <c r="AU25" i="78"/>
  <c r="AU26" i="78"/>
  <c r="AU12" i="78"/>
  <c r="AU10" i="78"/>
  <c r="AW10" i="78" s="1"/>
  <c r="AU13" i="77"/>
  <c r="AU14" i="77"/>
  <c r="AU15" i="77"/>
  <c r="AU16" i="77"/>
  <c r="AU20" i="77"/>
  <c r="AU21" i="77"/>
  <c r="AV21" i="77" s="1"/>
  <c r="AV9" i="77" s="1"/>
  <c r="AW9" i="77" s="1"/>
  <c r="AU22" i="77"/>
  <c r="AU25" i="77"/>
  <c r="AU26" i="77"/>
  <c r="AU25" i="95"/>
  <c r="AU34" i="95"/>
  <c r="AU35" i="95"/>
  <c r="AT30" i="95"/>
  <c r="AU13" i="95"/>
  <c r="AU14" i="95"/>
  <c r="AU15" i="95"/>
  <c r="AU16" i="95"/>
  <c r="AU20" i="95"/>
  <c r="AU21" i="95"/>
  <c r="AU22" i="95"/>
  <c r="AW22" i="95" s="1"/>
  <c r="AU23" i="95"/>
  <c r="AU26" i="95"/>
  <c r="AU27" i="95"/>
  <c r="AU12" i="95"/>
  <c r="AU9" i="95"/>
  <c r="AU10" i="95"/>
  <c r="AU8" i="95"/>
  <c r="AT30" i="76"/>
  <c r="AU14" i="76"/>
  <c r="AU15" i="76"/>
  <c r="AU16" i="76"/>
  <c r="AU21" i="76"/>
  <c r="AU22" i="76"/>
  <c r="AU23" i="76"/>
  <c r="N8" i="81" s="1"/>
  <c r="AU25" i="76"/>
  <c r="AU26" i="76"/>
  <c r="AU27" i="76"/>
  <c r="AU12" i="76"/>
  <c r="AU8" i="76"/>
  <c r="AT30" i="93"/>
  <c r="AU13" i="93"/>
  <c r="AU14" i="93"/>
  <c r="AU15" i="93"/>
  <c r="AU16" i="93"/>
  <c r="AU25" i="93"/>
  <c r="AW25" i="93" s="1"/>
  <c r="AU27" i="93"/>
  <c r="AW27" i="93" s="1"/>
  <c r="AU12" i="93"/>
  <c r="AU9" i="93"/>
  <c r="AU10" i="93"/>
  <c r="AU8" i="93"/>
  <c r="AV31" i="63"/>
  <c r="AU13" i="63"/>
  <c r="AU14" i="63"/>
  <c r="AU15" i="63"/>
  <c r="AU16" i="63"/>
  <c r="AW16" i="63" s="1"/>
  <c r="AU21" i="63"/>
  <c r="AU25" i="63"/>
  <c r="AU26" i="63"/>
  <c r="AU27" i="63"/>
  <c r="AV24" i="88" l="1"/>
  <c r="F30" i="81"/>
  <c r="Z30" i="81" s="1"/>
  <c r="AV22" i="88"/>
  <c r="AV21" i="88"/>
  <c r="AV15" i="88"/>
  <c r="AV14" i="88"/>
  <c r="AV13" i="88"/>
  <c r="AV12" i="88"/>
  <c r="AV16" i="88"/>
  <c r="AV17" i="88"/>
  <c r="AW21" i="63"/>
  <c r="AV20" i="103"/>
  <c r="AV21" i="103"/>
  <c r="AW21" i="103" s="1"/>
  <c r="AV13" i="103"/>
  <c r="AW13" i="103" s="1"/>
  <c r="AV17" i="103"/>
  <c r="AW17" i="103" s="1"/>
  <c r="AV18" i="103"/>
  <c r="AW18" i="103" s="1"/>
  <c r="AV16" i="103"/>
  <c r="AW16" i="103" s="1"/>
  <c r="AV19" i="103"/>
  <c r="AW19" i="103" s="1"/>
  <c r="AV12" i="103"/>
  <c r="AW12" i="103" s="1"/>
  <c r="AV15" i="103"/>
  <c r="AW15" i="103" s="1"/>
  <c r="AV14" i="103"/>
  <c r="AW14" i="103" s="1"/>
  <c r="S90" i="63" l="1"/>
  <c r="C91" i="93" l="1"/>
  <c r="AO90" i="93"/>
  <c r="AN90" i="93"/>
  <c r="AM90" i="93"/>
  <c r="AL90" i="93"/>
  <c r="AK90" i="93"/>
  <c r="AJ90" i="93"/>
  <c r="AI90" i="93"/>
  <c r="AH90" i="93"/>
  <c r="AG90" i="93"/>
  <c r="AF90" i="93"/>
  <c r="AE90" i="93"/>
  <c r="AD90" i="93"/>
  <c r="AC90" i="93"/>
  <c r="AB90" i="93"/>
  <c r="AA90" i="93"/>
  <c r="Z90" i="93"/>
  <c r="Y90" i="93"/>
  <c r="X90" i="93"/>
  <c r="W90" i="93"/>
  <c r="V90" i="93"/>
  <c r="U90" i="93"/>
  <c r="T90" i="93"/>
  <c r="S90" i="93"/>
  <c r="R89" i="93"/>
  <c r="Q89" i="93"/>
  <c r="P89" i="93"/>
  <c r="O89" i="93"/>
  <c r="N89" i="93"/>
  <c r="M89" i="93"/>
  <c r="L89" i="93"/>
  <c r="K89" i="93"/>
  <c r="J89" i="93"/>
  <c r="I89" i="93"/>
  <c r="H89" i="93"/>
  <c r="G89" i="93"/>
  <c r="F89" i="93"/>
  <c r="E89" i="93"/>
  <c r="D89" i="93"/>
  <c r="C89" i="93"/>
  <c r="B89" i="93"/>
  <c r="X90" i="77"/>
  <c r="X90" i="95"/>
  <c r="AO90" i="95"/>
  <c r="AN90" i="95"/>
  <c r="AM90" i="95"/>
  <c r="AL90" i="95"/>
  <c r="AK90" i="95"/>
  <c r="AJ90" i="95"/>
  <c r="AI90" i="95"/>
  <c r="AH90" i="95"/>
  <c r="AG90" i="95"/>
  <c r="AF90" i="95"/>
  <c r="AE90" i="95"/>
  <c r="AD90" i="95"/>
  <c r="AC90" i="95"/>
  <c r="AB90" i="95"/>
  <c r="AA90" i="95"/>
  <c r="Z90" i="95"/>
  <c r="Y90" i="95"/>
  <c r="W90" i="95"/>
  <c r="V90" i="95"/>
  <c r="U90" i="95"/>
  <c r="T90" i="95"/>
  <c r="S90" i="95"/>
  <c r="C91" i="95"/>
  <c r="R89" i="95"/>
  <c r="Q89" i="95"/>
  <c r="P89" i="95"/>
  <c r="O89" i="95"/>
  <c r="N89" i="95"/>
  <c r="M89" i="95"/>
  <c r="L89" i="95"/>
  <c r="K89" i="95"/>
  <c r="J89" i="95"/>
  <c r="I89" i="95"/>
  <c r="H89" i="95"/>
  <c r="G89" i="95"/>
  <c r="F89" i="95"/>
  <c r="E89" i="95"/>
  <c r="D89" i="95"/>
  <c r="C89" i="95"/>
  <c r="B89" i="95"/>
  <c r="AK90" i="78"/>
  <c r="AL90" i="78"/>
  <c r="AM90" i="78"/>
  <c r="AN90" i="78"/>
  <c r="AJ90" i="78"/>
  <c r="AI90" i="78"/>
  <c r="AH90" i="78"/>
  <c r="AG90" i="78"/>
  <c r="AF90" i="78"/>
  <c r="AE90" i="78"/>
  <c r="AD90" i="78"/>
  <c r="AC90" i="78"/>
  <c r="AB90" i="78"/>
  <c r="AA90" i="78"/>
  <c r="Z90" i="78"/>
  <c r="Y90" i="78"/>
  <c r="X90" i="78"/>
  <c r="W90" i="78"/>
  <c r="V90" i="78"/>
  <c r="U90" i="78"/>
  <c r="T90" i="78"/>
  <c r="S90" i="78"/>
  <c r="B92" i="78"/>
  <c r="R89" i="78"/>
  <c r="Q89" i="78"/>
  <c r="P89" i="78"/>
  <c r="O89" i="78"/>
  <c r="N89" i="78"/>
  <c r="M89" i="78"/>
  <c r="L89" i="78"/>
  <c r="K89" i="78"/>
  <c r="J89" i="78"/>
  <c r="I89" i="78"/>
  <c r="H89" i="78"/>
  <c r="G89" i="78"/>
  <c r="F89" i="78"/>
  <c r="E89" i="78"/>
  <c r="D89" i="78"/>
  <c r="C89" i="78"/>
  <c r="B89" i="78"/>
  <c r="D91" i="93" l="1"/>
  <c r="E91" i="93" s="1"/>
  <c r="F91" i="93" s="1"/>
  <c r="C92" i="93"/>
  <c r="B92" i="93"/>
  <c r="D92" i="93"/>
  <c r="C92" i="95"/>
  <c r="D91" i="95"/>
  <c r="B92" i="95"/>
  <c r="C91" i="78"/>
  <c r="AO90" i="76"/>
  <c r="AN90" i="76"/>
  <c r="AM90" i="76"/>
  <c r="AL90" i="76"/>
  <c r="AK90" i="76"/>
  <c r="AJ90" i="76"/>
  <c r="AI90" i="76"/>
  <c r="AH90" i="76"/>
  <c r="AG90" i="76"/>
  <c r="AF90" i="76"/>
  <c r="AE90" i="76"/>
  <c r="AD90" i="76"/>
  <c r="AC90" i="76"/>
  <c r="AB90" i="76"/>
  <c r="AA90" i="76"/>
  <c r="Z90" i="76"/>
  <c r="Y90" i="76"/>
  <c r="X90" i="76"/>
  <c r="W90" i="76"/>
  <c r="T90" i="76"/>
  <c r="U90" i="76"/>
  <c r="V90" i="76"/>
  <c r="S90" i="76"/>
  <c r="B92" i="76"/>
  <c r="R89" i="76"/>
  <c r="Q89" i="76"/>
  <c r="P89" i="76"/>
  <c r="O89" i="76"/>
  <c r="N89" i="76"/>
  <c r="M89" i="76"/>
  <c r="L89" i="76"/>
  <c r="K89" i="76"/>
  <c r="J89" i="76"/>
  <c r="I89" i="76"/>
  <c r="H89" i="76"/>
  <c r="G89" i="76"/>
  <c r="F89" i="76"/>
  <c r="E89" i="76"/>
  <c r="D89" i="76"/>
  <c r="C89" i="76"/>
  <c r="B89" i="76"/>
  <c r="E92" i="93" l="1"/>
  <c r="G91" i="93"/>
  <c r="F92" i="93"/>
  <c r="D92" i="95"/>
  <c r="E91" i="95"/>
  <c r="C92" i="78"/>
  <c r="D91" i="78"/>
  <c r="C91" i="76"/>
  <c r="C92" i="76" s="1"/>
  <c r="H91" i="93" l="1"/>
  <c r="G92" i="93"/>
  <c r="E92" i="95"/>
  <c r="F91" i="95"/>
  <c r="D92" i="78"/>
  <c r="E91" i="78"/>
  <c r="D91" i="76"/>
  <c r="I91" i="93" l="1"/>
  <c r="H92" i="93"/>
  <c r="F92" i="95"/>
  <c r="G91" i="95"/>
  <c r="E92" i="78"/>
  <c r="F91" i="78"/>
  <c r="D92" i="76"/>
  <c r="E91" i="76"/>
  <c r="J91" i="93" l="1"/>
  <c r="I92" i="93"/>
  <c r="G92" i="95"/>
  <c r="H91" i="95"/>
  <c r="F92" i="78"/>
  <c r="G91" i="78"/>
  <c r="E92" i="76"/>
  <c r="F91" i="76"/>
  <c r="J92" i="93" l="1"/>
  <c r="K91" i="93"/>
  <c r="H92" i="95"/>
  <c r="I91" i="95"/>
  <c r="G92" i="78"/>
  <c r="H91" i="78"/>
  <c r="F92" i="76"/>
  <c r="G91" i="76"/>
  <c r="K92" i="93" l="1"/>
  <c r="L91" i="93"/>
  <c r="I92" i="95"/>
  <c r="J91" i="95"/>
  <c r="H92" i="78"/>
  <c r="I91" i="78"/>
  <c r="G92" i="76"/>
  <c r="H91" i="76"/>
  <c r="M91" i="93" l="1"/>
  <c r="L92" i="93"/>
  <c r="J92" i="95"/>
  <c r="K91" i="95"/>
  <c r="I92" i="78"/>
  <c r="J91" i="78"/>
  <c r="H92" i="76"/>
  <c r="I91" i="76"/>
  <c r="N91" i="93" l="1"/>
  <c r="M92" i="93"/>
  <c r="K92" i="95"/>
  <c r="L91" i="95"/>
  <c r="J92" i="78"/>
  <c r="K91" i="78"/>
  <c r="I92" i="76"/>
  <c r="J91" i="76"/>
  <c r="O91" i="93" l="1"/>
  <c r="N92" i="93"/>
  <c r="L92" i="95"/>
  <c r="M91" i="95"/>
  <c r="K92" i="78"/>
  <c r="L91" i="78"/>
  <c r="J92" i="76"/>
  <c r="K91" i="76"/>
  <c r="P91" i="93" l="1"/>
  <c r="O92" i="93"/>
  <c r="M92" i="95"/>
  <c r="N91" i="95"/>
  <c r="L92" i="78"/>
  <c r="M91" i="78"/>
  <c r="K92" i="76"/>
  <c r="L91" i="76"/>
  <c r="Q91" i="93" l="1"/>
  <c r="P92" i="93"/>
  <c r="N92" i="95"/>
  <c r="O91" i="95"/>
  <c r="M92" i="78"/>
  <c r="N91" i="78"/>
  <c r="L92" i="76"/>
  <c r="M91" i="76"/>
  <c r="R91" i="93" l="1"/>
  <c r="Q92" i="93"/>
  <c r="O92" i="95"/>
  <c r="P91" i="95"/>
  <c r="N92" i="78"/>
  <c r="O91" i="78"/>
  <c r="M92" i="76"/>
  <c r="N91" i="76"/>
  <c r="R92" i="93" l="1"/>
  <c r="S91" i="93"/>
  <c r="P92" i="95"/>
  <c r="Q91" i="95"/>
  <c r="O92" i="78"/>
  <c r="P91" i="78"/>
  <c r="N92" i="76"/>
  <c r="O91" i="76"/>
  <c r="T91" i="93" l="1"/>
  <c r="S92" i="93"/>
  <c r="R93" i="93"/>
  <c r="Q92" i="95"/>
  <c r="R91" i="95"/>
  <c r="P92" i="78"/>
  <c r="Q91" i="78"/>
  <c r="O92" i="76"/>
  <c r="P91" i="76"/>
  <c r="R92" i="95" l="1"/>
  <c r="R93" i="95" s="1"/>
  <c r="S91" i="95"/>
  <c r="B94" i="93"/>
  <c r="C94" i="93"/>
  <c r="E94" i="93"/>
  <c r="D94" i="93"/>
  <c r="F94" i="93"/>
  <c r="G94" i="93"/>
  <c r="H94" i="93"/>
  <c r="I94" i="93"/>
  <c r="J94" i="93"/>
  <c r="K94" i="93"/>
  <c r="L94" i="93"/>
  <c r="M94" i="93"/>
  <c r="N94" i="93"/>
  <c r="O94" i="93"/>
  <c r="P94" i="93"/>
  <c r="Q94" i="93"/>
  <c r="R94" i="93"/>
  <c r="S94" i="93"/>
  <c r="U91" i="93"/>
  <c r="T92" i="93"/>
  <c r="T94" i="93" s="1"/>
  <c r="R91" i="78"/>
  <c r="Q92" i="78"/>
  <c r="P92" i="76"/>
  <c r="Q91" i="76"/>
  <c r="R92" i="78" l="1"/>
  <c r="R93" i="78" s="1"/>
  <c r="R94" i="78" s="1"/>
  <c r="S91" i="78"/>
  <c r="T91" i="95"/>
  <c r="S92" i="95"/>
  <c r="S94" i="95" s="1"/>
  <c r="V91" i="93"/>
  <c r="V92" i="93" s="1"/>
  <c r="V94" i="93" s="1"/>
  <c r="U92" i="93"/>
  <c r="U94" i="93" s="1"/>
  <c r="B94" i="95"/>
  <c r="C94" i="95"/>
  <c r="D94" i="95"/>
  <c r="E94" i="95"/>
  <c r="F94" i="95"/>
  <c r="G94" i="95"/>
  <c r="H94" i="95"/>
  <c r="I94" i="95"/>
  <c r="J94" i="95"/>
  <c r="K94" i="95"/>
  <c r="L94" i="95"/>
  <c r="M94" i="95"/>
  <c r="N94" i="95"/>
  <c r="O94" i="95"/>
  <c r="P94" i="95"/>
  <c r="Q94" i="95"/>
  <c r="R94" i="95"/>
  <c r="Q92" i="76"/>
  <c r="R91" i="76"/>
  <c r="T91" i="78" l="1"/>
  <c r="S92" i="78"/>
  <c r="U91" i="95"/>
  <c r="T92" i="95"/>
  <c r="T94" i="95" s="1"/>
  <c r="R92" i="76"/>
  <c r="R93" i="76" s="1"/>
  <c r="Q94" i="76" s="1"/>
  <c r="S91" i="76"/>
  <c r="B94" i="78"/>
  <c r="C94" i="78"/>
  <c r="D94" i="78"/>
  <c r="E94" i="78"/>
  <c r="F94" i="78"/>
  <c r="G94" i="78"/>
  <c r="H94" i="78"/>
  <c r="I94" i="78"/>
  <c r="J94" i="78"/>
  <c r="K94" i="78"/>
  <c r="L94" i="78"/>
  <c r="M94" i="78"/>
  <c r="N94" i="78"/>
  <c r="O94" i="78"/>
  <c r="P94" i="78"/>
  <c r="Q94" i="78"/>
  <c r="U91" i="78" l="1"/>
  <c r="T92" i="78"/>
  <c r="V91" i="95"/>
  <c r="V92" i="95" s="1"/>
  <c r="V94" i="95" s="1"/>
  <c r="U92" i="95"/>
  <c r="U94" i="95" s="1"/>
  <c r="S92" i="76"/>
  <c r="T91" i="76"/>
  <c r="B94" i="76"/>
  <c r="C94" i="76"/>
  <c r="D94" i="76"/>
  <c r="E94" i="76"/>
  <c r="F94" i="76"/>
  <c r="G94" i="76"/>
  <c r="H94" i="76"/>
  <c r="I94" i="76"/>
  <c r="J94" i="76"/>
  <c r="K94" i="76"/>
  <c r="L94" i="76"/>
  <c r="M94" i="76"/>
  <c r="N94" i="76"/>
  <c r="O94" i="76"/>
  <c r="P94" i="76"/>
  <c r="R94" i="76"/>
  <c r="V91" i="78" l="1"/>
  <c r="V92" i="78" s="1"/>
  <c r="U92" i="78"/>
  <c r="U91" i="76"/>
  <c r="T92" i="76"/>
  <c r="D13" i="61"/>
  <c r="N21" i="3"/>
  <c r="V91" i="76" l="1"/>
  <c r="V92" i="76" s="1"/>
  <c r="U92" i="76"/>
  <c r="W90" i="77"/>
  <c r="T90" i="77"/>
  <c r="U90" i="77"/>
  <c r="V90" i="77"/>
  <c r="Y90" i="77"/>
  <c r="Z90" i="77"/>
  <c r="AA90" i="77"/>
  <c r="AB90" i="77"/>
  <c r="AC90" i="77"/>
  <c r="AD90" i="77"/>
  <c r="AE90" i="77"/>
  <c r="AF90" i="77"/>
  <c r="AG90" i="77"/>
  <c r="AH90" i="77"/>
  <c r="AI90" i="77"/>
  <c r="AJ90" i="77"/>
  <c r="AK90" i="77"/>
  <c r="AL90" i="77"/>
  <c r="AM90" i="77"/>
  <c r="AN90" i="77"/>
  <c r="S90" i="77"/>
  <c r="R89" i="77"/>
  <c r="Q89" i="77"/>
  <c r="P89" i="77"/>
  <c r="O89" i="77"/>
  <c r="N89" i="77"/>
  <c r="M89" i="77"/>
  <c r="L89" i="77"/>
  <c r="K89" i="77"/>
  <c r="J89" i="77"/>
  <c r="I89" i="77"/>
  <c r="H89" i="77"/>
  <c r="G89" i="77"/>
  <c r="F89" i="77"/>
  <c r="E89" i="77"/>
  <c r="D89" i="77"/>
  <c r="C89" i="77"/>
  <c r="AK90" i="63"/>
  <c r="C91" i="77" l="1"/>
  <c r="C92" i="77" l="1"/>
  <c r="D91" i="77"/>
  <c r="D92" i="77" l="1"/>
  <c r="E91" i="77"/>
  <c r="E92" i="77" l="1"/>
  <c r="F91" i="77"/>
  <c r="F92" i="77" l="1"/>
  <c r="G91" i="77"/>
  <c r="G92" i="77" l="1"/>
  <c r="H91" i="77"/>
  <c r="H92" i="77" l="1"/>
  <c r="I91" i="77"/>
  <c r="I92" i="77" l="1"/>
  <c r="J91" i="77"/>
  <c r="J92" i="77" l="1"/>
  <c r="K91" i="77"/>
  <c r="K92" i="77" l="1"/>
  <c r="L91" i="77"/>
  <c r="L92" i="77" l="1"/>
  <c r="M91" i="77"/>
  <c r="N91" i="77" l="1"/>
  <c r="M92" i="77"/>
  <c r="O91" i="77" l="1"/>
  <c r="N92" i="77"/>
  <c r="P91" i="77" l="1"/>
  <c r="O92" i="77"/>
  <c r="P92" i="77" l="1"/>
  <c r="Q91" i="77"/>
  <c r="Q92" i="77" l="1"/>
  <c r="R91" i="77"/>
  <c r="R92" i="77" l="1"/>
  <c r="S91" i="77"/>
  <c r="T91" i="77" l="1"/>
  <c r="S92" i="77"/>
  <c r="U91" i="77" l="1"/>
  <c r="T92" i="77"/>
  <c r="V91" i="77" l="1"/>
  <c r="V92" i="77" s="1"/>
  <c r="U92" i="77"/>
  <c r="C89" i="63" l="1"/>
  <c r="D89" i="63"/>
  <c r="E89" i="63"/>
  <c r="F89" i="63"/>
  <c r="G89" i="63"/>
  <c r="H89" i="63"/>
  <c r="I89" i="63"/>
  <c r="J89" i="63"/>
  <c r="K89" i="63"/>
  <c r="L89" i="63"/>
  <c r="M89" i="63"/>
  <c r="N89" i="63"/>
  <c r="O89" i="63"/>
  <c r="P89" i="63"/>
  <c r="Q89" i="63"/>
  <c r="R89" i="63"/>
  <c r="B89" i="63"/>
  <c r="C91" i="63"/>
  <c r="W90" i="63"/>
  <c r="AE90" i="63"/>
  <c r="AF90" i="63"/>
  <c r="AG90" i="63"/>
  <c r="AH90" i="63"/>
  <c r="AI90" i="63"/>
  <c r="AJ90" i="63"/>
  <c r="AL90" i="63"/>
  <c r="AM90" i="63"/>
  <c r="AN90" i="63"/>
  <c r="AO90" i="63"/>
  <c r="T90" i="63"/>
  <c r="U90" i="63"/>
  <c r="V90" i="63"/>
  <c r="X90" i="63"/>
  <c r="Y90" i="63"/>
  <c r="Z90" i="63"/>
  <c r="AA90" i="63"/>
  <c r="AB90" i="63"/>
  <c r="AC90" i="63"/>
  <c r="AD90" i="63"/>
  <c r="W92" i="63" l="1"/>
  <c r="W91" i="78"/>
  <c r="W92" i="78" s="1"/>
  <c r="W93" i="78" s="1"/>
  <c r="S94" i="78" s="1"/>
  <c r="W91" i="76"/>
  <c r="W92" i="76" s="1"/>
  <c r="W93" i="76" s="1"/>
  <c r="W91" i="95"/>
  <c r="W92" i="95" s="1"/>
  <c r="W94" i="95" s="1"/>
  <c r="W91" i="93"/>
  <c r="W92" i="93" s="1"/>
  <c r="W73" i="63"/>
  <c r="W91" i="77"/>
  <c r="W92" i="77" s="1"/>
  <c r="C92" i="63"/>
  <c r="D91" i="63"/>
  <c r="B92" i="63"/>
  <c r="W93" i="95" l="1"/>
  <c r="T94" i="78"/>
  <c r="U94" i="78"/>
  <c r="V94" i="78"/>
  <c r="W94" i="78"/>
  <c r="S94" i="76"/>
  <c r="T94" i="76"/>
  <c r="U94" i="76"/>
  <c r="V94" i="76"/>
  <c r="W94" i="93"/>
  <c r="W93" i="93"/>
  <c r="W94" i="76"/>
  <c r="W93" i="77"/>
  <c r="E91" i="63"/>
  <c r="D92" i="63"/>
  <c r="S94" i="77" l="1"/>
  <c r="T94" i="77"/>
  <c r="U94" i="77"/>
  <c r="V94" i="77"/>
  <c r="W94" i="77"/>
  <c r="F91" i="63"/>
  <c r="E92" i="63"/>
  <c r="K367" i="80"/>
  <c r="K369" i="80" s="1"/>
  <c r="G91" i="63" l="1"/>
  <c r="F92" i="63"/>
  <c r="H91" i="63" l="1"/>
  <c r="G92" i="63"/>
  <c r="I91" i="63" l="1"/>
  <c r="H92" i="63"/>
  <c r="J91" i="63" l="1"/>
  <c r="I92" i="63"/>
  <c r="K91" i="63" l="1"/>
  <c r="J92" i="63"/>
  <c r="L91" i="63" l="1"/>
  <c r="K92" i="63"/>
  <c r="M91" i="63" l="1"/>
  <c r="L92" i="63"/>
  <c r="N91" i="63" l="1"/>
  <c r="M92" i="63"/>
  <c r="O91" i="63" l="1"/>
  <c r="N92" i="63"/>
  <c r="P91" i="63" l="1"/>
  <c r="O92" i="63"/>
  <c r="Q91" i="63" l="1"/>
  <c r="P92" i="63"/>
  <c r="BX42" i="69"/>
  <c r="BW10" i="69"/>
  <c r="BW4" i="69"/>
  <c r="R91" i="63" l="1"/>
  <c r="S91" i="63" s="1"/>
  <c r="S92" i="63" s="1"/>
  <c r="Q92" i="63"/>
  <c r="BX7" i="69"/>
  <c r="G77" i="56"/>
  <c r="BW8" i="69"/>
  <c r="BW9" i="69" s="1"/>
  <c r="BX30" i="69" l="1"/>
  <c r="R92" i="63"/>
  <c r="R93" i="63" s="1"/>
  <c r="BX37" i="69"/>
  <c r="T91" i="63" l="1"/>
  <c r="B94" i="63"/>
  <c r="C94" i="63"/>
  <c r="D94" i="63"/>
  <c r="E94" i="63"/>
  <c r="F94" i="63"/>
  <c r="G94" i="63"/>
  <c r="H94" i="63"/>
  <c r="I94" i="63"/>
  <c r="J94" i="63"/>
  <c r="K94" i="63"/>
  <c r="L94" i="63"/>
  <c r="M94" i="63"/>
  <c r="N94" i="63"/>
  <c r="O94" i="63"/>
  <c r="P94" i="63"/>
  <c r="Q94" i="63"/>
  <c r="R94" i="63"/>
  <c r="U91" i="63" l="1"/>
  <c r="T92" i="63"/>
  <c r="V91" i="63" l="1"/>
  <c r="V92" i="63" s="1"/>
  <c r="U92" i="63"/>
  <c r="B16" i="81"/>
  <c r="W93" i="63" l="1"/>
  <c r="V94" i="63" s="1"/>
  <c r="S94" i="63" l="1"/>
  <c r="W94" i="63"/>
  <c r="T94" i="63"/>
  <c r="U94" i="63"/>
  <c r="N103" i="14" l="1"/>
  <c r="Q103" i="14"/>
  <c r="W13" i="1" s="1"/>
  <c r="W187" i="1" s="1"/>
  <c r="R103" i="14"/>
  <c r="E10" i="92" l="1"/>
  <c r="S27" i="98" s="1"/>
  <c r="S28" i="98" s="1"/>
  <c r="E11" i="92"/>
  <c r="T27" i="98" s="1"/>
  <c r="T28" i="98" s="1"/>
  <c r="E12" i="92"/>
  <c r="U27" i="98" s="1"/>
  <c r="U28" i="98" s="1"/>
  <c r="E13" i="92"/>
  <c r="V27" i="98" s="1"/>
  <c r="V28" i="98" s="1"/>
  <c r="E14" i="92"/>
  <c r="W27" i="98" s="1"/>
  <c r="W28" i="98" s="1"/>
  <c r="E15" i="92"/>
  <c r="E16" i="92"/>
  <c r="Y27" i="98" s="1"/>
  <c r="Y28" i="98" s="1"/>
  <c r="E17" i="92"/>
  <c r="Z27" i="98" s="1"/>
  <c r="Z28" i="98" s="1"/>
  <c r="E18" i="92"/>
  <c r="AA27" i="98" s="1"/>
  <c r="AA28" i="98" s="1"/>
  <c r="E19" i="92"/>
  <c r="AB27" i="98" s="1"/>
  <c r="AB28" i="98" s="1"/>
  <c r="E20" i="92"/>
  <c r="AC27" i="98" s="1"/>
  <c r="AC28" i="98" s="1"/>
  <c r="E21" i="92"/>
  <c r="AD27" i="98" s="1"/>
  <c r="AD28" i="98" s="1"/>
  <c r="E22" i="92"/>
  <c r="AE27" i="98" s="1"/>
  <c r="AE28" i="98" s="1"/>
  <c r="E23" i="92"/>
  <c r="AF27" i="98" s="1"/>
  <c r="AF28" i="98" s="1"/>
  <c r="E24" i="92"/>
  <c r="AG27" i="98" s="1"/>
  <c r="E25" i="92"/>
  <c r="AH27" i="98" s="1"/>
  <c r="E26" i="92"/>
  <c r="AI27" i="98" s="1"/>
  <c r="E27" i="92"/>
  <c r="E28" i="92"/>
  <c r="E29" i="92"/>
  <c r="E30" i="92"/>
  <c r="E31" i="92"/>
  <c r="E32" i="92"/>
  <c r="AL27" i="98" l="1"/>
  <c r="AM27" i="98"/>
  <c r="AK27" i="98"/>
  <c r="AO27" i="98"/>
  <c r="AN27" i="98"/>
  <c r="B19" i="85"/>
  <c r="AJ27" i="98"/>
  <c r="B31" i="85"/>
  <c r="AV27" i="98"/>
  <c r="X27" i="98"/>
  <c r="W73" i="76"/>
  <c r="K19" i="85" l="1"/>
  <c r="L19" i="85" s="1"/>
  <c r="K31" i="85"/>
  <c r="L31" i="85" s="1"/>
  <c r="AU27" i="98"/>
  <c r="X28" i="98"/>
  <c r="J4" i="65"/>
  <c r="B52" i="14"/>
  <c r="B88" i="14" s="1"/>
  <c r="AU16" i="88" l="1"/>
  <c r="K93" i="14"/>
  <c r="W17" i="1" s="1"/>
  <c r="W191" i="1" s="1"/>
  <c r="W63" i="14" l="1"/>
  <c r="B98" i="14"/>
  <c r="B109" i="14" s="1"/>
  <c r="M41" i="59" l="1"/>
  <c r="H21" i="3" l="1"/>
  <c r="M21" i="3"/>
  <c r="D10" i="61"/>
  <c r="D11" i="61"/>
  <c r="E11" i="61" s="1"/>
  <c r="B99" i="14" l="1"/>
  <c r="B100" i="14" s="1"/>
  <c r="B101" i="14" s="1"/>
  <c r="B102" i="14" s="1"/>
  <c r="Y11" i="63" l="1"/>
  <c r="F68" i="57" l="1"/>
  <c r="F67" i="57"/>
  <c r="B53" i="57"/>
  <c r="Z18" i="69"/>
  <c r="BS10" i="69" l="1"/>
  <c r="BS22" i="69" s="1"/>
  <c r="BS19" i="69"/>
  <c r="BS7" i="69"/>
  <c r="BT19" i="69" l="1"/>
  <c r="G120" i="127"/>
  <c r="H120" i="127" s="1"/>
  <c r="BT7" i="69"/>
  <c r="G75" i="127"/>
  <c r="H75" i="127" s="1"/>
  <c r="BS8" i="69"/>
  <c r="BS20" i="69"/>
  <c r="BS21" i="69"/>
  <c r="BS9" i="69" l="1"/>
  <c r="F95" i="60" l="1"/>
  <c r="G120" i="56" l="1"/>
  <c r="F101" i="111" l="1"/>
  <c r="G75" i="56"/>
  <c r="BT30" i="69" l="1"/>
  <c r="BS17" i="69"/>
  <c r="BR18" i="69"/>
  <c r="BS4" i="69"/>
  <c r="G56" i="14" l="1"/>
  <c r="H36" i="69" l="1"/>
  <c r="BD30" i="69"/>
  <c r="AZ36" i="69"/>
  <c r="AZ30" i="69"/>
  <c r="AN37" i="69"/>
  <c r="AJ37" i="69"/>
  <c r="AB30" i="69"/>
  <c r="T37" i="69"/>
  <c r="P37" i="69"/>
  <c r="L37" i="69"/>
  <c r="M8" i="58" l="1"/>
  <c r="Z70" i="93" l="1"/>
  <c r="N23" i="81" l="1"/>
  <c r="G53" i="14" l="1"/>
  <c r="G52" i="14"/>
  <c r="B89" i="14"/>
  <c r="B110" i="14" s="1"/>
  <c r="A7" i="14"/>
  <c r="W73" i="77" l="1"/>
  <c r="A35" i="95" l="1"/>
  <c r="A34" i="95"/>
  <c r="A35" i="76"/>
  <c r="A34" i="76"/>
  <c r="J200" i="80" l="1"/>
  <c r="J201" i="80"/>
  <c r="J204" i="80"/>
  <c r="J205" i="80"/>
  <c r="J207" i="80"/>
  <c r="J180" i="80"/>
  <c r="J188" i="80"/>
  <c r="J189" i="80"/>
  <c r="A7" i="74" l="1"/>
  <c r="A25" i="93"/>
  <c r="H602" i="118" l="1"/>
  <c r="A167" i="74" l="1"/>
  <c r="A168" i="74" s="1"/>
  <c r="A169" i="74" s="1"/>
  <c r="A170" i="74" s="1"/>
  <c r="A171" i="74" s="1"/>
  <c r="A172" i="74" s="1"/>
  <c r="A173" i="74" s="1"/>
  <c r="A174" i="74" s="1"/>
  <c r="A175" i="74" s="1"/>
  <c r="A176" i="74" s="1"/>
  <c r="A177" i="74" s="1"/>
  <c r="A178" i="74" s="1"/>
  <c r="A179" i="74" s="1"/>
  <c r="A180" i="74" s="1"/>
  <c r="DW11" i="122"/>
  <c r="K377" i="118"/>
  <c r="B90" i="14"/>
  <c r="B91" i="14" s="1"/>
  <c r="B92" i="14" s="1"/>
  <c r="DW13" i="122" l="1"/>
  <c r="B113" i="14"/>
  <c r="B112" i="14"/>
  <c r="B111" i="14"/>
  <c r="G476" i="74" l="1"/>
  <c r="G478" i="74" s="1"/>
  <c r="K124" i="80"/>
  <c r="K125" i="80"/>
  <c r="K126" i="80"/>
  <c r="K127" i="80"/>
  <c r="K128" i="80"/>
  <c r="J129" i="80"/>
  <c r="K129" i="80"/>
  <c r="J130" i="80"/>
  <c r="K130" i="80"/>
  <c r="J131" i="80"/>
  <c r="K131" i="80"/>
  <c r="K132" i="80"/>
  <c r="J133" i="80"/>
  <c r="K133" i="80"/>
  <c r="J136" i="80"/>
  <c r="K136" i="80"/>
  <c r="J137" i="80"/>
  <c r="K137" i="80"/>
  <c r="K138" i="80"/>
  <c r="J139" i="80"/>
  <c r="K139" i="80"/>
  <c r="K111" i="80"/>
  <c r="J112" i="80"/>
  <c r="K112" i="80"/>
  <c r="K113" i="80"/>
  <c r="K114" i="80"/>
  <c r="K115" i="80"/>
  <c r="K116" i="80"/>
  <c r="J117" i="80"/>
  <c r="K117" i="80"/>
  <c r="J120" i="80"/>
  <c r="K120" i="80"/>
  <c r="J121" i="80"/>
  <c r="K121" i="80"/>
  <c r="K90" i="80"/>
  <c r="K91" i="80"/>
  <c r="K92" i="80"/>
  <c r="K93" i="80"/>
  <c r="K94" i="80"/>
  <c r="K95" i="80"/>
  <c r="K96" i="80"/>
  <c r="K97" i="80"/>
  <c r="K98" i="80"/>
  <c r="K99" i="80"/>
  <c r="K102" i="80"/>
  <c r="K103" i="80"/>
  <c r="K104" i="80"/>
  <c r="J105" i="80"/>
  <c r="K77" i="80"/>
  <c r="K78" i="80"/>
  <c r="K79" i="80"/>
  <c r="K80" i="80"/>
  <c r="J81" i="80"/>
  <c r="K81" i="80"/>
  <c r="K82" i="80"/>
  <c r="J83" i="80"/>
  <c r="K83" i="80"/>
  <c r="K86" i="80"/>
  <c r="J87" i="80"/>
  <c r="K87" i="80"/>
  <c r="I81" i="80"/>
  <c r="I87" i="80"/>
  <c r="I96" i="80"/>
  <c r="I98" i="80"/>
  <c r="I102" i="80"/>
  <c r="I104" i="80"/>
  <c r="I105" i="80"/>
  <c r="I331" i="80" s="1"/>
  <c r="D95" i="80"/>
  <c r="D97" i="80"/>
  <c r="D99" i="80"/>
  <c r="D112" i="80"/>
  <c r="D121" i="80"/>
  <c r="L130" i="80" l="1"/>
  <c r="L81" i="80"/>
  <c r="L129" i="80"/>
  <c r="L136" i="80"/>
  <c r="L117" i="80"/>
  <c r="L120" i="80"/>
  <c r="L112" i="80"/>
  <c r="L137" i="80"/>
  <c r="L121" i="80"/>
  <c r="L83" i="80"/>
  <c r="L131" i="80"/>
  <c r="L87" i="80"/>
  <c r="L133" i="80"/>
  <c r="L139" i="80"/>
  <c r="L105" i="80"/>
  <c r="BO10" i="69" l="1"/>
  <c r="BO22" i="69" s="1"/>
  <c r="BO7" i="69" l="1"/>
  <c r="G73" i="127" s="1"/>
  <c r="H73" i="127" s="1"/>
  <c r="AU23" i="88" l="1"/>
  <c r="E10" i="56" l="1"/>
  <c r="BN18" i="69"/>
  <c r="BO17" i="69"/>
  <c r="AW10" i="76"/>
  <c r="S27" i="97" l="1"/>
  <c r="S28" i="97" s="1"/>
  <c r="F59" i="57"/>
  <c r="BO20" i="69"/>
  <c r="BO21" i="69"/>
  <c r="BR20" i="69" l="1"/>
  <c r="BT22" i="69"/>
  <c r="E120" i="56"/>
  <c r="H120" i="56" s="1"/>
  <c r="BR23" i="69"/>
  <c r="B53" i="14"/>
  <c r="B54" i="14" s="1"/>
  <c r="B55" i="14" s="1"/>
  <c r="B56" i="14" s="1"/>
  <c r="BT20" i="69" l="1"/>
  <c r="BT21" i="69" s="1"/>
  <c r="BT23" i="69" s="1"/>
  <c r="F15" i="81"/>
  <c r="Z15" i="81" s="1"/>
  <c r="AV10" i="93"/>
  <c r="AV9" i="93"/>
  <c r="AV15" i="93"/>
  <c r="AV14" i="93"/>
  <c r="AV12" i="93"/>
  <c r="BT25" i="69" l="1"/>
  <c r="BT27" i="69" s="1"/>
  <c r="BT37" i="69" l="1"/>
  <c r="A22" i="78"/>
  <c r="A55" i="78" s="1"/>
  <c r="A22" i="77"/>
  <c r="A55" i="77" s="1"/>
  <c r="A22" i="95"/>
  <c r="A55" i="95" s="1"/>
  <c r="A22" i="76"/>
  <c r="A55" i="76" s="1"/>
  <c r="A23" i="76"/>
  <c r="A22" i="93"/>
  <c r="A55" i="93" s="1"/>
  <c r="A55" i="63"/>
  <c r="AV13" i="97" l="1"/>
  <c r="AW13" i="97" s="1"/>
  <c r="G118" i="56"/>
  <c r="E53" i="56"/>
  <c r="D10" i="69"/>
  <c r="E55" i="56"/>
  <c r="S7" i="69"/>
  <c r="N11" i="69"/>
  <c r="O10" i="69"/>
  <c r="P10" i="69" s="1"/>
  <c r="P35" i="69" s="1"/>
  <c r="N8" i="69"/>
  <c r="P7" i="69"/>
  <c r="P30" i="69" s="1"/>
  <c r="O4" i="69"/>
  <c r="H6" i="69"/>
  <c r="T6" i="69" s="1"/>
  <c r="G6" i="69"/>
  <c r="S6" i="69" s="1"/>
  <c r="F6" i="69"/>
  <c r="R6" i="69" s="1"/>
  <c r="H5" i="69"/>
  <c r="H4" i="69"/>
  <c r="F4" i="69"/>
  <c r="N4" i="69" s="1"/>
  <c r="G19" i="69"/>
  <c r="G20" i="69" s="1"/>
  <c r="AE19" i="69"/>
  <c r="AF19" i="69" s="1"/>
  <c r="AE17" i="69"/>
  <c r="AU19" i="69"/>
  <c r="AU21" i="69" s="1"/>
  <c r="AA19" i="69"/>
  <c r="AA21" i="69" s="1"/>
  <c r="AA17" i="69"/>
  <c r="AY19" i="69"/>
  <c r="AY20" i="69" s="1"/>
  <c r="AY17" i="69"/>
  <c r="AR22" i="69"/>
  <c r="AQ19" i="69"/>
  <c r="AQ17" i="69"/>
  <c r="BC19" i="69"/>
  <c r="BC20" i="69" s="1"/>
  <c r="BC17" i="69"/>
  <c r="BH19" i="69"/>
  <c r="BG19" i="69"/>
  <c r="BG17" i="69"/>
  <c r="BK19" i="69"/>
  <c r="BK17" i="69"/>
  <c r="BO8" i="69"/>
  <c r="BO9" i="69" s="1"/>
  <c r="BO4" i="69"/>
  <c r="AQ20" i="69" l="1"/>
  <c r="G106" i="127"/>
  <c r="H106" i="127" s="1"/>
  <c r="S8" i="69"/>
  <c r="G55" i="127"/>
  <c r="H55" i="127" s="1"/>
  <c r="BG20" i="69"/>
  <c r="G114" i="127"/>
  <c r="H114" i="127" s="1"/>
  <c r="M114" i="127" s="1"/>
  <c r="BK21" i="69"/>
  <c r="G116" i="127"/>
  <c r="H116" i="127" s="1"/>
  <c r="G98" i="56"/>
  <c r="G96" i="56"/>
  <c r="G100" i="56"/>
  <c r="G108" i="56"/>
  <c r="G110" i="56"/>
  <c r="G112" i="56"/>
  <c r="O7" i="69"/>
  <c r="E106" i="56"/>
  <c r="R8" i="69"/>
  <c r="T8" i="69" s="1"/>
  <c r="T32" i="69" s="1"/>
  <c r="T10" i="69"/>
  <c r="T35" i="69" s="1"/>
  <c r="G55" i="56"/>
  <c r="G73" i="56"/>
  <c r="G106" i="56"/>
  <c r="G114" i="56"/>
  <c r="G116" i="56"/>
  <c r="S9" i="69"/>
  <c r="T7" i="69"/>
  <c r="T30" i="69" s="1"/>
  <c r="R11" i="69"/>
  <c r="BC21" i="69"/>
  <c r="AA20" i="69"/>
  <c r="AY21" i="69"/>
  <c r="AE20" i="69"/>
  <c r="AU20" i="69"/>
  <c r="G21" i="69"/>
  <c r="H19" i="69"/>
  <c r="H30" i="69" s="1"/>
  <c r="AE21" i="69"/>
  <c r="BK20" i="69"/>
  <c r="BL19" i="69"/>
  <c r="AQ21" i="69"/>
  <c r="AR21" i="69" s="1"/>
  <c r="AR27" i="69" s="1"/>
  <c r="AR20" i="69"/>
  <c r="AP23" i="69"/>
  <c r="AR19" i="69"/>
  <c r="BG21" i="69"/>
  <c r="BP7" i="69"/>
  <c r="BP30" i="69" s="1"/>
  <c r="M55" i="127" l="1"/>
  <c r="O55" i="127"/>
  <c r="O106" i="127"/>
  <c r="M106" i="127"/>
  <c r="O8" i="69"/>
  <c r="G53" i="56"/>
  <c r="T9" i="69"/>
  <c r="T11" i="69" s="1"/>
  <c r="T13" i="69" s="1"/>
  <c r="AR37" i="69" l="1"/>
  <c r="T15" i="69"/>
  <c r="T31" i="69" s="1"/>
  <c r="T33" i="69" s="1"/>
  <c r="P8" i="69"/>
  <c r="P32" i="69" s="1"/>
  <c r="O9" i="69"/>
  <c r="A8" i="14"/>
  <c r="A9" i="14" s="1"/>
  <c r="A10" i="14" s="1"/>
  <c r="C40" i="55" l="1"/>
  <c r="P9" i="69"/>
  <c r="P11" i="69" s="1"/>
  <c r="P13" i="69" s="1"/>
  <c r="T42" i="69" l="1"/>
  <c r="T43" i="69" s="1"/>
  <c r="T42" i="122"/>
  <c r="T43" i="122" s="1"/>
  <c r="P15" i="69"/>
  <c r="P31" i="69" s="1"/>
  <c r="P33" i="69" s="1"/>
  <c r="P36" i="69"/>
  <c r="P38" i="69" s="1"/>
  <c r="B31" i="69"/>
  <c r="C36" i="55" l="1"/>
  <c r="P39" i="69"/>
  <c r="B40" i="85"/>
  <c r="P42" i="69" l="1"/>
  <c r="P43" i="69" s="1"/>
  <c r="P42" i="122"/>
  <c r="P43" i="122" s="1"/>
  <c r="AV26" i="93"/>
  <c r="AW26" i="93" s="1"/>
  <c r="F62" i="85" l="1"/>
  <c r="K158" i="80"/>
  <c r="K159" i="80"/>
  <c r="K160" i="80"/>
  <c r="K161" i="80"/>
  <c r="K162" i="80"/>
  <c r="K163" i="80"/>
  <c r="K164" i="80"/>
  <c r="K165" i="80"/>
  <c r="K166" i="80"/>
  <c r="K167" i="80"/>
  <c r="K170" i="80"/>
  <c r="K171" i="80"/>
  <c r="K172" i="80"/>
  <c r="J173" i="80"/>
  <c r="K157" i="80"/>
  <c r="K145" i="80"/>
  <c r="K146" i="80"/>
  <c r="K147" i="80"/>
  <c r="K148" i="80"/>
  <c r="K149" i="80"/>
  <c r="K150" i="80"/>
  <c r="J151" i="80"/>
  <c r="K151" i="80"/>
  <c r="K154" i="80"/>
  <c r="K155" i="80"/>
  <c r="H290" i="80"/>
  <c r="I290" i="80" s="1"/>
  <c r="H283" i="80"/>
  <c r="K192" i="80"/>
  <c r="K193" i="80"/>
  <c r="K194" i="80"/>
  <c r="K195" i="80"/>
  <c r="K196" i="80"/>
  <c r="K197" i="80"/>
  <c r="K198" i="80"/>
  <c r="K199" i="80"/>
  <c r="K200" i="80"/>
  <c r="K201" i="80"/>
  <c r="K204" i="80"/>
  <c r="L204" i="80" s="1"/>
  <c r="K205" i="80"/>
  <c r="L205" i="80" s="1"/>
  <c r="K206" i="80"/>
  <c r="K207" i="80"/>
  <c r="K179" i="80"/>
  <c r="K180" i="80"/>
  <c r="L180" i="80" s="1"/>
  <c r="K181" i="80"/>
  <c r="K182" i="80"/>
  <c r="K183" i="80"/>
  <c r="K184" i="80"/>
  <c r="K185" i="80"/>
  <c r="K188" i="80"/>
  <c r="K189" i="80"/>
  <c r="L189" i="80" s="1"/>
  <c r="I164" i="80"/>
  <c r="I166" i="80"/>
  <c r="I170" i="80"/>
  <c r="I172" i="80"/>
  <c r="I173" i="80"/>
  <c r="I149" i="80"/>
  <c r="I151" i="80"/>
  <c r="I155" i="80"/>
  <c r="K123" i="80"/>
  <c r="D129" i="80"/>
  <c r="D130" i="80"/>
  <c r="D131" i="80"/>
  <c r="D133" i="80"/>
  <c r="D136" i="80"/>
  <c r="D137" i="80"/>
  <c r="D139" i="80"/>
  <c r="J332" i="80" s="1"/>
  <c r="K89" i="80"/>
  <c r="K71" i="80"/>
  <c r="D61" i="80"/>
  <c r="D63" i="80"/>
  <c r="D65" i="80"/>
  <c r="D69" i="80"/>
  <c r="D71" i="80"/>
  <c r="I62" i="80"/>
  <c r="I64" i="80"/>
  <c r="I68" i="80"/>
  <c r="I70" i="80"/>
  <c r="I71" i="80"/>
  <c r="H331" i="80" s="1"/>
  <c r="K70" i="80"/>
  <c r="K69" i="80"/>
  <c r="K68" i="80"/>
  <c r="K65" i="80"/>
  <c r="K64" i="80"/>
  <c r="K63" i="80"/>
  <c r="K62" i="80"/>
  <c r="K61" i="80"/>
  <c r="K60" i="80"/>
  <c r="K59" i="80"/>
  <c r="K58" i="80"/>
  <c r="K57" i="80"/>
  <c r="K56" i="80"/>
  <c r="K55" i="80"/>
  <c r="J71" i="80"/>
  <c r="J55" i="80"/>
  <c r="K43" i="80"/>
  <c r="K44" i="80"/>
  <c r="K45" i="80"/>
  <c r="J46" i="80"/>
  <c r="K46" i="80"/>
  <c r="K47" i="80"/>
  <c r="J48" i="80"/>
  <c r="K48" i="80"/>
  <c r="K49" i="80"/>
  <c r="K52" i="80"/>
  <c r="K53" i="80"/>
  <c r="K21" i="80"/>
  <c r="K22" i="80"/>
  <c r="K23" i="80"/>
  <c r="K24" i="80"/>
  <c r="K25" i="80"/>
  <c r="K26" i="80"/>
  <c r="K27" i="80"/>
  <c r="K28" i="80"/>
  <c r="K29" i="80"/>
  <c r="K30" i="80"/>
  <c r="K33" i="80"/>
  <c r="K34" i="80"/>
  <c r="K35" i="80"/>
  <c r="J36" i="80"/>
  <c r="K8" i="80"/>
  <c r="K9" i="80"/>
  <c r="J10" i="80"/>
  <c r="K10" i="80"/>
  <c r="J11" i="80"/>
  <c r="K11" i="80"/>
  <c r="J12" i="80"/>
  <c r="K12" i="80"/>
  <c r="J13" i="80"/>
  <c r="K13" i="80"/>
  <c r="J14" i="80"/>
  <c r="K14" i="80"/>
  <c r="K17" i="80"/>
  <c r="K18" i="80"/>
  <c r="J89" i="80"/>
  <c r="K331" i="80" l="1"/>
  <c r="L14" i="80"/>
  <c r="L13" i="80"/>
  <c r="L11" i="80"/>
  <c r="L151" i="80"/>
  <c r="L48" i="80"/>
  <c r="L46" i="80"/>
  <c r="L10" i="80"/>
  <c r="L36" i="80"/>
  <c r="L207" i="80"/>
  <c r="L12" i="80"/>
  <c r="L200" i="80"/>
  <c r="L188" i="80"/>
  <c r="L201" i="80"/>
  <c r="L173" i="80"/>
  <c r="L71" i="80"/>
  <c r="T11" i="63" l="1"/>
  <c r="K55" i="14" l="1"/>
  <c r="W11" i="78"/>
  <c r="W29" i="78" s="1"/>
  <c r="AV10" i="95"/>
  <c r="AV20" i="76"/>
  <c r="AW20" i="76" s="1"/>
  <c r="T11" i="76"/>
  <c r="U11" i="76"/>
  <c r="V11" i="76"/>
  <c r="AV16" i="93"/>
  <c r="AV23" i="76"/>
  <c r="AV14" i="76"/>
  <c r="AW14" i="76" s="1"/>
  <c r="AW20" i="63"/>
  <c r="S11" i="63"/>
  <c r="U29" i="76" l="1"/>
  <c r="AV13" i="93"/>
  <c r="AV8" i="93"/>
  <c r="AW8" i="93" l="1"/>
  <c r="R11" i="63"/>
  <c r="Q11" i="63"/>
  <c r="P11" i="63"/>
  <c r="O11" i="63"/>
  <c r="N11" i="63"/>
  <c r="M11" i="63"/>
  <c r="L11" i="63"/>
  <c r="K11" i="63"/>
  <c r="J11" i="63"/>
  <c r="I11" i="63"/>
  <c r="H11" i="63"/>
  <c r="G11" i="63"/>
  <c r="F11" i="63"/>
  <c r="E11" i="63"/>
  <c r="D11" i="63"/>
  <c r="C11" i="63"/>
  <c r="B11" i="63"/>
  <c r="K293" i="80" l="1"/>
  <c r="K294" i="80"/>
  <c r="K295" i="80"/>
  <c r="K298" i="80"/>
  <c r="K299" i="80"/>
  <c r="J300" i="80"/>
  <c r="K290" i="80"/>
  <c r="G148" i="80" l="1"/>
  <c r="I148" i="80" s="1"/>
  <c r="I113" i="80"/>
  <c r="I114" i="80"/>
  <c r="I115" i="80"/>
  <c r="I116" i="80"/>
  <c r="I117" i="80"/>
  <c r="I120" i="80"/>
  <c r="I129" i="80"/>
  <c r="I130" i="80"/>
  <c r="I131" i="80"/>
  <c r="I132" i="80"/>
  <c r="I133" i="80"/>
  <c r="I136" i="80"/>
  <c r="I137" i="80"/>
  <c r="I138" i="80"/>
  <c r="I123" i="80"/>
  <c r="I124" i="80"/>
  <c r="I125" i="80"/>
  <c r="I126" i="80"/>
  <c r="I127" i="80"/>
  <c r="I128" i="80"/>
  <c r="I89" i="80"/>
  <c r="I55" i="80"/>
  <c r="G45" i="80" l="1"/>
  <c r="I29" i="80"/>
  <c r="I33" i="80"/>
  <c r="I34" i="80"/>
  <c r="I35" i="80"/>
  <c r="N26" i="81"/>
  <c r="F11" i="81" s="1"/>
  <c r="N24" i="81"/>
  <c r="N20" i="81"/>
  <c r="N19" i="81"/>
  <c r="J26" i="81"/>
  <c r="J25" i="81"/>
  <c r="J23" i="81"/>
  <c r="J20" i="81"/>
  <c r="Z11" i="81" l="1"/>
  <c r="I45" i="80"/>
  <c r="J45" i="80"/>
  <c r="L45" i="80" s="1"/>
  <c r="F25" i="81"/>
  <c r="F24" i="81"/>
  <c r="F23" i="81"/>
  <c r="Z23" i="81" s="1"/>
  <c r="F22" i="81"/>
  <c r="F21" i="81"/>
  <c r="F20" i="81"/>
  <c r="F19" i="81"/>
  <c r="Z21" i="81" l="1"/>
  <c r="N12" i="81"/>
  <c r="Z19" i="81"/>
  <c r="B12" i="81"/>
  <c r="Z12" i="81" s="1"/>
  <c r="P6" i="81"/>
  <c r="P11" i="81"/>
  <c r="P16" i="81"/>
  <c r="L6" i="81"/>
  <c r="L11" i="81"/>
  <c r="L16" i="81"/>
  <c r="H16" i="81"/>
  <c r="H6" i="81"/>
  <c r="D9" i="81"/>
  <c r="D10" i="81"/>
  <c r="D11" i="81"/>
  <c r="I20" i="80" l="1"/>
  <c r="K20" i="80" l="1"/>
  <c r="J20" i="80"/>
  <c r="I10" i="80" l="1"/>
  <c r="I11" i="80"/>
  <c r="I12" i="80"/>
  <c r="I13" i="80"/>
  <c r="I14" i="80"/>
  <c r="B290" i="80"/>
  <c r="D290" i="80" s="1"/>
  <c r="D204" i="80"/>
  <c r="D200" i="80"/>
  <c r="D201" i="80"/>
  <c r="D205" i="80"/>
  <c r="D171" i="80"/>
  <c r="I141" i="80"/>
  <c r="I139" i="80"/>
  <c r="J331" i="80" s="1"/>
  <c r="J123" i="80"/>
  <c r="L123" i="80" s="1"/>
  <c r="D123" i="80"/>
  <c r="F122" i="80"/>
  <c r="I121" i="80"/>
  <c r="I111" i="80"/>
  <c r="L109" i="80"/>
  <c r="K109" i="80"/>
  <c r="J109" i="80"/>
  <c r="D81" i="80" l="1"/>
  <c r="D44" i="80"/>
  <c r="D45" i="80"/>
  <c r="D20" i="80" l="1"/>
  <c r="AV31" i="78"/>
  <c r="C36" i="88"/>
  <c r="C39" i="88" s="1"/>
  <c r="D36" i="88"/>
  <c r="D39" i="88" s="1"/>
  <c r="E36" i="88"/>
  <c r="E39" i="88" s="1"/>
  <c r="H352" i="80" l="1"/>
  <c r="AV27" i="95"/>
  <c r="AW27" i="95" s="1"/>
  <c r="AV26" i="95"/>
  <c r="AW26" i="95" s="1"/>
  <c r="AV25" i="95"/>
  <c r="AW25" i="95" s="1"/>
  <c r="AV23" i="95"/>
  <c r="AW23" i="95" s="1"/>
  <c r="AV16" i="95"/>
  <c r="AW16" i="95" s="1"/>
  <c r="AV15" i="95"/>
  <c r="AV13" i="95"/>
  <c r="AV14" i="95"/>
  <c r="AV12" i="95"/>
  <c r="AV8" i="95"/>
  <c r="B65" i="95" l="1"/>
  <c r="T11" i="95" l="1"/>
  <c r="T29" i="95" l="1"/>
  <c r="AS30" i="95"/>
  <c r="AR30" i="95"/>
  <c r="AQ30" i="95"/>
  <c r="V30" i="95"/>
  <c r="U30" i="95"/>
  <c r="T30" i="95"/>
  <c r="S30" i="95"/>
  <c r="AP82" i="95"/>
  <c r="AN82" i="95"/>
  <c r="AJ82" i="95"/>
  <c r="AG82" i="95"/>
  <c r="AE82" i="95"/>
  <c r="AC82" i="95"/>
  <c r="Y82" i="95"/>
  <c r="W82" i="95"/>
  <c r="V82" i="95"/>
  <c r="S82" i="95"/>
  <c r="R82" i="95"/>
  <c r="Q82" i="95"/>
  <c r="X81" i="95"/>
  <c r="AN80" i="95"/>
  <c r="AJ80" i="95"/>
  <c r="AG80" i="95"/>
  <c r="AE80" i="95"/>
  <c r="AC80" i="95"/>
  <c r="Y80" i="95"/>
  <c r="W80" i="95"/>
  <c r="V80" i="95"/>
  <c r="S80" i="95"/>
  <c r="R80" i="95"/>
  <c r="Q80" i="95"/>
  <c r="C73" i="95"/>
  <c r="A45" i="95"/>
  <c r="A33" i="95"/>
  <c r="A32" i="95"/>
  <c r="A29" i="95"/>
  <c r="A28" i="95"/>
  <c r="A61" i="95" s="1"/>
  <c r="A27" i="95"/>
  <c r="A60" i="95" s="1"/>
  <c r="A26" i="95"/>
  <c r="A59" i="95" s="1"/>
  <c r="A25" i="95"/>
  <c r="A58" i="95" s="1"/>
  <c r="A24" i="95"/>
  <c r="A57" i="95" s="1"/>
  <c r="A23" i="95"/>
  <c r="A56" i="95" s="1"/>
  <c r="AW21" i="95"/>
  <c r="A21" i="95"/>
  <c r="A54" i="95" s="1"/>
  <c r="AW20" i="95"/>
  <c r="A20" i="95"/>
  <c r="A53" i="95" s="1"/>
  <c r="A16" i="95"/>
  <c r="A49" i="95" s="1"/>
  <c r="AW15" i="95"/>
  <c r="A15" i="95"/>
  <c r="A48" i="95" s="1"/>
  <c r="A14" i="95"/>
  <c r="A47" i="95" s="1"/>
  <c r="A46" i="95"/>
  <c r="R11" i="95"/>
  <c r="R29" i="95" s="1"/>
  <c r="Q11" i="95"/>
  <c r="Q29" i="95" s="1"/>
  <c r="P11" i="95"/>
  <c r="P29" i="95" s="1"/>
  <c r="O11" i="95"/>
  <c r="O29" i="95" s="1"/>
  <c r="N11" i="95"/>
  <c r="N29" i="95" s="1"/>
  <c r="M11" i="95"/>
  <c r="M29" i="95" s="1"/>
  <c r="L11" i="95"/>
  <c r="L29" i="95" s="1"/>
  <c r="K11" i="95"/>
  <c r="K29" i="95" s="1"/>
  <c r="J11" i="95"/>
  <c r="J29" i="95" s="1"/>
  <c r="I11" i="95"/>
  <c r="I29" i="95" s="1"/>
  <c r="H11" i="95"/>
  <c r="H29" i="95" s="1"/>
  <c r="G11" i="95"/>
  <c r="G29" i="95" s="1"/>
  <c r="F11" i="95"/>
  <c r="F29" i="95" s="1"/>
  <c r="E11" i="95"/>
  <c r="E29" i="95" s="1"/>
  <c r="D11" i="95"/>
  <c r="D29" i="95" s="1"/>
  <c r="C11" i="95"/>
  <c r="C29" i="95" s="1"/>
  <c r="B11" i="95"/>
  <c r="B29" i="95" s="1"/>
  <c r="A11" i="95"/>
  <c r="A10" i="95"/>
  <c r="A9" i="95"/>
  <c r="A8" i="95"/>
  <c r="U11" i="95"/>
  <c r="A7" i="95"/>
  <c r="AS5" i="95"/>
  <c r="AR5" i="95"/>
  <c r="AQ5" i="95"/>
  <c r="AP5" i="95"/>
  <c r="AN5" i="95"/>
  <c r="AM5" i="95"/>
  <c r="AL5" i="95"/>
  <c r="AK5" i="95"/>
  <c r="AJ5" i="95"/>
  <c r="AI5" i="95"/>
  <c r="AH5" i="95"/>
  <c r="AG5" i="95"/>
  <c r="AF5" i="95"/>
  <c r="AE5" i="95"/>
  <c r="AD5" i="95"/>
  <c r="AC5" i="95"/>
  <c r="AB5" i="95"/>
  <c r="AA5" i="95"/>
  <c r="Z5" i="95"/>
  <c r="Y5" i="95"/>
  <c r="X5" i="95"/>
  <c r="W5" i="95"/>
  <c r="V5" i="95"/>
  <c r="U5" i="95"/>
  <c r="T5" i="95"/>
  <c r="S5" i="95"/>
  <c r="R5" i="95"/>
  <c r="Q5" i="95"/>
  <c r="P5" i="95"/>
  <c r="O5" i="95"/>
  <c r="N5" i="95"/>
  <c r="M5" i="95"/>
  <c r="L5" i="95"/>
  <c r="K5" i="95"/>
  <c r="J5" i="95"/>
  <c r="I5" i="95"/>
  <c r="H5" i="95"/>
  <c r="G5" i="95"/>
  <c r="F5" i="95"/>
  <c r="E5" i="95"/>
  <c r="D5" i="95"/>
  <c r="C5" i="95"/>
  <c r="B5" i="95"/>
  <c r="AN4" i="95"/>
  <c r="AM4" i="95"/>
  <c r="AL4" i="95"/>
  <c r="AK4" i="95"/>
  <c r="AJ4" i="95"/>
  <c r="AI4" i="95"/>
  <c r="AH4" i="95"/>
  <c r="AG4" i="95"/>
  <c r="AF4" i="95"/>
  <c r="AE4" i="95"/>
  <c r="AD4" i="95"/>
  <c r="AC4" i="95"/>
  <c r="AB4" i="95"/>
  <c r="AA4" i="95"/>
  <c r="Z4" i="95"/>
  <c r="Y4" i="95"/>
  <c r="X4" i="95"/>
  <c r="W4" i="95"/>
  <c r="V4" i="95"/>
  <c r="U4" i="95"/>
  <c r="T4" i="95"/>
  <c r="S4" i="95"/>
  <c r="R4" i="95"/>
  <c r="Q4" i="95"/>
  <c r="P4" i="95"/>
  <c r="O4" i="95"/>
  <c r="N4" i="95"/>
  <c r="M4" i="95"/>
  <c r="L4" i="95"/>
  <c r="K4" i="95"/>
  <c r="J4" i="95"/>
  <c r="I4" i="95"/>
  <c r="H4" i="95"/>
  <c r="G4" i="95"/>
  <c r="F4" i="95"/>
  <c r="E4" i="95"/>
  <c r="D4" i="95"/>
  <c r="C4" i="95"/>
  <c r="B4" i="95"/>
  <c r="AN70" i="95"/>
  <c r="AM70" i="95"/>
  <c r="AL70" i="95"/>
  <c r="AI70" i="95"/>
  <c r="AH70" i="95"/>
  <c r="AG70" i="95"/>
  <c r="AF70" i="95"/>
  <c r="AE70" i="95"/>
  <c r="AD70" i="95"/>
  <c r="AA70" i="95"/>
  <c r="AB70" i="95" s="1"/>
  <c r="AC70" i="95" s="1"/>
  <c r="Z70" i="95"/>
  <c r="Y70" i="95"/>
  <c r="X70" i="95"/>
  <c r="U70" i="95"/>
  <c r="R70" i="95"/>
  <c r="Q70" i="95"/>
  <c r="P70" i="95"/>
  <c r="O70" i="95"/>
  <c r="N70" i="95"/>
  <c r="M70" i="95"/>
  <c r="L70" i="95"/>
  <c r="K70" i="95"/>
  <c r="J70" i="95"/>
  <c r="I70" i="95"/>
  <c r="H70" i="95"/>
  <c r="G70" i="95"/>
  <c r="F70" i="95"/>
  <c r="E70" i="95"/>
  <c r="D70" i="95"/>
  <c r="C70" i="95"/>
  <c r="B70" i="95"/>
  <c r="AN2" i="95"/>
  <c r="AM2" i="95"/>
  <c r="AL2" i="95"/>
  <c r="AK2" i="95"/>
  <c r="AJ2" i="95"/>
  <c r="AI2" i="95"/>
  <c r="AH2" i="95"/>
  <c r="AG2" i="95"/>
  <c r="AF2" i="95"/>
  <c r="AE2" i="95"/>
  <c r="AD2" i="95"/>
  <c r="AC2" i="95"/>
  <c r="AB2" i="95"/>
  <c r="AA2" i="95"/>
  <c r="Z2" i="95"/>
  <c r="Y2" i="95"/>
  <c r="X2" i="95"/>
  <c r="W2" i="95"/>
  <c r="V2" i="95"/>
  <c r="U2" i="95"/>
  <c r="T2" i="95"/>
  <c r="S2" i="95"/>
  <c r="R2" i="95"/>
  <c r="Q2" i="95"/>
  <c r="P2" i="95"/>
  <c r="O2" i="95"/>
  <c r="N2" i="95"/>
  <c r="M2" i="95"/>
  <c r="L2" i="95"/>
  <c r="K2" i="95"/>
  <c r="J2" i="95"/>
  <c r="I2" i="95"/>
  <c r="H2" i="95"/>
  <c r="G2" i="95"/>
  <c r="F2" i="95"/>
  <c r="E2" i="95"/>
  <c r="D2" i="95"/>
  <c r="C2" i="95"/>
  <c r="B2" i="95"/>
  <c r="AV27" i="78"/>
  <c r="AV26" i="78"/>
  <c r="AV25" i="78"/>
  <c r="AV16" i="78"/>
  <c r="AV15" i="78"/>
  <c r="AV14" i="78"/>
  <c r="AV13" i="78"/>
  <c r="AV12" i="78"/>
  <c r="X29" i="95" l="1"/>
  <c r="U29" i="95"/>
  <c r="U31" i="95" s="1"/>
  <c r="V29" i="95"/>
  <c r="V31" i="95" s="1"/>
  <c r="T70" i="95"/>
  <c r="S70" i="95"/>
  <c r="W70" i="95"/>
  <c r="V70" i="95"/>
  <c r="AK70" i="95"/>
  <c r="AJ70" i="95"/>
  <c r="B11" i="88"/>
  <c r="G11" i="88"/>
  <c r="F11" i="88"/>
  <c r="M11" i="88"/>
  <c r="E11" i="88"/>
  <c r="L11" i="88"/>
  <c r="D11" i="88"/>
  <c r="K11" i="88"/>
  <c r="C11" i="88"/>
  <c r="J11" i="88"/>
  <c r="I11" i="88"/>
  <c r="H11" i="88"/>
  <c r="S11" i="95"/>
  <c r="T31" i="95"/>
  <c r="AW8" i="95"/>
  <c r="D73" i="95"/>
  <c r="C74" i="95"/>
  <c r="C76" i="95" s="1"/>
  <c r="AO80" i="95"/>
  <c r="B74" i="95"/>
  <c r="AW26" i="78"/>
  <c r="V11" i="78"/>
  <c r="V29" i="78" s="1"/>
  <c r="U11" i="78"/>
  <c r="T11" i="78"/>
  <c r="T29" i="78" s="1"/>
  <c r="AW15" i="78"/>
  <c r="Y11" i="78"/>
  <c r="Z11" i="78"/>
  <c r="Z29" i="78" s="1"/>
  <c r="X11" i="78"/>
  <c r="X29" i="78" s="1"/>
  <c r="W29" i="95" l="1"/>
  <c r="Y29" i="95"/>
  <c r="Z29" i="95"/>
  <c r="S29" i="95"/>
  <c r="S31" i="95" s="1"/>
  <c r="AW20" i="78"/>
  <c r="S11" i="78"/>
  <c r="S29" i="78" s="1"/>
  <c r="Y29" i="78"/>
  <c r="AW25" i="78"/>
  <c r="AW16" i="78"/>
  <c r="AW27" i="78"/>
  <c r="AW13" i="78"/>
  <c r="AW14" i="78"/>
  <c r="AW14" i="95"/>
  <c r="AW13" i="95"/>
  <c r="AW12" i="95"/>
  <c r="D74" i="95"/>
  <c r="D76" i="95" s="1"/>
  <c r="E73" i="95"/>
  <c r="AP81" i="95"/>
  <c r="AP83" i="95" s="1"/>
  <c r="AP80" i="95"/>
  <c r="U29" i="78"/>
  <c r="A47" i="78"/>
  <c r="A21" i="78"/>
  <c r="A54" i="78" s="1"/>
  <c r="A23" i="78"/>
  <c r="A56" i="78" s="1"/>
  <c r="A24" i="78"/>
  <c r="A57" i="78" s="1"/>
  <c r="A25" i="78"/>
  <c r="A58" i="78" s="1"/>
  <c r="A26" i="78"/>
  <c r="A59" i="78" s="1"/>
  <c r="A27" i="78"/>
  <c r="A60" i="78" s="1"/>
  <c r="A28" i="78"/>
  <c r="A61" i="78" s="1"/>
  <c r="A13" i="78"/>
  <c r="A46" i="78" s="1"/>
  <c r="A15" i="78"/>
  <c r="A48" i="78" s="1"/>
  <c r="A16" i="78"/>
  <c r="A49" i="78" s="1"/>
  <c r="A20" i="78"/>
  <c r="A53" i="78" s="1"/>
  <c r="A12" i="78"/>
  <c r="A45" i="78" s="1"/>
  <c r="AV26" i="77"/>
  <c r="AV25" i="77"/>
  <c r="AW25" i="77" s="1"/>
  <c r="AV16" i="77"/>
  <c r="AV15" i="77"/>
  <c r="AV14" i="77"/>
  <c r="W73" i="95" l="1"/>
  <c r="W74" i="95" s="1"/>
  <c r="W79" i="95" s="1"/>
  <c r="W81" i="95" s="1"/>
  <c r="W83" i="95" s="1"/>
  <c r="E74" i="95"/>
  <c r="F73" i="95"/>
  <c r="F74" i="95" l="1"/>
  <c r="G73" i="95"/>
  <c r="H73" i="95" l="1"/>
  <c r="G74" i="95"/>
  <c r="I73" i="95" l="1"/>
  <c r="H74" i="95"/>
  <c r="H76" i="95" s="1"/>
  <c r="J73" i="95" l="1"/>
  <c r="I74" i="95"/>
  <c r="K73" i="95" l="1"/>
  <c r="J74" i="95"/>
  <c r="J76" i="95" s="1"/>
  <c r="L73" i="95" l="1"/>
  <c r="K74" i="95"/>
  <c r="K76" i="95" s="1"/>
  <c r="L74" i="95" l="1"/>
  <c r="L76" i="95" s="1"/>
  <c r="M73" i="95"/>
  <c r="M74" i="95" l="1"/>
  <c r="N73" i="95"/>
  <c r="O73" i="95" l="1"/>
  <c r="N74" i="95"/>
  <c r="N76" i="95" s="1"/>
  <c r="P73" i="95" l="1"/>
  <c r="O74" i="95"/>
  <c r="Q73" i="95" l="1"/>
  <c r="P74" i="95"/>
  <c r="P76" i="95" s="1"/>
  <c r="R73" i="95" l="1"/>
  <c r="Q74" i="95"/>
  <c r="Q79" i="95" l="1"/>
  <c r="S73" i="95"/>
  <c r="R74" i="95"/>
  <c r="R76" i="95" s="1"/>
  <c r="Q81" i="95" l="1"/>
  <c r="R79" i="95"/>
  <c r="R81" i="95" s="1"/>
  <c r="R83" i="95" s="1"/>
  <c r="T73" i="95"/>
  <c r="S74" i="95"/>
  <c r="R75" i="95" l="1"/>
  <c r="B76" i="95" s="1"/>
  <c r="S79" i="95"/>
  <c r="S81" i="95" s="1"/>
  <c r="S83" i="95" s="1"/>
  <c r="T74" i="95"/>
  <c r="T79" i="95"/>
  <c r="U73" i="95"/>
  <c r="V73" i="95" s="1"/>
  <c r="Q83" i="95"/>
  <c r="U74" i="95" l="1"/>
  <c r="U79" i="95"/>
  <c r="U75" i="95" l="1"/>
  <c r="V79" i="95"/>
  <c r="V74" i="95"/>
  <c r="W75" i="95" s="1"/>
  <c r="W76" i="95" s="1"/>
  <c r="G76" i="95" l="1"/>
  <c r="E76" i="95"/>
  <c r="S76" i="95"/>
  <c r="T76" i="95"/>
  <c r="U76" i="95"/>
  <c r="V81" i="95"/>
  <c r="F76" i="95" l="1"/>
  <c r="V76" i="95"/>
  <c r="V83" i="95"/>
  <c r="AV13" i="77" l="1"/>
  <c r="AV12" i="77"/>
  <c r="AW12" i="77" s="1"/>
  <c r="AW27" i="77"/>
  <c r="AW26" i="77"/>
  <c r="V11" i="77"/>
  <c r="S11" i="77"/>
  <c r="Y11" i="77"/>
  <c r="Z11" i="77"/>
  <c r="A49" i="77"/>
  <c r="A28" i="77"/>
  <c r="A61" i="77" s="1"/>
  <c r="A27" i="77"/>
  <c r="A60" i="77" s="1"/>
  <c r="A13" i="77"/>
  <c r="A46" i="77" s="1"/>
  <c r="A14" i="77"/>
  <c r="A47" i="77" s="1"/>
  <c r="A15" i="77"/>
  <c r="A48" i="77" s="1"/>
  <c r="A20" i="77"/>
  <c r="A53" i="77" s="1"/>
  <c r="A21" i="77"/>
  <c r="A54" i="77" s="1"/>
  <c r="A23" i="77"/>
  <c r="A56" i="77" s="1"/>
  <c r="A24" i="77"/>
  <c r="A57" i="77" s="1"/>
  <c r="A25" i="77"/>
  <c r="A58" i="77" s="1"/>
  <c r="A26" i="77"/>
  <c r="A59" i="77" s="1"/>
  <c r="A12" i="77"/>
  <c r="A45" i="77" s="1"/>
  <c r="Y29" i="77" l="1"/>
  <c r="Z29" i="77"/>
  <c r="S29" i="77"/>
  <c r="V29" i="77"/>
  <c r="A46" i="88"/>
  <c r="A47" i="88"/>
  <c r="A48" i="88"/>
  <c r="A49" i="88"/>
  <c r="A50" i="88"/>
  <c r="A54" i="88"/>
  <c r="A55" i="88"/>
  <c r="A57" i="88"/>
  <c r="A58" i="88"/>
  <c r="A59" i="88"/>
  <c r="A60" i="88"/>
  <c r="A61" i="88"/>
  <c r="A62" i="88"/>
  <c r="AV27" i="76"/>
  <c r="AV26" i="76"/>
  <c r="AV25" i="76"/>
  <c r="AV16" i="76"/>
  <c r="AV15" i="76"/>
  <c r="AV13" i="76"/>
  <c r="AW13" i="76" s="1"/>
  <c r="AV12" i="76"/>
  <c r="AW12" i="76" s="1"/>
  <c r="AS30" i="76"/>
  <c r="AQ30" i="76"/>
  <c r="Z11" i="76"/>
  <c r="Y11" i="76"/>
  <c r="W29" i="77" l="1"/>
  <c r="X29" i="77"/>
  <c r="U11" i="77"/>
  <c r="W11" i="76"/>
  <c r="X11" i="76"/>
  <c r="T29" i="76"/>
  <c r="U29" i="77" l="1"/>
  <c r="T29" i="77"/>
  <c r="A45" i="76"/>
  <c r="A33" i="76"/>
  <c r="A40" i="76"/>
  <c r="A32" i="76"/>
  <c r="A24" i="76"/>
  <c r="A57" i="76" s="1"/>
  <c r="A25" i="76"/>
  <c r="A58" i="76" s="1"/>
  <c r="A26" i="76"/>
  <c r="A59" i="76" s="1"/>
  <c r="A27" i="76"/>
  <c r="A60" i="76" s="1"/>
  <c r="A28" i="76"/>
  <c r="A61" i="76" s="1"/>
  <c r="A29" i="76"/>
  <c r="A13" i="76"/>
  <c r="A14" i="76"/>
  <c r="A15" i="76"/>
  <c r="A16" i="76"/>
  <c r="A20" i="76"/>
  <c r="A21" i="76"/>
  <c r="A8" i="76"/>
  <c r="A9" i="76"/>
  <c r="A10" i="76"/>
  <c r="A11" i="76"/>
  <c r="A7" i="76"/>
  <c r="W29" i="76" l="1"/>
  <c r="V29" i="76" l="1"/>
  <c r="W11" i="93" l="1"/>
  <c r="V11" i="93"/>
  <c r="U11" i="93"/>
  <c r="T11" i="93"/>
  <c r="S11" i="93"/>
  <c r="R11" i="93"/>
  <c r="Q11" i="93"/>
  <c r="P11" i="93"/>
  <c r="O11" i="93"/>
  <c r="N11" i="93"/>
  <c r="M11" i="93"/>
  <c r="L11" i="93"/>
  <c r="K11" i="93"/>
  <c r="J11" i="93"/>
  <c r="I11" i="93"/>
  <c r="H11" i="93"/>
  <c r="G11" i="93"/>
  <c r="F11" i="93"/>
  <c r="E11" i="93"/>
  <c r="D11" i="93"/>
  <c r="C11" i="93"/>
  <c r="B11" i="93"/>
  <c r="Y11" i="93" l="1"/>
  <c r="Z11" i="93"/>
  <c r="X11" i="93"/>
  <c r="AW21" i="93" l="1"/>
  <c r="AW16" i="93"/>
  <c r="A48" i="93"/>
  <c r="A8" i="93"/>
  <c r="A9" i="93"/>
  <c r="A10" i="93"/>
  <c r="A11" i="93"/>
  <c r="A12" i="93"/>
  <c r="A45" i="93" s="1"/>
  <c r="A13" i="93"/>
  <c r="A46" i="93" s="1"/>
  <c r="A14" i="93"/>
  <c r="A47" i="93" s="1"/>
  <c r="A16" i="93"/>
  <c r="A49" i="93" s="1"/>
  <c r="A20" i="93"/>
  <c r="A53" i="93" s="1"/>
  <c r="A21" i="93"/>
  <c r="A54" i="93" s="1"/>
  <c r="A23" i="93"/>
  <c r="A56" i="93" s="1"/>
  <c r="A24" i="93"/>
  <c r="A57" i="93" s="1"/>
  <c r="A58" i="93"/>
  <c r="A26" i="93"/>
  <c r="A59" i="93" s="1"/>
  <c r="A27" i="93"/>
  <c r="A60" i="93" s="1"/>
  <c r="A28" i="93"/>
  <c r="A61" i="93" s="1"/>
  <c r="A7" i="93"/>
  <c r="AU10" i="88" l="1"/>
  <c r="AU24" i="88" l="1"/>
  <c r="AU8" i="88"/>
  <c r="T11" i="88"/>
  <c r="W11" i="88"/>
  <c r="U11" i="88"/>
  <c r="V11" i="88"/>
  <c r="S29" i="63" l="1"/>
  <c r="AU17" i="88" l="1"/>
  <c r="AU28" i="88"/>
  <c r="AU27" i="88" l="1"/>
  <c r="AU26" i="88"/>
  <c r="AU22" i="88"/>
  <c r="AU15" i="88"/>
  <c r="AU14" i="88"/>
  <c r="A60" i="63"/>
  <c r="A61" i="63"/>
  <c r="A46" i="63"/>
  <c r="A47" i="63"/>
  <c r="A48" i="63"/>
  <c r="A49" i="63"/>
  <c r="A53" i="63"/>
  <c r="A54" i="63"/>
  <c r="A56" i="63"/>
  <c r="A57" i="63"/>
  <c r="A58" i="63"/>
  <c r="A59" i="63"/>
  <c r="A45" i="63"/>
  <c r="Z11" i="63" l="1"/>
  <c r="X11" i="63"/>
  <c r="Y11" i="88" l="1"/>
  <c r="Z11" i="88"/>
  <c r="X11" i="88" l="1"/>
  <c r="O8" i="89"/>
  <c r="Z29" i="76" l="1"/>
  <c r="H206" i="1" l="1"/>
  <c r="H205" i="1"/>
  <c r="H204" i="1"/>
  <c r="H203" i="1"/>
  <c r="H202" i="1"/>
  <c r="H201" i="1"/>
  <c r="G206" i="1"/>
  <c r="G205" i="1"/>
  <c r="G204" i="1"/>
  <c r="G203" i="1"/>
  <c r="G202" i="1"/>
  <c r="G201" i="1"/>
  <c r="G200" i="1"/>
  <c r="F206" i="1"/>
  <c r="F205" i="1"/>
  <c r="F204" i="1"/>
  <c r="F203" i="1"/>
  <c r="E206" i="1"/>
  <c r="E205" i="1"/>
  <c r="E204" i="1"/>
  <c r="E203" i="1"/>
  <c r="F202" i="1"/>
  <c r="E202" i="1"/>
  <c r="F201" i="1"/>
  <c r="E201" i="1"/>
  <c r="E207" i="1" l="1"/>
  <c r="B74" i="63"/>
  <c r="X22" i="69" l="1"/>
  <c r="X35" i="69" s="1"/>
  <c r="AV22" i="69" l="1"/>
  <c r="AT23" i="69" l="1"/>
  <c r="E108" i="56"/>
  <c r="AT20" i="69"/>
  <c r="AV20" i="69" l="1"/>
  <c r="AV21" i="69" s="1"/>
  <c r="AV27" i="69" s="1"/>
  <c r="AV37" i="69" l="1"/>
  <c r="A3" i="81"/>
  <c r="A3" i="80"/>
  <c r="AD150" i="1" l="1"/>
  <c r="M151" i="1"/>
  <c r="M150" i="1"/>
  <c r="M149" i="1"/>
  <c r="M148" i="1"/>
  <c r="M147" i="1"/>
  <c r="M146" i="1"/>
  <c r="AG198" i="1"/>
  <c r="F155" i="1"/>
  <c r="F156" i="1"/>
  <c r="F157" i="1"/>
  <c r="F158" i="1"/>
  <c r="F159" i="1"/>
  <c r="F154" i="1"/>
  <c r="AE150" i="1" l="1"/>
  <c r="AG150" i="1"/>
  <c r="G48" i="85"/>
  <c r="G46" i="85"/>
  <c r="G47" i="85" s="1"/>
  <c r="AV7" i="103"/>
  <c r="H192" i="1"/>
  <c r="L192" i="1"/>
  <c r="U152" i="1"/>
  <c r="U133" i="1"/>
  <c r="L152" i="1"/>
  <c r="AC152" i="1"/>
  <c r="AB152" i="1"/>
  <c r="AA152" i="1"/>
  <c r="Z152" i="1"/>
  <c r="W152" i="1"/>
  <c r="T152" i="1"/>
  <c r="S152" i="1"/>
  <c r="R152" i="1"/>
  <c r="Q152" i="1"/>
  <c r="P152" i="1"/>
  <c r="O152" i="1"/>
  <c r="K152" i="1"/>
  <c r="J152" i="1"/>
  <c r="I152" i="1"/>
  <c r="H152" i="1"/>
  <c r="G152" i="1"/>
  <c r="F152" i="1"/>
  <c r="E152" i="1"/>
  <c r="D152" i="1"/>
  <c r="C152" i="1"/>
  <c r="AH152" i="1" s="1"/>
  <c r="AD151" i="1"/>
  <c r="AG151" i="1" s="1"/>
  <c r="AD149" i="1"/>
  <c r="AD147" i="1"/>
  <c r="AD146" i="1"/>
  <c r="AE146" i="1" s="1"/>
  <c r="U114" i="1"/>
  <c r="L95" i="1"/>
  <c r="D177" i="1" s="1"/>
  <c r="F177" i="1" s="1"/>
  <c r="L114" i="1"/>
  <c r="U95" i="1"/>
  <c r="U56" i="1"/>
  <c r="L56" i="1"/>
  <c r="D176" i="1" s="1"/>
  <c r="F176" i="1" s="1"/>
  <c r="U37" i="1"/>
  <c r="L37" i="1"/>
  <c r="D174" i="1" s="1"/>
  <c r="F174" i="1" s="1"/>
  <c r="L18" i="1"/>
  <c r="AA133" i="1"/>
  <c r="AA114" i="1"/>
  <c r="AA95" i="1"/>
  <c r="AA75" i="1"/>
  <c r="AA56" i="1"/>
  <c r="AA37" i="1"/>
  <c r="AE149" i="1" l="1"/>
  <c r="AG149" i="1" s="1"/>
  <c r="AE147" i="1"/>
  <c r="AG147" i="1" s="1"/>
  <c r="D178" i="1"/>
  <c r="F178" i="1" s="1"/>
  <c r="D26" i="1"/>
  <c r="D179" i="1"/>
  <c r="D173" i="1"/>
  <c r="F173" i="1" s="1"/>
  <c r="C161" i="1"/>
  <c r="G49" i="85"/>
  <c r="D45" i="1"/>
  <c r="AA194" i="1"/>
  <c r="L194" i="1"/>
  <c r="M152" i="1"/>
  <c r="AA192" i="1"/>
  <c r="AG146" i="1"/>
  <c r="J14" i="81" l="1"/>
  <c r="Z14" i="81" s="1"/>
  <c r="AW21" i="78"/>
  <c r="F179" i="1"/>
  <c r="E160" i="1"/>
  <c r="O151" i="56" l="1"/>
  <c r="O152" i="56"/>
  <c r="O153" i="56"/>
  <c r="O154" i="56"/>
  <c r="O155" i="56"/>
  <c r="O150" i="56"/>
  <c r="BC14" i="69" l="1"/>
  <c r="AW13" i="77" l="1"/>
  <c r="AW16" i="77"/>
  <c r="AW20" i="77"/>
  <c r="AW21" i="77"/>
  <c r="AW23" i="77"/>
  <c r="AW15" i="77" l="1"/>
  <c r="AW13" i="93" l="1"/>
  <c r="AW14" i="88" l="1"/>
  <c r="V5" i="94"/>
  <c r="J6" i="94"/>
  <c r="L4" i="94"/>
  <c r="K3" i="94"/>
  <c r="J9" i="94" l="1"/>
  <c r="F7" i="94" l="1"/>
  <c r="F9" i="94" s="1"/>
  <c r="J6" i="51" l="1"/>
  <c r="J5" i="51"/>
  <c r="J4" i="51"/>
  <c r="E28" i="51"/>
  <c r="E12" i="51"/>
  <c r="E7" i="51"/>
  <c r="E7" i="50"/>
  <c r="E27" i="91"/>
  <c r="E6" i="91"/>
  <c r="J6" i="52"/>
  <c r="J5" i="52"/>
  <c r="J4" i="52"/>
  <c r="E28" i="53"/>
  <c r="F28" i="53" s="1"/>
  <c r="E12" i="53"/>
  <c r="E7" i="53"/>
  <c r="I48" i="80" l="1"/>
  <c r="D48" i="80" l="1"/>
  <c r="D180" i="80"/>
  <c r="D188" i="80"/>
  <c r="D189" i="80"/>
  <c r="D165" i="80"/>
  <c r="D146" i="80"/>
  <c r="D147" i="80"/>
  <c r="D151" i="80"/>
  <c r="D154" i="80"/>
  <c r="D78" i="80"/>
  <c r="D83" i="80"/>
  <c r="A54" i="76" l="1"/>
  <c r="A56" i="76"/>
  <c r="A48" i="76"/>
  <c r="A49" i="76"/>
  <c r="A53" i="76"/>
  <c r="A46" i="76"/>
  <c r="AV23" i="78" l="1"/>
  <c r="AW23" i="78" l="1"/>
  <c r="J8" i="81"/>
  <c r="Z8" i="81" s="1"/>
  <c r="AW12" i="78"/>
  <c r="AW8" i="78"/>
  <c r="AA11" i="14" l="1"/>
  <c r="Z11" i="14"/>
  <c r="J11" i="14"/>
  <c r="D20" i="14" l="1"/>
  <c r="D12" i="80" l="1"/>
  <c r="AW16" i="76" l="1"/>
  <c r="R11" i="78" l="1"/>
  <c r="Q11" i="78"/>
  <c r="P11" i="78"/>
  <c r="O11" i="78"/>
  <c r="N11" i="78"/>
  <c r="M11" i="78"/>
  <c r="L11" i="78"/>
  <c r="K11" i="78"/>
  <c r="J11" i="78"/>
  <c r="I11" i="78"/>
  <c r="H11" i="78"/>
  <c r="G11" i="78"/>
  <c r="F11" i="78"/>
  <c r="E11" i="78"/>
  <c r="D11" i="78"/>
  <c r="C11" i="78"/>
  <c r="B11" i="78"/>
  <c r="R11" i="77"/>
  <c r="Q11" i="77"/>
  <c r="P11" i="77"/>
  <c r="O11" i="77"/>
  <c r="N11" i="77"/>
  <c r="M11" i="77"/>
  <c r="L11" i="77"/>
  <c r="K11" i="77"/>
  <c r="J11" i="77"/>
  <c r="I11" i="77"/>
  <c r="H11" i="77"/>
  <c r="G11" i="77"/>
  <c r="F11" i="77"/>
  <c r="E11" i="77"/>
  <c r="D11" i="77"/>
  <c r="C11" i="77"/>
  <c r="B11" i="77"/>
  <c r="T29" i="63"/>
  <c r="BK7" i="69" l="1"/>
  <c r="G71" i="127" s="1"/>
  <c r="H71" i="127" s="1"/>
  <c r="AW25" i="76" l="1"/>
  <c r="AI11" i="14" l="1"/>
  <c r="BL9" i="87" l="1"/>
  <c r="K100" i="74" l="1"/>
  <c r="AP18" i="69"/>
  <c r="AF10" i="69"/>
  <c r="AR10" i="69" l="1"/>
  <c r="AR35" i="69" l="1"/>
  <c r="G71" i="56"/>
  <c r="BK8" i="69"/>
  <c r="BK9" i="69" s="1"/>
  <c r="BL7" i="69"/>
  <c r="BL30" i="69" s="1"/>
  <c r="BK4" i="69"/>
  <c r="D15" i="61"/>
  <c r="BP22" i="69" l="1"/>
  <c r="BN23" i="69"/>
  <c r="BP20" i="69"/>
  <c r="BP21" i="69" s="1"/>
  <c r="E118" i="56"/>
  <c r="H118" i="56" s="1"/>
  <c r="BL22" i="69"/>
  <c r="E116" i="56"/>
  <c r="BJ23" i="69"/>
  <c r="BL20" i="69"/>
  <c r="BL21" i="69" s="1"/>
  <c r="BL20" i="87"/>
  <c r="BE18" i="87"/>
  <c r="BF18" i="87"/>
  <c r="BG18" i="87"/>
  <c r="BH18" i="87"/>
  <c r="BI18" i="87"/>
  <c r="BJ18" i="87"/>
  <c r="BE19" i="87"/>
  <c r="BF19" i="87"/>
  <c r="BG19" i="87"/>
  <c r="BH19" i="87"/>
  <c r="BI19" i="87"/>
  <c r="BJ19" i="87"/>
  <c r="BE20" i="87"/>
  <c r="BF20" i="87"/>
  <c r="BG20" i="87"/>
  <c r="BH20" i="87"/>
  <c r="BI20" i="87"/>
  <c r="BJ20" i="87"/>
  <c r="BE21" i="87"/>
  <c r="BF21" i="87"/>
  <c r="BG21" i="87"/>
  <c r="BH21" i="87"/>
  <c r="BI21" i="87"/>
  <c r="BJ21" i="87"/>
  <c r="BE22" i="87"/>
  <c r="BF22" i="87"/>
  <c r="BG22" i="87"/>
  <c r="BH22" i="87"/>
  <c r="BI22" i="87"/>
  <c r="BJ22" i="87"/>
  <c r="BJ17" i="87"/>
  <c r="BI17" i="87"/>
  <c r="BH17" i="87"/>
  <c r="BG17" i="87"/>
  <c r="BF17" i="87"/>
  <c r="BE17" i="87"/>
  <c r="BE7" i="87"/>
  <c r="BF7" i="87"/>
  <c r="BG7" i="87"/>
  <c r="BH7" i="87"/>
  <c r="BI7" i="87"/>
  <c r="BJ7" i="87"/>
  <c r="BE8" i="87"/>
  <c r="BF8" i="87"/>
  <c r="BG8" i="87"/>
  <c r="BH8" i="87"/>
  <c r="BI8" i="87"/>
  <c r="BJ8" i="87"/>
  <c r="BE9" i="87"/>
  <c r="BF9" i="87"/>
  <c r="BG9" i="87"/>
  <c r="BH9" i="87"/>
  <c r="BI9" i="87"/>
  <c r="BJ9" i="87"/>
  <c r="BE10" i="87"/>
  <c r="BF10" i="87"/>
  <c r="BG10" i="87"/>
  <c r="BH10" i="87"/>
  <c r="BI10" i="87"/>
  <c r="BJ10" i="87"/>
  <c r="BE11" i="87"/>
  <c r="BF11" i="87"/>
  <c r="BG11" i="87"/>
  <c r="BH11" i="87"/>
  <c r="BI11" i="87"/>
  <c r="BJ11" i="87"/>
  <c r="BJ6" i="87"/>
  <c r="BI6" i="87"/>
  <c r="BH6" i="87"/>
  <c r="BG6" i="87"/>
  <c r="BF6" i="87"/>
  <c r="BE6" i="87"/>
  <c r="AV18" i="87"/>
  <c r="AW18" i="87"/>
  <c r="AX18" i="87"/>
  <c r="AY18" i="87"/>
  <c r="AZ18" i="87"/>
  <c r="BA18" i="87"/>
  <c r="AV19" i="87"/>
  <c r="AW19" i="87"/>
  <c r="AX19" i="87"/>
  <c r="AY19" i="87"/>
  <c r="AZ19" i="87"/>
  <c r="BA19" i="87"/>
  <c r="AV20" i="87"/>
  <c r="AW20" i="87"/>
  <c r="AX20" i="87"/>
  <c r="AY20" i="87"/>
  <c r="AZ20" i="87"/>
  <c r="BA20" i="87"/>
  <c r="AV21" i="87"/>
  <c r="AW21" i="87"/>
  <c r="AX21" i="87"/>
  <c r="AY21" i="87"/>
  <c r="AZ21" i="87"/>
  <c r="BA21" i="87"/>
  <c r="AV22" i="87"/>
  <c r="AW22" i="87"/>
  <c r="AX22" i="87"/>
  <c r="AY22" i="87"/>
  <c r="AZ22" i="87"/>
  <c r="BA22" i="87"/>
  <c r="BA17" i="87"/>
  <c r="AZ17" i="87"/>
  <c r="AY17" i="87"/>
  <c r="AX17" i="87"/>
  <c r="AW17" i="87"/>
  <c r="AV17" i="87"/>
  <c r="AV7" i="87"/>
  <c r="AW7" i="87"/>
  <c r="AX7" i="87"/>
  <c r="AY7" i="87"/>
  <c r="AZ7" i="87"/>
  <c r="BA7" i="87"/>
  <c r="AV8" i="87"/>
  <c r="AW8" i="87"/>
  <c r="AX8" i="87"/>
  <c r="AY8" i="87"/>
  <c r="AZ8" i="87"/>
  <c r="BA8" i="87"/>
  <c r="AV9" i="87"/>
  <c r="AW9" i="87"/>
  <c r="AX9" i="87"/>
  <c r="AY9" i="87"/>
  <c r="AZ9" i="87"/>
  <c r="BA9" i="87"/>
  <c r="AV10" i="87"/>
  <c r="AW10" i="87"/>
  <c r="AX10" i="87"/>
  <c r="AY10" i="87"/>
  <c r="AZ10" i="87"/>
  <c r="BA10" i="87"/>
  <c r="AV11" i="87"/>
  <c r="AW11" i="87"/>
  <c r="AX11" i="87"/>
  <c r="AY11" i="87"/>
  <c r="AZ11" i="87"/>
  <c r="BA11" i="87"/>
  <c r="BA6" i="87"/>
  <c r="AZ6" i="87"/>
  <c r="AY6" i="87"/>
  <c r="AX6" i="87"/>
  <c r="AW6" i="87"/>
  <c r="AV6" i="87"/>
  <c r="AQ18" i="87"/>
  <c r="AR18" i="87"/>
  <c r="AQ19" i="87"/>
  <c r="AR19" i="87"/>
  <c r="AQ20" i="87"/>
  <c r="AR20" i="87"/>
  <c r="AQ21" i="87"/>
  <c r="AR21" i="87"/>
  <c r="AQ22" i="87"/>
  <c r="AR22" i="87"/>
  <c r="AR17" i="87"/>
  <c r="AQ17" i="87"/>
  <c r="AQ7" i="87"/>
  <c r="AR7" i="87"/>
  <c r="AQ8" i="87"/>
  <c r="AR8" i="87"/>
  <c r="AQ9" i="87"/>
  <c r="AR9" i="87"/>
  <c r="AQ10" i="87"/>
  <c r="AR10" i="87"/>
  <c r="AQ11" i="87"/>
  <c r="AR11" i="87"/>
  <c r="AR6" i="87"/>
  <c r="AQ6" i="87"/>
  <c r="AH18" i="87"/>
  <c r="AI18" i="87"/>
  <c r="AH19" i="87"/>
  <c r="AI19" i="87"/>
  <c r="AH20" i="87"/>
  <c r="AI20" i="87"/>
  <c r="AH21" i="87"/>
  <c r="AI21" i="87"/>
  <c r="AH22" i="87"/>
  <c r="AI22" i="87"/>
  <c r="AI17" i="87"/>
  <c r="AH17" i="87"/>
  <c r="AH7" i="87"/>
  <c r="AI7" i="87"/>
  <c r="AH8" i="87"/>
  <c r="AI8" i="87"/>
  <c r="AH9" i="87"/>
  <c r="AI9" i="87"/>
  <c r="AH10" i="87"/>
  <c r="AI10" i="87"/>
  <c r="AH11" i="87"/>
  <c r="AI11" i="87"/>
  <c r="AI6" i="87"/>
  <c r="AH6" i="87"/>
  <c r="Y18" i="87"/>
  <c r="Z18" i="87"/>
  <c r="Y19" i="87"/>
  <c r="Z19" i="87"/>
  <c r="Y20" i="87"/>
  <c r="Z20" i="87"/>
  <c r="Y21" i="87"/>
  <c r="Z21" i="87"/>
  <c r="Y22" i="87"/>
  <c r="Z22" i="87"/>
  <c r="Z17" i="87"/>
  <c r="Y17" i="87"/>
  <c r="Y7" i="87"/>
  <c r="Z7" i="87"/>
  <c r="Y8" i="87"/>
  <c r="Z8" i="87"/>
  <c r="Y9" i="87"/>
  <c r="Z9" i="87"/>
  <c r="Y10" i="87"/>
  <c r="Z10" i="87"/>
  <c r="Y11" i="87"/>
  <c r="Z11" i="87"/>
  <c r="Z6" i="87"/>
  <c r="Y6" i="87"/>
  <c r="P18" i="87"/>
  <c r="Q18" i="87"/>
  <c r="P19" i="87"/>
  <c r="Q19" i="87"/>
  <c r="P20" i="87"/>
  <c r="Q20" i="87"/>
  <c r="P21" i="87"/>
  <c r="Q21" i="87"/>
  <c r="P22" i="87"/>
  <c r="Q22" i="87"/>
  <c r="Q17" i="87"/>
  <c r="P17" i="87"/>
  <c r="P7" i="87"/>
  <c r="Q7" i="87"/>
  <c r="P8" i="87"/>
  <c r="Q8" i="87"/>
  <c r="P9" i="87"/>
  <c r="Q9" i="87"/>
  <c r="P10" i="87"/>
  <c r="Q10" i="87"/>
  <c r="P11" i="87"/>
  <c r="Q11" i="87"/>
  <c r="Q6" i="87"/>
  <c r="P6" i="87"/>
  <c r="H18" i="87"/>
  <c r="H19" i="87"/>
  <c r="H21" i="87"/>
  <c r="H17" i="87"/>
  <c r="H10" i="87"/>
  <c r="H11" i="87"/>
  <c r="H7" i="87"/>
  <c r="H8" i="87"/>
  <c r="H6" i="87"/>
  <c r="G20" i="87"/>
  <c r="G21" i="87"/>
  <c r="G22" i="87"/>
  <c r="G7" i="87"/>
  <c r="G8" i="87"/>
  <c r="G9" i="87"/>
  <c r="G10" i="87"/>
  <c r="G11" i="87"/>
  <c r="G6" i="87"/>
  <c r="H116" i="56" l="1"/>
  <c r="BP23" i="69"/>
  <c r="BP25" i="69" s="1"/>
  <c r="BP27" i="69" s="1"/>
  <c r="BL23" i="69"/>
  <c r="BF12" i="87"/>
  <c r="BK19" i="87"/>
  <c r="BH12" i="87"/>
  <c r="BG23" i="87"/>
  <c r="BG12" i="87"/>
  <c r="BJ23" i="87"/>
  <c r="BK8" i="87"/>
  <c r="BI23" i="87"/>
  <c r="BJ12" i="87"/>
  <c r="BF23" i="87"/>
  <c r="BI12" i="87"/>
  <c r="BK9" i="87"/>
  <c r="BM9" i="87" s="1"/>
  <c r="BH23" i="87"/>
  <c r="BE23" i="87"/>
  <c r="BE12" i="87"/>
  <c r="BK10" i="87"/>
  <c r="BK21" i="87"/>
  <c r="BK11" i="87"/>
  <c r="BK22" i="87"/>
  <c r="BK7" i="87"/>
  <c r="BK18" i="87"/>
  <c r="BK6" i="87"/>
  <c r="BK17" i="87"/>
  <c r="BK20" i="87"/>
  <c r="BM20" i="87" s="1"/>
  <c r="AW23" i="87"/>
  <c r="BA12" i="87"/>
  <c r="BB17" i="87"/>
  <c r="BB21" i="87"/>
  <c r="AY23" i="87"/>
  <c r="AX23" i="87"/>
  <c r="BB6" i="87"/>
  <c r="AZ12" i="87"/>
  <c r="AW12" i="87"/>
  <c r="AZ23" i="87"/>
  <c r="AX12" i="87"/>
  <c r="BA23" i="87"/>
  <c r="AY12" i="87"/>
  <c r="AV12" i="87"/>
  <c r="BB8" i="87"/>
  <c r="BB18" i="87"/>
  <c r="AV23" i="87"/>
  <c r="BB9" i="87"/>
  <c r="BB22" i="87"/>
  <c r="BB10" i="87"/>
  <c r="BB19" i="87"/>
  <c r="BB11" i="87"/>
  <c r="BB7" i="87"/>
  <c r="BB20" i="87"/>
  <c r="AR23" i="87"/>
  <c r="AQ23" i="87"/>
  <c r="AQ12" i="87"/>
  <c r="AR12" i="87"/>
  <c r="AH23" i="87"/>
  <c r="AI23" i="87"/>
  <c r="AI12" i="87"/>
  <c r="Y23" i="87"/>
  <c r="AH12" i="87"/>
  <c r="Z23" i="87"/>
  <c r="Z12" i="87"/>
  <c r="Y12" i="87"/>
  <c r="P12" i="87"/>
  <c r="Q23" i="87"/>
  <c r="P23" i="87"/>
  <c r="Q12" i="87"/>
  <c r="G12" i="87"/>
  <c r="J203" i="1"/>
  <c r="AK18" i="87" s="1"/>
  <c r="BL25" i="69" l="1"/>
  <c r="BP37" i="69"/>
  <c r="BK23" i="87"/>
  <c r="BK12" i="87"/>
  <c r="BB12" i="87"/>
  <c r="BB23" i="87"/>
  <c r="S20" i="87"/>
  <c r="J206" i="1"/>
  <c r="BL18" i="87" s="1"/>
  <c r="BM18" i="87" s="1"/>
  <c r="I206" i="1"/>
  <c r="BL7" i="87" s="1"/>
  <c r="BM7" i="87" s="1"/>
  <c r="BL21" i="87"/>
  <c r="BL10" i="87"/>
  <c r="BM10" i="87" s="1"/>
  <c r="I205" i="1"/>
  <c r="AT7" i="87" s="1"/>
  <c r="I204" i="1"/>
  <c r="I203" i="1"/>
  <c r="AK7" i="87" s="1"/>
  <c r="I202" i="1"/>
  <c r="AB7" i="87" s="1"/>
  <c r="I201" i="1"/>
  <c r="S7" i="87" s="1"/>
  <c r="I200" i="1"/>
  <c r="J7" i="87" s="1"/>
  <c r="J10" i="87"/>
  <c r="AT9" i="87"/>
  <c r="BC9" i="87"/>
  <c r="BD9" i="87" s="1"/>
  <c r="AK9" i="87"/>
  <c r="AB9" i="87"/>
  <c r="S9" i="87"/>
  <c r="BL27" i="69" l="1"/>
  <c r="BL37" i="69"/>
  <c r="BC7" i="87"/>
  <c r="BD7" i="87" s="1"/>
  <c r="I207" i="1"/>
  <c r="BL23" i="87"/>
  <c r="BM21" i="87"/>
  <c r="BL12" i="87"/>
  <c r="E19" i="80" l="1"/>
  <c r="F82" i="60"/>
  <c r="H82" i="60" s="1"/>
  <c r="E46" i="59"/>
  <c r="E44" i="59"/>
  <c r="F44" i="59" s="1"/>
  <c r="H44" i="59" s="1"/>
  <c r="E289" i="80" l="1"/>
  <c r="AW21" i="76" l="1"/>
  <c r="H9" i="87" l="1"/>
  <c r="H12" i="87" s="1"/>
  <c r="J9" i="87"/>
  <c r="J12" i="87" s="1"/>
  <c r="H20" i="87"/>
  <c r="J5" i="92" l="1"/>
  <c r="AP30" i="95" l="1"/>
  <c r="AP27" i="100"/>
  <c r="K133" i="1" l="1"/>
  <c r="D20" i="1" s="1"/>
  <c r="G55" i="14"/>
  <c r="L60" i="14" l="1"/>
  <c r="L76" i="14" s="1"/>
  <c r="D89" i="14"/>
  <c r="S89" i="14" s="1"/>
  <c r="D90" i="14" s="1"/>
  <c r="G18" i="87"/>
  <c r="S90" i="14" l="1"/>
  <c r="D91" i="14" s="1"/>
  <c r="S91" i="14" s="1"/>
  <c r="D92" i="14" s="1"/>
  <c r="S92" i="14" s="1"/>
  <c r="S93" i="14" s="1"/>
  <c r="T93" i="14" s="1"/>
  <c r="J205" i="1" l="1"/>
  <c r="AT18" i="87" s="1"/>
  <c r="J204" i="1"/>
  <c r="BC18" i="87" s="1"/>
  <c r="J202" i="1"/>
  <c r="AB18" i="87" s="1"/>
  <c r="J201" i="1"/>
  <c r="S18" i="87" s="1"/>
  <c r="AT21" i="87"/>
  <c r="AT10" i="87"/>
  <c r="AT12" i="87" s="1"/>
  <c r="BC21" i="87"/>
  <c r="BD21" i="87" s="1"/>
  <c r="BC10" i="87"/>
  <c r="AK10" i="87"/>
  <c r="AK12" i="87" s="1"/>
  <c r="AB21" i="87"/>
  <c r="AB10" i="87"/>
  <c r="AB12" i="87" s="1"/>
  <c r="S21" i="87"/>
  <c r="AT20" i="87"/>
  <c r="BC20" i="87"/>
  <c r="BD20" i="87" s="1"/>
  <c r="AK20" i="87"/>
  <c r="AB20" i="87"/>
  <c r="AB23" i="87" l="1"/>
  <c r="BC23" i="87"/>
  <c r="BD18" i="87"/>
  <c r="AT23" i="87"/>
  <c r="BD10" i="87"/>
  <c r="BC12" i="87"/>
  <c r="S23" i="87"/>
  <c r="S10" i="87"/>
  <c r="S12" i="87" s="1"/>
  <c r="G207" i="1"/>
  <c r="AK21" i="87"/>
  <c r="AK23" i="87" s="1"/>
  <c r="K191" i="80" l="1"/>
  <c r="J191" i="80"/>
  <c r="I207" i="80"/>
  <c r="F331" i="80" s="1"/>
  <c r="I201" i="80"/>
  <c r="I200" i="80"/>
  <c r="I199" i="80"/>
  <c r="I198" i="80"/>
  <c r="I197" i="80"/>
  <c r="I196" i="80"/>
  <c r="I195" i="80"/>
  <c r="I194" i="80"/>
  <c r="I193" i="80"/>
  <c r="I192" i="80"/>
  <c r="I191" i="80"/>
  <c r="I157" i="80"/>
  <c r="I189" i="80"/>
  <c r="I188" i="80"/>
  <c r="I185" i="80"/>
  <c r="I183" i="80"/>
  <c r="I182" i="80"/>
  <c r="I181" i="80"/>
  <c r="I180" i="80"/>
  <c r="I179" i="80"/>
  <c r="F329" i="80" l="1"/>
  <c r="Q358" i="80"/>
  <c r="K300" i="80"/>
  <c r="L300" i="80" s="1"/>
  <c r="L191" i="80"/>
  <c r="L177" i="80"/>
  <c r="K177" i="80"/>
  <c r="J177" i="80"/>
  <c r="D46" i="80"/>
  <c r="D18" i="80"/>
  <c r="D17" i="80"/>
  <c r="D11" i="80"/>
  <c r="D10" i="80"/>
  <c r="D9" i="80"/>
  <c r="D191" i="80"/>
  <c r="B74" i="93" l="1"/>
  <c r="C73" i="93"/>
  <c r="C74" i="93" s="1"/>
  <c r="B74" i="77"/>
  <c r="AW15" i="93"/>
  <c r="AW14" i="93"/>
  <c r="P29" i="93"/>
  <c r="T29" i="93"/>
  <c r="U29" i="93"/>
  <c r="Y29" i="93"/>
  <c r="P29" i="63"/>
  <c r="C29" i="93"/>
  <c r="D29" i="93"/>
  <c r="E29" i="93"/>
  <c r="F29" i="93"/>
  <c r="G29" i="93"/>
  <c r="H29" i="93"/>
  <c r="I29" i="93"/>
  <c r="J29" i="93"/>
  <c r="K29" i="93"/>
  <c r="L29" i="93"/>
  <c r="M29" i="93"/>
  <c r="N29" i="93"/>
  <c r="O29" i="93"/>
  <c r="Q29" i="93"/>
  <c r="R29" i="93"/>
  <c r="S29" i="93"/>
  <c r="V29" i="93"/>
  <c r="W29" i="93"/>
  <c r="X29" i="93"/>
  <c r="Z29" i="93"/>
  <c r="B29" i="93"/>
  <c r="W73" i="93" l="1"/>
  <c r="W74" i="93" s="1"/>
  <c r="AW12" i="93"/>
  <c r="AW12" i="88"/>
  <c r="D73" i="93"/>
  <c r="D74" i="93" s="1"/>
  <c r="B65" i="93" l="1"/>
  <c r="E73" i="93"/>
  <c r="E74" i="93" s="1"/>
  <c r="F73" i="93" l="1"/>
  <c r="F74" i="93" s="1"/>
  <c r="G73" i="93" l="1"/>
  <c r="G74" i="93" s="1"/>
  <c r="H73" i="93" l="1"/>
  <c r="H74" i="93" s="1"/>
  <c r="I73" i="93" l="1"/>
  <c r="I74" i="93" s="1"/>
  <c r="J73" i="93" l="1"/>
  <c r="J74" i="93" s="1"/>
  <c r="K73" i="93" l="1"/>
  <c r="K74" i="93" s="1"/>
  <c r="L73" i="93" l="1"/>
  <c r="L74" i="93" s="1"/>
  <c r="M73" i="93" l="1"/>
  <c r="M74" i="93" s="1"/>
  <c r="N73" i="93" l="1"/>
  <c r="N74" i="93" s="1"/>
  <c r="O73" i="93" l="1"/>
  <c r="O74" i="93" s="1"/>
  <c r="S3" i="94"/>
  <c r="O3" i="94"/>
  <c r="E51" i="58"/>
  <c r="H4" i="94"/>
  <c r="P4" i="94" s="1"/>
  <c r="T4" i="94" s="1"/>
  <c r="G3" i="94"/>
  <c r="C3" i="94"/>
  <c r="A1" i="65"/>
  <c r="A1" i="94" s="1"/>
  <c r="P73" i="93" l="1"/>
  <c r="P74" i="93" s="1"/>
  <c r="N9" i="94" l="1"/>
  <c r="N6" i="94"/>
  <c r="R9" i="94"/>
  <c r="R6" i="94"/>
  <c r="Q73" i="93"/>
  <c r="Q74" i="93" s="1"/>
  <c r="R73" i="93" l="1"/>
  <c r="R74" i="93" s="1"/>
  <c r="X81" i="14"/>
  <c r="S73" i="93" l="1"/>
  <c r="S74" i="93" s="1"/>
  <c r="R75" i="93" s="1"/>
  <c r="S75" i="93" l="1"/>
  <c r="T73" i="93"/>
  <c r="T74" i="93" s="1"/>
  <c r="C76" i="93" l="1"/>
  <c r="B76" i="93"/>
  <c r="D76" i="93"/>
  <c r="E76" i="93"/>
  <c r="F76" i="93"/>
  <c r="G76" i="93"/>
  <c r="H76" i="93"/>
  <c r="I76" i="93"/>
  <c r="J76" i="93"/>
  <c r="K76" i="93"/>
  <c r="L76" i="93"/>
  <c r="M76" i="93"/>
  <c r="N76" i="93"/>
  <c r="O76" i="93"/>
  <c r="P76" i="93"/>
  <c r="Q76" i="93"/>
  <c r="R76" i="93"/>
  <c r="S76" i="93"/>
  <c r="B9" i="94"/>
  <c r="B6" i="94"/>
  <c r="U73" i="93"/>
  <c r="V73" i="93" s="1"/>
  <c r="V74" i="93" s="1"/>
  <c r="M68" i="14"/>
  <c r="B11" i="14"/>
  <c r="C20" i="14" l="1"/>
  <c r="AV14" i="63"/>
  <c r="AW14" i="63" s="1"/>
  <c r="AV14" i="97"/>
  <c r="AW14" i="97" s="1"/>
  <c r="M60" i="14"/>
  <c r="M76" i="14" s="1"/>
  <c r="W16" i="1" s="1"/>
  <c r="W75" i="93"/>
  <c r="W76" i="93" s="1"/>
  <c r="U74" i="93"/>
  <c r="G19" i="87"/>
  <c r="E67" i="57"/>
  <c r="F6" i="94"/>
  <c r="V6" i="94" s="1"/>
  <c r="V9" i="94"/>
  <c r="V7" i="94" l="1"/>
  <c r="F57" i="57" s="1"/>
  <c r="V76" i="93"/>
  <c r="T76" i="93"/>
  <c r="AK70" i="93"/>
  <c r="T70" i="93"/>
  <c r="C2" i="93"/>
  <c r="D2" i="93" s="1"/>
  <c r="E2" i="93" s="1"/>
  <c r="F2" i="93" s="1"/>
  <c r="G2" i="93" s="1"/>
  <c r="H2" i="93" s="1"/>
  <c r="I2" i="93" s="1"/>
  <c r="J2" i="93" s="1"/>
  <c r="K2" i="93" s="1"/>
  <c r="L2" i="93" s="1"/>
  <c r="M2" i="93" s="1"/>
  <c r="N2" i="93" s="1"/>
  <c r="O2" i="93" s="1"/>
  <c r="P2" i="93" s="1"/>
  <c r="Q2" i="93" s="1"/>
  <c r="R2" i="93" s="1"/>
  <c r="S2" i="93" s="1"/>
  <c r="T2" i="93" s="1"/>
  <c r="U2" i="93" s="1"/>
  <c r="V2" i="93" s="1"/>
  <c r="W2" i="93" s="1"/>
  <c r="X2" i="93" s="1"/>
  <c r="Y2" i="93" s="1"/>
  <c r="Z2" i="93" s="1"/>
  <c r="AA2" i="93" s="1"/>
  <c r="AB2" i="93" s="1"/>
  <c r="AC2" i="93" s="1"/>
  <c r="AD2" i="93" s="1"/>
  <c r="AE2" i="93" s="1"/>
  <c r="AF2" i="93" s="1"/>
  <c r="AG2" i="93" s="1"/>
  <c r="AH2" i="93" s="1"/>
  <c r="AI2" i="93" s="1"/>
  <c r="AJ2" i="93" s="1"/>
  <c r="AK2" i="93" s="1"/>
  <c r="AL2" i="93" s="1"/>
  <c r="AM2" i="93" s="1"/>
  <c r="AN2" i="93" s="1"/>
  <c r="AO2" i="93" s="1"/>
  <c r="W190" i="1" l="1"/>
  <c r="AA70" i="93"/>
  <c r="AG70" i="93"/>
  <c r="AF70" i="93"/>
  <c r="AI70" i="93"/>
  <c r="AH70" i="93"/>
  <c r="Y70" i="93"/>
  <c r="X70" i="93"/>
  <c r="AE70" i="93"/>
  <c r="AD70" i="93"/>
  <c r="V70" i="93"/>
  <c r="W70" i="93"/>
  <c r="AJ70" i="93"/>
  <c r="U70" i="93"/>
  <c r="S70" i="93"/>
  <c r="U76" i="93"/>
  <c r="AC70" i="93" l="1"/>
  <c r="AB70" i="93"/>
  <c r="AL70" i="93"/>
  <c r="D70" i="85"/>
  <c r="C70" i="85"/>
  <c r="D58" i="85"/>
  <c r="C58" i="85"/>
  <c r="E49" i="85"/>
  <c r="C36" i="85"/>
  <c r="E36" i="85"/>
  <c r="E47" i="85" s="1"/>
  <c r="E61" i="85" s="1"/>
  <c r="B36" i="85"/>
  <c r="B47" i="85" s="1"/>
  <c r="B61" i="85" s="1"/>
  <c r="A49" i="85"/>
  <c r="A63" i="85" s="1"/>
  <c r="A50" i="85"/>
  <c r="A64" i="85" s="1"/>
  <c r="A52" i="85"/>
  <c r="A66" i="85" s="1"/>
  <c r="A53" i="85"/>
  <c r="A67" i="85" s="1"/>
  <c r="A56" i="85"/>
  <c r="A70" i="85" s="1"/>
  <c r="A62" i="85"/>
  <c r="A15" i="85"/>
  <c r="A16" i="85"/>
  <c r="A18" i="85"/>
  <c r="A19" i="85"/>
  <c r="A22" i="85"/>
  <c r="A14" i="85"/>
  <c r="C13" i="85"/>
  <c r="D13" i="85"/>
  <c r="E13" i="85"/>
  <c r="B13" i="85"/>
  <c r="D25" i="85"/>
  <c r="C11" i="85"/>
  <c r="A34" i="85"/>
  <c r="A45" i="85" s="1"/>
  <c r="A31" i="85"/>
  <c r="A42" i="85" s="1"/>
  <c r="A30" i="85"/>
  <c r="A41" i="85" s="1"/>
  <c r="A28" i="85"/>
  <c r="A39" i="85" s="1"/>
  <c r="A27" i="85"/>
  <c r="A38" i="85" s="1"/>
  <c r="A26" i="85"/>
  <c r="A37" i="85" s="1"/>
  <c r="AD30" i="93"/>
  <c r="AF30" i="93"/>
  <c r="AH30" i="93"/>
  <c r="AM30" i="93"/>
  <c r="AN30" i="93"/>
  <c r="AR30" i="93"/>
  <c r="AC30" i="93"/>
  <c r="X30" i="93"/>
  <c r="W30" i="93"/>
  <c r="W31" i="93" s="1"/>
  <c r="T30" i="93"/>
  <c r="T31" i="93" s="1"/>
  <c r="U30" i="93"/>
  <c r="U31" i="93" s="1"/>
  <c r="V30" i="93"/>
  <c r="V31" i="93" s="1"/>
  <c r="D42" i="92"/>
  <c r="F42" i="92" s="1"/>
  <c r="B37" i="92"/>
  <c r="F5" i="92"/>
  <c r="H2" i="92"/>
  <c r="D11" i="91"/>
  <c r="AF32" i="1" s="1"/>
  <c r="D6" i="91"/>
  <c r="R95" i="1"/>
  <c r="H95" i="1"/>
  <c r="R114" i="1"/>
  <c r="H114" i="1"/>
  <c r="R133" i="1"/>
  <c r="H133" i="1"/>
  <c r="R75" i="1"/>
  <c r="H75" i="1"/>
  <c r="R56" i="1"/>
  <c r="H56" i="1"/>
  <c r="R37" i="1"/>
  <c r="H37" i="1"/>
  <c r="H18" i="1"/>
  <c r="AC37" i="1"/>
  <c r="AB37" i="1"/>
  <c r="T37" i="1"/>
  <c r="Q37" i="1"/>
  <c r="O37" i="1"/>
  <c r="I37" i="1"/>
  <c r="G37" i="1"/>
  <c r="F37" i="1"/>
  <c r="E37" i="1"/>
  <c r="AD36" i="1"/>
  <c r="M36" i="1"/>
  <c r="Z37" i="1"/>
  <c r="AD35" i="1"/>
  <c r="S37" i="1"/>
  <c r="AD34" i="1"/>
  <c r="K37" i="1"/>
  <c r="M34" i="1"/>
  <c r="M33" i="1"/>
  <c r="P37" i="1"/>
  <c r="A32" i="1"/>
  <c r="AD31" i="1"/>
  <c r="W37" i="1"/>
  <c r="N37" i="1"/>
  <c r="C37" i="1"/>
  <c r="L67" i="85" l="1"/>
  <c r="AH32" i="1"/>
  <c r="E46" i="92"/>
  <c r="AF37" i="1"/>
  <c r="AH37" i="1" s="1"/>
  <c r="AV28" i="98"/>
  <c r="AV31" i="93"/>
  <c r="E11" i="91"/>
  <c r="D44" i="1"/>
  <c r="E118" i="1" s="1"/>
  <c r="C46" i="1"/>
  <c r="D21" i="1"/>
  <c r="AE36" i="1"/>
  <c r="J3" i="91" s="1"/>
  <c r="E44" i="92" s="1"/>
  <c r="F44" i="92" s="1"/>
  <c r="D41" i="1"/>
  <c r="E60" i="1" s="1"/>
  <c r="D136" i="1"/>
  <c r="E40" i="1" s="1"/>
  <c r="X31" i="93"/>
  <c r="H194" i="1"/>
  <c r="B38" i="92"/>
  <c r="AN70" i="93"/>
  <c r="AM70" i="93"/>
  <c r="AV30" i="93"/>
  <c r="Z30" i="93"/>
  <c r="Z31" i="93" s="1"/>
  <c r="AJ30" i="93"/>
  <c r="AS30" i="93"/>
  <c r="S30" i="93"/>
  <c r="S31" i="93" s="1"/>
  <c r="Y30" i="93"/>
  <c r="Y31" i="93" s="1"/>
  <c r="AQ30" i="93"/>
  <c r="AP30" i="93"/>
  <c r="AO30" i="93"/>
  <c r="AG30" i="93"/>
  <c r="AE30" i="93"/>
  <c r="AL30" i="93"/>
  <c r="AK30" i="93"/>
  <c r="AI30" i="93"/>
  <c r="AB30" i="93"/>
  <c r="AA30" i="93"/>
  <c r="D79" i="1"/>
  <c r="E42" i="1" s="1"/>
  <c r="D60" i="1"/>
  <c r="E41" i="1" s="1"/>
  <c r="K154" i="56"/>
  <c r="P154" i="56" s="1"/>
  <c r="F31" i="85"/>
  <c r="D98" i="1"/>
  <c r="D118" i="1"/>
  <c r="E58" i="85"/>
  <c r="D43" i="1"/>
  <c r="D40" i="1"/>
  <c r="D42" i="1"/>
  <c r="E79" i="1" s="1"/>
  <c r="AE34" i="1"/>
  <c r="AD32" i="1"/>
  <c r="AE32" i="1" s="1"/>
  <c r="K35" i="81"/>
  <c r="G35" i="81"/>
  <c r="AA35" i="81" l="1"/>
  <c r="K3" i="91"/>
  <c r="AG36" i="1"/>
  <c r="F40" i="1"/>
  <c r="E43" i="1"/>
  <c r="F43" i="1" s="1"/>
  <c r="AU30" i="93"/>
  <c r="B39" i="92"/>
  <c r="F60" i="1"/>
  <c r="F79" i="1"/>
  <c r="F19" i="85"/>
  <c r="E98" i="1"/>
  <c r="F98" i="1" s="1"/>
  <c r="F41" i="1"/>
  <c r="F42" i="1"/>
  <c r="E44" i="1"/>
  <c r="F44" i="1" s="1"/>
  <c r="F118" i="1"/>
  <c r="E39" i="1"/>
  <c r="F27" i="91"/>
  <c r="AG34" i="1"/>
  <c r="J5" i="91"/>
  <c r="E41" i="92" s="1"/>
  <c r="F41" i="92" s="1"/>
  <c r="B40" i="92" l="1"/>
  <c r="K5" i="91"/>
  <c r="AG32" i="1"/>
  <c r="F11" i="91"/>
  <c r="G67" i="57" l="1"/>
  <c r="F2" i="90" l="1"/>
  <c r="F2" i="89" l="1"/>
  <c r="L144" i="56" l="1"/>
  <c r="J157" i="80" l="1"/>
  <c r="L157" i="80" s="1"/>
  <c r="L89" i="80"/>
  <c r="L55" i="80"/>
  <c r="L20" i="80"/>
  <c r="D55" i="80"/>
  <c r="H332" i="80" s="1"/>
  <c r="D89" i="80"/>
  <c r="J284" i="80" l="1"/>
  <c r="D284" i="80"/>
  <c r="A45" i="88"/>
  <c r="A47" i="76"/>
  <c r="BB17" i="88" l="1"/>
  <c r="AW14" i="77" l="1"/>
  <c r="L88" i="60"/>
  <c r="D9" i="89" l="1"/>
  <c r="X80" i="14"/>
  <c r="B24" i="81" l="1"/>
  <c r="J9" i="81" s="1"/>
  <c r="Z24" i="81" l="1"/>
  <c r="AD15" i="1"/>
  <c r="B26" i="81"/>
  <c r="Z26" i="81" s="1"/>
  <c r="W202" i="1"/>
  <c r="M189" i="1"/>
  <c r="F200" i="1"/>
  <c r="F207" i="1" s="1"/>
  <c r="P69" i="14"/>
  <c r="P68" i="14" s="1"/>
  <c r="P76" i="14" s="1"/>
  <c r="J68" i="14"/>
  <c r="J76" i="14" s="1"/>
  <c r="K61" i="14"/>
  <c r="K60" i="14" s="1"/>
  <c r="K76" i="14" s="1"/>
  <c r="J46" i="14"/>
  <c r="X16" i="1" l="1"/>
  <c r="X190" i="1" s="1"/>
  <c r="B22" i="81"/>
  <c r="F9" i="81"/>
  <c r="N16" i="1"/>
  <c r="M15" i="1"/>
  <c r="AE15" i="1" s="1"/>
  <c r="J20" i="87"/>
  <c r="Y62" i="14"/>
  <c r="AG15" i="1" l="1"/>
  <c r="K120" i="14"/>
  <c r="L120" i="14" s="1"/>
  <c r="N190" i="1"/>
  <c r="Y63" i="14"/>
  <c r="W69" i="14"/>
  <c r="M16" i="1" l="1"/>
  <c r="P69" i="56"/>
  <c r="A64" i="55" l="1"/>
  <c r="BG7" i="69" l="1"/>
  <c r="G69" i="127" s="1"/>
  <c r="H69" i="127" s="1"/>
  <c r="Q69" i="127" l="1"/>
  <c r="R69" i="127" s="1"/>
  <c r="M69" i="127"/>
  <c r="BH7" i="69"/>
  <c r="BH30" i="69" s="1"/>
  <c r="AV8" i="76" l="1"/>
  <c r="AW8" i="76" l="1"/>
  <c r="D8" i="61"/>
  <c r="AR11" i="65" l="1"/>
  <c r="AP6" i="65"/>
  <c r="AM3" i="65"/>
  <c r="BF18" i="69"/>
  <c r="E144" i="14" l="1"/>
  <c r="L78" i="74" l="1"/>
  <c r="T95" i="1" l="1"/>
  <c r="K95" i="1"/>
  <c r="T114" i="1"/>
  <c r="K114" i="1"/>
  <c r="T56" i="1"/>
  <c r="K56" i="1"/>
  <c r="T75" i="1"/>
  <c r="K75" i="1"/>
  <c r="D137" i="1" l="1"/>
  <c r="E77" i="1" s="1"/>
  <c r="D138" i="1"/>
  <c r="E58" i="1" s="1"/>
  <c r="D140" i="1"/>
  <c r="E116" i="1" s="1"/>
  <c r="D139" i="1"/>
  <c r="E102" i="1" s="1"/>
  <c r="I47" i="14"/>
  <c r="H47" i="14"/>
  <c r="G47" i="14"/>
  <c r="F47" i="14"/>
  <c r="E47" i="14"/>
  <c r="D47" i="14"/>
  <c r="C47" i="14"/>
  <c r="K18" i="1" l="1"/>
  <c r="F142" i="14"/>
  <c r="G142" i="14" s="1"/>
  <c r="D135" i="1" l="1"/>
  <c r="E20" i="1" s="1"/>
  <c r="K194" i="1"/>
  <c r="G175" i="56" l="1"/>
  <c r="G192" i="56" s="1"/>
  <c r="G199" i="56" s="1"/>
  <c r="G176" i="56"/>
  <c r="G186" i="56" s="1"/>
  <c r="G177" i="56"/>
  <c r="G194" i="56" s="1"/>
  <c r="G201" i="56" s="1"/>
  <c r="G174" i="56"/>
  <c r="G184" i="56" s="1"/>
  <c r="H171" i="56"/>
  <c r="G159" i="56"/>
  <c r="G160" i="56"/>
  <c r="G161" i="56"/>
  <c r="G158" i="56"/>
  <c r="F66" i="57"/>
  <c r="F57" i="58"/>
  <c r="F56" i="58"/>
  <c r="F55" i="58"/>
  <c r="F54" i="58"/>
  <c r="E57" i="58"/>
  <c r="E56" i="58"/>
  <c r="E55" i="58"/>
  <c r="G55" i="58" l="1"/>
  <c r="G56" i="58"/>
  <c r="G57" i="58"/>
  <c r="G191" i="56"/>
  <c r="G198" i="56" s="1"/>
  <c r="G185" i="56"/>
  <c r="F58" i="58"/>
  <c r="G187" i="56"/>
  <c r="G193" i="56"/>
  <c r="G200" i="56" s="1"/>
  <c r="F57" i="59"/>
  <c r="F56" i="59"/>
  <c r="M113" i="56" l="1"/>
  <c r="M68" i="56"/>
  <c r="K192" i="1" l="1"/>
  <c r="K288" i="80"/>
  <c r="K286" i="80"/>
  <c r="K285" i="80"/>
  <c r="L281" i="80"/>
  <c r="K281" i="80"/>
  <c r="J281" i="80"/>
  <c r="L143" i="80"/>
  <c r="K143" i="80"/>
  <c r="J143" i="80"/>
  <c r="L75" i="80"/>
  <c r="K75" i="80"/>
  <c r="J75" i="80"/>
  <c r="L41" i="80"/>
  <c r="K41" i="80"/>
  <c r="J41" i="80"/>
  <c r="L6" i="80"/>
  <c r="K6" i="80"/>
  <c r="J6" i="80"/>
  <c r="I322" i="80" l="1"/>
  <c r="H322" i="80"/>
  <c r="G322" i="80"/>
  <c r="G2" i="61" l="1"/>
  <c r="D22" i="61"/>
  <c r="L21" i="3"/>
  <c r="K21" i="3"/>
  <c r="J21" i="3"/>
  <c r="I21" i="3"/>
  <c r="I22" i="3" s="1"/>
  <c r="F21" i="3"/>
  <c r="E21" i="3"/>
  <c r="D21" i="3"/>
  <c r="O21" i="3" l="1"/>
  <c r="F105" i="88" l="1"/>
  <c r="E105" i="88"/>
  <c r="E106" i="88"/>
  <c r="E107" i="88"/>
  <c r="C105" i="88"/>
  <c r="D105" i="88"/>
  <c r="C106" i="88"/>
  <c r="C107" i="88"/>
  <c r="E108" i="88" l="1"/>
  <c r="G69" i="56" l="1"/>
  <c r="BG8" i="69"/>
  <c r="BG9" i="69" l="1"/>
  <c r="AV8" i="77"/>
  <c r="AW8" i="77" l="1"/>
  <c r="G78" i="60"/>
  <c r="AW21" i="88" l="1"/>
  <c r="AN129" i="88"/>
  <c r="AJ129" i="88"/>
  <c r="AG129" i="88"/>
  <c r="AE129" i="88"/>
  <c r="AC129" i="88"/>
  <c r="Y129" i="88"/>
  <c r="W129" i="88"/>
  <c r="V129" i="88"/>
  <c r="S129" i="88"/>
  <c r="R129" i="88"/>
  <c r="Q129" i="88"/>
  <c r="X128" i="88"/>
  <c r="AN127" i="88"/>
  <c r="AJ127" i="88"/>
  <c r="AG127" i="88"/>
  <c r="AE127" i="88"/>
  <c r="AC127" i="88"/>
  <c r="Y127" i="88"/>
  <c r="W127" i="88"/>
  <c r="V127" i="88"/>
  <c r="S127" i="88"/>
  <c r="R127" i="88"/>
  <c r="Q127" i="88"/>
  <c r="B121" i="88"/>
  <c r="C5" i="88"/>
  <c r="AG4" i="88"/>
  <c r="AH4" i="88" s="1"/>
  <c r="AI4" i="88" s="1"/>
  <c r="AJ4" i="88" s="1"/>
  <c r="AK4" i="88" s="1"/>
  <c r="AL4" i="88" s="1"/>
  <c r="AM4" i="88" s="1"/>
  <c r="AN4" i="88" s="1"/>
  <c r="AO4" i="88" s="1"/>
  <c r="T4" i="88"/>
  <c r="U4" i="88" s="1"/>
  <c r="V4" i="88" s="1"/>
  <c r="W4" i="88" s="1"/>
  <c r="X4" i="88" s="1"/>
  <c r="Y4" i="88" s="1"/>
  <c r="Z4" i="88" s="1"/>
  <c r="AA4" i="88" s="1"/>
  <c r="AB4" i="88" s="1"/>
  <c r="AC4" i="88" s="1"/>
  <c r="AD4" i="88" s="1"/>
  <c r="AE4" i="88" s="1"/>
  <c r="R4" i="88"/>
  <c r="Q4" i="88" s="1"/>
  <c r="P4" i="88" s="1"/>
  <c r="O4" i="88" s="1"/>
  <c r="N4" i="88" s="1"/>
  <c r="M4" i="88" s="1"/>
  <c r="L4" i="88" s="1"/>
  <c r="K4" i="88" s="1"/>
  <c r="J4" i="88" s="1"/>
  <c r="I4" i="88" s="1"/>
  <c r="H4" i="88" s="1"/>
  <c r="G4" i="88" s="1"/>
  <c r="F4" i="88" s="1"/>
  <c r="E4" i="88" s="1"/>
  <c r="D4" i="88" s="1"/>
  <c r="C4" i="88" s="1"/>
  <c r="B4" i="88" s="1"/>
  <c r="AK3" i="88"/>
  <c r="AK117" i="88" s="1"/>
  <c r="AH3" i="88"/>
  <c r="AF3" i="88"/>
  <c r="AD3" i="88"/>
  <c r="AE3" i="88" s="1"/>
  <c r="AE117" i="88" s="1"/>
  <c r="Z3" i="88"/>
  <c r="X3" i="88"/>
  <c r="W3" i="88"/>
  <c r="W117" i="88" s="1"/>
  <c r="T3" i="88"/>
  <c r="T117" i="88" s="1"/>
  <c r="S3" i="88"/>
  <c r="S117" i="88" s="1"/>
  <c r="R3" i="88"/>
  <c r="R117" i="88" s="1"/>
  <c r="B3" i="88"/>
  <c r="C2" i="88"/>
  <c r="D5" i="88" l="1"/>
  <c r="E5" i="105"/>
  <c r="D2" i="88"/>
  <c r="E4" i="105"/>
  <c r="U3" i="88"/>
  <c r="U117" i="88" s="1"/>
  <c r="AL3" i="88"/>
  <c r="Y3" i="88"/>
  <c r="Y117" i="88" s="1"/>
  <c r="X117" i="88"/>
  <c r="C3" i="88"/>
  <c r="B117" i="88"/>
  <c r="AA3" i="88"/>
  <c r="Z117" i="88"/>
  <c r="AG3" i="88"/>
  <c r="AG117" i="88" s="1"/>
  <c r="AF117" i="88"/>
  <c r="AI3" i="88"/>
  <c r="AH117" i="88"/>
  <c r="AD117" i="88"/>
  <c r="C120" i="88"/>
  <c r="E2" i="88" l="1"/>
  <c r="F4" i="105"/>
  <c r="E5" i="88"/>
  <c r="F5" i="105"/>
  <c r="V3" i="88"/>
  <c r="V117" i="88" s="1"/>
  <c r="AB3" i="88"/>
  <c r="AC3" i="88" s="1"/>
  <c r="AA117" i="88"/>
  <c r="AB117" i="88" s="1"/>
  <c r="AC117" i="88" s="1"/>
  <c r="AJ3" i="88"/>
  <c r="AJ117" i="88" s="1"/>
  <c r="AI117" i="88"/>
  <c r="D3" i="88"/>
  <c r="C117" i="88"/>
  <c r="AM3" i="88"/>
  <c r="AL117" i="88"/>
  <c r="D120" i="88"/>
  <c r="C121" i="88"/>
  <c r="F5" i="88" l="1"/>
  <c r="G5" i="105"/>
  <c r="F2" i="88"/>
  <c r="G4" i="105"/>
  <c r="AN3" i="88"/>
  <c r="AM117" i="88"/>
  <c r="E3" i="88"/>
  <c r="D117" i="88"/>
  <c r="E120" i="88"/>
  <c r="D121" i="88"/>
  <c r="G2" i="88" l="1"/>
  <c r="H4" i="105"/>
  <c r="G5" i="88"/>
  <c r="H5" i="105"/>
  <c r="AN117" i="88"/>
  <c r="AO3" i="88"/>
  <c r="F3" i="88"/>
  <c r="E117" i="88"/>
  <c r="F120" i="88"/>
  <c r="E121" i="88"/>
  <c r="H5" i="88" l="1"/>
  <c r="I5" i="105"/>
  <c r="H2" i="88"/>
  <c r="I4" i="105"/>
  <c r="G3" i="88"/>
  <c r="F117" i="88"/>
  <c r="G120" i="88"/>
  <c r="F121" i="88"/>
  <c r="I2" i="88" l="1"/>
  <c r="J4" i="105"/>
  <c r="I5" i="88"/>
  <c r="J5" i="105"/>
  <c r="H3" i="88"/>
  <c r="G117" i="88"/>
  <c r="H120" i="88"/>
  <c r="G121" i="88"/>
  <c r="J5" i="88" l="1"/>
  <c r="K5" i="105"/>
  <c r="J2" i="88"/>
  <c r="K4" i="105"/>
  <c r="I3" i="88"/>
  <c r="H117" i="88"/>
  <c r="I120" i="88"/>
  <c r="H121" i="88"/>
  <c r="K5" i="88" l="1"/>
  <c r="L5" i="105"/>
  <c r="K2" i="88"/>
  <c r="L4" i="105"/>
  <c r="J3" i="88"/>
  <c r="I117" i="88"/>
  <c r="I121" i="88"/>
  <c r="J120" i="88"/>
  <c r="L2" i="88" l="1"/>
  <c r="M4" i="105"/>
  <c r="L5" i="88"/>
  <c r="M5" i="105"/>
  <c r="K3" i="88"/>
  <c r="J117" i="88"/>
  <c r="J121" i="88"/>
  <c r="K120" i="88"/>
  <c r="M5" i="88" l="1"/>
  <c r="N5" i="105"/>
  <c r="M2" i="88"/>
  <c r="N4" i="105"/>
  <c r="L3" i="88"/>
  <c r="K117" i="88"/>
  <c r="L120" i="88"/>
  <c r="K121" i="88"/>
  <c r="N2" i="88" l="1"/>
  <c r="O4" i="105"/>
  <c r="N5" i="88"/>
  <c r="O5" i="105"/>
  <c r="M3" i="88"/>
  <c r="L117" i="88"/>
  <c r="M120" i="88"/>
  <c r="L121" i="88"/>
  <c r="O5" i="88" l="1"/>
  <c r="P5" i="105"/>
  <c r="O2" i="88"/>
  <c r="P4" i="105"/>
  <c r="N3" i="88"/>
  <c r="M117" i="88"/>
  <c r="N120" i="88"/>
  <c r="M121" i="88"/>
  <c r="P2" i="88" l="1"/>
  <c r="Q4" i="105"/>
  <c r="P5" i="88"/>
  <c r="Q5" i="105"/>
  <c r="O3" i="88"/>
  <c r="N117" i="88"/>
  <c r="N121" i="88"/>
  <c r="O120" i="88"/>
  <c r="BG4" i="69"/>
  <c r="Q5" i="88" l="1"/>
  <c r="R5" i="105"/>
  <c r="Q2" i="88"/>
  <c r="R4" i="105"/>
  <c r="P3" i="88"/>
  <c r="O117" i="88"/>
  <c r="P120" i="88"/>
  <c r="O121" i="88"/>
  <c r="R2" i="88" l="1"/>
  <c r="S4" i="105"/>
  <c r="R5" i="88"/>
  <c r="S5" i="105"/>
  <c r="Q3" i="88"/>
  <c r="Q117" i="88" s="1"/>
  <c r="P117" i="88"/>
  <c r="Q120" i="88"/>
  <c r="P121" i="88"/>
  <c r="S2" i="88" l="1"/>
  <c r="T4" i="105"/>
  <c r="S5" i="88"/>
  <c r="T5" i="105"/>
  <c r="Q121" i="88"/>
  <c r="R120" i="88"/>
  <c r="T5" i="88" l="1"/>
  <c r="U5" i="105"/>
  <c r="T2" i="88"/>
  <c r="U4" i="105"/>
  <c r="Q126" i="88"/>
  <c r="Q128" i="88" s="1"/>
  <c r="Q130" i="88" s="1"/>
  <c r="R121" i="88"/>
  <c r="S120" i="88"/>
  <c r="U2" i="88" l="1"/>
  <c r="V4" i="105"/>
  <c r="U5" i="88"/>
  <c r="V5" i="105"/>
  <c r="T120" i="88"/>
  <c r="S121" i="88"/>
  <c r="R126" i="88"/>
  <c r="R128" i="88" s="1"/>
  <c r="R130" i="88" s="1"/>
  <c r="R122" i="88"/>
  <c r="V5" i="88" l="1"/>
  <c r="W5" i="105"/>
  <c r="V2" i="88"/>
  <c r="W4" i="105"/>
  <c r="S122" i="88"/>
  <c r="S123" i="88" s="1"/>
  <c r="S126" i="88"/>
  <c r="S128" i="88" s="1"/>
  <c r="S130" i="88" s="1"/>
  <c r="U120" i="88"/>
  <c r="T126" i="88"/>
  <c r="T121" i="88"/>
  <c r="B123" i="88"/>
  <c r="C123" i="88"/>
  <c r="D123" i="88"/>
  <c r="E123" i="88"/>
  <c r="F123" i="88"/>
  <c r="G123" i="88"/>
  <c r="H123" i="88"/>
  <c r="I123" i="88"/>
  <c r="J123" i="88"/>
  <c r="K123" i="88"/>
  <c r="L123" i="88"/>
  <c r="M123" i="88"/>
  <c r="N123" i="88"/>
  <c r="O123" i="88"/>
  <c r="P123" i="88"/>
  <c r="Q123" i="88"/>
  <c r="R123" i="88"/>
  <c r="W2" i="88" l="1"/>
  <c r="X4" i="105"/>
  <c r="W5" i="88"/>
  <c r="X5" i="105"/>
  <c r="V120" i="88"/>
  <c r="U126" i="88"/>
  <c r="U121" i="88"/>
  <c r="X5" i="88" l="1"/>
  <c r="Y5" i="105"/>
  <c r="X2" i="88"/>
  <c r="Y4" i="105"/>
  <c r="V126" i="88"/>
  <c r="V128" i="88" s="1"/>
  <c r="V130" i="88" s="1"/>
  <c r="V121" i="88"/>
  <c r="Y2" i="88" l="1"/>
  <c r="Z4" i="105"/>
  <c r="Y5" i="88"/>
  <c r="Z5" i="105"/>
  <c r="V122" i="88"/>
  <c r="V123" i="88" s="1"/>
  <c r="Z5" i="88" l="1"/>
  <c r="AA5" i="105"/>
  <c r="Z2" i="88"/>
  <c r="AA4" i="105"/>
  <c r="T123" i="88"/>
  <c r="U123" i="88"/>
  <c r="AA2" i="88" l="1"/>
  <c r="AB4" i="105"/>
  <c r="AA5" i="88"/>
  <c r="AB5" i="105"/>
  <c r="AS30" i="78"/>
  <c r="AR30" i="78"/>
  <c r="AQ30" i="78"/>
  <c r="AB2" i="88" l="1"/>
  <c r="AC4" i="105"/>
  <c r="AB5" i="88"/>
  <c r="AC5" i="105"/>
  <c r="M94" i="1"/>
  <c r="M93" i="1"/>
  <c r="M91" i="1"/>
  <c r="M90" i="1"/>
  <c r="M89" i="1"/>
  <c r="AC5" i="88" l="1"/>
  <c r="AD5" i="105"/>
  <c r="AC2" i="88"/>
  <c r="AD4" i="105"/>
  <c r="C5" i="55"/>
  <c r="A3" i="55"/>
  <c r="AD2" i="88" l="1"/>
  <c r="AE4" i="105"/>
  <c r="AD5" i="88"/>
  <c r="AE5" i="105"/>
  <c r="E11" i="60"/>
  <c r="E12" i="60"/>
  <c r="E13" i="60"/>
  <c r="E14" i="60"/>
  <c r="W27" i="102" s="1"/>
  <c r="W28" i="102" s="1"/>
  <c r="E15" i="60"/>
  <c r="E16" i="60"/>
  <c r="E17" i="60"/>
  <c r="E18" i="60"/>
  <c r="E19" i="60"/>
  <c r="E20" i="60"/>
  <c r="E21" i="60"/>
  <c r="E22" i="60"/>
  <c r="E23" i="60"/>
  <c r="E24" i="60"/>
  <c r="E25" i="60"/>
  <c r="E26" i="60"/>
  <c r="AI30" i="78" s="1"/>
  <c r="E27" i="60"/>
  <c r="E28" i="60"/>
  <c r="E29" i="60"/>
  <c r="E30" i="60"/>
  <c r="E31" i="60"/>
  <c r="E32" i="60"/>
  <c r="E33" i="60"/>
  <c r="E10" i="60"/>
  <c r="F5" i="58"/>
  <c r="H2" i="58"/>
  <c r="J5" i="57"/>
  <c r="J5" i="58" s="1"/>
  <c r="J5" i="59" s="1"/>
  <c r="J5" i="60"/>
  <c r="F5" i="60"/>
  <c r="H2" i="60"/>
  <c r="E42" i="60" l="1"/>
  <c r="AE5" i="88"/>
  <c r="AF5" i="105"/>
  <c r="AE2" i="88"/>
  <c r="AF4" i="105"/>
  <c r="B18" i="85"/>
  <c r="B30" i="85"/>
  <c r="K30" i="85" s="1"/>
  <c r="AP30" i="78"/>
  <c r="AP27" i="102"/>
  <c r="AO30" i="78"/>
  <c r="AO27" i="102"/>
  <c r="AN30" i="78"/>
  <c r="AN27" i="102"/>
  <c r="AM30" i="78"/>
  <c r="AM27" i="102"/>
  <c r="AL30" i="78"/>
  <c r="AL27" i="102"/>
  <c r="AK30" i="78"/>
  <c r="AK27" i="102"/>
  <c r="AJ30" i="78"/>
  <c r="AJ27" i="102"/>
  <c r="AI27" i="102"/>
  <c r="AH30" i="78"/>
  <c r="AH27" i="102"/>
  <c r="AG30" i="78"/>
  <c r="AG27" i="102"/>
  <c r="AF30" i="78"/>
  <c r="AF27" i="102"/>
  <c r="AE30" i="78"/>
  <c r="AE27" i="102"/>
  <c r="AD30" i="78"/>
  <c r="AD27" i="102"/>
  <c r="AC30" i="78"/>
  <c r="AC27" i="102"/>
  <c r="AB30" i="78"/>
  <c r="AB27" i="102"/>
  <c r="AA30" i="78"/>
  <c r="AA27" i="102"/>
  <c r="AA28" i="102" s="1"/>
  <c r="Z30" i="78"/>
  <c r="Z27" i="102"/>
  <c r="Z28" i="102" s="1"/>
  <c r="Y30" i="78"/>
  <c r="Y27" i="102"/>
  <c r="Y28" i="102" s="1"/>
  <c r="X30" i="78"/>
  <c r="X27" i="102"/>
  <c r="X28" i="102" s="1"/>
  <c r="V30" i="78"/>
  <c r="V31" i="78" s="1"/>
  <c r="V27" i="102"/>
  <c r="V28" i="102" s="1"/>
  <c r="U30" i="78"/>
  <c r="U31" i="78" s="1"/>
  <c r="U27" i="102"/>
  <c r="U28" i="102" s="1"/>
  <c r="T30" i="78"/>
  <c r="T31" i="78" s="1"/>
  <c r="T27" i="102"/>
  <c r="T28" i="102" s="1"/>
  <c r="S30" i="78"/>
  <c r="S27" i="102"/>
  <c r="AV27" i="102"/>
  <c r="K153" i="56"/>
  <c r="P153" i="56" s="1"/>
  <c r="W30" i="78"/>
  <c r="W31" i="78" s="1"/>
  <c r="K177" i="56"/>
  <c r="AV30" i="78"/>
  <c r="E11" i="59"/>
  <c r="E12" i="59"/>
  <c r="E13" i="59"/>
  <c r="E14" i="59"/>
  <c r="E15" i="59"/>
  <c r="E16" i="59"/>
  <c r="E17" i="59"/>
  <c r="E18" i="59"/>
  <c r="E19" i="59"/>
  <c r="E20" i="59"/>
  <c r="E21" i="59"/>
  <c r="E22" i="59"/>
  <c r="E23" i="59"/>
  <c r="E24" i="59"/>
  <c r="E25" i="59"/>
  <c r="E26" i="59"/>
  <c r="E27" i="59"/>
  <c r="E28" i="59"/>
  <c r="E29" i="59"/>
  <c r="E30" i="59"/>
  <c r="E31" i="59"/>
  <c r="E32" i="59"/>
  <c r="E33" i="59"/>
  <c r="AP30" i="77" s="1"/>
  <c r="E10" i="59"/>
  <c r="F5" i="59"/>
  <c r="H2" i="59"/>
  <c r="D28" i="52"/>
  <c r="AF91" i="1" s="1"/>
  <c r="D12" i="52"/>
  <c r="AF90" i="1" s="1"/>
  <c r="AH91" i="1" l="1"/>
  <c r="E28" i="52"/>
  <c r="AH90" i="1"/>
  <c r="L63" i="85"/>
  <c r="AF95" i="1"/>
  <c r="AV28" i="101"/>
  <c r="AV31" i="77"/>
  <c r="E12" i="52"/>
  <c r="F55" i="59"/>
  <c r="K18" i="85"/>
  <c r="L18" i="85" s="1"/>
  <c r="AO30" i="77"/>
  <c r="F30" i="85"/>
  <c r="L30" i="85"/>
  <c r="AF2" i="88"/>
  <c r="AG4" i="105"/>
  <c r="AF5" i="88"/>
  <c r="AG5" i="105"/>
  <c r="AU30" i="78"/>
  <c r="B27" i="85"/>
  <c r="W27" i="101"/>
  <c r="W28" i="101" s="1"/>
  <c r="B15" i="85"/>
  <c r="AU27" i="102"/>
  <c r="AW27" i="102" s="1"/>
  <c r="S28" i="102"/>
  <c r="AP27" i="101"/>
  <c r="AO27" i="101"/>
  <c r="AN30" i="77"/>
  <c r="AN27" i="101"/>
  <c r="AM30" i="77"/>
  <c r="AM27" i="101"/>
  <c r="AL30" i="77"/>
  <c r="AL27" i="101"/>
  <c r="AK30" i="77"/>
  <c r="AK27" i="101"/>
  <c r="AJ30" i="77"/>
  <c r="AJ27" i="101"/>
  <c r="AI30" i="77"/>
  <c r="AI27" i="101"/>
  <c r="AH30" i="77"/>
  <c r="AH27" i="101"/>
  <c r="AG30" i="77"/>
  <c r="AG27" i="101"/>
  <c r="AF30" i="77"/>
  <c r="AF27" i="101"/>
  <c r="AE30" i="77"/>
  <c r="AE27" i="101"/>
  <c r="AD30" i="77"/>
  <c r="AD27" i="101"/>
  <c r="AC30" i="77"/>
  <c r="AC27" i="101"/>
  <c r="AB30" i="77"/>
  <c r="AB27" i="101"/>
  <c r="AA30" i="77"/>
  <c r="AA27" i="101"/>
  <c r="AA28" i="101" s="1"/>
  <c r="Z30" i="77"/>
  <c r="Z31" i="77" s="1"/>
  <c r="Z27" i="101"/>
  <c r="Z28" i="101" s="1"/>
  <c r="Y30" i="77"/>
  <c r="Y31" i="77" s="1"/>
  <c r="Y27" i="101"/>
  <c r="Y28" i="101" s="1"/>
  <c r="X30" i="77"/>
  <c r="X31" i="77" s="1"/>
  <c r="X27" i="101"/>
  <c r="X28" i="101" s="1"/>
  <c r="V30" i="77"/>
  <c r="V31" i="77" s="1"/>
  <c r="V27" i="101"/>
  <c r="V28" i="101" s="1"/>
  <c r="U30" i="77"/>
  <c r="U31" i="77" s="1"/>
  <c r="U27" i="101"/>
  <c r="U28" i="101" s="1"/>
  <c r="T30" i="77"/>
  <c r="T31" i="77" s="1"/>
  <c r="T27" i="101"/>
  <c r="T28" i="101" s="1"/>
  <c r="AV27" i="101"/>
  <c r="S27" i="101"/>
  <c r="F18" i="85"/>
  <c r="AV30" i="77"/>
  <c r="E42" i="59"/>
  <c r="K151" i="56"/>
  <c r="P151" i="56" s="1"/>
  <c r="W30" i="77"/>
  <c r="W31" i="77" s="1"/>
  <c r="K175" i="56"/>
  <c r="S30" i="77"/>
  <c r="W27" i="100"/>
  <c r="W28" i="100" s="1"/>
  <c r="K15" i="85" l="1"/>
  <c r="L15" i="85" s="1"/>
  <c r="K27" i="85"/>
  <c r="L27" i="85" s="1"/>
  <c r="F27" i="85"/>
  <c r="AG5" i="88"/>
  <c r="AH5" i="105"/>
  <c r="AG2" i="88"/>
  <c r="AH4" i="105"/>
  <c r="Z27" i="100"/>
  <c r="Z28" i="100" s="1"/>
  <c r="B17" i="85"/>
  <c r="B29" i="85"/>
  <c r="S31" i="77"/>
  <c r="AU30" i="77"/>
  <c r="AO30" i="95"/>
  <c r="AO27" i="100"/>
  <c r="AN30" i="95"/>
  <c r="AN27" i="100"/>
  <c r="AM30" i="95"/>
  <c r="AM27" i="100"/>
  <c r="AL30" i="95"/>
  <c r="AL27" i="100"/>
  <c r="AK30" i="95"/>
  <c r="AK27" i="100"/>
  <c r="AJ30" i="95"/>
  <c r="AJ27" i="100"/>
  <c r="AI30" i="95"/>
  <c r="AI27" i="100"/>
  <c r="AH30" i="95"/>
  <c r="AH27" i="100"/>
  <c r="AG30" i="95"/>
  <c r="AG27" i="100"/>
  <c r="AF30" i="95"/>
  <c r="AF27" i="100"/>
  <c r="AE30" i="95"/>
  <c r="AE27" i="100"/>
  <c r="AD30" i="95"/>
  <c r="AD27" i="100"/>
  <c r="AC30" i="95"/>
  <c r="AC27" i="100"/>
  <c r="AB30" i="95"/>
  <c r="AB27" i="100"/>
  <c r="AA30" i="95"/>
  <c r="AA27" i="100"/>
  <c r="AA28" i="100" s="1"/>
  <c r="Y30" i="95"/>
  <c r="Y31" i="95" s="1"/>
  <c r="Y27" i="100"/>
  <c r="Y28" i="100" s="1"/>
  <c r="X30" i="95"/>
  <c r="X31" i="95" s="1"/>
  <c r="X27" i="100"/>
  <c r="AV27" i="100"/>
  <c r="S28" i="101"/>
  <c r="AU27" i="101"/>
  <c r="AW27" i="101" s="1"/>
  <c r="Z30" i="95"/>
  <c r="Z31" i="95" s="1"/>
  <c r="AV30" i="95"/>
  <c r="W30" i="95"/>
  <c r="F15" i="85"/>
  <c r="H2" i="56"/>
  <c r="H2" i="57"/>
  <c r="W31" i="95" l="1"/>
  <c r="AU30" i="95"/>
  <c r="K29" i="85"/>
  <c r="L29" i="85" s="1"/>
  <c r="K17" i="85"/>
  <c r="L17" i="85" s="1"/>
  <c r="AH2" i="88"/>
  <c r="AI4" i="105"/>
  <c r="AH5" i="88"/>
  <c r="AI5" i="105"/>
  <c r="B65" i="85"/>
  <c r="M65" i="85" s="1"/>
  <c r="AU27" i="100"/>
  <c r="X28" i="100"/>
  <c r="T30" i="76"/>
  <c r="T31" i="76" s="1"/>
  <c r="U30" i="76"/>
  <c r="U31" i="76" s="1"/>
  <c r="V30" i="76"/>
  <c r="V31" i="76" s="1"/>
  <c r="X30" i="76"/>
  <c r="Y30" i="76"/>
  <c r="Z30" i="76"/>
  <c r="Z31" i="76" s="1"/>
  <c r="AA30" i="76"/>
  <c r="AB30" i="76"/>
  <c r="AD30" i="76"/>
  <c r="AE30" i="76"/>
  <c r="AF30" i="76"/>
  <c r="AG30" i="76"/>
  <c r="AH30" i="76"/>
  <c r="AI30" i="76"/>
  <c r="AJ30" i="76"/>
  <c r="AK30" i="76"/>
  <c r="AL30" i="76"/>
  <c r="AM30" i="76"/>
  <c r="AN30" i="76"/>
  <c r="AP30" i="76"/>
  <c r="D12" i="50"/>
  <c r="AF51" i="1" s="1"/>
  <c r="F5" i="57"/>
  <c r="AH51" i="1" l="1"/>
  <c r="E12" i="50"/>
  <c r="AI5" i="88"/>
  <c r="AJ5" i="105"/>
  <c r="AI2" i="88"/>
  <c r="AJ4" i="105"/>
  <c r="AW30" i="95"/>
  <c r="AW27" i="100"/>
  <c r="W30" i="76"/>
  <c r="W31" i="76" s="1"/>
  <c r="S30" i="76"/>
  <c r="AV30" i="76"/>
  <c r="K152" i="56"/>
  <c r="P152" i="56" s="1"/>
  <c r="K176" i="56"/>
  <c r="F5" i="56"/>
  <c r="E20" i="56"/>
  <c r="E21" i="56"/>
  <c r="E22" i="56"/>
  <c r="E23" i="56"/>
  <c r="E24" i="56"/>
  <c r="E25" i="56"/>
  <c r="E26" i="56"/>
  <c r="E27" i="56"/>
  <c r="E28" i="56"/>
  <c r="E29" i="56"/>
  <c r="E30" i="56"/>
  <c r="E31" i="56"/>
  <c r="E32" i="56"/>
  <c r="E33" i="56"/>
  <c r="E34" i="56"/>
  <c r="E35" i="56"/>
  <c r="E36" i="56"/>
  <c r="E37" i="56"/>
  <c r="E38" i="56"/>
  <c r="E39" i="56"/>
  <c r="E40" i="56"/>
  <c r="E19" i="56"/>
  <c r="E15" i="56"/>
  <c r="E16" i="56"/>
  <c r="E17" i="56"/>
  <c r="E18" i="56"/>
  <c r="AA27" i="97" s="1"/>
  <c r="AA28" i="97" s="1"/>
  <c r="E14" i="56"/>
  <c r="E11" i="56"/>
  <c r="E12" i="56"/>
  <c r="E13" i="56"/>
  <c r="AJ187" i="1" l="1"/>
  <c r="AN27" i="97"/>
  <c r="AU30" i="76"/>
  <c r="AJ5" i="88"/>
  <c r="AK5" i="105"/>
  <c r="AJ2" i="88"/>
  <c r="AK4" i="105"/>
  <c r="AV30" i="63"/>
  <c r="B26" i="85"/>
  <c r="K26" i="85" s="1"/>
  <c r="B14" i="85"/>
  <c r="W27" i="97"/>
  <c r="W28" i="97" s="1"/>
  <c r="AP30" i="63"/>
  <c r="AP27" i="97"/>
  <c r="AS30" i="63"/>
  <c r="AS27" i="97"/>
  <c r="AR30" i="63"/>
  <c r="AR27" i="97"/>
  <c r="AT30" i="63"/>
  <c r="AT27" i="97"/>
  <c r="AQ30" i="63"/>
  <c r="AQ27" i="97"/>
  <c r="T27" i="97"/>
  <c r="T28" i="97" s="1"/>
  <c r="K174" i="56"/>
  <c r="K179" i="56" s="1"/>
  <c r="AB30" i="63"/>
  <c r="AB27" i="97"/>
  <c r="Z30" i="63"/>
  <c r="Z27" i="97"/>
  <c r="Z28" i="97" s="1"/>
  <c r="Y30" i="63"/>
  <c r="Y27" i="97"/>
  <c r="Y28" i="97" s="1"/>
  <c r="X30" i="63"/>
  <c r="X27" i="97"/>
  <c r="X28" i="97" s="1"/>
  <c r="V30" i="63"/>
  <c r="V27" i="97"/>
  <c r="V28" i="97" s="1"/>
  <c r="U30" i="63"/>
  <c r="U27" i="97"/>
  <c r="U28" i="97" s="1"/>
  <c r="AO30" i="63"/>
  <c r="AO27" i="97"/>
  <c r="AM30" i="63"/>
  <c r="AM27" i="97"/>
  <c r="AL30" i="63"/>
  <c r="AL27" i="97"/>
  <c r="AK30" i="63"/>
  <c r="AK27" i="97"/>
  <c r="AJ30" i="63"/>
  <c r="AJ27" i="97"/>
  <c r="AI30" i="63"/>
  <c r="AI27" i="97"/>
  <c r="AH30" i="63"/>
  <c r="AH27" i="97"/>
  <c r="AG30" i="63"/>
  <c r="AG27" i="97"/>
  <c r="AF30" i="63"/>
  <c r="AF27" i="97"/>
  <c r="AE30" i="63"/>
  <c r="AE27" i="97"/>
  <c r="AD30" i="63"/>
  <c r="AD27" i="97"/>
  <c r="AC27" i="97"/>
  <c r="AV27" i="97"/>
  <c r="S31" i="76"/>
  <c r="AC30" i="63"/>
  <c r="AA30" i="63"/>
  <c r="T30" i="63"/>
  <c r="T31" i="63" s="1"/>
  <c r="F16" i="85"/>
  <c r="K150" i="56"/>
  <c r="AN30" i="63"/>
  <c r="W30" i="63"/>
  <c r="S30" i="63"/>
  <c r="K14" i="85" l="1"/>
  <c r="L14" i="85" s="1"/>
  <c r="B34" i="85"/>
  <c r="L26" i="85"/>
  <c r="B22" i="85"/>
  <c r="AU30" i="63"/>
  <c r="F26" i="85"/>
  <c r="AK2" i="88"/>
  <c r="AL4" i="105"/>
  <c r="AK5" i="88"/>
  <c r="AL5" i="105"/>
  <c r="AU27" i="97"/>
  <c r="S31" i="63"/>
  <c r="F14" i="85"/>
  <c r="K155" i="56"/>
  <c r="P155" i="56" s="1"/>
  <c r="P150" i="56"/>
  <c r="BH22" i="69"/>
  <c r="M9" i="85" l="1"/>
  <c r="AL5" i="88"/>
  <c r="AM5" i="105"/>
  <c r="AL2" i="88"/>
  <c r="AM4" i="105"/>
  <c r="BF20" i="69"/>
  <c r="BH20" i="69" s="1"/>
  <c r="E114" i="56"/>
  <c r="BF23" i="69"/>
  <c r="K181" i="56"/>
  <c r="H114" i="56" l="1"/>
  <c r="M114" i="56" s="1"/>
  <c r="AM2" i="88"/>
  <c r="AN4" i="105"/>
  <c r="AM5" i="88"/>
  <c r="AN5" i="105"/>
  <c r="BH21" i="69"/>
  <c r="BH27" i="69" s="1"/>
  <c r="AN5" i="88" l="1"/>
  <c r="AO5" i="105"/>
  <c r="AN2" i="88"/>
  <c r="AO4" i="105"/>
  <c r="A1" i="69"/>
  <c r="A3" i="70"/>
  <c r="F2" i="75"/>
  <c r="E3" i="64"/>
  <c r="E3" i="71"/>
  <c r="E3" i="73"/>
  <c r="E3" i="72"/>
  <c r="F20" i="87"/>
  <c r="P114" i="1"/>
  <c r="AM18" i="87"/>
  <c r="AN18" i="87"/>
  <c r="AO18" i="87"/>
  <c r="AP18" i="87"/>
  <c r="AM19" i="87"/>
  <c r="AN19" i="87"/>
  <c r="AO19" i="87"/>
  <c r="AP19" i="87"/>
  <c r="AM20" i="87"/>
  <c r="AN20" i="87"/>
  <c r="AO20" i="87"/>
  <c r="AP20" i="87"/>
  <c r="AM21" i="87"/>
  <c r="AN21" i="87"/>
  <c r="AO21" i="87"/>
  <c r="AP21" i="87"/>
  <c r="AM22" i="87"/>
  <c r="AN22" i="87"/>
  <c r="AO22" i="87"/>
  <c r="AP22" i="87"/>
  <c r="AP17" i="87"/>
  <c r="AO17" i="87"/>
  <c r="AN17" i="87"/>
  <c r="AM17" i="87"/>
  <c r="AP7" i="87"/>
  <c r="AM8" i="87"/>
  <c r="AN8" i="87"/>
  <c r="AO8" i="87"/>
  <c r="AP8" i="87"/>
  <c r="AM9" i="87"/>
  <c r="AN9" i="87"/>
  <c r="AO9" i="87"/>
  <c r="AP9" i="87"/>
  <c r="AM10" i="87"/>
  <c r="AN10" i="87"/>
  <c r="AO10" i="87"/>
  <c r="AP10" i="87"/>
  <c r="AM11" i="87"/>
  <c r="AN11" i="87"/>
  <c r="AO11" i="87"/>
  <c r="AP11" i="87"/>
  <c r="AP6" i="87"/>
  <c r="AO6" i="87"/>
  <c r="AN6" i="87"/>
  <c r="AM6" i="87"/>
  <c r="AD18" i="87"/>
  <c r="AD19" i="87"/>
  <c r="AD20" i="87"/>
  <c r="AD21" i="87"/>
  <c r="AD22" i="87"/>
  <c r="AE18" i="87"/>
  <c r="AE19" i="87"/>
  <c r="AE20" i="87"/>
  <c r="AE21" i="87"/>
  <c r="AE22" i="87"/>
  <c r="AF18" i="87"/>
  <c r="AF19" i="87"/>
  <c r="AF20" i="87"/>
  <c r="AF22" i="87"/>
  <c r="AG18" i="87"/>
  <c r="AG19" i="87"/>
  <c r="AG20" i="87"/>
  <c r="AG21" i="87"/>
  <c r="AG22" i="87"/>
  <c r="AG17" i="87"/>
  <c r="AF17" i="87"/>
  <c r="AE17" i="87"/>
  <c r="AD17" i="87"/>
  <c r="AD7" i="87"/>
  <c r="AE7" i="87"/>
  <c r="AF7" i="87"/>
  <c r="AG7" i="87"/>
  <c r="AD8" i="87"/>
  <c r="AE8" i="87"/>
  <c r="AF8" i="87"/>
  <c r="AG8" i="87"/>
  <c r="AD9" i="87"/>
  <c r="AE9" i="87"/>
  <c r="AF9" i="87"/>
  <c r="AG9" i="87"/>
  <c r="AD10" i="87"/>
  <c r="AE10" i="87"/>
  <c r="AF10" i="87"/>
  <c r="AG10" i="87"/>
  <c r="AD11" i="87"/>
  <c r="AE11" i="87"/>
  <c r="AF11" i="87"/>
  <c r="AG11" i="87"/>
  <c r="AG6" i="87"/>
  <c r="AF6" i="87"/>
  <c r="AE6" i="87"/>
  <c r="AD6" i="87"/>
  <c r="U18" i="87"/>
  <c r="V18" i="87"/>
  <c r="W18" i="87"/>
  <c r="U19" i="87"/>
  <c r="V19" i="87"/>
  <c r="W19" i="87"/>
  <c r="X19" i="87"/>
  <c r="U20" i="87"/>
  <c r="V20" i="87"/>
  <c r="W20" i="87"/>
  <c r="X20" i="87"/>
  <c r="U21" i="87"/>
  <c r="V21" i="87"/>
  <c r="W21" i="87"/>
  <c r="X21" i="87"/>
  <c r="U22" i="87"/>
  <c r="V22" i="87"/>
  <c r="W22" i="87"/>
  <c r="X22" i="87"/>
  <c r="X17" i="87"/>
  <c r="W17" i="87"/>
  <c r="V17" i="87"/>
  <c r="U17" i="87"/>
  <c r="U7" i="87"/>
  <c r="V7" i="87"/>
  <c r="W7" i="87"/>
  <c r="X7" i="87"/>
  <c r="U8" i="87"/>
  <c r="V8" i="87"/>
  <c r="W8" i="87"/>
  <c r="X8" i="87"/>
  <c r="U9" i="87"/>
  <c r="V9" i="87"/>
  <c r="W9" i="87"/>
  <c r="X9" i="87"/>
  <c r="U10" i="87"/>
  <c r="V10" i="87"/>
  <c r="W10" i="87"/>
  <c r="X10" i="87"/>
  <c r="U11" i="87"/>
  <c r="V11" i="87"/>
  <c r="W11" i="87"/>
  <c r="X11" i="87"/>
  <c r="X6" i="87"/>
  <c r="W6" i="87"/>
  <c r="V6" i="87"/>
  <c r="U6" i="87"/>
  <c r="L18" i="87"/>
  <c r="M18" i="87"/>
  <c r="N18" i="87"/>
  <c r="O18" i="87"/>
  <c r="L19" i="87"/>
  <c r="M19" i="87"/>
  <c r="N19" i="87"/>
  <c r="O19" i="87"/>
  <c r="L20" i="87"/>
  <c r="M20" i="87"/>
  <c r="N20" i="87"/>
  <c r="O20" i="87"/>
  <c r="L21" i="87"/>
  <c r="M21" i="87"/>
  <c r="N21" i="87"/>
  <c r="O21" i="87"/>
  <c r="L22" i="87"/>
  <c r="M22" i="87"/>
  <c r="N22" i="87"/>
  <c r="O22" i="87"/>
  <c r="N17" i="87"/>
  <c r="M17" i="87"/>
  <c r="L17" i="87"/>
  <c r="L7" i="87"/>
  <c r="M7" i="87"/>
  <c r="N7" i="87"/>
  <c r="O7" i="87"/>
  <c r="L8" i="87"/>
  <c r="M8" i="87"/>
  <c r="N8" i="87"/>
  <c r="O8" i="87"/>
  <c r="L9" i="87"/>
  <c r="M9" i="87"/>
  <c r="N9" i="87"/>
  <c r="O9" i="87"/>
  <c r="L10" i="87"/>
  <c r="M10" i="87"/>
  <c r="N10" i="87"/>
  <c r="O10" i="87"/>
  <c r="L11" i="87"/>
  <c r="M11" i="87"/>
  <c r="N11" i="87"/>
  <c r="O11" i="87"/>
  <c r="O6" i="87"/>
  <c r="N6" i="87"/>
  <c r="M6" i="87"/>
  <c r="L6" i="87"/>
  <c r="C18" i="87"/>
  <c r="D18" i="87"/>
  <c r="E18" i="87"/>
  <c r="C19" i="87"/>
  <c r="D19" i="87"/>
  <c r="E19" i="87"/>
  <c r="F19" i="87"/>
  <c r="D20" i="87"/>
  <c r="D21" i="87"/>
  <c r="E21" i="87"/>
  <c r="F21" i="87"/>
  <c r="C22" i="87"/>
  <c r="D22" i="87"/>
  <c r="E22" i="87"/>
  <c r="F22" i="87"/>
  <c r="F17" i="87"/>
  <c r="E17" i="87"/>
  <c r="D17" i="87"/>
  <c r="C7" i="87"/>
  <c r="D7" i="87"/>
  <c r="E7" i="87"/>
  <c r="F7" i="87"/>
  <c r="C8" i="87"/>
  <c r="D8" i="87"/>
  <c r="E8" i="87"/>
  <c r="F8" i="87"/>
  <c r="C9" i="87"/>
  <c r="D9" i="87"/>
  <c r="E9" i="87"/>
  <c r="F9" i="87"/>
  <c r="C10" i="87"/>
  <c r="D10" i="87"/>
  <c r="E10" i="87"/>
  <c r="F10" i="87"/>
  <c r="C11" i="87"/>
  <c r="D11" i="87"/>
  <c r="E11" i="87"/>
  <c r="F11" i="87"/>
  <c r="F6" i="87"/>
  <c r="E6" i="87"/>
  <c r="D6" i="87"/>
  <c r="C6" i="87"/>
  <c r="A22" i="87"/>
  <c r="A21" i="87"/>
  <c r="A20" i="87"/>
  <c r="A19" i="87"/>
  <c r="A18" i="87"/>
  <c r="A17" i="87"/>
  <c r="AC56" i="1"/>
  <c r="AB56" i="1"/>
  <c r="S56" i="1"/>
  <c r="Q56" i="1"/>
  <c r="O56" i="1"/>
  <c r="I56" i="1"/>
  <c r="G56" i="1"/>
  <c r="N10" i="81" s="1"/>
  <c r="Z10" i="81" s="1"/>
  <c r="F56" i="1"/>
  <c r="E56" i="1"/>
  <c r="AD55" i="1"/>
  <c r="AE55" i="1" s="1"/>
  <c r="AD54" i="1"/>
  <c r="AE54" i="1" s="1"/>
  <c r="M52" i="1"/>
  <c r="AD51" i="1"/>
  <c r="M51" i="1"/>
  <c r="A51" i="1"/>
  <c r="P56" i="1"/>
  <c r="AF75" i="1"/>
  <c r="AC75" i="1"/>
  <c r="AB75" i="1"/>
  <c r="S75" i="1"/>
  <c r="Q75" i="1"/>
  <c r="P75" i="1"/>
  <c r="O75" i="1"/>
  <c r="J75" i="1"/>
  <c r="C75" i="1"/>
  <c r="AD74" i="1"/>
  <c r="AE74" i="1" s="1"/>
  <c r="AD73" i="1"/>
  <c r="AE73" i="1" s="1"/>
  <c r="AD72" i="1"/>
  <c r="AE72" i="1" s="1"/>
  <c r="Z75" i="1"/>
  <c r="G75" i="1"/>
  <c r="AD69" i="1"/>
  <c r="AC95" i="1"/>
  <c r="AB95" i="1"/>
  <c r="Z95" i="1"/>
  <c r="W95" i="1"/>
  <c r="S95" i="1"/>
  <c r="P95" i="1"/>
  <c r="O95" i="1"/>
  <c r="I95" i="1"/>
  <c r="G95" i="1"/>
  <c r="F95" i="1"/>
  <c r="E95" i="1"/>
  <c r="C95" i="1"/>
  <c r="AD94" i="1"/>
  <c r="AE94" i="1" s="1"/>
  <c r="AG94" i="1" s="1"/>
  <c r="AD92" i="1"/>
  <c r="AE92" i="1" s="1"/>
  <c r="Q95" i="1"/>
  <c r="AC114" i="1"/>
  <c r="AB114" i="1"/>
  <c r="Z114" i="1"/>
  <c r="S114" i="1"/>
  <c r="Q114" i="1"/>
  <c r="O114" i="1"/>
  <c r="I114" i="1"/>
  <c r="G114" i="1"/>
  <c r="F114" i="1"/>
  <c r="E114" i="1"/>
  <c r="AD113" i="1"/>
  <c r="AE113" i="1" s="1"/>
  <c r="J4" i="53" s="1"/>
  <c r="AD111" i="1"/>
  <c r="AE111" i="1" s="1"/>
  <c r="J6" i="53" s="1"/>
  <c r="AD109" i="1"/>
  <c r="AE109" i="1" s="1"/>
  <c r="AE51" i="1" l="1"/>
  <c r="F103" i="117"/>
  <c r="G103" i="117" s="1"/>
  <c r="E86" i="60"/>
  <c r="AG55" i="1"/>
  <c r="J4" i="50"/>
  <c r="D115" i="1"/>
  <c r="C84" i="1"/>
  <c r="AH75" i="1"/>
  <c r="C104" i="1"/>
  <c r="AH95" i="1"/>
  <c r="D24" i="1"/>
  <c r="AO2" i="88"/>
  <c r="AQ4" i="105" s="1"/>
  <c r="AP4" i="105"/>
  <c r="AO5" i="88"/>
  <c r="AQ5" i="105" s="1"/>
  <c r="AP5" i="105"/>
  <c r="D22" i="1"/>
  <c r="E59" i="1" s="1"/>
  <c r="AG51" i="1"/>
  <c r="BH37" i="69"/>
  <c r="D25" i="1"/>
  <c r="AS11" i="87"/>
  <c r="AS9" i="87"/>
  <c r="AU9" i="87" s="1"/>
  <c r="D119" i="1"/>
  <c r="E82" i="1" s="1"/>
  <c r="D82" i="1"/>
  <c r="E119" i="1" s="1"/>
  <c r="BN11" i="87"/>
  <c r="BN6" i="87"/>
  <c r="AS6" i="87"/>
  <c r="D80" i="1"/>
  <c r="BN9" i="87"/>
  <c r="BN19" i="87"/>
  <c r="BN8" i="87"/>
  <c r="BN10" i="87"/>
  <c r="AJ18" i="87"/>
  <c r="AS22" i="87"/>
  <c r="AS10" i="87"/>
  <c r="AS8" i="87"/>
  <c r="AS21" i="87"/>
  <c r="AS20" i="87"/>
  <c r="AU20" i="87" s="1"/>
  <c r="AS18" i="87"/>
  <c r="AS19" i="87"/>
  <c r="AS17" i="87"/>
  <c r="AJ10" i="87"/>
  <c r="AJ8" i="87"/>
  <c r="AJ17" i="87"/>
  <c r="AJ22" i="87"/>
  <c r="AJ20" i="87"/>
  <c r="AL20" i="87" s="1"/>
  <c r="AJ19" i="87"/>
  <c r="AJ11" i="87"/>
  <c r="AJ6" i="87"/>
  <c r="AJ9" i="87"/>
  <c r="AL9" i="87" s="1"/>
  <c r="AJ7" i="87"/>
  <c r="AA10" i="87"/>
  <c r="AA8" i="87"/>
  <c r="AA21" i="87"/>
  <c r="AA19" i="87"/>
  <c r="AA11" i="87"/>
  <c r="AA9" i="87"/>
  <c r="AC9" i="87" s="1"/>
  <c r="AA7" i="87"/>
  <c r="AA22" i="87"/>
  <c r="AA20" i="87"/>
  <c r="AC20" i="87" s="1"/>
  <c r="AA6" i="87"/>
  <c r="U23" i="87"/>
  <c r="AA17" i="87"/>
  <c r="V23" i="87"/>
  <c r="W23" i="87"/>
  <c r="I9" i="87"/>
  <c r="K9" i="87" s="1"/>
  <c r="I7" i="87"/>
  <c r="I6" i="87"/>
  <c r="I11" i="87"/>
  <c r="I19" i="87"/>
  <c r="R6" i="87"/>
  <c r="R21" i="87"/>
  <c r="R22" i="87"/>
  <c r="R20" i="87"/>
  <c r="T20" i="87" s="1"/>
  <c r="R18" i="87"/>
  <c r="R11" i="87"/>
  <c r="R9" i="87"/>
  <c r="T9" i="87" s="1"/>
  <c r="R7" i="87"/>
  <c r="R19" i="87"/>
  <c r="R10" i="87"/>
  <c r="R8" i="87"/>
  <c r="I10" i="87"/>
  <c r="I8" i="87"/>
  <c r="D62" i="1"/>
  <c r="AG113" i="1"/>
  <c r="AG111" i="1"/>
  <c r="AG72" i="1"/>
  <c r="AG73" i="1"/>
  <c r="AG74" i="1"/>
  <c r="W75" i="1"/>
  <c r="AD53" i="1"/>
  <c r="AE53" i="1" s="1"/>
  <c r="I75" i="1"/>
  <c r="D100" i="1" s="1"/>
  <c r="F59" i="58"/>
  <c r="F60" i="58" s="1"/>
  <c r="D121" i="1"/>
  <c r="J56" i="1"/>
  <c r="M50" i="1"/>
  <c r="M110" i="1"/>
  <c r="E75" i="1"/>
  <c r="C56" i="1"/>
  <c r="J5" i="50"/>
  <c r="F75" i="1"/>
  <c r="M108" i="1"/>
  <c r="Z56" i="1"/>
  <c r="C114" i="1"/>
  <c r="W114" i="1"/>
  <c r="E56" i="59"/>
  <c r="E51" i="59"/>
  <c r="L192" i="56"/>
  <c r="F60" i="59"/>
  <c r="U12" i="87"/>
  <c r="E12" i="87"/>
  <c r="D95" i="1"/>
  <c r="W56" i="1"/>
  <c r="AN7" i="87"/>
  <c r="AN12" i="87" s="1"/>
  <c r="AM7" i="87"/>
  <c r="AD90" i="1"/>
  <c r="AE90" i="1" s="1"/>
  <c r="AG90" i="1" s="1"/>
  <c r="AE93" i="1"/>
  <c r="D120" i="1"/>
  <c r="O17" i="87"/>
  <c r="O23" i="87" s="1"/>
  <c r="D56" i="1"/>
  <c r="D57" i="1" s="1"/>
  <c r="N12" i="87"/>
  <c r="N23" i="87"/>
  <c r="AE12" i="87"/>
  <c r="AN23" i="87"/>
  <c r="N95" i="1"/>
  <c r="AG92" i="1"/>
  <c r="L23" i="87"/>
  <c r="X18" i="87"/>
  <c r="AA18" i="87" s="1"/>
  <c r="AO7" i="87"/>
  <c r="AO12" i="87" s="1"/>
  <c r="D23" i="87"/>
  <c r="V12" i="87"/>
  <c r="D12" i="87"/>
  <c r="AM23" i="87"/>
  <c r="D63" i="1"/>
  <c r="E120" i="1" s="1"/>
  <c r="AG12" i="87"/>
  <c r="AE23" i="87"/>
  <c r="AO23" i="87"/>
  <c r="M12" i="87"/>
  <c r="O12" i="87"/>
  <c r="AD23" i="87"/>
  <c r="AF21" i="87"/>
  <c r="AF23" i="87" s="1"/>
  <c r="AD112" i="1"/>
  <c r="AG23" i="87"/>
  <c r="AP23" i="87"/>
  <c r="AP12" i="87"/>
  <c r="AF12" i="87"/>
  <c r="AD12" i="87"/>
  <c r="X12" i="87"/>
  <c r="W12" i="87"/>
  <c r="M23" i="87"/>
  <c r="L12" i="87"/>
  <c r="F12" i="87"/>
  <c r="C12" i="87"/>
  <c r="AD50" i="1"/>
  <c r="AE69" i="1"/>
  <c r="N75" i="1"/>
  <c r="AD70" i="1"/>
  <c r="AE70" i="1" s="1"/>
  <c r="M95" i="1"/>
  <c r="J95" i="1"/>
  <c r="AD89" i="1"/>
  <c r="AD108" i="1"/>
  <c r="J114" i="1"/>
  <c r="AE108" i="1" l="1"/>
  <c r="AG108" i="1" s="1"/>
  <c r="AE50" i="1"/>
  <c r="J6" i="50"/>
  <c r="E55" i="57" s="1"/>
  <c r="E117" i="1"/>
  <c r="C123" i="1"/>
  <c r="AH114" i="1"/>
  <c r="C65" i="1"/>
  <c r="N57" i="1"/>
  <c r="D96" i="1"/>
  <c r="AU10" i="87"/>
  <c r="N96" i="1"/>
  <c r="F119" i="1"/>
  <c r="D61" i="1"/>
  <c r="AL10" i="87"/>
  <c r="E89" i="60"/>
  <c r="E90" i="60" s="1"/>
  <c r="BN7" i="87"/>
  <c r="BN12" i="87" s="1"/>
  <c r="AU21" i="87"/>
  <c r="AL7" i="87"/>
  <c r="AU18" i="87"/>
  <c r="AS23" i="87"/>
  <c r="AM12" i="87"/>
  <c r="AS7" i="87"/>
  <c r="AL18" i="87"/>
  <c r="AJ21" i="87"/>
  <c r="AL21" i="87" s="1"/>
  <c r="AC21" i="87"/>
  <c r="T10" i="87"/>
  <c r="AJ12" i="87"/>
  <c r="AC10" i="87"/>
  <c r="AC7" i="87"/>
  <c r="AA12" i="87"/>
  <c r="X23" i="87"/>
  <c r="AA23" i="87"/>
  <c r="AC18" i="87"/>
  <c r="K7" i="87"/>
  <c r="R12" i="87"/>
  <c r="T21" i="87"/>
  <c r="T7" i="87"/>
  <c r="K10" i="87"/>
  <c r="R17" i="87"/>
  <c r="T18" i="87" s="1"/>
  <c r="I12" i="87"/>
  <c r="K12" i="87" s="1"/>
  <c r="E99" i="1"/>
  <c r="E101" i="1"/>
  <c r="E97" i="1"/>
  <c r="E63" i="1"/>
  <c r="F63" i="1" s="1"/>
  <c r="F120" i="1"/>
  <c r="D23" i="1"/>
  <c r="E78" i="1" s="1"/>
  <c r="AG109" i="1"/>
  <c r="AG93" i="1"/>
  <c r="AG54" i="1"/>
  <c r="AG53" i="1"/>
  <c r="M114" i="1"/>
  <c r="L194" i="56"/>
  <c r="F101" i="60"/>
  <c r="G56" i="59"/>
  <c r="AE112" i="1"/>
  <c r="J5" i="53" s="1"/>
  <c r="J7" i="53" s="1"/>
  <c r="M56" i="1"/>
  <c r="AG69" i="1"/>
  <c r="AE89" i="1"/>
  <c r="AG89" i="1" s="1"/>
  <c r="F55" i="57" l="1"/>
  <c r="H55" i="57" s="1"/>
  <c r="B39" i="85"/>
  <c r="K39" i="85" s="1"/>
  <c r="L39" i="85" s="1"/>
  <c r="E61" i="57"/>
  <c r="E80" i="1"/>
  <c r="AS12" i="87"/>
  <c r="AU7" i="87"/>
  <c r="AJ23" i="87"/>
  <c r="R23" i="87"/>
  <c r="E68" i="57"/>
  <c r="AG50" i="1"/>
  <c r="E57" i="59"/>
  <c r="G57" i="59" s="1"/>
  <c r="AG112" i="1"/>
  <c r="E66" i="57"/>
  <c r="G66" i="57" s="1"/>
  <c r="B64" i="85" l="1"/>
  <c r="G68" i="57"/>
  <c r="H22" i="69"/>
  <c r="H35" i="69" l="1"/>
  <c r="H20" i="69"/>
  <c r="H32" i="69" s="1"/>
  <c r="E96" i="56"/>
  <c r="E143" i="56" s="1"/>
  <c r="F23" i="69"/>
  <c r="H21" i="69"/>
  <c r="H27" i="69" s="1"/>
  <c r="D81" i="1"/>
  <c r="E100" i="1" l="1"/>
  <c r="F100" i="1" s="1"/>
  <c r="F80" i="1"/>
  <c r="E61" i="1"/>
  <c r="F61" i="1" s="1"/>
  <c r="I18" i="1"/>
  <c r="G18" i="1"/>
  <c r="F18" i="1"/>
  <c r="D7" i="51"/>
  <c r="D28" i="50"/>
  <c r="AF52" i="1" s="1"/>
  <c r="K6" i="51"/>
  <c r="K5" i="51"/>
  <c r="J7" i="51"/>
  <c r="K4" i="51"/>
  <c r="K6" i="50"/>
  <c r="K5" i="50"/>
  <c r="J7" i="50"/>
  <c r="AH52" i="1" l="1"/>
  <c r="E28" i="50"/>
  <c r="AF188" i="1"/>
  <c r="F28" i="85"/>
  <c r="AV31" i="76"/>
  <c r="AW31" i="76" s="1"/>
  <c r="L64" i="85"/>
  <c r="M64" i="85" s="1"/>
  <c r="AF56" i="1"/>
  <c r="AV28" i="99"/>
  <c r="AW28" i="99" s="1"/>
  <c r="F65" i="57"/>
  <c r="H37" i="69"/>
  <c r="H38" i="69" s="1"/>
  <c r="D117" i="1"/>
  <c r="F7" i="51"/>
  <c r="K4" i="50"/>
  <c r="K7" i="50" s="1"/>
  <c r="K7" i="51"/>
  <c r="I7" i="53"/>
  <c r="I7" i="51"/>
  <c r="AH56" i="1" l="1"/>
  <c r="F71" i="57"/>
  <c r="L193" i="56"/>
  <c r="AJ188" i="1"/>
  <c r="AJ192" i="1" s="1"/>
  <c r="AF192" i="1"/>
  <c r="N9" i="85"/>
  <c r="E25" i="1"/>
  <c r="F25" i="1" s="1"/>
  <c r="C38" i="55"/>
  <c r="H31" i="69"/>
  <c r="H33" i="69" s="1"/>
  <c r="H39" i="69" s="1"/>
  <c r="F117" i="1"/>
  <c r="J121" i="14"/>
  <c r="Q114" i="14"/>
  <c r="K6" i="52"/>
  <c r="I7" i="52"/>
  <c r="H42" i="69" l="1"/>
  <c r="H43" i="69" s="1"/>
  <c r="H42" i="122"/>
  <c r="H43" i="122" s="1"/>
  <c r="H297" i="80"/>
  <c r="I297" i="80" s="1"/>
  <c r="H296" i="80"/>
  <c r="I296" i="80" s="1"/>
  <c r="H292" i="80"/>
  <c r="K292" i="80" s="1"/>
  <c r="H291" i="80"/>
  <c r="K291" i="80" s="1"/>
  <c r="F289" i="80"/>
  <c r="F156" i="80"/>
  <c r="E156" i="80"/>
  <c r="E290" i="80" s="1"/>
  <c r="F88" i="80"/>
  <c r="F19" i="80"/>
  <c r="AP82" i="78"/>
  <c r="AN82" i="78"/>
  <c r="AJ82" i="78"/>
  <c r="AG82" i="78"/>
  <c r="AE82" i="78"/>
  <c r="AC82" i="78"/>
  <c r="Y82" i="78"/>
  <c r="W82" i="78"/>
  <c r="V82" i="78"/>
  <c r="S82" i="78"/>
  <c r="R82" i="78"/>
  <c r="Q82" i="78"/>
  <c r="X81" i="78"/>
  <c r="AN80" i="78"/>
  <c r="AJ80" i="78"/>
  <c r="AG80" i="78"/>
  <c r="AE80" i="78"/>
  <c r="AC80" i="78"/>
  <c r="Y80" i="78"/>
  <c r="W80" i="78"/>
  <c r="V80" i="78"/>
  <c r="S80" i="78"/>
  <c r="R80" i="78"/>
  <c r="Q80" i="78"/>
  <c r="C73" i="78"/>
  <c r="C74" i="78" s="1"/>
  <c r="B74" i="78"/>
  <c r="AS5" i="78"/>
  <c r="AR5" i="78"/>
  <c r="AQ5" i="78"/>
  <c r="AP5" i="78"/>
  <c r="AO5" i="78"/>
  <c r="AM5" i="78"/>
  <c r="AL5" i="78"/>
  <c r="AK5" i="78"/>
  <c r="AJ5" i="78"/>
  <c r="AI5" i="78"/>
  <c r="AH5" i="78"/>
  <c r="AG5" i="78"/>
  <c r="AF5" i="78"/>
  <c r="AE5" i="78"/>
  <c r="AD5" i="78"/>
  <c r="AC5" i="78"/>
  <c r="AB5" i="78"/>
  <c r="AA5" i="78"/>
  <c r="Z5" i="78"/>
  <c r="Y5" i="78"/>
  <c r="X5" i="78"/>
  <c r="W5" i="78"/>
  <c r="V5" i="78"/>
  <c r="U5" i="78"/>
  <c r="T5" i="78"/>
  <c r="S5" i="78"/>
  <c r="R5" i="78"/>
  <c r="Q5" i="78"/>
  <c r="P5" i="78"/>
  <c r="O5" i="78"/>
  <c r="N5" i="78"/>
  <c r="M5" i="78"/>
  <c r="L5" i="78"/>
  <c r="K5" i="78"/>
  <c r="J5" i="78"/>
  <c r="I5" i="78"/>
  <c r="H5" i="78"/>
  <c r="G5" i="78"/>
  <c r="F5" i="78"/>
  <c r="E5" i="78"/>
  <c r="D5" i="78"/>
  <c r="C5" i="78"/>
  <c r="B5" i="78"/>
  <c r="AM4" i="78"/>
  <c r="AL4" i="78"/>
  <c r="AK4" i="78"/>
  <c r="AJ4" i="78"/>
  <c r="AI4" i="78"/>
  <c r="AH4" i="78"/>
  <c r="AG4" i="78"/>
  <c r="AF4" i="78"/>
  <c r="AE4" i="78"/>
  <c r="AD4" i="78"/>
  <c r="AC4" i="78"/>
  <c r="AB4" i="78"/>
  <c r="AA4" i="78"/>
  <c r="Z4" i="78"/>
  <c r="Y4" i="78"/>
  <c r="X4" i="78"/>
  <c r="W4" i="78"/>
  <c r="V4" i="78"/>
  <c r="U4" i="78"/>
  <c r="T4" i="78"/>
  <c r="S4" i="78"/>
  <c r="R4" i="78"/>
  <c r="Q4" i="78"/>
  <c r="P4" i="78"/>
  <c r="O4" i="78"/>
  <c r="N4" i="78"/>
  <c r="M4" i="78"/>
  <c r="L4" i="78"/>
  <c r="K4" i="78"/>
  <c r="J4" i="78"/>
  <c r="I4" i="78"/>
  <c r="H4" i="78"/>
  <c r="G4" i="78"/>
  <c r="F4" i="78"/>
  <c r="E4" i="78"/>
  <c r="D4" i="78"/>
  <c r="C4" i="78"/>
  <c r="B4" i="78"/>
  <c r="AN70" i="78"/>
  <c r="AM70" i="78"/>
  <c r="AL70" i="78"/>
  <c r="AH70" i="78"/>
  <c r="AG70" i="78"/>
  <c r="AF70" i="78"/>
  <c r="AE70" i="78"/>
  <c r="AD70" i="78"/>
  <c r="AA70" i="78"/>
  <c r="AB70" i="78" s="1"/>
  <c r="AC70" i="78" s="1"/>
  <c r="X70" i="78"/>
  <c r="U70" i="78"/>
  <c r="R70" i="78"/>
  <c r="Q70" i="78"/>
  <c r="P70" i="78"/>
  <c r="O70" i="78"/>
  <c r="N70" i="78"/>
  <c r="M70" i="78"/>
  <c r="L70" i="78"/>
  <c r="K70" i="78"/>
  <c r="J70" i="78"/>
  <c r="I70" i="78"/>
  <c r="H70" i="78"/>
  <c r="G70" i="78"/>
  <c r="F70" i="78"/>
  <c r="E70" i="78"/>
  <c r="D70" i="78"/>
  <c r="C70" i="78"/>
  <c r="B70" i="78"/>
  <c r="AM2" i="78"/>
  <c r="AL2" i="78"/>
  <c r="AK2" i="78"/>
  <c r="AJ2" i="78"/>
  <c r="AI2" i="78"/>
  <c r="AH2" i="78"/>
  <c r="AG2" i="78"/>
  <c r="AF2" i="78"/>
  <c r="AE2" i="78"/>
  <c r="AD2" i="78"/>
  <c r="AC2" i="78"/>
  <c r="AB2" i="78"/>
  <c r="AA2" i="78"/>
  <c r="Z2" i="78"/>
  <c r="Y2" i="78"/>
  <c r="X2" i="78"/>
  <c r="W2" i="78"/>
  <c r="V2" i="78"/>
  <c r="U2" i="78"/>
  <c r="T2" i="78"/>
  <c r="S2" i="78"/>
  <c r="R2" i="78"/>
  <c r="Q2" i="78"/>
  <c r="P2" i="78"/>
  <c r="O2" i="78"/>
  <c r="N2" i="78"/>
  <c r="M2" i="78"/>
  <c r="L2" i="78"/>
  <c r="K2" i="78"/>
  <c r="J2" i="78"/>
  <c r="I2" i="78"/>
  <c r="H2" i="78"/>
  <c r="G2" i="78"/>
  <c r="F2" i="78"/>
  <c r="E2" i="78"/>
  <c r="D2" i="78"/>
  <c r="C2" i="78"/>
  <c r="B2" i="78"/>
  <c r="W70" i="78" l="1"/>
  <c r="V70" i="78"/>
  <c r="Y70" i="78"/>
  <c r="AK70" i="78"/>
  <c r="T70" i="78"/>
  <c r="S70" i="78"/>
  <c r="K296" i="80"/>
  <c r="K297" i="80"/>
  <c r="F290" i="80"/>
  <c r="K283" i="80"/>
  <c r="K284" i="80"/>
  <c r="L284" i="80" s="1"/>
  <c r="D73" i="78"/>
  <c r="E73" i="78" s="1"/>
  <c r="F73" i="78" s="1"/>
  <c r="F74" i="78" s="1"/>
  <c r="G29" i="78"/>
  <c r="O29" i="78"/>
  <c r="J29" i="78"/>
  <c r="E29" i="78"/>
  <c r="M29" i="78"/>
  <c r="K29" i="78"/>
  <c r="S31" i="78"/>
  <c r="C29" i="78"/>
  <c r="R29" i="78"/>
  <c r="N29" i="78"/>
  <c r="D29" i="78"/>
  <c r="I29" i="78"/>
  <c r="Q29" i="78"/>
  <c r="H29" i="78"/>
  <c r="P29" i="78"/>
  <c r="L29" i="78"/>
  <c r="B29" i="78"/>
  <c r="AO80" i="78"/>
  <c r="F29" i="78"/>
  <c r="AW30" i="78"/>
  <c r="AP82" i="77"/>
  <c r="AG82" i="77"/>
  <c r="AE82" i="77"/>
  <c r="AC82" i="77"/>
  <c r="Y82" i="77"/>
  <c r="W82" i="77"/>
  <c r="V82" i="77"/>
  <c r="S82" i="77"/>
  <c r="R82" i="77"/>
  <c r="Q82" i="77"/>
  <c r="X81" i="77"/>
  <c r="AG80" i="77"/>
  <c r="AE80" i="77"/>
  <c r="AC80" i="77"/>
  <c r="Y80" i="77"/>
  <c r="W80" i="77"/>
  <c r="V80" i="77"/>
  <c r="S80" i="77"/>
  <c r="R80" i="77"/>
  <c r="Q80" i="77"/>
  <c r="C73" i="77"/>
  <c r="AT5" i="77"/>
  <c r="AS5" i="77"/>
  <c r="AR5" i="77"/>
  <c r="AQ5" i="77"/>
  <c r="AP5" i="77"/>
  <c r="AN5" i="77"/>
  <c r="AM5" i="77"/>
  <c r="AL5" i="77"/>
  <c r="AK5" i="77"/>
  <c r="AJ5" i="77"/>
  <c r="AI5" i="77"/>
  <c r="AH5" i="77"/>
  <c r="AG5" i="77"/>
  <c r="AF5" i="77"/>
  <c r="AE5" i="77"/>
  <c r="AD5" i="77"/>
  <c r="AC5" i="77"/>
  <c r="AB5" i="77"/>
  <c r="AA5" i="77"/>
  <c r="Z5" i="77"/>
  <c r="Y5" i="77"/>
  <c r="X5" i="77"/>
  <c r="W5" i="77"/>
  <c r="V5" i="77"/>
  <c r="U5" i="77"/>
  <c r="T5" i="77"/>
  <c r="S5" i="77"/>
  <c r="R5" i="77"/>
  <c r="Q5" i="77"/>
  <c r="P5" i="77"/>
  <c r="O5" i="77"/>
  <c r="N5" i="77"/>
  <c r="M5" i="77"/>
  <c r="L5" i="77"/>
  <c r="K5" i="77"/>
  <c r="J5" i="77"/>
  <c r="I5" i="77"/>
  <c r="H5" i="77"/>
  <c r="G5" i="77"/>
  <c r="F5" i="77"/>
  <c r="E5" i="77"/>
  <c r="D5" i="77"/>
  <c r="C5" i="77"/>
  <c r="B5" i="77"/>
  <c r="AN4" i="77"/>
  <c r="AM4" i="77"/>
  <c r="AL4" i="77"/>
  <c r="AK4" i="77"/>
  <c r="AJ4" i="77"/>
  <c r="AI4" i="77"/>
  <c r="AH4" i="77"/>
  <c r="AG4" i="77"/>
  <c r="AF4" i="77"/>
  <c r="AE4" i="77"/>
  <c r="AD4" i="77"/>
  <c r="AC4" i="77"/>
  <c r="AB4" i="77"/>
  <c r="AA4" i="77"/>
  <c r="Z4" i="77"/>
  <c r="Y4" i="77"/>
  <c r="X4" i="77"/>
  <c r="W4" i="77"/>
  <c r="V4" i="77"/>
  <c r="U4" i="77"/>
  <c r="T4" i="77"/>
  <c r="S4" i="77"/>
  <c r="R4" i="77"/>
  <c r="Q4" i="77"/>
  <c r="P4" i="77"/>
  <c r="O4" i="77"/>
  <c r="N4" i="77"/>
  <c r="M4" i="77"/>
  <c r="L4" i="77"/>
  <c r="K4" i="77"/>
  <c r="J4" i="77"/>
  <c r="I4" i="77"/>
  <c r="H4" i="77"/>
  <c r="G4" i="77"/>
  <c r="F4" i="77"/>
  <c r="E4" i="77"/>
  <c r="D4" i="77"/>
  <c r="C4" i="77"/>
  <c r="B4" i="77"/>
  <c r="AH70" i="77"/>
  <c r="AG70" i="77"/>
  <c r="AF70" i="77"/>
  <c r="AE70" i="77"/>
  <c r="AD70" i="77"/>
  <c r="AA70" i="77"/>
  <c r="AB70" i="77" s="1"/>
  <c r="AC70" i="77" s="1"/>
  <c r="Z70" i="77"/>
  <c r="Y70" i="77"/>
  <c r="X70" i="77"/>
  <c r="U70" i="77"/>
  <c r="R70" i="77"/>
  <c r="Q70" i="77"/>
  <c r="P70" i="77"/>
  <c r="O70" i="77"/>
  <c r="N70" i="77"/>
  <c r="M70" i="77"/>
  <c r="L70" i="77"/>
  <c r="K70" i="77"/>
  <c r="J70" i="77"/>
  <c r="I70" i="77"/>
  <c r="H70" i="77"/>
  <c r="G70" i="77"/>
  <c r="F70" i="77"/>
  <c r="E70" i="77"/>
  <c r="D70" i="77"/>
  <c r="C70" i="77"/>
  <c r="B70" i="77"/>
  <c r="AN2" i="77"/>
  <c r="AM2" i="77"/>
  <c r="AL2" i="77"/>
  <c r="AK2" i="77"/>
  <c r="AJ2" i="77"/>
  <c r="AI2" i="77"/>
  <c r="AH2" i="77"/>
  <c r="AG2" i="77"/>
  <c r="AF2" i="77"/>
  <c r="AE2" i="77"/>
  <c r="AD2" i="77"/>
  <c r="AC2" i="77"/>
  <c r="AB2" i="77"/>
  <c r="AA2" i="77"/>
  <c r="Z2" i="77"/>
  <c r="Y2" i="77"/>
  <c r="X2" i="77"/>
  <c r="W2" i="77"/>
  <c r="V2" i="77"/>
  <c r="U2" i="77"/>
  <c r="T2" i="77"/>
  <c r="S2" i="77"/>
  <c r="R2" i="77"/>
  <c r="Q2" i="77"/>
  <c r="P2" i="77"/>
  <c r="O2" i="77"/>
  <c r="N2" i="77"/>
  <c r="M2" i="77"/>
  <c r="L2" i="77"/>
  <c r="K2" i="77"/>
  <c r="J2" i="77"/>
  <c r="I2" i="77"/>
  <c r="H2" i="77"/>
  <c r="G2" i="77"/>
  <c r="F2" i="77"/>
  <c r="E2" i="77"/>
  <c r="D2" i="77"/>
  <c r="C2" i="77"/>
  <c r="B2" i="77"/>
  <c r="AO80" i="77" l="1"/>
  <c r="AP80" i="77" s="1"/>
  <c r="AJ70" i="78"/>
  <c r="AI70" i="78"/>
  <c r="Z70" i="78"/>
  <c r="W70" i="77"/>
  <c r="V70" i="77"/>
  <c r="T70" i="77"/>
  <c r="S70" i="77"/>
  <c r="D74" i="78"/>
  <c r="G73" i="78"/>
  <c r="G74" i="78" s="1"/>
  <c r="E74" i="78"/>
  <c r="M29" i="77"/>
  <c r="N29" i="77"/>
  <c r="K29" i="77"/>
  <c r="F29" i="77"/>
  <c r="H29" i="77"/>
  <c r="P29" i="77"/>
  <c r="AP80" i="78"/>
  <c r="AP81" i="78"/>
  <c r="AP83" i="78" s="1"/>
  <c r="G29" i="77"/>
  <c r="O29" i="77"/>
  <c r="Q29" i="77"/>
  <c r="I29" i="77"/>
  <c r="D29" i="77"/>
  <c r="L29" i="77"/>
  <c r="E29" i="77"/>
  <c r="D73" i="77"/>
  <c r="E73" i="77" s="1"/>
  <c r="C74" i="77"/>
  <c r="B29" i="77"/>
  <c r="J29" i="77"/>
  <c r="R29" i="77"/>
  <c r="C29" i="77"/>
  <c r="AW30" i="77"/>
  <c r="AP82" i="76"/>
  <c r="AN82" i="76"/>
  <c r="AJ82" i="76"/>
  <c r="AG82" i="76"/>
  <c r="AE82" i="76"/>
  <c r="AC82" i="76"/>
  <c r="Y82" i="76"/>
  <c r="W82" i="76"/>
  <c r="V82" i="76"/>
  <c r="S82" i="76"/>
  <c r="R82" i="76"/>
  <c r="Q82" i="76"/>
  <c r="X81" i="76"/>
  <c r="AN80" i="76"/>
  <c r="AJ80" i="76"/>
  <c r="AG80" i="76"/>
  <c r="AE80" i="76"/>
  <c r="AC80" i="76"/>
  <c r="Y80" i="76"/>
  <c r="W80" i="76"/>
  <c r="V80" i="76"/>
  <c r="S80" i="76"/>
  <c r="R80" i="76"/>
  <c r="Q80" i="76"/>
  <c r="C73" i="76"/>
  <c r="R11" i="76"/>
  <c r="Q11" i="76"/>
  <c r="P11" i="76"/>
  <c r="O11" i="76"/>
  <c r="N11" i="76"/>
  <c r="M11" i="76"/>
  <c r="L11" i="76"/>
  <c r="K11" i="76"/>
  <c r="J11" i="76"/>
  <c r="I11" i="76"/>
  <c r="H11" i="76"/>
  <c r="G11" i="76"/>
  <c r="F11" i="76"/>
  <c r="E11" i="76"/>
  <c r="D11" i="76"/>
  <c r="C11" i="76"/>
  <c r="B11" i="76"/>
  <c r="AS5" i="76"/>
  <c r="AR5" i="76"/>
  <c r="AQ5" i="76"/>
  <c r="AP5" i="76"/>
  <c r="AN5" i="76"/>
  <c r="AM5" i="76"/>
  <c r="AL5" i="76"/>
  <c r="AK5" i="76"/>
  <c r="AJ5" i="76"/>
  <c r="AI5" i="76"/>
  <c r="AH5" i="76"/>
  <c r="AG5" i="76"/>
  <c r="AF5" i="76"/>
  <c r="AE5" i="76"/>
  <c r="AD5" i="76"/>
  <c r="AC5" i="76"/>
  <c r="AB5" i="76"/>
  <c r="AA5" i="76"/>
  <c r="Z5" i="76"/>
  <c r="Y5" i="76"/>
  <c r="X5" i="76"/>
  <c r="W5" i="76"/>
  <c r="V5" i="76"/>
  <c r="U5" i="76"/>
  <c r="T5" i="76"/>
  <c r="S5" i="76"/>
  <c r="R5" i="76"/>
  <c r="Q5" i="76"/>
  <c r="P5" i="76"/>
  <c r="O5" i="76"/>
  <c r="N5" i="76"/>
  <c r="M5" i="76"/>
  <c r="L5" i="76"/>
  <c r="K5" i="76"/>
  <c r="J5" i="76"/>
  <c r="I5" i="76"/>
  <c r="H5" i="76"/>
  <c r="G5" i="76"/>
  <c r="F5" i="76"/>
  <c r="E5" i="76"/>
  <c r="D5" i="76"/>
  <c r="C5" i="76"/>
  <c r="B5" i="76"/>
  <c r="AN4" i="76"/>
  <c r="AM4" i="76"/>
  <c r="AL4" i="76"/>
  <c r="AK4" i="76"/>
  <c r="AJ4" i="76"/>
  <c r="AI4" i="76"/>
  <c r="AH4" i="76"/>
  <c r="AG4" i="76"/>
  <c r="AF4" i="76"/>
  <c r="AE4" i="76"/>
  <c r="AD4" i="76"/>
  <c r="AC4" i="76"/>
  <c r="AB4" i="76"/>
  <c r="AA4" i="76"/>
  <c r="Z4" i="76"/>
  <c r="Y4" i="76"/>
  <c r="X4" i="76"/>
  <c r="W4" i="76"/>
  <c r="V4" i="76"/>
  <c r="U4" i="76"/>
  <c r="T4" i="76"/>
  <c r="S4" i="76"/>
  <c r="R4" i="76"/>
  <c r="Q4" i="76"/>
  <c r="P4" i="76"/>
  <c r="O4" i="76"/>
  <c r="N4" i="76"/>
  <c r="M4" i="76"/>
  <c r="L4" i="76"/>
  <c r="K4" i="76"/>
  <c r="J4" i="76"/>
  <c r="I4" i="76"/>
  <c r="H4" i="76"/>
  <c r="G4" i="76"/>
  <c r="F4" i="76"/>
  <c r="E4" i="76"/>
  <c r="D4" i="76"/>
  <c r="C4" i="76"/>
  <c r="B4" i="76"/>
  <c r="AN70" i="76"/>
  <c r="AM70" i="76"/>
  <c r="AL70" i="76"/>
  <c r="AI70" i="76"/>
  <c r="AH70" i="76"/>
  <c r="AG70" i="76"/>
  <c r="AF70" i="76"/>
  <c r="AE70" i="76"/>
  <c r="AD70" i="76"/>
  <c r="AA70" i="76"/>
  <c r="AB70" i="76" s="1"/>
  <c r="AC70" i="76" s="1"/>
  <c r="Z70" i="76"/>
  <c r="Y70" i="76"/>
  <c r="X70" i="76"/>
  <c r="U70" i="76"/>
  <c r="R70" i="76"/>
  <c r="Q70" i="76"/>
  <c r="P70" i="76"/>
  <c r="O70" i="76"/>
  <c r="N70" i="76"/>
  <c r="M70" i="76"/>
  <c r="L70" i="76"/>
  <c r="K70" i="76"/>
  <c r="J70" i="76"/>
  <c r="I70" i="76"/>
  <c r="H70" i="76"/>
  <c r="G70" i="76"/>
  <c r="F70" i="76"/>
  <c r="E70" i="76"/>
  <c r="D70" i="76"/>
  <c r="C70" i="76"/>
  <c r="B70" i="76"/>
  <c r="AN2" i="76"/>
  <c r="AM2" i="76"/>
  <c r="AL2" i="76"/>
  <c r="AK2" i="76"/>
  <c r="AJ2" i="76"/>
  <c r="AI2" i="76"/>
  <c r="AH2" i="76"/>
  <c r="AG2" i="76"/>
  <c r="AF2" i="76"/>
  <c r="AE2" i="76"/>
  <c r="AD2" i="76"/>
  <c r="AC2" i="76"/>
  <c r="AB2" i="76"/>
  <c r="AA2" i="76"/>
  <c r="Z2" i="76"/>
  <c r="Y2" i="76"/>
  <c r="X2" i="76"/>
  <c r="W2" i="76"/>
  <c r="V2" i="76"/>
  <c r="U2" i="76"/>
  <c r="T2" i="76"/>
  <c r="S2" i="76"/>
  <c r="R2" i="76"/>
  <c r="Q2" i="76"/>
  <c r="P2" i="76"/>
  <c r="O2" i="76"/>
  <c r="N2" i="76"/>
  <c r="M2" i="76"/>
  <c r="L2" i="76"/>
  <c r="K2" i="76"/>
  <c r="J2" i="76"/>
  <c r="I2" i="76"/>
  <c r="H2" i="76"/>
  <c r="G2" i="76"/>
  <c r="F2" i="76"/>
  <c r="E2" i="76"/>
  <c r="D2" i="76"/>
  <c r="C2" i="76"/>
  <c r="B2" i="76"/>
  <c r="AW15" i="88"/>
  <c r="AP82" i="63"/>
  <c r="AN82" i="63"/>
  <c r="AJ82" i="63"/>
  <c r="AG82" i="63"/>
  <c r="AE82" i="63"/>
  <c r="AC82" i="63"/>
  <c r="Y82" i="63"/>
  <c r="W82" i="63"/>
  <c r="V82" i="63"/>
  <c r="S82" i="63"/>
  <c r="R82" i="63"/>
  <c r="Q82" i="63"/>
  <c r="X81" i="63"/>
  <c r="AN80" i="63"/>
  <c r="AJ80" i="63"/>
  <c r="AG80" i="63"/>
  <c r="AE80" i="63"/>
  <c r="AC80" i="63"/>
  <c r="Y80" i="63"/>
  <c r="W80" i="63"/>
  <c r="V80" i="63"/>
  <c r="S80" i="63"/>
  <c r="R80" i="63"/>
  <c r="Q80" i="63"/>
  <c r="C73" i="63"/>
  <c r="C74" i="63" s="1"/>
  <c r="N29" i="63"/>
  <c r="L29" i="63"/>
  <c r="H29" i="63"/>
  <c r="G29" i="63"/>
  <c r="F29" i="63"/>
  <c r="D29" i="63"/>
  <c r="C5" i="63"/>
  <c r="D5" i="63" s="1"/>
  <c r="E5" i="63" s="1"/>
  <c r="F5" i="63" s="1"/>
  <c r="G5" i="63" s="1"/>
  <c r="H5" i="63" s="1"/>
  <c r="I5" i="63" s="1"/>
  <c r="J5" i="63" s="1"/>
  <c r="K5" i="63" s="1"/>
  <c r="L5" i="63" s="1"/>
  <c r="M5" i="63" s="1"/>
  <c r="N5" i="63" s="1"/>
  <c r="O5" i="63" s="1"/>
  <c r="P5" i="63" s="1"/>
  <c r="Q5" i="63" s="1"/>
  <c r="R5" i="63" s="1"/>
  <c r="S5" i="63" s="1"/>
  <c r="T5" i="63" s="1"/>
  <c r="U5" i="63" s="1"/>
  <c r="V5" i="63" s="1"/>
  <c r="W5" i="63" s="1"/>
  <c r="X5" i="63" s="1"/>
  <c r="Y5" i="63" s="1"/>
  <c r="Z5" i="63" s="1"/>
  <c r="AA5" i="63" s="1"/>
  <c r="AB5" i="63" s="1"/>
  <c r="AC5" i="63" s="1"/>
  <c r="AD5" i="63" s="1"/>
  <c r="AE5" i="63" s="1"/>
  <c r="AF5" i="63" s="1"/>
  <c r="AG5" i="63" s="1"/>
  <c r="AH5" i="63" s="1"/>
  <c r="AI5" i="63" s="1"/>
  <c r="AJ5" i="63" s="1"/>
  <c r="AK5" i="63" s="1"/>
  <c r="AL5" i="63" s="1"/>
  <c r="AM5" i="63" s="1"/>
  <c r="AN5" i="63" s="1"/>
  <c r="AO5" i="63" s="1"/>
  <c r="AG4" i="63"/>
  <c r="AH4" i="63" s="1"/>
  <c r="AI4" i="63" s="1"/>
  <c r="AJ4" i="63" s="1"/>
  <c r="AK4" i="63" s="1"/>
  <c r="AL4" i="63" s="1"/>
  <c r="AM4" i="63" s="1"/>
  <c r="AN4" i="63" s="1"/>
  <c r="AO4" i="63" s="1"/>
  <c r="T4" i="63"/>
  <c r="U4" i="63" s="1"/>
  <c r="V4" i="63" s="1"/>
  <c r="W4" i="63" s="1"/>
  <c r="X4" i="63" s="1"/>
  <c r="Y4" i="63" s="1"/>
  <c r="Z4" i="63" s="1"/>
  <c r="AA4" i="63" s="1"/>
  <c r="AB4" i="63" s="1"/>
  <c r="AC4" i="63" s="1"/>
  <c r="AD4" i="63" s="1"/>
  <c r="AE4" i="63" s="1"/>
  <c r="R4" i="63"/>
  <c r="Q4" i="63" s="1"/>
  <c r="P4" i="63" s="1"/>
  <c r="O4" i="63" s="1"/>
  <c r="N4" i="63" s="1"/>
  <c r="M4" i="63" s="1"/>
  <c r="L4" i="63" s="1"/>
  <c r="K4" i="63" s="1"/>
  <c r="J4" i="63" s="1"/>
  <c r="I4" i="63" s="1"/>
  <c r="H4" i="63" s="1"/>
  <c r="G4" i="63" s="1"/>
  <c r="F4" i="63" s="1"/>
  <c r="E4" i="63" s="1"/>
  <c r="D4" i="63" s="1"/>
  <c r="C4" i="63" s="1"/>
  <c r="B4" i="63" s="1"/>
  <c r="C2" i="63"/>
  <c r="D2" i="63" s="1"/>
  <c r="E2" i="63" s="1"/>
  <c r="F2" i="63" s="1"/>
  <c r="G2" i="63" s="1"/>
  <c r="H2" i="63" s="1"/>
  <c r="I2" i="63" s="1"/>
  <c r="J2" i="63" s="1"/>
  <c r="K2" i="63" s="1"/>
  <c r="L2" i="63" s="1"/>
  <c r="M2" i="63" s="1"/>
  <c r="N2" i="63" s="1"/>
  <c r="O2" i="63" s="1"/>
  <c r="P2" i="63" s="1"/>
  <c r="Q2" i="63" s="1"/>
  <c r="R2" i="63" s="1"/>
  <c r="S2" i="63" s="1"/>
  <c r="T2" i="63" s="1"/>
  <c r="U2" i="63" s="1"/>
  <c r="V2" i="63" s="1"/>
  <c r="W2" i="63" s="1"/>
  <c r="X2" i="63" s="1"/>
  <c r="Y2" i="63" s="1"/>
  <c r="Z2" i="63" s="1"/>
  <c r="AA2" i="63" s="1"/>
  <c r="AB2" i="63" s="1"/>
  <c r="AC2" i="63" s="1"/>
  <c r="AD2" i="63" s="1"/>
  <c r="AE2" i="63" s="1"/>
  <c r="AF2" i="63" s="1"/>
  <c r="AG2" i="63" s="1"/>
  <c r="AH2" i="63" s="1"/>
  <c r="AI2" i="63" s="1"/>
  <c r="AJ2" i="63" s="1"/>
  <c r="AK2" i="63" s="1"/>
  <c r="AL2" i="63" s="1"/>
  <c r="AM2" i="63" s="1"/>
  <c r="AN2" i="63" s="1"/>
  <c r="AO2" i="63" s="1"/>
  <c r="W70" i="76" l="1"/>
  <c r="V70" i="76"/>
  <c r="AK70" i="76"/>
  <c r="AJ70" i="76"/>
  <c r="T70" i="76"/>
  <c r="S70" i="76"/>
  <c r="AW16" i="88"/>
  <c r="AW17" i="88"/>
  <c r="I30" i="88"/>
  <c r="Q30" i="88"/>
  <c r="J30" i="88"/>
  <c r="R30" i="88"/>
  <c r="C30" i="88"/>
  <c r="K30" i="88"/>
  <c r="D30" i="88"/>
  <c r="L30" i="88"/>
  <c r="E30" i="88"/>
  <c r="M30" i="88"/>
  <c r="F30" i="88"/>
  <c r="N30" i="88"/>
  <c r="G30" i="88"/>
  <c r="O30" i="88"/>
  <c r="H30" i="88"/>
  <c r="P30" i="88"/>
  <c r="H73" i="78"/>
  <c r="H74" i="78" s="1"/>
  <c r="D73" i="63"/>
  <c r="E73" i="63" s="1"/>
  <c r="F73" i="63" s="1"/>
  <c r="AP81" i="77"/>
  <c r="AP83" i="77" s="1"/>
  <c r="B70" i="63"/>
  <c r="R70" i="63"/>
  <c r="AH70" i="63"/>
  <c r="S70" i="63"/>
  <c r="T70" i="63"/>
  <c r="W70" i="63"/>
  <c r="X70" i="63"/>
  <c r="Z70" i="63"/>
  <c r="AD70" i="63"/>
  <c r="O29" i="63"/>
  <c r="AF70" i="63"/>
  <c r="E29" i="76"/>
  <c r="M29" i="76"/>
  <c r="O29" i="76"/>
  <c r="P29" i="76"/>
  <c r="H29" i="76"/>
  <c r="G29" i="76"/>
  <c r="J29" i="63"/>
  <c r="R29" i="63"/>
  <c r="I29" i="76"/>
  <c r="Q29" i="76"/>
  <c r="AO80" i="76"/>
  <c r="AP81" i="76" s="1"/>
  <c r="AP83" i="76" s="1"/>
  <c r="C29" i="76"/>
  <c r="K29" i="76"/>
  <c r="E29" i="63"/>
  <c r="M29" i="63"/>
  <c r="F29" i="76"/>
  <c r="N29" i="76"/>
  <c r="D74" i="77"/>
  <c r="J29" i="76"/>
  <c r="R29" i="76"/>
  <c r="D29" i="76"/>
  <c r="L29" i="76"/>
  <c r="B29" i="76"/>
  <c r="D73" i="76"/>
  <c r="C74" i="76"/>
  <c r="B74" i="76"/>
  <c r="AW30" i="76"/>
  <c r="C29" i="63"/>
  <c r="K29" i="63"/>
  <c r="B29" i="63"/>
  <c r="AK70" i="63"/>
  <c r="I29" i="63"/>
  <c r="Q29" i="63"/>
  <c r="AO80" i="63"/>
  <c r="AW13" i="88" l="1"/>
  <c r="AW26" i="76"/>
  <c r="AW23" i="76"/>
  <c r="I73" i="78"/>
  <c r="J73" i="78" s="1"/>
  <c r="B30" i="88"/>
  <c r="E74" i="63"/>
  <c r="D74" i="63"/>
  <c r="AW15" i="76"/>
  <c r="AP80" i="76"/>
  <c r="AG70" i="63"/>
  <c r="AE70" i="63"/>
  <c r="U70" i="63"/>
  <c r="V70" i="63"/>
  <c r="Y70" i="63"/>
  <c r="AL70" i="63"/>
  <c r="E74" i="77"/>
  <c r="F73" i="77"/>
  <c r="E73" i="76"/>
  <c r="D74" i="76"/>
  <c r="F74" i="63"/>
  <c r="G73" i="63"/>
  <c r="AI70" i="63"/>
  <c r="AA70" i="63"/>
  <c r="AB70" i="63" s="1"/>
  <c r="AC70" i="63" s="1"/>
  <c r="AM70" i="63"/>
  <c r="AP81" i="63"/>
  <c r="AP83" i="63" s="1"/>
  <c r="AP80" i="63"/>
  <c r="C70" i="63"/>
  <c r="I74" i="78" l="1"/>
  <c r="AN70" i="63"/>
  <c r="AJ70" i="63"/>
  <c r="J74" i="78"/>
  <c r="K73" i="78"/>
  <c r="F74" i="77"/>
  <c r="G73" i="77"/>
  <c r="G74" i="77" s="1"/>
  <c r="E74" i="76"/>
  <c r="F73" i="76"/>
  <c r="H73" i="63"/>
  <c r="H74" i="63" s="1"/>
  <c r="G74" i="63"/>
  <c r="D70" i="63"/>
  <c r="K74" i="78" l="1"/>
  <c r="L73" i="78"/>
  <c r="H73" i="77"/>
  <c r="F74" i="76"/>
  <c r="G73" i="76"/>
  <c r="I73" i="63"/>
  <c r="E70" i="63"/>
  <c r="M73" i="78" l="1"/>
  <c r="L74" i="78"/>
  <c r="I73" i="77"/>
  <c r="H74" i="77"/>
  <c r="H73" i="76"/>
  <c r="G74" i="76"/>
  <c r="F70" i="63"/>
  <c r="J73" i="63"/>
  <c r="I74" i="63"/>
  <c r="N73" i="78" l="1"/>
  <c r="M74" i="78"/>
  <c r="J73" i="77"/>
  <c r="I74" i="77"/>
  <c r="I73" i="76"/>
  <c r="H74" i="76"/>
  <c r="G70" i="63"/>
  <c r="J74" i="63"/>
  <c r="K73" i="63"/>
  <c r="N74" i="78" l="1"/>
  <c r="O73" i="78"/>
  <c r="K73" i="77"/>
  <c r="K74" i="77" s="1"/>
  <c r="J74" i="77"/>
  <c r="J73" i="76"/>
  <c r="I74" i="76"/>
  <c r="K74" i="63"/>
  <c r="L73" i="63"/>
  <c r="H70" i="63"/>
  <c r="P73" i="78" l="1"/>
  <c r="O74" i="78"/>
  <c r="L73" i="77"/>
  <c r="K73" i="76"/>
  <c r="J74" i="76"/>
  <c r="I70" i="63"/>
  <c r="M73" i="63"/>
  <c r="L74" i="63"/>
  <c r="Q73" i="78" l="1"/>
  <c r="P74" i="78"/>
  <c r="M73" i="77"/>
  <c r="L74" i="77"/>
  <c r="L73" i="76"/>
  <c r="K74" i="76"/>
  <c r="N73" i="63"/>
  <c r="M74" i="63"/>
  <c r="J70" i="63"/>
  <c r="R73" i="78" l="1"/>
  <c r="Q74" i="78"/>
  <c r="M74" i="77"/>
  <c r="N73" i="77"/>
  <c r="M73" i="76"/>
  <c r="L74" i="76"/>
  <c r="O73" i="63"/>
  <c r="N74" i="63"/>
  <c r="K70" i="63"/>
  <c r="R74" i="78" l="1"/>
  <c r="R75" i="78" s="1"/>
  <c r="S73" i="78"/>
  <c r="Q79" i="78"/>
  <c r="N74" i="77"/>
  <c r="O73" i="77"/>
  <c r="M74" i="76"/>
  <c r="N73" i="76"/>
  <c r="P73" i="63"/>
  <c r="O74" i="63"/>
  <c r="L70" i="63"/>
  <c r="S74" i="78" l="1"/>
  <c r="T73" i="78"/>
  <c r="Q81" i="78"/>
  <c r="R79" i="78"/>
  <c r="R81" i="78" s="1"/>
  <c r="R83" i="78" s="1"/>
  <c r="P73" i="77"/>
  <c r="O74" i="77"/>
  <c r="N74" i="76"/>
  <c r="O73" i="76"/>
  <c r="M70" i="63"/>
  <c r="Q73" i="63"/>
  <c r="P74" i="63"/>
  <c r="Q83" i="78" l="1"/>
  <c r="U73" i="78"/>
  <c r="T79" i="78"/>
  <c r="T74" i="78"/>
  <c r="B76" i="78"/>
  <c r="C76" i="78"/>
  <c r="D76" i="78"/>
  <c r="G76" i="78"/>
  <c r="H76" i="78"/>
  <c r="I76" i="78"/>
  <c r="J76" i="78"/>
  <c r="K76" i="78"/>
  <c r="N76" i="78"/>
  <c r="O76" i="78"/>
  <c r="P76" i="78"/>
  <c r="Q76" i="78"/>
  <c r="R76" i="78"/>
  <c r="S79" i="78"/>
  <c r="S81" i="78" s="1"/>
  <c r="S83" i="78" s="1"/>
  <c r="Q73" i="77"/>
  <c r="P74" i="77"/>
  <c r="P73" i="76"/>
  <c r="O74" i="76"/>
  <c r="R73" i="63"/>
  <c r="S73" i="63" s="1"/>
  <c r="Q74" i="63"/>
  <c r="Q79" i="63" s="1"/>
  <c r="N70" i="63"/>
  <c r="S74" i="63" l="1"/>
  <c r="R74" i="63"/>
  <c r="R75" i="63" s="1"/>
  <c r="B76" i="63" s="1"/>
  <c r="M76" i="78"/>
  <c r="E76" i="78"/>
  <c r="L76" i="78"/>
  <c r="F76" i="78"/>
  <c r="U79" i="78"/>
  <c r="V73" i="78"/>
  <c r="U74" i="78"/>
  <c r="U75" i="78" s="1"/>
  <c r="R73" i="77"/>
  <c r="S73" i="77" s="1"/>
  <c r="S74" i="77" s="1"/>
  <c r="Q74" i="77"/>
  <c r="Q73" i="76"/>
  <c r="P74" i="76"/>
  <c r="O70" i="63"/>
  <c r="S76" i="78" l="1"/>
  <c r="T76" i="78"/>
  <c r="U76" i="78"/>
  <c r="V74" i="78"/>
  <c r="V79" i="78"/>
  <c r="Q79" i="77"/>
  <c r="R74" i="77"/>
  <c r="R75" i="77" s="1"/>
  <c r="Q76" i="77" s="1"/>
  <c r="R73" i="76"/>
  <c r="Q74" i="76"/>
  <c r="T73" i="63"/>
  <c r="P70" i="63"/>
  <c r="R79" i="63"/>
  <c r="R81" i="63" s="1"/>
  <c r="R83" i="63" s="1"/>
  <c r="Q81" i="63"/>
  <c r="R76" i="77" l="1"/>
  <c r="K76" i="77"/>
  <c r="Q76" i="63"/>
  <c r="R76" i="63"/>
  <c r="P76" i="63"/>
  <c r="Q70" i="63"/>
  <c r="V81" i="78"/>
  <c r="Q81" i="77"/>
  <c r="R79" i="77"/>
  <c r="R81" i="77" s="1"/>
  <c r="R83" i="77" s="1"/>
  <c r="T73" i="77"/>
  <c r="T79" i="77" s="1"/>
  <c r="Q79" i="76"/>
  <c r="S73" i="76"/>
  <c r="R74" i="76"/>
  <c r="S79" i="63"/>
  <c r="T79" i="63"/>
  <c r="T74" i="63"/>
  <c r="U73" i="63"/>
  <c r="V73" i="63" s="1"/>
  <c r="V74" i="63" s="1"/>
  <c r="Q83" i="63"/>
  <c r="C76" i="63"/>
  <c r="E2" i="105" s="1"/>
  <c r="E76" i="63"/>
  <c r="D76" i="63"/>
  <c r="F2" i="105" s="1"/>
  <c r="F76" i="63"/>
  <c r="H2" i="105" s="1"/>
  <c r="G76" i="63"/>
  <c r="I2" i="105" s="1"/>
  <c r="H76" i="63"/>
  <c r="J2" i="105" s="1"/>
  <c r="I76" i="63"/>
  <c r="K2" i="105" s="1"/>
  <c r="J76" i="63"/>
  <c r="L2" i="105" s="1"/>
  <c r="K76" i="63"/>
  <c r="M2" i="105" s="1"/>
  <c r="L76" i="63"/>
  <c r="M76" i="63"/>
  <c r="N76" i="63"/>
  <c r="O76" i="63"/>
  <c r="AK9" i="105" l="1"/>
  <c r="AB7" i="105"/>
  <c r="AK13" i="105"/>
  <c r="AB11" i="105"/>
  <c r="AF8" i="105"/>
  <c r="AF12" i="105"/>
  <c r="R2" i="105"/>
  <c r="AL13" i="105"/>
  <c r="AG12" i="105"/>
  <c r="AC7" i="105"/>
  <c r="AL9" i="105"/>
  <c r="AG8" i="105"/>
  <c r="AC11" i="105"/>
  <c r="Z7" i="105"/>
  <c r="AD12" i="105"/>
  <c r="Z11" i="105"/>
  <c r="AD8" i="105"/>
  <c r="AI9" i="105"/>
  <c r="AI13" i="105"/>
  <c r="AP9" i="105"/>
  <c r="AG7" i="105"/>
  <c r="AK12" i="105"/>
  <c r="AP13" i="105"/>
  <c r="AK8" i="105"/>
  <c r="AG11" i="105"/>
  <c r="T2" i="105"/>
  <c r="Q2" i="105"/>
  <c r="P2" i="105"/>
  <c r="O2" i="105"/>
  <c r="D2" i="105"/>
  <c r="N2" i="105"/>
  <c r="G2" i="105"/>
  <c r="AC8" i="105"/>
  <c r="Y7" i="105"/>
  <c r="AH9" i="105"/>
  <c r="AC12" i="105"/>
  <c r="Y11" i="105"/>
  <c r="AH13" i="105"/>
  <c r="AJ12" i="105"/>
  <c r="AF11" i="105"/>
  <c r="AF7" i="105"/>
  <c r="AO9" i="105"/>
  <c r="AJ8" i="105"/>
  <c r="AO13" i="105"/>
  <c r="S2" i="105"/>
  <c r="AE7" i="105"/>
  <c r="AE11" i="105"/>
  <c r="AN9" i="105"/>
  <c r="AN13" i="105"/>
  <c r="AI8" i="105"/>
  <c r="AI12" i="105"/>
  <c r="AM13" i="105"/>
  <c r="AM9" i="105"/>
  <c r="AH8" i="105"/>
  <c r="AD11" i="105"/>
  <c r="AD7" i="105"/>
  <c r="AH12" i="105"/>
  <c r="V75" i="63"/>
  <c r="V76" i="63" s="1"/>
  <c r="R75" i="76"/>
  <c r="R76" i="76" s="1"/>
  <c r="H76" i="77"/>
  <c r="V83" i="78"/>
  <c r="S79" i="77"/>
  <c r="S81" i="77" s="1"/>
  <c r="S83" i="77" s="1"/>
  <c r="U73" i="77"/>
  <c r="V73" i="77" s="1"/>
  <c r="V74" i="77" s="1"/>
  <c r="T74" i="77"/>
  <c r="B76" i="77"/>
  <c r="C76" i="77"/>
  <c r="D76" i="77"/>
  <c r="E76" i="77"/>
  <c r="F76" i="77"/>
  <c r="G76" i="77"/>
  <c r="I76" i="77"/>
  <c r="J76" i="77"/>
  <c r="L76" i="77"/>
  <c r="M76" i="77"/>
  <c r="N76" i="77"/>
  <c r="O76" i="77"/>
  <c r="P76" i="77"/>
  <c r="Q83" i="77"/>
  <c r="R79" i="76"/>
  <c r="R81" i="76" s="1"/>
  <c r="R83" i="76" s="1"/>
  <c r="T73" i="76"/>
  <c r="S74" i="76"/>
  <c r="Q81" i="76"/>
  <c r="U74" i="63"/>
  <c r="U79" i="63"/>
  <c r="S81" i="63"/>
  <c r="Z23" i="105" l="1"/>
  <c r="AN8" i="105"/>
  <c r="AJ11" i="105"/>
  <c r="AJ7" i="105"/>
  <c r="AS13" i="105"/>
  <c r="AS9" i="105"/>
  <c r="AN12" i="105"/>
  <c r="AU13" i="105"/>
  <c r="AU9" i="105"/>
  <c r="AL11" i="105"/>
  <c r="AL7" i="105"/>
  <c r="AP12" i="105"/>
  <c r="AP8" i="105"/>
  <c r="X2" i="105"/>
  <c r="X11" i="105"/>
  <c r="X7" i="105"/>
  <c r="AB12" i="105"/>
  <c r="AG9" i="105"/>
  <c r="AG13" i="105"/>
  <c r="AB8" i="105"/>
  <c r="AN11" i="105"/>
  <c r="AW9" i="105"/>
  <c r="AR12" i="105"/>
  <c r="AR8" i="105"/>
  <c r="AW13" i="105"/>
  <c r="AN7" i="105"/>
  <c r="AO8" i="105"/>
  <c r="AO12" i="105"/>
  <c r="AK11" i="105"/>
  <c r="AT13" i="105"/>
  <c r="AK7" i="105"/>
  <c r="AT9" i="105"/>
  <c r="AC23" i="105"/>
  <c r="AJ13" i="105"/>
  <c r="AE8" i="105"/>
  <c r="AE12" i="105"/>
  <c r="AA7" i="105"/>
  <c r="AJ9" i="105"/>
  <c r="AA11" i="105"/>
  <c r="AV13" i="105"/>
  <c r="AM11" i="105"/>
  <c r="AV9" i="105"/>
  <c r="AQ8" i="105"/>
  <c r="AQ12" i="105"/>
  <c r="AM7" i="105"/>
  <c r="AL12" i="105"/>
  <c r="AH11" i="105"/>
  <c r="AH7" i="105"/>
  <c r="AQ9" i="105"/>
  <c r="AL8" i="105"/>
  <c r="AQ13" i="105"/>
  <c r="Y23" i="105"/>
  <c r="AR9" i="105"/>
  <c r="AI7" i="105"/>
  <c r="AM12" i="105"/>
  <c r="AM8" i="105"/>
  <c r="AR13" i="105"/>
  <c r="AI11" i="105"/>
  <c r="AD23" i="105"/>
  <c r="AF23" i="105"/>
  <c r="U75" i="63"/>
  <c r="U74" i="77"/>
  <c r="U75" i="77" s="1"/>
  <c r="S76" i="77" s="1"/>
  <c r="U79" i="77"/>
  <c r="S79" i="76"/>
  <c r="S81" i="76" s="1"/>
  <c r="S83" i="76" s="1"/>
  <c r="Q83" i="76"/>
  <c r="U73" i="76"/>
  <c r="V73" i="76" s="1"/>
  <c r="T74" i="76"/>
  <c r="T79" i="76"/>
  <c r="V79" i="63"/>
  <c r="S83" i="63"/>
  <c r="AI23" i="105" l="1"/>
  <c r="AW23" i="105"/>
  <c r="AG23" i="105"/>
  <c r="AB23" i="105"/>
  <c r="AE23" i="105"/>
  <c r="AM23" i="105"/>
  <c r="AA23" i="105"/>
  <c r="AH23" i="105"/>
  <c r="X23" i="105"/>
  <c r="AN23" i="105"/>
  <c r="AJ23" i="105"/>
  <c r="AL23" i="105"/>
  <c r="AK23" i="105"/>
  <c r="S76" i="63"/>
  <c r="T76" i="63"/>
  <c r="U76" i="63"/>
  <c r="U76" i="77"/>
  <c r="T76" i="77"/>
  <c r="P76" i="76"/>
  <c r="O76" i="76"/>
  <c r="E76" i="76"/>
  <c r="G76" i="76"/>
  <c r="F76" i="76"/>
  <c r="N76" i="76"/>
  <c r="L76" i="76"/>
  <c r="D76" i="76"/>
  <c r="K76" i="76"/>
  <c r="M76" i="76"/>
  <c r="B76" i="76"/>
  <c r="C76" i="76"/>
  <c r="J76" i="76"/>
  <c r="H76" i="76"/>
  <c r="Q76" i="76"/>
  <c r="I76" i="76"/>
  <c r="V79" i="77"/>
  <c r="V81" i="77" s="1"/>
  <c r="U74" i="76"/>
  <c r="U79" i="76"/>
  <c r="V81" i="63"/>
  <c r="AF31" i="105" l="1"/>
  <c r="AK26" i="105"/>
  <c r="W2" i="105"/>
  <c r="V2" i="105"/>
  <c r="U2" i="105"/>
  <c r="U75" i="76"/>
  <c r="V83" i="77"/>
  <c r="V74" i="76"/>
  <c r="V79" i="76"/>
  <c r="V83" i="63"/>
  <c r="AS16" i="105" l="1"/>
  <c r="AS23" i="105" s="1"/>
  <c r="AO15" i="105"/>
  <c r="AO23" i="105" s="1"/>
  <c r="AX17" i="105"/>
  <c r="AX23" i="105" s="1"/>
  <c r="AT16" i="105"/>
  <c r="AP15" i="105"/>
  <c r="AY17" i="105"/>
  <c r="AZ17" i="105"/>
  <c r="AU16" i="105"/>
  <c r="AQ15" i="105"/>
  <c r="S76" i="76"/>
  <c r="T76" i="76"/>
  <c r="U76" i="76"/>
  <c r="V81" i="76"/>
  <c r="V83" i="76" s="1"/>
  <c r="D42" i="56" l="1"/>
  <c r="F42" i="56" s="1"/>
  <c r="A14" i="70" l="1"/>
  <c r="A13" i="70"/>
  <c r="A12" i="70"/>
  <c r="W17" i="69" l="1"/>
  <c r="V20" i="69"/>
  <c r="W19" i="69"/>
  <c r="W21" i="69" s="1"/>
  <c r="AU10" i="69"/>
  <c r="BC7" i="69"/>
  <c r="G67" i="56" s="1"/>
  <c r="W20" i="69" l="1"/>
  <c r="X20" i="69" s="1"/>
  <c r="X32" i="69" s="1"/>
  <c r="G104" i="56"/>
  <c r="BC8" i="69"/>
  <c r="BC9" i="69" s="1"/>
  <c r="V23" i="69"/>
  <c r="E104" i="56"/>
  <c r="X21" i="69"/>
  <c r="X23" i="69" s="1"/>
  <c r="X19" i="69"/>
  <c r="X30" i="69" s="1"/>
  <c r="H104" i="56" l="1"/>
  <c r="X25" i="69"/>
  <c r="X37" i="69" s="1"/>
  <c r="X27" i="69" l="1"/>
  <c r="C32" i="55" l="1"/>
  <c r="X31" i="69"/>
  <c r="X33" i="69" s="1"/>
  <c r="L18" i="69"/>
  <c r="T18" i="69" s="1"/>
  <c r="L17" i="69"/>
  <c r="T17" i="69" s="1"/>
  <c r="X17" i="69" s="1"/>
  <c r="AB17" i="69" s="1"/>
  <c r="AF17" i="69" s="1"/>
  <c r="X42" i="69" l="1"/>
  <c r="X43" i="69" s="1"/>
  <c r="X42" i="122"/>
  <c r="X43" i="122" s="1"/>
  <c r="AJ17" i="69"/>
  <c r="AN17" i="69" s="1"/>
  <c r="AR17" i="69" s="1"/>
  <c r="AV17" i="69" s="1"/>
  <c r="K10" i="69"/>
  <c r="L10" i="69" s="1"/>
  <c r="L35" i="69" s="1"/>
  <c r="L6" i="69"/>
  <c r="P6" i="69" s="1"/>
  <c r="K6" i="69"/>
  <c r="O6" i="69" s="1"/>
  <c r="J6" i="69"/>
  <c r="N6" i="69" s="1"/>
  <c r="D7" i="69"/>
  <c r="C4" i="69"/>
  <c r="C7" i="69" l="1"/>
  <c r="D30" i="69"/>
  <c r="AZ17" i="69"/>
  <c r="BD17" i="69"/>
  <c r="BH17" i="69" s="1"/>
  <c r="BL17" i="69" s="1"/>
  <c r="BP17" i="69" s="1"/>
  <c r="BT17" i="69" s="1"/>
  <c r="CB17" i="69" s="1"/>
  <c r="CJ17" i="69" s="1"/>
  <c r="CR17" i="69" s="1"/>
  <c r="CZ17" i="69" s="1"/>
  <c r="J4" i="69"/>
  <c r="R4" i="69" s="1"/>
  <c r="V4" i="69" s="1"/>
  <c r="Z4" i="69" s="1"/>
  <c r="AD4" i="69" s="1"/>
  <c r="AH4" i="69" s="1"/>
  <c r="AL4" i="69" s="1"/>
  <c r="AP4" i="69" s="1"/>
  <c r="AT4" i="69" s="1"/>
  <c r="A48" i="65"/>
  <c r="A47" i="65"/>
  <c r="A46" i="65"/>
  <c r="A43" i="65"/>
  <c r="A41" i="65"/>
  <c r="A39" i="65"/>
  <c r="A38" i="65"/>
  <c r="A37" i="65"/>
  <c r="AP36" i="65"/>
  <c r="A36" i="65"/>
  <c r="A35" i="65"/>
  <c r="A26" i="65"/>
  <c r="G50" i="57"/>
  <c r="H50" i="57" s="1"/>
  <c r="G52" i="57"/>
  <c r="H52" i="57" s="1"/>
  <c r="G48" i="57"/>
  <c r="H48" i="57" s="1"/>
  <c r="G46" i="57"/>
  <c r="H46" i="57" s="1"/>
  <c r="D5" i="94"/>
  <c r="D15" i="94" s="1"/>
  <c r="A14" i="65"/>
  <c r="A12" i="65"/>
  <c r="A24" i="65" s="1"/>
  <c r="A10" i="65"/>
  <c r="A22" i="65" s="1"/>
  <c r="A9" i="65"/>
  <c r="A21" i="65" s="1"/>
  <c r="A8" i="65"/>
  <c r="A20" i="65" s="1"/>
  <c r="A7" i="65"/>
  <c r="A19" i="65" s="1"/>
  <c r="A6" i="65"/>
  <c r="A18" i="65" s="1"/>
  <c r="H4" i="65"/>
  <c r="L4" i="65" s="1"/>
  <c r="P4" i="65" s="1"/>
  <c r="T4" i="65" s="1"/>
  <c r="AI3" i="65"/>
  <c r="AE3" i="65"/>
  <c r="W3" i="65"/>
  <c r="S3" i="65"/>
  <c r="O3" i="65"/>
  <c r="K3" i="65"/>
  <c r="H3" i="65"/>
  <c r="L3" i="65" s="1"/>
  <c r="P3" i="65" s="1"/>
  <c r="T3" i="65" s="1"/>
  <c r="X3" i="65" s="1"/>
  <c r="AB3" i="65" s="1"/>
  <c r="AF3" i="65" s="1"/>
  <c r="AJ3" i="65" s="1"/>
  <c r="AN3" i="65" s="1"/>
  <c r="G3" i="65"/>
  <c r="F3" i="65"/>
  <c r="J3" i="65" s="1"/>
  <c r="N3" i="65" s="1"/>
  <c r="R3" i="65" s="1"/>
  <c r="V3" i="65" s="1"/>
  <c r="Z3" i="65" s="1"/>
  <c r="AD3" i="65" s="1"/>
  <c r="AH3" i="65" s="1"/>
  <c r="AL3" i="65" s="1"/>
  <c r="C3" i="65"/>
  <c r="A2" i="65"/>
  <c r="A2" i="94" s="1"/>
  <c r="M31" i="69"/>
  <c r="K31" i="69"/>
  <c r="J31" i="69"/>
  <c r="C31" i="69"/>
  <c r="A27" i="69"/>
  <c r="A25" i="69"/>
  <c r="A23" i="69"/>
  <c r="A22" i="69"/>
  <c r="EC20" i="69"/>
  <c r="A20" i="69"/>
  <c r="A19" i="69"/>
  <c r="X18" i="69"/>
  <c r="AB18" i="69" s="1"/>
  <c r="AF18" i="69" s="1"/>
  <c r="K16" i="69"/>
  <c r="R16" i="69" s="1"/>
  <c r="Z16" i="69" s="1"/>
  <c r="AD16" i="69" s="1"/>
  <c r="EB10" i="69"/>
  <c r="AU8" i="69"/>
  <c r="AU9" i="69" s="1"/>
  <c r="AV7" i="69"/>
  <c r="AV30" i="69" s="1"/>
  <c r="AU7" i="69"/>
  <c r="AT7" i="69"/>
  <c r="DN7" i="69" s="1"/>
  <c r="AQ7" i="69"/>
  <c r="G63" i="127" s="1"/>
  <c r="H63" i="127" s="1"/>
  <c r="AM7" i="69"/>
  <c r="AI7" i="69"/>
  <c r="AE7" i="69"/>
  <c r="AA7" i="69"/>
  <c r="G57" i="56" s="1"/>
  <c r="L7" i="69"/>
  <c r="L30" i="69" s="1"/>
  <c r="W6" i="69"/>
  <c r="AA6" i="69" s="1"/>
  <c r="AE6" i="69" s="1"/>
  <c r="AI6" i="69" s="1"/>
  <c r="AM6" i="69" s="1"/>
  <c r="AQ6" i="69" s="1"/>
  <c r="AU6" i="69" s="1"/>
  <c r="AY6" i="69" s="1"/>
  <c r="BC6" i="69" s="1"/>
  <c r="BG6" i="69" s="1"/>
  <c r="BK6" i="69" s="1"/>
  <c r="BO6" i="69" s="1"/>
  <c r="AJ5" i="69"/>
  <c r="AN5" i="69" s="1"/>
  <c r="AR5" i="69" s="1"/>
  <c r="AV5" i="69" s="1"/>
  <c r="AU4" i="69"/>
  <c r="AQ4" i="69"/>
  <c r="AM4" i="69"/>
  <c r="AI4" i="69"/>
  <c r="AE4" i="69"/>
  <c r="AB4" i="69"/>
  <c r="AF4" i="69" s="1"/>
  <c r="AJ4" i="69" s="1"/>
  <c r="AN4" i="69" s="1"/>
  <c r="AR4" i="69" s="1"/>
  <c r="AV4" i="69" s="1"/>
  <c r="AA4" i="69"/>
  <c r="W4" i="69"/>
  <c r="X36" i="69" s="1"/>
  <c r="X38" i="69" s="1"/>
  <c r="X39" i="69" s="1"/>
  <c r="S4" i="69"/>
  <c r="T36" i="69" s="1"/>
  <c r="T38" i="69" s="1"/>
  <c r="T39" i="69" s="1"/>
  <c r="K4" i="69"/>
  <c r="F10" i="64"/>
  <c r="F11" i="64" s="1"/>
  <c r="Z21" i="69"/>
  <c r="A10" i="64"/>
  <c r="A11" i="64" s="1"/>
  <c r="M63" i="127" l="1"/>
  <c r="O63" i="127"/>
  <c r="G65" i="56"/>
  <c r="G65" i="127"/>
  <c r="H65" i="127" s="1"/>
  <c r="G47" i="56"/>
  <c r="G47" i="127"/>
  <c r="H47" i="127" s="1"/>
  <c r="F14" i="64"/>
  <c r="F99" i="111"/>
  <c r="G99" i="111" s="1"/>
  <c r="AT8" i="69"/>
  <c r="G62" i="60"/>
  <c r="M62" i="111"/>
  <c r="DO6" i="69"/>
  <c r="BS6" i="69"/>
  <c r="BW6" i="69" s="1"/>
  <c r="CA6" i="69" s="1"/>
  <c r="CE6" i="69" s="1"/>
  <c r="CI6" i="69" s="1"/>
  <c r="CM6" i="69" s="1"/>
  <c r="CQ6" i="69" s="1"/>
  <c r="CU6" i="69" s="1"/>
  <c r="CY6" i="69" s="1"/>
  <c r="DC6" i="69" s="1"/>
  <c r="K5" i="94"/>
  <c r="K6" i="94" s="1"/>
  <c r="L6" i="94" s="1"/>
  <c r="L17" i="94" s="1"/>
  <c r="B8" i="94"/>
  <c r="AR13" i="65"/>
  <c r="AD20" i="69"/>
  <c r="AF20" i="69" s="1"/>
  <c r="AF22" i="69"/>
  <c r="AF35" i="69" s="1"/>
  <c r="AD23" i="69"/>
  <c r="E100" i="56"/>
  <c r="H100" i="56" s="1"/>
  <c r="AF21" i="69"/>
  <c r="AB22" i="69"/>
  <c r="Z23" i="69"/>
  <c r="E98" i="56"/>
  <c r="AB21" i="69"/>
  <c r="Z20" i="69"/>
  <c r="BD5" i="69"/>
  <c r="BH5" i="69" s="1"/>
  <c r="BL5" i="69" s="1"/>
  <c r="BP5" i="69" s="1"/>
  <c r="BT5" i="69" s="1"/>
  <c r="BX5" i="69" s="1"/>
  <c r="CB5" i="69" s="1"/>
  <c r="CF5" i="69" s="1"/>
  <c r="CJ5" i="69" s="1"/>
  <c r="CN5" i="69" s="1"/>
  <c r="CR5" i="69" s="1"/>
  <c r="CV5" i="69" s="1"/>
  <c r="CZ5" i="69" s="1"/>
  <c r="DD5" i="69" s="1"/>
  <c r="AZ5" i="69"/>
  <c r="BD4" i="69"/>
  <c r="BL4" i="69" s="1"/>
  <c r="BT4" i="69" s="1"/>
  <c r="BX4" i="69" s="1"/>
  <c r="CB4" i="69" s="1"/>
  <c r="AZ4" i="69"/>
  <c r="BB4" i="69"/>
  <c r="BF4" i="69" s="1"/>
  <c r="BJ4" i="69" s="1"/>
  <c r="BN4" i="69" s="1"/>
  <c r="BR4" i="69" s="1"/>
  <c r="BV4" i="69" s="1"/>
  <c r="BZ4" i="69" s="1"/>
  <c r="CD4" i="69" s="1"/>
  <c r="CH4" i="69" s="1"/>
  <c r="CL4" i="69" s="1"/>
  <c r="CP4" i="69" s="1"/>
  <c r="CT4" i="69" s="1"/>
  <c r="CX4" i="69" s="1"/>
  <c r="DB4" i="69" s="1"/>
  <c r="AX4" i="69"/>
  <c r="F15" i="71"/>
  <c r="F16" i="71" s="1"/>
  <c r="G5" i="94"/>
  <c r="G7" i="94" s="1"/>
  <c r="O5" i="94"/>
  <c r="O7" i="94" s="1"/>
  <c r="AR18" i="65"/>
  <c r="F69" i="57"/>
  <c r="F70" i="57" s="1"/>
  <c r="F72" i="57" s="1"/>
  <c r="N33" i="81"/>
  <c r="AN7" i="69"/>
  <c r="AN30" i="69" s="1"/>
  <c r="G49" i="56"/>
  <c r="AJ18" i="69"/>
  <c r="AN18" i="69" s="1"/>
  <c r="AR18" i="69" s="1"/>
  <c r="AV18" i="69" s="1"/>
  <c r="AE8" i="69"/>
  <c r="AE9" i="69" s="1"/>
  <c r="G59" i="56"/>
  <c r="AI8" i="69"/>
  <c r="AI9" i="69" s="1"/>
  <c r="G61" i="56"/>
  <c r="S5" i="94"/>
  <c r="B8" i="69"/>
  <c r="AQ8" i="69"/>
  <c r="AQ9" i="69" s="1"/>
  <c r="G63" i="56"/>
  <c r="G102" i="56"/>
  <c r="B11" i="69"/>
  <c r="E47" i="56"/>
  <c r="E102" i="56"/>
  <c r="C8" i="69"/>
  <c r="C9" i="69" s="1"/>
  <c r="AR36" i="65"/>
  <c r="M66" i="111"/>
  <c r="M72" i="111"/>
  <c r="M58" i="111"/>
  <c r="AP35" i="65"/>
  <c r="AP37" i="65" s="1"/>
  <c r="M54" i="111"/>
  <c r="G44" i="57"/>
  <c r="H44" i="57" s="1"/>
  <c r="AR7" i="69"/>
  <c r="AM8" i="69"/>
  <c r="AM9" i="69" s="1"/>
  <c r="AJ7" i="69"/>
  <c r="AJ30" i="69" s="1"/>
  <c r="AF7" i="69"/>
  <c r="AF30" i="69" s="1"/>
  <c r="AP38" i="65"/>
  <c r="AQ38" i="65" s="1"/>
  <c r="AA8" i="69"/>
  <c r="K7" i="69"/>
  <c r="X6" i="69"/>
  <c r="AB6" i="69" s="1"/>
  <c r="AF6" i="69" s="1"/>
  <c r="AJ6" i="69" s="1"/>
  <c r="AN6" i="69" s="1"/>
  <c r="AR6" i="69" s="1"/>
  <c r="AV6" i="69" s="1"/>
  <c r="AZ6" i="69" s="1"/>
  <c r="BD6" i="69" s="1"/>
  <c r="BH6" i="69" s="1"/>
  <c r="BL6" i="69" s="1"/>
  <c r="BP6" i="69" s="1"/>
  <c r="BH4" i="69"/>
  <c r="BP4" i="69" s="1"/>
  <c r="V6" i="69"/>
  <c r="Z6" i="69" s="1"/>
  <c r="AD6" i="69" s="1"/>
  <c r="AH6" i="69" s="1"/>
  <c r="AL6" i="69" s="1"/>
  <c r="AP6" i="69" s="1"/>
  <c r="AT6" i="69" s="1"/>
  <c r="AX6" i="69" s="1"/>
  <c r="BB6" i="69" s="1"/>
  <c r="BF6" i="69" s="1"/>
  <c r="BJ6" i="69" s="1"/>
  <c r="BN6" i="69" s="1"/>
  <c r="H94" i="127" l="1"/>
  <c r="I166" i="127"/>
  <c r="O47" i="127"/>
  <c r="M47" i="127"/>
  <c r="M65" i="127"/>
  <c r="O65" i="127"/>
  <c r="D32" i="73"/>
  <c r="DP7" i="69"/>
  <c r="DO7" i="69" s="1"/>
  <c r="G76" i="60"/>
  <c r="G60" i="60"/>
  <c r="H60" i="60" s="1"/>
  <c r="M60" i="111"/>
  <c r="G68" i="60"/>
  <c r="H68" i="60" s="1"/>
  <c r="M68" i="111"/>
  <c r="G74" i="60"/>
  <c r="M74" i="111"/>
  <c r="BD22" i="69"/>
  <c r="BB23" i="69"/>
  <c r="BB20" i="69"/>
  <c r="E112" i="56"/>
  <c r="H112" i="56" s="1"/>
  <c r="C8" i="94"/>
  <c r="D8" i="94" s="1"/>
  <c r="AP9" i="65"/>
  <c r="AQ9" i="65" s="1"/>
  <c r="F8" i="94"/>
  <c r="AQ18" i="65"/>
  <c r="AF27" i="69"/>
  <c r="E99" i="60"/>
  <c r="F99" i="60"/>
  <c r="AB27" i="69"/>
  <c r="DP6" i="69"/>
  <c r="BT6" i="69"/>
  <c r="BX6" i="69" s="1"/>
  <c r="CB6" i="69" s="1"/>
  <c r="CF6" i="69" s="1"/>
  <c r="CJ6" i="69" s="1"/>
  <c r="CN6" i="69" s="1"/>
  <c r="CR6" i="69" s="1"/>
  <c r="CV6" i="69" s="1"/>
  <c r="CZ6" i="69" s="1"/>
  <c r="DD6" i="69" s="1"/>
  <c r="DN6" i="69"/>
  <c r="BR6" i="69"/>
  <c r="BV6" i="69" s="1"/>
  <c r="BZ6" i="69" s="1"/>
  <c r="CD6" i="69" s="1"/>
  <c r="CH6" i="69" s="1"/>
  <c r="CL6" i="69" s="1"/>
  <c r="CP6" i="69" s="1"/>
  <c r="CT6" i="69" s="1"/>
  <c r="CX6" i="69" s="1"/>
  <c r="DB6" i="69" s="1"/>
  <c r="AJ10" i="69"/>
  <c r="AJ35" i="69" s="1"/>
  <c r="AR6" i="65"/>
  <c r="BD37" i="69"/>
  <c r="F18" i="81"/>
  <c r="AB20" i="69"/>
  <c r="L5" i="94"/>
  <c r="L15" i="94" s="1"/>
  <c r="AR30" i="69"/>
  <c r="AX20" i="69"/>
  <c r="AZ22" i="69"/>
  <c r="K7" i="94"/>
  <c r="L7" i="94" s="1"/>
  <c r="AR35" i="65"/>
  <c r="AX23" i="69"/>
  <c r="E110" i="56"/>
  <c r="H102" i="56"/>
  <c r="J8" i="94"/>
  <c r="AP21" i="65"/>
  <c r="AQ21" i="65" s="1"/>
  <c r="N8" i="94"/>
  <c r="R8" i="94"/>
  <c r="S8" i="94"/>
  <c r="G8" i="94"/>
  <c r="BD18" i="69"/>
  <c r="BH18" i="69" s="1"/>
  <c r="BL18" i="69" s="1"/>
  <c r="BP18" i="69" s="1"/>
  <c r="BT18" i="69" s="1"/>
  <c r="CB18" i="69" s="1"/>
  <c r="CJ18" i="69" s="1"/>
  <c r="CR18" i="69" s="1"/>
  <c r="CZ18" i="69" s="1"/>
  <c r="AZ18" i="69"/>
  <c r="G6" i="94"/>
  <c r="H6" i="94" s="1"/>
  <c r="H17" i="94" s="1"/>
  <c r="E48" i="59"/>
  <c r="F58" i="59"/>
  <c r="F59" i="59" s="1"/>
  <c r="F61" i="59" s="1"/>
  <c r="P5" i="94"/>
  <c r="P15" i="94" s="1"/>
  <c r="O6" i="94"/>
  <c r="P6" i="94" s="1"/>
  <c r="P17" i="94" s="1"/>
  <c r="H5" i="94"/>
  <c r="H15" i="94" s="1"/>
  <c r="C5" i="94"/>
  <c r="D26" i="94" s="1"/>
  <c r="D28" i="94" s="1"/>
  <c r="E69" i="57"/>
  <c r="G69" i="57" s="1"/>
  <c r="F160" i="56"/>
  <c r="K160" i="56"/>
  <c r="K193" i="56" s="1"/>
  <c r="M193" i="56" s="1"/>
  <c r="H106" i="56"/>
  <c r="K8" i="69"/>
  <c r="K9" i="69" s="1"/>
  <c r="G51" i="56"/>
  <c r="E57" i="56"/>
  <c r="AB10" i="69"/>
  <c r="AB35" i="69" s="1"/>
  <c r="Z11" i="69"/>
  <c r="Z8" i="69"/>
  <c r="AB8" i="69" s="1"/>
  <c r="H7" i="94"/>
  <c r="P7" i="94"/>
  <c r="S7" i="94"/>
  <c r="S6" i="94"/>
  <c r="T6" i="94" s="1"/>
  <c r="T17" i="94" s="1"/>
  <c r="T5" i="94"/>
  <c r="T15" i="94" s="1"/>
  <c r="H98" i="56"/>
  <c r="E51" i="56"/>
  <c r="J11" i="69"/>
  <c r="J8" i="69"/>
  <c r="M70" i="111"/>
  <c r="H47" i="56"/>
  <c r="G54" i="60"/>
  <c r="H54" i="60" s="1"/>
  <c r="G72" i="60"/>
  <c r="H72" i="60" s="1"/>
  <c r="G66" i="60"/>
  <c r="H66" i="60" s="1"/>
  <c r="G58" i="60"/>
  <c r="H58" i="60" s="1"/>
  <c r="D8" i="69"/>
  <c r="M50" i="111"/>
  <c r="M52" i="111"/>
  <c r="M48" i="111"/>
  <c r="AR47" i="65"/>
  <c r="AQ36" i="65"/>
  <c r="AA9" i="69"/>
  <c r="I171" i="127" l="1"/>
  <c r="O94" i="127"/>
  <c r="M94" i="127"/>
  <c r="DN21" i="69"/>
  <c r="Z18" i="81"/>
  <c r="D146" i="56"/>
  <c r="BD20" i="69"/>
  <c r="BD21" i="69" s="1"/>
  <c r="BD27" i="69" s="1"/>
  <c r="G56" i="60"/>
  <c r="M56" i="111"/>
  <c r="G64" i="60"/>
  <c r="H64" i="60" s="1"/>
  <c r="M64" i="111"/>
  <c r="M46" i="111"/>
  <c r="H97" i="111"/>
  <c r="DP22" i="69"/>
  <c r="DO22" i="69" s="1"/>
  <c r="H8" i="94"/>
  <c r="H9" i="94" s="1"/>
  <c r="H11" i="94" s="1"/>
  <c r="H13" i="94" s="1"/>
  <c r="K8" i="94"/>
  <c r="L8" i="94" s="1"/>
  <c r="L9" i="94" s="1"/>
  <c r="L11" i="94" s="1"/>
  <c r="L13" i="94" s="1"/>
  <c r="L16" i="94" s="1"/>
  <c r="L18" i="94" s="1"/>
  <c r="G99" i="60"/>
  <c r="H74" i="60"/>
  <c r="AN10" i="69"/>
  <c r="AN35" i="69" s="1"/>
  <c r="AZ20" i="69"/>
  <c r="AZ35" i="69"/>
  <c r="H110" i="56"/>
  <c r="D359" i="80"/>
  <c r="AB32" i="69"/>
  <c r="D32" i="69"/>
  <c r="AF37" i="69"/>
  <c r="AB37" i="69"/>
  <c r="V8" i="94"/>
  <c r="T8" i="94"/>
  <c r="L8" i="69"/>
  <c r="L32" i="69" s="1"/>
  <c r="H108" i="56"/>
  <c r="E58" i="59"/>
  <c r="G58" i="59" s="1"/>
  <c r="F159" i="56"/>
  <c r="F33" i="81"/>
  <c r="K159" i="56"/>
  <c r="K192" i="56" s="1"/>
  <c r="M192" i="56" s="1"/>
  <c r="B38" i="85"/>
  <c r="K38" i="85" s="1"/>
  <c r="C50" i="59"/>
  <c r="C6" i="94"/>
  <c r="D6" i="94" s="1"/>
  <c r="D17" i="94" s="1"/>
  <c r="C7" i="94"/>
  <c r="D7" i="94" s="1"/>
  <c r="D9" i="94" s="1"/>
  <c r="X5" i="94"/>
  <c r="W5" i="94" s="1"/>
  <c r="D90" i="55"/>
  <c r="AH8" i="69"/>
  <c r="AJ8" i="69" s="1"/>
  <c r="AJ32" i="69" s="1"/>
  <c r="E61" i="56"/>
  <c r="AH11" i="69"/>
  <c r="E49" i="56"/>
  <c r="AL8" i="69"/>
  <c r="AN8" i="69" s="1"/>
  <c r="AN32" i="69" s="1"/>
  <c r="AL11" i="69"/>
  <c r="G46" i="60"/>
  <c r="H46" i="60" s="1"/>
  <c r="G50" i="60"/>
  <c r="H50" i="60" s="1"/>
  <c r="T7" i="94"/>
  <c r="G70" i="60"/>
  <c r="AR28" i="65"/>
  <c r="B13" i="70"/>
  <c r="AP11" i="69"/>
  <c r="AP8" i="69"/>
  <c r="E63" i="56"/>
  <c r="AD8" i="69"/>
  <c r="E59" i="56"/>
  <c r="H59" i="56" s="1"/>
  <c r="AD11" i="69"/>
  <c r="G48" i="60"/>
  <c r="H48" i="60" s="1"/>
  <c r="G52" i="60"/>
  <c r="H52" i="60" s="1"/>
  <c r="G44" i="60"/>
  <c r="H44" i="60" s="1"/>
  <c r="AQ6" i="65"/>
  <c r="AQ7" i="65" s="1"/>
  <c r="D9" i="69"/>
  <c r="D11" i="69" s="1"/>
  <c r="AB9" i="69"/>
  <c r="AQ35" i="65"/>
  <c r="AR45" i="65"/>
  <c r="AR37" i="65"/>
  <c r="AQ37" i="65" s="1"/>
  <c r="O8" i="94"/>
  <c r="P8" i="94" s="1"/>
  <c r="P9" i="94" s="1"/>
  <c r="P11" i="94" s="1"/>
  <c r="P13" i="94" s="1"/>
  <c r="P16" i="94" s="1"/>
  <c r="P18" i="94" s="1"/>
  <c r="E37" i="73" l="1"/>
  <c r="D143" i="127"/>
  <c r="C143" i="127" s="1"/>
  <c r="B63" i="85"/>
  <c r="M63" i="85" s="1"/>
  <c r="L38" i="85"/>
  <c r="DN23" i="69"/>
  <c r="AZ21" i="69"/>
  <c r="AZ27" i="69" s="1"/>
  <c r="H61" i="56"/>
  <c r="L9" i="69"/>
  <c r="L11" i="69" s="1"/>
  <c r="L13" i="69" s="1"/>
  <c r="AZ32" i="69"/>
  <c r="AR8" i="69"/>
  <c r="T9" i="94"/>
  <c r="X9" i="94" s="1"/>
  <c r="X8" i="94"/>
  <c r="W8" i="94" s="1"/>
  <c r="D13" i="69"/>
  <c r="X6" i="94"/>
  <c r="X7" i="94" s="1"/>
  <c r="W7" i="94" s="1"/>
  <c r="D11" i="94"/>
  <c r="H56" i="60"/>
  <c r="AJ9" i="69"/>
  <c r="AJ15" i="69" s="1"/>
  <c r="H70" i="60"/>
  <c r="AN9" i="69"/>
  <c r="H67" i="57"/>
  <c r="H16" i="94"/>
  <c r="H18" i="94" s="1"/>
  <c r="X15" i="94"/>
  <c r="AF8" i="69"/>
  <c r="AF32" i="69" s="1"/>
  <c r="AB11" i="69"/>
  <c r="AB13" i="69" s="1"/>
  <c r="F10" i="110" l="1"/>
  <c r="H50" i="110"/>
  <c r="G18" i="75"/>
  <c r="D13" i="94"/>
  <c r="D16" i="94" s="1"/>
  <c r="D18" i="94" s="1"/>
  <c r="L15" i="69"/>
  <c r="L31" i="69" s="1"/>
  <c r="L33" i="69" s="1"/>
  <c r="L36" i="69"/>
  <c r="L38" i="69" s="1"/>
  <c r="AB15" i="69"/>
  <c r="AB31" i="69" s="1"/>
  <c r="AB33" i="69" s="1"/>
  <c r="AB36" i="69"/>
  <c r="AB38" i="69" s="1"/>
  <c r="AN36" i="69"/>
  <c r="AN38" i="69" s="1"/>
  <c r="AN15" i="69"/>
  <c r="AN31" i="69" s="1"/>
  <c r="AR9" i="69"/>
  <c r="AR32" i="69"/>
  <c r="T11" i="94"/>
  <c r="X11" i="94" s="1"/>
  <c r="C60" i="55"/>
  <c r="AR41" i="65"/>
  <c r="AR38" i="65"/>
  <c r="AR39" i="65" s="1"/>
  <c r="W6" i="94"/>
  <c r="X17" i="94"/>
  <c r="AJ36" i="69"/>
  <c r="AJ38" i="69" s="1"/>
  <c r="C70" i="55"/>
  <c r="AF9" i="69"/>
  <c r="D15" i="69"/>
  <c r="Z10" i="110" l="1"/>
  <c r="L22" i="110"/>
  <c r="H4" i="75"/>
  <c r="H17" i="75" s="1"/>
  <c r="E76" i="60"/>
  <c r="E78" i="60"/>
  <c r="C42" i="55"/>
  <c r="D29" i="94"/>
  <c r="C34" i="55"/>
  <c r="AB39" i="69"/>
  <c r="L39" i="69"/>
  <c r="AR36" i="69"/>
  <c r="AR38" i="69" s="1"/>
  <c r="AR15" i="69"/>
  <c r="AR31" i="69" s="1"/>
  <c r="AR33" i="69" s="1"/>
  <c r="AN33" i="69"/>
  <c r="AN39" i="69" s="1"/>
  <c r="T13" i="94"/>
  <c r="T16" i="94" s="1"/>
  <c r="T18" i="94" s="1"/>
  <c r="AZ37" i="69"/>
  <c r="AZ38" i="69" s="1"/>
  <c r="D31" i="69"/>
  <c r="AR43" i="65"/>
  <c r="AR46" i="65" s="1"/>
  <c r="AR48" i="65" s="1"/>
  <c r="C72" i="55"/>
  <c r="C30" i="55"/>
  <c r="AJ31" i="69"/>
  <c r="AJ33" i="69" s="1"/>
  <c r="AJ39" i="69" s="1"/>
  <c r="D50" i="85"/>
  <c r="E50" i="85" s="1"/>
  <c r="AF11" i="69"/>
  <c r="AF13" i="69" s="1"/>
  <c r="AF36" i="69" s="1"/>
  <c r="AF38" i="69" s="1"/>
  <c r="D42" i="122" l="1"/>
  <c r="D43" i="122" s="1"/>
  <c r="L42" i="69"/>
  <c r="L43" i="69" s="1"/>
  <c r="L42" i="122"/>
  <c r="L43" i="122" s="1"/>
  <c r="AB42" i="69"/>
  <c r="AB43" i="69" s="1"/>
  <c r="AB42" i="122"/>
  <c r="AB43" i="122" s="1"/>
  <c r="AN42" i="69"/>
  <c r="AN43" i="69" s="1"/>
  <c r="AN42" i="122"/>
  <c r="AN43" i="122" s="1"/>
  <c r="E96" i="111"/>
  <c r="H78" i="60"/>
  <c r="H76" i="60"/>
  <c r="AP10" i="65"/>
  <c r="AR39" i="69"/>
  <c r="D42" i="69"/>
  <c r="C74" i="55"/>
  <c r="X13" i="94"/>
  <c r="X16" i="94" s="1"/>
  <c r="C78" i="55"/>
  <c r="AZ31" i="69"/>
  <c r="AZ33" i="69" s="1"/>
  <c r="AZ39" i="69" s="1"/>
  <c r="D33" i="69"/>
  <c r="C48" i="55"/>
  <c r="C68" i="55"/>
  <c r="AZ42" i="69" l="1"/>
  <c r="AZ43" i="69" s="1"/>
  <c r="AZ42" i="122"/>
  <c r="AZ43" i="122" s="1"/>
  <c r="AJ42" i="69"/>
  <c r="AJ43" i="69" s="1"/>
  <c r="AJ42" i="122"/>
  <c r="AJ43" i="122" s="1"/>
  <c r="AR42" i="69"/>
  <c r="AR43" i="69" s="1"/>
  <c r="AR42" i="122"/>
  <c r="AR43" i="122" s="1"/>
  <c r="B80" i="60"/>
  <c r="E96" i="60"/>
  <c r="J33" i="81"/>
  <c r="AR9" i="65"/>
  <c r="AR7" i="65"/>
  <c r="AR8" i="65" s="1"/>
  <c r="AP7" i="65"/>
  <c r="AP8" i="65" s="1"/>
  <c r="D43" i="69"/>
  <c r="C64" i="55"/>
  <c r="X18" i="94"/>
  <c r="C46" i="55"/>
  <c r="AF15" i="69"/>
  <c r="AF31" i="69" s="1"/>
  <c r="AF33" i="69" s="1"/>
  <c r="AF39" i="69" s="1"/>
  <c r="F100" i="117" l="1"/>
  <c r="F96" i="111"/>
  <c r="G96" i="111" s="1"/>
  <c r="E98" i="60"/>
  <c r="AR10" i="65"/>
  <c r="F96" i="60"/>
  <c r="G96" i="60" s="1"/>
  <c r="AQ8" i="65"/>
  <c r="AV10" i="69"/>
  <c r="E65" i="56"/>
  <c r="AT11" i="69"/>
  <c r="C44" i="55"/>
  <c r="AF42" i="122" s="1"/>
  <c r="AF43" i="122" s="1"/>
  <c r="L8" i="89"/>
  <c r="F84" i="111" l="1"/>
  <c r="B43" i="85"/>
  <c r="E98" i="111"/>
  <c r="E100" i="111" s="1"/>
  <c r="AR12" i="65"/>
  <c r="AR14" i="65"/>
  <c r="AV35" i="69"/>
  <c r="C66" i="55"/>
  <c r="AV8" i="69"/>
  <c r="AF42" i="69"/>
  <c r="AF43" i="69" s="1"/>
  <c r="B15" i="61"/>
  <c r="D14" i="61"/>
  <c r="B14" i="61"/>
  <c r="C14" i="61" s="1"/>
  <c r="B13" i="61"/>
  <c r="C13" i="61" s="1"/>
  <c r="D12" i="61"/>
  <c r="B12" i="61"/>
  <c r="C12" i="61" s="1"/>
  <c r="B10" i="61"/>
  <c r="D9" i="61"/>
  <c r="B9" i="61"/>
  <c r="B8" i="61"/>
  <c r="U102" i="60"/>
  <c r="U101" i="60"/>
  <c r="M98" i="60"/>
  <c r="N97" i="60"/>
  <c r="M91" i="60"/>
  <c r="U87" i="60"/>
  <c r="R87" i="60"/>
  <c r="O87" i="60"/>
  <c r="M87" i="60"/>
  <c r="O86" i="60"/>
  <c r="D86" i="60"/>
  <c r="O85" i="60"/>
  <c r="P85" i="60" s="1"/>
  <c r="M85" i="60"/>
  <c r="Z84" i="60"/>
  <c r="O84" i="60"/>
  <c r="O83" i="60"/>
  <c r="P83" i="60" s="1"/>
  <c r="M83" i="60"/>
  <c r="O82" i="60"/>
  <c r="P80" i="60"/>
  <c r="M80" i="60"/>
  <c r="O77" i="60"/>
  <c r="P77" i="60" s="1"/>
  <c r="O75" i="60"/>
  <c r="P75" i="60" s="1"/>
  <c r="O74" i="60"/>
  <c r="O73" i="60"/>
  <c r="P73" i="60" s="1"/>
  <c r="M73" i="60"/>
  <c r="O72" i="60"/>
  <c r="O71" i="60"/>
  <c r="P71" i="60" s="1"/>
  <c r="M71" i="60"/>
  <c r="O70" i="60"/>
  <c r="O69" i="60"/>
  <c r="P69" i="60" s="1"/>
  <c r="M69" i="60"/>
  <c r="O68" i="60"/>
  <c r="O67" i="60"/>
  <c r="P67" i="60" s="1"/>
  <c r="M67" i="60"/>
  <c r="O66" i="60"/>
  <c r="O65" i="60"/>
  <c r="P65" i="60" s="1"/>
  <c r="M65" i="60"/>
  <c r="O64" i="60"/>
  <c r="O63" i="60"/>
  <c r="O62" i="60"/>
  <c r="O61" i="60"/>
  <c r="O60" i="60"/>
  <c r="O59" i="60"/>
  <c r="O58" i="60"/>
  <c r="O57" i="60"/>
  <c r="O56" i="60"/>
  <c r="O55" i="60"/>
  <c r="O54" i="60"/>
  <c r="O53" i="60"/>
  <c r="O52" i="60"/>
  <c r="O51" i="60"/>
  <c r="AA50" i="60"/>
  <c r="O50" i="60"/>
  <c r="O49" i="60"/>
  <c r="O48" i="60"/>
  <c r="O47" i="60"/>
  <c r="O46" i="60"/>
  <c r="O45" i="60"/>
  <c r="Y44" i="60"/>
  <c r="O44" i="60"/>
  <c r="M43" i="60"/>
  <c r="T42" i="60"/>
  <c r="R42" i="60"/>
  <c r="Q42" i="60"/>
  <c r="O42" i="60"/>
  <c r="I88" i="60"/>
  <c r="H41" i="60"/>
  <c r="M41" i="60" s="1"/>
  <c r="B37" i="60"/>
  <c r="B32" i="60"/>
  <c r="N48" i="59"/>
  <c r="F48" i="59"/>
  <c r="N47" i="59"/>
  <c r="M47" i="59"/>
  <c r="N46" i="59"/>
  <c r="F46" i="59"/>
  <c r="N45" i="59"/>
  <c r="M45" i="59"/>
  <c r="N44" i="59"/>
  <c r="M43" i="59"/>
  <c r="N41" i="59"/>
  <c r="N40" i="59"/>
  <c r="N39" i="59"/>
  <c r="N38" i="59"/>
  <c r="N37" i="59"/>
  <c r="N36" i="59"/>
  <c r="B36" i="59"/>
  <c r="N35" i="59"/>
  <c r="N34" i="59"/>
  <c r="N33" i="59"/>
  <c r="N32" i="59"/>
  <c r="N30" i="59"/>
  <c r="N29" i="59"/>
  <c r="N28" i="59"/>
  <c r="N27" i="59"/>
  <c r="N26" i="59"/>
  <c r="N25" i="59"/>
  <c r="N24" i="59"/>
  <c r="N23" i="59"/>
  <c r="N22" i="59"/>
  <c r="N21" i="59"/>
  <c r="N20" i="59"/>
  <c r="N19" i="59"/>
  <c r="N18" i="59"/>
  <c r="N17" i="59"/>
  <c r="N16" i="59"/>
  <c r="N15" i="59"/>
  <c r="I50" i="59"/>
  <c r="N13" i="59"/>
  <c r="N12" i="59"/>
  <c r="N11" i="59"/>
  <c r="N10" i="59"/>
  <c r="F48" i="58"/>
  <c r="M47" i="58"/>
  <c r="F46" i="58"/>
  <c r="M45" i="58"/>
  <c r="F44" i="58"/>
  <c r="M43" i="58"/>
  <c r="B37" i="58"/>
  <c r="B33" i="58"/>
  <c r="E42" i="58"/>
  <c r="AA69" i="57"/>
  <c r="Q65" i="57"/>
  <c r="Q64" i="57"/>
  <c r="M58" i="57"/>
  <c r="M56" i="57"/>
  <c r="M54" i="57"/>
  <c r="W42" i="57"/>
  <c r="E65" i="57"/>
  <c r="E70" i="57" s="1"/>
  <c r="M41" i="57"/>
  <c r="B36" i="57"/>
  <c r="R30" i="57"/>
  <c r="Q27" i="57"/>
  <c r="S27" i="57" s="1"/>
  <c r="S26" i="57"/>
  <c r="P12" i="57"/>
  <c r="D195" i="56"/>
  <c r="C194" i="56"/>
  <c r="D194" i="56" s="1"/>
  <c r="D193" i="56"/>
  <c r="E162" i="56"/>
  <c r="A162" i="56"/>
  <c r="A172" i="56" s="1"/>
  <c r="A161" i="56"/>
  <c r="A171" i="56" s="1"/>
  <c r="A178" i="56" s="1"/>
  <c r="A160" i="56"/>
  <c r="A170" i="56" s="1"/>
  <c r="A177" i="56" s="1"/>
  <c r="A159" i="56"/>
  <c r="A169" i="56" s="1"/>
  <c r="A176" i="56" s="1"/>
  <c r="A158" i="56"/>
  <c r="A168" i="56" s="1"/>
  <c r="A175" i="56" s="1"/>
  <c r="Q146" i="56"/>
  <c r="S145" i="56"/>
  <c r="Q145" i="56"/>
  <c r="Q144" i="56"/>
  <c r="Q143" i="56"/>
  <c r="N112" i="56"/>
  <c r="M111" i="56"/>
  <c r="Y110" i="56"/>
  <c r="Q110" i="56"/>
  <c r="M110" i="56"/>
  <c r="Q109" i="56"/>
  <c r="R109" i="56" s="1"/>
  <c r="M109" i="56"/>
  <c r="Q108" i="56"/>
  <c r="N108" i="56"/>
  <c r="Q107" i="56"/>
  <c r="R107" i="56" s="1"/>
  <c r="M107" i="56"/>
  <c r="Q106" i="56"/>
  <c r="N106" i="56"/>
  <c r="Q105" i="56"/>
  <c r="R105" i="56" s="1"/>
  <c r="M105" i="56"/>
  <c r="Q104" i="56"/>
  <c r="N104" i="56"/>
  <c r="Q103" i="56"/>
  <c r="Q102" i="56"/>
  <c r="N102" i="56"/>
  <c r="Q101" i="56"/>
  <c r="Q100" i="56"/>
  <c r="N100" i="56"/>
  <c r="Q99" i="56"/>
  <c r="Q98" i="56"/>
  <c r="N98" i="56"/>
  <c r="Q97" i="56"/>
  <c r="Q96" i="56"/>
  <c r="N96" i="56"/>
  <c r="Q94" i="56"/>
  <c r="M66" i="56"/>
  <c r="Q65" i="56"/>
  <c r="N65" i="56"/>
  <c r="Q64" i="56"/>
  <c r="R64" i="56" s="1"/>
  <c r="M64" i="56"/>
  <c r="Q63" i="56"/>
  <c r="N63" i="56"/>
  <c r="Q62" i="56"/>
  <c r="R62" i="56" s="1"/>
  <c r="M62" i="56"/>
  <c r="Q61" i="56"/>
  <c r="N61" i="56"/>
  <c r="Q60" i="56"/>
  <c r="R60" i="56" s="1"/>
  <c r="O60" i="56"/>
  <c r="M60" i="56"/>
  <c r="Q59" i="56"/>
  <c r="N59" i="56"/>
  <c r="Q58" i="56"/>
  <c r="R58" i="56" s="1"/>
  <c r="O58" i="56"/>
  <c r="M58" i="56"/>
  <c r="Q57" i="56"/>
  <c r="H57" i="56"/>
  <c r="N57" i="56"/>
  <c r="Q56" i="56"/>
  <c r="R56" i="56" s="1"/>
  <c r="O56" i="56"/>
  <c r="M56" i="56"/>
  <c r="Q55" i="56"/>
  <c r="N55" i="56"/>
  <c r="Q54" i="56"/>
  <c r="R54" i="56" s="1"/>
  <c r="O54" i="56"/>
  <c r="M54" i="56"/>
  <c r="Q53" i="56"/>
  <c r="N53" i="56"/>
  <c r="Q52" i="56"/>
  <c r="R52" i="56" s="1"/>
  <c r="O52" i="56"/>
  <c r="M52" i="56"/>
  <c r="Q51" i="56"/>
  <c r="R50" i="56"/>
  <c r="Q49" i="56"/>
  <c r="H49" i="56"/>
  <c r="Q48" i="56"/>
  <c r="R48" i="56" s="1"/>
  <c r="O48" i="56"/>
  <c r="M48" i="56"/>
  <c r="Q47" i="56"/>
  <c r="Q46" i="56"/>
  <c r="R46" i="56" s="1"/>
  <c r="O46" i="56"/>
  <c r="Y45" i="56"/>
  <c r="X45" i="56"/>
  <c r="U45" i="56"/>
  <c r="Q45" i="56"/>
  <c r="B37" i="56"/>
  <c r="Q34" i="56"/>
  <c r="Q33" i="56"/>
  <c r="Q32" i="56"/>
  <c r="Q31" i="56"/>
  <c r="Q30" i="56"/>
  <c r="Q29" i="56"/>
  <c r="Q28" i="56"/>
  <c r="Q27" i="56"/>
  <c r="Q26" i="56"/>
  <c r="Q25" i="56"/>
  <c r="Q24" i="56"/>
  <c r="Q23" i="56"/>
  <c r="Q22" i="56"/>
  <c r="Q21" i="56"/>
  <c r="Q20" i="56"/>
  <c r="Q19" i="56"/>
  <c r="Q18" i="56"/>
  <c r="Q17" i="56"/>
  <c r="Q16" i="56"/>
  <c r="Q15" i="56"/>
  <c r="Q14" i="56"/>
  <c r="Q13" i="56"/>
  <c r="Q12" i="56"/>
  <c r="Q11" i="56"/>
  <c r="Q10" i="56"/>
  <c r="Q9" i="56"/>
  <c r="R9" i="56" s="1"/>
  <c r="A25" i="55"/>
  <c r="A24" i="55"/>
  <c r="A23" i="55"/>
  <c r="J46" i="54"/>
  <c r="G46" i="54"/>
  <c r="F46" i="54"/>
  <c r="C46" i="54"/>
  <c r="S41" i="54"/>
  <c r="M41" i="54"/>
  <c r="H41" i="54"/>
  <c r="J41" i="54" s="1"/>
  <c r="S17" i="54" s="1"/>
  <c r="G41" i="54"/>
  <c r="S40" i="54"/>
  <c r="T40" i="54" s="1"/>
  <c r="S39" i="54"/>
  <c r="T39" i="54" s="1"/>
  <c r="S38" i="54"/>
  <c r="I38" i="54"/>
  <c r="I43" i="54" s="1"/>
  <c r="E38" i="54"/>
  <c r="S37" i="54"/>
  <c r="T37" i="54" s="1"/>
  <c r="N37" i="54"/>
  <c r="M37" i="54"/>
  <c r="L37" i="54"/>
  <c r="K37" i="54"/>
  <c r="S36" i="54"/>
  <c r="M36" i="54"/>
  <c r="H36" i="54"/>
  <c r="J36" i="54" s="1"/>
  <c r="G36" i="54"/>
  <c r="C36" i="54"/>
  <c r="S35" i="54"/>
  <c r="T35" i="54" s="1"/>
  <c r="N35" i="54"/>
  <c r="M35" i="54"/>
  <c r="L35" i="54"/>
  <c r="K35" i="54"/>
  <c r="S34" i="54"/>
  <c r="M34" i="54"/>
  <c r="H34" i="54"/>
  <c r="J34" i="54" s="1"/>
  <c r="G34" i="54"/>
  <c r="C34" i="54"/>
  <c r="S33" i="54"/>
  <c r="T33" i="54" s="1"/>
  <c r="N33" i="54"/>
  <c r="M33" i="54"/>
  <c r="L33" i="54"/>
  <c r="K33" i="54"/>
  <c r="S32" i="54"/>
  <c r="M32" i="54"/>
  <c r="G32" i="54"/>
  <c r="C32" i="54"/>
  <c r="S31" i="54"/>
  <c r="T31" i="54" s="1"/>
  <c r="N31" i="54"/>
  <c r="M31" i="54"/>
  <c r="L31" i="54"/>
  <c r="K31" i="54"/>
  <c r="S30" i="54"/>
  <c r="M30" i="54"/>
  <c r="H30" i="54"/>
  <c r="J30" i="54" s="1"/>
  <c r="G30" i="54"/>
  <c r="C30" i="54"/>
  <c r="S29" i="54"/>
  <c r="T29" i="54" s="1"/>
  <c r="N29" i="54"/>
  <c r="M29" i="54"/>
  <c r="L29" i="54"/>
  <c r="K29" i="54"/>
  <c r="S28" i="54"/>
  <c r="M28" i="54"/>
  <c r="H28" i="54"/>
  <c r="J28" i="54" s="1"/>
  <c r="G28" i="54"/>
  <c r="C28" i="54"/>
  <c r="N26" i="54"/>
  <c r="M26" i="54"/>
  <c r="L26" i="54"/>
  <c r="G26" i="54"/>
  <c r="K26" i="54" s="1"/>
  <c r="J20" i="54"/>
  <c r="G20" i="54"/>
  <c r="F20" i="54"/>
  <c r="C20" i="54"/>
  <c r="U17" i="54"/>
  <c r="U16" i="54"/>
  <c r="V16" i="54" s="1"/>
  <c r="N16" i="54"/>
  <c r="M16" i="54"/>
  <c r="L16" i="54"/>
  <c r="K16" i="54"/>
  <c r="U15" i="54"/>
  <c r="G15" i="54"/>
  <c r="U14" i="54"/>
  <c r="V14" i="54" s="1"/>
  <c r="N14" i="54"/>
  <c r="M14" i="54"/>
  <c r="L14" i="54"/>
  <c r="K14" i="54"/>
  <c r="U13" i="54"/>
  <c r="V13" i="54" s="1"/>
  <c r="N13" i="54"/>
  <c r="M13" i="54"/>
  <c r="L13" i="54"/>
  <c r="K13" i="54"/>
  <c r="U12" i="54"/>
  <c r="V12" i="54" s="1"/>
  <c r="N12" i="54"/>
  <c r="M12" i="54"/>
  <c r="L12" i="54"/>
  <c r="K12" i="54"/>
  <c r="U11" i="54"/>
  <c r="M11" i="54"/>
  <c r="G11" i="54"/>
  <c r="C11" i="54"/>
  <c r="U10" i="54"/>
  <c r="V10" i="54" s="1"/>
  <c r="N10" i="54"/>
  <c r="M10" i="54"/>
  <c r="L10" i="54"/>
  <c r="K10" i="54"/>
  <c r="U9" i="54"/>
  <c r="M9" i="54"/>
  <c r="H9" i="54"/>
  <c r="J9" i="54" s="1"/>
  <c r="G9" i="54"/>
  <c r="C9" i="54"/>
  <c r="U8" i="54"/>
  <c r="V8" i="54" s="1"/>
  <c r="N8" i="54"/>
  <c r="M8" i="54"/>
  <c r="L8" i="54"/>
  <c r="K8" i="54"/>
  <c r="U7" i="54"/>
  <c r="G7" i="54"/>
  <c r="N5" i="54"/>
  <c r="M5" i="54"/>
  <c r="L5" i="54"/>
  <c r="G5" i="54"/>
  <c r="K5" i="54" s="1"/>
  <c r="G25" i="54"/>
  <c r="C4" i="54"/>
  <c r="C25" i="54" s="1"/>
  <c r="K43" i="85" l="1"/>
  <c r="O43" i="85"/>
  <c r="P43" i="85" s="1"/>
  <c r="B68" i="85"/>
  <c r="L43" i="85"/>
  <c r="E101" i="111"/>
  <c r="E102" i="111" s="1"/>
  <c r="H84" i="111"/>
  <c r="C43" i="85"/>
  <c r="E43" i="85" s="1"/>
  <c r="H56" i="110"/>
  <c r="AV9" i="69"/>
  <c r="AV15" i="69" s="1"/>
  <c r="C8" i="61"/>
  <c r="E8" i="61"/>
  <c r="G8" i="61" s="1"/>
  <c r="C9" i="61"/>
  <c r="E9" i="61"/>
  <c r="C15" i="61"/>
  <c r="E15" i="61"/>
  <c r="E10" i="61"/>
  <c r="C10" i="61"/>
  <c r="AV32" i="69"/>
  <c r="I50" i="58"/>
  <c r="I52" i="58" s="1"/>
  <c r="B38" i="58"/>
  <c r="B34" i="58"/>
  <c r="B16" i="61"/>
  <c r="E16" i="61" s="1"/>
  <c r="I63" i="57"/>
  <c r="E95" i="60"/>
  <c r="G95" i="60" s="1"/>
  <c r="C42" i="60"/>
  <c r="C40" i="85"/>
  <c r="E40" i="85" s="1"/>
  <c r="B33" i="60"/>
  <c r="B38" i="56"/>
  <c r="B38" i="60"/>
  <c r="M38" i="54"/>
  <c r="B37" i="57"/>
  <c r="B37" i="59"/>
  <c r="C39" i="85"/>
  <c r="E39" i="85" s="1"/>
  <c r="C38" i="85"/>
  <c r="E38" i="85" s="1"/>
  <c r="H159" i="56"/>
  <c r="F153" i="56"/>
  <c r="E50" i="58"/>
  <c r="E59" i="58" s="1"/>
  <c r="E54" i="58"/>
  <c r="E71" i="57"/>
  <c r="F152" i="56"/>
  <c r="H160" i="56"/>
  <c r="B160" i="56"/>
  <c r="E160" i="56" s="1"/>
  <c r="B159" i="56"/>
  <c r="E159" i="56" s="1"/>
  <c r="R14" i="56"/>
  <c r="K34" i="54"/>
  <c r="R143" i="56"/>
  <c r="R94" i="56"/>
  <c r="P44" i="60"/>
  <c r="K36" i="54"/>
  <c r="P45" i="60"/>
  <c r="K30" i="54"/>
  <c r="T41" i="54"/>
  <c r="G17" i="54"/>
  <c r="G21" i="54" s="1"/>
  <c r="P70" i="60"/>
  <c r="K11" i="54"/>
  <c r="F86" i="60"/>
  <c r="P50" i="60"/>
  <c r="K9" i="54"/>
  <c r="T34" i="54"/>
  <c r="D32" i="55"/>
  <c r="E12" i="61"/>
  <c r="G38" i="54"/>
  <c r="G47" i="54" s="1"/>
  <c r="P46" i="60"/>
  <c r="P49" i="60"/>
  <c r="K32" i="54"/>
  <c r="D36" i="55"/>
  <c r="T87" i="60"/>
  <c r="V87" i="60" s="1"/>
  <c r="T30" i="54"/>
  <c r="K28" i="54"/>
  <c r="V9" i="54"/>
  <c r="P47" i="60"/>
  <c r="P52" i="60"/>
  <c r="P60" i="60"/>
  <c r="D78" i="55"/>
  <c r="D44" i="55"/>
  <c r="P56" i="60"/>
  <c r="P74" i="60"/>
  <c r="D34" i="55"/>
  <c r="R110" i="56"/>
  <c r="P54" i="60"/>
  <c r="P62" i="60"/>
  <c r="R63" i="56"/>
  <c r="M98" i="56"/>
  <c r="R13" i="56"/>
  <c r="H65" i="56"/>
  <c r="M65" i="56" s="1"/>
  <c r="H63" i="56"/>
  <c r="M63" i="56" s="1"/>
  <c r="R98" i="56"/>
  <c r="H53" i="56"/>
  <c r="M53" i="56" s="1"/>
  <c r="R102" i="56"/>
  <c r="N51" i="56"/>
  <c r="R59" i="56"/>
  <c r="R19" i="56"/>
  <c r="R11" i="56"/>
  <c r="H55" i="56"/>
  <c r="R57" i="56"/>
  <c r="O59" i="56"/>
  <c r="M61" i="56"/>
  <c r="R10" i="56"/>
  <c r="R15" i="56"/>
  <c r="R53" i="56"/>
  <c r="N49" i="56"/>
  <c r="M74" i="60"/>
  <c r="M60" i="60"/>
  <c r="M56" i="60"/>
  <c r="M46" i="60"/>
  <c r="M52" i="60"/>
  <c r="M64" i="60"/>
  <c r="M106" i="56"/>
  <c r="M57" i="56"/>
  <c r="R49" i="56"/>
  <c r="O57" i="56"/>
  <c r="R96" i="56"/>
  <c r="R51" i="56"/>
  <c r="D38" i="55"/>
  <c r="R12" i="56"/>
  <c r="R100" i="56"/>
  <c r="P58" i="60"/>
  <c r="E13" i="61"/>
  <c r="F49" i="54"/>
  <c r="T36" i="54"/>
  <c r="R18" i="56"/>
  <c r="R55" i="56"/>
  <c r="M112" i="56"/>
  <c r="D21" i="61"/>
  <c r="R106" i="56"/>
  <c r="P66" i="60"/>
  <c r="P72" i="60"/>
  <c r="E14" i="61"/>
  <c r="R47" i="56"/>
  <c r="R108" i="56"/>
  <c r="D196" i="56"/>
  <c r="P68" i="60"/>
  <c r="R16" i="56"/>
  <c r="P64" i="60"/>
  <c r="M49" i="56"/>
  <c r="O49" i="56"/>
  <c r="H51" i="56"/>
  <c r="O51" i="56" s="1"/>
  <c r="B17" i="61"/>
  <c r="E17" i="61" s="1"/>
  <c r="P63" i="60"/>
  <c r="M63" i="60"/>
  <c r="P61" i="60"/>
  <c r="M61" i="60"/>
  <c r="M70" i="60"/>
  <c r="P59" i="60"/>
  <c r="M59" i="60"/>
  <c r="P57" i="60"/>
  <c r="M57" i="60"/>
  <c r="P48" i="60"/>
  <c r="M48" i="60"/>
  <c r="P55" i="60"/>
  <c r="M55" i="60"/>
  <c r="P53" i="60"/>
  <c r="M53" i="60"/>
  <c r="P82" i="60"/>
  <c r="P51" i="60"/>
  <c r="M51" i="60"/>
  <c r="M49" i="60"/>
  <c r="M45" i="60"/>
  <c r="M47" i="60"/>
  <c r="N14" i="59"/>
  <c r="N31" i="59"/>
  <c r="Q30" i="57"/>
  <c r="O104" i="56"/>
  <c r="R104" i="56"/>
  <c r="R61" i="56"/>
  <c r="O100" i="56"/>
  <c r="M100" i="56"/>
  <c r="R65" i="56"/>
  <c r="M104" i="56"/>
  <c r="N47" i="56"/>
  <c r="H96" i="56"/>
  <c r="N110" i="56"/>
  <c r="O106" i="56"/>
  <c r="S13" i="54"/>
  <c r="T28" i="54"/>
  <c r="S9" i="54"/>
  <c r="C38" i="54"/>
  <c r="B161" i="127" l="1"/>
  <c r="H161" i="127"/>
  <c r="H163" i="127" s="1"/>
  <c r="M68" i="85"/>
  <c r="I243" i="80"/>
  <c r="H98" i="111"/>
  <c r="M84" i="111"/>
  <c r="BF11" i="69"/>
  <c r="B38" i="57"/>
  <c r="B39" i="57" s="1"/>
  <c r="B39" i="58"/>
  <c r="B39" i="56"/>
  <c r="B39" i="60"/>
  <c r="B38" i="59"/>
  <c r="D23" i="61"/>
  <c r="B59" i="85"/>
  <c r="E52" i="58"/>
  <c r="E58" i="58"/>
  <c r="E60" i="58" s="1"/>
  <c r="G54" i="58"/>
  <c r="G58" i="58" s="1"/>
  <c r="G60" i="58" s="1"/>
  <c r="E72" i="57"/>
  <c r="G65" i="57"/>
  <c r="G70" i="57" s="1"/>
  <c r="M50" i="60"/>
  <c r="E55" i="59"/>
  <c r="F151" i="56"/>
  <c r="R20" i="56"/>
  <c r="M44" i="60"/>
  <c r="O55" i="56"/>
  <c r="O98" i="56"/>
  <c r="V42" i="60"/>
  <c r="O102" i="56"/>
  <c r="J61" i="57"/>
  <c r="D111" i="14"/>
  <c r="S111" i="14" s="1"/>
  <c r="O47" i="56"/>
  <c r="O63" i="56"/>
  <c r="O65" i="56"/>
  <c r="O53" i="56"/>
  <c r="E21" i="61"/>
  <c r="M102" i="56"/>
  <c r="M55" i="56"/>
  <c r="O61" i="56"/>
  <c r="M59" i="56"/>
  <c r="M47" i="56"/>
  <c r="M51" i="56"/>
  <c r="J88" i="60"/>
  <c r="P84" i="60"/>
  <c r="P86" i="60"/>
  <c r="J50" i="59"/>
  <c r="E50" i="59"/>
  <c r="N42" i="59"/>
  <c r="J50" i="58"/>
  <c r="M108" i="56"/>
  <c r="O96" i="56"/>
  <c r="M96" i="56"/>
  <c r="C47" i="54"/>
  <c r="K38" i="54"/>
  <c r="E161" i="127" l="1"/>
  <c r="E153" i="127"/>
  <c r="B163" i="127"/>
  <c r="BH10" i="69"/>
  <c r="BH35" i="69" s="1"/>
  <c r="BF8" i="69"/>
  <c r="BH8" i="69" s="1"/>
  <c r="BH32" i="69" s="1"/>
  <c r="E69" i="56"/>
  <c r="H69" i="56" s="1"/>
  <c r="M69" i="56" s="1"/>
  <c r="B40" i="58"/>
  <c r="B40" i="56"/>
  <c r="AV36" i="69"/>
  <c r="AV38" i="69" s="1"/>
  <c r="AV31" i="69"/>
  <c r="B39" i="59"/>
  <c r="B40" i="60"/>
  <c r="B40" i="57"/>
  <c r="E60" i="59"/>
  <c r="E52" i="59"/>
  <c r="G55" i="59"/>
  <c r="G59" i="59" s="1"/>
  <c r="E59" i="59"/>
  <c r="R17" i="56"/>
  <c r="P42" i="60"/>
  <c r="S42" i="60" s="1"/>
  <c r="D112" i="14"/>
  <c r="S112" i="14" s="1"/>
  <c r="J45" i="56"/>
  <c r="N50" i="59"/>
  <c r="R21" i="56"/>
  <c r="F12" i="53"/>
  <c r="K6" i="53"/>
  <c r="K5" i="53"/>
  <c r="F7" i="53"/>
  <c r="F12" i="52"/>
  <c r="K4" i="52"/>
  <c r="F7" i="52"/>
  <c r="F28" i="51"/>
  <c r="F12" i="51"/>
  <c r="H53" i="14"/>
  <c r="H54" i="14"/>
  <c r="H55" i="14"/>
  <c r="H56" i="14"/>
  <c r="H52" i="14"/>
  <c r="G54" i="14"/>
  <c r="F53" i="14"/>
  <c r="F54" i="14"/>
  <c r="F55" i="14"/>
  <c r="F56" i="14"/>
  <c r="F52" i="14"/>
  <c r="K53" i="14"/>
  <c r="K54" i="14"/>
  <c r="K56" i="14"/>
  <c r="E53" i="14"/>
  <c r="E55" i="14"/>
  <c r="AY11" i="14"/>
  <c r="AX11" i="14"/>
  <c r="AW11" i="14"/>
  <c r="AV11" i="14"/>
  <c r="AU11" i="14"/>
  <c r="AT11" i="14"/>
  <c r="AS11" i="14"/>
  <c r="AR11" i="14"/>
  <c r="AQ11" i="14"/>
  <c r="AP11" i="14"/>
  <c r="AO11" i="14"/>
  <c r="AN11" i="14"/>
  <c r="C25" i="14" s="1"/>
  <c r="AM11" i="14"/>
  <c r="AL11" i="14"/>
  <c r="AK11" i="14"/>
  <c r="AJ11" i="14"/>
  <c r="AH11" i="14"/>
  <c r="AG11" i="14"/>
  <c r="AF11" i="14"/>
  <c r="AE11" i="14"/>
  <c r="D25" i="14" s="1"/>
  <c r="AD11" i="14"/>
  <c r="AC11" i="14"/>
  <c r="AB11" i="14"/>
  <c r="Y11" i="14"/>
  <c r="X11" i="14"/>
  <c r="W11" i="14"/>
  <c r="E25" i="14" s="1"/>
  <c r="V11" i="14"/>
  <c r="U11" i="14"/>
  <c r="T11" i="14"/>
  <c r="S11" i="14"/>
  <c r="R11" i="14"/>
  <c r="Q11" i="14"/>
  <c r="P11" i="14"/>
  <c r="O11" i="14"/>
  <c r="F25" i="14" s="1"/>
  <c r="N11" i="14"/>
  <c r="M11" i="14"/>
  <c r="L11" i="14"/>
  <c r="K11" i="14"/>
  <c r="I11" i="14"/>
  <c r="H11" i="14"/>
  <c r="G11" i="14"/>
  <c r="G25" i="14" s="1"/>
  <c r="F11" i="14"/>
  <c r="E11" i="14"/>
  <c r="D11" i="14"/>
  <c r="C22" i="14" s="1"/>
  <c r="C11" i="14"/>
  <c r="F28" i="50"/>
  <c r="R93" i="14"/>
  <c r="Q93" i="14"/>
  <c r="P93" i="14"/>
  <c r="O93" i="14"/>
  <c r="N93" i="14"/>
  <c r="M93" i="14"/>
  <c r="L93" i="14"/>
  <c r="J93" i="14"/>
  <c r="I93" i="14"/>
  <c r="H93" i="14"/>
  <c r="G93" i="14"/>
  <c r="F93" i="14"/>
  <c r="M190" i="1" s="1"/>
  <c r="E93" i="14"/>
  <c r="E163" i="127" l="1"/>
  <c r="B165" i="127"/>
  <c r="E155" i="127"/>
  <c r="D17" i="1"/>
  <c r="D191" i="1" s="1"/>
  <c r="M191" i="1" s="1"/>
  <c r="C24" i="14"/>
  <c r="I13" i="14"/>
  <c r="I14" i="14" s="1"/>
  <c r="AQ12" i="14"/>
  <c r="AQ14" i="14" s="1"/>
  <c r="M17" i="1"/>
  <c r="AH12" i="14"/>
  <c r="AH14" i="14" s="1"/>
  <c r="BB8" i="69"/>
  <c r="W204" i="1"/>
  <c r="Q13" i="14"/>
  <c r="Q14" i="14" s="1"/>
  <c r="BH9" i="69"/>
  <c r="BH11" i="69" s="1"/>
  <c r="BH13" i="69" s="1"/>
  <c r="BH36" i="69" s="1"/>
  <c r="BH38" i="69" s="1"/>
  <c r="C21" i="14"/>
  <c r="Q69" i="56"/>
  <c r="R69" i="56" s="1"/>
  <c r="Y13" i="14"/>
  <c r="E20" i="14"/>
  <c r="D27" i="14"/>
  <c r="E57" i="14"/>
  <c r="T192" i="1"/>
  <c r="H22" i="87"/>
  <c r="AV33" i="69"/>
  <c r="B40" i="59"/>
  <c r="C76" i="55"/>
  <c r="D22" i="14"/>
  <c r="G21" i="14"/>
  <c r="E24" i="14"/>
  <c r="D23" i="14"/>
  <c r="F23" i="14"/>
  <c r="W71" i="14"/>
  <c r="C23" i="14"/>
  <c r="D99" i="14"/>
  <c r="S99" i="14" s="1"/>
  <c r="M35" i="1"/>
  <c r="AE35" i="1" s="1"/>
  <c r="D37" i="1"/>
  <c r="D21" i="14"/>
  <c r="D16" i="14" s="1"/>
  <c r="E61" i="59"/>
  <c r="D113" i="14"/>
  <c r="S113" i="14" s="1"/>
  <c r="G57" i="14"/>
  <c r="S52" i="14"/>
  <c r="D53" i="14" s="1"/>
  <c r="K4" i="53"/>
  <c r="K7" i="53" s="1"/>
  <c r="F28" i="52"/>
  <c r="R22" i="56"/>
  <c r="F12" i="50"/>
  <c r="F7" i="50"/>
  <c r="AV42" i="122" l="1"/>
  <c r="AV43" i="122" s="1"/>
  <c r="D38" i="1"/>
  <c r="N23" i="14"/>
  <c r="BD8" i="69"/>
  <c r="BD9" i="69" s="1"/>
  <c r="S114" i="14"/>
  <c r="E71" i="56"/>
  <c r="H71" i="56" s="1"/>
  <c r="BJ11" i="69"/>
  <c r="BL10" i="69"/>
  <c r="BL35" i="69" s="1"/>
  <c r="BJ8" i="69"/>
  <c r="BL8" i="69" s="1"/>
  <c r="BL9" i="69" s="1"/>
  <c r="E67" i="56"/>
  <c r="BB11" i="69"/>
  <c r="BH15" i="69"/>
  <c r="BD10" i="69"/>
  <c r="BD35" i="69" s="1"/>
  <c r="M23" i="14"/>
  <c r="F20" i="1"/>
  <c r="D100" i="14"/>
  <c r="S100" i="14" s="1"/>
  <c r="T194" i="1"/>
  <c r="H23" i="87"/>
  <c r="BN22" i="87"/>
  <c r="I22" i="87"/>
  <c r="AV39" i="69"/>
  <c r="AV42" i="69"/>
  <c r="W72" i="14"/>
  <c r="W68" i="14" s="1"/>
  <c r="L61" i="57"/>
  <c r="N38" i="1"/>
  <c r="AG35" i="1"/>
  <c r="J4" i="91"/>
  <c r="E43" i="92" s="1"/>
  <c r="F43" i="92" s="1"/>
  <c r="S53" i="14"/>
  <c r="R23" i="56"/>
  <c r="R57" i="14"/>
  <c r="Q57" i="14"/>
  <c r="P57" i="14"/>
  <c r="O57" i="14"/>
  <c r="N57" i="14"/>
  <c r="M57" i="14"/>
  <c r="L57" i="14"/>
  <c r="K57" i="14"/>
  <c r="J57" i="14"/>
  <c r="I57" i="14"/>
  <c r="H57" i="14"/>
  <c r="F57" i="14"/>
  <c r="R114" i="14"/>
  <c r="Z14" i="1" s="1"/>
  <c r="O114" i="14"/>
  <c r="M114" i="14"/>
  <c r="AC14" i="1" s="1"/>
  <c r="AC188" i="1" s="1"/>
  <c r="L114" i="14"/>
  <c r="K114" i="14"/>
  <c r="W14" i="1" s="1"/>
  <c r="W188" i="1" s="1"/>
  <c r="J114" i="14"/>
  <c r="V14" i="1" s="1"/>
  <c r="I114" i="14"/>
  <c r="E114" i="14"/>
  <c r="D14" i="1" s="1"/>
  <c r="H103" i="14"/>
  <c r="AV13" i="63" s="1"/>
  <c r="AW13" i="63" s="1"/>
  <c r="G103" i="14"/>
  <c r="N13" i="1" s="1"/>
  <c r="E103" i="14"/>
  <c r="D13" i="1" s="1"/>
  <c r="D54" i="14" l="1"/>
  <c r="S54" i="14" s="1"/>
  <c r="D55" i="14" s="1"/>
  <c r="S55" i="14" s="1"/>
  <c r="D56" i="14" s="1"/>
  <c r="D187" i="1"/>
  <c r="V188" i="1"/>
  <c r="V192" i="1" s="1"/>
  <c r="V18" i="1"/>
  <c r="N187" i="1"/>
  <c r="AD13" i="1"/>
  <c r="AB14" i="1"/>
  <c r="U14" i="1"/>
  <c r="AV17" i="63" s="1"/>
  <c r="AW17" i="63" s="1"/>
  <c r="AC18" i="1"/>
  <c r="AV28" i="88"/>
  <c r="Z18" i="1"/>
  <c r="Z188" i="1"/>
  <c r="D188" i="1"/>
  <c r="BL11" i="69"/>
  <c r="BL13" i="69" s="1"/>
  <c r="BD32" i="69"/>
  <c r="AV27" i="63"/>
  <c r="H67" i="56"/>
  <c r="O67" i="56" s="1"/>
  <c r="BL32" i="69"/>
  <c r="K166" i="56"/>
  <c r="BD11" i="69"/>
  <c r="BD13" i="69" s="1"/>
  <c r="BD36" i="69" s="1"/>
  <c r="BD38" i="69" s="1"/>
  <c r="N67" i="56"/>
  <c r="BH31" i="69"/>
  <c r="BH33" i="69" s="1"/>
  <c r="BH39" i="69" s="1"/>
  <c r="C82" i="55"/>
  <c r="E116" i="14"/>
  <c r="D101" i="14"/>
  <c r="S101" i="14" s="1"/>
  <c r="AV43" i="69"/>
  <c r="W200" i="1"/>
  <c r="K4" i="91"/>
  <c r="K6" i="91" s="1"/>
  <c r="J6" i="91"/>
  <c r="C20" i="87"/>
  <c r="F18" i="87"/>
  <c r="E20" i="87"/>
  <c r="R24" i="56"/>
  <c r="BH42" i="122" l="1"/>
  <c r="BH43" i="122" s="1"/>
  <c r="BH42" i="69"/>
  <c r="BH43" i="69" s="1"/>
  <c r="I42" i="120"/>
  <c r="I43" i="120" s="1"/>
  <c r="U188" i="1"/>
  <c r="U192" i="1" s="1"/>
  <c r="AV14" i="113"/>
  <c r="AW14" i="113" s="1"/>
  <c r="U18" i="1"/>
  <c r="D160" i="1" s="1"/>
  <c r="F160" i="1" s="1"/>
  <c r="D18" i="1"/>
  <c r="M14" i="1"/>
  <c r="AB188" i="1"/>
  <c r="AV26" i="63"/>
  <c r="AW26" i="63" s="1"/>
  <c r="AV23" i="97"/>
  <c r="AW23" i="97" s="1"/>
  <c r="BP10" i="69"/>
  <c r="I166" i="56"/>
  <c r="M67" i="56"/>
  <c r="BD15" i="69"/>
  <c r="BD31" i="69" s="1"/>
  <c r="BD33" i="69" s="1"/>
  <c r="BD39" i="69" s="1"/>
  <c r="W201" i="1"/>
  <c r="BL15" i="69"/>
  <c r="BL36" i="69"/>
  <c r="BL38" i="69" s="1"/>
  <c r="AV25" i="63"/>
  <c r="AW25" i="63" s="1"/>
  <c r="AV22" i="97"/>
  <c r="AW22" i="97" s="1"/>
  <c r="AW27" i="63"/>
  <c r="AV24" i="97"/>
  <c r="AW24" i="97" s="1"/>
  <c r="AD187" i="1"/>
  <c r="M188" i="1"/>
  <c r="M13" i="1"/>
  <c r="BN20" i="87"/>
  <c r="I18" i="87"/>
  <c r="BN18" i="87"/>
  <c r="I20" i="87"/>
  <c r="K20" i="87" s="1"/>
  <c r="B42" i="85"/>
  <c r="B67" i="85" s="1"/>
  <c r="K162" i="56"/>
  <c r="E45" i="92"/>
  <c r="E47" i="92" s="1"/>
  <c r="D97" i="1"/>
  <c r="D78" i="1"/>
  <c r="E23" i="1" s="1"/>
  <c r="F23" i="1" s="1"/>
  <c r="E23" i="87"/>
  <c r="F23" i="87"/>
  <c r="S56" i="14"/>
  <c r="S57" i="14" s="1"/>
  <c r="R25" i="56"/>
  <c r="Z28" i="81" l="1"/>
  <c r="M67" i="85"/>
  <c r="K42" i="85"/>
  <c r="L42" i="85" s="1"/>
  <c r="U194" i="1"/>
  <c r="AV27" i="88"/>
  <c r="AW27" i="88" s="1"/>
  <c r="AV24" i="103"/>
  <c r="AW24" i="103" s="1"/>
  <c r="C80" i="55"/>
  <c r="BD42" i="122" s="1"/>
  <c r="BP35" i="69"/>
  <c r="BN8" i="69"/>
  <c r="E73" i="56"/>
  <c r="BN11" i="69"/>
  <c r="E26" i="1"/>
  <c r="F26" i="1" s="1"/>
  <c r="BL31" i="69"/>
  <c r="BL33" i="69" s="1"/>
  <c r="BL39" i="69" s="1"/>
  <c r="C84" i="55"/>
  <c r="L166" i="127" s="1"/>
  <c r="D102" i="14"/>
  <c r="S102" i="14" s="1"/>
  <c r="AV25" i="103"/>
  <c r="AW25" i="103" s="1"/>
  <c r="AV26" i="88"/>
  <c r="AW26" i="88" s="1"/>
  <c r="AV23" i="103"/>
  <c r="AW23" i="103" s="1"/>
  <c r="F97" i="1"/>
  <c r="E24" i="1"/>
  <c r="F24" i="1" s="1"/>
  <c r="C42" i="85"/>
  <c r="E42" i="85" s="1"/>
  <c r="H162" i="56"/>
  <c r="R26" i="56"/>
  <c r="L171" i="127" l="1"/>
  <c r="N174" i="127" s="1"/>
  <c r="M166" i="127"/>
  <c r="M171" i="127" s="1"/>
  <c r="BD43" i="122"/>
  <c r="M42" i="120"/>
  <c r="M43" i="120" s="1"/>
  <c r="BL42" i="122"/>
  <c r="BL43" i="122" s="1"/>
  <c r="BD42" i="69"/>
  <c r="BD43" i="69" s="1"/>
  <c r="E42" i="120"/>
  <c r="E43" i="120" s="1"/>
  <c r="BP8" i="69"/>
  <c r="BP32" i="69" s="1"/>
  <c r="H73" i="56"/>
  <c r="F107" i="55" s="1"/>
  <c r="S103" i="14"/>
  <c r="BL42" i="69"/>
  <c r="R27" i="56"/>
  <c r="BP9" i="69" l="1"/>
  <c r="BP11" i="69" s="1"/>
  <c r="BP13" i="69" s="1"/>
  <c r="BL43" i="69"/>
  <c r="R28" i="56"/>
  <c r="BP36" i="69" l="1"/>
  <c r="BP38" i="69" s="1"/>
  <c r="BP15" i="69"/>
  <c r="R29" i="56"/>
  <c r="C367" i="80" l="1"/>
  <c r="C96" i="55"/>
  <c r="BP31" i="69"/>
  <c r="BP33" i="69" s="1"/>
  <c r="BP39" i="69" s="1"/>
  <c r="R30" i="56"/>
  <c r="C3" i="3"/>
  <c r="Q42" i="120" l="1"/>
  <c r="Q43" i="120" s="1"/>
  <c r="BP42" i="122"/>
  <c r="BP42" i="69"/>
  <c r="F96" i="55"/>
  <c r="K45" i="56"/>
  <c r="R31" i="56"/>
  <c r="BQ42" i="120" l="1"/>
  <c r="BQ43" i="120" s="1"/>
  <c r="BP43" i="122"/>
  <c r="DT42" i="122"/>
  <c r="BP43" i="69"/>
  <c r="DP42" i="69"/>
  <c r="R32" i="56"/>
  <c r="BR8" i="69" l="1"/>
  <c r="E75" i="56"/>
  <c r="BT10" i="69"/>
  <c r="BT35" i="69" s="1"/>
  <c r="BR11" i="69"/>
  <c r="BV8" i="69"/>
  <c r="BX8" i="69" s="1"/>
  <c r="BX9" i="69" s="1"/>
  <c r="E77" i="56"/>
  <c r="H77" i="56" s="1"/>
  <c r="BV11" i="69"/>
  <c r="BX10" i="69"/>
  <c r="BX35" i="69" s="1"/>
  <c r="R33" i="56"/>
  <c r="H75" i="56" l="1"/>
  <c r="BT8" i="69"/>
  <c r="BT9" i="69" s="1"/>
  <c r="BT11" i="69" s="1"/>
  <c r="BT13" i="69" s="1"/>
  <c r="BT36" i="69" s="1"/>
  <c r="BT38" i="69" s="1"/>
  <c r="BX32" i="69"/>
  <c r="BX11" i="69"/>
  <c r="BX13" i="69" s="1"/>
  <c r="BX15" i="69" s="1"/>
  <c r="C100" i="55" s="1"/>
  <c r="R34" i="56"/>
  <c r="BT32" i="69" l="1"/>
  <c r="BT15" i="69"/>
  <c r="BT31" i="69" s="1"/>
  <c r="E79" i="56"/>
  <c r="CD11" i="69"/>
  <c r="CD8" i="69"/>
  <c r="CF10" i="69"/>
  <c r="CF35" i="69" s="1"/>
  <c r="BX31" i="69"/>
  <c r="BX33" i="69" s="1"/>
  <c r="BX36" i="69"/>
  <c r="BX38" i="69" s="1"/>
  <c r="L50" i="59"/>
  <c r="H79" i="56" l="1"/>
  <c r="BT33" i="69"/>
  <c r="BT39" i="69" s="1"/>
  <c r="CF8" i="69"/>
  <c r="CF9" i="69" s="1"/>
  <c r="CF11" i="69" s="1"/>
  <c r="CF13" i="69" s="1"/>
  <c r="C98" i="55"/>
  <c r="BT42" i="122" s="1"/>
  <c r="BX39" i="69"/>
  <c r="R45" i="56"/>
  <c r="BT42" i="69" l="1"/>
  <c r="U42" i="120"/>
  <c r="CF32" i="69"/>
  <c r="CF36" i="69"/>
  <c r="CF38" i="69" s="1"/>
  <c r="CF15" i="69"/>
  <c r="CF31" i="69" s="1"/>
  <c r="W98" i="56"/>
  <c r="R144" i="56"/>
  <c r="C104" i="55" l="1"/>
  <c r="CF33" i="69"/>
  <c r="CF39" i="69" s="1"/>
  <c r="CN10" i="69"/>
  <c r="CN35" i="69" s="1"/>
  <c r="CL11" i="69"/>
  <c r="E83" i="56"/>
  <c r="CH8" i="69"/>
  <c r="CH11" i="69"/>
  <c r="E81" i="56"/>
  <c r="CJ10" i="69"/>
  <c r="CJ35" i="69" s="1"/>
  <c r="A13" i="1"/>
  <c r="J133" i="1"/>
  <c r="I133" i="1"/>
  <c r="I194" i="1" s="1"/>
  <c r="G133" i="1"/>
  <c r="G194" i="1" s="1"/>
  <c r="F133" i="1"/>
  <c r="F194" i="1" s="1"/>
  <c r="E133" i="1"/>
  <c r="E194" i="1" s="1"/>
  <c r="D133" i="1"/>
  <c r="C133" i="1"/>
  <c r="C194" i="1" s="1"/>
  <c r="Y14" i="14"/>
  <c r="C142" i="1" l="1"/>
  <c r="H81" i="56"/>
  <c r="H94" i="56" s="1"/>
  <c r="CN8" i="69"/>
  <c r="CN32" i="69" s="1"/>
  <c r="CJ8" i="69"/>
  <c r="CJ9" i="69" s="1"/>
  <c r="CJ11" i="69" s="1"/>
  <c r="CP8" i="69"/>
  <c r="DN8" i="69" s="1"/>
  <c r="DN9" i="69" s="1"/>
  <c r="D94" i="127" s="1"/>
  <c r="C94" i="127" s="1"/>
  <c r="CR10" i="69"/>
  <c r="CP11" i="69"/>
  <c r="E85" i="56"/>
  <c r="E94" i="56" s="1"/>
  <c r="AC133" i="1"/>
  <c r="AC194" i="1" s="1"/>
  <c r="AD17" i="1"/>
  <c r="AE17" i="1" s="1"/>
  <c r="K118" i="14" s="1"/>
  <c r="AF133" i="1"/>
  <c r="AF194" i="1" s="1"/>
  <c r="AB133" i="1"/>
  <c r="Z133" i="1"/>
  <c r="X133" i="1"/>
  <c r="W133" i="1"/>
  <c r="S133" i="1"/>
  <c r="S194" i="1" s="1"/>
  <c r="O133" i="1"/>
  <c r="D101" i="1"/>
  <c r="DN11" i="69" l="1"/>
  <c r="BO56" i="120" s="1"/>
  <c r="CN9" i="69"/>
  <c r="CN11" i="69" s="1"/>
  <c r="CN13" i="69" s="1"/>
  <c r="CN15" i="69" s="1"/>
  <c r="CN31" i="69" s="1"/>
  <c r="CN33" i="69" s="1"/>
  <c r="O94" i="56"/>
  <c r="DU9" i="122"/>
  <c r="DQ9" i="69"/>
  <c r="BR9" i="120"/>
  <c r="M94" i="56"/>
  <c r="CJ32" i="69"/>
  <c r="AH133" i="1"/>
  <c r="F158" i="56"/>
  <c r="CR35" i="69"/>
  <c r="DP10" i="69"/>
  <c r="DO10" i="69" s="1"/>
  <c r="CR8" i="69"/>
  <c r="CJ13" i="69"/>
  <c r="N134" i="1"/>
  <c r="F101" i="1"/>
  <c r="E121" i="1"/>
  <c r="F121" i="1" s="1"/>
  <c r="D116" i="1"/>
  <c r="D123" i="1" s="1"/>
  <c r="L191" i="56"/>
  <c r="L50" i="58"/>
  <c r="E81" i="1"/>
  <c r="F81" i="1" s="1"/>
  <c r="D102" i="1"/>
  <c r="F102" i="1" s="1"/>
  <c r="S192" i="1"/>
  <c r="G192" i="1"/>
  <c r="G195" i="1" s="1"/>
  <c r="E192" i="1"/>
  <c r="F192" i="1"/>
  <c r="I192" i="1"/>
  <c r="M133" i="1"/>
  <c r="CN36" i="69" l="1"/>
  <c r="CN38" i="69" s="1"/>
  <c r="CN39" i="69" s="1"/>
  <c r="D94" i="56"/>
  <c r="CR32" i="69"/>
  <c r="CR9" i="69"/>
  <c r="CR11" i="69" s="1"/>
  <c r="DP8" i="69"/>
  <c r="CJ15" i="69"/>
  <c r="CJ36" i="69"/>
  <c r="CJ38" i="69" s="1"/>
  <c r="F166" i="56"/>
  <c r="F116" i="1"/>
  <c r="F78" i="1"/>
  <c r="AF195" i="1"/>
  <c r="L195" i="56"/>
  <c r="AG17" i="1"/>
  <c r="E195" i="1"/>
  <c r="F195" i="1"/>
  <c r="I195" i="1"/>
  <c r="J45" i="14"/>
  <c r="I40" i="14"/>
  <c r="Q60" i="14" s="1"/>
  <c r="Q76" i="14" s="1"/>
  <c r="AB16" i="1" s="1"/>
  <c r="H40" i="14"/>
  <c r="G40" i="14"/>
  <c r="F40" i="14"/>
  <c r="E40" i="14"/>
  <c r="D40" i="14"/>
  <c r="J39" i="14"/>
  <c r="J38" i="14"/>
  <c r="J37" i="14"/>
  <c r="J35" i="14"/>
  <c r="I30" i="14"/>
  <c r="I29" i="14"/>
  <c r="I28" i="14"/>
  <c r="H27" i="14"/>
  <c r="H26" i="14"/>
  <c r="H25" i="14"/>
  <c r="H24" i="14"/>
  <c r="H23" i="14"/>
  <c r="H21" i="14"/>
  <c r="H20" i="14"/>
  <c r="G26" i="14"/>
  <c r="G23" i="14"/>
  <c r="E27" i="14"/>
  <c r="E23" i="14"/>
  <c r="C27" i="14"/>
  <c r="B27" i="14"/>
  <c r="B26" i="14"/>
  <c r="B25" i="14"/>
  <c r="B24" i="14"/>
  <c r="B23" i="14"/>
  <c r="B22" i="14"/>
  <c r="B21" i="14"/>
  <c r="B20" i="14"/>
  <c r="C94" i="56" l="1"/>
  <c r="D84" i="117"/>
  <c r="E88" i="117" s="1"/>
  <c r="E92" i="117" s="1"/>
  <c r="AB190" i="1"/>
  <c r="AB192" i="1" s="1"/>
  <c r="AB18" i="1"/>
  <c r="AB194" i="1" s="1"/>
  <c r="CR13" i="69"/>
  <c r="DP11" i="69"/>
  <c r="DO11" i="69" s="1"/>
  <c r="DO8" i="69"/>
  <c r="DP9" i="69"/>
  <c r="CJ31" i="69"/>
  <c r="CJ33" i="69" s="1"/>
  <c r="CJ39" i="69" s="1"/>
  <c r="C106" i="55"/>
  <c r="D106" i="55" s="1"/>
  <c r="J37" i="1"/>
  <c r="M31" i="1"/>
  <c r="H22" i="14"/>
  <c r="H31" i="14" s="1"/>
  <c r="J44" i="14"/>
  <c r="J47" i="14" s="1"/>
  <c r="AY4" i="14"/>
  <c r="AX4" i="14"/>
  <c r="AW4" i="14"/>
  <c r="AV4" i="14"/>
  <c r="AU4" i="14"/>
  <c r="AT4" i="14"/>
  <c r="AS4" i="14"/>
  <c r="AR4" i="14"/>
  <c r="AP4" i="14"/>
  <c r="AN4" i="14"/>
  <c r="AM4" i="14"/>
  <c r="AL4" i="14"/>
  <c r="AK4" i="14"/>
  <c r="AJ4" i="14"/>
  <c r="AI4" i="14"/>
  <c r="AG4" i="14"/>
  <c r="AF4" i="14"/>
  <c r="AE4" i="14"/>
  <c r="AD4" i="14"/>
  <c r="AC4" i="14"/>
  <c r="AB4" i="14"/>
  <c r="AA4" i="14"/>
  <c r="Z4" i="14"/>
  <c r="Y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V60" i="14" l="1"/>
  <c r="U76" i="14" s="1"/>
  <c r="Z22" i="81"/>
  <c r="DO9" i="69"/>
  <c r="DR9" i="69"/>
  <c r="CR15" i="69"/>
  <c r="CR36" i="69"/>
  <c r="CR38" i="69" s="1"/>
  <c r="DP13" i="69"/>
  <c r="N60" i="14"/>
  <c r="N76" i="14" s="1"/>
  <c r="AE31" i="1"/>
  <c r="M37" i="1"/>
  <c r="R76" i="14" l="1"/>
  <c r="O16" i="1" s="1"/>
  <c r="C21" i="87" s="1"/>
  <c r="CR31" i="69"/>
  <c r="CR33" i="69" s="1"/>
  <c r="CR39" i="69" s="1"/>
  <c r="DP15" i="69"/>
  <c r="B25" i="81"/>
  <c r="Z25" i="81" s="1"/>
  <c r="H200" i="1"/>
  <c r="B20" i="81"/>
  <c r="F6" i="91"/>
  <c r="AG31" i="1"/>
  <c r="F82" i="1"/>
  <c r="W60" i="14" l="1"/>
  <c r="V77" i="14" s="1"/>
  <c r="Y61" i="14"/>
  <c r="Z20" i="81"/>
  <c r="O190" i="1"/>
  <c r="O18" i="1"/>
  <c r="N9" i="81"/>
  <c r="Z9" i="81" s="1"/>
  <c r="U77" i="14"/>
  <c r="J21" i="87"/>
  <c r="H207" i="1"/>
  <c r="I21" i="87"/>
  <c r="BN21" i="87"/>
  <c r="Z194" i="1"/>
  <c r="Q133" i="1"/>
  <c r="Q192" i="1"/>
  <c r="K21" i="87" l="1"/>
  <c r="Q194" i="1"/>
  <c r="D77" i="1"/>
  <c r="C192" i="1" l="1"/>
  <c r="AF198" i="1" s="1"/>
  <c r="BQ110" i="1"/>
  <c r="BP111" i="1"/>
  <c r="BP110" i="1"/>
  <c r="BP112" i="1" l="1"/>
  <c r="AB195" i="1" l="1"/>
  <c r="S195" i="1" l="1"/>
  <c r="D99" i="1"/>
  <c r="Q195" i="1"/>
  <c r="E62" i="1" l="1"/>
  <c r="F62" i="1" s="1"/>
  <c r="D104" i="1"/>
  <c r="F99" i="1"/>
  <c r="O43" i="48" l="1"/>
  <c r="W29" i="48"/>
  <c r="G28" i="48"/>
  <c r="F28" i="48"/>
  <c r="E28" i="48"/>
  <c r="C28" i="48"/>
  <c r="B28" i="48"/>
  <c r="B29" i="48" s="1"/>
  <c r="Q23" i="48"/>
  <c r="P23" i="48"/>
  <c r="O23" i="48"/>
  <c r="P20" i="48"/>
  <c r="B14" i="48"/>
  <c r="R23" i="48" l="1"/>
  <c r="U23" i="48" s="1"/>
  <c r="Q27" i="48" l="1"/>
  <c r="P27" i="48"/>
  <c r="O27" i="48"/>
  <c r="D24" i="48"/>
  <c r="Q22" i="48"/>
  <c r="P22" i="48"/>
  <c r="O22" i="48"/>
  <c r="P25" i="48"/>
  <c r="O25" i="48"/>
  <c r="Q25" i="48"/>
  <c r="O26" i="48"/>
  <c r="Q26" i="48"/>
  <c r="P26" i="48"/>
  <c r="R26" i="48" l="1"/>
  <c r="U26" i="48" s="1"/>
  <c r="Q21" i="48"/>
  <c r="P21" i="48"/>
  <c r="O21" i="48"/>
  <c r="R25" i="48"/>
  <c r="U25" i="48" s="1"/>
  <c r="R27" i="48"/>
  <c r="U27" i="48" s="1"/>
  <c r="D28" i="48"/>
  <c r="R22" i="48"/>
  <c r="U22" i="48" s="1"/>
  <c r="R21" i="48" l="1"/>
  <c r="O24" i="48" l="1"/>
  <c r="O28" i="48" s="1"/>
  <c r="Q24" i="48"/>
  <c r="Q28" i="48" s="1"/>
  <c r="P24" i="48"/>
  <c r="P28" i="48" s="1"/>
  <c r="U21" i="48"/>
  <c r="I11" i="47"/>
  <c r="H7" i="47"/>
  <c r="H8" i="47"/>
  <c r="F11" i="47"/>
  <c r="E11" i="47"/>
  <c r="D11" i="47"/>
  <c r="C11" i="47"/>
  <c r="H6" i="47"/>
  <c r="H5" i="47"/>
  <c r="H4" i="47"/>
  <c r="H3" i="47"/>
  <c r="H2" i="47"/>
  <c r="R24" i="48" l="1"/>
  <c r="T29" i="48"/>
  <c r="H11" i="47"/>
  <c r="J11" i="47" s="1"/>
  <c r="D29" i="48" l="1"/>
  <c r="U24" i="48"/>
  <c r="R28" i="48"/>
  <c r="U28" i="48" l="1"/>
  <c r="M35" i="39" l="1"/>
  <c r="M42" i="39" l="1"/>
  <c r="R39" i="39"/>
  <c r="C39" i="39"/>
  <c r="K42" i="39"/>
  <c r="J42" i="39"/>
  <c r="T43" i="39" l="1"/>
  <c r="V27" i="39"/>
  <c r="V30" i="39"/>
  <c r="V31" i="39"/>
  <c r="V32" i="39"/>
  <c r="V33" i="39"/>
  <c r="V34" i="39"/>
  <c r="V35" i="39"/>
  <c r="V36" i="39"/>
  <c r="V37" i="39"/>
  <c r="V38" i="39"/>
  <c r="V39" i="39"/>
  <c r="V40" i="39"/>
  <c r="V41" i="39"/>
  <c r="P44" i="39"/>
  <c r="O38" i="39"/>
  <c r="Q38" i="39" s="1"/>
  <c r="O39" i="39"/>
  <c r="Q39" i="39" s="1"/>
  <c r="O40" i="39"/>
  <c r="L35" i="39"/>
  <c r="L42" i="39" s="1"/>
  <c r="N27" i="39"/>
  <c r="N26" i="39"/>
  <c r="D26" i="39"/>
  <c r="C26" i="39"/>
  <c r="N25" i="39"/>
  <c r="P29" i="39"/>
  <c r="V29" i="39" s="1"/>
  <c r="P28" i="39"/>
  <c r="V28" i="39" s="1"/>
  <c r="P26" i="39"/>
  <c r="V26" i="39" s="1"/>
  <c r="P25" i="39"/>
  <c r="V25" i="39" s="1"/>
  <c r="P24" i="39"/>
  <c r="P42" i="39" s="1"/>
  <c r="F25" i="39"/>
  <c r="E25" i="39"/>
  <c r="E42" i="39" s="1"/>
  <c r="D25" i="39"/>
  <c r="C25" i="39"/>
  <c r="N24" i="39"/>
  <c r="D24" i="39"/>
  <c r="L22" i="39"/>
  <c r="C24" i="39"/>
  <c r="V24" i="39" l="1"/>
  <c r="N42" i="39"/>
  <c r="U44" i="39" l="1"/>
  <c r="S44" i="39"/>
  <c r="S43" i="39"/>
  <c r="U43" i="39"/>
  <c r="V23" i="39"/>
  <c r="N46" i="39"/>
  <c r="F44" i="39"/>
  <c r="F42" i="39"/>
  <c r="B42" i="39"/>
  <c r="D10" i="39"/>
  <c r="B14" i="39"/>
  <c r="F14" i="39"/>
  <c r="I14" i="39"/>
  <c r="J14" i="39"/>
  <c r="P14" i="39"/>
  <c r="C12" i="39"/>
  <c r="C14" i="39" s="1"/>
  <c r="B15" i="39"/>
  <c r="O12" i="39" l="1"/>
  <c r="Q12" i="39" s="1"/>
  <c r="J15" i="39"/>
  <c r="F53" i="39"/>
  <c r="E53" i="39"/>
  <c r="D53" i="39"/>
  <c r="C53" i="39"/>
  <c r="O71" i="39" l="1"/>
  <c r="C71" i="39"/>
  <c r="P69" i="39"/>
  <c r="P84" i="39"/>
  <c r="O84" i="39"/>
  <c r="N84" i="39"/>
  <c r="K84" i="39"/>
  <c r="J84" i="39"/>
  <c r="I84" i="39"/>
  <c r="E84" i="39"/>
  <c r="F83" i="39"/>
  <c r="Q83" i="39" s="1"/>
  <c r="Q82" i="39"/>
  <c r="P80" i="39"/>
  <c r="O80" i="39"/>
  <c r="N80" i="39"/>
  <c r="K80" i="39"/>
  <c r="J80" i="39"/>
  <c r="I80" i="39"/>
  <c r="F80" i="39"/>
  <c r="E80" i="39"/>
  <c r="AG79" i="39"/>
  <c r="AC79" i="39"/>
  <c r="Q79" i="39"/>
  <c r="Q78" i="39"/>
  <c r="Z77" i="39"/>
  <c r="Y77" i="39"/>
  <c r="X77" i="39"/>
  <c r="Z76" i="39"/>
  <c r="Y76" i="39"/>
  <c r="X76" i="39"/>
  <c r="P76" i="39"/>
  <c r="O76" i="39"/>
  <c r="N76" i="39"/>
  <c r="K76" i="39"/>
  <c r="J76" i="39"/>
  <c r="I76" i="39"/>
  <c r="E76" i="39"/>
  <c r="Z75" i="39"/>
  <c r="Y75" i="39"/>
  <c r="X75" i="39"/>
  <c r="Q75" i="39"/>
  <c r="D75" i="39"/>
  <c r="Z74" i="39"/>
  <c r="Y74" i="39"/>
  <c r="X74" i="39"/>
  <c r="F74" i="39"/>
  <c r="F76" i="39" s="1"/>
  <c r="B74" i="39"/>
  <c r="AM69" i="39"/>
  <c r="Z69" i="39"/>
  <c r="Y69" i="39"/>
  <c r="X69" i="39"/>
  <c r="V69" i="39"/>
  <c r="U69" i="39"/>
  <c r="U70" i="39" s="1"/>
  <c r="R69" i="39"/>
  <c r="AP68" i="39"/>
  <c r="Z68" i="39"/>
  <c r="Y68" i="39"/>
  <c r="X68" i="39"/>
  <c r="P68" i="39"/>
  <c r="K68" i="39"/>
  <c r="J68" i="39"/>
  <c r="J71" i="39" s="1"/>
  <c r="I68" i="39"/>
  <c r="I71" i="39" s="1"/>
  <c r="H68" i="39"/>
  <c r="G68" i="39"/>
  <c r="F68" i="39"/>
  <c r="F71" i="39" s="1"/>
  <c r="E68" i="39"/>
  <c r="E71" i="39" s="1"/>
  <c r="D68" i="39"/>
  <c r="D71" i="39" s="1"/>
  <c r="C68" i="39"/>
  <c r="B68" i="39"/>
  <c r="Y80" i="39" s="1"/>
  <c r="AP67" i="39"/>
  <c r="Z67" i="39"/>
  <c r="Y67" i="39"/>
  <c r="X67" i="39"/>
  <c r="AP66" i="39"/>
  <c r="Z66" i="39"/>
  <c r="Y66" i="39"/>
  <c r="X66" i="39"/>
  <c r="O66" i="39"/>
  <c r="Q66" i="39" s="1"/>
  <c r="Z65" i="39"/>
  <c r="Y65" i="39"/>
  <c r="X65" i="39"/>
  <c r="M65" i="39"/>
  <c r="M68" i="39" s="1"/>
  <c r="L65" i="39"/>
  <c r="Z64" i="39"/>
  <c r="Y64" i="39"/>
  <c r="X64" i="39"/>
  <c r="O64" i="39"/>
  <c r="Q64" i="39" s="1"/>
  <c r="Z63" i="39"/>
  <c r="Y63" i="39"/>
  <c r="X63" i="39"/>
  <c r="O63" i="39"/>
  <c r="Q63" i="39" s="1"/>
  <c r="AP62" i="39"/>
  <c r="Z62" i="39"/>
  <c r="Y62" i="39"/>
  <c r="X62" i="39"/>
  <c r="O62" i="39"/>
  <c r="Q62" i="39" s="1"/>
  <c r="Z61" i="39"/>
  <c r="Y61" i="39"/>
  <c r="X61" i="39"/>
  <c r="O61" i="39"/>
  <c r="Q61" i="39" s="1"/>
  <c r="AI60" i="39"/>
  <c r="AP60" i="39" s="1"/>
  <c r="Y60" i="39"/>
  <c r="X60" i="39"/>
  <c r="O60" i="39"/>
  <c r="Q60" i="39" s="1"/>
  <c r="AP59" i="39"/>
  <c r="AF59" i="39"/>
  <c r="O59" i="39"/>
  <c r="AF58" i="39"/>
  <c r="X58" i="39"/>
  <c r="O58" i="39"/>
  <c r="Q58" i="39" s="1"/>
  <c r="AE57" i="39"/>
  <c r="AD57" i="39"/>
  <c r="AB57" i="39"/>
  <c r="AA57" i="39"/>
  <c r="Z57" i="39"/>
  <c r="X57" i="39"/>
  <c r="S57" i="39"/>
  <c r="O57" i="39"/>
  <c r="Q57" i="39" s="1"/>
  <c r="AE56" i="39"/>
  <c r="AD56" i="39"/>
  <c r="AB56" i="39"/>
  <c r="AA56" i="39"/>
  <c r="Z56" i="39"/>
  <c r="X56" i="39"/>
  <c r="S56" i="39"/>
  <c r="O56" i="39"/>
  <c r="Q56" i="39" s="1"/>
  <c r="AE55" i="39"/>
  <c r="AD55" i="39"/>
  <c r="AB55" i="39"/>
  <c r="AA55" i="39"/>
  <c r="Z55" i="39"/>
  <c r="X55" i="39"/>
  <c r="O55" i="39"/>
  <c r="Q55" i="39" s="1"/>
  <c r="AE54" i="39"/>
  <c r="AD54" i="39"/>
  <c r="AB54" i="39"/>
  <c r="AA54" i="39"/>
  <c r="Z54" i="39"/>
  <c r="X54" i="39"/>
  <c r="S54" i="39"/>
  <c r="O54" i="39"/>
  <c r="Q54" i="39" s="1"/>
  <c r="AL53" i="39"/>
  <c r="AE53" i="39"/>
  <c r="AD53" i="39"/>
  <c r="AB53" i="39"/>
  <c r="AA53" i="39"/>
  <c r="Z53" i="39"/>
  <c r="X53" i="39"/>
  <c r="S53" i="39"/>
  <c r="O53" i="39"/>
  <c r="Z60" i="39"/>
  <c r="AA60" i="39" s="1"/>
  <c r="AA62" i="39" s="1"/>
  <c r="AL52" i="39"/>
  <c r="AG52" i="39"/>
  <c r="AF52" i="39"/>
  <c r="AE52" i="39"/>
  <c r="AD52" i="39"/>
  <c r="AC52" i="39"/>
  <c r="AB52" i="39"/>
  <c r="AA52" i="39"/>
  <c r="AP52" i="39" s="1"/>
  <c r="Z52" i="39"/>
  <c r="AO52" i="39" s="1"/>
  <c r="AK51" i="39"/>
  <c r="AG51" i="39"/>
  <c r="AF51" i="39"/>
  <c r="AE51" i="39"/>
  <c r="AD51" i="39"/>
  <c r="AB51" i="39"/>
  <c r="AA51" i="39"/>
  <c r="AP51" i="39" s="1"/>
  <c r="Z51" i="39"/>
  <c r="AO51" i="39" s="1"/>
  <c r="Y51" i="39"/>
  <c r="G51" i="39"/>
  <c r="H51" i="39" s="1"/>
  <c r="S47" i="39"/>
  <c r="O43" i="39"/>
  <c r="P45" i="39"/>
  <c r="I42" i="39"/>
  <c r="D42" i="39"/>
  <c r="C42" i="39"/>
  <c r="O37" i="39"/>
  <c r="Q37" i="39" s="1"/>
  <c r="O36" i="39"/>
  <c r="Q36" i="39" s="1"/>
  <c r="O35" i="39"/>
  <c r="O34" i="39"/>
  <c r="Q34" i="39" s="1"/>
  <c r="O33" i="39"/>
  <c r="Q33" i="39" s="1"/>
  <c r="O32" i="39"/>
  <c r="Q32" i="39" s="1"/>
  <c r="O31" i="39"/>
  <c r="Q31" i="39" s="1"/>
  <c r="O30" i="39"/>
  <c r="Q30" i="39" s="1"/>
  <c r="O29" i="39"/>
  <c r="Q29" i="39" s="1"/>
  <c r="O28" i="39"/>
  <c r="Q28" i="39" s="1"/>
  <c r="O27" i="39"/>
  <c r="Q27" i="39" s="1"/>
  <c r="O26" i="39"/>
  <c r="O25" i="39"/>
  <c r="O24" i="39"/>
  <c r="O15" i="39"/>
  <c r="R14" i="39"/>
  <c r="O11" i="39"/>
  <c r="Q11" i="39" s="1"/>
  <c r="E14" i="39"/>
  <c r="D14" i="39"/>
  <c r="O10" i="39"/>
  <c r="O9" i="39"/>
  <c r="Q9" i="39" s="1"/>
  <c r="O8" i="39"/>
  <c r="Q8" i="39" s="1"/>
  <c r="AP69" i="39" l="1"/>
  <c r="AC51" i="39"/>
  <c r="S69" i="39"/>
  <c r="S74" i="39" s="1"/>
  <c r="F84" i="39"/>
  <c r="Q84" i="39"/>
  <c r="Q35" i="39"/>
  <c r="O42" i="39"/>
  <c r="Q26" i="39"/>
  <c r="Q25" i="39"/>
  <c r="Q80" i="39"/>
  <c r="E15" i="39"/>
  <c r="N65" i="39"/>
  <c r="Q74" i="39"/>
  <c r="Q76" i="39" s="1"/>
  <c r="Q10" i="39"/>
  <c r="N71" i="39"/>
  <c r="P71" i="39" s="1"/>
  <c r="W69" i="39"/>
  <c r="W70" i="39" s="1"/>
  <c r="AE79" i="39"/>
  <c r="AD79" i="39"/>
  <c r="AF54" i="39"/>
  <c r="AH54" i="39" s="1"/>
  <c r="AF55" i="39"/>
  <c r="AH55" i="39" s="1"/>
  <c r="AF56" i="39"/>
  <c r="AH56" i="39" s="1"/>
  <c r="AF57" i="39"/>
  <c r="AH57" i="39" s="1"/>
  <c r="Y79" i="39"/>
  <c r="AB79" i="39"/>
  <c r="Z79" i="39"/>
  <c r="Q24" i="39"/>
  <c r="AA79" i="39"/>
  <c r="N68" i="39"/>
  <c r="O65" i="39"/>
  <c r="Q65" i="39" s="1"/>
  <c r="Q53" i="39"/>
  <c r="AI79" i="39"/>
  <c r="AF53" i="39"/>
  <c r="L68" i="39"/>
  <c r="O7" i="39"/>
  <c r="O14" i="39" s="1"/>
  <c r="O69" i="39" l="1"/>
  <c r="Q42" i="39"/>
  <c r="V43" i="39"/>
  <c r="R43" i="39"/>
  <c r="O68" i="39"/>
  <c r="AF79" i="39"/>
  <c r="AH53" i="39"/>
  <c r="AH79" i="39" s="1"/>
  <c r="Q7" i="39"/>
  <c r="Q14" i="39" s="1"/>
  <c r="Q68" i="39"/>
  <c r="W43" i="39" l="1"/>
  <c r="BL88" i="1" l="1"/>
  <c r="BO53" i="1"/>
  <c r="BO54" i="1" s="1"/>
  <c r="BR86" i="1" l="1"/>
  <c r="B42" i="41" l="1"/>
  <c r="D42" i="41" l="1"/>
  <c r="E42" i="41"/>
  <c r="F42" i="41"/>
  <c r="G42" i="41"/>
  <c r="H42" i="41"/>
  <c r="I42" i="41"/>
  <c r="J42" i="41"/>
  <c r="C42" i="41"/>
  <c r="J30" i="41"/>
  <c r="B44" i="41"/>
  <c r="B45" i="41"/>
  <c r="B46" i="41"/>
  <c r="B47" i="41"/>
  <c r="B48" i="41"/>
  <c r="B49" i="41"/>
  <c r="K2" i="41"/>
  <c r="B3" i="41" s="1"/>
  <c r="K3" i="41" s="1"/>
  <c r="B4" i="41" s="1"/>
  <c r="K4" i="41" s="1"/>
  <c r="B5" i="41" s="1"/>
  <c r="K5" i="41" s="1"/>
  <c r="B6" i="41" s="1"/>
  <c r="K6" i="41" s="1"/>
  <c r="B7" i="41" s="1"/>
  <c r="K7" i="41" s="1"/>
  <c r="B8" i="41" s="1"/>
  <c r="K8" i="41" s="1"/>
  <c r="B9" i="41" s="1"/>
  <c r="K9" i="41" s="1"/>
  <c r="B10" i="41" s="1"/>
  <c r="K10" i="41" s="1"/>
  <c r="B11" i="41" s="1"/>
  <c r="K11" i="41" s="1"/>
  <c r="B12" i="41" s="1"/>
  <c r="K12" i="41" s="1"/>
  <c r="B13" i="41" s="1"/>
  <c r="K13" i="41" s="1"/>
  <c r="B14" i="41" s="1"/>
  <c r="K14" i="41" s="1"/>
  <c r="B15" i="41" s="1"/>
  <c r="K15" i="41" s="1"/>
  <c r="B16" i="41" s="1"/>
  <c r="K16" i="41" s="1"/>
  <c r="B17" i="41" s="1"/>
  <c r="K17" i="41" s="1"/>
  <c r="B18" i="41" s="1"/>
  <c r="K18" i="41" s="1"/>
  <c r="B19" i="41" s="1"/>
  <c r="K19" i="41" s="1"/>
  <c r="B20" i="41" s="1"/>
  <c r="K20" i="41" s="1"/>
  <c r="B21" i="41" s="1"/>
  <c r="K21" i="41" s="1"/>
  <c r="B22" i="41" s="1"/>
  <c r="K22" i="41" s="1"/>
  <c r="B23" i="41" s="1"/>
  <c r="K23" i="41" s="1"/>
  <c r="B24" i="41" s="1"/>
  <c r="K24" i="41" s="1"/>
  <c r="B25" i="41" s="1"/>
  <c r="K25" i="41" s="1"/>
  <c r="B26" i="41" s="1"/>
  <c r="K26" i="41" s="1"/>
  <c r="B27" i="41" s="1"/>
  <c r="K27" i="41" s="1"/>
  <c r="B28" i="41" s="1"/>
  <c r="K28" i="41" s="1"/>
  <c r="B29" i="41" s="1"/>
  <c r="K29" i="41" s="1"/>
  <c r="B30" i="41" s="1"/>
  <c r="K30" i="41" s="1"/>
  <c r="B31" i="41" s="1"/>
  <c r="K31" i="41" s="1"/>
  <c r="B32" i="41" s="1"/>
  <c r="K32" i="41" s="1"/>
  <c r="B33" i="41" s="1"/>
  <c r="K33" i="41" s="1"/>
  <c r="B34" i="41" s="1"/>
  <c r="K34" i="41" s="1"/>
  <c r="B35" i="41" s="1"/>
  <c r="K35" i="41" s="1"/>
  <c r="B36" i="41" s="1"/>
  <c r="K36" i="41" s="1"/>
  <c r="B37" i="41" s="1"/>
  <c r="K37" i="41" s="1"/>
  <c r="B38" i="41" s="1"/>
  <c r="K38" i="41" s="1"/>
  <c r="B39" i="41" s="1"/>
  <c r="K39" i="41" s="1"/>
  <c r="B40" i="41" s="1"/>
  <c r="K40" i="41" s="1"/>
  <c r="K41" i="41" s="1"/>
  <c r="K42" i="41" l="1"/>
  <c r="BN89" i="1" l="1"/>
  <c r="BQ56" i="1"/>
  <c r="BR105" i="1"/>
  <c r="BR106" i="1"/>
  <c r="BR107" i="1"/>
  <c r="BR108" i="1"/>
  <c r="BR50" i="1"/>
  <c r="BR51" i="1" s="1"/>
  <c r="BR52" i="1" s="1"/>
  <c r="BR53" i="1" s="1"/>
  <c r="BR54" i="1" s="1"/>
  <c r="BO55" i="1" l="1"/>
  <c r="BR55" i="1" l="1"/>
  <c r="BR56" i="1" s="1"/>
  <c r="BO56" i="1"/>
  <c r="BR57" i="1" s="1"/>
  <c r="BR65" i="1" l="1"/>
  <c r="BU57" i="1"/>
  <c r="BU65" i="1" l="1"/>
  <c r="BU86" i="1" l="1"/>
  <c r="BL89" i="1" l="1"/>
  <c r="BO88" i="1"/>
  <c r="BO89" i="1" l="1"/>
  <c r="BO90" i="1" s="1"/>
  <c r="BO91" i="1" s="1"/>
  <c r="BO92" i="1" s="1"/>
  <c r="BO93" i="1" s="1"/>
  <c r="BO94" i="1" s="1"/>
  <c r="BO95" i="1" s="1"/>
  <c r="BR96" i="1" s="1"/>
  <c r="BR104" i="1" s="1"/>
  <c r="BM89" i="1"/>
  <c r="J69" i="33" l="1"/>
  <c r="G69" i="33"/>
  <c r="F69" i="33"/>
  <c r="E69" i="33"/>
  <c r="E68" i="33"/>
  <c r="F68" i="33"/>
  <c r="G68" i="33"/>
  <c r="D69" i="33"/>
  <c r="D68" i="33"/>
  <c r="E70" i="33" l="1"/>
  <c r="H68" i="33"/>
  <c r="D70" i="33"/>
  <c r="F70" i="33"/>
  <c r="G70" i="33"/>
  <c r="D30" i="38" l="1"/>
  <c r="I30" i="38" s="1"/>
  <c r="K30" i="38" s="1"/>
  <c r="L30" i="38" s="1"/>
  <c r="M30" i="38"/>
  <c r="M26" i="38"/>
  <c r="F22" i="38"/>
  <c r="I22" i="38" s="1"/>
  <c r="K22" i="38" s="1"/>
  <c r="I20" i="38"/>
  <c r="K20" i="38" s="1"/>
  <c r="I21" i="38"/>
  <c r="K21" i="38" s="1"/>
  <c r="I23" i="38"/>
  <c r="K23" i="38" s="1"/>
  <c r="I24" i="38"/>
  <c r="L24" i="38" s="1"/>
  <c r="N24" i="38" s="1"/>
  <c r="I25" i="38"/>
  <c r="K25" i="38" s="1"/>
  <c r="I26" i="38"/>
  <c r="K26" i="38" s="1"/>
  <c r="I27" i="38"/>
  <c r="L27" i="38" s="1"/>
  <c r="N27" i="38" s="1"/>
  <c r="I28" i="38"/>
  <c r="K28" i="38" s="1"/>
  <c r="I29" i="38"/>
  <c r="K29" i="38" s="1"/>
  <c r="I31" i="38"/>
  <c r="K31" i="38"/>
  <c r="I32" i="38"/>
  <c r="K32" i="38" s="1"/>
  <c r="I33" i="38"/>
  <c r="K33" i="38" s="1"/>
  <c r="I34" i="38"/>
  <c r="K34" i="38" s="1"/>
  <c r="I35" i="38"/>
  <c r="K35" i="38" s="1"/>
  <c r="I36" i="38"/>
  <c r="K36" i="38" s="1"/>
  <c r="I19" i="38"/>
  <c r="K19" i="38" s="1"/>
  <c r="J18" i="38"/>
  <c r="K18" i="38"/>
  <c r="I18" i="38"/>
  <c r="B20" i="38"/>
  <c r="B21" i="38"/>
  <c r="B22" i="38"/>
  <c r="B23" i="38"/>
  <c r="B31" i="38"/>
  <c r="B32" i="38"/>
  <c r="B19" i="38"/>
  <c r="C11" i="38"/>
  <c r="C14" i="38" s="1"/>
  <c r="C15" i="38"/>
  <c r="J14" i="38"/>
  <c r="H14" i="38"/>
  <c r="G14" i="38"/>
  <c r="F14" i="38"/>
  <c r="D14" i="38"/>
  <c r="E12" i="38"/>
  <c r="E14" i="38" s="1"/>
  <c r="I9" i="38"/>
  <c r="K9" i="38" s="1"/>
  <c r="I10" i="38"/>
  <c r="K10" i="38" s="1"/>
  <c r="I8" i="38"/>
  <c r="K8" i="38" s="1"/>
  <c r="I11" i="38" l="1"/>
  <c r="K11" i="38" s="1"/>
  <c r="N30" i="38"/>
  <c r="I12" i="38"/>
  <c r="L23" i="38" s="1"/>
  <c r="N23" i="38" s="1"/>
  <c r="L26" i="38"/>
  <c r="N26" i="38" s="1"/>
  <c r="K24" i="38"/>
  <c r="K12" i="38"/>
  <c r="L29" i="38"/>
  <c r="N29" i="38" s="1"/>
  <c r="K27" i="38"/>
  <c r="L25" i="38"/>
  <c r="N25" i="38" s="1"/>
  <c r="L28" i="38"/>
  <c r="N28" i="38" s="1"/>
  <c r="L22" i="38"/>
  <c r="N22" i="38" s="1"/>
  <c r="L21" i="38"/>
  <c r="N21" i="38" s="1"/>
  <c r="L20" i="38"/>
  <c r="N20" i="38" s="1"/>
  <c r="L19" i="38"/>
  <c r="N19" i="38" s="1"/>
  <c r="K14" i="38"/>
  <c r="I14" i="38"/>
  <c r="N31" i="38" l="1"/>
  <c r="F88" i="30" l="1"/>
  <c r="D88" i="30"/>
  <c r="J87" i="30"/>
  <c r="E66" i="30"/>
  <c r="E88" i="30" s="1"/>
  <c r="J64" i="30"/>
  <c r="C65" i="30" s="1"/>
  <c r="J65" i="30" s="1"/>
  <c r="C66" i="30" s="1"/>
  <c r="J48" i="30"/>
  <c r="L48" i="30" s="1"/>
  <c r="G4" i="37"/>
  <c r="O49" i="37"/>
  <c r="N48" i="37"/>
  <c r="N51" i="37" s="1"/>
  <c r="M48" i="37"/>
  <c r="M51" i="37" s="1"/>
  <c r="L48" i="37"/>
  <c r="L51" i="37" s="1"/>
  <c r="K48" i="37"/>
  <c r="K51" i="37" s="1"/>
  <c r="J48" i="37"/>
  <c r="J51" i="37" s="1"/>
  <c r="I48" i="37"/>
  <c r="I51" i="37" s="1"/>
  <c r="H48" i="37"/>
  <c r="H51" i="37" s="1"/>
  <c r="F48" i="37"/>
  <c r="F51" i="37" s="1"/>
  <c r="E48" i="37"/>
  <c r="E51" i="37" s="1"/>
  <c r="D48" i="37"/>
  <c r="O3" i="37"/>
  <c r="C4" i="37" s="1"/>
  <c r="I9" i="36"/>
  <c r="I48" i="36" s="1"/>
  <c r="I51" i="36" s="1"/>
  <c r="O49" i="36"/>
  <c r="N48" i="36"/>
  <c r="N51" i="36" s="1"/>
  <c r="M48" i="36"/>
  <c r="M51" i="36" s="1"/>
  <c r="L48" i="36"/>
  <c r="L51" i="36" s="1"/>
  <c r="K48" i="36"/>
  <c r="K51" i="36" s="1"/>
  <c r="J48" i="36"/>
  <c r="J51" i="36" s="1"/>
  <c r="H48" i="36"/>
  <c r="H51" i="36" s="1"/>
  <c r="G48" i="36"/>
  <c r="G51" i="36" s="1"/>
  <c r="F48" i="36"/>
  <c r="F51" i="36" s="1"/>
  <c r="E48" i="36"/>
  <c r="E51" i="36" s="1"/>
  <c r="D48" i="36"/>
  <c r="O3" i="36"/>
  <c r="C4" i="36" s="1"/>
  <c r="O4" i="36" s="1"/>
  <c r="C5" i="36" s="1"/>
  <c r="O5" i="36" s="1"/>
  <c r="C6" i="36" s="1"/>
  <c r="O6" i="36" s="1"/>
  <c r="C7" i="36" s="1"/>
  <c r="O7" i="36" s="1"/>
  <c r="C8" i="36" s="1"/>
  <c r="O8" i="36" s="1"/>
  <c r="C9" i="36" s="1"/>
  <c r="I20" i="35"/>
  <c r="I21" i="35" s="1"/>
  <c r="I48" i="35" s="1"/>
  <c r="I51" i="35" s="1"/>
  <c r="O49" i="35"/>
  <c r="N48" i="35"/>
  <c r="N51" i="35" s="1"/>
  <c r="M48" i="35"/>
  <c r="M51" i="35" s="1"/>
  <c r="L48" i="35"/>
  <c r="L51" i="35" s="1"/>
  <c r="K48" i="35"/>
  <c r="K51" i="35" s="1"/>
  <c r="J48" i="35"/>
  <c r="J51" i="35" s="1"/>
  <c r="H48" i="35"/>
  <c r="H51" i="35" s="1"/>
  <c r="F48" i="35"/>
  <c r="F51" i="35" s="1"/>
  <c r="E48" i="35"/>
  <c r="E51" i="35" s="1"/>
  <c r="D48" i="35"/>
  <c r="D51" i="35" s="1"/>
  <c r="O3" i="35"/>
  <c r="C4" i="35" s="1"/>
  <c r="O4" i="35" s="1"/>
  <c r="C5" i="35" s="1"/>
  <c r="O5" i="35" s="1"/>
  <c r="C6" i="35" s="1"/>
  <c r="O6" i="35" s="1"/>
  <c r="C7" i="35" s="1"/>
  <c r="O7" i="35" s="1"/>
  <c r="C8" i="35" s="1"/>
  <c r="O8" i="35" s="1"/>
  <c r="C9" i="35" s="1"/>
  <c r="O9" i="35" s="1"/>
  <c r="C10" i="35" s="1"/>
  <c r="O10" i="35" s="1"/>
  <c r="C11" i="35" s="1"/>
  <c r="O11" i="35" s="1"/>
  <c r="C12" i="35" s="1"/>
  <c r="O12" i="35" s="1"/>
  <c r="C13" i="35" s="1"/>
  <c r="O13" i="35" s="1"/>
  <c r="C14" i="35" s="1"/>
  <c r="O14" i="35" s="1"/>
  <c r="C15" i="35" s="1"/>
  <c r="O15" i="35" s="1"/>
  <c r="C16" i="35" s="1"/>
  <c r="O16" i="35" s="1"/>
  <c r="C17" i="35" s="1"/>
  <c r="O17" i="35" s="1"/>
  <c r="C18" i="35" s="1"/>
  <c r="O18" i="35" s="1"/>
  <c r="C19" i="35" s="1"/>
  <c r="O19" i="35" s="1"/>
  <c r="C20" i="35" s="1"/>
  <c r="O20" i="35" s="1"/>
  <c r="C21" i="35" s="1"/>
  <c r="G17" i="34"/>
  <c r="G12" i="34"/>
  <c r="G13" i="34" s="1"/>
  <c r="I9" i="34"/>
  <c r="O49" i="34"/>
  <c r="N48" i="34"/>
  <c r="N51" i="34" s="1"/>
  <c r="M48" i="34"/>
  <c r="M51" i="34" s="1"/>
  <c r="L48" i="34"/>
  <c r="L51" i="34" s="1"/>
  <c r="K48" i="34"/>
  <c r="K51" i="34" s="1"/>
  <c r="J48" i="34"/>
  <c r="J51" i="34" s="1"/>
  <c r="H48" i="34"/>
  <c r="H51" i="34" s="1"/>
  <c r="F48" i="34"/>
  <c r="E48" i="34"/>
  <c r="E51" i="34" s="1"/>
  <c r="D48" i="34"/>
  <c r="O3" i="34"/>
  <c r="C4" i="34" s="1"/>
  <c r="O4" i="34" s="1"/>
  <c r="C5" i="34" s="1"/>
  <c r="O5" i="34" s="1"/>
  <c r="C6" i="34" s="1"/>
  <c r="O6" i="34" s="1"/>
  <c r="C7" i="34" s="1"/>
  <c r="O7" i="34" s="1"/>
  <c r="C8" i="34" s="1"/>
  <c r="O8" i="34" s="1"/>
  <c r="C9" i="34" s="1"/>
  <c r="O49" i="33"/>
  <c r="N48" i="33"/>
  <c r="N51" i="33" s="1"/>
  <c r="M48" i="33"/>
  <c r="M51" i="33" s="1"/>
  <c r="L48" i="33"/>
  <c r="L51" i="33" s="1"/>
  <c r="K48" i="33"/>
  <c r="K51" i="33" s="1"/>
  <c r="J48" i="33"/>
  <c r="J51" i="33" s="1"/>
  <c r="I48" i="33"/>
  <c r="I51" i="33" s="1"/>
  <c r="H48" i="33"/>
  <c r="H51" i="33" s="1"/>
  <c r="G48" i="33"/>
  <c r="G51" i="33" s="1"/>
  <c r="E48" i="33"/>
  <c r="E51" i="33" s="1"/>
  <c r="D48" i="33"/>
  <c r="F48" i="33"/>
  <c r="F51" i="33" s="1"/>
  <c r="O3" i="33"/>
  <c r="C4" i="33" s="1"/>
  <c r="O4" i="33" s="1"/>
  <c r="C5" i="33" s="1"/>
  <c r="O5" i="33" s="1"/>
  <c r="C6" i="33" s="1"/>
  <c r="O6" i="33" s="1"/>
  <c r="C7" i="33" s="1"/>
  <c r="O7" i="33" s="1"/>
  <c r="C8" i="33" s="1"/>
  <c r="O8" i="33" s="1"/>
  <c r="C9" i="33" s="1"/>
  <c r="O9" i="33" s="1"/>
  <c r="C10" i="33" s="1"/>
  <c r="O10" i="33" s="1"/>
  <c r="C11" i="33" s="1"/>
  <c r="O11" i="33" s="1"/>
  <c r="C12" i="33" s="1"/>
  <c r="O12" i="33" s="1"/>
  <c r="C13" i="33" s="1"/>
  <c r="O13" i="33" s="1"/>
  <c r="C14" i="33" s="1"/>
  <c r="O14" i="33" s="1"/>
  <c r="C15" i="33" s="1"/>
  <c r="O15" i="33" s="1"/>
  <c r="C16" i="33" s="1"/>
  <c r="O16" i="33" s="1"/>
  <c r="C17" i="33" s="1"/>
  <c r="O17" i="33" s="1"/>
  <c r="C18" i="33" s="1"/>
  <c r="O18" i="33" s="1"/>
  <c r="C19" i="33" s="1"/>
  <c r="O19" i="33" s="1"/>
  <c r="C20" i="33" s="1"/>
  <c r="O20" i="33" s="1"/>
  <c r="C21" i="33" s="1"/>
  <c r="O21" i="33" s="1"/>
  <c r="C22" i="33" s="1"/>
  <c r="O22" i="33" s="1"/>
  <c r="C23" i="33" s="1"/>
  <c r="O23" i="33" s="1"/>
  <c r="C24" i="33" s="1"/>
  <c r="O24" i="33" s="1"/>
  <c r="C25" i="33" s="1"/>
  <c r="O25" i="33" s="1"/>
  <c r="C26" i="33" s="1"/>
  <c r="O26" i="33" s="1"/>
  <c r="C27" i="33" s="1"/>
  <c r="O27" i="33" s="1"/>
  <c r="C28" i="33" s="1"/>
  <c r="O28" i="33" s="1"/>
  <c r="C29" i="33" s="1"/>
  <c r="O29" i="33" s="1"/>
  <c r="C30" i="33" s="1"/>
  <c r="O30" i="33" s="1"/>
  <c r="C31" i="33" s="1"/>
  <c r="O31" i="33" s="1"/>
  <c r="C32" i="33" s="1"/>
  <c r="O32" i="33" s="1"/>
  <c r="C33" i="33" s="1"/>
  <c r="O33" i="33" s="1"/>
  <c r="C34" i="33" s="1"/>
  <c r="O34" i="33" s="1"/>
  <c r="C35" i="33" s="1"/>
  <c r="O35" i="33" s="1"/>
  <c r="C36" i="33" s="1"/>
  <c r="O36" i="33" s="1"/>
  <c r="C37" i="33" s="1"/>
  <c r="O37" i="33" s="1"/>
  <c r="C38" i="33" s="1"/>
  <c r="O38" i="33" s="1"/>
  <c r="C39" i="33" s="1"/>
  <c r="O39" i="33" s="1"/>
  <c r="C40" i="33" s="1"/>
  <c r="O40" i="33" s="1"/>
  <c r="C41" i="33" s="1"/>
  <c r="O41" i="33" s="1"/>
  <c r="C42" i="33" s="1"/>
  <c r="O42" i="33" s="1"/>
  <c r="C43" i="33" s="1"/>
  <c r="O43" i="33" s="1"/>
  <c r="C44" i="33" s="1"/>
  <c r="O44" i="33" s="1"/>
  <c r="C45" i="33" s="1"/>
  <c r="O45" i="33" s="1"/>
  <c r="C46" i="33" s="1"/>
  <c r="O46" i="33" s="1"/>
  <c r="C47" i="33" s="1"/>
  <c r="O47" i="33" s="1"/>
  <c r="E68" i="31"/>
  <c r="E71" i="31" s="1"/>
  <c r="G68" i="31"/>
  <c r="G71" i="31" s="1"/>
  <c r="H68" i="31"/>
  <c r="H71" i="31" s="1"/>
  <c r="I68" i="31"/>
  <c r="I71" i="31" s="1"/>
  <c r="J68" i="31"/>
  <c r="J71" i="31" s="1"/>
  <c r="K68" i="31"/>
  <c r="K71" i="31" s="1"/>
  <c r="L68" i="31"/>
  <c r="L71" i="31" s="1"/>
  <c r="M68" i="31"/>
  <c r="M71" i="31" s="1"/>
  <c r="N68" i="31"/>
  <c r="N71" i="31" s="1"/>
  <c r="D68" i="31"/>
  <c r="O69" i="31"/>
  <c r="F38" i="31"/>
  <c r="F68" i="31" s="1"/>
  <c r="O23" i="31"/>
  <c r="C24" i="31" s="1"/>
  <c r="O24" i="31" s="1"/>
  <c r="C25" i="31" s="1"/>
  <c r="O25" i="31" s="1"/>
  <c r="C26" i="31" s="1"/>
  <c r="O26" i="31" s="1"/>
  <c r="C27" i="31" s="1"/>
  <c r="O27" i="31" s="1"/>
  <c r="C28" i="31" s="1"/>
  <c r="O28" i="31" s="1"/>
  <c r="C29" i="31" s="1"/>
  <c r="O29" i="31" s="1"/>
  <c r="C30" i="31" s="1"/>
  <c r="O30" i="31" s="1"/>
  <c r="C31" i="31" s="1"/>
  <c r="O31" i="31" s="1"/>
  <c r="C32" i="31" s="1"/>
  <c r="O32" i="31" s="1"/>
  <c r="C33" i="31" s="1"/>
  <c r="O33" i="31" s="1"/>
  <c r="C34" i="31" s="1"/>
  <c r="O34" i="31" s="1"/>
  <c r="C35" i="31" s="1"/>
  <c r="O35" i="31" s="1"/>
  <c r="C36" i="31" s="1"/>
  <c r="O36" i="31" s="1"/>
  <c r="C37" i="31" s="1"/>
  <c r="O37" i="31" s="1"/>
  <c r="C38" i="31" s="1"/>
  <c r="O38" i="31" s="1"/>
  <c r="C39" i="31" s="1"/>
  <c r="O39" i="31" s="1"/>
  <c r="C40" i="31" s="1"/>
  <c r="O40" i="31" s="1"/>
  <c r="C41" i="31" s="1"/>
  <c r="O41" i="31" s="1"/>
  <c r="C42" i="31" s="1"/>
  <c r="O42" i="31" s="1"/>
  <c r="C43" i="31" s="1"/>
  <c r="O43" i="31" s="1"/>
  <c r="C44" i="31" s="1"/>
  <c r="O44" i="31" s="1"/>
  <c r="C45" i="31" s="1"/>
  <c r="O45" i="31" s="1"/>
  <c r="C46" i="31" s="1"/>
  <c r="O46" i="31" s="1"/>
  <c r="C47" i="31" s="1"/>
  <c r="O47" i="31" s="1"/>
  <c r="C48" i="31" s="1"/>
  <c r="O48" i="31" s="1"/>
  <c r="C49" i="31" s="1"/>
  <c r="O49" i="31" s="1"/>
  <c r="C50" i="31" s="1"/>
  <c r="O50" i="31" s="1"/>
  <c r="C51" i="31" s="1"/>
  <c r="O51" i="31" s="1"/>
  <c r="C52" i="31" s="1"/>
  <c r="O52" i="31" s="1"/>
  <c r="C53" i="31" s="1"/>
  <c r="O53" i="31" s="1"/>
  <c r="C54" i="31" s="1"/>
  <c r="O54" i="31" s="1"/>
  <c r="C55" i="31" s="1"/>
  <c r="O55" i="31" s="1"/>
  <c r="C56" i="31" s="1"/>
  <c r="O56" i="31" s="1"/>
  <c r="C57" i="31" s="1"/>
  <c r="O57" i="31" s="1"/>
  <c r="C58" i="31" s="1"/>
  <c r="O58" i="31" s="1"/>
  <c r="C59" i="31" s="1"/>
  <c r="O59" i="31" s="1"/>
  <c r="C60" i="31" s="1"/>
  <c r="O60" i="31" s="1"/>
  <c r="C61" i="31" s="1"/>
  <c r="O61" i="31" s="1"/>
  <c r="C62" i="31" s="1"/>
  <c r="O62" i="31" s="1"/>
  <c r="C63" i="31" s="1"/>
  <c r="O63" i="31" s="1"/>
  <c r="C64" i="31" s="1"/>
  <c r="O64" i="31" s="1"/>
  <c r="C65" i="31" s="1"/>
  <c r="O65" i="31" s="1"/>
  <c r="C66" i="31" s="1"/>
  <c r="O66" i="31" s="1"/>
  <c r="C67" i="31" s="1"/>
  <c r="O67" i="31" s="1"/>
  <c r="O9" i="36" l="1"/>
  <c r="C10" i="36" s="1"/>
  <c r="O10" i="36" s="1"/>
  <c r="C11" i="36" s="1"/>
  <c r="O11" i="36" s="1"/>
  <c r="C12" i="36" s="1"/>
  <c r="O12" i="36" s="1"/>
  <c r="C13" i="36" s="1"/>
  <c r="O13" i="36" s="1"/>
  <c r="C14" i="36" s="1"/>
  <c r="O14" i="36" s="1"/>
  <c r="C15" i="36" s="1"/>
  <c r="O15" i="36" s="1"/>
  <c r="C16" i="36" s="1"/>
  <c r="O16" i="36" s="1"/>
  <c r="C17" i="36" s="1"/>
  <c r="O17" i="36" s="1"/>
  <c r="C18" i="36" s="1"/>
  <c r="O18" i="36" s="1"/>
  <c r="C19" i="36" s="1"/>
  <c r="O19" i="36" s="1"/>
  <c r="C20" i="36" s="1"/>
  <c r="O20" i="36" s="1"/>
  <c r="C21" i="36" s="1"/>
  <c r="O21" i="36" s="1"/>
  <c r="C22" i="36" s="1"/>
  <c r="O22" i="36" s="1"/>
  <c r="C23" i="36" s="1"/>
  <c r="O23" i="36" s="1"/>
  <c r="C24" i="36" s="1"/>
  <c r="O24" i="36" s="1"/>
  <c r="C25" i="36" s="1"/>
  <c r="O25" i="36" s="1"/>
  <c r="C26" i="36" s="1"/>
  <c r="O26" i="36" s="1"/>
  <c r="C27" i="36" s="1"/>
  <c r="O27" i="36" s="1"/>
  <c r="C28" i="36" s="1"/>
  <c r="O28" i="36" s="1"/>
  <c r="C29" i="36" s="1"/>
  <c r="O29" i="36" s="1"/>
  <c r="C30" i="36" s="1"/>
  <c r="O30" i="36" s="1"/>
  <c r="C31" i="36" s="1"/>
  <c r="O31" i="36" s="1"/>
  <c r="C32" i="36" s="1"/>
  <c r="O32" i="36" s="1"/>
  <c r="C33" i="36" s="1"/>
  <c r="O33" i="36" s="1"/>
  <c r="C34" i="36" s="1"/>
  <c r="O34" i="36" s="1"/>
  <c r="C35" i="36" s="1"/>
  <c r="O35" i="36" s="1"/>
  <c r="C36" i="36" s="1"/>
  <c r="O36" i="36" s="1"/>
  <c r="C37" i="36" s="1"/>
  <c r="O37" i="36" s="1"/>
  <c r="C38" i="36" s="1"/>
  <c r="O38" i="36" s="1"/>
  <c r="C39" i="36" s="1"/>
  <c r="O39" i="36" s="1"/>
  <c r="C40" i="36" s="1"/>
  <c r="O40" i="36" s="1"/>
  <c r="C41" i="36" s="1"/>
  <c r="O41" i="36" s="1"/>
  <c r="C42" i="36" s="1"/>
  <c r="O42" i="36" s="1"/>
  <c r="C43" i="36" s="1"/>
  <c r="O43" i="36" s="1"/>
  <c r="C44" i="36" s="1"/>
  <c r="O44" i="36" s="1"/>
  <c r="C45" i="36" s="1"/>
  <c r="O45" i="36" s="1"/>
  <c r="C46" i="36" s="1"/>
  <c r="O46" i="36" s="1"/>
  <c r="C47" i="36" s="1"/>
  <c r="O47" i="36" s="1"/>
  <c r="O9" i="34"/>
  <c r="C10" i="34" s="1"/>
  <c r="O10" i="34" s="1"/>
  <c r="C11" i="34" s="1"/>
  <c r="O11" i="34" s="1"/>
  <c r="C12" i="34" s="1"/>
  <c r="C49" i="30"/>
  <c r="J49" i="30" s="1"/>
  <c r="C50" i="30" s="1"/>
  <c r="J50" i="30" s="1"/>
  <c r="O68" i="31"/>
  <c r="O71" i="31" s="1"/>
  <c r="F71" i="31"/>
  <c r="G14" i="34"/>
  <c r="G48" i="34"/>
  <c r="G51" i="34" s="1"/>
  <c r="L49" i="30"/>
  <c r="O21" i="35"/>
  <c r="C22" i="35" s="1"/>
  <c r="O22" i="35" s="1"/>
  <c r="C23" i="35" s="1"/>
  <c r="O23" i="35" s="1"/>
  <c r="C24" i="35" s="1"/>
  <c r="O24" i="35" s="1"/>
  <c r="C25" i="35" s="1"/>
  <c r="O25" i="35" s="1"/>
  <c r="C26" i="35" s="1"/>
  <c r="O26" i="35" s="1"/>
  <c r="C27" i="35" s="1"/>
  <c r="O27" i="35" s="1"/>
  <c r="C28" i="35" s="1"/>
  <c r="O28" i="35" s="1"/>
  <c r="C29" i="35" s="1"/>
  <c r="O29" i="35" s="1"/>
  <c r="C30" i="35" s="1"/>
  <c r="O30" i="35" s="1"/>
  <c r="C31" i="35" s="1"/>
  <c r="O31" i="35" s="1"/>
  <c r="C32" i="35" s="1"/>
  <c r="O32" i="35" s="1"/>
  <c r="C33" i="35" s="1"/>
  <c r="O33" i="35" s="1"/>
  <c r="C34" i="35" s="1"/>
  <c r="O34" i="35" s="1"/>
  <c r="C35" i="35" s="1"/>
  <c r="O35" i="35" s="1"/>
  <c r="C36" i="35" s="1"/>
  <c r="O36" i="35" s="1"/>
  <c r="C37" i="35" s="1"/>
  <c r="O37" i="35" s="1"/>
  <c r="C38" i="35" s="1"/>
  <c r="O38" i="35" s="1"/>
  <c r="C39" i="35" s="1"/>
  <c r="O39" i="35" s="1"/>
  <c r="C40" i="35" s="1"/>
  <c r="O40" i="35" s="1"/>
  <c r="C41" i="35" s="1"/>
  <c r="O41" i="35" s="1"/>
  <c r="C42" i="35" s="1"/>
  <c r="O42" i="35" s="1"/>
  <c r="C43" i="35" s="1"/>
  <c r="O43" i="35" s="1"/>
  <c r="C44" i="35" s="1"/>
  <c r="O44" i="35" s="1"/>
  <c r="C45" i="35" s="1"/>
  <c r="O45" i="35" s="1"/>
  <c r="C46" i="35" s="1"/>
  <c r="O46" i="35" s="1"/>
  <c r="C47" i="35" s="1"/>
  <c r="O47" i="35" s="1"/>
  <c r="G5" i="37"/>
  <c r="G6" i="37" s="1"/>
  <c r="J66" i="30"/>
  <c r="C67" i="30" s="1"/>
  <c r="J67" i="30" s="1"/>
  <c r="C68" i="30" s="1"/>
  <c r="J68" i="30" s="1"/>
  <c r="C69" i="30" s="1"/>
  <c r="J69" i="30" s="1"/>
  <c r="C70" i="30" s="1"/>
  <c r="J70" i="30" s="1"/>
  <c r="C71" i="30" s="1"/>
  <c r="J71" i="30" s="1"/>
  <c r="C72" i="30" s="1"/>
  <c r="J72" i="30" s="1"/>
  <c r="C73" i="30" s="1"/>
  <c r="J73" i="30" s="1"/>
  <c r="C74" i="30" s="1"/>
  <c r="J74" i="30" s="1"/>
  <c r="C75" i="30" s="1"/>
  <c r="J75" i="30" s="1"/>
  <c r="C76" i="30" s="1"/>
  <c r="J76" i="30" s="1"/>
  <c r="C77" i="30" s="1"/>
  <c r="J77" i="30" s="1"/>
  <c r="C78" i="30" s="1"/>
  <c r="J78" i="30" s="1"/>
  <c r="C79" i="30" s="1"/>
  <c r="J79" i="30" s="1"/>
  <c r="C80" i="30" s="1"/>
  <c r="J80" i="30" s="1"/>
  <c r="C81" i="30" s="1"/>
  <c r="J81" i="30" s="1"/>
  <c r="C82" i="30" s="1"/>
  <c r="J82" i="30" s="1"/>
  <c r="C83" i="30" s="1"/>
  <c r="J83" i="30" s="1"/>
  <c r="C84" i="30" s="1"/>
  <c r="J84" i="30" s="1"/>
  <c r="C85" i="30" s="1"/>
  <c r="J85" i="30" s="1"/>
  <c r="C86" i="30" s="1"/>
  <c r="J86" i="30" s="1"/>
  <c r="O4" i="37"/>
  <c r="C5" i="37" s="1"/>
  <c r="D51" i="37"/>
  <c r="O48" i="36"/>
  <c r="O51" i="36" s="1"/>
  <c r="D51" i="36"/>
  <c r="G48" i="35"/>
  <c r="G51" i="35" s="1"/>
  <c r="O12" i="34"/>
  <c r="C13" i="34" s="1"/>
  <c r="O13" i="34" s="1"/>
  <c r="C14" i="34" s="1"/>
  <c r="I48" i="34"/>
  <c r="I51" i="34" s="1"/>
  <c r="F51" i="34"/>
  <c r="O48" i="33"/>
  <c r="O51" i="33" s="1"/>
  <c r="O5" i="37" l="1"/>
  <c r="C6" i="37" s="1"/>
  <c r="O6" i="37" s="1"/>
  <c r="C7" i="37" s="1"/>
  <c r="O7" i="37" s="1"/>
  <c r="C8" i="37" s="1"/>
  <c r="O8" i="37" s="1"/>
  <c r="C9" i="37" s="1"/>
  <c r="O9" i="37" s="1"/>
  <c r="C10" i="37" s="1"/>
  <c r="O10" i="37" s="1"/>
  <c r="C11" i="37" s="1"/>
  <c r="O11" i="37" s="1"/>
  <c r="C12" i="37" s="1"/>
  <c r="O12" i="37" s="1"/>
  <c r="C13" i="37" s="1"/>
  <c r="O13" i="37" s="1"/>
  <c r="C14" i="37" s="1"/>
  <c r="O14" i="37" s="1"/>
  <c r="C15" i="37" s="1"/>
  <c r="O15" i="37" s="1"/>
  <c r="C16" i="37" s="1"/>
  <c r="O16" i="37" s="1"/>
  <c r="C17" i="37" s="1"/>
  <c r="O17" i="37" s="1"/>
  <c r="C18" i="37" s="1"/>
  <c r="O18" i="37" s="1"/>
  <c r="C19" i="37" s="1"/>
  <c r="O19" i="37" s="1"/>
  <c r="C20" i="37" s="1"/>
  <c r="O20" i="37" s="1"/>
  <c r="C21" i="37" s="1"/>
  <c r="O21" i="37" s="1"/>
  <c r="C22" i="37" s="1"/>
  <c r="O22" i="37" s="1"/>
  <c r="C23" i="37" s="1"/>
  <c r="O23" i="37" s="1"/>
  <c r="C24" i="37" s="1"/>
  <c r="O24" i="37" s="1"/>
  <c r="C25" i="37" s="1"/>
  <c r="O25" i="37" s="1"/>
  <c r="C26" i="37" s="1"/>
  <c r="O26" i="37" s="1"/>
  <c r="C27" i="37" s="1"/>
  <c r="O27" i="37" s="1"/>
  <c r="C28" i="37" s="1"/>
  <c r="O28" i="37" s="1"/>
  <c r="C29" i="37" s="1"/>
  <c r="O29" i="37" s="1"/>
  <c r="C30" i="37" s="1"/>
  <c r="O30" i="37" s="1"/>
  <c r="C31" i="37" s="1"/>
  <c r="O31" i="37" s="1"/>
  <c r="C32" i="37" s="1"/>
  <c r="O32" i="37" s="1"/>
  <c r="C33" i="37" s="1"/>
  <c r="O33" i="37" s="1"/>
  <c r="C34" i="37" s="1"/>
  <c r="O34" i="37" s="1"/>
  <c r="C35" i="37" s="1"/>
  <c r="O35" i="37" s="1"/>
  <c r="C36" i="37" s="1"/>
  <c r="O36" i="37" s="1"/>
  <c r="C37" i="37" s="1"/>
  <c r="O37" i="37" s="1"/>
  <c r="C38" i="37" s="1"/>
  <c r="O38" i="37" s="1"/>
  <c r="C39" i="37" s="1"/>
  <c r="O39" i="37" s="1"/>
  <c r="C40" i="37" s="1"/>
  <c r="O40" i="37" s="1"/>
  <c r="C41" i="37" s="1"/>
  <c r="O41" i="37" s="1"/>
  <c r="C42" i="37" s="1"/>
  <c r="O42" i="37" s="1"/>
  <c r="C43" i="37" s="1"/>
  <c r="O43" i="37" s="1"/>
  <c r="C44" i="37" s="1"/>
  <c r="O44" i="37" s="1"/>
  <c r="C45" i="37" s="1"/>
  <c r="O45" i="37" s="1"/>
  <c r="C46" i="37" s="1"/>
  <c r="O46" i="37" s="1"/>
  <c r="C47" i="37" s="1"/>
  <c r="O47" i="37" s="1"/>
  <c r="G48" i="37"/>
  <c r="G51" i="37" s="1"/>
  <c r="O48" i="37"/>
  <c r="O51" i="37" s="1"/>
  <c r="O14" i="34"/>
  <c r="C15" i="34" s="1"/>
  <c r="O15" i="34" s="1"/>
  <c r="C16" i="34" s="1"/>
  <c r="O16" i="34" s="1"/>
  <c r="C17" i="34" s="1"/>
  <c r="O17" i="34" s="1"/>
  <c r="C18" i="34" s="1"/>
  <c r="O18" i="34" s="1"/>
  <c r="C19" i="34" s="1"/>
  <c r="O19" i="34" s="1"/>
  <c r="C20" i="34" s="1"/>
  <c r="O20" i="34" s="1"/>
  <c r="C21" i="34" s="1"/>
  <c r="O21" i="34" s="1"/>
  <c r="C22" i="34" s="1"/>
  <c r="O22" i="34" s="1"/>
  <c r="C23" i="34" s="1"/>
  <c r="O23" i="34" s="1"/>
  <c r="C24" i="34" s="1"/>
  <c r="O24" i="34" s="1"/>
  <c r="C25" i="34" s="1"/>
  <c r="O25" i="34" s="1"/>
  <c r="C26" i="34" s="1"/>
  <c r="O26" i="34" s="1"/>
  <c r="C27" i="34" s="1"/>
  <c r="O27" i="34" s="1"/>
  <c r="C28" i="34" s="1"/>
  <c r="O28" i="34" s="1"/>
  <c r="C29" i="34" s="1"/>
  <c r="O29" i="34" s="1"/>
  <c r="C30" i="34" s="1"/>
  <c r="O30" i="34" s="1"/>
  <c r="C31" i="34" s="1"/>
  <c r="O31" i="34" s="1"/>
  <c r="C32" i="34" s="1"/>
  <c r="O32" i="34" s="1"/>
  <c r="C33" i="34" s="1"/>
  <c r="O33" i="34" s="1"/>
  <c r="C34" i="34" s="1"/>
  <c r="O34" i="34" s="1"/>
  <c r="C35" i="34" s="1"/>
  <c r="O35" i="34" s="1"/>
  <c r="C36" i="34" s="1"/>
  <c r="O36" i="34" s="1"/>
  <c r="C37" i="34" s="1"/>
  <c r="O37" i="34" s="1"/>
  <c r="C38" i="34" s="1"/>
  <c r="O38" i="34" s="1"/>
  <c r="C39" i="34" s="1"/>
  <c r="O39" i="34" s="1"/>
  <c r="C40" i="34" s="1"/>
  <c r="O40" i="34" s="1"/>
  <c r="C41" i="34" s="1"/>
  <c r="O41" i="34" s="1"/>
  <c r="C42" i="34" s="1"/>
  <c r="O42" i="34" s="1"/>
  <c r="C43" i="34" s="1"/>
  <c r="O43" i="34" s="1"/>
  <c r="C44" i="34" s="1"/>
  <c r="O44" i="34" s="1"/>
  <c r="C45" i="34" s="1"/>
  <c r="O45" i="34" s="1"/>
  <c r="C46" i="34" s="1"/>
  <c r="O46" i="34" s="1"/>
  <c r="C47" i="34" s="1"/>
  <c r="O47" i="34" s="1"/>
  <c r="C51" i="30"/>
  <c r="J51" i="30" s="1"/>
  <c r="L50" i="30"/>
  <c r="O48" i="35"/>
  <c r="O51" i="35" s="1"/>
  <c r="O48" i="34"/>
  <c r="O51" i="34" s="1"/>
  <c r="C52" i="30" l="1"/>
  <c r="J52" i="30" s="1"/>
  <c r="L51" i="30"/>
  <c r="C53" i="30" l="1"/>
  <c r="J53" i="30" s="1"/>
  <c r="L52" i="30"/>
  <c r="C54" i="30" l="1"/>
  <c r="J54" i="30" s="1"/>
  <c r="L53" i="30"/>
  <c r="C55" i="30" l="1"/>
  <c r="J55" i="30" s="1"/>
  <c r="L54" i="30"/>
  <c r="C56" i="30" l="1"/>
  <c r="J56" i="30" s="1"/>
  <c r="L55" i="30"/>
  <c r="C57" i="30" l="1"/>
  <c r="J57" i="30" s="1"/>
  <c r="L56" i="30"/>
  <c r="R175" i="32"/>
  <c r="Q15" i="32"/>
  <c r="Q17" i="32" s="1"/>
  <c r="I10" i="32"/>
  <c r="H9" i="32"/>
  <c r="F9" i="32"/>
  <c r="D9" i="32"/>
  <c r="C9" i="32"/>
  <c r="G8" i="32"/>
  <c r="I8" i="32" s="1"/>
  <c r="K8" i="32" s="1"/>
  <c r="E7" i="32"/>
  <c r="G7" i="32" s="1"/>
  <c r="I7" i="32" s="1"/>
  <c r="K7" i="32" s="1"/>
  <c r="G6" i="32"/>
  <c r="I6" i="32" s="1"/>
  <c r="K6" i="32" s="1"/>
  <c r="E5" i="32"/>
  <c r="G5" i="32" s="1"/>
  <c r="I5" i="32" s="1"/>
  <c r="K5" i="32" s="1"/>
  <c r="J4" i="32"/>
  <c r="J9" i="32" s="1"/>
  <c r="E4" i="32"/>
  <c r="L57" i="30" l="1"/>
  <c r="C58" i="30"/>
  <c r="J58" i="30" s="1"/>
  <c r="E9" i="32"/>
  <c r="G4" i="32"/>
  <c r="L58" i="30" l="1"/>
  <c r="C59" i="30"/>
  <c r="J59" i="30" s="1"/>
  <c r="L59" i="30" s="1"/>
  <c r="I4" i="32"/>
  <c r="K4" i="32" s="1"/>
  <c r="K9" i="32" s="1"/>
  <c r="G9" i="32"/>
  <c r="I9" i="32" s="1"/>
  <c r="E15" i="21" l="1"/>
  <c r="AC192" i="1" l="1"/>
  <c r="AE13" i="1"/>
  <c r="T103" i="14" s="1"/>
  <c r="AG13" i="1" l="1"/>
  <c r="F126" i="14"/>
  <c r="G126" i="14" s="1"/>
  <c r="AC195" i="1"/>
  <c r="N53" i="30" l="1"/>
  <c r="S44" i="30"/>
  <c r="R44" i="30"/>
  <c r="Q44" i="30"/>
  <c r="P44" i="30"/>
  <c r="O44" i="30"/>
  <c r="N44" i="30"/>
  <c r="M44" i="30"/>
  <c r="L44" i="30"/>
  <c r="K44" i="30"/>
  <c r="J44" i="30"/>
  <c r="H44" i="30"/>
  <c r="G44" i="30"/>
  <c r="F44" i="30"/>
  <c r="E44" i="30"/>
  <c r="D44" i="30"/>
  <c r="C44" i="30"/>
  <c r="B44" i="30"/>
  <c r="I44" i="30"/>
  <c r="N46" i="30" l="1"/>
  <c r="I25" i="14"/>
  <c r="R12" i="1" s="1"/>
  <c r="R18" i="1" l="1"/>
  <c r="R186" i="1"/>
  <c r="R192" i="1" s="1"/>
  <c r="AV15" i="97"/>
  <c r="AW15" i="97" s="1"/>
  <c r="G17" i="87"/>
  <c r="G23" i="87" s="1"/>
  <c r="AV15" i="63"/>
  <c r="AW15" i="63" s="1"/>
  <c r="AV12" i="63"/>
  <c r="AW12" i="63" s="1"/>
  <c r="O192" i="1"/>
  <c r="AV12" i="97"/>
  <c r="AW12" i="97" s="1"/>
  <c r="J200" i="1"/>
  <c r="J18" i="87" s="1"/>
  <c r="J23" i="87" s="1"/>
  <c r="C17" i="87"/>
  <c r="D39" i="1" l="1"/>
  <c r="R194" i="1"/>
  <c r="D59" i="1"/>
  <c r="O194" i="1"/>
  <c r="J207" i="1"/>
  <c r="K207" i="1" s="1"/>
  <c r="I17" i="87"/>
  <c r="I23" i="87" s="1"/>
  <c r="K23" i="87" s="1"/>
  <c r="BN17" i="87"/>
  <c r="BN23" i="87" s="1"/>
  <c r="BN25" i="87" s="1"/>
  <c r="C23" i="87"/>
  <c r="M63" i="29"/>
  <c r="L63" i="29"/>
  <c r="K63" i="29"/>
  <c r="J63" i="29"/>
  <c r="I63" i="29"/>
  <c r="G63" i="29"/>
  <c r="F63" i="29"/>
  <c r="E63" i="29"/>
  <c r="D63" i="29"/>
  <c r="C63" i="29"/>
  <c r="K62" i="29"/>
  <c r="F62" i="29"/>
  <c r="E62" i="29"/>
  <c r="C62" i="29"/>
  <c r="M61" i="29"/>
  <c r="L61" i="29"/>
  <c r="K61" i="29"/>
  <c r="J61" i="29"/>
  <c r="F61" i="29"/>
  <c r="E61" i="29"/>
  <c r="C61" i="29"/>
  <c r="O60" i="29"/>
  <c r="F60" i="29"/>
  <c r="E60" i="29"/>
  <c r="C60" i="29"/>
  <c r="O59" i="29"/>
  <c r="M59" i="29"/>
  <c r="L59" i="29"/>
  <c r="K59" i="29"/>
  <c r="J59" i="29"/>
  <c r="F59" i="29"/>
  <c r="E59" i="29"/>
  <c r="C59" i="29"/>
  <c r="M58" i="29"/>
  <c r="L58" i="29"/>
  <c r="K58" i="29"/>
  <c r="J58" i="29"/>
  <c r="F58" i="29"/>
  <c r="D58" i="29"/>
  <c r="C58" i="29"/>
  <c r="O53" i="29"/>
  <c r="M53" i="29"/>
  <c r="L53" i="29"/>
  <c r="K53" i="29"/>
  <c r="J53" i="29"/>
  <c r="I53" i="29"/>
  <c r="G53" i="29"/>
  <c r="F53" i="29"/>
  <c r="E53" i="29"/>
  <c r="D53" i="29"/>
  <c r="C53" i="29"/>
  <c r="H52" i="29"/>
  <c r="N52" i="29" s="1"/>
  <c r="P52" i="29" s="1"/>
  <c r="H51" i="29"/>
  <c r="N51" i="29" s="1"/>
  <c r="P51" i="29" s="1"/>
  <c r="H50" i="29"/>
  <c r="N50" i="29" s="1"/>
  <c r="P50" i="29" s="1"/>
  <c r="H49" i="29"/>
  <c r="N49" i="29" s="1"/>
  <c r="P49" i="29" s="1"/>
  <c r="H48" i="29"/>
  <c r="N48" i="29" s="1"/>
  <c r="P48" i="29" s="1"/>
  <c r="H47" i="29"/>
  <c r="N47" i="29" s="1"/>
  <c r="O43" i="29"/>
  <c r="J43" i="29"/>
  <c r="O42" i="29"/>
  <c r="M42" i="29"/>
  <c r="L42" i="29"/>
  <c r="K42" i="29"/>
  <c r="J42" i="29"/>
  <c r="I42" i="29"/>
  <c r="F42" i="29"/>
  <c r="E42" i="29"/>
  <c r="C42" i="29"/>
  <c r="C44" i="29" s="1"/>
  <c r="H41" i="29"/>
  <c r="N41" i="29" s="1"/>
  <c r="P41" i="29" s="1"/>
  <c r="D40" i="29"/>
  <c r="H40" i="29" s="1"/>
  <c r="N40" i="29" s="1"/>
  <c r="P40" i="29" s="1"/>
  <c r="H39" i="29"/>
  <c r="N39" i="29" s="1"/>
  <c r="P39" i="29" s="1"/>
  <c r="G38" i="29"/>
  <c r="H37" i="29"/>
  <c r="N37" i="29" s="1"/>
  <c r="P37" i="29" s="1"/>
  <c r="H36" i="29"/>
  <c r="N36" i="29" s="1"/>
  <c r="R35" i="29"/>
  <c r="R38" i="29" s="1"/>
  <c r="C35" i="29"/>
  <c r="O31" i="29"/>
  <c r="J31" i="29"/>
  <c r="O30" i="29"/>
  <c r="M30" i="29"/>
  <c r="K30" i="29"/>
  <c r="J30" i="29"/>
  <c r="I30" i="29"/>
  <c r="F30" i="29"/>
  <c r="E30" i="29"/>
  <c r="C30" i="29"/>
  <c r="C32" i="29" s="1"/>
  <c r="H29" i="29"/>
  <c r="N29" i="29" s="1"/>
  <c r="P29" i="29" s="1"/>
  <c r="H28" i="29"/>
  <c r="N28" i="29" s="1"/>
  <c r="P28" i="29" s="1"/>
  <c r="H27" i="29"/>
  <c r="N27" i="29" s="1"/>
  <c r="P27" i="29" s="1"/>
  <c r="S26" i="29"/>
  <c r="Y26" i="29" s="1"/>
  <c r="L26" i="29"/>
  <c r="L30" i="29" s="1"/>
  <c r="G26" i="29"/>
  <c r="D26" i="29"/>
  <c r="AC25" i="29"/>
  <c r="D25" i="29"/>
  <c r="AC24" i="29"/>
  <c r="G24" i="29"/>
  <c r="H24" i="29" s="1"/>
  <c r="J18" i="29"/>
  <c r="F17" i="29"/>
  <c r="C17" i="29"/>
  <c r="C19" i="29" s="1"/>
  <c r="O16" i="29"/>
  <c r="H16" i="29"/>
  <c r="BA15" i="29"/>
  <c r="V15" i="29"/>
  <c r="T15" i="29"/>
  <c r="S15" i="29"/>
  <c r="R15" i="29"/>
  <c r="O15" i="29"/>
  <c r="I15" i="29"/>
  <c r="I62" i="29" s="1"/>
  <c r="O14" i="29"/>
  <c r="I14" i="29"/>
  <c r="I13" i="29"/>
  <c r="I60" i="29" s="1"/>
  <c r="D13" i="29"/>
  <c r="O11" i="29"/>
  <c r="E21" i="1" l="1"/>
  <c r="F21" i="1" s="1"/>
  <c r="F39" i="1"/>
  <c r="D46" i="1"/>
  <c r="H63" i="29"/>
  <c r="F66" i="29"/>
  <c r="C64" i="29"/>
  <c r="C67" i="29" s="1"/>
  <c r="O32" i="29"/>
  <c r="K18" i="87"/>
  <c r="E22" i="1"/>
  <c r="F22" i="1" s="1"/>
  <c r="F59" i="1"/>
  <c r="O195" i="1"/>
  <c r="O17" i="29"/>
  <c r="O66" i="29" s="1"/>
  <c r="AC26" i="29"/>
  <c r="N16" i="29"/>
  <c r="P16" i="29" s="1"/>
  <c r="O44" i="29"/>
  <c r="D60" i="29"/>
  <c r="H26" i="29"/>
  <c r="N26" i="29" s="1"/>
  <c r="P26" i="29" s="1"/>
  <c r="O58" i="29"/>
  <c r="J44" i="29"/>
  <c r="J32" i="29"/>
  <c r="D15" i="29"/>
  <c r="I61" i="29"/>
  <c r="H38" i="29"/>
  <c r="N38" i="29" s="1"/>
  <c r="P38" i="29" s="1"/>
  <c r="G42" i="29"/>
  <c r="G30" i="29"/>
  <c r="N24" i="29"/>
  <c r="P36" i="29"/>
  <c r="R39" i="29"/>
  <c r="P47" i="29"/>
  <c r="P53" i="29" s="1"/>
  <c r="N53" i="29"/>
  <c r="H53" i="29"/>
  <c r="O61" i="29"/>
  <c r="O62" i="29"/>
  <c r="H25" i="29"/>
  <c r="N25" i="29" s="1"/>
  <c r="P25" i="29" s="1"/>
  <c r="D30" i="29"/>
  <c r="D31" i="29" s="1"/>
  <c r="F64" i="29"/>
  <c r="D42" i="29"/>
  <c r="D43" i="29" s="1"/>
  <c r="N63" i="29" l="1"/>
  <c r="P63" i="29" s="1"/>
  <c r="F67" i="29"/>
  <c r="P42" i="29"/>
  <c r="H30" i="29"/>
  <c r="O64" i="29"/>
  <c r="O67" i="29" s="1"/>
  <c r="P24" i="29"/>
  <c r="N30" i="29"/>
  <c r="P30" i="29" s="1"/>
  <c r="H42" i="29"/>
  <c r="N42" i="29"/>
  <c r="D62" i="29"/>
  <c r="L15" i="29" l="1"/>
  <c r="L62" i="29" s="1"/>
  <c r="M15" i="29"/>
  <c r="M62" i="29" s="1"/>
  <c r="I12" i="29"/>
  <c r="G12" i="29"/>
  <c r="G59" i="29" s="1"/>
  <c r="D12" i="29"/>
  <c r="I59" i="29" l="1"/>
  <c r="J5" i="29"/>
  <c r="H12" i="29"/>
  <c r="D59" i="29"/>
  <c r="E17" i="21" l="1"/>
  <c r="H59" i="29"/>
  <c r="N12" i="29"/>
  <c r="N59" i="29" l="1"/>
  <c r="P59" i="29" s="1"/>
  <c r="P12" i="29"/>
  <c r="E6" i="21" l="1"/>
  <c r="B22" i="23" l="1"/>
  <c r="F22" i="14"/>
  <c r="K13" i="29"/>
  <c r="H39" i="10"/>
  <c r="G38" i="10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E7" i="21"/>
  <c r="B17" i="27"/>
  <c r="H15" i="27"/>
  <c r="C15" i="27"/>
  <c r="H14" i="27"/>
  <c r="F14" i="27"/>
  <c r="C14" i="27"/>
  <c r="H13" i="27"/>
  <c r="C13" i="27"/>
  <c r="I24" i="27"/>
  <c r="I23" i="27"/>
  <c r="I22" i="27"/>
  <c r="I18" i="27"/>
  <c r="I16" i="27"/>
  <c r="H12" i="27"/>
  <c r="I12" i="27" s="1"/>
  <c r="H11" i="27"/>
  <c r="I11" i="27" s="1"/>
  <c r="H10" i="27"/>
  <c r="C10" i="27"/>
  <c r="H9" i="27"/>
  <c r="C9" i="27"/>
  <c r="H8" i="27"/>
  <c r="C8" i="27"/>
  <c r="I8" i="27" s="1"/>
  <c r="C7" i="27"/>
  <c r="I7" i="27" s="1"/>
  <c r="H6" i="27"/>
  <c r="G6" i="27"/>
  <c r="F6" i="27"/>
  <c r="E6" i="27"/>
  <c r="D6" i="27"/>
  <c r="C6" i="27"/>
  <c r="H5" i="27"/>
  <c r="G5" i="27"/>
  <c r="F5" i="27"/>
  <c r="E5" i="27"/>
  <c r="D5" i="27"/>
  <c r="C5" i="27"/>
  <c r="H4" i="27"/>
  <c r="G4" i="27"/>
  <c r="F4" i="27"/>
  <c r="E4" i="27"/>
  <c r="D4" i="27"/>
  <c r="C4" i="27"/>
  <c r="H3" i="27"/>
  <c r="G3" i="27"/>
  <c r="F3" i="27"/>
  <c r="E3" i="27"/>
  <c r="D3" i="27"/>
  <c r="C3" i="27"/>
  <c r="H2" i="27"/>
  <c r="G2" i="27"/>
  <c r="F2" i="27"/>
  <c r="E2" i="27"/>
  <c r="D2" i="27"/>
  <c r="C2" i="27"/>
  <c r="F26" i="14"/>
  <c r="E26" i="14"/>
  <c r="D26" i="14"/>
  <c r="C26" i="14"/>
  <c r="C31" i="14" s="1"/>
  <c r="D49" i="23"/>
  <c r="B15" i="23"/>
  <c r="B4" i="23"/>
  <c r="J3" i="26"/>
  <c r="L3" i="26" s="1"/>
  <c r="O3" i="26"/>
  <c r="J4" i="26"/>
  <c r="L4" i="26" s="1"/>
  <c r="S4" i="26"/>
  <c r="J5" i="26"/>
  <c r="K5" i="26"/>
  <c r="J6" i="26"/>
  <c r="L6" i="26" s="1"/>
  <c r="S6" i="26"/>
  <c r="J7" i="26"/>
  <c r="K7" i="26"/>
  <c r="L7" i="26" s="1"/>
  <c r="J8" i="26"/>
  <c r="L8" i="26" s="1"/>
  <c r="Q8" i="26"/>
  <c r="Q10" i="26" s="1"/>
  <c r="R8" i="26"/>
  <c r="R10" i="26" s="1"/>
  <c r="J9" i="26"/>
  <c r="L9" i="26" s="1"/>
  <c r="J10" i="26"/>
  <c r="L10" i="26" s="1"/>
  <c r="L11" i="26"/>
  <c r="L12" i="26"/>
  <c r="L13" i="26"/>
  <c r="C3" i="25"/>
  <c r="G3" i="25" s="1"/>
  <c r="C4" i="25"/>
  <c r="D4" i="25"/>
  <c r="C5" i="25"/>
  <c r="D5" i="25"/>
  <c r="G6" i="25"/>
  <c r="C7" i="25"/>
  <c r="D7" i="25"/>
  <c r="D20" i="25" s="1"/>
  <c r="C8" i="25"/>
  <c r="D8" i="25"/>
  <c r="G9" i="25"/>
  <c r="E10" i="25"/>
  <c r="G10" i="25" s="1"/>
  <c r="B11" i="25"/>
  <c r="E11" i="25"/>
  <c r="G11" i="25" s="1"/>
  <c r="G12" i="25"/>
  <c r="C13" i="25"/>
  <c r="G13" i="25" s="1"/>
  <c r="C14" i="25"/>
  <c r="E14" i="25"/>
  <c r="C15" i="25"/>
  <c r="G15" i="25" s="1"/>
  <c r="G16" i="25"/>
  <c r="C17" i="25"/>
  <c r="G17" i="25" s="1"/>
  <c r="C18" i="25"/>
  <c r="G18" i="25" s="1"/>
  <c r="G19" i="25"/>
  <c r="F20" i="25"/>
  <c r="G21" i="25"/>
  <c r="G22" i="25"/>
  <c r="G23" i="25"/>
  <c r="G24" i="25"/>
  <c r="G25" i="25"/>
  <c r="E4" i="24"/>
  <c r="L5" i="24"/>
  <c r="H6" i="24"/>
  <c r="L6" i="24" s="1"/>
  <c r="E7" i="24"/>
  <c r="L7" i="24" s="1"/>
  <c r="L8" i="24"/>
  <c r="C10" i="24"/>
  <c r="D10" i="24"/>
  <c r="F10" i="24"/>
  <c r="F33" i="24" s="1"/>
  <c r="G10" i="24"/>
  <c r="I10" i="24"/>
  <c r="K10" i="24"/>
  <c r="M13" i="24"/>
  <c r="M14" i="24"/>
  <c r="M15" i="24"/>
  <c r="M16" i="24"/>
  <c r="M17" i="24"/>
  <c r="M18" i="24"/>
  <c r="M19" i="24"/>
  <c r="C20" i="24"/>
  <c r="E20" i="24"/>
  <c r="F20" i="24"/>
  <c r="G20" i="24"/>
  <c r="H20" i="24"/>
  <c r="I20" i="24"/>
  <c r="K20" i="24"/>
  <c r="L20" i="24"/>
  <c r="M21" i="24"/>
  <c r="M22" i="24"/>
  <c r="M23" i="24"/>
  <c r="M24" i="24"/>
  <c r="M25" i="24"/>
  <c r="M26" i="24"/>
  <c r="M27" i="24"/>
  <c r="M28" i="24"/>
  <c r="M29" i="24"/>
  <c r="C30" i="24"/>
  <c r="D30" i="24"/>
  <c r="E30" i="24"/>
  <c r="F30" i="24"/>
  <c r="G30" i="24"/>
  <c r="H30" i="24"/>
  <c r="I30" i="24"/>
  <c r="K30" i="24"/>
  <c r="L30" i="24"/>
  <c r="C1" i="23"/>
  <c r="B3" i="23"/>
  <c r="B5" i="23"/>
  <c r="B6" i="23"/>
  <c r="B7" i="23"/>
  <c r="B11" i="23"/>
  <c r="B12" i="23"/>
  <c r="B13" i="23"/>
  <c r="B14" i="23"/>
  <c r="A27" i="23"/>
  <c r="A28" i="23"/>
  <c r="B28" i="23"/>
  <c r="A29" i="23"/>
  <c r="A30" i="23"/>
  <c r="B30" i="23"/>
  <c r="A31" i="23"/>
  <c r="B31" i="23"/>
  <c r="A32" i="23"/>
  <c r="B32" i="23"/>
  <c r="A33" i="23"/>
  <c r="B33" i="23"/>
  <c r="A34" i="23"/>
  <c r="B34" i="23"/>
  <c r="A35" i="23"/>
  <c r="C57" i="23"/>
  <c r="C58" i="23"/>
  <c r="C59" i="23"/>
  <c r="C60" i="23"/>
  <c r="BX6" i="14"/>
  <c r="BZ6" i="14"/>
  <c r="B25" i="23"/>
  <c r="D24" i="14"/>
  <c r="E21" i="14"/>
  <c r="F21" i="14"/>
  <c r="F24" i="14"/>
  <c r="F27" i="14"/>
  <c r="G20" i="14"/>
  <c r="G24" i="14"/>
  <c r="G27" i="14"/>
  <c r="B11" i="20"/>
  <c r="B18" i="20" s="1"/>
  <c r="B12" i="20"/>
  <c r="D12" i="20" s="1"/>
  <c r="F12" i="20" s="1"/>
  <c r="B13" i="20"/>
  <c r="F13" i="20"/>
  <c r="B14" i="20"/>
  <c r="F14" i="20"/>
  <c r="B15" i="20"/>
  <c r="D15" i="20" s="1"/>
  <c r="F15" i="20" s="1"/>
  <c r="B16" i="20"/>
  <c r="D16" i="20" s="1"/>
  <c r="F16" i="20" s="1"/>
  <c r="G18" i="20"/>
  <c r="B24" i="20"/>
  <c r="B31" i="20" s="1"/>
  <c r="B25" i="20"/>
  <c r="D25" i="20" s="1"/>
  <c r="F25" i="20" s="1"/>
  <c r="B26" i="20"/>
  <c r="F26" i="20"/>
  <c r="B27" i="20"/>
  <c r="F27" i="20"/>
  <c r="B28" i="20"/>
  <c r="D28" i="20" s="1"/>
  <c r="F28" i="20" s="1"/>
  <c r="B29" i="20"/>
  <c r="D29" i="20" s="1"/>
  <c r="F29" i="20" s="1"/>
  <c r="G31" i="20"/>
  <c r="I31" i="20" s="1"/>
  <c r="H33" i="20"/>
  <c r="H34" i="20"/>
  <c r="H35" i="20"/>
  <c r="B12" i="19"/>
  <c r="B13" i="19"/>
  <c r="B16" i="19"/>
  <c r="B23" i="19"/>
  <c r="C42" i="19"/>
  <c r="D42" i="19"/>
  <c r="E42" i="19"/>
  <c r="F42" i="19"/>
  <c r="G42" i="19"/>
  <c r="C40" i="18"/>
  <c r="E40" i="18"/>
  <c r="A30" i="17"/>
  <c r="B13" i="11"/>
  <c r="C13" i="11"/>
  <c r="D13" i="11"/>
  <c r="E13" i="11"/>
  <c r="F13" i="11"/>
  <c r="H13" i="11"/>
  <c r="I13" i="11"/>
  <c r="J13" i="11"/>
  <c r="K13" i="11"/>
  <c r="M13" i="11"/>
  <c r="B14" i="11"/>
  <c r="C14" i="11"/>
  <c r="D14" i="11"/>
  <c r="E14" i="11"/>
  <c r="F14" i="11"/>
  <c r="H14" i="11"/>
  <c r="I14" i="11"/>
  <c r="J14" i="11"/>
  <c r="K14" i="11"/>
  <c r="M14" i="11"/>
  <c r="B15" i="11"/>
  <c r="C15" i="11"/>
  <c r="D15" i="11"/>
  <c r="E15" i="11"/>
  <c r="F15" i="11"/>
  <c r="H15" i="11"/>
  <c r="N29" i="11" s="1"/>
  <c r="I15" i="11"/>
  <c r="O29" i="11" s="1"/>
  <c r="J15" i="11"/>
  <c r="P29" i="11" s="1"/>
  <c r="K15" i="11"/>
  <c r="Q29" i="11" s="1"/>
  <c r="M15" i="11"/>
  <c r="B16" i="11"/>
  <c r="C16" i="11"/>
  <c r="D16" i="11"/>
  <c r="E16" i="11"/>
  <c r="F16" i="11"/>
  <c r="H16" i="11"/>
  <c r="I16" i="11"/>
  <c r="J16" i="11"/>
  <c r="K16" i="11"/>
  <c r="M16" i="11"/>
  <c r="B17" i="11"/>
  <c r="C17" i="11"/>
  <c r="D17" i="11"/>
  <c r="E17" i="11"/>
  <c r="F17" i="11"/>
  <c r="H17" i="11"/>
  <c r="I17" i="11"/>
  <c r="J17" i="11"/>
  <c r="K17" i="11"/>
  <c r="M17" i="11"/>
  <c r="B18" i="11"/>
  <c r="C18" i="11"/>
  <c r="D18" i="11"/>
  <c r="E18" i="11"/>
  <c r="F18" i="11"/>
  <c r="H18" i="11"/>
  <c r="I18" i="11"/>
  <c r="J18" i="11"/>
  <c r="K18" i="11"/>
  <c r="M18" i="11"/>
  <c r="B19" i="11"/>
  <c r="C19" i="11"/>
  <c r="D19" i="11"/>
  <c r="E19" i="11"/>
  <c r="F19" i="11"/>
  <c r="H19" i="11"/>
  <c r="I19" i="11"/>
  <c r="K19" i="11"/>
  <c r="M19" i="11"/>
  <c r="S22" i="11"/>
  <c r="P26" i="11"/>
  <c r="B27" i="11"/>
  <c r="I27" i="11"/>
  <c r="K27" i="11"/>
  <c r="B28" i="11"/>
  <c r="I28" i="11"/>
  <c r="K28" i="11"/>
  <c r="B29" i="11"/>
  <c r="I29" i="11"/>
  <c r="K29" i="11"/>
  <c r="B30" i="11"/>
  <c r="I30" i="11"/>
  <c r="K30" i="11"/>
  <c r="B31" i="11"/>
  <c r="I31" i="11"/>
  <c r="K31" i="11"/>
  <c r="B32" i="11"/>
  <c r="I32" i="11"/>
  <c r="K32" i="11"/>
  <c r="B33" i="11"/>
  <c r="K33" i="11"/>
  <c r="C34" i="11"/>
  <c r="E34" i="11"/>
  <c r="F34" i="11"/>
  <c r="G34" i="11"/>
  <c r="H34" i="11"/>
  <c r="J34" i="11"/>
  <c r="S34" i="11"/>
  <c r="C32" i="12"/>
  <c r="C76" i="12"/>
  <c r="C77" i="12"/>
  <c r="C78" i="12"/>
  <c r="C79" i="12"/>
  <c r="C80" i="12"/>
  <c r="C81" i="12"/>
  <c r="C138" i="12"/>
  <c r="E139" i="12" s="1"/>
  <c r="E138" i="12"/>
  <c r="C169" i="12"/>
  <c r="E170" i="12" s="1"/>
  <c r="C309" i="12"/>
  <c r="C310" i="12"/>
  <c r="C422" i="12"/>
  <c r="E423" i="12"/>
  <c r="C494" i="12"/>
  <c r="C495" i="12"/>
  <c r="C523" i="12"/>
  <c r="E524" i="12"/>
  <c r="B560" i="12"/>
  <c r="B561" i="12"/>
  <c r="B562" i="12"/>
  <c r="B563" i="12"/>
  <c r="B564" i="12"/>
  <c r="B664" i="12"/>
  <c r="B712" i="12"/>
  <c r="C717" i="12"/>
  <c r="E718" i="12" s="1"/>
  <c r="G13" i="9"/>
  <c r="G14" i="9"/>
  <c r="J14" i="9" s="1"/>
  <c r="G15" i="9"/>
  <c r="G16" i="9"/>
  <c r="J16" i="9" s="1"/>
  <c r="G17" i="9"/>
  <c r="J17" i="9" s="1"/>
  <c r="G18" i="9"/>
  <c r="J18" i="9" s="1"/>
  <c r="J19" i="9"/>
  <c r="B20" i="9"/>
  <c r="C20" i="9"/>
  <c r="D20" i="9"/>
  <c r="E20" i="9"/>
  <c r="F20" i="9"/>
  <c r="H20" i="9"/>
  <c r="I20" i="9"/>
  <c r="B21" i="9"/>
  <c r="P27" i="9"/>
  <c r="P28" i="9"/>
  <c r="P29" i="9"/>
  <c r="P30" i="9"/>
  <c r="N31" i="9"/>
  <c r="O31" i="9"/>
  <c r="P31" i="9"/>
  <c r="P32" i="9"/>
  <c r="B33" i="9"/>
  <c r="B34" i="9" s="1"/>
  <c r="E33" i="9"/>
  <c r="F33" i="9"/>
  <c r="G33" i="9"/>
  <c r="H33" i="9"/>
  <c r="J33" i="9"/>
  <c r="K34" i="9"/>
  <c r="L29" i="3"/>
  <c r="L30" i="3"/>
  <c r="O30" i="3"/>
  <c r="L31" i="3"/>
  <c r="L32" i="3"/>
  <c r="L33" i="3"/>
  <c r="B35" i="3"/>
  <c r="B36" i="3" s="1"/>
  <c r="C35" i="3"/>
  <c r="E35" i="3"/>
  <c r="G35" i="3"/>
  <c r="H35" i="3"/>
  <c r="I35" i="3"/>
  <c r="K35" i="3"/>
  <c r="X36" i="3"/>
  <c r="L28" i="3"/>
  <c r="M1" i="15"/>
  <c r="M9" i="15"/>
  <c r="B10" i="15" s="1"/>
  <c r="M10" i="15" s="1"/>
  <c r="B11" i="15" s="1"/>
  <c r="M11" i="15" s="1"/>
  <c r="B12" i="15" s="1"/>
  <c r="M12" i="15" s="1"/>
  <c r="B13" i="15" s="1"/>
  <c r="M13" i="15" s="1"/>
  <c r="B14" i="15" s="1"/>
  <c r="M14" i="15" s="1"/>
  <c r="B15" i="15" s="1"/>
  <c r="D15" i="15"/>
  <c r="J15" i="15"/>
  <c r="E18" i="15"/>
  <c r="D25" i="15"/>
  <c r="E26" i="15"/>
  <c r="E27" i="15"/>
  <c r="J27" i="15"/>
  <c r="E29" i="15"/>
  <c r="J29" i="15"/>
  <c r="E30" i="15"/>
  <c r="J30" i="15"/>
  <c r="E31" i="15"/>
  <c r="E32" i="15"/>
  <c r="D33" i="15"/>
  <c r="E33" i="15"/>
  <c r="E34" i="15"/>
  <c r="J35" i="15"/>
  <c r="J36" i="15"/>
  <c r="D37" i="15"/>
  <c r="J37" i="15"/>
  <c r="D38" i="15"/>
  <c r="K38" i="15"/>
  <c r="K41" i="15" s="1"/>
  <c r="C41" i="15"/>
  <c r="C42" i="15" s="1"/>
  <c r="G41" i="15"/>
  <c r="H41" i="15"/>
  <c r="I41" i="15"/>
  <c r="L41" i="15"/>
  <c r="M41" i="15"/>
  <c r="N41" i="15"/>
  <c r="E52" i="15"/>
  <c r="E53" i="15"/>
  <c r="E54" i="15"/>
  <c r="J54" i="15"/>
  <c r="D55" i="15"/>
  <c r="E55" i="15"/>
  <c r="I55" i="15"/>
  <c r="I84" i="15" s="1"/>
  <c r="J55" i="15"/>
  <c r="D56" i="15"/>
  <c r="E56" i="15"/>
  <c r="J56" i="15"/>
  <c r="E57" i="15"/>
  <c r="E58" i="15"/>
  <c r="E59" i="15"/>
  <c r="E60" i="15"/>
  <c r="D61" i="15"/>
  <c r="E61" i="15"/>
  <c r="J61" i="15"/>
  <c r="D62" i="15"/>
  <c r="E62" i="15"/>
  <c r="J62" i="15"/>
  <c r="E63" i="15"/>
  <c r="J63" i="15"/>
  <c r="K64" i="15"/>
  <c r="K84" i="15" s="1"/>
  <c r="D65" i="15"/>
  <c r="E66" i="15"/>
  <c r="E67" i="15"/>
  <c r="D68" i="15"/>
  <c r="E68" i="15"/>
  <c r="E69" i="15"/>
  <c r="E70" i="15"/>
  <c r="E71" i="15"/>
  <c r="E72" i="15"/>
  <c r="E73" i="15"/>
  <c r="E74" i="15"/>
  <c r="E75" i="15"/>
  <c r="J75" i="15"/>
  <c r="E76" i="15"/>
  <c r="E77" i="15"/>
  <c r="D78" i="15"/>
  <c r="E78" i="15"/>
  <c r="E79" i="15"/>
  <c r="E80" i="15"/>
  <c r="E81" i="15"/>
  <c r="E82" i="15"/>
  <c r="J82" i="15"/>
  <c r="C84" i="15"/>
  <c r="G84" i="15"/>
  <c r="H84" i="15"/>
  <c r="L84" i="15"/>
  <c r="M84" i="15"/>
  <c r="N84" i="15"/>
  <c r="B94" i="15"/>
  <c r="K94" i="15"/>
  <c r="I95" i="15"/>
  <c r="J95" i="15"/>
  <c r="K95" i="15"/>
  <c r="J96" i="15"/>
  <c r="K96" i="15"/>
  <c r="E97" i="15"/>
  <c r="D100" i="15"/>
  <c r="J100" i="15"/>
  <c r="D101" i="15"/>
  <c r="E101" i="15"/>
  <c r="J101" i="15"/>
  <c r="K101" i="15"/>
  <c r="E102" i="15"/>
  <c r="J102" i="15"/>
  <c r="K102" i="15"/>
  <c r="E103" i="15"/>
  <c r="K103" i="15"/>
  <c r="E104" i="15"/>
  <c r="K104" i="15"/>
  <c r="E105" i="15"/>
  <c r="J105" i="15"/>
  <c r="J107" i="15"/>
  <c r="E108" i="15"/>
  <c r="E109" i="15"/>
  <c r="E110" i="15"/>
  <c r="K110" i="15"/>
  <c r="E111" i="15"/>
  <c r="K111" i="15"/>
  <c r="E112" i="15"/>
  <c r="E113" i="15"/>
  <c r="E114" i="15"/>
  <c r="J114" i="15"/>
  <c r="K114" i="15"/>
  <c r="J115" i="15"/>
  <c r="E116" i="15"/>
  <c r="K116" i="15"/>
  <c r="E117" i="15"/>
  <c r="K117" i="15"/>
  <c r="E118" i="15"/>
  <c r="K118" i="15"/>
  <c r="E119" i="15"/>
  <c r="D120" i="15"/>
  <c r="E121" i="15"/>
  <c r="K121" i="15"/>
  <c r="E122" i="15"/>
  <c r="K122" i="15"/>
  <c r="E123" i="15"/>
  <c r="E124" i="15"/>
  <c r="E125" i="15"/>
  <c r="E126" i="15"/>
  <c r="E127" i="15"/>
  <c r="J127" i="15"/>
  <c r="E128" i="15"/>
  <c r="C136" i="15"/>
  <c r="G136" i="15"/>
  <c r="H136" i="15"/>
  <c r="I136" i="15"/>
  <c r="N136" i="15"/>
  <c r="B140" i="15"/>
  <c r="G140" i="15"/>
  <c r="G141" i="15"/>
  <c r="G142" i="15"/>
  <c r="K142" i="15"/>
  <c r="G143" i="15"/>
  <c r="D144" i="15"/>
  <c r="E144" i="15"/>
  <c r="G144" i="15"/>
  <c r="G145" i="15"/>
  <c r="L145" i="15"/>
  <c r="G146" i="15"/>
  <c r="E147" i="15"/>
  <c r="G147" i="15"/>
  <c r="L147" i="15"/>
  <c r="G148" i="15"/>
  <c r="G149" i="15"/>
  <c r="K149" i="15"/>
  <c r="D150" i="15"/>
  <c r="G150" i="15"/>
  <c r="D151" i="15"/>
  <c r="G151" i="15"/>
  <c r="D152" i="15"/>
  <c r="E152" i="15"/>
  <c r="L152" i="15"/>
  <c r="G153" i="15"/>
  <c r="L153" i="15"/>
  <c r="E154" i="15"/>
  <c r="G154" i="15"/>
  <c r="G155" i="15"/>
  <c r="D156" i="15"/>
  <c r="G156" i="15"/>
  <c r="K156" i="15"/>
  <c r="D157" i="15"/>
  <c r="G157" i="15"/>
  <c r="K157" i="15"/>
  <c r="D158" i="15"/>
  <c r="G158" i="15"/>
  <c r="K158" i="15"/>
  <c r="G159" i="15"/>
  <c r="E160" i="15"/>
  <c r="G160" i="15"/>
  <c r="D161" i="15"/>
  <c r="G161" i="15"/>
  <c r="D162" i="15"/>
  <c r="G162" i="15"/>
  <c r="G163" i="15"/>
  <c r="K163" i="15"/>
  <c r="G164" i="15"/>
  <c r="K164" i="15"/>
  <c r="G165" i="15"/>
  <c r="K165" i="15"/>
  <c r="D166" i="15"/>
  <c r="E166" i="15"/>
  <c r="G166" i="15"/>
  <c r="D167" i="15"/>
  <c r="G167" i="15"/>
  <c r="K167" i="15"/>
  <c r="D168" i="15"/>
  <c r="G168" i="15"/>
  <c r="K168" i="15"/>
  <c r="G169" i="15"/>
  <c r="D170" i="15"/>
  <c r="G170" i="15"/>
  <c r="C182" i="15"/>
  <c r="H182" i="15"/>
  <c r="I182" i="15"/>
  <c r="J182" i="15"/>
  <c r="O182" i="15"/>
  <c r="B187" i="15"/>
  <c r="G187" i="15"/>
  <c r="K187" i="15"/>
  <c r="O187" i="15"/>
  <c r="F188" i="15"/>
  <c r="G188" i="15"/>
  <c r="K188" i="15"/>
  <c r="G189" i="15"/>
  <c r="D190" i="15"/>
  <c r="G190" i="15"/>
  <c r="G191" i="15"/>
  <c r="G192" i="15"/>
  <c r="G193" i="15"/>
  <c r="K193" i="15"/>
  <c r="G194" i="15"/>
  <c r="K194" i="15"/>
  <c r="G195" i="15"/>
  <c r="K195" i="15"/>
  <c r="K196" i="15"/>
  <c r="G197" i="15"/>
  <c r="L197" i="15"/>
  <c r="G198" i="15"/>
  <c r="D199" i="15"/>
  <c r="G199" i="15"/>
  <c r="G200" i="15"/>
  <c r="K200" i="15"/>
  <c r="G201" i="15"/>
  <c r="K201" i="15"/>
  <c r="G202" i="15"/>
  <c r="K202" i="15"/>
  <c r="D203" i="15"/>
  <c r="G203" i="15"/>
  <c r="K203" i="15"/>
  <c r="F204" i="15"/>
  <c r="G204" i="15"/>
  <c r="L204" i="15"/>
  <c r="D205" i="15"/>
  <c r="G205" i="15"/>
  <c r="G206" i="15"/>
  <c r="G208" i="15"/>
  <c r="K208" i="15"/>
  <c r="D209" i="15"/>
  <c r="E209" i="15"/>
  <c r="G209" i="15"/>
  <c r="K209" i="15"/>
  <c r="L209" i="15"/>
  <c r="D210" i="15"/>
  <c r="G210" i="15"/>
  <c r="K210" i="15"/>
  <c r="F211" i="15"/>
  <c r="G211" i="15"/>
  <c r="D212" i="15"/>
  <c r="G212" i="15"/>
  <c r="G213" i="15"/>
  <c r="G214" i="15"/>
  <c r="F215" i="15"/>
  <c r="G215" i="15"/>
  <c r="K215" i="15"/>
  <c r="D216" i="15"/>
  <c r="E216" i="15"/>
  <c r="F216" i="15"/>
  <c r="G216" i="15"/>
  <c r="K216" i="15"/>
  <c r="L216" i="15"/>
  <c r="G217" i="15"/>
  <c r="K217" i="15"/>
  <c r="L217" i="15"/>
  <c r="C229" i="15"/>
  <c r="H229" i="15"/>
  <c r="I229" i="15"/>
  <c r="J229" i="15"/>
  <c r="M229" i="15"/>
  <c r="G233" i="15"/>
  <c r="L233" i="15"/>
  <c r="G234" i="15"/>
  <c r="L234" i="15"/>
  <c r="G239" i="15"/>
  <c r="F240" i="15"/>
  <c r="G240" i="15"/>
  <c r="D241" i="15"/>
  <c r="F241" i="15"/>
  <c r="G241" i="15"/>
  <c r="K241" i="15"/>
  <c r="G242" i="15"/>
  <c r="K242" i="15"/>
  <c r="L242" i="15"/>
  <c r="G243" i="15"/>
  <c r="K243" i="15"/>
  <c r="L243" i="15"/>
  <c r="G244" i="15"/>
  <c r="L244" i="15"/>
  <c r="G248" i="15"/>
  <c r="K249" i="15"/>
  <c r="G250" i="15"/>
  <c r="L250" i="15"/>
  <c r="G251" i="15"/>
  <c r="G256" i="15"/>
  <c r="K256" i="15"/>
  <c r="G257" i="15"/>
  <c r="D261" i="15"/>
  <c r="F261" i="15"/>
  <c r="K261" i="15"/>
  <c r="F262" i="15"/>
  <c r="G262" i="15"/>
  <c r="K262" i="15"/>
  <c r="D263" i="15"/>
  <c r="F263" i="15"/>
  <c r="G263" i="15"/>
  <c r="K263" i="15"/>
  <c r="K273" i="15"/>
  <c r="C275" i="15"/>
  <c r="E275" i="15"/>
  <c r="H275" i="15"/>
  <c r="I275" i="15"/>
  <c r="J275" i="15"/>
  <c r="M275" i="15"/>
  <c r="B286" i="15"/>
  <c r="N286" i="15" s="1"/>
  <c r="B287" i="15" s="1"/>
  <c r="G286" i="15"/>
  <c r="G287" i="15"/>
  <c r="G288" i="15"/>
  <c r="G289" i="15"/>
  <c r="F290" i="15"/>
  <c r="G290" i="15"/>
  <c r="K290" i="15"/>
  <c r="F291" i="15"/>
  <c r="K291" i="15"/>
  <c r="G292" i="15"/>
  <c r="K292" i="15"/>
  <c r="G293" i="15"/>
  <c r="C294" i="15"/>
  <c r="G294" i="15"/>
  <c r="F295" i="15"/>
  <c r="G295" i="15"/>
  <c r="G296" i="15"/>
  <c r="F297" i="15"/>
  <c r="G297" i="15"/>
  <c r="K297" i="15"/>
  <c r="D298" i="15"/>
  <c r="D328" i="15" s="1"/>
  <c r="F298" i="15"/>
  <c r="G298" i="15"/>
  <c r="K298" i="15"/>
  <c r="G299" i="15"/>
  <c r="K299" i="15"/>
  <c r="F300" i="15"/>
  <c r="G300" i="15"/>
  <c r="L300" i="15"/>
  <c r="L328" i="15" s="1"/>
  <c r="C301" i="15"/>
  <c r="C328" i="15" s="1"/>
  <c r="G302" i="15"/>
  <c r="G303" i="15"/>
  <c r="F304" i="15"/>
  <c r="K305" i="15"/>
  <c r="F306" i="15"/>
  <c r="G306" i="15"/>
  <c r="K306" i="15"/>
  <c r="G307" i="15"/>
  <c r="K307" i="15"/>
  <c r="C308" i="15"/>
  <c r="G308" i="15"/>
  <c r="G309" i="15"/>
  <c r="G310" i="15"/>
  <c r="F311" i="15"/>
  <c r="G311" i="15"/>
  <c r="K311" i="15"/>
  <c r="K312" i="15"/>
  <c r="G313" i="15"/>
  <c r="K313" i="15"/>
  <c r="G314" i="15"/>
  <c r="G315" i="15"/>
  <c r="E328" i="15"/>
  <c r="H328" i="15"/>
  <c r="I328" i="15"/>
  <c r="J328" i="15"/>
  <c r="M328" i="15"/>
  <c r="C3" i="21"/>
  <c r="T2" i="16"/>
  <c r="A7" i="16"/>
  <c r="Q12" i="16"/>
  <c r="C13" i="16"/>
  <c r="V13" i="16" s="1"/>
  <c r="F13" i="16"/>
  <c r="F19" i="16" s="1"/>
  <c r="F20" i="16" s="1"/>
  <c r="I13" i="16"/>
  <c r="I14" i="16" s="1"/>
  <c r="C14" i="16"/>
  <c r="V14" i="16" s="1"/>
  <c r="C15" i="16"/>
  <c r="V15" i="16" s="1"/>
  <c r="C16" i="16"/>
  <c r="V16" i="16" s="1"/>
  <c r="C17" i="16"/>
  <c r="V17" i="16" s="1"/>
  <c r="I17" i="16"/>
  <c r="I18" i="16" s="1"/>
  <c r="I163" i="16" s="1"/>
  <c r="C18" i="16"/>
  <c r="V18" i="16" s="1"/>
  <c r="D19" i="16"/>
  <c r="V20" i="16"/>
  <c r="V21" i="16"/>
  <c r="V22" i="16"/>
  <c r="V23" i="16"/>
  <c r="C24" i="16"/>
  <c r="C36" i="16" s="1"/>
  <c r="Q24" i="16"/>
  <c r="R24" i="16"/>
  <c r="R36" i="16" s="1"/>
  <c r="R51" i="16" s="1"/>
  <c r="R62" i="16" s="1"/>
  <c r="R74" i="16" s="1"/>
  <c r="S24" i="16"/>
  <c r="S36" i="16" s="1"/>
  <c r="S51" i="16" s="1"/>
  <c r="S62" i="16" s="1"/>
  <c r="S74" i="16" s="1"/>
  <c r="S86" i="16" s="1"/>
  <c r="C25" i="16"/>
  <c r="V25" i="16" s="1"/>
  <c r="E25" i="16"/>
  <c r="E31" i="16" s="1"/>
  <c r="G25" i="16"/>
  <c r="G31" i="16" s="1"/>
  <c r="H25" i="16"/>
  <c r="H31" i="16" s="1"/>
  <c r="I25" i="16"/>
  <c r="I31" i="16" s="1"/>
  <c r="K25" i="16"/>
  <c r="K31" i="16" s="1"/>
  <c r="K32" i="16" s="1"/>
  <c r="O25" i="16"/>
  <c r="O31" i="16" s="1"/>
  <c r="P25" i="16"/>
  <c r="P31" i="16" s="1"/>
  <c r="Q25" i="16"/>
  <c r="Q31" i="16" s="1"/>
  <c r="R25" i="16"/>
  <c r="R31" i="16" s="1"/>
  <c r="S25" i="16"/>
  <c r="S31" i="16" s="1"/>
  <c r="C26" i="16"/>
  <c r="V26" i="16" s="1"/>
  <c r="G26" i="16"/>
  <c r="H26" i="16"/>
  <c r="I26" i="16"/>
  <c r="K26" i="16"/>
  <c r="O26" i="16"/>
  <c r="P26" i="16"/>
  <c r="Q26" i="16"/>
  <c r="R26" i="16"/>
  <c r="S26" i="16"/>
  <c r="C27" i="16"/>
  <c r="V27" i="16" s="1"/>
  <c r="G27" i="16"/>
  <c r="H27" i="16"/>
  <c r="I27" i="16"/>
  <c r="K27" i="16"/>
  <c r="C28" i="16"/>
  <c r="V28" i="16" s="1"/>
  <c r="E28" i="16"/>
  <c r="K28" i="16"/>
  <c r="O28" i="16"/>
  <c r="P28" i="16"/>
  <c r="Q28" i="16"/>
  <c r="R28" i="16"/>
  <c r="S28" i="16"/>
  <c r="C29" i="16"/>
  <c r="V29" i="16" s="1"/>
  <c r="H29" i="16"/>
  <c r="K29" i="16"/>
  <c r="O29" i="16"/>
  <c r="P29" i="16"/>
  <c r="Q29" i="16"/>
  <c r="R29" i="16"/>
  <c r="S29" i="16"/>
  <c r="C30" i="16"/>
  <c r="E30" i="16"/>
  <c r="K30" i="16"/>
  <c r="O30" i="16"/>
  <c r="Q30" i="16"/>
  <c r="R30" i="16"/>
  <c r="S30" i="16"/>
  <c r="D31" i="16"/>
  <c r="F31" i="16"/>
  <c r="V32" i="16"/>
  <c r="V33" i="16"/>
  <c r="V34" i="16"/>
  <c r="V35" i="16"/>
  <c r="Q36" i="16"/>
  <c r="Q51" i="16" s="1"/>
  <c r="Q62" i="16" s="1"/>
  <c r="Q74" i="16" s="1"/>
  <c r="Q86" i="16" s="1"/>
  <c r="Q98" i="16" s="1"/>
  <c r="Q110" i="16" s="1"/>
  <c r="Q122" i="16" s="1"/>
  <c r="Q134" i="16" s="1"/>
  <c r="Q146" i="16" s="1"/>
  <c r="Q157" i="16" s="1"/>
  <c r="C37" i="16"/>
  <c r="V37" i="16" s="1"/>
  <c r="E37" i="16"/>
  <c r="C38" i="16"/>
  <c r="V38" i="16" s="1"/>
  <c r="P38" i="16"/>
  <c r="Q38" i="16"/>
  <c r="R38" i="16"/>
  <c r="S38" i="16"/>
  <c r="C39" i="16"/>
  <c r="V39" i="16" s="1"/>
  <c r="O39" i="16"/>
  <c r="Q39" i="16"/>
  <c r="C40" i="16"/>
  <c r="V40" i="16" s="1"/>
  <c r="C41" i="16"/>
  <c r="V41" i="16" s="1"/>
  <c r="C42" i="16"/>
  <c r="V42" i="16" s="1"/>
  <c r="D43" i="16"/>
  <c r="V44" i="16"/>
  <c r="V45" i="16"/>
  <c r="V46" i="16"/>
  <c r="V47" i="16"/>
  <c r="V48" i="16"/>
  <c r="V49" i="16"/>
  <c r="V50" i="16"/>
  <c r="C52" i="16"/>
  <c r="V52" i="16" s="1"/>
  <c r="C53" i="16"/>
  <c r="V53" i="16" s="1"/>
  <c r="C54" i="16"/>
  <c r="V54" i="16" s="1"/>
  <c r="C55" i="16"/>
  <c r="V55" i="16" s="1"/>
  <c r="C56" i="16"/>
  <c r="V56" i="16" s="1"/>
  <c r="C57" i="16"/>
  <c r="V57" i="16" s="1"/>
  <c r="D58" i="16"/>
  <c r="F58" i="16"/>
  <c r="V59" i="16"/>
  <c r="V60" i="16"/>
  <c r="V61" i="16"/>
  <c r="C63" i="16"/>
  <c r="E63" i="16"/>
  <c r="O63" i="16"/>
  <c r="P63" i="16"/>
  <c r="Q63" i="16"/>
  <c r="C64" i="16"/>
  <c r="M64" i="16" s="1"/>
  <c r="O64" i="16"/>
  <c r="P64" i="16"/>
  <c r="Q64" i="16"/>
  <c r="C65" i="16"/>
  <c r="M65" i="16" s="1"/>
  <c r="O65" i="16"/>
  <c r="P65" i="16"/>
  <c r="Q65" i="16"/>
  <c r="C66" i="16"/>
  <c r="V66" i="16" s="1"/>
  <c r="C67" i="16"/>
  <c r="M67" i="16" s="1"/>
  <c r="O67" i="16"/>
  <c r="P67" i="16"/>
  <c r="Q67" i="16"/>
  <c r="C68" i="16"/>
  <c r="V68" i="16" s="1"/>
  <c r="O68" i="16"/>
  <c r="P68" i="16"/>
  <c r="Q68" i="16"/>
  <c r="D69" i="16"/>
  <c r="F69" i="16"/>
  <c r="G69" i="16"/>
  <c r="H69" i="16"/>
  <c r="I69" i="16"/>
  <c r="K69" i="16"/>
  <c r="L69" i="16"/>
  <c r="V70" i="16"/>
  <c r="V71" i="16"/>
  <c r="V72" i="16"/>
  <c r="V73" i="16"/>
  <c r="C75" i="16"/>
  <c r="V75" i="16" s="1"/>
  <c r="E75" i="16"/>
  <c r="E81" i="16" s="1"/>
  <c r="K75" i="16"/>
  <c r="K81" i="16" s="1"/>
  <c r="K82" i="16" s="1"/>
  <c r="C76" i="16"/>
  <c r="K76" i="16"/>
  <c r="C77" i="16"/>
  <c r="V77" i="16" s="1"/>
  <c r="K77" i="16"/>
  <c r="C78" i="16"/>
  <c r="V78" i="16" s="1"/>
  <c r="K78" i="16"/>
  <c r="O78" i="16"/>
  <c r="P78" i="16"/>
  <c r="Q78" i="16"/>
  <c r="R78" i="16"/>
  <c r="S78" i="16"/>
  <c r="C79" i="16"/>
  <c r="K79" i="16"/>
  <c r="C80" i="16"/>
  <c r="V80" i="16" s="1"/>
  <c r="K80" i="16"/>
  <c r="D81" i="16"/>
  <c r="F81" i="16"/>
  <c r="G81" i="16"/>
  <c r="H81" i="16"/>
  <c r="I81" i="16"/>
  <c r="L81" i="16"/>
  <c r="V82" i="16"/>
  <c r="V83" i="16"/>
  <c r="V84" i="16"/>
  <c r="V85" i="16"/>
  <c r="C87" i="16"/>
  <c r="V87" i="16" s="1"/>
  <c r="O87" i="16"/>
  <c r="O93" i="16" s="1"/>
  <c r="P87" i="16"/>
  <c r="P93" i="16" s="1"/>
  <c r="Q87" i="16"/>
  <c r="R87" i="16"/>
  <c r="R93" i="16" s="1"/>
  <c r="S87" i="16"/>
  <c r="S93" i="16" s="1"/>
  <c r="C88" i="16"/>
  <c r="V88" i="16" s="1"/>
  <c r="O88" i="16"/>
  <c r="P88" i="16"/>
  <c r="Q88" i="16"/>
  <c r="R88" i="16"/>
  <c r="S88" i="16"/>
  <c r="C89" i="16"/>
  <c r="V89" i="16" s="1"/>
  <c r="C90" i="16"/>
  <c r="V90" i="16" s="1"/>
  <c r="O90" i="16"/>
  <c r="P90" i="16"/>
  <c r="Q90" i="16"/>
  <c r="R90" i="16"/>
  <c r="S90" i="16"/>
  <c r="C91" i="16"/>
  <c r="V91" i="16" s="1"/>
  <c r="O91" i="16"/>
  <c r="P91" i="16"/>
  <c r="Q91" i="16"/>
  <c r="R91" i="16"/>
  <c r="S91" i="16"/>
  <c r="C92" i="16"/>
  <c r="V92" i="16" s="1"/>
  <c r="O92" i="16"/>
  <c r="P92" i="16"/>
  <c r="Q92" i="16"/>
  <c r="R92" i="16"/>
  <c r="S92" i="16"/>
  <c r="D93" i="16"/>
  <c r="F93" i="16"/>
  <c r="G93" i="16"/>
  <c r="H93" i="16"/>
  <c r="I93" i="16"/>
  <c r="K93" i="16"/>
  <c r="L93" i="16"/>
  <c r="V94" i="16"/>
  <c r="V95" i="16"/>
  <c r="V96" i="16"/>
  <c r="V97" i="16"/>
  <c r="C99" i="16"/>
  <c r="V99" i="16" s="1"/>
  <c r="O99" i="16"/>
  <c r="O105" i="16" s="1"/>
  <c r="P99" i="16"/>
  <c r="P105" i="16" s="1"/>
  <c r="Q99" i="16"/>
  <c r="Q105" i="16" s="1"/>
  <c r="C100" i="16"/>
  <c r="V100" i="16" s="1"/>
  <c r="C101" i="16"/>
  <c r="C102" i="16"/>
  <c r="V102" i="16" s="1"/>
  <c r="O102" i="16"/>
  <c r="P102" i="16"/>
  <c r="Q102" i="16"/>
  <c r="R102" i="16"/>
  <c r="S102" i="16"/>
  <c r="C103" i="16"/>
  <c r="V103" i="16" s="1"/>
  <c r="O103" i="16"/>
  <c r="P103" i="16"/>
  <c r="Q103" i="16"/>
  <c r="R103" i="16"/>
  <c r="S103" i="16"/>
  <c r="C104" i="16"/>
  <c r="V104" i="16" s="1"/>
  <c r="O104" i="16"/>
  <c r="Q104" i="16"/>
  <c r="R104" i="16"/>
  <c r="S104" i="16"/>
  <c r="D105" i="16"/>
  <c r="F105" i="16"/>
  <c r="G105" i="16"/>
  <c r="H105" i="16"/>
  <c r="I105" i="16"/>
  <c r="K105" i="16"/>
  <c r="L105" i="16"/>
  <c r="V106" i="16"/>
  <c r="V107" i="16"/>
  <c r="V108" i="16"/>
  <c r="V109" i="16"/>
  <c r="C111" i="16"/>
  <c r="V111" i="16" s="1"/>
  <c r="O111" i="16"/>
  <c r="O117" i="16" s="1"/>
  <c r="P111" i="16"/>
  <c r="P117" i="16" s="1"/>
  <c r="Q111" i="16"/>
  <c r="Q117" i="16" s="1"/>
  <c r="R111" i="16"/>
  <c r="R117" i="16" s="1"/>
  <c r="R120" i="16" s="1"/>
  <c r="S111" i="16"/>
  <c r="S117" i="16" s="1"/>
  <c r="C112" i="16"/>
  <c r="V112" i="16" s="1"/>
  <c r="O112" i="16"/>
  <c r="P112" i="16"/>
  <c r="Q112" i="16"/>
  <c r="R112" i="16"/>
  <c r="S112" i="16"/>
  <c r="C113" i="16"/>
  <c r="V113" i="16" s="1"/>
  <c r="C114" i="16"/>
  <c r="V114" i="16" s="1"/>
  <c r="O114" i="16"/>
  <c r="Q114" i="16"/>
  <c r="R114" i="16"/>
  <c r="S114" i="16"/>
  <c r="C115" i="16"/>
  <c r="V115" i="16" s="1"/>
  <c r="O115" i="16"/>
  <c r="P115" i="16"/>
  <c r="Q115" i="16"/>
  <c r="R115" i="16"/>
  <c r="S115" i="16"/>
  <c r="C116" i="16"/>
  <c r="V116" i="16" s="1"/>
  <c r="O116" i="16"/>
  <c r="Q116" i="16"/>
  <c r="R116" i="16"/>
  <c r="S116" i="16"/>
  <c r="D117" i="16"/>
  <c r="F117" i="16"/>
  <c r="G117" i="16"/>
  <c r="H117" i="16"/>
  <c r="I117" i="16"/>
  <c r="K117" i="16"/>
  <c r="L117" i="16"/>
  <c r="V118" i="16"/>
  <c r="V119" i="16"/>
  <c r="V120" i="16"/>
  <c r="V121" i="16"/>
  <c r="C123" i="16"/>
  <c r="V123" i="16" s="1"/>
  <c r="C124" i="16"/>
  <c r="V124" i="16" s="1"/>
  <c r="C125" i="16"/>
  <c r="V125" i="16" s="1"/>
  <c r="J125" i="16"/>
  <c r="C126" i="16"/>
  <c r="V126" i="16" s="1"/>
  <c r="C127" i="16"/>
  <c r="V127" i="16" s="1"/>
  <c r="C128" i="16"/>
  <c r="V128" i="16" s="1"/>
  <c r="D129" i="16"/>
  <c r="F129" i="16"/>
  <c r="G129" i="16"/>
  <c r="H129" i="16"/>
  <c r="I129" i="16"/>
  <c r="K129" i="16"/>
  <c r="L129" i="16"/>
  <c r="V130" i="16"/>
  <c r="V131" i="16"/>
  <c r="R132" i="16"/>
  <c r="V132" i="16"/>
  <c r="V133" i="16"/>
  <c r="C135" i="16"/>
  <c r="V135" i="16" s="1"/>
  <c r="O135" i="16"/>
  <c r="O141" i="16" s="1"/>
  <c r="P135" i="16"/>
  <c r="P141" i="16" s="1"/>
  <c r="Q135" i="16"/>
  <c r="Q141" i="16" s="1"/>
  <c r="R135" i="16"/>
  <c r="R141" i="16" s="1"/>
  <c r="R144" i="16" s="1"/>
  <c r="S135" i="16"/>
  <c r="S141" i="16" s="1"/>
  <c r="C136" i="16"/>
  <c r="V136" i="16" s="1"/>
  <c r="E136" i="16"/>
  <c r="O136" i="16"/>
  <c r="P136" i="16"/>
  <c r="Q136" i="16"/>
  <c r="R136" i="16"/>
  <c r="S136" i="16"/>
  <c r="C137" i="16"/>
  <c r="V137" i="16" s="1"/>
  <c r="C138" i="16"/>
  <c r="V138" i="16" s="1"/>
  <c r="O138" i="16"/>
  <c r="P138" i="16"/>
  <c r="Q138" i="16"/>
  <c r="R138" i="16"/>
  <c r="S138" i="16"/>
  <c r="C139" i="16"/>
  <c r="V139" i="16" s="1"/>
  <c r="O139" i="16"/>
  <c r="P139" i="16"/>
  <c r="Q139" i="16"/>
  <c r="R139" i="16"/>
  <c r="S139" i="16"/>
  <c r="C140" i="16"/>
  <c r="V140" i="16" s="1"/>
  <c r="O140" i="16"/>
  <c r="P140" i="16"/>
  <c r="Q140" i="16"/>
  <c r="R140" i="16"/>
  <c r="S140" i="16"/>
  <c r="D141" i="16"/>
  <c r="F141" i="16"/>
  <c r="G141" i="16"/>
  <c r="H141" i="16"/>
  <c r="I141" i="16"/>
  <c r="K141" i="16"/>
  <c r="L141" i="16"/>
  <c r="V142" i="16"/>
  <c r="V143" i="16"/>
  <c r="V144" i="16"/>
  <c r="V145" i="16"/>
  <c r="C147" i="16"/>
  <c r="V147" i="16" s="1"/>
  <c r="O147" i="16"/>
  <c r="P147" i="16"/>
  <c r="Q147" i="16"/>
  <c r="Q153" i="16" s="1"/>
  <c r="R147" i="16"/>
  <c r="S147" i="16"/>
  <c r="C148" i="16"/>
  <c r="V148" i="16" s="1"/>
  <c r="E148" i="16"/>
  <c r="O148" i="16"/>
  <c r="P148" i="16"/>
  <c r="Q148" i="16"/>
  <c r="R148" i="16"/>
  <c r="S148" i="16"/>
  <c r="C149" i="16"/>
  <c r="V149" i="16" s="1"/>
  <c r="O149" i="16"/>
  <c r="P149" i="16"/>
  <c r="Q149" i="16"/>
  <c r="R149" i="16"/>
  <c r="S149" i="16"/>
  <c r="C150" i="16"/>
  <c r="Q150" i="16"/>
  <c r="R150" i="16"/>
  <c r="S150" i="16"/>
  <c r="C151" i="16"/>
  <c r="M151" i="16" s="1"/>
  <c r="P151" i="16"/>
  <c r="Q151" i="16"/>
  <c r="R151" i="16"/>
  <c r="S151" i="16"/>
  <c r="C152" i="16"/>
  <c r="M152" i="16" s="1"/>
  <c r="Q152" i="16"/>
  <c r="R152" i="16"/>
  <c r="S152" i="16"/>
  <c r="D153" i="16"/>
  <c r="F153" i="16"/>
  <c r="G153" i="16"/>
  <c r="H153" i="16"/>
  <c r="I153" i="16"/>
  <c r="K153" i="16"/>
  <c r="L153" i="16"/>
  <c r="N153" i="16"/>
  <c r="V154" i="16"/>
  <c r="V155" i="16"/>
  <c r="V156" i="16"/>
  <c r="D158" i="16"/>
  <c r="D159" i="16"/>
  <c r="D160" i="16"/>
  <c r="D161" i="16"/>
  <c r="D162" i="16"/>
  <c r="G162" i="16"/>
  <c r="D163" i="16"/>
  <c r="F163" i="16"/>
  <c r="G163" i="16"/>
  <c r="H163" i="16"/>
  <c r="L163" i="16"/>
  <c r="J170" i="16"/>
  <c r="D170" i="16" s="1"/>
  <c r="A171" i="16"/>
  <c r="J171" i="16"/>
  <c r="D171" i="16" s="1"/>
  <c r="A172" i="16"/>
  <c r="J172" i="16"/>
  <c r="D172" i="16" s="1"/>
  <c r="J173" i="16"/>
  <c r="D173" i="16" s="1"/>
  <c r="E174" i="16"/>
  <c r="E178" i="16" s="1"/>
  <c r="F174" i="16"/>
  <c r="F178" i="16" s="1"/>
  <c r="G174" i="16"/>
  <c r="J26" i="16" s="1"/>
  <c r="H174" i="16"/>
  <c r="I174" i="16"/>
  <c r="J66" i="16" s="1"/>
  <c r="J69" i="16" s="1"/>
  <c r="J70" i="16" s="1"/>
  <c r="L72" i="16" s="1"/>
  <c r="K174" i="16"/>
  <c r="K178" i="16" s="1"/>
  <c r="L174" i="16"/>
  <c r="J77" i="16" s="1"/>
  <c r="M174" i="16"/>
  <c r="O174" i="16"/>
  <c r="J89" i="16" s="1"/>
  <c r="P174" i="16"/>
  <c r="J100" i="16" s="1"/>
  <c r="Q174" i="16"/>
  <c r="R174" i="16"/>
  <c r="R178" i="16" s="1"/>
  <c r="S174" i="16"/>
  <c r="S178" i="16" s="1"/>
  <c r="T174" i="16"/>
  <c r="T178" i="16" s="1"/>
  <c r="I175" i="16"/>
  <c r="J175" i="16"/>
  <c r="D175" i="16" s="1"/>
  <c r="V175" i="16"/>
  <c r="V176" i="16" s="1"/>
  <c r="G176" i="16"/>
  <c r="L27" i="16" s="1"/>
  <c r="H176" i="16"/>
  <c r="I176" i="16"/>
  <c r="J176" i="16"/>
  <c r="D176" i="16" s="1"/>
  <c r="N178" i="16"/>
  <c r="C13" i="10"/>
  <c r="O13" i="10"/>
  <c r="C14" i="10"/>
  <c r="O14" i="10"/>
  <c r="C15" i="10"/>
  <c r="O15" i="10"/>
  <c r="C16" i="10"/>
  <c r="O16" i="10"/>
  <c r="C17" i="10"/>
  <c r="O17" i="10"/>
  <c r="C18" i="10"/>
  <c r="O18" i="10"/>
  <c r="M19" i="10"/>
  <c r="E82" i="12" s="1"/>
  <c r="Q19" i="10"/>
  <c r="J24" i="10"/>
  <c r="J36" i="10" s="1"/>
  <c r="J51" i="10" s="1"/>
  <c r="J62" i="10" s="1"/>
  <c r="J74" i="10" s="1"/>
  <c r="K24" i="10"/>
  <c r="K36" i="10" s="1"/>
  <c r="K51" i="10" s="1"/>
  <c r="K62" i="10" s="1"/>
  <c r="K74" i="10" s="1"/>
  <c r="K86" i="10" s="1"/>
  <c r="K98" i="10" s="1"/>
  <c r="K110" i="10" s="1"/>
  <c r="K122" i="10" s="1"/>
  <c r="K134" i="10" s="1"/>
  <c r="K146" i="10" s="1"/>
  <c r="M24" i="10"/>
  <c r="M36" i="10" s="1"/>
  <c r="M51" i="10" s="1"/>
  <c r="M62" i="10" s="1"/>
  <c r="M74" i="10" s="1"/>
  <c r="M86" i="10" s="1"/>
  <c r="N24" i="10"/>
  <c r="N36" i="10" s="1"/>
  <c r="N51" i="10" s="1"/>
  <c r="N62" i="10" s="1"/>
  <c r="N74" i="10" s="1"/>
  <c r="N86" i="10" s="1"/>
  <c r="C25" i="10"/>
  <c r="D25" i="10"/>
  <c r="D31" i="10" s="1"/>
  <c r="G25" i="10"/>
  <c r="G31" i="10" s="1"/>
  <c r="H25" i="10"/>
  <c r="H31" i="10" s="1"/>
  <c r="I25" i="10"/>
  <c r="I31" i="10" s="1"/>
  <c r="J25" i="10"/>
  <c r="J31" i="10" s="1"/>
  <c r="E168" i="12" s="1"/>
  <c r="K25" i="10"/>
  <c r="K31" i="10" s="1"/>
  <c r="O25" i="10"/>
  <c r="C26" i="10"/>
  <c r="E26" i="10" s="1"/>
  <c r="G26" i="10"/>
  <c r="H26" i="10"/>
  <c r="I26" i="10"/>
  <c r="J26" i="10"/>
  <c r="K26" i="10"/>
  <c r="C27" i="10"/>
  <c r="O27" i="10"/>
  <c r="O31" i="10" s="1"/>
  <c r="C28" i="10"/>
  <c r="D28" i="10"/>
  <c r="G28" i="10"/>
  <c r="H28" i="10"/>
  <c r="I28" i="10"/>
  <c r="J28" i="10"/>
  <c r="K28" i="10"/>
  <c r="C29" i="10"/>
  <c r="E29" i="10" s="1"/>
  <c r="G29" i="10"/>
  <c r="H29" i="10"/>
  <c r="I29" i="10"/>
  <c r="J29" i="10"/>
  <c r="K29" i="10"/>
  <c r="C30" i="10"/>
  <c r="D30" i="10"/>
  <c r="G30" i="10"/>
  <c r="H30" i="10"/>
  <c r="I30" i="10"/>
  <c r="J30" i="10"/>
  <c r="K30" i="10"/>
  <c r="M31" i="10"/>
  <c r="Q31" i="10"/>
  <c r="E34" i="10"/>
  <c r="G34" i="10"/>
  <c r="C37" i="10"/>
  <c r="E37" i="10" s="1"/>
  <c r="O37" i="10"/>
  <c r="C38" i="10"/>
  <c r="E38" i="10" s="1"/>
  <c r="H38" i="10"/>
  <c r="I38" i="10"/>
  <c r="J38" i="10"/>
  <c r="K38" i="10"/>
  <c r="O38" i="10"/>
  <c r="C39" i="10"/>
  <c r="E39" i="10" s="1"/>
  <c r="G39" i="10"/>
  <c r="I39" i="10"/>
  <c r="O39" i="10"/>
  <c r="C40" i="10"/>
  <c r="O40" i="10"/>
  <c r="C41" i="10"/>
  <c r="O41" i="10"/>
  <c r="C42" i="10"/>
  <c r="E42" i="10" s="1"/>
  <c r="O42" i="10"/>
  <c r="M43" i="10"/>
  <c r="Q43" i="10"/>
  <c r="C52" i="10"/>
  <c r="O52" i="10"/>
  <c r="C53" i="10"/>
  <c r="O53" i="10"/>
  <c r="C54" i="10"/>
  <c r="O54" i="10"/>
  <c r="C55" i="10"/>
  <c r="O55" i="10"/>
  <c r="C56" i="10"/>
  <c r="O56" i="10"/>
  <c r="C57" i="10"/>
  <c r="O57" i="10"/>
  <c r="M58" i="10"/>
  <c r="Q58" i="10"/>
  <c r="C63" i="10"/>
  <c r="E63" i="10" s="1"/>
  <c r="G63" i="10"/>
  <c r="H63" i="10"/>
  <c r="I63" i="10"/>
  <c r="C64" i="10"/>
  <c r="E64" i="10" s="1"/>
  <c r="G64" i="10"/>
  <c r="H64" i="10"/>
  <c r="I64" i="10"/>
  <c r="C65" i="10"/>
  <c r="G65" i="10"/>
  <c r="H65" i="10"/>
  <c r="I65" i="10"/>
  <c r="C66" i="10"/>
  <c r="O66" i="10"/>
  <c r="C67" i="10"/>
  <c r="E67" i="10" s="1"/>
  <c r="G67" i="10"/>
  <c r="H67" i="10"/>
  <c r="I67" i="10"/>
  <c r="C68" i="10"/>
  <c r="G68" i="10"/>
  <c r="H68" i="10"/>
  <c r="I68" i="10"/>
  <c r="O68" i="10"/>
  <c r="M69" i="10"/>
  <c r="E311" i="12" s="1"/>
  <c r="Q69" i="10"/>
  <c r="C75" i="10"/>
  <c r="O75" i="10"/>
  <c r="C76" i="10"/>
  <c r="O76" i="10"/>
  <c r="C77" i="10"/>
  <c r="O77" i="10"/>
  <c r="C78" i="10"/>
  <c r="G78" i="10"/>
  <c r="H78" i="10"/>
  <c r="I78" i="10"/>
  <c r="J78" i="10"/>
  <c r="K78" i="10"/>
  <c r="O78" i="10"/>
  <c r="C79" i="10"/>
  <c r="O79" i="10"/>
  <c r="C80" i="10"/>
  <c r="O80" i="10"/>
  <c r="M81" i="10"/>
  <c r="E392" i="12" s="1"/>
  <c r="Q81" i="10"/>
  <c r="C87" i="10"/>
  <c r="E87" i="10" s="1"/>
  <c r="G87" i="10"/>
  <c r="G93" i="10" s="1"/>
  <c r="H87" i="10"/>
  <c r="H93" i="10" s="1"/>
  <c r="I87" i="10"/>
  <c r="I93" i="10" s="1"/>
  <c r="J87" i="10"/>
  <c r="K87" i="10"/>
  <c r="K93" i="10" s="1"/>
  <c r="O87" i="10"/>
  <c r="C88" i="10"/>
  <c r="E88" i="10" s="1"/>
  <c r="G88" i="10"/>
  <c r="H88" i="10"/>
  <c r="I88" i="10"/>
  <c r="J88" i="10"/>
  <c r="K88" i="10"/>
  <c r="O88" i="10"/>
  <c r="C89" i="10"/>
  <c r="O89" i="10"/>
  <c r="C90" i="10"/>
  <c r="E90" i="10" s="1"/>
  <c r="G90" i="10"/>
  <c r="H90" i="10"/>
  <c r="I90" i="10"/>
  <c r="J90" i="10"/>
  <c r="K90" i="10"/>
  <c r="O90" i="10"/>
  <c r="C91" i="10"/>
  <c r="E91" i="10" s="1"/>
  <c r="G91" i="10"/>
  <c r="H91" i="10"/>
  <c r="I91" i="10"/>
  <c r="J91" i="10"/>
  <c r="K91" i="10"/>
  <c r="O91" i="10"/>
  <c r="C92" i="10"/>
  <c r="E92" i="10" s="1"/>
  <c r="G92" i="10"/>
  <c r="H92" i="10"/>
  <c r="I92" i="10"/>
  <c r="J92" i="10"/>
  <c r="K92" i="10"/>
  <c r="O92" i="10"/>
  <c r="M93" i="10"/>
  <c r="Q93" i="10"/>
  <c r="C99" i="10"/>
  <c r="G99" i="10"/>
  <c r="E479" i="12" s="1"/>
  <c r="H99" i="10"/>
  <c r="H105" i="10" s="1"/>
  <c r="E491" i="12" s="1"/>
  <c r="I99" i="10"/>
  <c r="I105" i="10" s="1"/>
  <c r="J99" i="10"/>
  <c r="J105" i="10" s="1"/>
  <c r="C492" i="12" s="1"/>
  <c r="K99" i="10"/>
  <c r="K105" i="10" s="1"/>
  <c r="C100" i="10"/>
  <c r="O100" i="10"/>
  <c r="C101" i="10"/>
  <c r="O101" i="10"/>
  <c r="C102" i="10"/>
  <c r="E102" i="10" s="1"/>
  <c r="G102" i="10"/>
  <c r="H102" i="10"/>
  <c r="I102" i="10"/>
  <c r="J102" i="10"/>
  <c r="K102" i="10"/>
  <c r="C103" i="10"/>
  <c r="G103" i="10"/>
  <c r="H103" i="10"/>
  <c r="I103" i="10"/>
  <c r="J103" i="10"/>
  <c r="K103" i="10"/>
  <c r="C104" i="10"/>
  <c r="E104" i="10" s="1"/>
  <c r="G104" i="10"/>
  <c r="H104" i="10"/>
  <c r="I104" i="10"/>
  <c r="J104" i="10"/>
  <c r="K104" i="10"/>
  <c r="M105" i="10"/>
  <c r="Q105" i="10"/>
  <c r="C111" i="10"/>
  <c r="G111" i="10"/>
  <c r="G117" i="10" s="1"/>
  <c r="H111" i="10"/>
  <c r="H117" i="10" s="1"/>
  <c r="E519" i="12" s="1"/>
  <c r="I111" i="10"/>
  <c r="I117" i="10" s="1"/>
  <c r="J111" i="10"/>
  <c r="K111" i="10"/>
  <c r="K117" i="10" s="1"/>
  <c r="C112" i="10"/>
  <c r="G112" i="10"/>
  <c r="H112" i="10"/>
  <c r="I112" i="10"/>
  <c r="J112" i="10"/>
  <c r="K112" i="10"/>
  <c r="C113" i="10"/>
  <c r="O113" i="10"/>
  <c r="O117" i="10" s="1"/>
  <c r="C114" i="10"/>
  <c r="E114" i="10" s="1"/>
  <c r="G114" i="10"/>
  <c r="H114" i="10"/>
  <c r="I114" i="10"/>
  <c r="J114" i="10"/>
  <c r="K114" i="10"/>
  <c r="C115" i="10"/>
  <c r="E115" i="10" s="1"/>
  <c r="G115" i="10"/>
  <c r="H115" i="10"/>
  <c r="I115" i="10"/>
  <c r="J115" i="10"/>
  <c r="K115" i="10"/>
  <c r="C116" i="10"/>
  <c r="E116" i="10" s="1"/>
  <c r="G116" i="10"/>
  <c r="H116" i="10"/>
  <c r="I116" i="10"/>
  <c r="J116" i="10"/>
  <c r="K116" i="10"/>
  <c r="M117" i="10"/>
  <c r="Q117" i="10"/>
  <c r="C123" i="10"/>
  <c r="E123" i="10" s="1"/>
  <c r="G123" i="10"/>
  <c r="G129" i="10" s="1"/>
  <c r="H123" i="10"/>
  <c r="H129" i="10" s="1"/>
  <c r="E621" i="12" s="1"/>
  <c r="I123" i="10"/>
  <c r="I129" i="10" s="1"/>
  <c r="J123" i="10"/>
  <c r="K123" i="10"/>
  <c r="K129" i="10" s="1"/>
  <c r="C124" i="10"/>
  <c r="G124" i="10"/>
  <c r="H124" i="10"/>
  <c r="I124" i="10"/>
  <c r="J124" i="10"/>
  <c r="K124" i="10"/>
  <c r="C125" i="10"/>
  <c r="O125" i="10"/>
  <c r="O129" i="10" s="1"/>
  <c r="C126" i="10"/>
  <c r="G126" i="10"/>
  <c r="H126" i="10"/>
  <c r="I126" i="10"/>
  <c r="J126" i="10"/>
  <c r="K126" i="10"/>
  <c r="C127" i="10"/>
  <c r="E127" i="10" s="1"/>
  <c r="G127" i="10"/>
  <c r="H127" i="10"/>
  <c r="I127" i="10"/>
  <c r="J127" i="10"/>
  <c r="K127" i="10"/>
  <c r="C128" i="10"/>
  <c r="G128" i="10"/>
  <c r="H128" i="10"/>
  <c r="I128" i="10"/>
  <c r="J128" i="10"/>
  <c r="K128" i="10"/>
  <c r="M129" i="10"/>
  <c r="Q129" i="10"/>
  <c r="C135" i="10"/>
  <c r="E135" i="10" s="1"/>
  <c r="G135" i="10"/>
  <c r="G141" i="10" s="1"/>
  <c r="H135" i="10"/>
  <c r="H141" i="10" s="1"/>
  <c r="C673" i="12" s="1"/>
  <c r="I135" i="10"/>
  <c r="I141" i="10" s="1"/>
  <c r="J135" i="10"/>
  <c r="K135" i="10"/>
  <c r="K141" i="10" s="1"/>
  <c r="C136" i="10"/>
  <c r="G136" i="10"/>
  <c r="H136" i="10"/>
  <c r="I136" i="10"/>
  <c r="J136" i="10"/>
  <c r="K136" i="10"/>
  <c r="C137" i="10"/>
  <c r="O137" i="10"/>
  <c r="O141" i="10" s="1"/>
  <c r="C138" i="10"/>
  <c r="E138" i="10" s="1"/>
  <c r="G138" i="10"/>
  <c r="H138" i="10"/>
  <c r="I138" i="10"/>
  <c r="J138" i="10"/>
  <c r="K138" i="10"/>
  <c r="C139" i="10"/>
  <c r="E139" i="10" s="1"/>
  <c r="G139" i="10"/>
  <c r="H139" i="10"/>
  <c r="I139" i="10"/>
  <c r="J139" i="10"/>
  <c r="K139" i="10"/>
  <c r="C140" i="10"/>
  <c r="E140" i="10" s="1"/>
  <c r="G140" i="10"/>
  <c r="H140" i="10"/>
  <c r="I140" i="10"/>
  <c r="J140" i="10"/>
  <c r="K140" i="10"/>
  <c r="M141" i="10"/>
  <c r="Q141" i="10"/>
  <c r="C147" i="10"/>
  <c r="E147" i="10" s="1"/>
  <c r="G147" i="10"/>
  <c r="G153" i="10" s="1"/>
  <c r="H147" i="10"/>
  <c r="H153" i="10" s="1"/>
  <c r="I147" i="10"/>
  <c r="I153" i="10" s="1"/>
  <c r="J147" i="10"/>
  <c r="K147" i="10"/>
  <c r="K153" i="10" s="1"/>
  <c r="C148" i="10"/>
  <c r="G148" i="10"/>
  <c r="H148" i="10"/>
  <c r="I148" i="10"/>
  <c r="J148" i="10"/>
  <c r="K148" i="10"/>
  <c r="C149" i="10"/>
  <c r="G149" i="10"/>
  <c r="H149" i="10"/>
  <c r="I149" i="10"/>
  <c r="J149" i="10"/>
  <c r="K149" i="10"/>
  <c r="O149" i="10"/>
  <c r="C150" i="10"/>
  <c r="E150" i="10" s="1"/>
  <c r="G150" i="10"/>
  <c r="H150" i="10"/>
  <c r="I150" i="10"/>
  <c r="J150" i="10"/>
  <c r="K150" i="10"/>
  <c r="C151" i="10"/>
  <c r="E151" i="10" s="1"/>
  <c r="G151" i="10"/>
  <c r="H151" i="10"/>
  <c r="I151" i="10"/>
  <c r="J151" i="10"/>
  <c r="K151" i="10"/>
  <c r="C152" i="10"/>
  <c r="E152" i="10" s="1"/>
  <c r="G152" i="10"/>
  <c r="H152" i="10"/>
  <c r="I152" i="10"/>
  <c r="J152" i="10"/>
  <c r="K152" i="10"/>
  <c r="F153" i="10"/>
  <c r="M153" i="10"/>
  <c r="Q153" i="10"/>
  <c r="M159" i="10"/>
  <c r="M160" i="10"/>
  <c r="M161" i="10"/>
  <c r="M162" i="10"/>
  <c r="M163" i="10"/>
  <c r="M164" i="10"/>
  <c r="T2" i="2"/>
  <c r="L2" i="10" s="1"/>
  <c r="R2" i="11" s="1"/>
  <c r="Q12" i="2"/>
  <c r="I12" i="10" s="1"/>
  <c r="I24" i="10" s="1"/>
  <c r="I36" i="10" s="1"/>
  <c r="I51" i="10" s="1"/>
  <c r="I62" i="10" s="1"/>
  <c r="I74" i="10" s="1"/>
  <c r="I86" i="10" s="1"/>
  <c r="I98" i="10" s="1"/>
  <c r="I110" i="10" s="1"/>
  <c r="I122" i="10" s="1"/>
  <c r="I134" i="10" s="1"/>
  <c r="I146" i="10" s="1"/>
  <c r="I158" i="10" s="1"/>
  <c r="C13" i="2"/>
  <c r="F13" i="2"/>
  <c r="F13" i="8" s="1"/>
  <c r="I13" i="2"/>
  <c r="V13" i="2"/>
  <c r="C14" i="2"/>
  <c r="C14" i="8" s="1"/>
  <c r="V14" i="2"/>
  <c r="C15" i="2"/>
  <c r="C15" i="8" s="1"/>
  <c r="V15" i="2"/>
  <c r="C16" i="2"/>
  <c r="C16" i="8" s="1"/>
  <c r="V16" i="2"/>
  <c r="C17" i="2"/>
  <c r="I17" i="2"/>
  <c r="I17" i="8" s="1"/>
  <c r="V17" i="2"/>
  <c r="C18" i="2"/>
  <c r="C18" i="8" s="1"/>
  <c r="V18" i="2"/>
  <c r="D19" i="2"/>
  <c r="V20" i="2"/>
  <c r="V21" i="2"/>
  <c r="V22" i="2"/>
  <c r="V23" i="2"/>
  <c r="C24" i="2"/>
  <c r="C36" i="2" s="1"/>
  <c r="C51" i="2" s="1"/>
  <c r="C62" i="2" s="1"/>
  <c r="C74" i="2" s="1"/>
  <c r="C86" i="2" s="1"/>
  <c r="C98" i="2" s="1"/>
  <c r="C110" i="2" s="1"/>
  <c r="Q24" i="2"/>
  <c r="R24" i="2"/>
  <c r="R36" i="2" s="1"/>
  <c r="R51" i="2" s="1"/>
  <c r="R62" i="2" s="1"/>
  <c r="R74" i="2" s="1"/>
  <c r="R86" i="2" s="1"/>
  <c r="R98" i="2" s="1"/>
  <c r="S24" i="2"/>
  <c r="C25" i="2"/>
  <c r="E25" i="2"/>
  <c r="E25" i="8" s="1"/>
  <c r="E31" i="8" s="1"/>
  <c r="G25" i="2"/>
  <c r="G25" i="8" s="1"/>
  <c r="G31" i="8" s="1"/>
  <c r="H25" i="2"/>
  <c r="H25" i="8" s="1"/>
  <c r="H31" i="8" s="1"/>
  <c r="I25" i="2"/>
  <c r="K25" i="2"/>
  <c r="K31" i="2" s="1"/>
  <c r="K32" i="2" s="1"/>
  <c r="O25" i="2"/>
  <c r="P25" i="2"/>
  <c r="P31" i="2" s="1"/>
  <c r="Q25" i="2"/>
  <c r="Q31" i="2" s="1"/>
  <c r="R25" i="2"/>
  <c r="R31" i="2" s="1"/>
  <c r="E161" i="12" s="1"/>
  <c r="S25" i="2"/>
  <c r="S31" i="2" s="1"/>
  <c r="C26" i="2"/>
  <c r="V26" i="2" s="1"/>
  <c r="G26" i="2"/>
  <c r="H26" i="2"/>
  <c r="H26" i="8" s="1"/>
  <c r="I26" i="2"/>
  <c r="I26" i="8" s="1"/>
  <c r="K26" i="2"/>
  <c r="K26" i="8" s="1"/>
  <c r="O26" i="2"/>
  <c r="O26" i="8" s="1"/>
  <c r="P26" i="2"/>
  <c r="P26" i="8" s="1"/>
  <c r="Q26" i="2"/>
  <c r="R26" i="2"/>
  <c r="S26" i="2"/>
  <c r="C27" i="2"/>
  <c r="C27" i="8" s="1"/>
  <c r="G27" i="2"/>
  <c r="G27" i="8" s="1"/>
  <c r="H27" i="2"/>
  <c r="H27" i="8" s="1"/>
  <c r="I27" i="2"/>
  <c r="I27" i="8" s="1"/>
  <c r="K27" i="2"/>
  <c r="K27" i="8" s="1"/>
  <c r="V27" i="2"/>
  <c r="C28" i="2"/>
  <c r="C28" i="8" s="1"/>
  <c r="E28" i="2"/>
  <c r="E28" i="8" s="1"/>
  <c r="K28" i="2"/>
  <c r="K28" i="8" s="1"/>
  <c r="O28" i="2"/>
  <c r="O28" i="8" s="1"/>
  <c r="P28" i="2"/>
  <c r="P28" i="8" s="1"/>
  <c r="Q28" i="2"/>
  <c r="R28" i="2"/>
  <c r="S28" i="2"/>
  <c r="C29" i="2"/>
  <c r="E20" i="5" s="1"/>
  <c r="H29" i="2"/>
  <c r="K29" i="2"/>
  <c r="K29" i="8" s="1"/>
  <c r="O29" i="2"/>
  <c r="O29" i="8" s="1"/>
  <c r="P29" i="2"/>
  <c r="P29" i="8" s="1"/>
  <c r="Q29" i="2"/>
  <c r="R29" i="2"/>
  <c r="S29" i="2"/>
  <c r="C30" i="2"/>
  <c r="V30" i="2" s="1"/>
  <c r="E30" i="2"/>
  <c r="E30" i="8" s="1"/>
  <c r="K30" i="2"/>
  <c r="K30" i="8" s="1"/>
  <c r="O30" i="2"/>
  <c r="O30" i="8" s="1"/>
  <c r="Q30" i="2"/>
  <c r="R30" i="2"/>
  <c r="S30" i="2"/>
  <c r="D31" i="2"/>
  <c r="F31" i="2"/>
  <c r="V32" i="2"/>
  <c r="V33" i="2"/>
  <c r="V34" i="2"/>
  <c r="V35" i="2"/>
  <c r="Q36" i="2"/>
  <c r="Q51" i="2" s="1"/>
  <c r="Q62" i="2" s="1"/>
  <c r="Q74" i="2" s="1"/>
  <c r="Q86" i="2" s="1"/>
  <c r="Q98" i="2" s="1"/>
  <c r="Q110" i="2" s="1"/>
  <c r="Q122" i="2" s="1"/>
  <c r="Q134" i="2" s="1"/>
  <c r="Q146" i="2" s="1"/>
  <c r="Q157" i="2" s="1"/>
  <c r="S36" i="2"/>
  <c r="S51" i="2" s="1"/>
  <c r="S62" i="2" s="1"/>
  <c r="S74" i="2" s="1"/>
  <c r="S86" i="2" s="1"/>
  <c r="C37" i="2"/>
  <c r="C37" i="8" s="1"/>
  <c r="V37" i="2"/>
  <c r="C38" i="2"/>
  <c r="P38" i="2"/>
  <c r="P38" i="8" s="1"/>
  <c r="Q38" i="2"/>
  <c r="R38" i="2"/>
  <c r="S38" i="2"/>
  <c r="V38" i="2"/>
  <c r="C39" i="2"/>
  <c r="C39" i="8" s="1"/>
  <c r="O39" i="2"/>
  <c r="O39" i="8" s="1"/>
  <c r="P39" i="2"/>
  <c r="P39" i="8" s="1"/>
  <c r="Q39" i="2"/>
  <c r="V39" i="2"/>
  <c r="C40" i="2"/>
  <c r="V40" i="2"/>
  <c r="C41" i="2"/>
  <c r="C41" i="8" s="1"/>
  <c r="V41" i="2"/>
  <c r="C42" i="2"/>
  <c r="V42" i="2"/>
  <c r="D43" i="2"/>
  <c r="V44" i="2"/>
  <c r="V45" i="2"/>
  <c r="V46" i="2"/>
  <c r="V47" i="2"/>
  <c r="V48" i="2"/>
  <c r="V49" i="2"/>
  <c r="V50" i="2"/>
  <c r="C52" i="2"/>
  <c r="C52" i="8" s="1"/>
  <c r="V52" i="2"/>
  <c r="C53" i="2"/>
  <c r="C53" i="8" s="1"/>
  <c r="V53" i="2"/>
  <c r="C54" i="2"/>
  <c r="V54" i="2"/>
  <c r="C55" i="2"/>
  <c r="C55" i="8" s="1"/>
  <c r="V55" i="2"/>
  <c r="C56" i="2"/>
  <c r="C56" i="8" s="1"/>
  <c r="V56" i="2"/>
  <c r="C57" i="2"/>
  <c r="C57" i="8" s="1"/>
  <c r="V57" i="2"/>
  <c r="D58" i="2"/>
  <c r="F58" i="2"/>
  <c r="V59" i="2"/>
  <c r="V60" i="2"/>
  <c r="V61" i="2"/>
  <c r="C63" i="2"/>
  <c r="E63" i="2"/>
  <c r="E63" i="8" s="1"/>
  <c r="O63" i="2"/>
  <c r="O63" i="8" s="1"/>
  <c r="P63" i="2"/>
  <c r="P63" i="8" s="1"/>
  <c r="Q63" i="2"/>
  <c r="C64" i="2"/>
  <c r="C64" i="8" s="1"/>
  <c r="O64" i="2"/>
  <c r="O64" i="8" s="1"/>
  <c r="P64" i="2"/>
  <c r="P64" i="8" s="1"/>
  <c r="Q64" i="2"/>
  <c r="C65" i="2"/>
  <c r="V65" i="2" s="1"/>
  <c r="O65" i="2"/>
  <c r="O65" i="8" s="1"/>
  <c r="P65" i="2"/>
  <c r="P65" i="8" s="1"/>
  <c r="Q65" i="2"/>
  <c r="C66" i="2"/>
  <c r="C66" i="8" s="1"/>
  <c r="V66" i="2"/>
  <c r="C67" i="2"/>
  <c r="M67" i="2" s="1"/>
  <c r="O67" i="2"/>
  <c r="P67" i="2"/>
  <c r="P67" i="8" s="1"/>
  <c r="Q67" i="2"/>
  <c r="V67" i="2"/>
  <c r="C68" i="2"/>
  <c r="C68" i="8" s="1"/>
  <c r="O68" i="2"/>
  <c r="O68" i="8" s="1"/>
  <c r="P68" i="2"/>
  <c r="P68" i="8" s="1"/>
  <c r="Q68" i="2"/>
  <c r="V68" i="2"/>
  <c r="D69" i="2"/>
  <c r="F69" i="2"/>
  <c r="G69" i="2"/>
  <c r="H69" i="2"/>
  <c r="I69" i="2"/>
  <c r="K69" i="2"/>
  <c r="L69" i="2"/>
  <c r="V70" i="2"/>
  <c r="V71" i="2"/>
  <c r="V72" i="2"/>
  <c r="V73" i="2"/>
  <c r="C75" i="2"/>
  <c r="E75" i="2"/>
  <c r="E75" i="8" s="1"/>
  <c r="K75" i="2"/>
  <c r="K81" i="2" s="1"/>
  <c r="K82" i="2" s="1"/>
  <c r="V75" i="2"/>
  <c r="C76" i="2"/>
  <c r="C76" i="8" s="1"/>
  <c r="K76" i="2"/>
  <c r="K76" i="8" s="1"/>
  <c r="V76" i="2"/>
  <c r="C77" i="2"/>
  <c r="C77" i="8" s="1"/>
  <c r="K77" i="2"/>
  <c r="K77" i="8" s="1"/>
  <c r="V77" i="2"/>
  <c r="C78" i="2"/>
  <c r="C78" i="8" s="1"/>
  <c r="K78" i="2"/>
  <c r="K78" i="8" s="1"/>
  <c r="O78" i="2"/>
  <c r="O78" i="8" s="1"/>
  <c r="Q78" i="2"/>
  <c r="R78" i="2"/>
  <c r="S78" i="2"/>
  <c r="V78" i="2"/>
  <c r="C79" i="2"/>
  <c r="C79" i="8" s="1"/>
  <c r="K79" i="2"/>
  <c r="K79" i="8" s="1"/>
  <c r="V79" i="2"/>
  <c r="C80" i="2"/>
  <c r="C80" i="8" s="1"/>
  <c r="K80" i="2"/>
  <c r="K80" i="8" s="1"/>
  <c r="V80" i="2"/>
  <c r="D81" i="2"/>
  <c r="F81" i="2"/>
  <c r="G81" i="2"/>
  <c r="H81" i="2"/>
  <c r="I81" i="2"/>
  <c r="L81" i="2"/>
  <c r="V82" i="2"/>
  <c r="V83" i="2"/>
  <c r="V84" i="2"/>
  <c r="V85" i="2"/>
  <c r="C87" i="2"/>
  <c r="O87" i="2"/>
  <c r="O93" i="2" s="1"/>
  <c r="P87" i="2"/>
  <c r="P93" i="2" s="1"/>
  <c r="Q87" i="2"/>
  <c r="Q93" i="2" s="1"/>
  <c r="R87" i="2"/>
  <c r="R93" i="2" s="1"/>
  <c r="S87" i="2"/>
  <c r="S93" i="2" s="1"/>
  <c r="V87" i="2"/>
  <c r="C88" i="2"/>
  <c r="O88" i="2"/>
  <c r="P88" i="2"/>
  <c r="Q88" i="2"/>
  <c r="R88" i="2"/>
  <c r="S88" i="2"/>
  <c r="V88" i="2"/>
  <c r="C89" i="2"/>
  <c r="V89" i="2"/>
  <c r="C90" i="2"/>
  <c r="O90" i="2"/>
  <c r="P90" i="2"/>
  <c r="Q90" i="2"/>
  <c r="R90" i="2"/>
  <c r="S90" i="2"/>
  <c r="V90" i="2"/>
  <c r="C91" i="2"/>
  <c r="O91" i="2"/>
  <c r="P91" i="2"/>
  <c r="Q91" i="2"/>
  <c r="R91" i="2"/>
  <c r="S91" i="2"/>
  <c r="V91" i="2"/>
  <c r="C92" i="2"/>
  <c r="O92" i="2"/>
  <c r="P92" i="2"/>
  <c r="Q92" i="2"/>
  <c r="R92" i="2"/>
  <c r="S92" i="2"/>
  <c r="V92" i="2"/>
  <c r="D93" i="2"/>
  <c r="F93" i="2"/>
  <c r="G93" i="2"/>
  <c r="H93" i="2"/>
  <c r="I93" i="2"/>
  <c r="K93" i="2"/>
  <c r="L93" i="2"/>
  <c r="V94" i="2"/>
  <c r="V95" i="2"/>
  <c r="V96" i="2"/>
  <c r="V97" i="2"/>
  <c r="C99" i="2"/>
  <c r="O99" i="2"/>
  <c r="O105" i="2" s="1"/>
  <c r="P99" i="2"/>
  <c r="P105" i="2" s="1"/>
  <c r="E472" i="12" s="1"/>
  <c r="Q99" i="2"/>
  <c r="Q105" i="2" s="1"/>
  <c r="R99" i="2"/>
  <c r="R105" i="2" s="1"/>
  <c r="C473" i="12" s="1"/>
  <c r="V99" i="2"/>
  <c r="C100" i="2"/>
  <c r="V100" i="2"/>
  <c r="C101" i="2"/>
  <c r="V101" i="2"/>
  <c r="C102" i="2"/>
  <c r="O102" i="2"/>
  <c r="P102" i="2"/>
  <c r="Q102" i="2"/>
  <c r="R102" i="2"/>
  <c r="S102" i="2"/>
  <c r="V102" i="2"/>
  <c r="C103" i="2"/>
  <c r="O103" i="2"/>
  <c r="P103" i="2"/>
  <c r="Q103" i="2"/>
  <c r="R103" i="2"/>
  <c r="S103" i="2"/>
  <c r="V103" i="2"/>
  <c r="C104" i="2"/>
  <c r="O104" i="2"/>
  <c r="P104" i="2"/>
  <c r="Q104" i="2"/>
  <c r="R104" i="2"/>
  <c r="S104" i="2"/>
  <c r="V104" i="2"/>
  <c r="D105" i="2"/>
  <c r="F105" i="2"/>
  <c r="G105" i="2"/>
  <c r="H105" i="2"/>
  <c r="I105" i="2"/>
  <c r="K105" i="2"/>
  <c r="L105" i="2"/>
  <c r="V106" i="2"/>
  <c r="V107" i="2"/>
  <c r="V108" i="2"/>
  <c r="V109" i="2"/>
  <c r="C111" i="2"/>
  <c r="V111" i="2" s="1"/>
  <c r="O111" i="2"/>
  <c r="O117" i="2" s="1"/>
  <c r="P111" i="2"/>
  <c r="P117" i="2" s="1"/>
  <c r="E514" i="12" s="1"/>
  <c r="Q111" i="2"/>
  <c r="Q117" i="2" s="1"/>
  <c r="R111" i="2"/>
  <c r="R117" i="2" s="1"/>
  <c r="R120" i="2" s="1"/>
  <c r="S111" i="2"/>
  <c r="S117" i="2" s="1"/>
  <c r="C112" i="2"/>
  <c r="V112" i="2" s="1"/>
  <c r="O112" i="2"/>
  <c r="P112" i="2"/>
  <c r="Q112" i="2"/>
  <c r="R112" i="2"/>
  <c r="S112" i="2"/>
  <c r="C113" i="2"/>
  <c r="V113" i="2"/>
  <c r="C114" i="2"/>
  <c r="V114" i="2" s="1"/>
  <c r="O114" i="2"/>
  <c r="Q114" i="2"/>
  <c r="R114" i="2"/>
  <c r="S114" i="2"/>
  <c r="C115" i="2"/>
  <c r="O115" i="2"/>
  <c r="P115" i="2"/>
  <c r="Q115" i="2"/>
  <c r="R115" i="2"/>
  <c r="S115" i="2"/>
  <c r="C116" i="2"/>
  <c r="V116" i="2" s="1"/>
  <c r="O116" i="2"/>
  <c r="Q116" i="2"/>
  <c r="R116" i="2"/>
  <c r="S116" i="2"/>
  <c r="D117" i="2"/>
  <c r="F117" i="2"/>
  <c r="G117" i="2"/>
  <c r="H117" i="2"/>
  <c r="I117" i="2"/>
  <c r="K117" i="2"/>
  <c r="L117" i="2"/>
  <c r="V118" i="2"/>
  <c r="V119" i="2"/>
  <c r="V120" i="2"/>
  <c r="V121" i="2"/>
  <c r="C123" i="2"/>
  <c r="V123" i="2" s="1"/>
  <c r="C124" i="2"/>
  <c r="V124" i="2" s="1"/>
  <c r="C125" i="2"/>
  <c r="V125" i="2"/>
  <c r="C126" i="2"/>
  <c r="V126" i="2" s="1"/>
  <c r="C127" i="2"/>
  <c r="V127" i="2" s="1"/>
  <c r="C128" i="2"/>
  <c r="V128" i="2" s="1"/>
  <c r="D129" i="2"/>
  <c r="F129" i="2"/>
  <c r="G129" i="2"/>
  <c r="H129" i="2"/>
  <c r="I129" i="2"/>
  <c r="K129" i="2"/>
  <c r="L129" i="2"/>
  <c r="V130" i="2"/>
  <c r="V131" i="2"/>
  <c r="R132" i="2"/>
  <c r="V132" i="2"/>
  <c r="V133" i="2"/>
  <c r="C135" i="2"/>
  <c r="V135" i="2" s="1"/>
  <c r="O135" i="2"/>
  <c r="O141" i="2" s="1"/>
  <c r="P135" i="2"/>
  <c r="P141" i="2" s="1"/>
  <c r="Q135" i="2"/>
  <c r="Q141" i="2" s="1"/>
  <c r="R135" i="2"/>
  <c r="R141" i="2" s="1"/>
  <c r="R144" i="2" s="1"/>
  <c r="S135" i="2"/>
  <c r="S141" i="2" s="1"/>
  <c r="C136" i="2"/>
  <c r="V136" i="2" s="1"/>
  <c r="E136" i="2"/>
  <c r="O136" i="2"/>
  <c r="P136" i="2"/>
  <c r="Q136" i="2"/>
  <c r="R136" i="2"/>
  <c r="S136" i="2"/>
  <c r="C137" i="2"/>
  <c r="V137" i="2"/>
  <c r="C138" i="2"/>
  <c r="V138" i="2" s="1"/>
  <c r="O138" i="2"/>
  <c r="P138" i="2"/>
  <c r="Q138" i="2"/>
  <c r="R138" i="2"/>
  <c r="S138" i="2"/>
  <c r="C139" i="2"/>
  <c r="V139" i="2" s="1"/>
  <c r="O139" i="2"/>
  <c r="P139" i="2"/>
  <c r="Q139" i="2"/>
  <c r="R139" i="2"/>
  <c r="S139" i="2"/>
  <c r="C140" i="2"/>
  <c r="V140" i="2" s="1"/>
  <c r="O140" i="2"/>
  <c r="P140" i="2"/>
  <c r="Q140" i="2"/>
  <c r="R140" i="2"/>
  <c r="S140" i="2"/>
  <c r="D141" i="2"/>
  <c r="F141" i="2"/>
  <c r="G141" i="2"/>
  <c r="H141" i="2"/>
  <c r="I141" i="2"/>
  <c r="K141" i="2"/>
  <c r="L141" i="2"/>
  <c r="V142" i="2"/>
  <c r="V143" i="2"/>
  <c r="V144" i="2"/>
  <c r="V145" i="2"/>
  <c r="C147" i="2"/>
  <c r="V147" i="2" s="1"/>
  <c r="O147" i="2"/>
  <c r="P147" i="2"/>
  <c r="Q147" i="2"/>
  <c r="Q153" i="2" s="1"/>
  <c r="R147" i="2"/>
  <c r="S147" i="2"/>
  <c r="C148" i="2"/>
  <c r="E148" i="2"/>
  <c r="O148" i="2"/>
  <c r="P148" i="2"/>
  <c r="Q148" i="2"/>
  <c r="R148" i="2"/>
  <c r="S148" i="2"/>
  <c r="C149" i="2"/>
  <c r="J149" i="2"/>
  <c r="C712" i="12" s="1"/>
  <c r="O149" i="2"/>
  <c r="P149" i="2"/>
  <c r="Q149" i="2"/>
  <c r="R149" i="2"/>
  <c r="S149" i="2"/>
  <c r="V149" i="2"/>
  <c r="C150" i="2"/>
  <c r="V150" i="2" s="1"/>
  <c r="Q150" i="2"/>
  <c r="R150" i="2"/>
  <c r="S150" i="2"/>
  <c r="C151" i="2"/>
  <c r="V151" i="2" s="1"/>
  <c r="P151" i="2"/>
  <c r="Q151" i="2"/>
  <c r="R151" i="2"/>
  <c r="S151" i="2"/>
  <c r="C152" i="2"/>
  <c r="Q152" i="2"/>
  <c r="R152" i="2"/>
  <c r="S152" i="2"/>
  <c r="D153" i="2"/>
  <c r="F153" i="2"/>
  <c r="G153" i="2"/>
  <c r="H153" i="2"/>
  <c r="I153" i="2"/>
  <c r="K153" i="2"/>
  <c r="L153" i="2"/>
  <c r="N153" i="2"/>
  <c r="V154" i="2"/>
  <c r="V155" i="2"/>
  <c r="V156" i="2"/>
  <c r="D158" i="2"/>
  <c r="V158" i="2"/>
  <c r="D159" i="2"/>
  <c r="V159" i="2"/>
  <c r="D160" i="2"/>
  <c r="V160" i="2"/>
  <c r="D161" i="2"/>
  <c r="V161" i="2"/>
  <c r="D162" i="2"/>
  <c r="G162" i="2"/>
  <c r="V162" i="2"/>
  <c r="D163" i="2"/>
  <c r="F163" i="2"/>
  <c r="G163" i="2"/>
  <c r="H163" i="2"/>
  <c r="L163" i="2"/>
  <c r="V163" i="2"/>
  <c r="J170" i="2"/>
  <c r="D170" i="2" s="1"/>
  <c r="A171" i="2"/>
  <c r="J171" i="2"/>
  <c r="D171" i="2" s="1"/>
  <c r="A172" i="2"/>
  <c r="J172" i="2"/>
  <c r="D172" i="2" s="1"/>
  <c r="J173" i="2"/>
  <c r="D173" i="2" s="1"/>
  <c r="F174" i="2"/>
  <c r="J37" i="3" s="1"/>
  <c r="G174" i="2"/>
  <c r="C22" i="12" s="1"/>
  <c r="H174" i="2"/>
  <c r="I174" i="2"/>
  <c r="F8" i="6" s="1"/>
  <c r="K174" i="2"/>
  <c r="K178" i="2" s="1"/>
  <c r="L174" i="2"/>
  <c r="C25" i="12" s="1"/>
  <c r="M174" i="2"/>
  <c r="M178" i="2" s="1"/>
  <c r="N174" i="2"/>
  <c r="J127" i="16" s="1"/>
  <c r="O174" i="2"/>
  <c r="J88" i="2" s="1"/>
  <c r="P174" i="2"/>
  <c r="P178" i="2" s="1"/>
  <c r="R174" i="2"/>
  <c r="J114" i="16" s="1"/>
  <c r="S174" i="2"/>
  <c r="J139" i="16" s="1"/>
  <c r="U174" i="2"/>
  <c r="C33" i="12" s="1"/>
  <c r="I175" i="2"/>
  <c r="J175" i="2"/>
  <c r="D175" i="2" s="1"/>
  <c r="V175" i="2"/>
  <c r="G176" i="2"/>
  <c r="L27" i="2" s="1"/>
  <c r="L27" i="8" s="1"/>
  <c r="H176" i="2"/>
  <c r="L41" i="2" s="1"/>
  <c r="L41" i="8" s="1"/>
  <c r="I176" i="2"/>
  <c r="F37" i="6" s="1"/>
  <c r="F86" i="6" s="1"/>
  <c r="J176" i="2"/>
  <c r="D176" i="2" s="1"/>
  <c r="T178" i="2"/>
  <c r="A180" i="2"/>
  <c r="A181" i="2" s="1"/>
  <c r="B181" i="2"/>
  <c r="I181" i="2"/>
  <c r="E183" i="2"/>
  <c r="E184" i="2"/>
  <c r="E185" i="2"/>
  <c r="E186" i="2"/>
  <c r="B191" i="2"/>
  <c r="D191" i="2"/>
  <c r="E191" i="2"/>
  <c r="B192" i="2"/>
  <c r="D192" i="2"/>
  <c r="E19" i="12" s="1"/>
  <c r="E192" i="2"/>
  <c r="D193" i="2"/>
  <c r="E20" i="12" s="1"/>
  <c r="D13" i="8"/>
  <c r="E13" i="8"/>
  <c r="Q13" i="8"/>
  <c r="D14" i="8"/>
  <c r="F14" i="8"/>
  <c r="Q14" i="8"/>
  <c r="D15" i="8"/>
  <c r="F15" i="8"/>
  <c r="Q15" i="8"/>
  <c r="D16" i="8"/>
  <c r="F16" i="8"/>
  <c r="G16" i="8"/>
  <c r="H16" i="8"/>
  <c r="I16" i="8"/>
  <c r="J16" i="8"/>
  <c r="K16" i="8"/>
  <c r="L16" i="8"/>
  <c r="Q16" i="8"/>
  <c r="D17" i="8"/>
  <c r="F17" i="8"/>
  <c r="G17" i="8"/>
  <c r="H17" i="8"/>
  <c r="J17" i="8"/>
  <c r="K17" i="8"/>
  <c r="L17" i="8"/>
  <c r="Q17" i="8"/>
  <c r="D18" i="8"/>
  <c r="F18" i="8"/>
  <c r="G18" i="8"/>
  <c r="H18" i="8"/>
  <c r="J18" i="8"/>
  <c r="K18" i="8"/>
  <c r="L18" i="8"/>
  <c r="Q18" i="8"/>
  <c r="D25" i="8"/>
  <c r="F25" i="8"/>
  <c r="N25" i="8"/>
  <c r="Q25" i="8"/>
  <c r="D26" i="8"/>
  <c r="E26" i="8"/>
  <c r="F26" i="8"/>
  <c r="L26" i="8"/>
  <c r="N26" i="8"/>
  <c r="Q26" i="8"/>
  <c r="D27" i="8"/>
  <c r="F27" i="8"/>
  <c r="Q27" i="8"/>
  <c r="D28" i="8"/>
  <c r="F28" i="8"/>
  <c r="G28" i="8"/>
  <c r="H28" i="8"/>
  <c r="I28" i="8"/>
  <c r="J28" i="8"/>
  <c r="L28" i="8"/>
  <c r="N28" i="8"/>
  <c r="Q28" i="8"/>
  <c r="D29" i="8"/>
  <c r="E29" i="8"/>
  <c r="F29" i="8"/>
  <c r="G29" i="8"/>
  <c r="I29" i="8"/>
  <c r="J29" i="8"/>
  <c r="L29" i="8"/>
  <c r="N29" i="8"/>
  <c r="Q29" i="8"/>
  <c r="D30" i="8"/>
  <c r="F30" i="8"/>
  <c r="G30" i="8"/>
  <c r="H30" i="8"/>
  <c r="I30" i="8"/>
  <c r="J30" i="8"/>
  <c r="L30" i="8"/>
  <c r="N30" i="8"/>
  <c r="P30" i="8"/>
  <c r="Q30" i="8"/>
  <c r="D37" i="8"/>
  <c r="E37" i="8"/>
  <c r="Q37" i="8"/>
  <c r="D38" i="8"/>
  <c r="E38" i="8"/>
  <c r="N38" i="8"/>
  <c r="Q38" i="8"/>
  <c r="D39" i="8"/>
  <c r="E39" i="8"/>
  <c r="N39" i="8"/>
  <c r="Q39" i="8"/>
  <c r="D40" i="8"/>
  <c r="J40" i="8"/>
  <c r="Q40" i="8"/>
  <c r="D41" i="8"/>
  <c r="G41" i="8"/>
  <c r="H41" i="8"/>
  <c r="I41" i="8"/>
  <c r="J41" i="8"/>
  <c r="Q41" i="8"/>
  <c r="D42" i="8"/>
  <c r="E42" i="8"/>
  <c r="F42" i="8"/>
  <c r="G42" i="8"/>
  <c r="H42" i="8"/>
  <c r="I42" i="8"/>
  <c r="J42" i="8"/>
  <c r="K42" i="8"/>
  <c r="L42" i="8"/>
  <c r="Q42" i="8"/>
  <c r="D52" i="8"/>
  <c r="F52" i="8"/>
  <c r="P52" i="8"/>
  <c r="Q52" i="8"/>
  <c r="D53" i="8"/>
  <c r="F53" i="8"/>
  <c r="P53" i="8"/>
  <c r="Q53" i="8"/>
  <c r="D54" i="8"/>
  <c r="F54" i="8"/>
  <c r="Q54" i="8"/>
  <c r="D55" i="8"/>
  <c r="F55" i="8"/>
  <c r="J55" i="8"/>
  <c r="Q55" i="8"/>
  <c r="D56" i="8"/>
  <c r="F56" i="8"/>
  <c r="G56" i="8"/>
  <c r="I56" i="8"/>
  <c r="J56" i="8"/>
  <c r="Q56" i="8"/>
  <c r="D57" i="8"/>
  <c r="F57" i="8"/>
  <c r="G57" i="8"/>
  <c r="H57" i="8"/>
  <c r="I57" i="8"/>
  <c r="J57" i="8"/>
  <c r="K57" i="8"/>
  <c r="L57" i="8"/>
  <c r="Q57" i="8"/>
  <c r="D63" i="8"/>
  <c r="F63" i="8"/>
  <c r="G63" i="8"/>
  <c r="H63" i="8"/>
  <c r="I63" i="8"/>
  <c r="J63" i="8"/>
  <c r="K63" i="8"/>
  <c r="L63" i="8"/>
  <c r="N63" i="8"/>
  <c r="Q63" i="8"/>
  <c r="D64" i="8"/>
  <c r="E64" i="8"/>
  <c r="F64" i="8"/>
  <c r="G64" i="8"/>
  <c r="H64" i="8"/>
  <c r="I64" i="8"/>
  <c r="J64" i="8"/>
  <c r="K64" i="8"/>
  <c r="L64" i="8"/>
  <c r="N64" i="8"/>
  <c r="Q64" i="8"/>
  <c r="D65" i="8"/>
  <c r="E65" i="8"/>
  <c r="F65" i="8"/>
  <c r="G65" i="8"/>
  <c r="H65" i="8"/>
  <c r="I65" i="8"/>
  <c r="J65" i="8"/>
  <c r="K65" i="8"/>
  <c r="L65" i="8"/>
  <c r="N65" i="8"/>
  <c r="Q65" i="8"/>
  <c r="D66" i="8"/>
  <c r="F66" i="8"/>
  <c r="G66" i="8"/>
  <c r="H66" i="8"/>
  <c r="I66" i="8"/>
  <c r="K66" i="8"/>
  <c r="L66" i="8"/>
  <c r="Q66" i="8"/>
  <c r="D67" i="8"/>
  <c r="E67" i="8"/>
  <c r="F67" i="8"/>
  <c r="G67" i="8"/>
  <c r="H67" i="8"/>
  <c r="I67" i="8"/>
  <c r="J67" i="8"/>
  <c r="K67" i="8"/>
  <c r="L67" i="8"/>
  <c r="N67" i="8"/>
  <c r="Q67" i="8"/>
  <c r="D68" i="8"/>
  <c r="F68" i="8"/>
  <c r="G68" i="8"/>
  <c r="H68" i="8"/>
  <c r="I68" i="8"/>
  <c r="J68" i="8"/>
  <c r="K68" i="8"/>
  <c r="L68" i="8"/>
  <c r="N68" i="8"/>
  <c r="Q68" i="8"/>
  <c r="L72" i="8"/>
  <c r="D75" i="8"/>
  <c r="F75" i="8"/>
  <c r="G75" i="8"/>
  <c r="H75" i="8"/>
  <c r="I75" i="8"/>
  <c r="L75" i="8"/>
  <c r="Q75" i="8"/>
  <c r="D76" i="8"/>
  <c r="F76" i="8"/>
  <c r="G76" i="8"/>
  <c r="H76" i="8"/>
  <c r="I76" i="8"/>
  <c r="L76" i="8"/>
  <c r="Q76" i="8"/>
  <c r="D77" i="8"/>
  <c r="F77" i="8"/>
  <c r="G77" i="8"/>
  <c r="H77" i="8"/>
  <c r="I77" i="8"/>
  <c r="L77" i="8"/>
  <c r="Q77" i="8"/>
  <c r="D78" i="8"/>
  <c r="F78" i="8"/>
  <c r="G78" i="8"/>
  <c r="H78" i="8"/>
  <c r="I78" i="8"/>
  <c r="J78" i="8"/>
  <c r="L78" i="8"/>
  <c r="N78" i="8"/>
  <c r="P78" i="8"/>
  <c r="Q78" i="8"/>
  <c r="D79" i="8"/>
  <c r="F79" i="8"/>
  <c r="G79" i="8"/>
  <c r="H79" i="8"/>
  <c r="I79" i="8"/>
  <c r="J79" i="8"/>
  <c r="L79" i="8"/>
  <c r="Q79" i="8"/>
  <c r="D80" i="8"/>
  <c r="E80" i="8"/>
  <c r="F80" i="8"/>
  <c r="G80" i="8"/>
  <c r="H80" i="8"/>
  <c r="I80" i="8"/>
  <c r="J80" i="8"/>
  <c r="L80" i="8"/>
  <c r="P80" i="8"/>
  <c r="Q80" i="8"/>
  <c r="G99" i="8"/>
  <c r="H99" i="8"/>
  <c r="I99" i="8"/>
  <c r="J99" i="8"/>
  <c r="E99" i="8" s="1"/>
  <c r="K99" i="8"/>
  <c r="L99" i="8"/>
  <c r="G100" i="8"/>
  <c r="H100" i="8"/>
  <c r="I100" i="8"/>
  <c r="J100" i="8"/>
  <c r="K100" i="8"/>
  <c r="L100" i="8"/>
  <c r="G101" i="8"/>
  <c r="H101" i="8"/>
  <c r="I101" i="8"/>
  <c r="J101" i="8"/>
  <c r="E101" i="8" s="1"/>
  <c r="K101" i="8"/>
  <c r="L101" i="8"/>
  <c r="J102" i="8"/>
  <c r="D102" i="8" s="1"/>
  <c r="G103" i="8"/>
  <c r="G116" i="8" s="1"/>
  <c r="H103" i="8"/>
  <c r="I103" i="8"/>
  <c r="K103" i="8"/>
  <c r="L103" i="8"/>
  <c r="G104" i="8"/>
  <c r="H104" i="8"/>
  <c r="I104" i="8"/>
  <c r="J104" i="8"/>
  <c r="D104" i="8" s="1"/>
  <c r="L104" i="8"/>
  <c r="G105" i="8"/>
  <c r="H105" i="8"/>
  <c r="I105" i="8"/>
  <c r="J105" i="8"/>
  <c r="E105" i="8" s="1"/>
  <c r="K105" i="8"/>
  <c r="F107" i="8"/>
  <c r="D133" i="8"/>
  <c r="E133" i="8"/>
  <c r="R134" i="8"/>
  <c r="E10" i="5"/>
  <c r="E14" i="5" s="1"/>
  <c r="F14" i="5"/>
  <c r="F26" i="5"/>
  <c r="E36" i="5"/>
  <c r="F36" i="5"/>
  <c r="O5" i="4"/>
  <c r="D8" i="4"/>
  <c r="F8" i="4"/>
  <c r="G8" i="4"/>
  <c r="I8" i="4"/>
  <c r="J8" i="4"/>
  <c r="K8" i="4"/>
  <c r="M8" i="4"/>
  <c r="O10" i="4"/>
  <c r="D13" i="4"/>
  <c r="F13" i="4"/>
  <c r="G13" i="4"/>
  <c r="I13" i="4"/>
  <c r="J13" i="4"/>
  <c r="K13" i="4"/>
  <c r="M13" i="4"/>
  <c r="O15" i="4"/>
  <c r="D18" i="4"/>
  <c r="F18" i="4"/>
  <c r="G18" i="4"/>
  <c r="I18" i="4"/>
  <c r="J18" i="4"/>
  <c r="K18" i="4"/>
  <c r="M18" i="4"/>
  <c r="O20" i="4"/>
  <c r="D23" i="4"/>
  <c r="F23" i="4"/>
  <c r="G23" i="4"/>
  <c r="I23" i="4"/>
  <c r="J23" i="4"/>
  <c r="K23" i="4"/>
  <c r="M23" i="4"/>
  <c r="F36" i="6"/>
  <c r="F74" i="6" s="1"/>
  <c r="F39" i="6"/>
  <c r="F41" i="6"/>
  <c r="F43" i="6"/>
  <c r="F45" i="6"/>
  <c r="L47" i="6"/>
  <c r="G48" i="6"/>
  <c r="G51" i="6"/>
  <c r="G53" i="6" s="1"/>
  <c r="F53" i="6"/>
  <c r="F60" i="6"/>
  <c r="G60" i="6"/>
  <c r="F82" i="6"/>
  <c r="F84" i="6" s="1"/>
  <c r="G84" i="6"/>
  <c r="CQ16" i="1"/>
  <c r="D7" i="21"/>
  <c r="C8" i="21"/>
  <c r="C10" i="21"/>
  <c r="C11" i="21"/>
  <c r="C12" i="21"/>
  <c r="G5" i="25"/>
  <c r="D52" i="23"/>
  <c r="E20" i="25"/>
  <c r="J13" i="9"/>
  <c r="L4" i="24"/>
  <c r="G33" i="24"/>
  <c r="R157" i="16"/>
  <c r="R86" i="16"/>
  <c r="R98" i="16" s="1"/>
  <c r="R110" i="16" s="1"/>
  <c r="R122" i="16" s="1"/>
  <c r="R134" i="16" s="1"/>
  <c r="R146" i="16" s="1"/>
  <c r="E18" i="12"/>
  <c r="R110" i="2"/>
  <c r="R122" i="2" s="1"/>
  <c r="R134" i="2" s="1"/>
  <c r="R146" i="2" s="1"/>
  <c r="R157" i="2"/>
  <c r="B19" i="23"/>
  <c r="F17" i="27"/>
  <c r="D50" i="23"/>
  <c r="B21" i="23"/>
  <c r="E22" i="14"/>
  <c r="B20" i="23"/>
  <c r="E10" i="21"/>
  <c r="D10" i="21"/>
  <c r="P39" i="16"/>
  <c r="O38" i="2"/>
  <c r="O38" i="8" s="1"/>
  <c r="O38" i="16"/>
  <c r="I27" i="14" l="1"/>
  <c r="I5" i="27"/>
  <c r="Q142" i="10"/>
  <c r="I24" i="14"/>
  <c r="AV23" i="63"/>
  <c r="P23" i="14"/>
  <c r="O23" i="14"/>
  <c r="I21" i="14"/>
  <c r="E10" i="24"/>
  <c r="N287" i="15"/>
  <c r="B288" i="15" s="1"/>
  <c r="N288" i="15" s="1"/>
  <c r="B289" i="15" s="1"/>
  <c r="N289" i="15" s="1"/>
  <c r="B290" i="15" s="1"/>
  <c r="N290" i="15" s="1"/>
  <c r="B291" i="15" s="1"/>
  <c r="N291" i="15" s="1"/>
  <c r="B292" i="15" s="1"/>
  <c r="N292" i="15" s="1"/>
  <c r="B293" i="15" s="1"/>
  <c r="N293" i="15" s="1"/>
  <c r="B294" i="15" s="1"/>
  <c r="N294" i="15" s="1"/>
  <c r="B295" i="15" s="1"/>
  <c r="N295" i="15" s="1"/>
  <c r="B296" i="15" s="1"/>
  <c r="N296" i="15" s="1"/>
  <c r="B297" i="15" s="1"/>
  <c r="N297" i="15" s="1"/>
  <c r="B298" i="15" s="1"/>
  <c r="N298" i="15" s="1"/>
  <c r="B299" i="15" s="1"/>
  <c r="N299" i="15" s="1"/>
  <c r="B300" i="15" s="1"/>
  <c r="N300" i="15" s="1"/>
  <c r="B301" i="15" s="1"/>
  <c r="N301" i="15" s="1"/>
  <c r="B302" i="15" s="1"/>
  <c r="N302" i="15" s="1"/>
  <c r="B303" i="15" s="1"/>
  <c r="N303" i="15" s="1"/>
  <c r="B304" i="15" s="1"/>
  <c r="N304" i="15" s="1"/>
  <c r="B305" i="15" s="1"/>
  <c r="N305" i="15" s="1"/>
  <c r="B306" i="15" s="1"/>
  <c r="N306" i="15" s="1"/>
  <c r="B307" i="15" s="1"/>
  <c r="N307" i="15" s="1"/>
  <c r="B308" i="15" s="1"/>
  <c r="N308" i="15" s="1"/>
  <c r="B309" i="15" s="1"/>
  <c r="N309" i="15" s="1"/>
  <c r="B310" i="15" s="1"/>
  <c r="N310" i="15" s="1"/>
  <c r="B311" i="15" s="1"/>
  <c r="N311" i="15" s="1"/>
  <c r="B312" i="15" s="1"/>
  <c r="N312" i="15" s="1"/>
  <c r="B313" i="15" s="1"/>
  <c r="N313" i="15" s="1"/>
  <c r="B314" i="15" s="1"/>
  <c r="N314" i="15" s="1"/>
  <c r="B315" i="15" s="1"/>
  <c r="N315" i="15" s="1"/>
  <c r="B316" i="15" s="1"/>
  <c r="N316" i="15" s="1"/>
  <c r="B317" i="15" s="1"/>
  <c r="N317" i="15" s="1"/>
  <c r="B318" i="15" s="1"/>
  <c r="N318" i="15" s="1"/>
  <c r="B319" i="15" s="1"/>
  <c r="N319" i="15" s="1"/>
  <c r="B320" i="15" s="1"/>
  <c r="N320" i="15" s="1"/>
  <c r="B321" i="15" s="1"/>
  <c r="N321" i="15" s="1"/>
  <c r="B322" i="15" s="1"/>
  <c r="N322" i="15" s="1"/>
  <c r="B323" i="15" s="1"/>
  <c r="N323" i="15" s="1"/>
  <c r="B324" i="15" s="1"/>
  <c r="N324" i="15" s="1"/>
  <c r="B325" i="15" s="1"/>
  <c r="N325" i="15" s="1"/>
  <c r="B326" i="15" s="1"/>
  <c r="N326" i="15" s="1"/>
  <c r="B327" i="15" s="1"/>
  <c r="N327" i="15" s="1"/>
  <c r="B328" i="15" s="1"/>
  <c r="M15" i="15"/>
  <c r="B16" i="15" s="1"/>
  <c r="M16" i="15" s="1"/>
  <c r="B17" i="15" s="1"/>
  <c r="M17" i="15" s="1"/>
  <c r="B18" i="15" s="1"/>
  <c r="M18" i="15" s="1"/>
  <c r="B19" i="15" s="1"/>
  <c r="M19" i="15" s="1"/>
  <c r="B20" i="15" s="1"/>
  <c r="M20" i="15" s="1"/>
  <c r="B21" i="15" s="1"/>
  <c r="M21" i="15" s="1"/>
  <c r="B22" i="15" s="1"/>
  <c r="M22" i="15" s="1"/>
  <c r="B23" i="15" s="1"/>
  <c r="M23" i="15" s="1"/>
  <c r="B24" i="15" s="1"/>
  <c r="M24" i="15" s="1"/>
  <c r="B25" i="15" s="1"/>
  <c r="M25" i="15" s="1"/>
  <c r="B26" i="15" s="1"/>
  <c r="M26" i="15" s="1"/>
  <c r="B27" i="15" s="1"/>
  <c r="M27" i="15" s="1"/>
  <c r="B28" i="15" s="1"/>
  <c r="M28" i="15" s="1"/>
  <c r="B29" i="15" s="1"/>
  <c r="M29" i="15" s="1"/>
  <c r="B30" i="15" s="1"/>
  <c r="M30" i="15" s="1"/>
  <c r="B31" i="15" s="1"/>
  <c r="M31" i="15" s="1"/>
  <c r="B32" i="15" s="1"/>
  <c r="M32" i="15" s="1"/>
  <c r="B33" i="15" s="1"/>
  <c r="M33" i="15" s="1"/>
  <c r="B34" i="15" s="1"/>
  <c r="M34" i="15" s="1"/>
  <c r="B35" i="15" s="1"/>
  <c r="M35" i="15" s="1"/>
  <c r="B36" i="15" s="1"/>
  <c r="M36" i="15" s="1"/>
  <c r="B37" i="15" s="1"/>
  <c r="M37" i="15" s="1"/>
  <c r="B38" i="15" s="1"/>
  <c r="M38" i="15" s="1"/>
  <c r="B39" i="15" s="1"/>
  <c r="M39" i="15" s="1"/>
  <c r="B52" i="15" s="1"/>
  <c r="M52" i="15" s="1"/>
  <c r="B53" i="15" s="1"/>
  <c r="M53" i="15" s="1"/>
  <c r="B54" i="15" s="1"/>
  <c r="M54" i="15" s="1"/>
  <c r="B55" i="15" s="1"/>
  <c r="M55" i="15" s="1"/>
  <c r="B56" i="15" s="1"/>
  <c r="M56" i="15" s="1"/>
  <c r="B57" i="15" s="1"/>
  <c r="M57" i="15" s="1"/>
  <c r="B58" i="15" s="1"/>
  <c r="M58" i="15" s="1"/>
  <c r="B59" i="15" s="1"/>
  <c r="M59" i="15" s="1"/>
  <c r="B60" i="15" s="1"/>
  <c r="M60" i="15" s="1"/>
  <c r="B61" i="15" s="1"/>
  <c r="M61" i="15" s="1"/>
  <c r="B62" i="15" s="1"/>
  <c r="M62" i="15" s="1"/>
  <c r="B63" i="15" s="1"/>
  <c r="M63" i="15" s="1"/>
  <c r="B64" i="15" s="1"/>
  <c r="M64" i="15" s="1"/>
  <c r="B65" i="15" s="1"/>
  <c r="M65" i="15" s="1"/>
  <c r="B66" i="15" s="1"/>
  <c r="M66" i="15" s="1"/>
  <c r="B67" i="15" s="1"/>
  <c r="M67" i="15" s="1"/>
  <c r="B68" i="15" s="1"/>
  <c r="M68" i="15" s="1"/>
  <c r="B69" i="15" s="1"/>
  <c r="M69" i="15" s="1"/>
  <c r="B70" i="15" s="1"/>
  <c r="M70" i="15" s="1"/>
  <c r="B71" i="15" s="1"/>
  <c r="M71" i="15" s="1"/>
  <c r="B72" i="15" s="1"/>
  <c r="M72" i="15" s="1"/>
  <c r="B73" i="15" s="1"/>
  <c r="M73" i="15" s="1"/>
  <c r="B74" i="15" s="1"/>
  <c r="M74" i="15" s="1"/>
  <c r="B75" i="15" s="1"/>
  <c r="M75" i="15" s="1"/>
  <c r="B76" i="15" s="1"/>
  <c r="M76" i="15" s="1"/>
  <c r="B77" i="15" s="1"/>
  <c r="M77" i="15" s="1"/>
  <c r="B78" i="15" s="1"/>
  <c r="M78" i="15" s="1"/>
  <c r="B79" i="15" s="1"/>
  <c r="M79" i="15" s="1"/>
  <c r="B80" i="15" s="1"/>
  <c r="M80" i="15" s="1"/>
  <c r="B81" i="15" s="1"/>
  <c r="M81" i="15" s="1"/>
  <c r="B82" i="15" s="1"/>
  <c r="M82" i="15" s="1"/>
  <c r="D84" i="15"/>
  <c r="Q44" i="10"/>
  <c r="D33" i="24"/>
  <c r="Q70" i="10"/>
  <c r="I3" i="27"/>
  <c r="I14" i="27"/>
  <c r="J149" i="16"/>
  <c r="Q20" i="10"/>
  <c r="G4" i="25"/>
  <c r="C16" i="14"/>
  <c r="Q22" i="14"/>
  <c r="M22" i="14"/>
  <c r="C17" i="27"/>
  <c r="F180" i="2"/>
  <c r="J41" i="15"/>
  <c r="J43" i="15" s="1"/>
  <c r="G275" i="15"/>
  <c r="K275" i="15"/>
  <c r="D275" i="15"/>
  <c r="L229" i="15"/>
  <c r="F229" i="15"/>
  <c r="G182" i="15"/>
  <c r="E182" i="15"/>
  <c r="E84" i="15"/>
  <c r="L5" i="26"/>
  <c r="I10" i="27"/>
  <c r="H10" i="24"/>
  <c r="H33" i="24" s="1"/>
  <c r="Q32" i="10"/>
  <c r="G8" i="25"/>
  <c r="Q94" i="10"/>
  <c r="I4" i="27"/>
  <c r="L182" i="15"/>
  <c r="D17" i="27"/>
  <c r="L136" i="15"/>
  <c r="K158" i="10"/>
  <c r="G17" i="27"/>
  <c r="E187" i="2"/>
  <c r="E204" i="2" s="1"/>
  <c r="Q82" i="10"/>
  <c r="D164" i="2"/>
  <c r="G16" i="14"/>
  <c r="AD127" i="1"/>
  <c r="AE127" i="1" s="1"/>
  <c r="AD129" i="1"/>
  <c r="J65" i="10" s="1"/>
  <c r="AD132" i="1"/>
  <c r="R68" i="16" s="1"/>
  <c r="AD191" i="1"/>
  <c r="AE191" i="1" s="1"/>
  <c r="AD131" i="1"/>
  <c r="AE131" i="1" s="1"/>
  <c r="AG131" i="1" s="1"/>
  <c r="AD130" i="1"/>
  <c r="AD189" i="1"/>
  <c r="AE189" i="1" s="1"/>
  <c r="AD128" i="1"/>
  <c r="P133" i="1"/>
  <c r="D134" i="1" s="1"/>
  <c r="D142" i="1" s="1"/>
  <c r="Q130" i="10"/>
  <c r="Q154" i="10"/>
  <c r="I26" i="14"/>
  <c r="I23" i="14"/>
  <c r="V36" i="16"/>
  <c r="C51" i="16"/>
  <c r="S157" i="2"/>
  <c r="S98" i="2"/>
  <c r="S110" i="2" s="1"/>
  <c r="S122" i="2" s="1"/>
  <c r="S134" i="2" s="1"/>
  <c r="S146" i="2" s="1"/>
  <c r="J86" i="10"/>
  <c r="J98" i="10" s="1"/>
  <c r="J110" i="10" s="1"/>
  <c r="J122" i="10" s="1"/>
  <c r="J134" i="10" s="1"/>
  <c r="J146" i="10" s="1"/>
  <c r="J158" i="10"/>
  <c r="G229" i="15"/>
  <c r="V24" i="16"/>
  <c r="G328" i="15"/>
  <c r="K328" i="15"/>
  <c r="D182" i="15"/>
  <c r="L33" i="11"/>
  <c r="E41" i="18"/>
  <c r="B42" i="19"/>
  <c r="J15" i="29"/>
  <c r="J62" i="29" s="1"/>
  <c r="M20" i="24"/>
  <c r="K33" i="24"/>
  <c r="G14" i="25"/>
  <c r="H19" i="25" s="1"/>
  <c r="B38" i="23"/>
  <c r="G20" i="12"/>
  <c r="I81" i="8"/>
  <c r="D90" i="8"/>
  <c r="D69" i="8"/>
  <c r="D43" i="8"/>
  <c r="D92" i="8"/>
  <c r="D89" i="8"/>
  <c r="F192" i="2"/>
  <c r="E229" i="15"/>
  <c r="D41" i="15"/>
  <c r="D43" i="15" s="1"/>
  <c r="I6" i="27"/>
  <c r="I13" i="27"/>
  <c r="D194" i="2"/>
  <c r="E174" i="2" s="1"/>
  <c r="H182" i="2" s="1"/>
  <c r="H186" i="2" s="1"/>
  <c r="O23" i="4"/>
  <c r="O18" i="4"/>
  <c r="O8" i="4"/>
  <c r="D136" i="15"/>
  <c r="L31" i="11"/>
  <c r="I34" i="11"/>
  <c r="J33" i="24"/>
  <c r="I9" i="27"/>
  <c r="I15" i="27"/>
  <c r="C17" i="21"/>
  <c r="H69" i="8"/>
  <c r="D58" i="8"/>
  <c r="D12" i="21"/>
  <c r="N46" i="3"/>
  <c r="E11" i="21"/>
  <c r="B26" i="23"/>
  <c r="G75" i="6"/>
  <c r="G76" i="6" s="1"/>
  <c r="F76" i="6"/>
  <c r="D81" i="8"/>
  <c r="E13" i="21"/>
  <c r="L35" i="3"/>
  <c r="L37" i="3" s="1"/>
  <c r="L69" i="8"/>
  <c r="K69" i="8"/>
  <c r="G69" i="8"/>
  <c r="F92" i="8"/>
  <c r="L92" i="8"/>
  <c r="L81" i="8"/>
  <c r="F81" i="8"/>
  <c r="D88" i="8"/>
  <c r="D87" i="8"/>
  <c r="J91" i="8"/>
  <c r="D91" i="8"/>
  <c r="G17" i="11"/>
  <c r="B39" i="23"/>
  <c r="J101" i="16"/>
  <c r="J91" i="16"/>
  <c r="M91" i="16" s="1"/>
  <c r="T91" i="16" s="1"/>
  <c r="E9" i="21"/>
  <c r="V151" i="16"/>
  <c r="O178" i="16"/>
  <c r="I178" i="16"/>
  <c r="L71" i="16" s="1"/>
  <c r="D105" i="8"/>
  <c r="J90" i="2"/>
  <c r="M90" i="2" s="1"/>
  <c r="D148" i="10" s="1"/>
  <c r="D153" i="10" s="1"/>
  <c r="J137" i="16"/>
  <c r="V152" i="16"/>
  <c r="V65" i="16"/>
  <c r="C21" i="12"/>
  <c r="J99" i="2"/>
  <c r="J105" i="2" s="1"/>
  <c r="E470" i="12" s="1"/>
  <c r="J100" i="2"/>
  <c r="C468" i="12" s="1"/>
  <c r="O58" i="10"/>
  <c r="D17" i="21"/>
  <c r="F7" i="6"/>
  <c r="C23" i="12"/>
  <c r="J77" i="2"/>
  <c r="J77" i="8" s="1"/>
  <c r="M139" i="16"/>
  <c r="T139" i="16" s="1"/>
  <c r="O19" i="10"/>
  <c r="E104" i="8"/>
  <c r="L178" i="16"/>
  <c r="C9" i="21"/>
  <c r="J92" i="2"/>
  <c r="M92" i="2" s="1"/>
  <c r="T92" i="2" s="1"/>
  <c r="M64" i="2"/>
  <c r="J111" i="2"/>
  <c r="M111" i="2" s="1"/>
  <c r="M117" i="2" s="1"/>
  <c r="J111" i="16"/>
  <c r="J117" i="16" s="1"/>
  <c r="J118" i="16" s="1"/>
  <c r="L120" i="16" s="1"/>
  <c r="Q43" i="8"/>
  <c r="T43" i="8" s="1"/>
  <c r="J115" i="2"/>
  <c r="M115" i="2" s="1"/>
  <c r="T115" i="2" s="1"/>
  <c r="J116" i="16"/>
  <c r="M116" i="16" s="1"/>
  <c r="T116" i="16" s="1"/>
  <c r="E211" i="12"/>
  <c r="F6" i="6"/>
  <c r="H178" i="2"/>
  <c r="M80" i="16"/>
  <c r="N80" i="16" s="1"/>
  <c r="R80" i="16" s="1"/>
  <c r="D15" i="21"/>
  <c r="C19" i="10"/>
  <c r="J27" i="2"/>
  <c r="C156" i="12" s="1"/>
  <c r="E157" i="12" s="1"/>
  <c r="C29" i="8"/>
  <c r="J99" i="16"/>
  <c r="J105" i="16" s="1"/>
  <c r="J106" i="16" s="1"/>
  <c r="L108" i="16" s="1"/>
  <c r="F35" i="6"/>
  <c r="F48" i="6" s="1"/>
  <c r="J103" i="16"/>
  <c r="M103" i="16" s="1"/>
  <c r="T103" i="16" s="1"/>
  <c r="L178" i="2"/>
  <c r="J102" i="16"/>
  <c r="M102" i="16" s="1"/>
  <c r="T102" i="16" s="1"/>
  <c r="J102" i="2"/>
  <c r="M102" i="2" s="1"/>
  <c r="T102" i="2" s="1"/>
  <c r="J76" i="2"/>
  <c r="J76" i="8" s="1"/>
  <c r="V67" i="16"/>
  <c r="V28" i="2"/>
  <c r="C19" i="2"/>
  <c r="E30" i="10"/>
  <c r="L30" i="10" s="1"/>
  <c r="N30" i="10" s="1"/>
  <c r="P30" i="10" s="1"/>
  <c r="J104" i="2"/>
  <c r="M104" i="2" s="1"/>
  <c r="T104" i="2" s="1"/>
  <c r="M127" i="16"/>
  <c r="R127" i="16" s="1"/>
  <c r="C29" i="12"/>
  <c r="J103" i="2"/>
  <c r="M103" i="2" s="1"/>
  <c r="T103" i="2" s="1"/>
  <c r="J26" i="2"/>
  <c r="J26" i="8" s="1"/>
  <c r="J101" i="2"/>
  <c r="C469" i="12" s="1"/>
  <c r="P33" i="9"/>
  <c r="T33" i="9" s="1"/>
  <c r="J75" i="2"/>
  <c r="J75" i="8" s="1"/>
  <c r="J81" i="8" s="1"/>
  <c r="M83" i="8" s="1"/>
  <c r="J25" i="2"/>
  <c r="J31" i="2" s="1"/>
  <c r="J32" i="2" s="1"/>
  <c r="J104" i="16"/>
  <c r="M104" i="16" s="1"/>
  <c r="T104" i="16" s="1"/>
  <c r="J124" i="16"/>
  <c r="J123" i="16"/>
  <c r="J129" i="16" s="1"/>
  <c r="J130" i="16" s="1"/>
  <c r="C13" i="8"/>
  <c r="C31" i="10"/>
  <c r="F37" i="10"/>
  <c r="K37" i="10" s="1"/>
  <c r="J114" i="2"/>
  <c r="M114" i="2" s="1"/>
  <c r="T114" i="2" s="1"/>
  <c r="V64" i="2"/>
  <c r="C26" i="12"/>
  <c r="J25" i="16"/>
  <c r="J31" i="16" s="1"/>
  <c r="J32" i="16" s="1"/>
  <c r="J116" i="2"/>
  <c r="M116" i="2" s="1"/>
  <c r="T116" i="2" s="1"/>
  <c r="J113" i="2"/>
  <c r="C511" i="12" s="1"/>
  <c r="N178" i="2"/>
  <c r="J115" i="16"/>
  <c r="D101" i="8"/>
  <c r="Q69" i="8"/>
  <c r="T69" i="8" s="1"/>
  <c r="Q92" i="8"/>
  <c r="C105" i="2"/>
  <c r="C153" i="10"/>
  <c r="C141" i="10"/>
  <c r="C163" i="10"/>
  <c r="N140" i="15"/>
  <c r="B141" i="15" s="1"/>
  <c r="N141" i="15" s="1"/>
  <c r="B142" i="15" s="1"/>
  <c r="N142" i="15" s="1"/>
  <c r="B143" i="15" s="1"/>
  <c r="N143" i="15" s="1"/>
  <c r="B144" i="15" s="1"/>
  <c r="N144" i="15" s="1"/>
  <c r="B145" i="15" s="1"/>
  <c r="N145" i="15" s="1"/>
  <c r="B146" i="15" s="1"/>
  <c r="N146" i="15" s="1"/>
  <c r="B147" i="15" s="1"/>
  <c r="N147" i="15" s="1"/>
  <c r="B148" i="15" s="1"/>
  <c r="N148" i="15" s="1"/>
  <c r="B149" i="15" s="1"/>
  <c r="N149" i="15" s="1"/>
  <c r="B150" i="15" s="1"/>
  <c r="N150" i="15" s="1"/>
  <c r="B151" i="15" s="1"/>
  <c r="N151" i="15" s="1"/>
  <c r="B152" i="15" s="1"/>
  <c r="N152" i="15" s="1"/>
  <c r="B153" i="15" s="1"/>
  <c r="N153" i="15" s="1"/>
  <c r="B154" i="15" s="1"/>
  <c r="N154" i="15" s="1"/>
  <c r="B155" i="15" s="1"/>
  <c r="N155" i="15" s="1"/>
  <c r="B156" i="15" s="1"/>
  <c r="N156" i="15" s="1"/>
  <c r="B157" i="15" s="1"/>
  <c r="N157" i="15" s="1"/>
  <c r="B158" i="15" s="1"/>
  <c r="N158" i="15" s="1"/>
  <c r="B159" i="15" s="1"/>
  <c r="N159" i="15" s="1"/>
  <c r="B160" i="15" s="1"/>
  <c r="N160" i="15" s="1"/>
  <c r="B161" i="15" s="1"/>
  <c r="N161" i="15" s="1"/>
  <c r="B162" i="15" s="1"/>
  <c r="N162" i="15" s="1"/>
  <c r="B163" i="15" s="1"/>
  <c r="N163" i="15" s="1"/>
  <c r="B164" i="15" s="1"/>
  <c r="N164" i="15" s="1"/>
  <c r="B165" i="15" s="1"/>
  <c r="N165" i="15" s="1"/>
  <c r="B166" i="15" s="1"/>
  <c r="N166" i="15" s="1"/>
  <c r="B167" i="15" s="1"/>
  <c r="N167" i="15" s="1"/>
  <c r="B168" i="15" s="1"/>
  <c r="N168" i="15" s="1"/>
  <c r="B169" i="15" s="1"/>
  <c r="N169" i="15" s="1"/>
  <c r="B170" i="15" s="1"/>
  <c r="N170" i="15" s="1"/>
  <c r="B171" i="15" s="1"/>
  <c r="N171" i="15" s="1"/>
  <c r="B172" i="15" s="1"/>
  <c r="N172" i="15" s="1"/>
  <c r="B173" i="15" s="1"/>
  <c r="N173" i="15" s="1"/>
  <c r="B174" i="15" s="1"/>
  <c r="N174" i="15" s="1"/>
  <c r="B175" i="15" s="1"/>
  <c r="N175" i="15" s="1"/>
  <c r="B176" i="15" s="1"/>
  <c r="N176" i="15" s="1"/>
  <c r="B177" i="15" s="1"/>
  <c r="N177" i="15" s="1"/>
  <c r="B178" i="15" s="1"/>
  <c r="N178" i="15" s="1"/>
  <c r="B179" i="15" s="1"/>
  <c r="N179" i="15" s="1"/>
  <c r="B180" i="15" s="1"/>
  <c r="N180" i="15" s="1"/>
  <c r="B181" i="15" s="1"/>
  <c r="N181" i="15" s="1"/>
  <c r="O184" i="15" s="1"/>
  <c r="J113" i="16"/>
  <c r="E102" i="8"/>
  <c r="E13" i="10"/>
  <c r="M114" i="16"/>
  <c r="T114" i="16" s="1"/>
  <c r="C58" i="10"/>
  <c r="J112" i="16"/>
  <c r="C43" i="10"/>
  <c r="C30" i="12"/>
  <c r="J126" i="2"/>
  <c r="M126" i="2" s="1"/>
  <c r="R126" i="2" s="1"/>
  <c r="J112" i="2"/>
  <c r="M64" i="8"/>
  <c r="R64" i="8" s="1"/>
  <c r="E103" i="10"/>
  <c r="L103" i="10" s="1"/>
  <c r="N103" i="10" s="1"/>
  <c r="P103" i="10" s="1"/>
  <c r="O159" i="10"/>
  <c r="O165" i="10" s="1"/>
  <c r="O43" i="10"/>
  <c r="E28" i="10"/>
  <c r="L28" i="10" s="1"/>
  <c r="N28" i="10" s="1"/>
  <c r="P28" i="10" s="1"/>
  <c r="C117" i="16"/>
  <c r="V117" i="16" s="1"/>
  <c r="C93" i="16"/>
  <c r="V93" i="16" s="1"/>
  <c r="B8" i="21"/>
  <c r="F8" i="21" s="1"/>
  <c r="C42" i="23"/>
  <c r="J87" i="16"/>
  <c r="M87" i="16" s="1"/>
  <c r="T87" i="16" s="1"/>
  <c r="T93" i="16" s="1"/>
  <c r="C43" i="16"/>
  <c r="V43" i="16" s="1"/>
  <c r="C160" i="2"/>
  <c r="G178" i="16"/>
  <c r="F178" i="2"/>
  <c r="U178" i="2"/>
  <c r="J75" i="16"/>
  <c r="J81" i="16" s="1"/>
  <c r="J82" i="16" s="1"/>
  <c r="L84" i="16" s="1"/>
  <c r="E22" i="5"/>
  <c r="Q31" i="8"/>
  <c r="T31" i="8" s="1"/>
  <c r="V93" i="2"/>
  <c r="Q118" i="10"/>
  <c r="C161" i="10"/>
  <c r="O160" i="10"/>
  <c r="O81" i="10"/>
  <c r="J91" i="2"/>
  <c r="M91" i="2" s="1"/>
  <c r="T91" i="2" s="1"/>
  <c r="L25" i="2"/>
  <c r="L31" i="2" s="1"/>
  <c r="C163" i="2"/>
  <c r="V29" i="2"/>
  <c r="C93" i="10"/>
  <c r="C67" i="8"/>
  <c r="M67" i="8" s="1"/>
  <c r="M151" i="2"/>
  <c r="T151" i="2" s="1"/>
  <c r="C39" i="9"/>
  <c r="P178" i="16"/>
  <c r="C65" i="8"/>
  <c r="M65" i="8" s="1"/>
  <c r="R65" i="8" s="1"/>
  <c r="C30" i="8"/>
  <c r="R30" i="8" s="1"/>
  <c r="M42" i="16"/>
  <c r="N42" i="16" s="1"/>
  <c r="J76" i="16"/>
  <c r="J125" i="2"/>
  <c r="C613" i="12" s="1"/>
  <c r="E614" i="12" s="1"/>
  <c r="J128" i="16"/>
  <c r="M128" i="16" s="1"/>
  <c r="R128" i="16" s="1"/>
  <c r="L25" i="16"/>
  <c r="L31" i="16" s="1"/>
  <c r="L107" i="8"/>
  <c r="K107" i="8"/>
  <c r="N187" i="15"/>
  <c r="J88" i="16"/>
  <c r="M88" i="16" s="1"/>
  <c r="T88" i="16" s="1"/>
  <c r="C24" i="12"/>
  <c r="U174" i="16"/>
  <c r="J174" i="16" s="1"/>
  <c r="J87" i="2"/>
  <c r="J93" i="2" s="1"/>
  <c r="J94" i="2" s="1"/>
  <c r="L96" i="2" s="1"/>
  <c r="C129" i="2"/>
  <c r="V129" i="2" s="1"/>
  <c r="V64" i="16"/>
  <c r="J27" i="16"/>
  <c r="M65" i="2"/>
  <c r="D99" i="8"/>
  <c r="G178" i="2"/>
  <c r="M29" i="2"/>
  <c r="T29" i="2" s="1"/>
  <c r="O162" i="10"/>
  <c r="M29" i="16"/>
  <c r="T29" i="16" s="1"/>
  <c r="J20" i="11"/>
  <c r="C6" i="21"/>
  <c r="K25" i="8"/>
  <c r="K31" i="8" s="1"/>
  <c r="F19" i="2"/>
  <c r="F20" i="2" s="1"/>
  <c r="E81" i="2"/>
  <c r="G31" i="2"/>
  <c r="K75" i="8"/>
  <c r="K81" i="8" s="1"/>
  <c r="G14" i="11"/>
  <c r="L14" i="11" s="1"/>
  <c r="N14" i="11" s="1"/>
  <c r="C157" i="2"/>
  <c r="C122" i="2"/>
  <c r="C134" i="2" s="1"/>
  <c r="C146" i="2" s="1"/>
  <c r="M98" i="10"/>
  <c r="M110" i="10" s="1"/>
  <c r="M122" i="10" s="1"/>
  <c r="M134" i="10" s="1"/>
  <c r="M146" i="10" s="1"/>
  <c r="M158" i="10"/>
  <c r="E128" i="10"/>
  <c r="L128" i="10" s="1"/>
  <c r="N128" i="10" s="1"/>
  <c r="P128" i="10" s="1"/>
  <c r="C164" i="10"/>
  <c r="C105" i="10"/>
  <c r="C20" i="25"/>
  <c r="G20" i="25" s="1"/>
  <c r="G7" i="25"/>
  <c r="E17" i="27"/>
  <c r="F19" i="27" s="1"/>
  <c r="I2" i="27"/>
  <c r="G87" i="6"/>
  <c r="G88" i="6" s="1"/>
  <c r="F88" i="6"/>
  <c r="S98" i="16"/>
  <c r="S110" i="16" s="1"/>
  <c r="S122" i="16" s="1"/>
  <c r="S134" i="16" s="1"/>
  <c r="S146" i="16" s="1"/>
  <c r="S157" i="16"/>
  <c r="C19" i="16"/>
  <c r="V19" i="16" s="1"/>
  <c r="O93" i="10"/>
  <c r="D31" i="8"/>
  <c r="N182" i="2"/>
  <c r="N185" i="2" s="1"/>
  <c r="L182" i="2"/>
  <c r="E75" i="10"/>
  <c r="F75" i="10" s="1"/>
  <c r="F81" i="10" s="1"/>
  <c r="C81" i="10"/>
  <c r="E65" i="10"/>
  <c r="C69" i="10"/>
  <c r="N98" i="10"/>
  <c r="N110" i="10" s="1"/>
  <c r="N122" i="10" s="1"/>
  <c r="N134" i="10" s="1"/>
  <c r="N146" i="10" s="1"/>
  <c r="N158" i="10"/>
  <c r="O164" i="10"/>
  <c r="D229" i="15"/>
  <c r="O163" i="10"/>
  <c r="C33" i="24"/>
  <c r="H81" i="8"/>
  <c r="Q88" i="8"/>
  <c r="Q81" i="8"/>
  <c r="T81" i="8" s="1"/>
  <c r="G81" i="8"/>
  <c r="Q58" i="8"/>
  <c r="T58" i="8" s="1"/>
  <c r="H92" i="8"/>
  <c r="J92" i="8"/>
  <c r="Q19" i="8"/>
  <c r="Q20" i="8" s="1"/>
  <c r="Q87" i="8"/>
  <c r="G5" i="6"/>
  <c r="G10" i="6" s="1"/>
  <c r="C141" i="2"/>
  <c r="V141" i="2" s="1"/>
  <c r="V105" i="2"/>
  <c r="C93" i="2"/>
  <c r="M80" i="8"/>
  <c r="V81" i="2"/>
  <c r="C75" i="8"/>
  <c r="C81" i="8" s="1"/>
  <c r="M75" i="2"/>
  <c r="L41" i="16"/>
  <c r="H178" i="16"/>
  <c r="M178" i="16"/>
  <c r="V101" i="16"/>
  <c r="C160" i="16"/>
  <c r="C105" i="16"/>
  <c r="V105" i="16" s="1"/>
  <c r="J15" i="9"/>
  <c r="J20" i="9" s="1"/>
  <c r="G20" i="9"/>
  <c r="L27" i="11"/>
  <c r="B34" i="11"/>
  <c r="B35" i="11" s="1"/>
  <c r="E20" i="11"/>
  <c r="O13" i="4"/>
  <c r="F69" i="8"/>
  <c r="O178" i="2"/>
  <c r="C28" i="12" s="1"/>
  <c r="J92" i="16"/>
  <c r="M92" i="16" s="1"/>
  <c r="T92" i="16" s="1"/>
  <c r="V152" i="2"/>
  <c r="M152" i="2"/>
  <c r="T152" i="2" s="1"/>
  <c r="C117" i="10"/>
  <c r="E496" i="12"/>
  <c r="Q106" i="10"/>
  <c r="O69" i="10"/>
  <c r="K182" i="15"/>
  <c r="E136" i="15"/>
  <c r="J136" i="15"/>
  <c r="K136" i="15"/>
  <c r="J84" i="15"/>
  <c r="E41" i="15"/>
  <c r="M13" i="29"/>
  <c r="M30" i="24"/>
  <c r="E33" i="24"/>
  <c r="H17" i="27"/>
  <c r="K17" i="29"/>
  <c r="K66" i="29" s="1"/>
  <c r="K60" i="29"/>
  <c r="K64" i="29" s="1"/>
  <c r="M88" i="2"/>
  <c r="T88" i="2" s="1"/>
  <c r="W88" i="2" s="1"/>
  <c r="D204" i="2"/>
  <c r="G91" i="8"/>
  <c r="G92" i="8"/>
  <c r="I91" i="8"/>
  <c r="F328" i="15"/>
  <c r="F275" i="15"/>
  <c r="K229" i="15"/>
  <c r="G16" i="11"/>
  <c r="L16" i="11" s="1"/>
  <c r="N16" i="11" s="1"/>
  <c r="I69" i="8"/>
  <c r="L29" i="11"/>
  <c r="R29" i="11" s="1"/>
  <c r="T29" i="11" s="1"/>
  <c r="V29" i="11" s="1"/>
  <c r="K34" i="11"/>
  <c r="J13" i="29"/>
  <c r="I33" i="24"/>
  <c r="F58" i="8"/>
  <c r="F31" i="8"/>
  <c r="D19" i="8"/>
  <c r="V58" i="2"/>
  <c r="M26" i="2"/>
  <c r="T26" i="2" s="1"/>
  <c r="G26" i="8"/>
  <c r="F19" i="8"/>
  <c r="Q59" i="10"/>
  <c r="E287" i="12"/>
  <c r="L275" i="15"/>
  <c r="K20" i="11"/>
  <c r="F191" i="2"/>
  <c r="V43" i="2"/>
  <c r="M26" i="16"/>
  <c r="T26" i="16" s="1"/>
  <c r="M94" i="15"/>
  <c r="B95" i="15" s="1"/>
  <c r="M95" i="15" s="1"/>
  <c r="B96" i="15" s="1"/>
  <c r="M96" i="15" s="1"/>
  <c r="B97" i="15" s="1"/>
  <c r="M97" i="15" s="1"/>
  <c r="B98" i="15" s="1"/>
  <c r="M98" i="15" s="1"/>
  <c r="B99" i="15" s="1"/>
  <c r="M99" i="15" s="1"/>
  <c r="B100" i="15" s="1"/>
  <c r="M100" i="15" s="1"/>
  <c r="B101" i="15" s="1"/>
  <c r="M101" i="15" s="1"/>
  <c r="B102" i="15" s="1"/>
  <c r="M102" i="15" s="1"/>
  <c r="B103" i="15" s="1"/>
  <c r="M103" i="15" s="1"/>
  <c r="B104" i="15" s="1"/>
  <c r="M104" i="15" s="1"/>
  <c r="B105" i="15" s="1"/>
  <c r="M105" i="15" s="1"/>
  <c r="B106" i="15" s="1"/>
  <c r="M106" i="15" s="1"/>
  <c r="B107" i="15" s="1"/>
  <c r="M107" i="15" s="1"/>
  <c r="B108" i="15" s="1"/>
  <c r="M108" i="15" s="1"/>
  <c r="B109" i="15" s="1"/>
  <c r="M109" i="15" s="1"/>
  <c r="B110" i="15" s="1"/>
  <c r="M110" i="15" s="1"/>
  <c r="B111" i="15" s="1"/>
  <c r="M111" i="15" s="1"/>
  <c r="B112" i="15" s="1"/>
  <c r="M112" i="15" s="1"/>
  <c r="B113" i="15" s="1"/>
  <c r="M113" i="15" s="1"/>
  <c r="B114" i="15" s="1"/>
  <c r="M114" i="15" s="1"/>
  <c r="B115" i="15" s="1"/>
  <c r="M115" i="15" s="1"/>
  <c r="B116" i="15" s="1"/>
  <c r="M116" i="15" s="1"/>
  <c r="B117" i="15" s="1"/>
  <c r="M117" i="15" s="1"/>
  <c r="B118" i="15" s="1"/>
  <c r="M118" i="15" s="1"/>
  <c r="B119" i="15" s="1"/>
  <c r="M119" i="15" s="1"/>
  <c r="B120" i="15" s="1"/>
  <c r="M120" i="15" s="1"/>
  <c r="B121" i="15" s="1"/>
  <c r="M121" i="15" s="1"/>
  <c r="B122" i="15" s="1"/>
  <c r="M122" i="15" s="1"/>
  <c r="B123" i="15" s="1"/>
  <c r="M123" i="15" s="1"/>
  <c r="B124" i="15" s="1"/>
  <c r="M124" i="15" s="1"/>
  <c r="B125" i="15" s="1"/>
  <c r="M125" i="15" s="1"/>
  <c r="B126" i="15" s="1"/>
  <c r="M126" i="15" s="1"/>
  <c r="B127" i="15" s="1"/>
  <c r="M127" i="15" s="1"/>
  <c r="B128" i="15" s="1"/>
  <c r="M128" i="15" s="1"/>
  <c r="B129" i="15" s="1"/>
  <c r="M129" i="15" s="1"/>
  <c r="B130" i="15" s="1"/>
  <c r="M130" i="15" s="1"/>
  <c r="B131" i="15" s="1"/>
  <c r="M131" i="15" s="1"/>
  <c r="B132" i="15" s="1"/>
  <c r="M132" i="15" s="1"/>
  <c r="B133" i="15" s="1"/>
  <c r="M133" i="15" s="1"/>
  <c r="B134" i="15" s="1"/>
  <c r="M134" i="15" s="1"/>
  <c r="B135" i="15" s="1"/>
  <c r="M135" i="15" s="1"/>
  <c r="B136" i="15" s="1"/>
  <c r="L28" i="11"/>
  <c r="H37" i="20"/>
  <c r="G13" i="29"/>
  <c r="L13" i="29"/>
  <c r="C69" i="2"/>
  <c r="G14" i="29"/>
  <c r="G61" i="29" s="1"/>
  <c r="D9" i="21"/>
  <c r="F24" i="20"/>
  <c r="F31" i="20" s="1"/>
  <c r="H31" i="20" s="1"/>
  <c r="H31" i="2"/>
  <c r="M80" i="2"/>
  <c r="N80" i="2" s="1"/>
  <c r="I162" i="16"/>
  <c r="B37" i="23"/>
  <c r="E457" i="12"/>
  <c r="E497" i="12" s="1"/>
  <c r="F11" i="20"/>
  <c r="F18" i="20" s="1"/>
  <c r="D6" i="21"/>
  <c r="E81" i="8"/>
  <c r="E31" i="2"/>
  <c r="L151" i="10"/>
  <c r="N151" i="10" s="1"/>
  <c r="P151" i="10" s="1"/>
  <c r="E12" i="21"/>
  <c r="E25" i="10"/>
  <c r="E31" i="10" s="1"/>
  <c r="P153" i="2"/>
  <c r="O153" i="2"/>
  <c r="P25" i="8"/>
  <c r="P31" i="8" s="1"/>
  <c r="M30" i="2"/>
  <c r="T30" i="2" s="1"/>
  <c r="L140" i="10"/>
  <c r="N140" i="10" s="1"/>
  <c r="P140" i="10" s="1"/>
  <c r="L139" i="10"/>
  <c r="N139" i="10" s="1"/>
  <c r="P139" i="10" s="1"/>
  <c r="L114" i="10"/>
  <c r="N114" i="10" s="1"/>
  <c r="P114" i="10" s="1"/>
  <c r="L29" i="10"/>
  <c r="N29" i="10" s="1"/>
  <c r="P29" i="10" s="1"/>
  <c r="S153" i="2"/>
  <c r="L138" i="10"/>
  <c r="N138" i="10" s="1"/>
  <c r="P138" i="10" s="1"/>
  <c r="M75" i="16"/>
  <c r="N75" i="16" s="1"/>
  <c r="E76" i="16" s="1"/>
  <c r="M76" i="16" s="1"/>
  <c r="K163" i="2"/>
  <c r="L148" i="10"/>
  <c r="N148" i="10" s="1"/>
  <c r="P148" i="10" s="1"/>
  <c r="L26" i="10"/>
  <c r="N26" i="10" s="1"/>
  <c r="P26" i="10" s="1"/>
  <c r="G478" i="12"/>
  <c r="G489" i="12"/>
  <c r="L112" i="10"/>
  <c r="N112" i="10" s="1"/>
  <c r="P112" i="10" s="1"/>
  <c r="K92" i="8"/>
  <c r="L102" i="10"/>
  <c r="N102" i="10" s="1"/>
  <c r="P102" i="10" s="1"/>
  <c r="D164" i="16"/>
  <c r="I13" i="8"/>
  <c r="G105" i="10"/>
  <c r="I14" i="2"/>
  <c r="L124" i="10"/>
  <c r="N124" i="10" s="1"/>
  <c r="P124" i="10" s="1"/>
  <c r="P153" i="16"/>
  <c r="L152" i="10"/>
  <c r="N152" i="10" s="1"/>
  <c r="P152" i="10" s="1"/>
  <c r="L147" i="10"/>
  <c r="L150" i="10"/>
  <c r="N150" i="10" s="1"/>
  <c r="P150" i="10" s="1"/>
  <c r="T152" i="16"/>
  <c r="T28" i="16"/>
  <c r="L123" i="10"/>
  <c r="L129" i="10" s="1"/>
  <c r="L91" i="10"/>
  <c r="N91" i="10" s="1"/>
  <c r="L88" i="10"/>
  <c r="N88" i="10" s="1"/>
  <c r="L104" i="10"/>
  <c r="N104" i="10" s="1"/>
  <c r="P104" i="10" s="1"/>
  <c r="B6" i="21"/>
  <c r="I162" i="2"/>
  <c r="I18" i="2"/>
  <c r="M165" i="10"/>
  <c r="J153" i="10"/>
  <c r="L135" i="10"/>
  <c r="S153" i="16"/>
  <c r="O153" i="16"/>
  <c r="I15" i="16"/>
  <c r="I19" i="16" s="1"/>
  <c r="I20" i="16" s="1"/>
  <c r="K163" i="16"/>
  <c r="O25" i="8"/>
  <c r="O31" i="8" s="1"/>
  <c r="O31" i="2"/>
  <c r="L136" i="10"/>
  <c r="N136" i="10" s="1"/>
  <c r="P136" i="10" s="1"/>
  <c r="L87" i="10"/>
  <c r="R153" i="2"/>
  <c r="H29" i="8"/>
  <c r="T28" i="2"/>
  <c r="I25" i="8"/>
  <c r="I31" i="8" s="1"/>
  <c r="I31" i="2"/>
  <c r="L115" i="10"/>
  <c r="N115" i="10" s="1"/>
  <c r="P115" i="10" s="1"/>
  <c r="L90" i="10"/>
  <c r="N90" i="10" s="1"/>
  <c r="R153" i="16"/>
  <c r="L92" i="10"/>
  <c r="N92" i="10" s="1"/>
  <c r="L127" i="10"/>
  <c r="N127" i="10" s="1"/>
  <c r="P127" i="10" s="1"/>
  <c r="L116" i="10"/>
  <c r="N116" i="10" s="1"/>
  <c r="P116" i="10" s="1"/>
  <c r="T151" i="16"/>
  <c r="R28" i="8"/>
  <c r="I107" i="8"/>
  <c r="Q90" i="8"/>
  <c r="J140" i="2"/>
  <c r="M140" i="2" s="1"/>
  <c r="T140" i="2" s="1"/>
  <c r="J136" i="16"/>
  <c r="M136" i="16" s="1"/>
  <c r="T136" i="16" s="1"/>
  <c r="J135" i="2"/>
  <c r="J148" i="16"/>
  <c r="M148" i="16" s="1"/>
  <c r="T148" i="16" s="1"/>
  <c r="J138" i="2"/>
  <c r="M138" i="2" s="1"/>
  <c r="T138" i="2" s="1"/>
  <c r="J150" i="16"/>
  <c r="M150" i="16" s="1"/>
  <c r="T150" i="16" s="1"/>
  <c r="J140" i="16"/>
  <c r="M140" i="16" s="1"/>
  <c r="T140" i="16" s="1"/>
  <c r="C31" i="12"/>
  <c r="J147" i="16"/>
  <c r="J148" i="2"/>
  <c r="M148" i="2" s="1"/>
  <c r="T148" i="2" s="1"/>
  <c r="S178" i="2"/>
  <c r="J150" i="2"/>
  <c r="M150" i="2" s="1"/>
  <c r="T150" i="2" s="1"/>
  <c r="J136" i="2"/>
  <c r="M136" i="2" s="1"/>
  <c r="T136" i="2" s="1"/>
  <c r="J137" i="2"/>
  <c r="C664" i="12" s="1"/>
  <c r="E665" i="12" s="1"/>
  <c r="C54" i="8"/>
  <c r="C58" i="2"/>
  <c r="V63" i="16"/>
  <c r="C69" i="16"/>
  <c r="V69" i="16" s="1"/>
  <c r="M63" i="16"/>
  <c r="C58" i="16"/>
  <c r="V58" i="16" s="1"/>
  <c r="J138" i="16"/>
  <c r="M138" i="16" s="1"/>
  <c r="T138" i="16" s="1"/>
  <c r="V148" i="2"/>
  <c r="C153" i="2"/>
  <c r="V153" i="2" s="1"/>
  <c r="V115" i="2"/>
  <c r="C26" i="8"/>
  <c r="C159" i="2"/>
  <c r="C25" i="8"/>
  <c r="M25" i="2"/>
  <c r="C31" i="2"/>
  <c r="V31" i="2" s="1"/>
  <c r="V25" i="2"/>
  <c r="E23" i="5"/>
  <c r="C81" i="16"/>
  <c r="V81" i="16" s="1"/>
  <c r="V76" i="16"/>
  <c r="C159" i="16"/>
  <c r="J147" i="2"/>
  <c r="J139" i="2"/>
  <c r="M139" i="2" s="1"/>
  <c r="T139" i="2" s="1"/>
  <c r="J103" i="8"/>
  <c r="D103" i="8" s="1"/>
  <c r="D100" i="8"/>
  <c r="E100" i="8"/>
  <c r="H107" i="8"/>
  <c r="Q91" i="8"/>
  <c r="G107" i="8"/>
  <c r="V63" i="2"/>
  <c r="M63" i="2"/>
  <c r="C63" i="8"/>
  <c r="V150" i="16"/>
  <c r="C153" i="16"/>
  <c r="V153" i="16" s="1"/>
  <c r="C161" i="16"/>
  <c r="C141" i="16"/>
  <c r="V141" i="16" s="1"/>
  <c r="C129" i="16"/>
  <c r="V129" i="16" s="1"/>
  <c r="V79" i="16"/>
  <c r="C162" i="16"/>
  <c r="J135" i="16"/>
  <c r="J141" i="16" s="1"/>
  <c r="J142" i="16" s="1"/>
  <c r="L144" i="16" s="1"/>
  <c r="C158" i="2"/>
  <c r="C163" i="16"/>
  <c r="V30" i="16"/>
  <c r="M25" i="16"/>
  <c r="C158" i="16"/>
  <c r="E126" i="10"/>
  <c r="L126" i="10" s="1"/>
  <c r="N126" i="10" s="1"/>
  <c r="P126" i="10" s="1"/>
  <c r="C162" i="10"/>
  <c r="C160" i="10"/>
  <c r="C159" i="10"/>
  <c r="C129" i="10"/>
  <c r="M30" i="16"/>
  <c r="T30" i="16" s="1"/>
  <c r="C31" i="16"/>
  <c r="V31" i="16" s="1"/>
  <c r="C117" i="2"/>
  <c r="V117" i="2" s="1"/>
  <c r="C161" i="2"/>
  <c r="C40" i="8"/>
  <c r="C90" i="8" s="1"/>
  <c r="V19" i="2"/>
  <c r="C17" i="8"/>
  <c r="C162" i="2"/>
  <c r="O153" i="10"/>
  <c r="O161" i="10"/>
  <c r="C34" i="12"/>
  <c r="I178" i="2"/>
  <c r="C81" i="2"/>
  <c r="C42" i="8"/>
  <c r="M42" i="8" s="1"/>
  <c r="M42" i="2"/>
  <c r="N42" i="2" s="1"/>
  <c r="O42" i="2" s="1"/>
  <c r="O42" i="8" s="1"/>
  <c r="C38" i="8"/>
  <c r="C43" i="2"/>
  <c r="J126" i="16"/>
  <c r="M126" i="16" s="1"/>
  <c r="R126" i="16" s="1"/>
  <c r="J124" i="2"/>
  <c r="J123" i="2"/>
  <c r="J128" i="2"/>
  <c r="M128" i="2" s="1"/>
  <c r="R128" i="2" s="1"/>
  <c r="J127" i="2"/>
  <c r="M127" i="2" s="1"/>
  <c r="R127" i="2" s="1"/>
  <c r="C27" i="12"/>
  <c r="Q89" i="8"/>
  <c r="R178" i="2"/>
  <c r="J90" i="16"/>
  <c r="J89" i="2"/>
  <c r="C409" i="12" s="1"/>
  <c r="O105" i="10"/>
  <c r="L38" i="10"/>
  <c r="N38" i="10" s="1"/>
  <c r="C61" i="23"/>
  <c r="G18" i="11"/>
  <c r="L18" i="11" s="1"/>
  <c r="N18" i="11" s="1"/>
  <c r="G15" i="11"/>
  <c r="L15" i="11" s="1"/>
  <c r="N15" i="11" s="1"/>
  <c r="G19" i="11"/>
  <c r="G13" i="11"/>
  <c r="C20" i="11"/>
  <c r="I20" i="11"/>
  <c r="M20" i="11"/>
  <c r="F20" i="11"/>
  <c r="H20" i="11"/>
  <c r="B20" i="11"/>
  <c r="D20" i="11"/>
  <c r="F20" i="14"/>
  <c r="O67" i="8"/>
  <c r="C15" i="23"/>
  <c r="B18" i="23"/>
  <c r="C22" i="23" s="1"/>
  <c r="G17" i="21"/>
  <c r="D51" i="23"/>
  <c r="D53" i="23" s="1"/>
  <c r="C8" i="23"/>
  <c r="D11" i="21"/>
  <c r="S95" i="2"/>
  <c r="R108" i="2"/>
  <c r="C418" i="12"/>
  <c r="C411" i="12"/>
  <c r="E419" i="12"/>
  <c r="E159" i="12"/>
  <c r="F40" i="2"/>
  <c r="F42" i="10"/>
  <c r="S95" i="16"/>
  <c r="C15" i="21"/>
  <c r="J27" i="14" l="1"/>
  <c r="F31" i="14"/>
  <c r="I20" i="14"/>
  <c r="N12" i="1"/>
  <c r="N18" i="1" s="1"/>
  <c r="J174" i="2"/>
  <c r="J165" i="2" s="1"/>
  <c r="G182" i="2"/>
  <c r="G183" i="2" s="1"/>
  <c r="I182" i="2"/>
  <c r="I186" i="2" s="1"/>
  <c r="M33" i="24"/>
  <c r="F182" i="2"/>
  <c r="F186" i="2" s="1"/>
  <c r="O182" i="2"/>
  <c r="O186" i="2" s="1"/>
  <c r="AW23" i="63"/>
  <c r="AW9" i="63"/>
  <c r="P22" i="14"/>
  <c r="R182" i="2"/>
  <c r="R183" i="2" s="1"/>
  <c r="M182" i="2"/>
  <c r="M186" i="2" s="1"/>
  <c r="E178" i="2"/>
  <c r="P182" i="2"/>
  <c r="P184" i="2" s="1"/>
  <c r="K182" i="2"/>
  <c r="K186" i="2" s="1"/>
  <c r="N328" i="15"/>
  <c r="I17" i="27"/>
  <c r="AV20" i="97"/>
  <c r="AW20" i="97" s="1"/>
  <c r="AV9" i="97"/>
  <c r="N39" i="15"/>
  <c r="M42" i="15"/>
  <c r="H9" i="25"/>
  <c r="L10" i="24"/>
  <c r="L33" i="24" s="1"/>
  <c r="P194" i="1"/>
  <c r="E16" i="14"/>
  <c r="O22" i="14"/>
  <c r="N22" i="14"/>
  <c r="AW28" i="88"/>
  <c r="D58" i="1"/>
  <c r="D65" i="1" s="1"/>
  <c r="H184" i="2"/>
  <c r="V29" i="63"/>
  <c r="V31" i="63" s="1"/>
  <c r="W29" i="63"/>
  <c r="F16" i="14"/>
  <c r="M33" i="11"/>
  <c r="P33" i="11" s="1"/>
  <c r="H185" i="2"/>
  <c r="H183" i="2"/>
  <c r="M31" i="11"/>
  <c r="O31" i="11" s="1"/>
  <c r="E582" i="12" s="1"/>
  <c r="E31" i="14"/>
  <c r="Z192" i="1"/>
  <c r="P192" i="1"/>
  <c r="AE130" i="1"/>
  <c r="J68" i="10"/>
  <c r="AE132" i="1"/>
  <c r="R68" i="2"/>
  <c r="J63" i="10"/>
  <c r="AD133" i="1"/>
  <c r="C13" i="21" s="1"/>
  <c r="C16" i="21" s="1"/>
  <c r="C18" i="21" s="1"/>
  <c r="R63" i="2"/>
  <c r="R63" i="16"/>
  <c r="R65" i="16"/>
  <c r="R65" i="2"/>
  <c r="R67" i="2"/>
  <c r="AE129" i="1"/>
  <c r="AG129" i="1" s="1"/>
  <c r="J64" i="10"/>
  <c r="R64" i="2"/>
  <c r="R64" i="16"/>
  <c r="AE128" i="1"/>
  <c r="J67" i="10"/>
  <c r="R67" i="16"/>
  <c r="S67" i="16"/>
  <c r="S67" i="2"/>
  <c r="K67" i="10"/>
  <c r="AG127" i="1"/>
  <c r="D31" i="14"/>
  <c r="K48" i="9"/>
  <c r="K49" i="9"/>
  <c r="K28" i="9" s="1"/>
  <c r="N229" i="15"/>
  <c r="B233" i="15" s="1"/>
  <c r="N233" i="15" s="1"/>
  <c r="B234" i="15" s="1"/>
  <c r="N234" i="15" s="1"/>
  <c r="B235" i="15" s="1"/>
  <c r="N235" i="15" s="1"/>
  <c r="B236" i="15" s="1"/>
  <c r="N236" i="15" s="1"/>
  <c r="B237" i="15" s="1"/>
  <c r="N237" i="15" s="1"/>
  <c r="B238" i="15" s="1"/>
  <c r="N238" i="15" s="1"/>
  <c r="B239" i="15" s="1"/>
  <c r="N239" i="15" s="1"/>
  <c r="B240" i="15" s="1"/>
  <c r="N240" i="15" s="1"/>
  <c r="B241" i="15" s="1"/>
  <c r="N241" i="15" s="1"/>
  <c r="B242" i="15" s="1"/>
  <c r="N242" i="15" s="1"/>
  <c r="B243" i="15" s="1"/>
  <c r="N243" i="15" s="1"/>
  <c r="B244" i="15" s="1"/>
  <c r="N244" i="15" s="1"/>
  <c r="B245" i="15" s="1"/>
  <c r="N245" i="15" s="1"/>
  <c r="B246" i="15" s="1"/>
  <c r="N246" i="15" s="1"/>
  <c r="B247" i="15" s="1"/>
  <c r="N247" i="15" s="1"/>
  <c r="B248" i="15" s="1"/>
  <c r="N248" i="15" s="1"/>
  <c r="B249" i="15" s="1"/>
  <c r="N249" i="15" s="1"/>
  <c r="B250" i="15" s="1"/>
  <c r="N250" i="15" s="1"/>
  <c r="B251" i="15" s="1"/>
  <c r="N251" i="15" s="1"/>
  <c r="B252" i="15" s="1"/>
  <c r="N252" i="15" s="1"/>
  <c r="B253" i="15" s="1"/>
  <c r="N253" i="15" s="1"/>
  <c r="B254" i="15" s="1"/>
  <c r="N254" i="15" s="1"/>
  <c r="B255" i="15" s="1"/>
  <c r="N255" i="15" s="1"/>
  <c r="B256" i="15" s="1"/>
  <c r="N256" i="15" s="1"/>
  <c r="B257" i="15" s="1"/>
  <c r="N257" i="15" s="1"/>
  <c r="B258" i="15" s="1"/>
  <c r="N258" i="15" s="1"/>
  <c r="B259" i="15" s="1"/>
  <c r="N259" i="15" s="1"/>
  <c r="B260" i="15" s="1"/>
  <c r="N260" i="15" s="1"/>
  <c r="B261" i="15" s="1"/>
  <c r="N261" i="15" s="1"/>
  <c r="B262" i="15" s="1"/>
  <c r="N262" i="15" s="1"/>
  <c r="B263" i="15" s="1"/>
  <c r="N263" i="15" s="1"/>
  <c r="B264" i="15" s="1"/>
  <c r="N264" i="15" s="1"/>
  <c r="B265" i="15" s="1"/>
  <c r="N265" i="15" s="1"/>
  <c r="B266" i="15" s="1"/>
  <c r="N266" i="15" s="1"/>
  <c r="B267" i="15" s="1"/>
  <c r="N267" i="15" s="1"/>
  <c r="B268" i="15" s="1"/>
  <c r="N268" i="15" s="1"/>
  <c r="B269" i="15" s="1"/>
  <c r="N269" i="15" s="1"/>
  <c r="B270" i="15" s="1"/>
  <c r="N270" i="15" s="1"/>
  <c r="B271" i="15" s="1"/>
  <c r="N271" i="15" s="1"/>
  <c r="B272" i="15" s="1"/>
  <c r="N272" i="15" s="1"/>
  <c r="B273" i="15" s="1"/>
  <c r="N273" i="15" s="1"/>
  <c r="B274" i="15" s="1"/>
  <c r="N274" i="15" s="1"/>
  <c r="B275" i="15" s="1"/>
  <c r="D93" i="8"/>
  <c r="C62" i="16"/>
  <c r="V51" i="16"/>
  <c r="M43" i="39"/>
  <c r="J31" i="3"/>
  <c r="C562" i="12" s="1"/>
  <c r="L17" i="11"/>
  <c r="N17" i="11" s="1"/>
  <c r="C39" i="23"/>
  <c r="E16" i="21"/>
  <c r="E18" i="21" s="1"/>
  <c r="B17" i="21"/>
  <c r="F17" i="21" s="1"/>
  <c r="H17" i="21" s="1"/>
  <c r="J106" i="2"/>
  <c r="L108" i="2" s="1"/>
  <c r="F10" i="6"/>
  <c r="C363" i="12"/>
  <c r="F62" i="6"/>
  <c r="F64" i="6" s="1"/>
  <c r="T90" i="2"/>
  <c r="D124" i="10"/>
  <c r="M111" i="16"/>
  <c r="T111" i="16" s="1"/>
  <c r="T117" i="16" s="1"/>
  <c r="O80" i="16"/>
  <c r="V69" i="2"/>
  <c r="P34" i="9"/>
  <c r="P80" i="16"/>
  <c r="C362" i="12"/>
  <c r="T111" i="2"/>
  <c r="T117" i="2" s="1"/>
  <c r="M30" i="8"/>
  <c r="Q44" i="8"/>
  <c r="J117" i="2"/>
  <c r="E512" i="12" s="1"/>
  <c r="J27" i="8"/>
  <c r="J162" i="16"/>
  <c r="F70" i="6"/>
  <c r="F72" i="6" s="1"/>
  <c r="J25" i="8"/>
  <c r="J31" i="8" s="1"/>
  <c r="M115" i="16"/>
  <c r="T115" i="16" s="1"/>
  <c r="J81" i="2"/>
  <c r="J82" i="2" s="1"/>
  <c r="L84" i="2" s="1"/>
  <c r="M87" i="2"/>
  <c r="M93" i="2" s="1"/>
  <c r="E410" i="12"/>
  <c r="C361" i="12"/>
  <c r="E364" i="12" s="1"/>
  <c r="M28" i="11"/>
  <c r="D30" i="11" s="1"/>
  <c r="C568" i="12" s="1"/>
  <c r="M123" i="16"/>
  <c r="R123" i="16" s="1"/>
  <c r="R129" i="16" s="1"/>
  <c r="R67" i="8"/>
  <c r="Q59" i="8"/>
  <c r="M29" i="8"/>
  <c r="R29" i="8" s="1"/>
  <c r="G37" i="10"/>
  <c r="E482" i="12" s="1"/>
  <c r="J37" i="10"/>
  <c r="D95" i="10"/>
  <c r="D52" i="10"/>
  <c r="E52" i="10" s="1"/>
  <c r="I37" i="10"/>
  <c r="H37" i="10"/>
  <c r="E26" i="5"/>
  <c r="M93" i="16"/>
  <c r="J93" i="16"/>
  <c r="J94" i="16" s="1"/>
  <c r="L96" i="16" s="1"/>
  <c r="L33" i="16"/>
  <c r="L25" i="8"/>
  <c r="L31" i="8" s="1"/>
  <c r="U178" i="16"/>
  <c r="B182" i="15"/>
  <c r="M75" i="8"/>
  <c r="M81" i="8" s="1"/>
  <c r="K166" i="16"/>
  <c r="Q93" i="8"/>
  <c r="Q94" i="8" s="1"/>
  <c r="B188" i="15"/>
  <c r="N188" i="15" s="1"/>
  <c r="B189" i="15" s="1"/>
  <c r="N189" i="15" s="1"/>
  <c r="B190" i="15" s="1"/>
  <c r="N190" i="15" s="1"/>
  <c r="B191" i="15" s="1"/>
  <c r="N191" i="15" s="1"/>
  <c r="B192" i="15" s="1"/>
  <c r="N192" i="15" s="1"/>
  <c r="B193" i="15" s="1"/>
  <c r="N193" i="15" s="1"/>
  <c r="B194" i="15" s="1"/>
  <c r="N194" i="15" s="1"/>
  <c r="B195" i="15" s="1"/>
  <c r="N195" i="15" s="1"/>
  <c r="B196" i="15" s="1"/>
  <c r="N196" i="15" s="1"/>
  <c r="B197" i="15" s="1"/>
  <c r="N197" i="15" s="1"/>
  <c r="B198" i="15" s="1"/>
  <c r="N198" i="15" s="1"/>
  <c r="B199" i="15" s="1"/>
  <c r="N199" i="15" s="1"/>
  <c r="B200" i="15" s="1"/>
  <c r="N200" i="15" s="1"/>
  <c r="B201" i="15" s="1"/>
  <c r="N201" i="15" s="1"/>
  <c r="B202" i="15" s="1"/>
  <c r="N202" i="15" s="1"/>
  <c r="B203" i="15" s="1"/>
  <c r="N203" i="15" s="1"/>
  <c r="B204" i="15" s="1"/>
  <c r="N204" i="15" s="1"/>
  <c r="B205" i="15" s="1"/>
  <c r="N205" i="15" s="1"/>
  <c r="B206" i="15" s="1"/>
  <c r="N206" i="15" s="1"/>
  <c r="B207" i="15" s="1"/>
  <c r="N207" i="15" s="1"/>
  <c r="B208" i="15" s="1"/>
  <c r="N208" i="15" s="1"/>
  <c r="B209" i="15" s="1"/>
  <c r="N209" i="15" s="1"/>
  <c r="B210" i="15" s="1"/>
  <c r="N210" i="15" s="1"/>
  <c r="B211" i="15" s="1"/>
  <c r="N211" i="15" s="1"/>
  <c r="B212" i="15" s="1"/>
  <c r="N212" i="15" s="1"/>
  <c r="B213" i="15" s="1"/>
  <c r="N213" i="15" s="1"/>
  <c r="B214" i="15" s="1"/>
  <c r="N214" i="15" s="1"/>
  <c r="B215" i="15" s="1"/>
  <c r="N215" i="15" s="1"/>
  <c r="B216" i="15" s="1"/>
  <c r="N216" i="15" s="1"/>
  <c r="B217" i="15" s="1"/>
  <c r="N217" i="15" s="1"/>
  <c r="B218" i="15" s="1"/>
  <c r="N218" i="15" s="1"/>
  <c r="B219" i="15" s="1"/>
  <c r="N219" i="15" s="1"/>
  <c r="B220" i="15" s="1"/>
  <c r="N220" i="15" s="1"/>
  <c r="B221" i="15" s="1"/>
  <c r="N221" i="15" s="1"/>
  <c r="B222" i="15" s="1"/>
  <c r="N222" i="15" s="1"/>
  <c r="B223" i="15" s="1"/>
  <c r="N223" i="15" s="1"/>
  <c r="B224" i="15" s="1"/>
  <c r="N224" i="15" s="1"/>
  <c r="B225" i="15" s="1"/>
  <c r="N225" i="15" s="1"/>
  <c r="B226" i="15" s="1"/>
  <c r="N226" i="15" s="1"/>
  <c r="B227" i="15" s="1"/>
  <c r="N227" i="15" s="1"/>
  <c r="B228" i="15" s="1"/>
  <c r="N228" i="15" s="1"/>
  <c r="B229" i="15" s="1"/>
  <c r="P187" i="15"/>
  <c r="C195" i="1"/>
  <c r="N123" i="10"/>
  <c r="N129" i="10" s="1"/>
  <c r="P129" i="10" s="1"/>
  <c r="M26" i="8"/>
  <c r="R26" i="8" s="1"/>
  <c r="K75" i="10"/>
  <c r="K81" i="10" s="1"/>
  <c r="L33" i="2"/>
  <c r="M27" i="11"/>
  <c r="N27" i="11" s="1"/>
  <c r="T19" i="8"/>
  <c r="N186" i="2"/>
  <c r="N184" i="2"/>
  <c r="K52" i="9"/>
  <c r="K31" i="9" s="1"/>
  <c r="K53" i="9"/>
  <c r="K32" i="9" s="1"/>
  <c r="E52" i="9"/>
  <c r="I31" i="9" s="1"/>
  <c r="K51" i="9"/>
  <c r="K30" i="9" s="1"/>
  <c r="E53" i="9"/>
  <c r="I32" i="9" s="1"/>
  <c r="D14" i="29"/>
  <c r="C43" i="8"/>
  <c r="E49" i="9"/>
  <c r="I28" i="9" s="1"/>
  <c r="G460" i="12"/>
  <c r="K67" i="29"/>
  <c r="M136" i="15"/>
  <c r="M182" i="15" s="1"/>
  <c r="N182" i="15" s="1"/>
  <c r="K50" i="9"/>
  <c r="K29" i="9" s="1"/>
  <c r="E50" i="9"/>
  <c r="I29" i="9" s="1"/>
  <c r="D174" i="16"/>
  <c r="J178" i="16"/>
  <c r="J165" i="16"/>
  <c r="N75" i="2"/>
  <c r="M81" i="2"/>
  <c r="E48" i="9"/>
  <c r="I27" i="9" s="1"/>
  <c r="M60" i="29"/>
  <c r="M64" i="29" s="1"/>
  <c r="M17" i="29"/>
  <c r="M66" i="29" s="1"/>
  <c r="L184" i="2"/>
  <c r="L185" i="2"/>
  <c r="L183" i="2"/>
  <c r="K27" i="9"/>
  <c r="L17" i="29"/>
  <c r="L66" i="29" s="1"/>
  <c r="L60" i="29"/>
  <c r="L64" i="29" s="1"/>
  <c r="I11" i="29"/>
  <c r="L186" i="2"/>
  <c r="E51" i="9"/>
  <c r="I30" i="9" s="1"/>
  <c r="N183" i="2"/>
  <c r="M81" i="16"/>
  <c r="G60" i="29"/>
  <c r="H13" i="29"/>
  <c r="J60" i="29"/>
  <c r="J64" i="29" s="1"/>
  <c r="J17" i="29"/>
  <c r="G75" i="10"/>
  <c r="H75" i="10"/>
  <c r="H81" i="10" s="1"/>
  <c r="D76" i="10"/>
  <c r="I75" i="10"/>
  <c r="I81" i="10" s="1"/>
  <c r="J75" i="10"/>
  <c r="F33" i="20"/>
  <c r="F6" i="21"/>
  <c r="N42" i="8"/>
  <c r="P42" i="2"/>
  <c r="P42" i="8" s="1"/>
  <c r="R42" i="8" s="1"/>
  <c r="L25" i="10"/>
  <c r="L31" i="10" s="1"/>
  <c r="S42" i="2"/>
  <c r="I14" i="8"/>
  <c r="I15" i="2"/>
  <c r="I15" i="8" s="1"/>
  <c r="R42" i="2"/>
  <c r="S42" i="16"/>
  <c r="Q42" i="2"/>
  <c r="J163" i="16"/>
  <c r="N147" i="10"/>
  <c r="L153" i="10"/>
  <c r="N81" i="16"/>
  <c r="O75" i="16"/>
  <c r="O81" i="16" s="1"/>
  <c r="R75" i="16"/>
  <c r="R81" i="16" s="1"/>
  <c r="I163" i="2"/>
  <c r="I18" i="8"/>
  <c r="C164" i="16"/>
  <c r="C165" i="16" s="1"/>
  <c r="L141" i="10"/>
  <c r="N135" i="10"/>
  <c r="P75" i="16"/>
  <c r="P81" i="16" s="1"/>
  <c r="N87" i="10"/>
  <c r="N93" i="10" s="1"/>
  <c r="P93" i="10" s="1"/>
  <c r="L93" i="10"/>
  <c r="N76" i="16"/>
  <c r="C31" i="8"/>
  <c r="M25" i="8"/>
  <c r="C89" i="8"/>
  <c r="C58" i="8"/>
  <c r="M31" i="16"/>
  <c r="T25" i="16"/>
  <c r="T31" i="16" s="1"/>
  <c r="C164" i="2"/>
  <c r="C165" i="2" s="1"/>
  <c r="M135" i="16"/>
  <c r="E103" i="8"/>
  <c r="E107" i="8" s="1"/>
  <c r="J163" i="2"/>
  <c r="J153" i="2"/>
  <c r="M147" i="2"/>
  <c r="C88" i="8"/>
  <c r="M135" i="2"/>
  <c r="J141" i="2"/>
  <c r="J142" i="2" s="1"/>
  <c r="L144" i="2" s="1"/>
  <c r="M90" i="16"/>
  <c r="T90" i="16" s="1"/>
  <c r="J161" i="16"/>
  <c r="M123" i="2"/>
  <c r="J129" i="2"/>
  <c r="J130" i="2" s="1"/>
  <c r="C91" i="8"/>
  <c r="C19" i="8"/>
  <c r="C165" i="10"/>
  <c r="Q80" i="2"/>
  <c r="N80" i="8"/>
  <c r="R80" i="2"/>
  <c r="Q80" i="16"/>
  <c r="S80" i="2"/>
  <c r="S80" i="16"/>
  <c r="O80" i="2"/>
  <c r="M63" i="8"/>
  <c r="R63" i="8" s="1"/>
  <c r="C69" i="8"/>
  <c r="C92" i="8"/>
  <c r="J107" i="8"/>
  <c r="C87" i="8"/>
  <c r="T25" i="2"/>
  <c r="T31" i="2" s="1"/>
  <c r="M31" i="2"/>
  <c r="J162" i="2"/>
  <c r="J153" i="16"/>
  <c r="J154" i="16" s="1"/>
  <c r="M147" i="16"/>
  <c r="L19" i="11"/>
  <c r="N19" i="11" s="1"/>
  <c r="L13" i="11"/>
  <c r="N13" i="11" s="1"/>
  <c r="G20" i="11"/>
  <c r="G22" i="14"/>
  <c r="C46" i="23"/>
  <c r="D16" i="21"/>
  <c r="D18" i="21" s="1"/>
  <c r="F39" i="16"/>
  <c r="F160" i="16" s="1"/>
  <c r="F38" i="2"/>
  <c r="F159" i="2" s="1"/>
  <c r="F40" i="8"/>
  <c r="F90" i="8" s="1"/>
  <c r="F161" i="2"/>
  <c r="Q42" i="16"/>
  <c r="R42" i="16"/>
  <c r="O42" i="16"/>
  <c r="P42" i="16"/>
  <c r="F41" i="16"/>
  <c r="F162" i="16" s="1"/>
  <c r="F41" i="2"/>
  <c r="F37" i="2"/>
  <c r="F39" i="2"/>
  <c r="F37" i="16"/>
  <c r="F38" i="16"/>
  <c r="F159" i="16" s="1"/>
  <c r="K42" i="10"/>
  <c r="H42" i="10"/>
  <c r="I42" i="10"/>
  <c r="J42" i="10"/>
  <c r="G42" i="10"/>
  <c r="F40" i="16"/>
  <c r="F161" i="16" s="1"/>
  <c r="C52" i="23"/>
  <c r="N128" i="2"/>
  <c r="N128" i="16"/>
  <c r="J21" i="14" l="1"/>
  <c r="J12" i="1" s="1"/>
  <c r="G186" i="2"/>
  <c r="V174" i="2"/>
  <c r="V176" i="2" s="1"/>
  <c r="J178" i="2"/>
  <c r="E179" i="2" s="1"/>
  <c r="E180" i="2" s="1"/>
  <c r="E181" i="2" s="1"/>
  <c r="D174" i="2"/>
  <c r="J182" i="2"/>
  <c r="J183" i="2" s="1"/>
  <c r="I185" i="2"/>
  <c r="I184" i="2"/>
  <c r="I183" i="2"/>
  <c r="F184" i="2"/>
  <c r="I22" i="14"/>
  <c r="W12" i="1" s="1"/>
  <c r="W186" i="1" s="1"/>
  <c r="N19" i="1"/>
  <c r="N186" i="1"/>
  <c r="F185" i="2"/>
  <c r="F183" i="2"/>
  <c r="O185" i="2"/>
  <c r="O184" i="2"/>
  <c r="O183" i="2"/>
  <c r="G185" i="2"/>
  <c r="G184" i="2"/>
  <c r="R185" i="2"/>
  <c r="M185" i="2"/>
  <c r="R184" i="2"/>
  <c r="AW10" i="63"/>
  <c r="R186" i="2"/>
  <c r="M183" i="2"/>
  <c r="M184" i="2"/>
  <c r="P185" i="2"/>
  <c r="P183" i="2"/>
  <c r="P186" i="2"/>
  <c r="K184" i="2"/>
  <c r="K183" i="2"/>
  <c r="K185" i="2"/>
  <c r="AV10" i="97"/>
  <c r="L28" i="9"/>
  <c r="M28" i="9" s="1"/>
  <c r="N28" i="9" s="1"/>
  <c r="Q28" i="9" s="1"/>
  <c r="G31" i="14"/>
  <c r="Q23" i="14"/>
  <c r="W31" i="63"/>
  <c r="AG130" i="1"/>
  <c r="P195" i="1"/>
  <c r="V30" i="88"/>
  <c r="F58" i="1"/>
  <c r="N33" i="11"/>
  <c r="Q33" i="11"/>
  <c r="E589" i="12" s="1"/>
  <c r="O33" i="11"/>
  <c r="E584" i="12" s="1"/>
  <c r="Q31" i="11"/>
  <c r="C587" i="12" s="1"/>
  <c r="P31" i="11"/>
  <c r="N31" i="11"/>
  <c r="Z195" i="1"/>
  <c r="N275" i="15"/>
  <c r="AG132" i="1"/>
  <c r="T67" i="16"/>
  <c r="AE133" i="1"/>
  <c r="AG128" i="1"/>
  <c r="K64" i="10" s="1"/>
  <c r="L64" i="10" s="1"/>
  <c r="N64" i="10" s="1"/>
  <c r="P64" i="10" s="1"/>
  <c r="L67" i="10"/>
  <c r="N67" i="10" s="1"/>
  <c r="P67" i="10" s="1"/>
  <c r="T67" i="2"/>
  <c r="S65" i="16"/>
  <c r="T65" i="16" s="1"/>
  <c r="K65" i="10"/>
  <c r="L65" i="10" s="1"/>
  <c r="N65" i="10" s="1"/>
  <c r="P65" i="10" s="1"/>
  <c r="S65" i="2"/>
  <c r="T65" i="2" s="1"/>
  <c r="S63" i="2"/>
  <c r="T63" i="2" s="1"/>
  <c r="S63" i="16"/>
  <c r="T63" i="16" s="1"/>
  <c r="K63" i="10"/>
  <c r="L63" i="10" s="1"/>
  <c r="N63" i="10" s="1"/>
  <c r="P63" i="10" s="1"/>
  <c r="V62" i="16"/>
  <c r="C74" i="16"/>
  <c r="L29" i="9"/>
  <c r="M29" i="9" s="1"/>
  <c r="O29" i="9" s="1"/>
  <c r="J29" i="3"/>
  <c r="M29" i="3" s="1"/>
  <c r="N29" i="3" s="1"/>
  <c r="J34" i="3"/>
  <c r="C564" i="12" s="1"/>
  <c r="J30" i="3"/>
  <c r="M30" i="3" s="1"/>
  <c r="S30" i="3" s="1"/>
  <c r="V30" i="3" s="1"/>
  <c r="J33" i="3"/>
  <c r="M33" i="3" s="1"/>
  <c r="N33" i="3" s="1"/>
  <c r="J28" i="3"/>
  <c r="M28" i="3" s="1"/>
  <c r="N28" i="3" s="1"/>
  <c r="J32" i="3"/>
  <c r="M32" i="3" s="1"/>
  <c r="N32" i="3" s="1"/>
  <c r="C577" i="12" s="1"/>
  <c r="G63" i="6"/>
  <c r="G64" i="6" s="1"/>
  <c r="M117" i="16"/>
  <c r="J118" i="2"/>
  <c r="L120" i="2" s="1"/>
  <c r="T87" i="2"/>
  <c r="T93" i="2" s="1"/>
  <c r="W93" i="2" s="1"/>
  <c r="G71" i="6"/>
  <c r="G72" i="6" s="1"/>
  <c r="M129" i="16"/>
  <c r="O28" i="11"/>
  <c r="L30" i="11"/>
  <c r="M30" i="11" s="1"/>
  <c r="P30" i="11" s="1"/>
  <c r="Q28" i="11"/>
  <c r="P28" i="11"/>
  <c r="N28" i="11"/>
  <c r="E569" i="12" s="1"/>
  <c r="E214" i="12"/>
  <c r="C217" i="12"/>
  <c r="L37" i="10"/>
  <c r="N37" i="10" s="1"/>
  <c r="P37" i="10" s="1"/>
  <c r="I33" i="9"/>
  <c r="I34" i="9" s="1"/>
  <c r="P123" i="10"/>
  <c r="B13" i="21"/>
  <c r="F13" i="21" s="1"/>
  <c r="B14" i="21"/>
  <c r="F14" i="21" s="1"/>
  <c r="O27" i="11"/>
  <c r="L67" i="29"/>
  <c r="Q27" i="11"/>
  <c r="P27" i="11"/>
  <c r="E387" i="12"/>
  <c r="G386" i="12" s="1"/>
  <c r="J81" i="10"/>
  <c r="C392" i="12"/>
  <c r="N81" i="2"/>
  <c r="R75" i="2"/>
  <c r="Q75" i="16"/>
  <c r="Q81" i="16" s="1"/>
  <c r="S75" i="2"/>
  <c r="S81" i="2" s="1"/>
  <c r="P75" i="2"/>
  <c r="E76" i="2"/>
  <c r="S75" i="16"/>
  <c r="S81" i="16" s="1"/>
  <c r="Q75" i="2"/>
  <c r="Q81" i="2" s="1"/>
  <c r="N75" i="8"/>
  <c r="N81" i="8" s="1"/>
  <c r="O75" i="2"/>
  <c r="F53" i="9"/>
  <c r="J19" i="29"/>
  <c r="J66" i="29"/>
  <c r="J67" i="29" s="1"/>
  <c r="H14" i="29"/>
  <c r="D61" i="29"/>
  <c r="D64" i="29" s="1"/>
  <c r="J4" i="29"/>
  <c r="D17" i="29"/>
  <c r="L32" i="9"/>
  <c r="E11" i="29"/>
  <c r="D81" i="10"/>
  <c r="E374" i="12"/>
  <c r="G380" i="12" s="1"/>
  <c r="E76" i="10"/>
  <c r="L53" i="9"/>
  <c r="L54" i="9" s="1"/>
  <c r="M67" i="29"/>
  <c r="G81" i="10"/>
  <c r="C377" i="12"/>
  <c r="L75" i="10"/>
  <c r="C93" i="8"/>
  <c r="C94" i="8" s="1"/>
  <c r="C385" i="12"/>
  <c r="G385" i="12" s="1"/>
  <c r="H60" i="29"/>
  <c r="N13" i="29"/>
  <c r="I58" i="29"/>
  <c r="I64" i="29" s="1"/>
  <c r="I17" i="29"/>
  <c r="I66" i="29" s="1"/>
  <c r="K33" i="9"/>
  <c r="K35" i="9" s="1"/>
  <c r="L31" i="9"/>
  <c r="Q31" i="9" s="1"/>
  <c r="T42" i="2"/>
  <c r="B11" i="21"/>
  <c r="F11" i="21" s="1"/>
  <c r="N25" i="10"/>
  <c r="N31" i="10" s="1"/>
  <c r="P31" i="10" s="1"/>
  <c r="P147" i="10"/>
  <c r="N153" i="10"/>
  <c r="P153" i="10" s="1"/>
  <c r="I19" i="2"/>
  <c r="I20" i="2" s="1"/>
  <c r="F44" i="6"/>
  <c r="N141" i="10"/>
  <c r="P141" i="10" s="1"/>
  <c r="P135" i="10"/>
  <c r="I92" i="8"/>
  <c r="I19" i="8"/>
  <c r="O80" i="8"/>
  <c r="R80" i="8" s="1"/>
  <c r="T80" i="2"/>
  <c r="W80" i="2" s="1"/>
  <c r="C166" i="10"/>
  <c r="B180" i="2"/>
  <c r="B182" i="2" s="1"/>
  <c r="M153" i="16"/>
  <c r="T147" i="16"/>
  <c r="T153" i="16" s="1"/>
  <c r="T80" i="16"/>
  <c r="T147" i="2"/>
  <c r="T153" i="2" s="1"/>
  <c r="M153" i="2"/>
  <c r="T135" i="16"/>
  <c r="T141" i="16" s="1"/>
  <c r="M141" i="16"/>
  <c r="M31" i="8"/>
  <c r="R25" i="8"/>
  <c r="R31" i="8" s="1"/>
  <c r="S31" i="8" s="1"/>
  <c r="P76" i="16"/>
  <c r="Q76" i="16"/>
  <c r="R76" i="16"/>
  <c r="O76" i="16"/>
  <c r="E77" i="16"/>
  <c r="M77" i="16" s="1"/>
  <c r="J110" i="8"/>
  <c r="J108" i="8"/>
  <c r="E372" i="12"/>
  <c r="M129" i="2"/>
  <c r="R123" i="2"/>
  <c r="R129" i="2" s="1"/>
  <c r="M141" i="2"/>
  <c r="T135" i="2"/>
  <c r="T141" i="2" s="1"/>
  <c r="J154" i="2"/>
  <c r="E713" i="12"/>
  <c r="N20" i="11"/>
  <c r="L20" i="11"/>
  <c r="G19" i="27"/>
  <c r="I19" i="27" s="1"/>
  <c r="F38" i="8"/>
  <c r="F88" i="8" s="1"/>
  <c r="B12" i="21"/>
  <c r="F12" i="21" s="1"/>
  <c r="F43" i="16"/>
  <c r="F158" i="16"/>
  <c r="F164" i="16" s="1"/>
  <c r="F39" i="8"/>
  <c r="F160" i="2"/>
  <c r="F162" i="2"/>
  <c r="F41" i="8"/>
  <c r="F91" i="8" s="1"/>
  <c r="L42" i="10"/>
  <c r="N42" i="10" s="1"/>
  <c r="P42" i="10" s="1"/>
  <c r="F43" i="2"/>
  <c r="F158" i="2"/>
  <c r="F37" i="8"/>
  <c r="T42" i="16"/>
  <c r="P128" i="16"/>
  <c r="O128" i="16"/>
  <c r="S128" i="16"/>
  <c r="P128" i="2"/>
  <c r="S128" i="2"/>
  <c r="O128" i="2"/>
  <c r="Q128" i="2"/>
  <c r="E52" i="23"/>
  <c r="J184" i="2" l="1"/>
  <c r="S184" i="2" s="1"/>
  <c r="T184" i="2" s="1"/>
  <c r="J185" i="2"/>
  <c r="S185" i="2" s="1"/>
  <c r="T185" i="2" s="1"/>
  <c r="J186" i="2"/>
  <c r="S186" i="2" s="1"/>
  <c r="T186" i="2" s="1"/>
  <c r="F44" i="56"/>
  <c r="L118" i="14"/>
  <c r="J186" i="1"/>
  <c r="M186" i="1" s="1"/>
  <c r="AV10" i="88"/>
  <c r="W18" i="1"/>
  <c r="W194" i="1" s="1"/>
  <c r="AD186" i="1"/>
  <c r="D19" i="1"/>
  <c r="D27" i="1" s="1"/>
  <c r="AF134" i="1"/>
  <c r="AF135" i="1" s="1"/>
  <c r="AV10" i="103"/>
  <c r="C30" i="9"/>
  <c r="L30" i="9" s="1"/>
  <c r="N194" i="1"/>
  <c r="N192" i="1"/>
  <c r="T30" i="88"/>
  <c r="AV8" i="97"/>
  <c r="R33" i="11"/>
  <c r="T33" i="11" s="1"/>
  <c r="V33" i="11" s="1"/>
  <c r="U29" i="63"/>
  <c r="U31" i="63" s="1"/>
  <c r="U30" i="88"/>
  <c r="R31" i="11"/>
  <c r="T31" i="11" s="1"/>
  <c r="V31" i="11" s="1"/>
  <c r="AG191" i="1"/>
  <c r="N29" i="9"/>
  <c r="Q29" i="9" s="1"/>
  <c r="S64" i="16"/>
  <c r="T64" i="16" s="1"/>
  <c r="K68" i="10"/>
  <c r="S68" i="2"/>
  <c r="S68" i="16"/>
  <c r="S64" i="2"/>
  <c r="T64" i="2" s="1"/>
  <c r="AG133" i="1"/>
  <c r="J66" i="2"/>
  <c r="G11" i="29"/>
  <c r="G17" i="29" s="1"/>
  <c r="G66" i="29" s="1"/>
  <c r="I31" i="14"/>
  <c r="C86" i="16"/>
  <c r="V74" i="16"/>
  <c r="C561" i="12"/>
  <c r="C560" i="12"/>
  <c r="O32" i="3"/>
  <c r="S32" i="3" s="1"/>
  <c r="V32" i="3" s="1"/>
  <c r="M34" i="3"/>
  <c r="N34" i="3" s="1"/>
  <c r="O34" i="3" s="1"/>
  <c r="N127" i="16"/>
  <c r="S127" i="16" s="1"/>
  <c r="C563" i="12"/>
  <c r="E572" i="12"/>
  <c r="J35" i="3"/>
  <c r="E565" i="12" s="1"/>
  <c r="G565" i="12" s="1"/>
  <c r="F15" i="38"/>
  <c r="Q30" i="11"/>
  <c r="C586" i="12" s="1"/>
  <c r="N30" i="11"/>
  <c r="O30" i="11"/>
  <c r="E581" i="12" s="1"/>
  <c r="D32" i="11"/>
  <c r="L32" i="11" s="1"/>
  <c r="R28" i="11"/>
  <c r="T28" i="11" s="1"/>
  <c r="V28" i="11" s="1"/>
  <c r="B15" i="21"/>
  <c r="F15" i="21" s="1"/>
  <c r="B9" i="21"/>
  <c r="F9" i="21" s="1"/>
  <c r="C50" i="23"/>
  <c r="E50" i="23" s="1"/>
  <c r="B7" i="21"/>
  <c r="F7" i="21" s="1"/>
  <c r="R27" i="11"/>
  <c r="T27" i="11" s="1"/>
  <c r="G387" i="12"/>
  <c r="T75" i="16"/>
  <c r="T81" i="16" s="1"/>
  <c r="I67" i="29"/>
  <c r="F76" i="10"/>
  <c r="E81" i="10"/>
  <c r="M32" i="9"/>
  <c r="H61" i="29"/>
  <c r="N14" i="29"/>
  <c r="N60" i="29"/>
  <c r="P60" i="29" s="1"/>
  <c r="P13" i="29"/>
  <c r="E58" i="29"/>
  <c r="E64" i="29" s="1"/>
  <c r="E17" i="29"/>
  <c r="E66" i="29" s="1"/>
  <c r="P75" i="8"/>
  <c r="P81" i="8" s="1"/>
  <c r="P81" i="2"/>
  <c r="C365" i="12" s="1"/>
  <c r="G367" i="12" s="1"/>
  <c r="I68" i="29"/>
  <c r="L81" i="10"/>
  <c r="N75" i="10"/>
  <c r="D66" i="29"/>
  <c r="D67" i="29" s="1"/>
  <c r="D18" i="29"/>
  <c r="O81" i="2"/>
  <c r="O75" i="8"/>
  <c r="T75" i="2"/>
  <c r="E354" i="12"/>
  <c r="M76" i="2"/>
  <c r="C351" i="12"/>
  <c r="E76" i="8"/>
  <c r="M76" i="8" s="1"/>
  <c r="C367" i="12"/>
  <c r="R81" i="2"/>
  <c r="E370" i="12"/>
  <c r="S183" i="2"/>
  <c r="N77" i="16"/>
  <c r="F20" i="27"/>
  <c r="F21" i="27" s="1"/>
  <c r="I21" i="27" s="1"/>
  <c r="N127" i="2"/>
  <c r="P127" i="2" s="1"/>
  <c r="G20" i="27"/>
  <c r="M38" i="8"/>
  <c r="R38" i="8" s="1"/>
  <c r="M37" i="16"/>
  <c r="N37" i="16" s="1"/>
  <c r="F89" i="8"/>
  <c r="M39" i="16"/>
  <c r="M37" i="2"/>
  <c r="F43" i="8"/>
  <c r="F87" i="8"/>
  <c r="M38" i="2"/>
  <c r="T38" i="2" s="1"/>
  <c r="F164" i="2"/>
  <c r="M39" i="2"/>
  <c r="T128" i="2"/>
  <c r="T128" i="16"/>
  <c r="O33" i="3"/>
  <c r="E578" i="12"/>
  <c r="E573" i="12"/>
  <c r="E574" i="12"/>
  <c r="E579" i="12"/>
  <c r="D31" i="3"/>
  <c r="O29" i="3"/>
  <c r="O28" i="3"/>
  <c r="J187" i="2" l="1"/>
  <c r="AE186" i="1"/>
  <c r="AW8" i="97"/>
  <c r="C33" i="9"/>
  <c r="N195" i="1"/>
  <c r="AD12" i="1"/>
  <c r="AV8" i="103"/>
  <c r="AV8" i="63"/>
  <c r="M12" i="1"/>
  <c r="J18" i="1"/>
  <c r="J194" i="1" s="1"/>
  <c r="G58" i="29"/>
  <c r="G64" i="29" s="1"/>
  <c r="G67" i="29" s="1"/>
  <c r="H11" i="29"/>
  <c r="H17" i="29" s="1"/>
  <c r="H66" i="29" s="1"/>
  <c r="J66" i="8"/>
  <c r="J69" i="2"/>
  <c r="E313" i="12"/>
  <c r="C312" i="12"/>
  <c r="J161" i="2"/>
  <c r="V86" i="16"/>
  <c r="C98" i="16"/>
  <c r="N126" i="2"/>
  <c r="O126" i="2" s="1"/>
  <c r="G566" i="12"/>
  <c r="J36" i="3"/>
  <c r="P127" i="16"/>
  <c r="O127" i="16"/>
  <c r="D15" i="38"/>
  <c r="B10" i="21"/>
  <c r="F10" i="21" s="1"/>
  <c r="F16" i="21" s="1"/>
  <c r="F18" i="21" s="1"/>
  <c r="D34" i="11"/>
  <c r="R30" i="11"/>
  <c r="T30" i="11" s="1"/>
  <c r="V30" i="11" s="1"/>
  <c r="N126" i="16"/>
  <c r="P126" i="16" s="1"/>
  <c r="E67" i="29"/>
  <c r="C394" i="12"/>
  <c r="G356" i="12"/>
  <c r="O81" i="8"/>
  <c r="R75" i="8"/>
  <c r="R81" i="8" s="1"/>
  <c r="S81" i="8" s="1"/>
  <c r="D27" i="9"/>
  <c r="N32" i="9"/>
  <c r="Q32" i="9" s="1"/>
  <c r="N76" i="2"/>
  <c r="N61" i="29"/>
  <c r="P61" i="29" s="1"/>
  <c r="P14" i="29"/>
  <c r="G357" i="12"/>
  <c r="E394" i="12"/>
  <c r="T81" i="2"/>
  <c r="W81" i="2" s="1"/>
  <c r="W75" i="2"/>
  <c r="N81" i="10"/>
  <c r="P81" i="10" s="1"/>
  <c r="P75" i="10"/>
  <c r="J76" i="10"/>
  <c r="H76" i="10"/>
  <c r="D111" i="10"/>
  <c r="G76" i="10"/>
  <c r="I76" i="10"/>
  <c r="E393" i="12" s="1"/>
  <c r="K76" i="10"/>
  <c r="D77" i="10"/>
  <c r="O77" i="16"/>
  <c r="E54" i="16"/>
  <c r="M54" i="16" s="1"/>
  <c r="E137" i="16"/>
  <c r="E78" i="16"/>
  <c r="M78" i="16" s="1"/>
  <c r="T78" i="16" s="1"/>
  <c r="R77" i="16"/>
  <c r="S77" i="16"/>
  <c r="Q77" i="16"/>
  <c r="P77" i="16"/>
  <c r="T183" i="2"/>
  <c r="S187" i="2"/>
  <c r="M30" i="9"/>
  <c r="L34" i="11"/>
  <c r="M32" i="11"/>
  <c r="S33" i="3"/>
  <c r="V33" i="3" s="1"/>
  <c r="I20" i="27"/>
  <c r="F13" i="10"/>
  <c r="Q127" i="2"/>
  <c r="S127" i="2"/>
  <c r="O127" i="2"/>
  <c r="F93" i="8"/>
  <c r="M39" i="8"/>
  <c r="R39" i="8" s="1"/>
  <c r="M37" i="8"/>
  <c r="D99" i="10"/>
  <c r="N37" i="2"/>
  <c r="R37" i="16"/>
  <c r="E99" i="16"/>
  <c r="E52" i="16"/>
  <c r="O37" i="16"/>
  <c r="P37" i="16"/>
  <c r="Q37" i="16"/>
  <c r="E38" i="16"/>
  <c r="M38" i="16" s="1"/>
  <c r="T38" i="16" s="1"/>
  <c r="S34" i="3"/>
  <c r="V34" i="3" s="1"/>
  <c r="V27" i="11"/>
  <c r="E567" i="12"/>
  <c r="S29" i="3"/>
  <c r="V29" i="3" s="1"/>
  <c r="S28" i="3"/>
  <c r="M31" i="3"/>
  <c r="C566" i="12"/>
  <c r="D35" i="3"/>
  <c r="AE12" i="1" l="1"/>
  <c r="M18" i="1"/>
  <c r="W199" i="1"/>
  <c r="F48" i="85"/>
  <c r="AW8" i="103"/>
  <c r="AW8" i="63"/>
  <c r="AV8" i="88"/>
  <c r="AG189" i="1"/>
  <c r="J192" i="1"/>
  <c r="J195" i="1" s="1"/>
  <c r="H58" i="29"/>
  <c r="H64" i="29" s="1"/>
  <c r="H67" i="29" s="1"/>
  <c r="N11" i="29"/>
  <c r="N17" i="29" s="1"/>
  <c r="N66" i="29" s="1"/>
  <c r="L71" i="2"/>
  <c r="J70" i="2"/>
  <c r="L72" i="2" s="1"/>
  <c r="J69" i="8"/>
  <c r="L71" i="8" s="1"/>
  <c r="J90" i="8"/>
  <c r="V98" i="16"/>
  <c r="C110" i="16"/>
  <c r="P126" i="2"/>
  <c r="S126" i="2"/>
  <c r="Q126" i="2"/>
  <c r="T127" i="16"/>
  <c r="B16" i="21"/>
  <c r="B18" i="21" s="1"/>
  <c r="S126" i="16"/>
  <c r="O126" i="16"/>
  <c r="G358" i="12"/>
  <c r="E378" i="12"/>
  <c r="G375" i="12" s="1"/>
  <c r="L76" i="10"/>
  <c r="N76" i="10" s="1"/>
  <c r="P76" i="10" s="1"/>
  <c r="D33" i="9"/>
  <c r="L27" i="9"/>
  <c r="E77" i="10"/>
  <c r="F77" i="10" s="1"/>
  <c r="C381" i="12" s="1"/>
  <c r="C375" i="12"/>
  <c r="E111" i="10"/>
  <c r="D117" i="10"/>
  <c r="E77" i="2"/>
  <c r="P76" i="2"/>
  <c r="P76" i="8" s="1"/>
  <c r="R76" i="2"/>
  <c r="S76" i="2"/>
  <c r="Q76" i="2"/>
  <c r="E371" i="12" s="1"/>
  <c r="O76" i="2"/>
  <c r="N76" i="8"/>
  <c r="S76" i="16"/>
  <c r="T76" i="16" s="1"/>
  <c r="E395" i="12"/>
  <c r="T77" i="16"/>
  <c r="O30" i="9"/>
  <c r="N30" i="9"/>
  <c r="E141" i="16"/>
  <c r="M137" i="16"/>
  <c r="P32" i="11"/>
  <c r="P34" i="11" s="1"/>
  <c r="N32" i="11"/>
  <c r="Q32" i="11"/>
  <c r="M34" i="11"/>
  <c r="O32" i="11"/>
  <c r="N123" i="16"/>
  <c r="O123" i="16" s="1"/>
  <c r="O129" i="16" s="1"/>
  <c r="J13" i="10"/>
  <c r="N123" i="2"/>
  <c r="P123" i="2" s="1"/>
  <c r="P129" i="2" s="1"/>
  <c r="E616" i="12" s="1"/>
  <c r="K13" i="10"/>
  <c r="G13" i="10"/>
  <c r="E62" i="12" s="1"/>
  <c r="D14" i="10"/>
  <c r="E14" i="10" s="1"/>
  <c r="F14" i="10" s="1"/>
  <c r="I14" i="10" s="1"/>
  <c r="H13" i="10"/>
  <c r="D16" i="10"/>
  <c r="C59" i="12" s="1"/>
  <c r="I13" i="10"/>
  <c r="T127" i="2"/>
  <c r="C476" i="12"/>
  <c r="D105" i="10"/>
  <c r="G484" i="12" s="1"/>
  <c r="E99" i="10"/>
  <c r="D159" i="10"/>
  <c r="D165" i="10" s="1"/>
  <c r="E105" i="16"/>
  <c r="M99" i="16"/>
  <c r="E158" i="16"/>
  <c r="E164" i="16" s="1"/>
  <c r="O37" i="2"/>
  <c r="S37" i="2"/>
  <c r="E52" i="2"/>
  <c r="R37" i="2"/>
  <c r="Q37" i="2"/>
  <c r="P37" i="2"/>
  <c r="P37" i="8" s="1"/>
  <c r="S37" i="16"/>
  <c r="T37" i="16" s="1"/>
  <c r="N37" i="8"/>
  <c r="E99" i="2"/>
  <c r="N31" i="3"/>
  <c r="M35" i="3"/>
  <c r="V28" i="3"/>
  <c r="AG12" i="1" l="1"/>
  <c r="T57" i="14"/>
  <c r="AG186" i="1"/>
  <c r="F121" i="14"/>
  <c r="G121" i="14" s="1"/>
  <c r="AW8" i="88"/>
  <c r="I15" i="38"/>
  <c r="C49" i="23"/>
  <c r="P11" i="29"/>
  <c r="P17" i="29" s="1"/>
  <c r="P66" i="29" s="1"/>
  <c r="N58" i="29"/>
  <c r="P58" i="29" s="1"/>
  <c r="P64" i="29" s="1"/>
  <c r="J77" i="10"/>
  <c r="C388" i="12" s="1"/>
  <c r="T126" i="2"/>
  <c r="C157" i="16"/>
  <c r="C122" i="16"/>
  <c r="V110" i="16"/>
  <c r="G14" i="16"/>
  <c r="L14" i="16"/>
  <c r="H14" i="16"/>
  <c r="H14" i="2"/>
  <c r="H14" i="8" s="1"/>
  <c r="J14" i="2"/>
  <c r="J14" i="16"/>
  <c r="K14" i="16"/>
  <c r="G14" i="2"/>
  <c r="K14" i="2"/>
  <c r="K14" i="8" s="1"/>
  <c r="L14" i="2"/>
  <c r="L14" i="8" s="1"/>
  <c r="T126" i="16"/>
  <c r="H77" i="10"/>
  <c r="E389" i="12" s="1"/>
  <c r="K77" i="10"/>
  <c r="D137" i="10"/>
  <c r="E137" i="10" s="1"/>
  <c r="Q30" i="9"/>
  <c r="E517" i="12"/>
  <c r="C384" i="12"/>
  <c r="D54" i="10"/>
  <c r="E54" i="10" s="1"/>
  <c r="D78" i="10"/>
  <c r="E78" i="10" s="1"/>
  <c r="L78" i="10" s="1"/>
  <c r="N78" i="10" s="1"/>
  <c r="G77" i="10"/>
  <c r="E379" i="12" s="1"/>
  <c r="I77" i="10"/>
  <c r="M27" i="9"/>
  <c r="L33" i="9"/>
  <c r="E355" i="12"/>
  <c r="O76" i="8"/>
  <c r="R76" i="8" s="1"/>
  <c r="T76" i="2"/>
  <c r="W76" i="2" s="1"/>
  <c r="E117" i="10"/>
  <c r="L111" i="10"/>
  <c r="E77" i="8"/>
  <c r="M77" i="8" s="1"/>
  <c r="M77" i="2"/>
  <c r="C352" i="12"/>
  <c r="G374" i="12"/>
  <c r="G376" i="12" s="1"/>
  <c r="G379" i="12"/>
  <c r="G381" i="12" s="1"/>
  <c r="N137" i="16"/>
  <c r="P123" i="16"/>
  <c r="P129" i="16" s="1"/>
  <c r="N129" i="16"/>
  <c r="N34" i="11"/>
  <c r="R32" i="11"/>
  <c r="O34" i="11"/>
  <c r="E583" i="12"/>
  <c r="E588" i="12"/>
  <c r="Q34" i="11"/>
  <c r="C585" i="12" s="1"/>
  <c r="S123" i="16"/>
  <c r="S129" i="16" s="1"/>
  <c r="C57" i="12"/>
  <c r="N129" i="2"/>
  <c r="Q123" i="2"/>
  <c r="Q129" i="2" s="1"/>
  <c r="K14" i="10"/>
  <c r="G14" i="10"/>
  <c r="E63" i="12" s="1"/>
  <c r="H14" i="10"/>
  <c r="J14" i="10"/>
  <c r="S123" i="2"/>
  <c r="S129" i="2" s="1"/>
  <c r="O123" i="2"/>
  <c r="L13" i="10"/>
  <c r="N13" i="10" s="1"/>
  <c r="P13" i="10" s="1"/>
  <c r="E16" i="10"/>
  <c r="F16" i="10" s="1"/>
  <c r="D17" i="10" s="1"/>
  <c r="C60" i="12" s="1"/>
  <c r="C205" i="12"/>
  <c r="E203" i="12"/>
  <c r="E460" i="12"/>
  <c r="O37" i="8"/>
  <c r="R37" i="8" s="1"/>
  <c r="T37" i="2"/>
  <c r="W37" i="2" s="1"/>
  <c r="G477" i="12"/>
  <c r="G479" i="12" s="1"/>
  <c r="G488" i="12"/>
  <c r="G490" i="12" s="1"/>
  <c r="E158" i="2"/>
  <c r="E164" i="2" s="1"/>
  <c r="E52" i="8"/>
  <c r="C206" i="12"/>
  <c r="M99" i="2"/>
  <c r="C454" i="12"/>
  <c r="E105" i="2"/>
  <c r="G457" i="12" s="1"/>
  <c r="T99" i="16"/>
  <c r="T105" i="16" s="1"/>
  <c r="M105" i="16"/>
  <c r="L99" i="10"/>
  <c r="E105" i="10"/>
  <c r="E159" i="10"/>
  <c r="E165" i="10" s="1"/>
  <c r="O31" i="3"/>
  <c r="E49" i="23" l="1"/>
  <c r="P67" i="29"/>
  <c r="N64" i="29"/>
  <c r="N67" i="29" s="1"/>
  <c r="C134" i="16"/>
  <c r="V122" i="16"/>
  <c r="O30" i="48"/>
  <c r="O31" i="48" s="1"/>
  <c r="U29" i="48"/>
  <c r="V29" i="48" s="1"/>
  <c r="W30" i="48" s="1"/>
  <c r="Q31" i="48"/>
  <c r="C16" i="12"/>
  <c r="J14" i="8"/>
  <c r="G14" i="8"/>
  <c r="C668" i="12"/>
  <c r="E670" i="12" s="1"/>
  <c r="C268" i="12"/>
  <c r="L77" i="10"/>
  <c r="N77" i="10" s="1"/>
  <c r="P77" i="10" s="1"/>
  <c r="L117" i="10"/>
  <c r="N111" i="10"/>
  <c r="N77" i="2"/>
  <c r="N27" i="9"/>
  <c r="O27" i="9"/>
  <c r="O33" i="9" s="1"/>
  <c r="M33" i="9"/>
  <c r="F137" i="10"/>
  <c r="E141" i="10"/>
  <c r="Q137" i="16"/>
  <c r="S137" i="16"/>
  <c r="P137" i="16"/>
  <c r="R137" i="16"/>
  <c r="O137" i="16"/>
  <c r="N141" i="16"/>
  <c r="E149" i="16"/>
  <c r="T32" i="11"/>
  <c r="R34" i="11"/>
  <c r="R29" i="48" s="1"/>
  <c r="N35" i="11"/>
  <c r="D35" i="11"/>
  <c r="V36" i="3"/>
  <c r="C580" i="12"/>
  <c r="T123" i="16"/>
  <c r="T129" i="16" s="1"/>
  <c r="L14" i="10"/>
  <c r="N14" i="10" s="1"/>
  <c r="P14" i="10" s="1"/>
  <c r="I16" i="10"/>
  <c r="E72" i="12" s="1"/>
  <c r="T123" i="2"/>
  <c r="T129" i="2" s="1"/>
  <c r="K16" i="10"/>
  <c r="O129" i="2"/>
  <c r="H16" i="10"/>
  <c r="J16" i="10"/>
  <c r="G16" i="10"/>
  <c r="E65" i="12" s="1"/>
  <c r="D15" i="10"/>
  <c r="E17" i="10"/>
  <c r="F17" i="10" s="1"/>
  <c r="H17" i="10" s="1"/>
  <c r="G459" i="12"/>
  <c r="G461" i="12" s="1"/>
  <c r="C497" i="12"/>
  <c r="E498" i="12" s="1"/>
  <c r="M105" i="2"/>
  <c r="T99" i="2"/>
  <c r="T105" i="2" s="1"/>
  <c r="E87" i="8"/>
  <c r="E93" i="8" s="1"/>
  <c r="L105" i="10"/>
  <c r="N99" i="10"/>
  <c r="O35" i="3"/>
  <c r="S31" i="3"/>
  <c r="C576" i="12"/>
  <c r="C575" i="12"/>
  <c r="E571" i="12"/>
  <c r="E595" i="12" s="1"/>
  <c r="C146" i="16" l="1"/>
  <c r="V146" i="16" s="1"/>
  <c r="V134" i="16"/>
  <c r="E510" i="12"/>
  <c r="E78" i="2"/>
  <c r="S77" i="2"/>
  <c r="P77" i="2"/>
  <c r="Q77" i="2"/>
  <c r="E137" i="2"/>
  <c r="C358" i="12"/>
  <c r="E54" i="2"/>
  <c r="C360" i="12"/>
  <c r="N77" i="8"/>
  <c r="R77" i="2"/>
  <c r="C373" i="12" s="1"/>
  <c r="O77" i="2"/>
  <c r="N33" i="9"/>
  <c r="Q27" i="9"/>
  <c r="Q33" i="9" s="1"/>
  <c r="N117" i="10"/>
  <c r="P117" i="10" s="1"/>
  <c r="P111" i="10"/>
  <c r="M149" i="16"/>
  <c r="T149" i="16" s="1"/>
  <c r="E153" i="16"/>
  <c r="T137" i="16"/>
  <c r="I137" i="10"/>
  <c r="J137" i="10"/>
  <c r="J141" i="10" s="1"/>
  <c r="D149" i="10"/>
  <c r="H137" i="10"/>
  <c r="F141" i="10"/>
  <c r="G137" i="10"/>
  <c r="K137" i="10"/>
  <c r="V32" i="11"/>
  <c r="T34" i="11"/>
  <c r="V34" i="11" s="1"/>
  <c r="L16" i="10"/>
  <c r="N16" i="10" s="1"/>
  <c r="P16" i="10" s="1"/>
  <c r="C58" i="12"/>
  <c r="E15" i="10"/>
  <c r="F15" i="10" s="1"/>
  <c r="J17" i="10"/>
  <c r="I17" i="10"/>
  <c r="K17" i="10"/>
  <c r="G17" i="10"/>
  <c r="E66" i="12" s="1"/>
  <c r="N105" i="10"/>
  <c r="P105" i="10" s="1"/>
  <c r="P99" i="10"/>
  <c r="O36" i="3"/>
  <c r="D36" i="3"/>
  <c r="U36" i="3"/>
  <c r="W36" i="3" s="1"/>
  <c r="X37" i="3" s="1"/>
  <c r="C570" i="12"/>
  <c r="C595" i="12" s="1"/>
  <c r="E596" i="12" s="1"/>
  <c r="V31" i="3"/>
  <c r="S35" i="3"/>
  <c r="E356" i="12" l="1"/>
  <c r="O77" i="8"/>
  <c r="T77" i="2"/>
  <c r="W77" i="2" s="1"/>
  <c r="M54" i="2"/>
  <c r="E54" i="8"/>
  <c r="M54" i="8" s="1"/>
  <c r="C246" i="12"/>
  <c r="P77" i="8"/>
  <c r="E368" i="12"/>
  <c r="G368" i="12" s="1"/>
  <c r="G369" i="12" s="1"/>
  <c r="R33" i="9"/>
  <c r="Q34" i="9"/>
  <c r="C659" i="12"/>
  <c r="E141" i="2"/>
  <c r="M137" i="2"/>
  <c r="E78" i="8"/>
  <c r="M78" i="8" s="1"/>
  <c r="R78" i="8" s="1"/>
  <c r="M78" i="2"/>
  <c r="N34" i="9"/>
  <c r="D34" i="9"/>
  <c r="E674" i="12"/>
  <c r="E149" i="10"/>
  <c r="C714" i="12"/>
  <c r="E716" i="12" s="1"/>
  <c r="E669" i="12"/>
  <c r="C672" i="12"/>
  <c r="L137" i="10"/>
  <c r="N137" i="10" s="1"/>
  <c r="P137" i="10" s="1"/>
  <c r="J15" i="10"/>
  <c r="K15" i="10"/>
  <c r="I15" i="10"/>
  <c r="C68" i="12"/>
  <c r="D18" i="10"/>
  <c r="D66" i="10"/>
  <c r="E277" i="12"/>
  <c r="G15" i="10"/>
  <c r="E64" i="12" s="1"/>
  <c r="E307" i="12"/>
  <c r="E73" i="12"/>
  <c r="L17" i="10"/>
  <c r="N17" i="10" s="1"/>
  <c r="P17" i="10" s="1"/>
  <c r="S36" i="3"/>
  <c r="V35" i="3"/>
  <c r="R77" i="8" l="1"/>
  <c r="T78" i="2"/>
  <c r="D136" i="10"/>
  <c r="C694" i="12"/>
  <c r="E661" i="12"/>
  <c r="N137" i="2"/>
  <c r="L149" i="10"/>
  <c r="N149" i="10" s="1"/>
  <c r="P149" i="10" s="1"/>
  <c r="E153" i="10"/>
  <c r="C304" i="12"/>
  <c r="D69" i="10"/>
  <c r="E66" i="10"/>
  <c r="F66" i="10" s="1"/>
  <c r="D19" i="10"/>
  <c r="E18" i="10"/>
  <c r="C61" i="12"/>
  <c r="G62" i="12" s="1"/>
  <c r="D141" i="10" l="1"/>
  <c r="E149" i="2"/>
  <c r="R137" i="2"/>
  <c r="Q137" i="2"/>
  <c r="O137" i="2"/>
  <c r="P137" i="2"/>
  <c r="N141" i="2"/>
  <c r="S137" i="2"/>
  <c r="E218" i="12"/>
  <c r="F69" i="10"/>
  <c r="H66" i="10"/>
  <c r="H69" i="10" s="1"/>
  <c r="I66" i="10"/>
  <c r="K66" i="10"/>
  <c r="K69" i="10" s="1"/>
  <c r="J66" i="10"/>
  <c r="D40" i="10"/>
  <c r="G66" i="10"/>
  <c r="F18" i="10"/>
  <c r="E19" i="10"/>
  <c r="E153" i="2" l="1"/>
  <c r="C709" i="12"/>
  <c r="M149" i="2"/>
  <c r="T149" i="2" s="1"/>
  <c r="W149" i="2" s="1"/>
  <c r="C662" i="12"/>
  <c r="E660" i="12"/>
  <c r="E694" i="12" s="1"/>
  <c r="E695" i="12" s="1"/>
  <c r="T137" i="2"/>
  <c r="W137" i="2" s="1"/>
  <c r="C666" i="12"/>
  <c r="E667" i="12"/>
  <c r="L66" i="10"/>
  <c r="G69" i="10"/>
  <c r="C308" i="12"/>
  <c r="E306" i="12"/>
  <c r="G304" i="12" s="1"/>
  <c r="C317" i="12"/>
  <c r="I69" i="10"/>
  <c r="D68" i="10"/>
  <c r="G18" i="10"/>
  <c r="F19" i="10"/>
  <c r="J18" i="10"/>
  <c r="J19" i="10" s="1"/>
  <c r="C70" i="12" s="1"/>
  <c r="H18" i="10"/>
  <c r="H19" i="10" s="1"/>
  <c r="K18" i="10"/>
  <c r="K19" i="10" s="1"/>
  <c r="I18" i="10"/>
  <c r="I19" i="10" s="1"/>
  <c r="E40" i="10"/>
  <c r="C212" i="12"/>
  <c r="C318" i="12"/>
  <c r="E319" i="12"/>
  <c r="J69" i="10"/>
  <c r="E711" i="12" l="1"/>
  <c r="E742" i="12" s="1"/>
  <c r="C742" i="12"/>
  <c r="C69" i="12"/>
  <c r="C92" i="12" s="1"/>
  <c r="E67" i="12"/>
  <c r="G19" i="10"/>
  <c r="L18" i="10"/>
  <c r="F40" i="10"/>
  <c r="N66" i="10"/>
  <c r="C305" i="12"/>
  <c r="G303" i="12" s="1"/>
  <c r="G305" i="12" s="1"/>
  <c r="E68" i="10"/>
  <c r="E743" i="12" l="1"/>
  <c r="G72" i="12"/>
  <c r="L68" i="10"/>
  <c r="E69" i="10"/>
  <c r="N18" i="10"/>
  <c r="L19" i="10"/>
  <c r="D20" i="10"/>
  <c r="L20" i="10"/>
  <c r="E92" i="12"/>
  <c r="E93" i="12" s="1"/>
  <c r="G63" i="12"/>
  <c r="G64" i="12" s="1"/>
  <c r="P66" i="10"/>
  <c r="D41" i="10"/>
  <c r="D43" i="10" s="1"/>
  <c r="G40" i="10"/>
  <c r="I40" i="10"/>
  <c r="J40" i="10"/>
  <c r="K40" i="10"/>
  <c r="H40" i="10"/>
  <c r="N68" i="10" l="1"/>
  <c r="L69" i="10"/>
  <c r="L40" i="10"/>
  <c r="E215" i="12"/>
  <c r="C213" i="12"/>
  <c r="E41" i="10"/>
  <c r="E43" i="10" s="1"/>
  <c r="L21" i="10"/>
  <c r="P18" i="10"/>
  <c r="N19" i="10"/>
  <c r="P19" i="10" s="1"/>
  <c r="P68" i="10" l="1"/>
  <c r="N69" i="10"/>
  <c r="P69" i="10" s="1"/>
  <c r="F41" i="10"/>
  <c r="F43" i="10" s="1"/>
  <c r="N40" i="10"/>
  <c r="G41" i="10" l="1"/>
  <c r="G43" i="10" s="1"/>
  <c r="K41" i="10"/>
  <c r="J41" i="10"/>
  <c r="J43" i="10" s="1"/>
  <c r="I41" i="10"/>
  <c r="I43" i="10" s="1"/>
  <c r="C219" i="12" s="1"/>
  <c r="G212" i="12" s="1"/>
  <c r="H41" i="10"/>
  <c r="K43" i="10" l="1"/>
  <c r="H43" i="10"/>
  <c r="E216" i="12"/>
  <c r="L41" i="10"/>
  <c r="L43" i="10" s="1"/>
  <c r="E221" i="12"/>
  <c r="C220" i="12"/>
  <c r="N41" i="10" l="1"/>
  <c r="N43" i="10" s="1"/>
  <c r="P43" i="10" s="1"/>
  <c r="P41" i="10" l="1"/>
  <c r="P43" i="16" l="1"/>
  <c r="R43" i="16"/>
  <c r="Q43" i="16"/>
  <c r="T43" i="16" l="1"/>
  <c r="X4" i="14" l="1"/>
  <c r="AO4" i="14" s="1"/>
  <c r="F52" i="10"/>
  <c r="J52" i="10" s="1"/>
  <c r="D53" i="10" l="1"/>
  <c r="C267" i="12" s="1"/>
  <c r="G271" i="12" s="1"/>
  <c r="H52" i="10"/>
  <c r="H159" i="10" s="1"/>
  <c r="H165" i="10" s="1"/>
  <c r="D58" i="10"/>
  <c r="F159" i="10"/>
  <c r="F165" i="10" s="1"/>
  <c r="I52" i="10"/>
  <c r="J159" i="10"/>
  <c r="J165" i="10" s="1"/>
  <c r="G52" i="10"/>
  <c r="K52" i="10"/>
  <c r="E53" i="10" l="1"/>
  <c r="I159" i="10"/>
  <c r="I165" i="10" s="1"/>
  <c r="E58" i="10"/>
  <c r="K159" i="10"/>
  <c r="K165" i="10" s="1"/>
  <c r="E271" i="12"/>
  <c r="L52" i="10"/>
  <c r="G159" i="10"/>
  <c r="G165" i="10" s="1"/>
  <c r="D166" i="10" s="1"/>
  <c r="L159" i="10" l="1"/>
  <c r="L165" i="10" s="1"/>
  <c r="N52" i="10"/>
  <c r="P52" i="10" l="1"/>
  <c r="N159" i="10"/>
  <c r="P159" i="10" l="1"/>
  <c r="N165" i="10"/>
  <c r="P165" i="10" s="1"/>
  <c r="F54" i="10"/>
  <c r="H54" i="10" s="1"/>
  <c r="N54" i="16"/>
  <c r="O54" i="16" s="1"/>
  <c r="N54" i="2"/>
  <c r="F53" i="10"/>
  <c r="D100" i="10" s="1"/>
  <c r="E100" i="10" s="1"/>
  <c r="E160" i="10" l="1"/>
  <c r="F100" i="10"/>
  <c r="F160" i="10" s="1"/>
  <c r="D112" i="10"/>
  <c r="D160" i="10" s="1"/>
  <c r="C276" i="12"/>
  <c r="F58" i="10"/>
  <c r="G53" i="10"/>
  <c r="I53" i="10"/>
  <c r="J53" i="10"/>
  <c r="S54" i="16"/>
  <c r="R54" i="16"/>
  <c r="Q54" i="16"/>
  <c r="P54" i="16"/>
  <c r="P58" i="16" s="1"/>
  <c r="C477" i="12"/>
  <c r="H53" i="10"/>
  <c r="M60" i="2"/>
  <c r="S54" i="2"/>
  <c r="C256" i="12"/>
  <c r="R54" i="2"/>
  <c r="P54" i="2"/>
  <c r="E612" i="12"/>
  <c r="Q54" i="2"/>
  <c r="O54" i="2"/>
  <c r="E155" i="12"/>
  <c r="C255" i="12"/>
  <c r="N54" i="8"/>
  <c r="K53" i="10"/>
  <c r="C278" i="12"/>
  <c r="G54" i="10"/>
  <c r="C277" i="12"/>
  <c r="E164" i="12"/>
  <c r="I54" i="10"/>
  <c r="J54" i="10"/>
  <c r="E283" i="12" s="1"/>
  <c r="D55" i="10"/>
  <c r="K54" i="10"/>
  <c r="C285" i="12" s="1"/>
  <c r="E265" i="12" l="1"/>
  <c r="P54" i="8"/>
  <c r="P58" i="8" s="1"/>
  <c r="P58" i="2"/>
  <c r="I58" i="10"/>
  <c r="T54" i="16"/>
  <c r="K58" i="10"/>
  <c r="E483" i="12"/>
  <c r="G58" i="10"/>
  <c r="L53" i="10"/>
  <c r="E272" i="12"/>
  <c r="E282" i="12"/>
  <c r="G281" i="12" s="1"/>
  <c r="J58" i="10"/>
  <c r="C281" i="12" s="1"/>
  <c r="H100" i="10"/>
  <c r="H160" i="10" s="1"/>
  <c r="K100" i="10"/>
  <c r="K160" i="10" s="1"/>
  <c r="I100" i="10"/>
  <c r="I160" i="10" s="1"/>
  <c r="F105" i="10"/>
  <c r="J100" i="10"/>
  <c r="E494" i="12" s="1"/>
  <c r="D101" i="10"/>
  <c r="G100" i="10"/>
  <c r="G160" i="10" s="1"/>
  <c r="E273" i="12"/>
  <c r="L54" i="10"/>
  <c r="N54" i="10" s="1"/>
  <c r="P54" i="10" s="1"/>
  <c r="D162" i="10"/>
  <c r="C269" i="12"/>
  <c r="E55" i="10"/>
  <c r="E251" i="12"/>
  <c r="O54" i="8"/>
  <c r="T54" i="2"/>
  <c r="W54" i="2" s="1"/>
  <c r="H58" i="10"/>
  <c r="R54" i="8" l="1"/>
  <c r="C280" i="12"/>
  <c r="G280" i="12" s="1"/>
  <c r="G282" i="12" s="1"/>
  <c r="M52" i="2"/>
  <c r="M52" i="16"/>
  <c r="N52" i="16" s="1"/>
  <c r="L58" i="10"/>
  <c r="N53" i="10"/>
  <c r="C478" i="12"/>
  <c r="G481" i="12" s="1"/>
  <c r="E101" i="10"/>
  <c r="J160" i="10"/>
  <c r="E480" i="12"/>
  <c r="G482" i="12" s="1"/>
  <c r="L100" i="10"/>
  <c r="N100" i="10" s="1"/>
  <c r="P100" i="10" s="1"/>
  <c r="E162" i="10"/>
  <c r="F55" i="10"/>
  <c r="G272" i="12"/>
  <c r="G273" i="12" s="1"/>
  <c r="N52" i="2" l="1"/>
  <c r="O52" i="2" s="1"/>
  <c r="P53" i="10"/>
  <c r="N58" i="10"/>
  <c r="P58" i="10" s="1"/>
  <c r="N160" i="10"/>
  <c r="P160" i="10" s="1"/>
  <c r="K55" i="10"/>
  <c r="I55" i="10"/>
  <c r="I162" i="10" s="1"/>
  <c r="F162" i="10"/>
  <c r="J55" i="10"/>
  <c r="J162" i="10" s="1"/>
  <c r="G55" i="10"/>
  <c r="H55" i="10"/>
  <c r="H162" i="10" s="1"/>
  <c r="D56" i="10"/>
  <c r="L160" i="10"/>
  <c r="M52" i="8"/>
  <c r="F101" i="10"/>
  <c r="S52" i="16"/>
  <c r="R52" i="16"/>
  <c r="Q52" i="16"/>
  <c r="O52" i="16"/>
  <c r="E53" i="16"/>
  <c r="G483" i="12"/>
  <c r="G485" i="12" s="1"/>
  <c r="R52" i="2" l="1"/>
  <c r="S52" i="2"/>
  <c r="Q52" i="2"/>
  <c r="E53" i="2"/>
  <c r="E53" i="8" s="1"/>
  <c r="N52" i="8"/>
  <c r="E249" i="12"/>
  <c r="O52" i="8"/>
  <c r="R52" i="8" s="1"/>
  <c r="E286" i="12"/>
  <c r="K162" i="10"/>
  <c r="C270" i="12"/>
  <c r="E56" i="10"/>
  <c r="C487" i="12"/>
  <c r="I101" i="10"/>
  <c r="C484" i="12"/>
  <c r="K101" i="10"/>
  <c r="E516" i="12"/>
  <c r="G101" i="10"/>
  <c r="C485" i="12"/>
  <c r="E163" i="12"/>
  <c r="C486" i="12"/>
  <c r="H101" i="10"/>
  <c r="C490" i="12" s="1"/>
  <c r="C488" i="12"/>
  <c r="D89" i="10"/>
  <c r="D125" i="10"/>
  <c r="D113" i="10"/>
  <c r="J101" i="10"/>
  <c r="E493" i="12" s="1"/>
  <c r="G494" i="12" s="1"/>
  <c r="G495" i="12" s="1"/>
  <c r="D27" i="10"/>
  <c r="E58" i="16"/>
  <c r="M53" i="16"/>
  <c r="T52" i="16"/>
  <c r="E274" i="12"/>
  <c r="G162" i="10"/>
  <c r="L55" i="10"/>
  <c r="C245" i="12" l="1"/>
  <c r="G255" i="12" s="1"/>
  <c r="T52" i="2"/>
  <c r="M53" i="2"/>
  <c r="M58" i="2" s="1"/>
  <c r="E58" i="2"/>
  <c r="L162" i="10"/>
  <c r="N55" i="10"/>
  <c r="D161" i="10"/>
  <c r="C162" i="12"/>
  <c r="E27" i="10"/>
  <c r="E481" i="12"/>
  <c r="L101" i="10"/>
  <c r="N101" i="10" s="1"/>
  <c r="P101" i="10" s="1"/>
  <c r="F56" i="10"/>
  <c r="N53" i="16"/>
  <c r="M58" i="16"/>
  <c r="D129" i="10"/>
  <c r="E125" i="10"/>
  <c r="C617" i="12"/>
  <c r="E618" i="12" s="1"/>
  <c r="C415" i="12"/>
  <c r="E417" i="12" s="1"/>
  <c r="D93" i="10"/>
  <c r="E89" i="10"/>
  <c r="C515" i="12"/>
  <c r="E113" i="10"/>
  <c r="E58" i="8"/>
  <c r="M53" i="8"/>
  <c r="C288" i="12" l="1"/>
  <c r="W52" i="2"/>
  <c r="N53" i="2"/>
  <c r="E112" i="2" s="1"/>
  <c r="F27" i="10"/>
  <c r="E161" i="10"/>
  <c r="M58" i="8"/>
  <c r="E93" i="10"/>
  <c r="F89" i="10"/>
  <c r="Q53" i="16"/>
  <c r="R53" i="16"/>
  <c r="S53" i="16"/>
  <c r="E100" i="16"/>
  <c r="O53" i="16"/>
  <c r="N58" i="16"/>
  <c r="P55" i="10"/>
  <c r="N162" i="10"/>
  <c r="P162" i="10" s="1"/>
  <c r="F113" i="10"/>
  <c r="F125" i="10"/>
  <c r="E129" i="10"/>
  <c r="I56" i="10"/>
  <c r="K56" i="10"/>
  <c r="G56" i="10"/>
  <c r="H56" i="10"/>
  <c r="D57" i="10"/>
  <c r="D79" i="10"/>
  <c r="J56" i="10"/>
  <c r="E100" i="2" l="1"/>
  <c r="M100" i="2" s="1"/>
  <c r="O53" i="2"/>
  <c r="O53" i="8" s="1"/>
  <c r="E112" i="16"/>
  <c r="M112" i="16" s="1"/>
  <c r="T112" i="16" s="1"/>
  <c r="R53" i="2"/>
  <c r="E264" i="12" s="1"/>
  <c r="G268" i="12" s="1"/>
  <c r="C254" i="12"/>
  <c r="N53" i="8"/>
  <c r="Q53" i="2"/>
  <c r="S53" i="2"/>
  <c r="N58" i="2"/>
  <c r="E284" i="12"/>
  <c r="E275" i="12"/>
  <c r="E279" i="12"/>
  <c r="L56" i="10"/>
  <c r="S58" i="16"/>
  <c r="R58" i="16"/>
  <c r="C286" i="12"/>
  <c r="Q58" i="16"/>
  <c r="C382" i="12"/>
  <c r="C376" i="12"/>
  <c r="E79" i="10"/>
  <c r="D163" i="10"/>
  <c r="Q58" i="2"/>
  <c r="C262" i="12" s="1"/>
  <c r="E57" i="10"/>
  <c r="F129" i="10"/>
  <c r="I125" i="10"/>
  <c r="K125" i="10"/>
  <c r="G125" i="10"/>
  <c r="J125" i="10"/>
  <c r="J129" i="10" s="1"/>
  <c r="H125" i="10"/>
  <c r="C620" i="12" s="1"/>
  <c r="S58" i="2"/>
  <c r="I89" i="10"/>
  <c r="G89" i="10"/>
  <c r="F93" i="10"/>
  <c r="H89" i="10"/>
  <c r="K89" i="10"/>
  <c r="J89" i="10"/>
  <c r="J93" i="10" s="1"/>
  <c r="F31" i="10"/>
  <c r="H27" i="10"/>
  <c r="G27" i="10"/>
  <c r="F161" i="10"/>
  <c r="I27" i="10"/>
  <c r="K27" i="10"/>
  <c r="J27" i="10"/>
  <c r="M112" i="2"/>
  <c r="T112" i="2" s="1"/>
  <c r="E117" i="2"/>
  <c r="O58" i="16"/>
  <c r="T53" i="16"/>
  <c r="F117" i="10"/>
  <c r="J113" i="10"/>
  <c r="J117" i="10" s="1"/>
  <c r="G113" i="10"/>
  <c r="I113" i="10"/>
  <c r="K113" i="10"/>
  <c r="C521" i="12" s="1"/>
  <c r="H113" i="10"/>
  <c r="C518" i="12" s="1"/>
  <c r="N58" i="8"/>
  <c r="O58" i="2"/>
  <c r="E59" i="2" s="1"/>
  <c r="M100" i="16"/>
  <c r="E461" i="12" l="1"/>
  <c r="E250" i="12"/>
  <c r="C455" i="12"/>
  <c r="E117" i="16"/>
  <c r="T53" i="2"/>
  <c r="W53" i="2" s="1"/>
  <c r="W58" i="2" s="1"/>
  <c r="R58" i="2"/>
  <c r="C263" i="12" s="1"/>
  <c r="G266" i="12" s="1"/>
  <c r="G269" i="12" s="1"/>
  <c r="T58" i="16"/>
  <c r="L125" i="10"/>
  <c r="N125" i="10" s="1"/>
  <c r="P125" i="10" s="1"/>
  <c r="C165" i="12"/>
  <c r="E166" i="12" s="1"/>
  <c r="N56" i="10"/>
  <c r="C167" i="12"/>
  <c r="E421" i="12"/>
  <c r="C420" i="12"/>
  <c r="T58" i="2"/>
  <c r="I161" i="10"/>
  <c r="F57" i="10"/>
  <c r="N100" i="16"/>
  <c r="L89" i="10"/>
  <c r="N89" i="10" s="1"/>
  <c r="P89" i="10" s="1"/>
  <c r="E288" i="12"/>
  <c r="E289" i="12" s="1"/>
  <c r="G254" i="12"/>
  <c r="G256" i="12" s="1"/>
  <c r="L113" i="10"/>
  <c r="N113" i="10" s="1"/>
  <c r="P113" i="10" s="1"/>
  <c r="O58" i="8"/>
  <c r="R53" i="8"/>
  <c r="N100" i="2"/>
  <c r="G161" i="10"/>
  <c r="L27" i="10"/>
  <c r="F79" i="10"/>
  <c r="E163" i="10"/>
  <c r="P100" i="16" l="1"/>
  <c r="Q100" i="16"/>
  <c r="D84" i="16"/>
  <c r="N105" i="16"/>
  <c r="O100" i="16"/>
  <c r="E101" i="16"/>
  <c r="M101" i="16" s="1"/>
  <c r="H57" i="10"/>
  <c r="I57" i="10"/>
  <c r="J57" i="10"/>
  <c r="K57" i="10"/>
  <c r="G57" i="10"/>
  <c r="O100" i="2"/>
  <c r="N105" i="2"/>
  <c r="Q100" i="2"/>
  <c r="P100" i="2"/>
  <c r="D84" i="2"/>
  <c r="E101" i="2"/>
  <c r="R100" i="2"/>
  <c r="N27" i="10"/>
  <c r="I79" i="10"/>
  <c r="I163" i="10" s="1"/>
  <c r="K79" i="10"/>
  <c r="K163" i="10" s="1"/>
  <c r="C383" i="12"/>
  <c r="G79" i="10"/>
  <c r="J79" i="10"/>
  <c r="E219" i="12"/>
  <c r="G213" i="12" s="1"/>
  <c r="G214" i="12" s="1"/>
  <c r="H79" i="10"/>
  <c r="D80" i="10"/>
  <c r="F163" i="10"/>
  <c r="P56" i="10"/>
  <c r="R58" i="8"/>
  <c r="S58" i="8" s="1"/>
  <c r="E80" i="10" l="1"/>
  <c r="D164" i="10"/>
  <c r="E458" i="12"/>
  <c r="G455" i="12" s="1"/>
  <c r="T100" i="2"/>
  <c r="E390" i="12"/>
  <c r="H163" i="10"/>
  <c r="P27" i="10"/>
  <c r="N101" i="16"/>
  <c r="E474" i="12"/>
  <c r="L57" i="10"/>
  <c r="T100" i="16"/>
  <c r="J163" i="10"/>
  <c r="C456" i="12"/>
  <c r="G454" i="12" s="1"/>
  <c r="M101" i="2"/>
  <c r="E380" i="12"/>
  <c r="G163" i="10"/>
  <c r="L79" i="10"/>
  <c r="G456" i="12" l="1"/>
  <c r="W100" i="2"/>
  <c r="N101" i="2"/>
  <c r="F80" i="10"/>
  <c r="E164" i="10"/>
  <c r="Q101" i="16"/>
  <c r="O101" i="16"/>
  <c r="P101" i="16"/>
  <c r="E89" i="16"/>
  <c r="S101" i="16"/>
  <c r="S105" i="16" s="1"/>
  <c r="E125" i="16"/>
  <c r="E27" i="16"/>
  <c r="R101" i="16"/>
  <c r="R105" i="16" s="1"/>
  <c r="R108" i="16" s="1"/>
  <c r="E113" i="16"/>
  <c r="M113" i="16" s="1"/>
  <c r="N57" i="10"/>
  <c r="N79" i="10"/>
  <c r="L163" i="10"/>
  <c r="I80" i="10" l="1"/>
  <c r="I164" i="10" s="1"/>
  <c r="G80" i="10"/>
  <c r="J80" i="10"/>
  <c r="K80" i="10"/>
  <c r="K164" i="10" s="1"/>
  <c r="H80" i="10"/>
  <c r="F164" i="10"/>
  <c r="E93" i="16"/>
  <c r="M89" i="16"/>
  <c r="S101" i="2"/>
  <c r="S105" i="2" s="1"/>
  <c r="C466" i="12"/>
  <c r="C462" i="12"/>
  <c r="C465" i="12"/>
  <c r="E125" i="2"/>
  <c r="C463" i="12"/>
  <c r="C464" i="12"/>
  <c r="O101" i="2"/>
  <c r="P101" i="2"/>
  <c r="C471" i="12" s="1"/>
  <c r="Q101" i="2"/>
  <c r="E154" i="12"/>
  <c r="E185" i="12" s="1"/>
  <c r="E113" i="2"/>
  <c r="E509" i="12"/>
  <c r="E545" i="12" s="1"/>
  <c r="R101" i="2"/>
  <c r="E475" i="12" s="1"/>
  <c r="E27" i="2"/>
  <c r="E89" i="2"/>
  <c r="P79" i="10"/>
  <c r="N163" i="10"/>
  <c r="P163" i="10" s="1"/>
  <c r="T101" i="16"/>
  <c r="N113" i="16"/>
  <c r="P57" i="10"/>
  <c r="M27" i="16"/>
  <c r="M125" i="16"/>
  <c r="E93" i="2" l="1"/>
  <c r="C406" i="12"/>
  <c r="M89" i="2"/>
  <c r="E459" i="12"/>
  <c r="T101" i="2"/>
  <c r="W101" i="2" s="1"/>
  <c r="N89" i="16"/>
  <c r="M27" i="2"/>
  <c r="E27" i="8"/>
  <c r="C153" i="12"/>
  <c r="C185" i="12" s="1"/>
  <c r="E186" i="12" s="1"/>
  <c r="R113" i="16"/>
  <c r="S113" i="16"/>
  <c r="P113" i="16"/>
  <c r="Q113" i="16"/>
  <c r="O113" i="16"/>
  <c r="N117" i="16"/>
  <c r="M125" i="2"/>
  <c r="C610" i="12"/>
  <c r="E391" i="12"/>
  <c r="H164" i="10"/>
  <c r="N27" i="16"/>
  <c r="M113" i="2"/>
  <c r="C508" i="12"/>
  <c r="C545" i="12" s="1"/>
  <c r="E546" i="12" s="1"/>
  <c r="C386" i="12"/>
  <c r="J164" i="10"/>
  <c r="R125" i="16"/>
  <c r="N125" i="16"/>
  <c r="G164" i="10"/>
  <c r="L80" i="10"/>
  <c r="T113" i="16" l="1"/>
  <c r="Q89" i="16"/>
  <c r="P89" i="16"/>
  <c r="N93" i="16"/>
  <c r="S89" i="16"/>
  <c r="R89" i="16"/>
  <c r="O89" i="16"/>
  <c r="N31" i="16"/>
  <c r="P27" i="16"/>
  <c r="Q27" i="16"/>
  <c r="R27" i="16"/>
  <c r="O27" i="16"/>
  <c r="C644" i="12"/>
  <c r="E611" i="12"/>
  <c r="E644" i="12" s="1"/>
  <c r="N89" i="2"/>
  <c r="N80" i="10"/>
  <c r="L164" i="10"/>
  <c r="N113" i="2"/>
  <c r="M27" i="8"/>
  <c r="E408" i="12"/>
  <c r="E439" i="12" s="1"/>
  <c r="C439" i="12"/>
  <c r="P125" i="16"/>
  <c r="S125" i="16"/>
  <c r="O125" i="16"/>
  <c r="R125" i="2"/>
  <c r="N125" i="2"/>
  <c r="N27" i="2"/>
  <c r="E440" i="12" l="1"/>
  <c r="T125" i="16"/>
  <c r="O84" i="16"/>
  <c r="T89" i="16"/>
  <c r="E645" i="12"/>
  <c r="O89" i="2"/>
  <c r="P89" i="2"/>
  <c r="S89" i="2"/>
  <c r="N93" i="2"/>
  <c r="R89" i="2"/>
  <c r="Q89" i="2"/>
  <c r="O113" i="2"/>
  <c r="P113" i="2"/>
  <c r="C513" i="12" s="1"/>
  <c r="R113" i="2"/>
  <c r="Q113" i="2"/>
  <c r="N117" i="2"/>
  <c r="S113" i="2"/>
  <c r="C520" i="12" s="1"/>
  <c r="E522" i="12" s="1"/>
  <c r="O125" i="2"/>
  <c r="S125" i="2"/>
  <c r="Q125" i="2"/>
  <c r="P125" i="2"/>
  <c r="C615" i="12" s="1"/>
  <c r="N31" i="2"/>
  <c r="N27" i="8"/>
  <c r="S27" i="2"/>
  <c r="R27" i="2"/>
  <c r="S27" i="16"/>
  <c r="O27" i="2"/>
  <c r="P27" i="2"/>
  <c r="Q27" i="2"/>
  <c r="P80" i="10"/>
  <c r="N164" i="10"/>
  <c r="P164" i="10" s="1"/>
  <c r="E412" i="12" l="1"/>
  <c r="T113" i="2"/>
  <c r="W113" i="2" s="1"/>
  <c r="C413" i="12"/>
  <c r="E414" i="12"/>
  <c r="O27" i="8"/>
  <c r="T27" i="2"/>
  <c r="T125" i="2"/>
  <c r="W125" i="2" s="1"/>
  <c r="T27" i="16"/>
  <c r="O84" i="2"/>
  <c r="T89" i="2"/>
  <c r="W89" i="2" s="1"/>
  <c r="P27" i="8"/>
  <c r="C160" i="12"/>
  <c r="N31" i="8"/>
  <c r="C158" i="12"/>
  <c r="G159" i="12" s="1"/>
  <c r="R27" i="8" l="1"/>
  <c r="W27" i="2"/>
  <c r="P7" i="54" l="1"/>
  <c r="S19" i="54" l="1"/>
  <c r="I7" i="54"/>
  <c r="E15" i="54"/>
  <c r="I15" i="54"/>
  <c r="C41" i="54"/>
  <c r="K41" i="54" s="1"/>
  <c r="D41" i="54" l="1"/>
  <c r="C15" i="54"/>
  <c r="K15" i="54" s="1"/>
  <c r="M15" i="54"/>
  <c r="I17" i="54"/>
  <c r="C7" i="54"/>
  <c r="L93" i="60"/>
  <c r="H96" i="60" l="1"/>
  <c r="P76" i="60"/>
  <c r="L41" i="54"/>
  <c r="F41" i="54"/>
  <c r="K7" i="54"/>
  <c r="C17" i="54"/>
  <c r="C21" i="54" s="1"/>
  <c r="N41" i="54" l="1"/>
  <c r="K17" i="54"/>
  <c r="H32" i="54" l="1"/>
  <c r="T32" i="54" l="1"/>
  <c r="J32" i="54"/>
  <c r="J38" i="54" s="1"/>
  <c r="J43" i="54" s="1"/>
  <c r="J47" i="54" s="1"/>
  <c r="H38" i="54"/>
  <c r="H43" i="54" s="1"/>
  <c r="H11" i="54"/>
  <c r="J11" i="54" s="1"/>
  <c r="V11" i="54" l="1"/>
  <c r="S11" i="54"/>
  <c r="H15" i="54" l="1"/>
  <c r="J15" i="54" s="1"/>
  <c r="S15" i="54" l="1"/>
  <c r="V15" i="54"/>
  <c r="D32" i="54" l="1"/>
  <c r="H7" i="54"/>
  <c r="D11" i="54" l="1"/>
  <c r="D36" i="54"/>
  <c r="F32" i="54"/>
  <c r="N32" i="54" s="1"/>
  <c r="L32" i="54"/>
  <c r="H17" i="54"/>
  <c r="J7" i="54"/>
  <c r="F11" i="54" l="1"/>
  <c r="N11" i="54" s="1"/>
  <c r="L11" i="54"/>
  <c r="D15" i="54"/>
  <c r="D34" i="54"/>
  <c r="F36" i="54"/>
  <c r="N36" i="54" s="1"/>
  <c r="L36" i="54"/>
  <c r="V7" i="54"/>
  <c r="S7" i="54"/>
  <c r="S18" i="54" s="1"/>
  <c r="S20" i="54" s="1"/>
  <c r="J17" i="54"/>
  <c r="L15" i="54" l="1"/>
  <c r="F15" i="54"/>
  <c r="N15" i="54" s="1"/>
  <c r="F34" i="54"/>
  <c r="N34" i="54" s="1"/>
  <c r="L34" i="54"/>
  <c r="J21" i="54"/>
  <c r="V17" i="54"/>
  <c r="D28" i="54"/>
  <c r="F28" i="54" l="1"/>
  <c r="L28" i="54"/>
  <c r="N28" i="54" l="1"/>
  <c r="D7" i="54"/>
  <c r="L7" i="54" l="1"/>
  <c r="D30" i="54" l="1"/>
  <c r="L30" i="54" l="1"/>
  <c r="F30" i="54"/>
  <c r="D38" i="54"/>
  <c r="D9" i="54" l="1"/>
  <c r="L38" i="54"/>
  <c r="L43" i="54" s="1"/>
  <c r="D43" i="54"/>
  <c r="N30" i="54"/>
  <c r="F38" i="54"/>
  <c r="N38" i="54" l="1"/>
  <c r="N43" i="54" s="1"/>
  <c r="F43" i="54"/>
  <c r="F47" i="54" s="1"/>
  <c r="L9" i="54"/>
  <c r="F9" i="54"/>
  <c r="N9" i="54" s="1"/>
  <c r="D17" i="54"/>
  <c r="L17" i="54" s="1"/>
  <c r="E7" i="54" l="1"/>
  <c r="F7" i="54" l="1"/>
  <c r="M7" i="54"/>
  <c r="E17" i="54"/>
  <c r="M17" i="54" s="1"/>
  <c r="F17" i="54" l="1"/>
  <c r="N7" i="54"/>
  <c r="N17" i="54" l="1"/>
  <c r="F21" i="54"/>
  <c r="D143" i="56" l="1"/>
  <c r="C143" i="56" s="1"/>
  <c r="C364" i="80" l="1"/>
  <c r="L166" i="56"/>
  <c r="M166" i="56" s="1"/>
  <c r="D42" i="55" l="1"/>
  <c r="J7" i="52" l="1"/>
  <c r="K5" i="52" l="1"/>
  <c r="K7" i="52" s="1"/>
  <c r="Y29" i="63" l="1"/>
  <c r="Y31" i="63" s="1"/>
  <c r="Z29" i="63"/>
  <c r="Z31" i="63" s="1"/>
  <c r="W74" i="63" l="1"/>
  <c r="Z31" i="78" l="1"/>
  <c r="W79" i="63"/>
  <c r="X29" i="63"/>
  <c r="X31" i="63" l="1"/>
  <c r="W81" i="63"/>
  <c r="W83" i="63" l="1"/>
  <c r="M54" i="60" l="1"/>
  <c r="C50" i="55" l="1"/>
  <c r="M58" i="60" l="1"/>
  <c r="C52" i="55" l="1"/>
  <c r="AP19" i="65" l="1"/>
  <c r="AP20" i="65" s="1"/>
  <c r="H62" i="60"/>
  <c r="F101" i="117" l="1"/>
  <c r="F102" i="117"/>
  <c r="F97" i="111"/>
  <c r="F98" i="111"/>
  <c r="G98" i="111" s="1"/>
  <c r="M62" i="60"/>
  <c r="H93" i="60"/>
  <c r="J93" i="60" s="1"/>
  <c r="F104" i="117" l="1"/>
  <c r="F106" i="117" s="1"/>
  <c r="G97" i="111"/>
  <c r="F100" i="111"/>
  <c r="F102" i="111" l="1"/>
  <c r="G100" i="111"/>
  <c r="C54" i="55"/>
  <c r="M66" i="60" l="1"/>
  <c r="C56" i="55" l="1"/>
  <c r="M68" i="60"/>
  <c r="C58" i="55" l="1"/>
  <c r="AR21" i="65" l="1"/>
  <c r="K169" i="56"/>
  <c r="K171" i="56" s="1"/>
  <c r="F98" i="60"/>
  <c r="E97" i="60"/>
  <c r="F97" i="60" l="1"/>
  <c r="F100" i="60" s="1"/>
  <c r="F102" i="60" s="1"/>
  <c r="AR19" i="65"/>
  <c r="AR20" i="65" s="1"/>
  <c r="AQ20" i="65" s="1"/>
  <c r="B41" i="85"/>
  <c r="K41" i="85" s="1"/>
  <c r="G97" i="60"/>
  <c r="M72" i="60"/>
  <c r="H97" i="60"/>
  <c r="I169" i="56"/>
  <c r="AR22" i="65"/>
  <c r="F84" i="60"/>
  <c r="C41" i="85" s="1"/>
  <c r="E41" i="85" s="1"/>
  <c r="K161" i="56"/>
  <c r="G98" i="60"/>
  <c r="F161" i="56"/>
  <c r="F163" i="56" s="1"/>
  <c r="B66" i="85" l="1"/>
  <c r="L41" i="85"/>
  <c r="D360" i="80"/>
  <c r="D361" i="80" s="1"/>
  <c r="AR30" i="65"/>
  <c r="AQ19" i="65"/>
  <c r="E101" i="60"/>
  <c r="K194" i="56"/>
  <c r="H161" i="56"/>
  <c r="B161" i="56"/>
  <c r="AR24" i="65"/>
  <c r="M95" i="60"/>
  <c r="M93" i="60"/>
  <c r="I171" i="56"/>
  <c r="E100" i="60"/>
  <c r="M66" i="85" l="1"/>
  <c r="C13" i="70"/>
  <c r="G100" i="60"/>
  <c r="E102" i="60"/>
  <c r="E161" i="56"/>
  <c r="AR26" i="65"/>
  <c r="M194" i="56"/>
  <c r="D362" i="80" l="1"/>
  <c r="AR29" i="65"/>
  <c r="C62" i="55"/>
  <c r="D363" i="80" l="1"/>
  <c r="H312" i="80"/>
  <c r="D364" i="80"/>
  <c r="E364" i="80" s="1"/>
  <c r="L169" i="56"/>
  <c r="D13" i="70"/>
  <c r="D15" i="70" s="1"/>
  <c r="AR31" i="65"/>
  <c r="E13" i="70" l="1"/>
  <c r="D365" i="80"/>
  <c r="L171" i="56"/>
  <c r="N174" i="56" s="1"/>
  <c r="M169" i="56"/>
  <c r="M171" i="56" s="1"/>
  <c r="Y31" i="78" l="1"/>
  <c r="I90" i="60" l="1"/>
  <c r="J290" i="80" l="1"/>
  <c r="L290" i="80" s="1"/>
  <c r="W74" i="77" l="1"/>
  <c r="W75" i="77" l="1"/>
  <c r="V76" i="77" s="1"/>
  <c r="W79" i="77"/>
  <c r="W76" i="77" l="1"/>
  <c r="W81" i="77"/>
  <c r="W83" i="77" l="1"/>
  <c r="X31" i="78" l="1"/>
  <c r="W73" i="78" l="1"/>
  <c r="W74" i="78" s="1"/>
  <c r="W75" i="78" l="1"/>
  <c r="V76" i="78" s="1"/>
  <c r="W79" i="78"/>
  <c r="W76" i="78" l="1"/>
  <c r="W81" i="78"/>
  <c r="W83" i="78" l="1"/>
  <c r="I52" i="59" l="1"/>
  <c r="D285" i="80" l="1"/>
  <c r="W30" i="88" l="1"/>
  <c r="Y29" i="76" l="1"/>
  <c r="Y31" i="76" s="1"/>
  <c r="W74" i="76"/>
  <c r="W75" i="76" l="1"/>
  <c r="V76" i="76" s="1"/>
  <c r="X29" i="76"/>
  <c r="X31" i="76" s="1"/>
  <c r="W120" i="88"/>
  <c r="W121" i="88" s="1"/>
  <c r="W79" i="76"/>
  <c r="Z30" i="88"/>
  <c r="Y30" i="88"/>
  <c r="W76" i="76" l="1"/>
  <c r="X30" i="88"/>
  <c r="W126" i="88"/>
  <c r="W128" i="88" s="1"/>
  <c r="W130" i="88" s="1"/>
  <c r="W122" i="88"/>
  <c r="W123" i="88" s="1"/>
  <c r="W81" i="76"/>
  <c r="W83" i="76" l="1"/>
  <c r="D92" i="55" l="1"/>
  <c r="D88" i="55" l="1"/>
  <c r="D94" i="55" l="1"/>
  <c r="D86" i="55"/>
  <c r="D52" i="80" l="1"/>
  <c r="D13" i="80" l="1"/>
  <c r="D87" i="80" l="1"/>
  <c r="AU32" i="93" l="1"/>
  <c r="AW27" i="76" l="1"/>
  <c r="AY41" i="78" l="1"/>
  <c r="M150" i="56" l="1"/>
  <c r="M151" i="56" l="1"/>
  <c r="M152" i="56"/>
  <c r="M153" i="56"/>
  <c r="M154" i="56" l="1"/>
  <c r="M155" i="56" l="1"/>
  <c r="I53" i="80" l="1"/>
  <c r="I46" i="80"/>
  <c r="H351" i="80" l="1"/>
  <c r="H12" i="81"/>
  <c r="I112" i="80" l="1"/>
  <c r="D82" i="80"/>
  <c r="D12" i="81" l="1"/>
  <c r="I27" i="80" l="1"/>
  <c r="H11" i="81" l="1"/>
  <c r="D86" i="80" l="1"/>
  <c r="D286" i="80" l="1"/>
  <c r="D149" i="80" l="1"/>
  <c r="J149" i="80"/>
  <c r="L149" i="80" s="1"/>
  <c r="J148" i="80"/>
  <c r="L148" i="80" s="1"/>
  <c r="D148" i="80"/>
  <c r="D150" i="80"/>
  <c r="AJ79" i="95" l="1"/>
  <c r="AJ81" i="95" s="1"/>
  <c r="AJ83" i="95" s="1"/>
  <c r="Y79" i="78"/>
  <c r="Y81" i="78" l="1"/>
  <c r="Y83" i="78" l="1"/>
  <c r="AJ79" i="76" l="1"/>
  <c r="AJ81" i="76" s="1"/>
  <c r="AJ83" i="76" s="1"/>
  <c r="AJ79" i="63" l="1"/>
  <c r="AJ81" i="63" l="1"/>
  <c r="AJ83" i="63" l="1"/>
  <c r="D72" i="55" l="1"/>
  <c r="D68" i="55" l="1"/>
  <c r="D80" i="55" l="1"/>
  <c r="G9" i="61" l="1"/>
  <c r="G10" i="61"/>
  <c r="G11" i="61"/>
  <c r="G12" i="61"/>
  <c r="G13" i="61"/>
  <c r="G14" i="61"/>
  <c r="G15" i="61"/>
  <c r="G16" i="61"/>
  <c r="G17" i="61"/>
  <c r="G21" i="61" l="1"/>
  <c r="B89" i="77"/>
  <c r="B92" i="77"/>
  <c r="R93" i="77" s="1"/>
  <c r="Q94" i="77" s="1"/>
  <c r="I181" i="127" l="1"/>
  <c r="I202" i="127" s="1"/>
  <c r="C191" i="127"/>
  <c r="E59" i="85"/>
  <c r="C15" i="55"/>
  <c r="I181" i="56"/>
  <c r="I202" i="56" s="1"/>
  <c r="D307" i="80"/>
  <c r="G307" i="80" s="1"/>
  <c r="R317" i="80" s="1"/>
  <c r="C191" i="56"/>
  <c r="B94" i="77"/>
  <c r="F94" i="77"/>
  <c r="J94" i="77"/>
  <c r="E94" i="77"/>
  <c r="P94" i="77"/>
  <c r="N94" i="77"/>
  <c r="D94" i="77"/>
  <c r="C94" i="77"/>
  <c r="M94" i="77"/>
  <c r="G94" i="77"/>
  <c r="R94" i="77"/>
  <c r="K94" i="77"/>
  <c r="O94" i="77"/>
  <c r="L94" i="77"/>
  <c r="I94" i="77"/>
  <c r="H94" i="77"/>
  <c r="J202" i="56" l="1"/>
  <c r="K202" i="56" s="1"/>
  <c r="J202" i="127"/>
  <c r="K202" i="127"/>
  <c r="D15" i="55"/>
  <c r="E71" i="85"/>
  <c r="H307" i="80"/>
  <c r="CA19" i="69" l="1"/>
  <c r="G122" i="127" s="1"/>
  <c r="H122" i="127" s="1"/>
  <c r="H143" i="127" s="1"/>
  <c r="O143" i="127" l="1"/>
  <c r="M143" i="127"/>
  <c r="G122" i="56"/>
  <c r="H122" i="56" s="1"/>
  <c r="H143" i="56" s="1"/>
  <c r="CA20" i="69"/>
  <c r="CB20" i="69" s="1"/>
  <c r="CA21" i="69"/>
  <c r="CB19" i="69"/>
  <c r="O144" i="127" l="1"/>
  <c r="O145" i="127" s="1"/>
  <c r="BR21" i="120"/>
  <c r="BS21" i="120" s="1"/>
  <c r="DU21" i="122"/>
  <c r="DV21" i="122" s="1"/>
  <c r="DP19" i="69"/>
  <c r="DO19" i="69" s="1"/>
  <c r="DP20" i="69"/>
  <c r="DO20" i="69" s="1"/>
  <c r="CB30" i="69"/>
  <c r="DP30" i="69" s="1"/>
  <c r="CB21" i="69"/>
  <c r="CB23" i="69" s="1"/>
  <c r="CB32" i="69"/>
  <c r="DP32" i="69" s="1"/>
  <c r="DP23" i="69" l="1"/>
  <c r="DO23" i="69" s="1"/>
  <c r="DP21" i="69"/>
  <c r="DO21" i="69" s="1"/>
  <c r="DP41" i="69"/>
  <c r="DP43" i="69" s="1"/>
  <c r="DP38" i="69"/>
  <c r="DQ21" i="69"/>
  <c r="M143" i="56"/>
  <c r="O143" i="56"/>
  <c r="C360" i="80"/>
  <c r="E360" i="80" s="1"/>
  <c r="C359" i="80"/>
  <c r="B6" i="70"/>
  <c r="CB25" i="69"/>
  <c r="DP25" i="69" s="1"/>
  <c r="DR21" i="69" l="1"/>
  <c r="CB37" i="69"/>
  <c r="CB38" i="69" s="1"/>
  <c r="O144" i="56"/>
  <c r="C6" i="70"/>
  <c r="E359" i="80"/>
  <c r="C361" i="80"/>
  <c r="CB27" i="69"/>
  <c r="DP27" i="69" s="1"/>
  <c r="O145" i="56" l="1"/>
  <c r="CB31" i="69"/>
  <c r="DP31" i="69" s="1"/>
  <c r="C102" i="55"/>
  <c r="C362" i="80"/>
  <c r="E362" i="80" s="1"/>
  <c r="E361" i="80"/>
  <c r="D6" i="70" l="1"/>
  <c r="I205" i="127" s="1"/>
  <c r="CB33" i="69"/>
  <c r="DP33" i="69" s="1"/>
  <c r="C363" i="80"/>
  <c r="I205" i="56" l="1"/>
  <c r="E6" i="70"/>
  <c r="CB39" i="69"/>
  <c r="C365" i="80"/>
  <c r="C369" i="80" s="1"/>
  <c r="E363" i="80"/>
  <c r="E365" i="80" s="1"/>
  <c r="F108" i="55" l="1"/>
  <c r="F109" i="55" s="1"/>
  <c r="AV9" i="95" l="1"/>
  <c r="D75" i="1"/>
  <c r="D194" i="1" s="1"/>
  <c r="M187" i="1"/>
  <c r="AV9" i="103" l="1"/>
  <c r="AV11" i="103" s="1"/>
  <c r="AV9" i="88"/>
  <c r="AV11" i="88" s="1"/>
  <c r="D76" i="1"/>
  <c r="D84" i="1" s="1"/>
  <c r="N76" i="1"/>
  <c r="M192" i="1"/>
  <c r="AE187" i="1"/>
  <c r="AG70" i="1"/>
  <c r="E124" i="16"/>
  <c r="E124" i="2"/>
  <c r="M75" i="1"/>
  <c r="M194" i="1" s="1"/>
  <c r="D192" i="1"/>
  <c r="D195" i="1" l="1"/>
  <c r="M124" i="2"/>
  <c r="E129" i="2"/>
  <c r="M124" i="16"/>
  <c r="E129" i="16"/>
  <c r="AG187" i="1"/>
  <c r="R124" i="16" l="1"/>
  <c r="N124" i="16"/>
  <c r="R124" i="2"/>
  <c r="N124" i="2"/>
  <c r="Q124" i="2" l="1"/>
  <c r="P124" i="2"/>
  <c r="S124" i="2"/>
  <c r="O124" i="2"/>
  <c r="O124" i="16"/>
  <c r="P124" i="16"/>
  <c r="S124" i="16"/>
  <c r="T124" i="16" l="1"/>
  <c r="T124" i="2"/>
  <c r="J324" i="80" l="1"/>
  <c r="R43" i="8" l="1"/>
  <c r="S43" i="8" s="1"/>
  <c r="M43" i="8"/>
  <c r="T43" i="2"/>
  <c r="W43" i="2" s="1"/>
  <c r="Q43" i="2"/>
  <c r="C207" i="12" s="1"/>
  <c r="G207" i="12" s="1"/>
  <c r="P43" i="8"/>
  <c r="P43" i="2"/>
  <c r="O43" i="8"/>
  <c r="O43" i="2"/>
  <c r="R43" i="2"/>
  <c r="C208" i="12" s="1"/>
  <c r="S43" i="2"/>
  <c r="N43" i="8"/>
  <c r="S43" i="16"/>
  <c r="N43" i="2"/>
  <c r="O43" i="16"/>
  <c r="N43" i="16"/>
  <c r="M43" i="2"/>
  <c r="M43" i="16"/>
  <c r="G202" i="12"/>
  <c r="E43" i="16"/>
  <c r="B29" i="23"/>
  <c r="J36" i="14"/>
  <c r="Y64" i="14" l="1"/>
  <c r="J34" i="14" l="1"/>
  <c r="J40" i="14" s="1"/>
  <c r="B27" i="23"/>
  <c r="C34" i="23" s="1"/>
  <c r="C40" i="14"/>
  <c r="G15" i="29" s="1"/>
  <c r="Y66" i="14"/>
  <c r="AD16" i="1" l="1"/>
  <c r="AE16" i="1" s="1"/>
  <c r="AD190" i="1"/>
  <c r="H15" i="29"/>
  <c r="G62" i="29"/>
  <c r="AG16" i="1" l="1"/>
  <c r="K119" i="14"/>
  <c r="W192" i="1"/>
  <c r="W195" i="1" s="1"/>
  <c r="W203" i="1"/>
  <c r="N15" i="29"/>
  <c r="H62" i="29"/>
  <c r="AE190" i="1"/>
  <c r="F46" i="85" s="1"/>
  <c r="H13" i="16"/>
  <c r="K13" i="16"/>
  <c r="E43" i="56" l="1"/>
  <c r="L119" i="14"/>
  <c r="L121" i="14" s="1"/>
  <c r="J13" i="16"/>
  <c r="J19" i="16" s="1"/>
  <c r="J20" i="16" s="1"/>
  <c r="G13" i="2"/>
  <c r="G13" i="8" s="1"/>
  <c r="L13" i="2"/>
  <c r="L13" i="8" s="1"/>
  <c r="R44" i="39"/>
  <c r="R45" i="39" s="1"/>
  <c r="H13" i="2"/>
  <c r="H19" i="2" s="1"/>
  <c r="H20" i="2" s="1"/>
  <c r="K13" i="2"/>
  <c r="K13" i="8" s="1"/>
  <c r="C51" i="23"/>
  <c r="E51" i="23" s="1"/>
  <c r="E53" i="23" s="1"/>
  <c r="G13" i="16"/>
  <c r="M13" i="16" s="1"/>
  <c r="L13" i="16"/>
  <c r="L19" i="16" s="1"/>
  <c r="L20" i="16" s="1"/>
  <c r="W205" i="1"/>
  <c r="K121" i="14"/>
  <c r="J13" i="2"/>
  <c r="J19" i="2" s="1"/>
  <c r="J20" i="2" s="1"/>
  <c r="AG190" i="1"/>
  <c r="K19" i="16"/>
  <c r="K20" i="16" s="1"/>
  <c r="H19" i="16"/>
  <c r="H20" i="16" s="1"/>
  <c r="P15" i="29"/>
  <c r="N62" i="29"/>
  <c r="P62" i="29" s="1"/>
  <c r="B37" i="85" l="1"/>
  <c r="E45" i="56"/>
  <c r="X203" i="1"/>
  <c r="X199" i="1"/>
  <c r="F43" i="56"/>
  <c r="B158" i="56" s="1"/>
  <c r="L19" i="2"/>
  <c r="L20" i="2" s="1"/>
  <c r="M13" i="2"/>
  <c r="M158" i="2" s="1"/>
  <c r="M164" i="2" s="1"/>
  <c r="G19" i="2"/>
  <c r="G20" i="2" s="1"/>
  <c r="C53" i="23"/>
  <c r="H13" i="8"/>
  <c r="H19" i="8" s="1"/>
  <c r="K19" i="2"/>
  <c r="K20" i="2" s="1"/>
  <c r="G19" i="16"/>
  <c r="G20" i="16" s="1"/>
  <c r="X200" i="1"/>
  <c r="X201" i="1"/>
  <c r="X204" i="1"/>
  <c r="X202" i="1"/>
  <c r="B33" i="81"/>
  <c r="K158" i="56"/>
  <c r="K191" i="56" s="1"/>
  <c r="C15" i="12"/>
  <c r="G21" i="12" s="1"/>
  <c r="J13" i="8"/>
  <c r="J19" i="8" s="1"/>
  <c r="G19" i="8"/>
  <c r="M13" i="8"/>
  <c r="M19" i="16"/>
  <c r="N13" i="16"/>
  <c r="M158" i="16"/>
  <c r="M164" i="16" s="1"/>
  <c r="L19" i="8"/>
  <c r="K19" i="8"/>
  <c r="C37" i="85" l="1"/>
  <c r="E37" i="85" s="1"/>
  <c r="O37" i="85"/>
  <c r="P37" i="85" s="1"/>
  <c r="E144" i="56"/>
  <c r="K37" i="85"/>
  <c r="L37" i="85" s="1"/>
  <c r="F150" i="56"/>
  <c r="F155" i="56" s="1"/>
  <c r="F165" i="56" s="1"/>
  <c r="F167" i="56" s="1"/>
  <c r="N13" i="2"/>
  <c r="N158" i="2" s="1"/>
  <c r="N164" i="2" s="1"/>
  <c r="M19" i="2"/>
  <c r="L21" i="2"/>
  <c r="L21" i="16"/>
  <c r="G24" i="12"/>
  <c r="G25" i="12" s="1"/>
  <c r="X205" i="1"/>
  <c r="H158" i="56"/>
  <c r="H163" i="56" s="1"/>
  <c r="K163" i="56"/>
  <c r="E158" i="56"/>
  <c r="B163" i="56"/>
  <c r="E163" i="56" s="1"/>
  <c r="M191" i="56"/>
  <c r="M195" i="56" s="1"/>
  <c r="K195" i="56"/>
  <c r="M87" i="8"/>
  <c r="M93" i="8" s="1"/>
  <c r="M19" i="8"/>
  <c r="G22" i="12"/>
  <c r="L21" i="8"/>
  <c r="P13" i="16"/>
  <c r="N19" i="16"/>
  <c r="O13" i="16"/>
  <c r="Q13" i="16"/>
  <c r="S13" i="16"/>
  <c r="R13" i="16"/>
  <c r="E16" i="16"/>
  <c r="E14" i="16"/>
  <c r="N158" i="16"/>
  <c r="N164" i="16" s="1"/>
  <c r="E146" i="56" l="1"/>
  <c r="C146" i="56" s="1"/>
  <c r="S13" i="2"/>
  <c r="S158" i="2" s="1"/>
  <c r="S164" i="2" s="1"/>
  <c r="E14" i="2"/>
  <c r="C5" i="12" s="1"/>
  <c r="O13" i="2"/>
  <c r="O13" i="8" s="1"/>
  <c r="N13" i="8"/>
  <c r="N19" i="8" s="1"/>
  <c r="E16" i="2"/>
  <c r="E16" i="8" s="1"/>
  <c r="Q13" i="2"/>
  <c r="Q158" i="2" s="1"/>
  <c r="Q164" i="2" s="1"/>
  <c r="N19" i="2"/>
  <c r="P13" i="2"/>
  <c r="P158" i="2" s="1"/>
  <c r="P164" i="2" s="1"/>
  <c r="R13" i="2"/>
  <c r="R158" i="2" s="1"/>
  <c r="R164" i="2" s="1"/>
  <c r="M16" i="16"/>
  <c r="S158" i="16"/>
  <c r="S164" i="16" s="1"/>
  <c r="S19" i="16"/>
  <c r="Q158" i="16"/>
  <c r="Q164" i="16" s="1"/>
  <c r="Q19" i="16"/>
  <c r="O19" i="16"/>
  <c r="O158" i="16"/>
  <c r="O164" i="16" s="1"/>
  <c r="T13" i="16"/>
  <c r="E159" i="16"/>
  <c r="M14" i="16"/>
  <c r="E19" i="16"/>
  <c r="R19" i="16"/>
  <c r="R158" i="16"/>
  <c r="R164" i="16" s="1"/>
  <c r="P19" i="16"/>
  <c r="P158" i="16"/>
  <c r="P164" i="16" s="1"/>
  <c r="S19" i="2" l="1"/>
  <c r="M14" i="2"/>
  <c r="M159" i="2" s="1"/>
  <c r="E14" i="8"/>
  <c r="E19" i="8" s="1"/>
  <c r="E19" i="2"/>
  <c r="E159" i="2"/>
  <c r="Q19" i="2"/>
  <c r="M16" i="2"/>
  <c r="N16" i="2" s="1"/>
  <c r="C7" i="12"/>
  <c r="N87" i="8"/>
  <c r="N93" i="8" s="1"/>
  <c r="E10" i="12"/>
  <c r="G11" i="12" s="1"/>
  <c r="P19" i="2"/>
  <c r="P13" i="8"/>
  <c r="P87" i="8" s="1"/>
  <c r="P93" i="8" s="1"/>
  <c r="O19" i="2"/>
  <c r="O158" i="2"/>
  <c r="O164" i="2" s="1"/>
  <c r="E165" i="2" s="1"/>
  <c r="E166" i="2" s="1"/>
  <c r="N20" i="8"/>
  <c r="R19" i="2"/>
  <c r="T13" i="2"/>
  <c r="T19" i="2" s="1"/>
  <c r="W19" i="2" s="1"/>
  <c r="E20" i="16"/>
  <c r="M16" i="8"/>
  <c r="G10" i="12"/>
  <c r="C41" i="12"/>
  <c r="T19" i="16"/>
  <c r="T158" i="16"/>
  <c r="T164" i="16" s="1"/>
  <c r="N16" i="16"/>
  <c r="O165" i="16"/>
  <c r="E165" i="16"/>
  <c r="E166" i="16" s="1"/>
  <c r="M159" i="16"/>
  <c r="N14" i="16"/>
  <c r="O19" i="8"/>
  <c r="O87" i="8"/>
  <c r="O93" i="8" s="1"/>
  <c r="M14" i="8" l="1"/>
  <c r="M88" i="8" s="1"/>
  <c r="E88" i="8"/>
  <c r="N14" i="2"/>
  <c r="N14" i="8" s="1"/>
  <c r="N88" i="8" s="1"/>
  <c r="E20" i="2"/>
  <c r="C35" i="12"/>
  <c r="G38" i="12" s="1"/>
  <c r="E41" i="12"/>
  <c r="E42" i="12" s="1"/>
  <c r="R13" i="8"/>
  <c r="R87" i="8" s="1"/>
  <c r="R93" i="8" s="1"/>
  <c r="P19" i="8"/>
  <c r="O165" i="2"/>
  <c r="W13" i="2"/>
  <c r="T158" i="2"/>
  <c r="T164" i="2" s="1"/>
  <c r="G12" i="12"/>
  <c r="E95" i="8"/>
  <c r="O97" i="8"/>
  <c r="Q16" i="16"/>
  <c r="E60" i="16"/>
  <c r="S16" i="16"/>
  <c r="P16" i="16"/>
  <c r="R16" i="16"/>
  <c r="O16" i="16"/>
  <c r="E17" i="16"/>
  <c r="N16" i="8"/>
  <c r="R16" i="2"/>
  <c r="O16" i="2"/>
  <c r="Q16" i="2"/>
  <c r="E17" i="2"/>
  <c r="S16" i="2"/>
  <c r="P16" i="2"/>
  <c r="N159" i="16"/>
  <c r="S14" i="16"/>
  <c r="S159" i="16" s="1"/>
  <c r="P14" i="16"/>
  <c r="P159" i="16" s="1"/>
  <c r="R14" i="16"/>
  <c r="R159" i="16" s="1"/>
  <c r="Q14" i="16"/>
  <c r="Q159" i="16" s="1"/>
  <c r="E15" i="16"/>
  <c r="O14" i="16"/>
  <c r="P14" i="2" l="1"/>
  <c r="P159" i="2" s="1"/>
  <c r="Q14" i="2"/>
  <c r="Q159" i="2" s="1"/>
  <c r="S14" i="2"/>
  <c r="S159" i="2" s="1"/>
  <c r="O14" i="2"/>
  <c r="O159" i="2" s="1"/>
  <c r="R14" i="2"/>
  <c r="R159" i="2" s="1"/>
  <c r="E15" i="2"/>
  <c r="M15" i="2" s="1"/>
  <c r="N159" i="2"/>
  <c r="R19" i="8"/>
  <c r="R135" i="8" s="1"/>
  <c r="W158" i="2"/>
  <c r="W164" i="2" s="1"/>
  <c r="P16" i="8"/>
  <c r="E38" i="12"/>
  <c r="R94" i="8"/>
  <c r="R95" i="8" s="1"/>
  <c r="S93" i="8"/>
  <c r="M17" i="16"/>
  <c r="O159" i="16"/>
  <c r="T14" i="16"/>
  <c r="T159" i="16" s="1"/>
  <c r="T16" i="16"/>
  <c r="O16" i="8"/>
  <c r="E13" i="12"/>
  <c r="T16" i="2"/>
  <c r="E160" i="16"/>
  <c r="M15" i="16"/>
  <c r="C8" i="12"/>
  <c r="E17" i="8"/>
  <c r="M17" i="2"/>
  <c r="O14" i="8" l="1"/>
  <c r="O88" i="8" s="1"/>
  <c r="E11" i="12"/>
  <c r="E160" i="2"/>
  <c r="C6" i="12"/>
  <c r="P14" i="8"/>
  <c r="P88" i="8" s="1"/>
  <c r="E15" i="8"/>
  <c r="E89" i="8" s="1"/>
  <c r="T14" i="2"/>
  <c r="T159" i="2" s="1"/>
  <c r="W159" i="2" s="1"/>
  <c r="S19" i="8"/>
  <c r="N17" i="16"/>
  <c r="R16" i="8"/>
  <c r="M160" i="16"/>
  <c r="N15" i="16"/>
  <c r="M17" i="8"/>
  <c r="M160" i="2"/>
  <c r="N15" i="2"/>
  <c r="N17" i="2"/>
  <c r="W16" i="2"/>
  <c r="R14" i="8" l="1"/>
  <c r="R88" i="8" s="1"/>
  <c r="W14" i="2"/>
  <c r="M15" i="8"/>
  <c r="M89" i="8" s="1"/>
  <c r="N17" i="8"/>
  <c r="S17" i="2"/>
  <c r="O17" i="2"/>
  <c r="Q17" i="2"/>
  <c r="P17" i="2"/>
  <c r="R17" i="2"/>
  <c r="N160" i="2"/>
  <c r="Q15" i="2"/>
  <c r="Q160" i="2" s="1"/>
  <c r="E255" i="12"/>
  <c r="S15" i="2"/>
  <c r="C14" i="12"/>
  <c r="E21" i="2" s="1"/>
  <c r="R15" i="2"/>
  <c r="N15" i="8"/>
  <c r="N89" i="8" s="1"/>
  <c r="E301" i="12"/>
  <c r="E18" i="2"/>
  <c r="E55" i="2"/>
  <c r="E66" i="2"/>
  <c r="O15" i="2"/>
  <c r="O15" i="16"/>
  <c r="R15" i="16"/>
  <c r="N160" i="16"/>
  <c r="M20" i="16"/>
  <c r="M21" i="16" s="1"/>
  <c r="Q15" i="16"/>
  <c r="Q160" i="16" s="1"/>
  <c r="E55" i="16"/>
  <c r="M55" i="16" s="1"/>
  <c r="E66" i="16"/>
  <c r="E18" i="16"/>
  <c r="S15" i="16"/>
  <c r="P17" i="16"/>
  <c r="O17" i="16"/>
  <c r="S17" i="16"/>
  <c r="Q17" i="16"/>
  <c r="R17" i="16"/>
  <c r="O15" i="8" l="1"/>
  <c r="O160" i="2"/>
  <c r="E12" i="12"/>
  <c r="C9" i="12"/>
  <c r="M18" i="2"/>
  <c r="E18" i="8"/>
  <c r="P17" i="8"/>
  <c r="E39" i="12"/>
  <c r="C36" i="12"/>
  <c r="E69" i="16"/>
  <c r="M66" i="16"/>
  <c r="N55" i="16"/>
  <c r="E69" i="2"/>
  <c r="E66" i="8"/>
  <c r="C299" i="12"/>
  <c r="C333" i="12" s="1"/>
  <c r="M66" i="2"/>
  <c r="C247" i="12"/>
  <c r="E55" i="8"/>
  <c r="M55" i="8" s="1"/>
  <c r="M55" i="2"/>
  <c r="O160" i="16"/>
  <c r="M18" i="16"/>
  <c r="O17" i="8"/>
  <c r="T17" i="2"/>
  <c r="T17" i="16"/>
  <c r="P55" i="16" l="1"/>
  <c r="Q55" i="16"/>
  <c r="S55" i="16"/>
  <c r="O55" i="16"/>
  <c r="R55" i="16"/>
  <c r="E56" i="16"/>
  <c r="M56" i="16" s="1"/>
  <c r="M69" i="16"/>
  <c r="N66" i="16"/>
  <c r="N18" i="2"/>
  <c r="R17" i="8"/>
  <c r="N18" i="16"/>
  <c r="E69" i="8"/>
  <c r="M66" i="8"/>
  <c r="N55" i="2"/>
  <c r="W17" i="2"/>
  <c r="O89" i="8"/>
  <c r="M18" i="8"/>
  <c r="M69" i="2"/>
  <c r="N66" i="2"/>
  <c r="M69" i="8" l="1"/>
  <c r="N56" i="16"/>
  <c r="T55" i="16"/>
  <c r="O55" i="2"/>
  <c r="N55" i="8"/>
  <c r="Q55" i="2"/>
  <c r="S55" i="2"/>
  <c r="R55" i="2"/>
  <c r="P55" i="2"/>
  <c r="P55" i="8" s="1"/>
  <c r="E56" i="2"/>
  <c r="E68" i="16"/>
  <c r="Q18" i="16"/>
  <c r="R18" i="16"/>
  <c r="P18" i="16"/>
  <c r="S18" i="16"/>
  <c r="O18" i="16"/>
  <c r="C303" i="12"/>
  <c r="R66" i="2"/>
  <c r="O66" i="2"/>
  <c r="Q66" i="2"/>
  <c r="N69" i="2"/>
  <c r="S66" i="16"/>
  <c r="S69" i="16" s="1"/>
  <c r="P66" i="2"/>
  <c r="E40" i="2"/>
  <c r="S66" i="2"/>
  <c r="S69" i="2" s="1"/>
  <c r="N66" i="8"/>
  <c r="N69" i="8" s="1"/>
  <c r="O18" i="2"/>
  <c r="E68" i="2"/>
  <c r="S18" i="2"/>
  <c r="R18" i="2"/>
  <c r="P18" i="2"/>
  <c r="Q18" i="2"/>
  <c r="N18" i="8"/>
  <c r="R66" i="16"/>
  <c r="R69" i="16" s="1"/>
  <c r="Q66" i="16"/>
  <c r="Q69" i="16" s="1"/>
  <c r="N69" i="16"/>
  <c r="O66" i="16"/>
  <c r="E40" i="16"/>
  <c r="P66" i="16"/>
  <c r="P69" i="16" s="1"/>
  <c r="M68" i="16" l="1"/>
  <c r="T18" i="16"/>
  <c r="M68" i="2"/>
  <c r="E68" i="8"/>
  <c r="P56" i="16"/>
  <c r="E79" i="16"/>
  <c r="M79" i="16" s="1"/>
  <c r="R56" i="16"/>
  <c r="S56" i="16"/>
  <c r="Q56" i="16"/>
  <c r="O56" i="16"/>
  <c r="E57" i="16"/>
  <c r="M57" i="16" s="1"/>
  <c r="P18" i="8"/>
  <c r="P69" i="2"/>
  <c r="P66" i="8"/>
  <c r="P69" i="8" s="1"/>
  <c r="Q69" i="2"/>
  <c r="C314" i="12"/>
  <c r="E316" i="12"/>
  <c r="O69" i="2"/>
  <c r="E206" i="12"/>
  <c r="O66" i="8"/>
  <c r="E300" i="12"/>
  <c r="T66" i="2"/>
  <c r="O55" i="8"/>
  <c r="R55" i="8" s="1"/>
  <c r="E252" i="12"/>
  <c r="T55" i="2"/>
  <c r="W55" i="2" s="1"/>
  <c r="M40" i="16"/>
  <c r="E161" i="16"/>
  <c r="E43" i="2"/>
  <c r="C201" i="12"/>
  <c r="M40" i="2"/>
  <c r="E40" i="8"/>
  <c r="E161" i="2"/>
  <c r="O18" i="8"/>
  <c r="T18" i="2"/>
  <c r="C315" i="12"/>
  <c r="R69" i="2"/>
  <c r="E56" i="8"/>
  <c r="M56" i="8" s="1"/>
  <c r="C248" i="12"/>
  <c r="M56" i="2"/>
  <c r="O69" i="16"/>
  <c r="T66" i="16"/>
  <c r="T69" i="16" s="1"/>
  <c r="T56" i="16" l="1"/>
  <c r="M68" i="8"/>
  <c r="N40" i="16"/>
  <c r="M161" i="16"/>
  <c r="E333" i="12"/>
  <c r="E334" i="12" s="1"/>
  <c r="G300" i="12"/>
  <c r="N57" i="16"/>
  <c r="E43" i="8"/>
  <c r="M40" i="8"/>
  <c r="E90" i="8"/>
  <c r="W18" i="2"/>
  <c r="W66" i="2"/>
  <c r="T69" i="2"/>
  <c r="G203" i="12"/>
  <c r="G204" i="12" s="1"/>
  <c r="C230" i="12"/>
  <c r="O69" i="8"/>
  <c r="R66" i="8"/>
  <c r="R69" i="8" s="1"/>
  <c r="S69" i="8" s="1"/>
  <c r="E163" i="16"/>
  <c r="T68" i="2"/>
  <c r="W68" i="2" s="1"/>
  <c r="N40" i="2"/>
  <c r="M161" i="2"/>
  <c r="N79" i="16"/>
  <c r="R18" i="8"/>
  <c r="N56" i="2"/>
  <c r="T68" i="16"/>
  <c r="M163" i="16"/>
  <c r="O79" i="16" l="1"/>
  <c r="Q79" i="16"/>
  <c r="R79" i="16"/>
  <c r="P79" i="16"/>
  <c r="M90" i="8"/>
  <c r="Q56" i="2"/>
  <c r="R56" i="2"/>
  <c r="S56" i="2"/>
  <c r="N56" i="8"/>
  <c r="P56" i="2"/>
  <c r="O56" i="2"/>
  <c r="E57" i="2"/>
  <c r="E79" i="2"/>
  <c r="S57" i="16"/>
  <c r="S163" i="16" s="1"/>
  <c r="O57" i="16"/>
  <c r="R57" i="16"/>
  <c r="R163" i="16" s="1"/>
  <c r="P57" i="16"/>
  <c r="P163" i="16" s="1"/>
  <c r="Q57" i="16"/>
  <c r="Q163" i="16" s="1"/>
  <c r="N163" i="16"/>
  <c r="R68" i="8"/>
  <c r="P40" i="16"/>
  <c r="P161" i="16" s="1"/>
  <c r="E41" i="16"/>
  <c r="R40" i="16"/>
  <c r="R161" i="16" s="1"/>
  <c r="Q40" i="16"/>
  <c r="Q161" i="16" s="1"/>
  <c r="O40" i="16"/>
  <c r="N161" i="16"/>
  <c r="S40" i="16"/>
  <c r="S161" i="16" s="1"/>
  <c r="O40" i="2"/>
  <c r="Q40" i="2"/>
  <c r="Q161" i="2" s="1"/>
  <c r="R40" i="2"/>
  <c r="R161" i="2" s="1"/>
  <c r="P40" i="2"/>
  <c r="S40" i="2"/>
  <c r="S161" i="2" s="1"/>
  <c r="N40" i="8"/>
  <c r="N90" i="8" s="1"/>
  <c r="E41" i="2"/>
  <c r="N161" i="2"/>
  <c r="O161" i="16" l="1"/>
  <c r="T40" i="16"/>
  <c r="T161" i="16" s="1"/>
  <c r="E204" i="12"/>
  <c r="O40" i="8"/>
  <c r="O161" i="2"/>
  <c r="T40" i="2"/>
  <c r="T161" i="2" s="1"/>
  <c r="W161" i="2" s="1"/>
  <c r="C359" i="12"/>
  <c r="C353" i="12"/>
  <c r="E79" i="8"/>
  <c r="M79" i="8" s="1"/>
  <c r="M79" i="2"/>
  <c r="E257" i="12"/>
  <c r="O56" i="8"/>
  <c r="E253" i="12"/>
  <c r="T56" i="2"/>
  <c r="W56" i="2" s="1"/>
  <c r="P40" i="8"/>
  <c r="P90" i="8" s="1"/>
  <c r="P161" i="2"/>
  <c r="E57" i="8"/>
  <c r="M57" i="2"/>
  <c r="E163" i="2"/>
  <c r="C202" i="12"/>
  <c r="M41" i="2"/>
  <c r="E41" i="8"/>
  <c r="E162" i="2"/>
  <c r="E266" i="12"/>
  <c r="P56" i="8"/>
  <c r="M41" i="16"/>
  <c r="E162" i="16"/>
  <c r="O163" i="16"/>
  <c r="T57" i="16"/>
  <c r="T163" i="16" s="1"/>
  <c r="M41" i="8" l="1"/>
  <c r="E91" i="8"/>
  <c r="N41" i="2"/>
  <c r="M162" i="2"/>
  <c r="O90" i="8"/>
  <c r="R40" i="8"/>
  <c r="R90" i="8" s="1"/>
  <c r="N41" i="16"/>
  <c r="M162" i="16"/>
  <c r="N57" i="2"/>
  <c r="M163" i="2"/>
  <c r="N79" i="2"/>
  <c r="R56" i="8"/>
  <c r="M57" i="8"/>
  <c r="E92" i="8"/>
  <c r="S57" i="2" l="1"/>
  <c r="S163" i="2" s="1"/>
  <c r="Q57" i="2"/>
  <c r="Q163" i="2" s="1"/>
  <c r="R57" i="2"/>
  <c r="R163" i="2" s="1"/>
  <c r="P57" i="2"/>
  <c r="O57" i="2"/>
  <c r="N57" i="8"/>
  <c r="N92" i="8" s="1"/>
  <c r="N163" i="2"/>
  <c r="S79" i="2"/>
  <c r="E207" i="12"/>
  <c r="S79" i="16"/>
  <c r="T79" i="16" s="1"/>
  <c r="Q79" i="2"/>
  <c r="N79" i="8"/>
  <c r="R79" i="2"/>
  <c r="C366" i="12" s="1"/>
  <c r="O79" i="2"/>
  <c r="P79" i="2"/>
  <c r="S41" i="16"/>
  <c r="S41" i="2"/>
  <c r="R41" i="2"/>
  <c r="P41" i="2"/>
  <c r="N41" i="8"/>
  <c r="O41" i="2"/>
  <c r="Q41" i="2"/>
  <c r="N162" i="2"/>
  <c r="M92" i="8"/>
  <c r="P41" i="16"/>
  <c r="P162" i="16" s="1"/>
  <c r="R41" i="16"/>
  <c r="R162" i="16" s="1"/>
  <c r="Q41" i="16"/>
  <c r="Q162" i="16" s="1"/>
  <c r="O41" i="16"/>
  <c r="N162" i="16"/>
  <c r="M91" i="8"/>
  <c r="S162" i="16" l="1"/>
  <c r="N91" i="8"/>
  <c r="O162" i="16"/>
  <c r="T41" i="16"/>
  <c r="T162" i="16" s="1"/>
  <c r="O57" i="8"/>
  <c r="O92" i="8" s="1"/>
  <c r="O163" i="2"/>
  <c r="T57" i="2"/>
  <c r="P41" i="8"/>
  <c r="E202" i="12"/>
  <c r="E230" i="12" s="1"/>
  <c r="E231" i="12" s="1"/>
  <c r="P162" i="2"/>
  <c r="R162" i="2"/>
  <c r="E369" i="12"/>
  <c r="P79" i="8"/>
  <c r="E209" i="12"/>
  <c r="G208" i="12" s="1"/>
  <c r="G209" i="12" s="1"/>
  <c r="Q162" i="2"/>
  <c r="E357" i="12"/>
  <c r="O79" i="8"/>
  <c r="T79" i="2"/>
  <c r="W79" i="2" s="1"/>
  <c r="O41" i="8"/>
  <c r="O162" i="2"/>
  <c r="T41" i="2"/>
  <c r="P57" i="8"/>
  <c r="P163" i="2"/>
  <c r="S162" i="2"/>
  <c r="P91" i="8" l="1"/>
  <c r="R79" i="8"/>
  <c r="W41" i="2"/>
  <c r="T162" i="2"/>
  <c r="W162" i="2" s="1"/>
  <c r="W57" i="2"/>
  <c r="T163" i="2"/>
  <c r="W163" i="2" s="1"/>
  <c r="P92" i="8"/>
  <c r="R57" i="8"/>
  <c r="R92" i="8" s="1"/>
  <c r="O91" i="8"/>
  <c r="R41" i="8"/>
  <c r="R91" i="8" l="1"/>
  <c r="AB7" i="102" l="1"/>
  <c r="Y66" i="102" l="1"/>
  <c r="Y67" i="102" s="1"/>
  <c r="Y84" i="102"/>
  <c r="Y85" i="102" s="1"/>
  <c r="AB11" i="102"/>
  <c r="AB26" i="102" s="1"/>
  <c r="AB28" i="102" s="1"/>
  <c r="AC7" i="100" l="1"/>
  <c r="AC7" i="102" l="1"/>
  <c r="AE7" i="100"/>
  <c r="AE7" i="102"/>
  <c r="AD7" i="100"/>
  <c r="AB7" i="100"/>
  <c r="AC11" i="100"/>
  <c r="AC26" i="100" s="1"/>
  <c r="AC11" i="102" l="1"/>
  <c r="AC26" i="102" s="1"/>
  <c r="AC28" i="102" s="1"/>
  <c r="Z66" i="102"/>
  <c r="Z67" i="102" s="1"/>
  <c r="Z84" i="102"/>
  <c r="Z85" i="102" s="1"/>
  <c r="AB84" i="100"/>
  <c r="AB85" i="100" s="1"/>
  <c r="AB11" i="100"/>
  <c r="AB26" i="100" s="1"/>
  <c r="AA84" i="100"/>
  <c r="AA85" i="100" s="1"/>
  <c r="AE11" i="100"/>
  <c r="AE26" i="100" s="1"/>
  <c r="AE28" i="100" s="1"/>
  <c r="AD7" i="102"/>
  <c r="AA66" i="102" s="1"/>
  <c r="AA67" i="102" s="1"/>
  <c r="AC28" i="100"/>
  <c r="AE11" i="102"/>
  <c r="AE26" i="102" s="1"/>
  <c r="AE28" i="102" s="1"/>
  <c r="AD11" i="100"/>
  <c r="AD26" i="100" s="1"/>
  <c r="AD11" i="102" l="1"/>
  <c r="AD26" i="102" s="1"/>
  <c r="AD28" i="102" s="1"/>
  <c r="AB28" i="100"/>
  <c r="AB66" i="100"/>
  <c r="AB67" i="100" s="1"/>
  <c r="Z66" i="100"/>
  <c r="Z67" i="100" s="1"/>
  <c r="AA66" i="100"/>
  <c r="AA67" i="100" s="1"/>
  <c r="Y84" i="100"/>
  <c r="Y85" i="100" s="1"/>
  <c r="Y66" i="100"/>
  <c r="Y67" i="100" s="1"/>
  <c r="Z84" i="100"/>
  <c r="Z85" i="100" s="1"/>
  <c r="AA84" i="102"/>
  <c r="AA85" i="102" s="1"/>
  <c r="AB84" i="102"/>
  <c r="AB85" i="102" s="1"/>
  <c r="AB66" i="102"/>
  <c r="AB67" i="102" s="1"/>
  <c r="Z68" i="102"/>
  <c r="AD28" i="100"/>
  <c r="Z86" i="102"/>
  <c r="Y87" i="102" s="1"/>
  <c r="Z87" i="102" l="1"/>
  <c r="Y68" i="100"/>
  <c r="Y69" i="100" s="1"/>
  <c r="Z86" i="100"/>
  <c r="Z87" i="100" s="1"/>
  <c r="Z69" i="102"/>
  <c r="X69" i="102"/>
  <c r="Y69" i="102"/>
  <c r="Y72" i="100" l="1"/>
  <c r="X69" i="100"/>
  <c r="I69" i="100"/>
  <c r="Y87" i="100"/>
  <c r="Y74" i="100" l="1"/>
  <c r="Y76" i="100" l="1"/>
  <c r="AD7" i="101" l="1"/>
  <c r="AB7" i="101"/>
  <c r="AE7" i="101"/>
  <c r="AE11" i="101" l="1"/>
  <c r="AE26" i="101" s="1"/>
  <c r="AE28" i="101" s="1"/>
  <c r="AC7" i="101"/>
  <c r="AB66" i="101" s="1"/>
  <c r="AB67" i="101" s="1"/>
  <c r="AB11" i="101"/>
  <c r="Y66" i="101"/>
  <c r="Y67" i="101" s="1"/>
  <c r="AD11" i="101"/>
  <c r="AD26" i="101" s="1"/>
  <c r="AD28" i="101" s="1"/>
  <c r="AB84" i="101" l="1"/>
  <c r="AB85" i="101" s="1"/>
  <c r="AC11" i="101"/>
  <c r="AC26" i="101" s="1"/>
  <c r="AC28" i="101" s="1"/>
  <c r="Z66" i="101"/>
  <c r="Z67" i="101" s="1"/>
  <c r="Z84" i="101"/>
  <c r="Z85" i="101" s="1"/>
  <c r="Y68" i="101"/>
  <c r="Y69" i="101" s="1"/>
  <c r="AB26" i="101"/>
  <c r="AB28" i="101" s="1"/>
  <c r="AA66" i="101"/>
  <c r="AA67" i="101" s="1"/>
  <c r="AA84" i="101"/>
  <c r="AA85" i="101" s="1"/>
  <c r="Z86" i="101" l="1"/>
  <c r="Y87" i="101" s="1"/>
  <c r="X69" i="101"/>
  <c r="Y72" i="101"/>
  <c r="AB7" i="99"/>
  <c r="Z87" i="101" l="1"/>
  <c r="Y74" i="101"/>
  <c r="AB11" i="99"/>
  <c r="Y84" i="99"/>
  <c r="Y85" i="99" s="1"/>
  <c r="Y66" i="99"/>
  <c r="Y67" i="99" s="1"/>
  <c r="Y68" i="99" l="1"/>
  <c r="Y69" i="99" s="1"/>
  <c r="AB26" i="99"/>
  <c r="AB28" i="99" s="1"/>
  <c r="Y76" i="101"/>
  <c r="Y72" i="99" l="1"/>
  <c r="X69" i="99"/>
  <c r="Y74" i="99" l="1"/>
  <c r="Y76" i="99" l="1"/>
  <c r="AE7" i="99" l="1"/>
  <c r="AE11" i="99" l="1"/>
  <c r="AE26" i="99" s="1"/>
  <c r="AE28" i="99" s="1"/>
  <c r="M30" i="98" l="1"/>
  <c r="M33" i="98" s="1"/>
  <c r="M36" i="98" s="1"/>
  <c r="K30" i="98"/>
  <c r="L30" i="98"/>
  <c r="L33" i="98" s="1"/>
  <c r="L36" i="98" s="1"/>
  <c r="N30" i="98"/>
  <c r="N33" i="98" s="1"/>
  <c r="N36" i="98" s="1"/>
  <c r="K33" i="98" l="1"/>
  <c r="K36" i="98" s="1"/>
  <c r="K30" i="100" l="1"/>
  <c r="K33" i="100" l="1"/>
  <c r="K36" i="100" s="1"/>
  <c r="N30" i="102" l="1"/>
  <c r="N33" i="102" s="1"/>
  <c r="N36" i="102" s="1"/>
  <c r="M30" i="102"/>
  <c r="M33" i="102" s="1"/>
  <c r="M36" i="102" s="1"/>
  <c r="L30" i="102"/>
  <c r="L33" i="102" s="1"/>
  <c r="L36" i="102" s="1"/>
  <c r="K30" i="102" l="1"/>
  <c r="K33" i="102" l="1"/>
  <c r="K36" i="102" s="1"/>
  <c r="L30" i="97" l="1"/>
  <c r="L33" i="97" s="1"/>
  <c r="L36" i="97" s="1"/>
  <c r="M30" i="97"/>
  <c r="M33" i="97" s="1"/>
  <c r="M36" i="97" s="1"/>
  <c r="N30" i="97"/>
  <c r="N33" i="97" s="1"/>
  <c r="N36" i="97" s="1"/>
  <c r="K30" i="97"/>
  <c r="K33" i="97" l="1"/>
  <c r="K36" i="97" s="1"/>
  <c r="K30" i="99" l="1"/>
  <c r="K33" i="99" l="1"/>
  <c r="K36" i="99" s="1"/>
  <c r="AB7" i="97" l="1"/>
  <c r="AB11" i="97" l="1"/>
  <c r="Y84" i="97"/>
  <c r="Y85" i="97" s="1"/>
  <c r="Y66" i="97"/>
  <c r="Y67" i="97" s="1"/>
  <c r="Y68" i="97" l="1"/>
  <c r="AB26" i="97"/>
  <c r="AB28" i="97" s="1"/>
  <c r="X69" i="97" l="1"/>
  <c r="Y72" i="97"/>
  <c r="W69" i="97"/>
  <c r="Y69" i="97"/>
  <c r="Y74" i="97" l="1"/>
  <c r="Y76" i="97" l="1"/>
  <c r="AE7" i="97" l="1"/>
  <c r="AD7" i="97"/>
  <c r="AD11" i="97" l="1"/>
  <c r="AD26" i="97" s="1"/>
  <c r="AD28" i="97" s="1"/>
  <c r="AE11" i="97"/>
  <c r="AE26" i="97" s="1"/>
  <c r="AE28" i="97" s="1"/>
  <c r="AC7" i="97" l="1"/>
  <c r="AC11" i="97" l="1"/>
  <c r="AA66" i="97"/>
  <c r="AA67" i="97" s="1"/>
  <c r="AB84" i="97"/>
  <c r="AB85" i="97" s="1"/>
  <c r="Z66" i="97"/>
  <c r="Z67" i="97" s="1"/>
  <c r="AA84" i="97"/>
  <c r="AA85" i="97" s="1"/>
  <c r="AB66" i="97"/>
  <c r="AB67" i="97" s="1"/>
  <c r="Z84" i="97"/>
  <c r="Z85" i="97" s="1"/>
  <c r="Z86" i="97" l="1"/>
  <c r="Y87" i="97" s="1"/>
  <c r="AC26" i="97"/>
  <c r="AC28" i="97" s="1"/>
  <c r="Z87" i="97" l="1"/>
  <c r="AD7" i="99" l="1"/>
  <c r="AC7" i="99" l="1"/>
  <c r="AD11" i="99"/>
  <c r="AD26" i="99" s="1"/>
  <c r="AD28" i="99" s="1"/>
  <c r="AC11" i="99" l="1"/>
  <c r="AA66" i="99"/>
  <c r="AA67" i="99" s="1"/>
  <c r="Z84" i="99"/>
  <c r="Z85" i="99" s="1"/>
  <c r="AB84" i="99"/>
  <c r="AB85" i="99" s="1"/>
  <c r="Z66" i="99"/>
  <c r="Z67" i="99" s="1"/>
  <c r="AA84" i="99"/>
  <c r="AA85" i="99" s="1"/>
  <c r="AB66" i="99"/>
  <c r="AB67" i="99" s="1"/>
  <c r="AC26" i="99" l="1"/>
  <c r="AC28" i="99" s="1"/>
  <c r="Z86" i="99"/>
  <c r="Y87" i="99" s="1"/>
  <c r="Z87" i="99" l="1"/>
  <c r="L30" i="100" l="1"/>
  <c r="M30" i="100" l="1"/>
  <c r="M33" i="100" s="1"/>
  <c r="M36" i="100" s="1"/>
  <c r="L33" i="100"/>
  <c r="L36" i="100" s="1"/>
  <c r="L30" i="99" l="1"/>
  <c r="N30" i="99" l="1"/>
  <c r="N33" i="99" s="1"/>
  <c r="N36" i="99" s="1"/>
  <c r="M30" i="99"/>
  <c r="M33" i="99" s="1"/>
  <c r="M36" i="99" s="1"/>
  <c r="L33" i="99"/>
  <c r="L36" i="99" s="1"/>
  <c r="N30" i="101" l="1"/>
  <c r="N33" i="101" s="1"/>
  <c r="N36" i="101" s="1"/>
  <c r="M30" i="101"/>
  <c r="M33" i="101" s="1"/>
  <c r="M36" i="101" s="1"/>
  <c r="L30" i="101"/>
  <c r="L33" i="101" s="1"/>
  <c r="L36" i="101" s="1"/>
  <c r="K30" i="101"/>
  <c r="K33" i="101" l="1"/>
  <c r="K36" i="101" s="1"/>
  <c r="AG7" i="102" l="1"/>
  <c r="AG11" i="102" l="1"/>
  <c r="AG26" i="102" s="1"/>
  <c r="AG28" i="102" s="1"/>
  <c r="AF7" i="102" l="1"/>
  <c r="AF11" i="102" l="1"/>
  <c r="AF26" i="102" s="1"/>
  <c r="AF28" i="102" s="1"/>
  <c r="AC84" i="102"/>
  <c r="AC85" i="102" s="1"/>
  <c r="AC66" i="102"/>
  <c r="AC67" i="102" s="1"/>
  <c r="AD84" i="102"/>
  <c r="AD85" i="102" s="1"/>
  <c r="AD66" i="102"/>
  <c r="AD67" i="102" s="1"/>
  <c r="AC68" i="102" l="1"/>
  <c r="AC69" i="102" s="1"/>
  <c r="AC86" i="102"/>
  <c r="AC87" i="102" s="1"/>
  <c r="AG7" i="100"/>
  <c r="AG11" i="100" l="1"/>
  <c r="AG26" i="100" s="1"/>
  <c r="AG28" i="100" s="1"/>
  <c r="AI7" i="100"/>
  <c r="AH7" i="100"/>
  <c r="AI7" i="102"/>
  <c r="AA87" i="102"/>
  <c r="AB87" i="102"/>
  <c r="AF7" i="100"/>
  <c r="AC72" i="102"/>
  <c r="AA69" i="102"/>
  <c r="AB69" i="102"/>
  <c r="AH7" i="102" l="1"/>
  <c r="AF66" i="100"/>
  <c r="AF67" i="100" s="1"/>
  <c r="AF84" i="100"/>
  <c r="AF85" i="100" s="1"/>
  <c r="AF11" i="100"/>
  <c r="AF26" i="100" s="1"/>
  <c r="AC84" i="100"/>
  <c r="AC85" i="100" s="1"/>
  <c r="AC86" i="100" s="1"/>
  <c r="AE66" i="100"/>
  <c r="AE67" i="100" s="1"/>
  <c r="AE84" i="100"/>
  <c r="AE85" i="100" s="1"/>
  <c r="AD66" i="100"/>
  <c r="AD67" i="100" s="1"/>
  <c r="AD84" i="100"/>
  <c r="AD85" i="100" s="1"/>
  <c r="AC74" i="102"/>
  <c r="AI11" i="100"/>
  <c r="AI26" i="100" s="1"/>
  <c r="AI28" i="100" s="1"/>
  <c r="AI11" i="102"/>
  <c r="AI26" i="102" s="1"/>
  <c r="AI28" i="102" s="1"/>
  <c r="AH11" i="100"/>
  <c r="AH26" i="100" s="1"/>
  <c r="AH28" i="100" s="1"/>
  <c r="AH11" i="102" l="1"/>
  <c r="AH26" i="102" s="1"/>
  <c r="AH28" i="102" s="1"/>
  <c r="AE66" i="102"/>
  <c r="AE67" i="102" s="1"/>
  <c r="AE84" i="102"/>
  <c r="AE85" i="102" s="1"/>
  <c r="AF66" i="102"/>
  <c r="AF67" i="102" s="1"/>
  <c r="AF84" i="102"/>
  <c r="AF85" i="102" s="1"/>
  <c r="AC87" i="100"/>
  <c r="AB87" i="100"/>
  <c r="AA87" i="100"/>
  <c r="AF28" i="100"/>
  <c r="AC66" i="100"/>
  <c r="AC67" i="100" s="1"/>
  <c r="AC76" i="102"/>
  <c r="AE86" i="100"/>
  <c r="AD87" i="100" s="1"/>
  <c r="AE68" i="100"/>
  <c r="AE68" i="102" l="1"/>
  <c r="AE69" i="102" s="1"/>
  <c r="AE69" i="100"/>
  <c r="O69" i="100"/>
  <c r="AE72" i="100"/>
  <c r="AE74" i="100" s="1"/>
  <c r="AE76" i="100" s="1"/>
  <c r="AC68" i="100"/>
  <c r="AD69" i="100"/>
  <c r="AE86" i="102"/>
  <c r="AD87" i="102" s="1"/>
  <c r="AE87" i="100"/>
  <c r="M69" i="100" l="1"/>
  <c r="AC72" i="100"/>
  <c r="AB69" i="100"/>
  <c r="AA69" i="100"/>
  <c r="Z69" i="100"/>
  <c r="AC69" i="100"/>
  <c r="AE87" i="102"/>
  <c r="N30" i="100"/>
  <c r="AE72" i="102"/>
  <c r="AD69" i="102"/>
  <c r="N33" i="100" l="1"/>
  <c r="N36" i="100" s="1"/>
  <c r="AC74" i="100"/>
  <c r="AE74" i="102"/>
  <c r="AC76" i="100" l="1"/>
  <c r="AE76" i="102"/>
  <c r="AI7" i="101" l="1"/>
  <c r="AH7" i="101"/>
  <c r="AI11" i="101" l="1"/>
  <c r="AI26" i="101" s="1"/>
  <c r="AI28" i="101" s="1"/>
  <c r="AF7" i="101"/>
  <c r="AH11" i="101"/>
  <c r="AH26" i="101" s="1"/>
  <c r="AH28" i="101" s="1"/>
  <c r="AG7" i="101"/>
  <c r="AF66" i="101" l="1"/>
  <c r="AF67" i="101" s="1"/>
  <c r="AF84" i="101"/>
  <c r="AF85" i="101" s="1"/>
  <c r="AF11" i="101"/>
  <c r="AE84" i="101"/>
  <c r="AE85" i="101" s="1"/>
  <c r="AD84" i="101"/>
  <c r="AD85" i="101" s="1"/>
  <c r="AE66" i="101"/>
  <c r="AE67" i="101" s="1"/>
  <c r="AD66" i="101"/>
  <c r="AD67" i="101" s="1"/>
  <c r="AC84" i="101"/>
  <c r="AC85" i="101" s="1"/>
  <c r="AC66" i="101"/>
  <c r="AC67" i="101" s="1"/>
  <c r="AG11" i="101"/>
  <c r="AG26" i="101" s="1"/>
  <c r="AG28" i="101" s="1"/>
  <c r="AE86" i="101" l="1"/>
  <c r="AD87" i="101" s="1"/>
  <c r="AE68" i="101"/>
  <c r="AE72" i="101" s="1"/>
  <c r="AE74" i="101" s="1"/>
  <c r="AE76" i="101" s="1"/>
  <c r="AF26" i="101"/>
  <c r="AF28" i="101" s="1"/>
  <c r="AC68" i="101"/>
  <c r="AC86" i="101"/>
  <c r="AE87" i="101" l="1"/>
  <c r="AD69" i="101"/>
  <c r="AE69" i="101"/>
  <c r="AB87" i="101"/>
  <c r="AA87" i="101"/>
  <c r="AC87" i="101"/>
  <c r="AF7" i="99"/>
  <c r="AC72" i="101"/>
  <c r="AB69" i="101"/>
  <c r="AA69" i="101"/>
  <c r="Z69" i="101"/>
  <c r="AC69" i="101"/>
  <c r="AF11" i="99" l="1"/>
  <c r="AC84" i="99"/>
  <c r="AC85" i="99" s="1"/>
  <c r="AC66" i="99"/>
  <c r="AC67" i="99" s="1"/>
  <c r="AC74" i="101"/>
  <c r="AI7" i="99" l="1"/>
  <c r="AC68" i="99"/>
  <c r="AC86" i="99"/>
  <c r="AC87" i="99" s="1"/>
  <c r="AC76" i="101"/>
  <c r="AF26" i="99"/>
  <c r="AF28" i="99" s="1"/>
  <c r="AC72" i="99" l="1"/>
  <c r="Z69" i="99"/>
  <c r="AB69" i="99"/>
  <c r="AA69" i="99"/>
  <c r="AC69" i="99"/>
  <c r="AI11" i="99"/>
  <c r="AI26" i="99" s="1"/>
  <c r="AI28" i="99" s="1"/>
  <c r="AA87" i="99"/>
  <c r="AB87" i="99"/>
  <c r="AH7" i="98" l="1"/>
  <c r="AC74" i="99"/>
  <c r="AG7" i="98"/>
  <c r="AI7" i="98"/>
  <c r="AI11" i="98" l="1"/>
  <c r="AI26" i="98" s="1"/>
  <c r="AI28" i="98" s="1"/>
  <c r="AC76" i="99"/>
  <c r="AE84" i="98"/>
  <c r="AE85" i="98" s="1"/>
  <c r="AE66" i="98"/>
  <c r="AE67" i="98" s="1"/>
  <c r="AD84" i="98"/>
  <c r="AD85" i="98" s="1"/>
  <c r="AD66" i="98"/>
  <c r="AD67" i="98" s="1"/>
  <c r="AF84" i="98"/>
  <c r="AF85" i="98" s="1"/>
  <c r="AF66" i="98"/>
  <c r="AF67" i="98" s="1"/>
  <c r="AG11" i="98"/>
  <c r="AG26" i="98" s="1"/>
  <c r="AG28" i="98" s="1"/>
  <c r="AH11" i="98"/>
  <c r="AH26" i="98" s="1"/>
  <c r="AH28" i="98" s="1"/>
  <c r="AE86" i="98" l="1"/>
  <c r="AD87" i="98" s="1"/>
  <c r="AE68" i="98"/>
  <c r="AD69" i="98" s="1"/>
  <c r="AE87" i="98" l="1"/>
  <c r="AE69" i="98"/>
  <c r="Q30" i="98"/>
  <c r="Q33" i="98" s="1"/>
  <c r="Q36" i="98" s="1"/>
  <c r="P30" i="98"/>
  <c r="P33" i="98" s="1"/>
  <c r="P36" i="98" s="1"/>
  <c r="R30" i="98"/>
  <c r="R33" i="98" s="1"/>
  <c r="R36" i="98" s="1"/>
  <c r="O30" i="98" l="1"/>
  <c r="O33" i="98" l="1"/>
  <c r="O36" i="98" s="1"/>
  <c r="O30" i="100" l="1"/>
  <c r="Q30" i="102" l="1"/>
  <c r="Q33" i="102" s="1"/>
  <c r="Q36" i="102" s="1"/>
  <c r="P30" i="102"/>
  <c r="P33" i="102" s="1"/>
  <c r="P36" i="102" s="1"/>
  <c r="R30" i="102"/>
  <c r="R33" i="102" s="1"/>
  <c r="R36" i="102" s="1"/>
  <c r="O33" i="100"/>
  <c r="O36" i="100" s="1"/>
  <c r="O30" i="102" l="1"/>
  <c r="R30" i="97" l="1"/>
  <c r="R33" i="97" s="1"/>
  <c r="R36" i="97" s="1"/>
  <c r="P30" i="97"/>
  <c r="P33" i="97" s="1"/>
  <c r="P36" i="97" s="1"/>
  <c r="Q30" i="97"/>
  <c r="Q33" i="97" s="1"/>
  <c r="Q36" i="97" s="1"/>
  <c r="S30" i="97"/>
  <c r="O33" i="102"/>
  <c r="O36" i="102" s="1"/>
  <c r="S32" i="97" l="1"/>
  <c r="T31" i="97"/>
  <c r="O30" i="97"/>
  <c r="O33" i="97" l="1"/>
  <c r="O36" i="97" s="1"/>
  <c r="O30" i="99" l="1"/>
  <c r="O33" i="99" l="1"/>
  <c r="O36" i="99" s="1"/>
  <c r="AF7" i="97" l="1"/>
  <c r="AF11" i="97" l="1"/>
  <c r="AC66" i="97"/>
  <c r="AC67" i="97" s="1"/>
  <c r="AC84" i="97"/>
  <c r="AC85" i="97" s="1"/>
  <c r="AC86" i="97" l="1"/>
  <c r="AC68" i="97"/>
  <c r="AC69" i="97" s="1"/>
  <c r="AF26" i="97"/>
  <c r="AF28" i="97" s="1"/>
  <c r="AC72" i="97" l="1"/>
  <c r="AB69" i="97"/>
  <c r="Z69" i="97"/>
  <c r="AA69" i="97"/>
  <c r="AA87" i="97"/>
  <c r="AB87" i="97"/>
  <c r="AC87" i="97"/>
  <c r="AH7" i="97"/>
  <c r="AI7" i="97"/>
  <c r="AI11" i="97" l="1"/>
  <c r="AI26" i="97" s="1"/>
  <c r="AI28" i="97" s="1"/>
  <c r="AH11" i="97"/>
  <c r="AH26" i="97" s="1"/>
  <c r="AH28" i="97" s="1"/>
  <c r="AC74" i="97"/>
  <c r="AC76" i="97" l="1"/>
  <c r="AG7" i="97" l="1"/>
  <c r="AG11" i="97" l="1"/>
  <c r="AF84" i="97"/>
  <c r="AF85" i="97" s="1"/>
  <c r="AD66" i="97"/>
  <c r="AD67" i="97" s="1"/>
  <c r="AD84" i="97"/>
  <c r="AD85" i="97" s="1"/>
  <c r="AE84" i="97"/>
  <c r="AE85" i="97" s="1"/>
  <c r="AF66" i="97"/>
  <c r="AF67" i="97" s="1"/>
  <c r="AE66" i="97"/>
  <c r="AE67" i="97" s="1"/>
  <c r="AE86" i="97" l="1"/>
  <c r="AE87" i="97" s="1"/>
  <c r="AE68" i="97"/>
  <c r="AE69" i="97" s="1"/>
  <c r="AG26" i="97"/>
  <c r="AG28" i="97" s="1"/>
  <c r="AD69" i="97" l="1"/>
  <c r="AD87" i="97"/>
  <c r="AE72" i="97"/>
  <c r="AE74" i="97" l="1"/>
  <c r="AE76" i="97" l="1"/>
  <c r="AH7" i="99" l="1"/>
  <c r="AH11" i="99" l="1"/>
  <c r="AH26" i="99" s="1"/>
  <c r="AH28" i="99" s="1"/>
  <c r="AG7" i="99" l="1"/>
  <c r="AG11" i="99" l="1"/>
  <c r="AF66" i="99"/>
  <c r="AF67" i="99" s="1"/>
  <c r="AF84" i="99"/>
  <c r="AF85" i="99" s="1"/>
  <c r="AD66" i="99"/>
  <c r="AD67" i="99" s="1"/>
  <c r="AE66" i="99"/>
  <c r="AE67" i="99" s="1"/>
  <c r="AE84" i="99"/>
  <c r="AE85" i="99" s="1"/>
  <c r="AD84" i="99"/>
  <c r="AD85" i="99" s="1"/>
  <c r="AE86" i="99" l="1"/>
  <c r="AD87" i="99" s="1"/>
  <c r="AE68" i="99"/>
  <c r="AE69" i="99" s="1"/>
  <c r="AG26" i="99"/>
  <c r="AG28" i="99" s="1"/>
  <c r="AE87" i="99" l="1"/>
  <c r="AD69" i="99"/>
  <c r="AE72" i="99"/>
  <c r="AE74" i="99" l="1"/>
  <c r="Q30" i="100" l="1"/>
  <c r="Q33" i="100" s="1"/>
  <c r="Q36" i="100" s="1"/>
  <c r="P30" i="100"/>
  <c r="AE76" i="99"/>
  <c r="P33" i="100" l="1"/>
  <c r="P36" i="100" s="1"/>
  <c r="P30" i="99" l="1"/>
  <c r="R30" i="99"/>
  <c r="R33" i="99" s="1"/>
  <c r="R36" i="99" s="1"/>
  <c r="Q30" i="99"/>
  <c r="Q33" i="99" s="1"/>
  <c r="Q36" i="99" s="1"/>
  <c r="P33" i="99" l="1"/>
  <c r="P36" i="99" s="1"/>
  <c r="AJ7" i="100" l="1"/>
  <c r="AJ7" i="102" l="1"/>
  <c r="AJ11" i="100"/>
  <c r="AJ26" i="100" s="1"/>
  <c r="AJ28" i="100" s="1"/>
  <c r="AG84" i="100"/>
  <c r="AG85" i="100" s="1"/>
  <c r="AG66" i="100"/>
  <c r="AG67" i="100" s="1"/>
  <c r="AJ11" i="102" l="1"/>
  <c r="AJ26" i="102" s="1"/>
  <c r="AJ28" i="102" s="1"/>
  <c r="AG66" i="102"/>
  <c r="AG67" i="102" s="1"/>
  <c r="AG84" i="102"/>
  <c r="AG85" i="102" s="1"/>
  <c r="AG68" i="100"/>
  <c r="AG69" i="100" s="1"/>
  <c r="AG86" i="100"/>
  <c r="AF87" i="100" s="1"/>
  <c r="AG68" i="102" l="1"/>
  <c r="AG69" i="102" s="1"/>
  <c r="AG86" i="102"/>
  <c r="AF87" i="102" s="1"/>
  <c r="Q69" i="100"/>
  <c r="AG72" i="100"/>
  <c r="AF69" i="100"/>
  <c r="AG87" i="100"/>
  <c r="AG74" i="100" l="1"/>
  <c r="AG72" i="102"/>
  <c r="AF69" i="102"/>
  <c r="AG87" i="102"/>
  <c r="AG74" i="102" l="1"/>
  <c r="AG76" i="100"/>
  <c r="AJ7" i="101"/>
  <c r="AJ11" i="101" l="1"/>
  <c r="AG84" i="101"/>
  <c r="AG85" i="101" s="1"/>
  <c r="AG66" i="101"/>
  <c r="AG67" i="101" s="1"/>
  <c r="AG76" i="102"/>
  <c r="AJ26" i="101" l="1"/>
  <c r="AJ28" i="101" s="1"/>
  <c r="AJ7" i="99"/>
  <c r="AG68" i="101"/>
  <c r="AG86" i="101"/>
  <c r="AF87" i="101" s="1"/>
  <c r="AJ7" i="98"/>
  <c r="AG87" i="101" l="1"/>
  <c r="AG72" i="101"/>
  <c r="AF69" i="101"/>
  <c r="AJ11" i="99"/>
  <c r="AG84" i="99"/>
  <c r="AG85" i="99" s="1"/>
  <c r="AG66" i="99"/>
  <c r="AG67" i="99" s="1"/>
  <c r="AG69" i="101"/>
  <c r="AJ11" i="98"/>
  <c r="AJ26" i="98" s="1"/>
  <c r="AJ28" i="98" s="1"/>
  <c r="AG84" i="98"/>
  <c r="AG85" i="98" s="1"/>
  <c r="AG66" i="98"/>
  <c r="AG67" i="98" s="1"/>
  <c r="S30" i="98" l="1"/>
  <c r="AG74" i="101"/>
  <c r="AG68" i="99"/>
  <c r="AG86" i="99"/>
  <c r="AF87" i="99" s="1"/>
  <c r="AG86" i="98"/>
  <c r="AF87" i="98" s="1"/>
  <c r="AG68" i="98"/>
  <c r="AJ26" i="99"/>
  <c r="AJ28" i="99" s="1"/>
  <c r="AG69" i="99" l="1"/>
  <c r="AG72" i="99"/>
  <c r="AF69" i="99"/>
  <c r="AG87" i="98"/>
  <c r="AF69" i="98"/>
  <c r="AG69" i="98"/>
  <c r="AG87" i="99"/>
  <c r="S30" i="100"/>
  <c r="S33" i="100" s="1"/>
  <c r="AG76" i="101"/>
  <c r="S33" i="98"/>
  <c r="S34" i="100" l="1"/>
  <c r="AG74" i="99"/>
  <c r="S34" i="98"/>
  <c r="S47" i="100" l="1"/>
  <c r="S48" i="100"/>
  <c r="S44" i="100"/>
  <c r="S49" i="100"/>
  <c r="S46" i="100"/>
  <c r="S43" i="98"/>
  <c r="S45" i="98"/>
  <c r="S41" i="98"/>
  <c r="S42" i="98"/>
  <c r="S44" i="98"/>
  <c r="S48" i="98"/>
  <c r="S47" i="98"/>
  <c r="S49" i="98"/>
  <c r="S46" i="98"/>
  <c r="AG76" i="99"/>
  <c r="S30" i="102" l="1"/>
  <c r="S36" i="98"/>
  <c r="S30" i="99" l="1"/>
  <c r="S32" i="99" l="1"/>
  <c r="T31" i="99" l="1"/>
  <c r="S33" i="99"/>
  <c r="AJ7" i="97"/>
  <c r="AJ11" i="97" l="1"/>
  <c r="AG66" i="97"/>
  <c r="AG67" i="97" s="1"/>
  <c r="AG84" i="97"/>
  <c r="AG85" i="97" s="1"/>
  <c r="S34" i="99"/>
  <c r="S45" i="99" l="1"/>
  <c r="S48" i="99"/>
  <c r="S49" i="99"/>
  <c r="S42" i="99"/>
  <c r="S47" i="99"/>
  <c r="S54" i="99"/>
  <c r="S46" i="99"/>
  <c r="S44" i="99"/>
  <c r="AG86" i="97"/>
  <c r="AF87" i="97" s="1"/>
  <c r="AG68" i="97"/>
  <c r="AJ26" i="97"/>
  <c r="AJ28" i="97" s="1"/>
  <c r="AG87" i="97" l="1"/>
  <c r="AG72" i="97"/>
  <c r="AF69" i="97"/>
  <c r="AG69" i="97"/>
  <c r="S41" i="101"/>
  <c r="S42" i="100"/>
  <c r="AG74" i="97" l="1"/>
  <c r="AG76" i="97" l="1"/>
  <c r="R30" i="101" l="1"/>
  <c r="R33" i="101" s="1"/>
  <c r="R36" i="101" s="1"/>
  <c r="P30" i="101"/>
  <c r="P33" i="101" s="1"/>
  <c r="P36" i="101" s="1"/>
  <c r="Q30" i="101"/>
  <c r="Q33" i="101" s="1"/>
  <c r="Q36" i="101" s="1"/>
  <c r="S30" i="101"/>
  <c r="S33" i="101" s="1"/>
  <c r="O30" i="101" l="1"/>
  <c r="S34" i="101"/>
  <c r="S44" i="101" l="1"/>
  <c r="S49" i="101"/>
  <c r="S46" i="101"/>
  <c r="S47" i="101"/>
  <c r="S48" i="101"/>
  <c r="S42" i="101"/>
  <c r="O33" i="101"/>
  <c r="O36" i="101" s="1"/>
  <c r="S45" i="100" l="1"/>
  <c r="AK7" i="100" l="1"/>
  <c r="AK7" i="102" l="1"/>
  <c r="AM7" i="100"/>
  <c r="AM7" i="102"/>
  <c r="AK11" i="100"/>
  <c r="AK26" i="100" s="1"/>
  <c r="AK28" i="100" s="1"/>
  <c r="AH66" i="100"/>
  <c r="AH67" i="100" s="1"/>
  <c r="AH84" i="100"/>
  <c r="AH85" i="100" s="1"/>
  <c r="AL7" i="100"/>
  <c r="AI84" i="100" s="1"/>
  <c r="AI85" i="100" s="1"/>
  <c r="AJ84" i="100" l="1"/>
  <c r="AJ85" i="100" s="1"/>
  <c r="AJ86" i="100" s="1"/>
  <c r="AI87" i="100" s="1"/>
  <c r="AI66" i="100"/>
  <c r="AI67" i="100" s="1"/>
  <c r="AI68" i="100" s="1"/>
  <c r="AH69" i="100" s="1"/>
  <c r="AJ66" i="100"/>
  <c r="AJ67" i="100" s="1"/>
  <c r="AM11" i="100"/>
  <c r="AM26" i="100" s="1"/>
  <c r="AM28" i="100" s="1"/>
  <c r="AM11" i="102"/>
  <c r="AM26" i="102" s="1"/>
  <c r="AM28" i="102" s="1"/>
  <c r="AK11" i="102"/>
  <c r="AK26" i="102" s="1"/>
  <c r="AK28" i="102" s="1"/>
  <c r="AH66" i="102"/>
  <c r="AH67" i="102" s="1"/>
  <c r="AH84" i="102"/>
  <c r="AH85" i="102" s="1"/>
  <c r="AL7" i="102"/>
  <c r="AL11" i="100"/>
  <c r="AL26" i="100" s="1"/>
  <c r="AL28" i="100" s="1"/>
  <c r="AK84" i="102" l="1"/>
  <c r="AK85" i="102" s="1"/>
  <c r="AI69" i="100"/>
  <c r="AH87" i="100"/>
  <c r="AI84" i="102"/>
  <c r="AI85" i="102" s="1"/>
  <c r="AI86" i="102" s="1"/>
  <c r="AH87" i="102" s="1"/>
  <c r="AJ87" i="100"/>
  <c r="AJ84" i="102"/>
  <c r="AJ85" i="102" s="1"/>
  <c r="AL11" i="102"/>
  <c r="AL26" i="102" s="1"/>
  <c r="AL28" i="102" s="1"/>
  <c r="AJ66" i="102"/>
  <c r="AJ67" i="102" s="1"/>
  <c r="AI66" i="102"/>
  <c r="AI67" i="102" s="1"/>
  <c r="R30" i="100" l="1"/>
  <c r="R33" i="100" s="1"/>
  <c r="R36" i="100" s="1"/>
  <c r="AJ68" i="102"/>
  <c r="AI69" i="102" s="1"/>
  <c r="AI87" i="102"/>
  <c r="AJ72" i="102" l="1"/>
  <c r="AH69" i="102"/>
  <c r="AJ69" i="102"/>
  <c r="AJ74" i="102" l="1"/>
  <c r="AJ76" i="102" l="1"/>
  <c r="AM7" i="101" l="1"/>
  <c r="AL7" i="101"/>
  <c r="AL11" i="101" l="1"/>
  <c r="AL26" i="101" s="1"/>
  <c r="AL28" i="101" s="1"/>
  <c r="AM11" i="101"/>
  <c r="AM26" i="101" s="1"/>
  <c r="AM28" i="101" s="1"/>
  <c r="AK7" i="101" l="1"/>
  <c r="AK11" i="101" l="1"/>
  <c r="AI66" i="101"/>
  <c r="AI67" i="101" s="1"/>
  <c r="AI84" i="101"/>
  <c r="AI85" i="101" s="1"/>
  <c r="AJ66" i="101"/>
  <c r="AJ67" i="101" s="1"/>
  <c r="AJ84" i="101"/>
  <c r="AJ85" i="101" s="1"/>
  <c r="AH66" i="101"/>
  <c r="AH67" i="101" s="1"/>
  <c r="AH84" i="101"/>
  <c r="AH85" i="101" s="1"/>
  <c r="AK26" i="101" l="1"/>
  <c r="AK28" i="101" s="1"/>
  <c r="AJ86" i="101"/>
  <c r="AJ87" i="101" s="1"/>
  <c r="AH87" i="101" l="1"/>
  <c r="AI87" i="101"/>
  <c r="AM7" i="99" l="1"/>
  <c r="AL7" i="98" l="1"/>
  <c r="AM11" i="99"/>
  <c r="AM26" i="99" s="1"/>
  <c r="AM28" i="99" s="1"/>
  <c r="AK7" i="98" l="1"/>
  <c r="AL11" i="98"/>
  <c r="AL26" i="98" s="1"/>
  <c r="AL28" i="98" s="1"/>
  <c r="AM7" i="98"/>
  <c r="AK11" i="98" l="1"/>
  <c r="AK26" i="98" s="1"/>
  <c r="AK28" i="98" s="1"/>
  <c r="AJ84" i="98"/>
  <c r="AJ85" i="98" s="1"/>
  <c r="AH66" i="98"/>
  <c r="AH67" i="98" s="1"/>
  <c r="AI84" i="98"/>
  <c r="AI85" i="98" s="1"/>
  <c r="AI66" i="98"/>
  <c r="AI67" i="98" s="1"/>
  <c r="AH84" i="98"/>
  <c r="AH85" i="98" s="1"/>
  <c r="AJ66" i="98"/>
  <c r="AJ67" i="98" s="1"/>
  <c r="AM11" i="98"/>
  <c r="AM26" i="98" s="1"/>
  <c r="AM28" i="98" s="1"/>
  <c r="AI68" i="98" l="1"/>
  <c r="AI69" i="98" s="1"/>
  <c r="AJ86" i="98"/>
  <c r="AH87" i="98" s="1"/>
  <c r="AH69" i="98" l="1"/>
  <c r="AJ87" i="98"/>
  <c r="AI87" i="98"/>
  <c r="U30" i="98"/>
  <c r="U33" i="98" s="1"/>
  <c r="V30" i="98"/>
  <c r="V33" i="98" s="1"/>
  <c r="U34" i="98" l="1"/>
  <c r="V34" i="98"/>
  <c r="V49" i="98" l="1"/>
  <c r="V44" i="98"/>
  <c r="V45" i="98"/>
  <c r="V41" i="98"/>
  <c r="V47" i="98"/>
  <c r="V46" i="98"/>
  <c r="V43" i="98"/>
  <c r="V42" i="98"/>
  <c r="V48" i="98"/>
  <c r="V30" i="102"/>
  <c r="U30" i="102"/>
  <c r="U32" i="102" s="1"/>
  <c r="T31" i="102" s="1"/>
  <c r="U46" i="98"/>
  <c r="U42" i="98"/>
  <c r="U45" i="98"/>
  <c r="U41" i="98"/>
  <c r="U49" i="98"/>
  <c r="U47" i="98"/>
  <c r="U43" i="98"/>
  <c r="U48" i="98"/>
  <c r="U44" i="98"/>
  <c r="T30" i="98"/>
  <c r="U36" i="98" l="1"/>
  <c r="V36" i="98"/>
  <c r="T33" i="98"/>
  <c r="V32" i="102"/>
  <c r="U31" i="102" s="1"/>
  <c r="U33" i="102" s="1"/>
  <c r="U34" i="102" l="1"/>
  <c r="T34" i="98"/>
  <c r="T30" i="102" l="1"/>
  <c r="T48" i="98"/>
  <c r="T49" i="98"/>
  <c r="T45" i="98"/>
  <c r="T47" i="98"/>
  <c r="T42" i="98"/>
  <c r="T43" i="98"/>
  <c r="T46" i="98"/>
  <c r="T44" i="98"/>
  <c r="T41" i="98"/>
  <c r="U43" i="102"/>
  <c r="U45" i="102"/>
  <c r="U43" i="101" s="1"/>
  <c r="U47" i="102"/>
  <c r="U46" i="102"/>
  <c r="U41" i="102"/>
  <c r="U42" i="102"/>
  <c r="U43" i="100" s="1"/>
  <c r="U49" i="102"/>
  <c r="U44" i="102"/>
  <c r="U48" i="102"/>
  <c r="V30" i="97" l="1"/>
  <c r="W30" i="97"/>
  <c r="W32" i="97" s="1"/>
  <c r="X31" i="97" s="1"/>
  <c r="U30" i="97"/>
  <c r="U32" i="97" s="1"/>
  <c r="V31" i="97" s="1"/>
  <c r="T36" i="98"/>
  <c r="T32" i="102"/>
  <c r="T33" i="102" s="1"/>
  <c r="U43" i="99"/>
  <c r="U36" i="102"/>
  <c r="S31" i="102" l="1"/>
  <c r="T34" i="102"/>
  <c r="V32" i="97"/>
  <c r="Z31" i="97" s="1"/>
  <c r="W31" i="97"/>
  <c r="W33" i="97" s="1"/>
  <c r="V33" i="97" l="1"/>
  <c r="V34" i="97" s="1"/>
  <c r="T43" i="102"/>
  <c r="T49" i="102"/>
  <c r="T45" i="102"/>
  <c r="T43" i="101" s="1"/>
  <c r="T48" i="102"/>
  <c r="T42" i="102"/>
  <c r="T43" i="100" s="1"/>
  <c r="T44" i="102"/>
  <c r="T41" i="102"/>
  <c r="T47" i="102"/>
  <c r="T46" i="102"/>
  <c r="S33" i="102"/>
  <c r="W34" i="97"/>
  <c r="W41" i="97" l="1"/>
  <c r="W48" i="97"/>
  <c r="W45" i="97"/>
  <c r="W45" i="101" s="1"/>
  <c r="W49" i="97"/>
  <c r="W42" i="97"/>
  <c r="W41" i="100" s="1"/>
  <c r="W44" i="97"/>
  <c r="W44" i="98" s="1"/>
  <c r="W43" i="97"/>
  <c r="W46" i="97"/>
  <c r="W47" i="97"/>
  <c r="T43" i="99"/>
  <c r="T36" i="102"/>
  <c r="T30" i="97"/>
  <c r="V45" i="97"/>
  <c r="V45" i="101" s="1"/>
  <c r="V42" i="97"/>
  <c r="V41" i="100" s="1"/>
  <c r="V43" i="97"/>
  <c r="V47" i="97"/>
  <c r="V46" i="97"/>
  <c r="V41" i="97"/>
  <c r="V49" i="97"/>
  <c r="V44" i="97"/>
  <c r="V48" i="97"/>
  <c r="S34" i="102"/>
  <c r="V41" i="99" l="1"/>
  <c r="V36" i="97"/>
  <c r="T32" i="97"/>
  <c r="T33" i="97" s="1"/>
  <c r="S46" i="102"/>
  <c r="S47" i="102"/>
  <c r="S43" i="102"/>
  <c r="S49" i="102"/>
  <c r="S41" i="102"/>
  <c r="S45" i="102"/>
  <c r="S48" i="102"/>
  <c r="S42" i="102"/>
  <c r="S44" i="102"/>
  <c r="W41" i="99"/>
  <c r="W36" i="97"/>
  <c r="S43" i="99" l="1"/>
  <c r="S36" i="102"/>
  <c r="S43" i="100"/>
  <c r="T34" i="97"/>
  <c r="S43" i="101"/>
  <c r="S31" i="97"/>
  <c r="U31" i="97"/>
  <c r="U33" i="97" s="1"/>
  <c r="T48" i="97" l="1"/>
  <c r="T45" i="97"/>
  <c r="T45" i="101" s="1"/>
  <c r="T43" i="97"/>
  <c r="T41" i="97"/>
  <c r="T42" i="97"/>
  <c r="T41" i="100" s="1"/>
  <c r="T44" i="97"/>
  <c r="T46" i="97"/>
  <c r="T47" i="97"/>
  <c r="T49" i="97"/>
  <c r="S33" i="97"/>
  <c r="U34" i="97"/>
  <c r="AL7" i="97"/>
  <c r="AM7" i="97"/>
  <c r="T41" i="99" l="1"/>
  <c r="T36" i="97"/>
  <c r="S34" i="97"/>
  <c r="AL11" i="97"/>
  <c r="AL26" i="97" s="1"/>
  <c r="AL28" i="97" s="1"/>
  <c r="AM11" i="97"/>
  <c r="AM26" i="97" s="1"/>
  <c r="AM28" i="97" s="1"/>
  <c r="U46" i="97"/>
  <c r="U49" i="97"/>
  <c r="U48" i="97"/>
  <c r="U47" i="97"/>
  <c r="U45" i="97"/>
  <c r="U45" i="101" s="1"/>
  <c r="U41" i="97"/>
  <c r="U43" i="97"/>
  <c r="U42" i="97"/>
  <c r="U41" i="100" s="1"/>
  <c r="U44" i="97"/>
  <c r="S48" i="97" l="1"/>
  <c r="S47" i="97"/>
  <c r="S42" i="97"/>
  <c r="S44" i="97"/>
  <c r="S43" i="97"/>
  <c r="S45" i="97"/>
  <c r="S49" i="97"/>
  <c r="S41" i="97"/>
  <c r="S46" i="97"/>
  <c r="U41" i="99"/>
  <c r="U36" i="97"/>
  <c r="AK7" i="97"/>
  <c r="S41" i="99" l="1"/>
  <c r="S36" i="97"/>
  <c r="AK11" i="97"/>
  <c r="AK26" i="97" s="1"/>
  <c r="AK28" i="97" s="1"/>
  <c r="AH84" i="97"/>
  <c r="AH85" i="97" s="1"/>
  <c r="AJ84" i="97"/>
  <c r="AJ85" i="97" s="1"/>
  <c r="AJ66" i="97"/>
  <c r="AJ67" i="97" s="1"/>
  <c r="AI84" i="97"/>
  <c r="AI85" i="97" s="1"/>
  <c r="AI66" i="97"/>
  <c r="AI67" i="97" s="1"/>
  <c r="AH66" i="97"/>
  <c r="AH67" i="97" s="1"/>
  <c r="S45" i="101"/>
  <c r="S36" i="101" s="1"/>
  <c r="S41" i="100"/>
  <c r="AJ86" i="97" l="1"/>
  <c r="AJ87" i="97" s="1"/>
  <c r="S36" i="100"/>
  <c r="AI68" i="97"/>
  <c r="AI69" i="97" s="1"/>
  <c r="S36" i="99"/>
  <c r="AI87" i="97" l="1"/>
  <c r="AH69" i="97"/>
  <c r="AH87" i="97"/>
  <c r="AL7" i="99" l="1"/>
  <c r="AL11" i="99" l="1"/>
  <c r="AL26" i="99" s="1"/>
  <c r="AL28" i="99" s="1"/>
  <c r="AK7" i="99"/>
  <c r="AK11" i="99" l="1"/>
  <c r="AK26" i="99" s="1"/>
  <c r="AK28" i="99" s="1"/>
  <c r="AH84" i="99"/>
  <c r="AH85" i="99" s="1"/>
  <c r="AJ66" i="99"/>
  <c r="AJ67" i="99" s="1"/>
  <c r="AH66" i="99"/>
  <c r="AH67" i="99" s="1"/>
  <c r="AJ84" i="99"/>
  <c r="AJ85" i="99" s="1"/>
  <c r="AI84" i="99"/>
  <c r="AI85" i="99" s="1"/>
  <c r="AI66" i="99"/>
  <c r="AI67" i="99" s="1"/>
  <c r="AJ86" i="99" l="1"/>
  <c r="AJ87" i="99" s="1"/>
  <c r="AI68" i="99"/>
  <c r="AH69" i="99" s="1"/>
  <c r="AI87" i="99" l="1"/>
  <c r="AI69" i="99"/>
  <c r="AH87" i="99"/>
  <c r="U30" i="100" l="1"/>
  <c r="U33" i="100" s="1"/>
  <c r="U34" i="100" s="1"/>
  <c r="T30" i="100" l="1"/>
  <c r="T33" i="100" s="1"/>
  <c r="U47" i="100"/>
  <c r="U48" i="100"/>
  <c r="U49" i="100"/>
  <c r="U46" i="100"/>
  <c r="U44" i="100"/>
  <c r="T34" i="100" l="1"/>
  <c r="T47" i="100" l="1"/>
  <c r="T48" i="100"/>
  <c r="T46" i="100"/>
  <c r="T49" i="100"/>
  <c r="T44" i="100"/>
  <c r="T30" i="99" l="1"/>
  <c r="V30" i="99"/>
  <c r="V32" i="99" l="1"/>
  <c r="W31" i="99" s="1"/>
  <c r="T32" i="99"/>
  <c r="T33" i="99" s="1"/>
  <c r="U30" i="99" l="1"/>
  <c r="T34" i="99"/>
  <c r="U31" i="99"/>
  <c r="T49" i="99" l="1"/>
  <c r="T44" i="99"/>
  <c r="T47" i="99"/>
  <c r="T45" i="99"/>
  <c r="T54" i="99"/>
  <c r="T48" i="99"/>
  <c r="T42" i="99"/>
  <c r="T46" i="99"/>
  <c r="AO7" i="100"/>
  <c r="AO11" i="100" s="1"/>
  <c r="AO26" i="100" s="1"/>
  <c r="AO28" i="100" s="1"/>
  <c r="U32" i="99"/>
  <c r="U33" i="99" s="1"/>
  <c r="T42" i="100" l="1"/>
  <c r="T36" i="99"/>
  <c r="T41" i="101"/>
  <c r="AN7" i="100"/>
  <c r="U34" i="99"/>
  <c r="V31" i="99"/>
  <c r="V33" i="99" l="1"/>
  <c r="AO7" i="102"/>
  <c r="AO11" i="102" s="1"/>
  <c r="AO26" i="102" s="1"/>
  <c r="AO28" i="102" s="1"/>
  <c r="AN11" i="100"/>
  <c r="AN26" i="100" s="1"/>
  <c r="AN28" i="100" s="1"/>
  <c r="AK66" i="100"/>
  <c r="AK67" i="100" s="1"/>
  <c r="AL66" i="100"/>
  <c r="AL67" i="100" s="1"/>
  <c r="U45" i="99"/>
  <c r="U44" i="99"/>
  <c r="U42" i="99"/>
  <c r="U48" i="99"/>
  <c r="U49" i="99"/>
  <c r="U47" i="99"/>
  <c r="U54" i="99"/>
  <c r="U46" i="99"/>
  <c r="U41" i="101" l="1"/>
  <c r="V34" i="99"/>
  <c r="AN7" i="102"/>
  <c r="U42" i="100"/>
  <c r="U36" i="99"/>
  <c r="AN11" i="102" l="1"/>
  <c r="AN26" i="102" s="1"/>
  <c r="AN28" i="102" s="1"/>
  <c r="AL84" i="102"/>
  <c r="AL85" i="102" s="1"/>
  <c r="AL66" i="102"/>
  <c r="AL67" i="102" s="1"/>
  <c r="AM84" i="102"/>
  <c r="AM85" i="102" s="1"/>
  <c r="AK66" i="102"/>
  <c r="AK67" i="102" s="1"/>
  <c r="V45" i="99"/>
  <c r="V47" i="99"/>
  <c r="V48" i="99"/>
  <c r="V54" i="99"/>
  <c r="V42" i="99"/>
  <c r="V46" i="99"/>
  <c r="V44" i="99"/>
  <c r="V49" i="99"/>
  <c r="V30" i="100" l="1"/>
  <c r="V33" i="100" s="1"/>
  <c r="V34" i="100" s="1"/>
  <c r="V41" i="101"/>
  <c r="V42" i="100"/>
  <c r="V44" i="100" l="1"/>
  <c r="V46" i="100"/>
  <c r="V47" i="100"/>
  <c r="V48" i="100"/>
  <c r="V49" i="100"/>
  <c r="AO7" i="101" l="1"/>
  <c r="AO11" i="101" s="1"/>
  <c r="AO26" i="101" s="1"/>
  <c r="AO28" i="101" s="1"/>
  <c r="AN7" i="101" l="1"/>
  <c r="AN11" i="101" l="1"/>
  <c r="AN26" i="101" s="1"/>
  <c r="AN28" i="101" s="1"/>
  <c r="AL66" i="101"/>
  <c r="AL67" i="101" s="1"/>
  <c r="AL84" i="101"/>
  <c r="AL85" i="101" s="1"/>
  <c r="AK66" i="101"/>
  <c r="AK67" i="101" s="1"/>
  <c r="AK84" i="101"/>
  <c r="AK85" i="101" s="1"/>
  <c r="AL68" i="101" l="1"/>
  <c r="AL69" i="101" s="1"/>
  <c r="AO7" i="98"/>
  <c r="AO11" i="98" s="1"/>
  <c r="AO26" i="98" s="1"/>
  <c r="AO28" i="98" s="1"/>
  <c r="AN7" i="98" l="1"/>
  <c r="AN7" i="99"/>
  <c r="AI69" i="101"/>
  <c r="AH69" i="101"/>
  <c r="AJ69" i="101"/>
  <c r="AK69" i="101"/>
  <c r="AN11" i="99" l="1"/>
  <c r="AN26" i="99" s="1"/>
  <c r="AN28" i="99" s="1"/>
  <c r="AL84" i="99"/>
  <c r="AL85" i="99" s="1"/>
  <c r="AK66" i="99"/>
  <c r="AK67" i="99" s="1"/>
  <c r="AK84" i="99"/>
  <c r="AK85" i="99" s="1"/>
  <c r="AN11" i="98"/>
  <c r="AN26" i="98" s="1"/>
  <c r="AN28" i="98" s="1"/>
  <c r="AK66" i="98"/>
  <c r="AK67" i="98" s="1"/>
  <c r="AL66" i="98"/>
  <c r="AL67" i="98" s="1"/>
  <c r="X30" i="98" l="1"/>
  <c r="W30" i="98"/>
  <c r="W30" i="100" l="1"/>
  <c r="W33" i="100" s="1"/>
  <c r="W34" i="100" s="1"/>
  <c r="W33" i="98"/>
  <c r="W34" i="98" s="1"/>
  <c r="W48" i="98" l="1"/>
  <c r="W46" i="98"/>
  <c r="W42" i="98"/>
  <c r="W49" i="98"/>
  <c r="W47" i="98"/>
  <c r="W48" i="100"/>
  <c r="W47" i="100"/>
  <c r="W49" i="100"/>
  <c r="W46" i="100"/>
  <c r="W44" i="100"/>
  <c r="W30" i="102" l="1"/>
  <c r="W32" i="102" l="1"/>
  <c r="W30" i="99" l="1"/>
  <c r="V31" i="102"/>
  <c r="V33" i="102" l="1"/>
  <c r="W32" i="99"/>
  <c r="AN7" i="97" l="1"/>
  <c r="X31" i="99"/>
  <c r="W33" i="99"/>
  <c r="V34" i="102"/>
  <c r="W34" i="99" l="1"/>
  <c r="AN11" i="97"/>
  <c r="AN26" i="97" s="1"/>
  <c r="AN28" i="97" s="1"/>
  <c r="AK84" i="97"/>
  <c r="AK85" i="97" s="1"/>
  <c r="AK66" i="97"/>
  <c r="AK67" i="97" s="1"/>
  <c r="V41" i="102"/>
  <c r="V46" i="102"/>
  <c r="V45" i="102"/>
  <c r="V44" i="102"/>
  <c r="V48" i="102"/>
  <c r="V47" i="102"/>
  <c r="V49" i="102"/>
  <c r="V43" i="102"/>
  <c r="V42" i="102"/>
  <c r="V43" i="99" l="1"/>
  <c r="V36" i="102"/>
  <c r="V43" i="100"/>
  <c r="AO7" i="97"/>
  <c r="V43" i="101"/>
  <c r="W42" i="99"/>
  <c r="W44" i="99"/>
  <c r="W41" i="98" s="1"/>
  <c r="W46" i="99"/>
  <c r="W54" i="99"/>
  <c r="W47" i="99"/>
  <c r="W45" i="99"/>
  <c r="W48" i="99"/>
  <c r="W49" i="99"/>
  <c r="AO11" i="97" l="1"/>
  <c r="AO26" i="97" s="1"/>
  <c r="AO28" i="97" s="1"/>
  <c r="AL84" i="97"/>
  <c r="AL85" i="97" s="1"/>
  <c r="AL66" i="97"/>
  <c r="AL67" i="97" s="1"/>
  <c r="W42" i="100"/>
  <c r="W41" i="101"/>
  <c r="V36" i="99"/>
  <c r="AO7" i="99" l="1"/>
  <c r="AO11" i="99" l="1"/>
  <c r="AO26" i="99" s="1"/>
  <c r="AO28" i="99" s="1"/>
  <c r="AM84" i="99"/>
  <c r="AM85" i="99" s="1"/>
  <c r="AL66" i="99"/>
  <c r="AL67" i="99" s="1"/>
  <c r="AP7" i="100" l="1"/>
  <c r="AQ7" i="100" l="1"/>
  <c r="AQ11" i="100" s="1"/>
  <c r="AQ26" i="100" s="1"/>
  <c r="AQ28" i="100" s="1"/>
  <c r="AP11" i="100"/>
  <c r="AP26" i="100" s="1"/>
  <c r="AP28" i="100" s="1"/>
  <c r="AM66" i="100"/>
  <c r="AM67" i="100" s="1"/>
  <c r="AN66" i="100" l="1"/>
  <c r="AN67" i="100" s="1"/>
  <c r="AO67" i="100" s="1"/>
  <c r="AM84" i="100"/>
  <c r="AM85" i="100" s="1"/>
  <c r="AO84" i="100"/>
  <c r="AO85" i="100" s="1"/>
  <c r="AN84" i="100"/>
  <c r="AN85" i="100" s="1"/>
  <c r="AL84" i="100"/>
  <c r="AL85" i="100" s="1"/>
  <c r="AP7" i="102"/>
  <c r="AR7" i="102"/>
  <c r="AR11" i="102" s="1"/>
  <c r="AR26" i="102" s="1"/>
  <c r="AR28" i="102" s="1"/>
  <c r="AR7" i="100"/>
  <c r="AR11" i="100" s="1"/>
  <c r="AR26" i="100" s="1"/>
  <c r="AR28" i="100" s="1"/>
  <c r="AK84" i="100"/>
  <c r="AK85" i="100" s="1"/>
  <c r="AN68" i="100" l="1"/>
  <c r="AN72" i="100" s="1"/>
  <c r="AQ7" i="102"/>
  <c r="AQ11" i="102" s="1"/>
  <c r="AQ26" i="102" s="1"/>
  <c r="AQ28" i="102" s="1"/>
  <c r="AP11" i="102"/>
  <c r="AP26" i="102" s="1"/>
  <c r="AP28" i="102" s="1"/>
  <c r="AM66" i="102"/>
  <c r="AM67" i="102" s="1"/>
  <c r="AN84" i="102"/>
  <c r="AN85" i="102" s="1"/>
  <c r="AO86" i="100"/>
  <c r="AK87" i="100" s="1"/>
  <c r="AM69" i="100" l="1"/>
  <c r="AK69" i="100"/>
  <c r="AN69" i="100"/>
  <c r="AL69" i="100"/>
  <c r="AO68" i="100"/>
  <c r="AJ69" i="100"/>
  <c r="AN87" i="100"/>
  <c r="AL87" i="100"/>
  <c r="AM87" i="100"/>
  <c r="AO87" i="100"/>
  <c r="AN86" i="102"/>
  <c r="AN87" i="102" s="1"/>
  <c r="AN66" i="102"/>
  <c r="AN67" i="102" s="1"/>
  <c r="AN74" i="100"/>
  <c r="AO72" i="100"/>
  <c r="X30" i="100" l="1"/>
  <c r="X33" i="100" s="1"/>
  <c r="X34" i="100" s="1"/>
  <c r="AN76" i="100"/>
  <c r="AO76" i="100" s="1"/>
  <c r="AO74" i="100"/>
  <c r="AO67" i="102"/>
  <c r="AN68" i="102"/>
  <c r="AN69" i="102" s="1"/>
  <c r="AK87" i="102"/>
  <c r="AJ87" i="102"/>
  <c r="AL87" i="102"/>
  <c r="AM87" i="102"/>
  <c r="AO75" i="100" l="1"/>
  <c r="X48" i="100"/>
  <c r="X44" i="100"/>
  <c r="X47" i="100"/>
  <c r="X46" i="100"/>
  <c r="X49" i="100"/>
  <c r="AR7" i="101"/>
  <c r="AR11" i="101" s="1"/>
  <c r="AR26" i="101" s="1"/>
  <c r="AR28" i="101" s="1"/>
  <c r="AQ7" i="101"/>
  <c r="AQ11" i="101" s="1"/>
  <c r="AQ26" i="101" s="1"/>
  <c r="AQ28" i="101" s="1"/>
  <c r="AN72" i="102"/>
  <c r="AO68" i="102"/>
  <c r="AK69" i="102"/>
  <c r="AL69" i="102"/>
  <c r="AM69" i="102"/>
  <c r="AN74" i="102" l="1"/>
  <c r="AO72" i="102"/>
  <c r="AP7" i="101" l="1"/>
  <c r="AR7" i="98"/>
  <c r="AR11" i="98" s="1"/>
  <c r="AR26" i="98" s="1"/>
  <c r="AR28" i="98" s="1"/>
  <c r="AQ7" i="98"/>
  <c r="AQ11" i="98" s="1"/>
  <c r="AQ26" i="98" s="1"/>
  <c r="AQ28" i="98" s="1"/>
  <c r="AP7" i="98"/>
  <c r="AR7" i="99"/>
  <c r="AR11" i="99" s="1"/>
  <c r="AR26" i="99" s="1"/>
  <c r="AR28" i="99" s="1"/>
  <c r="AN76" i="102"/>
  <c r="AO76" i="102" s="1"/>
  <c r="AO74" i="102"/>
  <c r="AP11" i="98" l="1"/>
  <c r="AP26" i="98" s="1"/>
  <c r="AP28" i="98" s="1"/>
  <c r="AK84" i="98"/>
  <c r="AK85" i="98" s="1"/>
  <c r="AN66" i="98"/>
  <c r="AN67" i="98" s="1"/>
  <c r="AM84" i="98"/>
  <c r="AM85" i="98" s="1"/>
  <c r="AL84" i="98"/>
  <c r="AL85" i="98" s="1"/>
  <c r="AO84" i="98"/>
  <c r="AO85" i="98" s="1"/>
  <c r="AM66" i="98"/>
  <c r="AM67" i="98" s="1"/>
  <c r="AN84" i="98"/>
  <c r="AN85" i="98" s="1"/>
  <c r="AP11" i="101"/>
  <c r="AP26" i="101" s="1"/>
  <c r="AP28" i="101" s="1"/>
  <c r="AN84" i="101"/>
  <c r="AN85" i="101" s="1"/>
  <c r="AN66" i="101"/>
  <c r="AN67" i="101" s="1"/>
  <c r="AM66" i="101"/>
  <c r="AM67" i="101" s="1"/>
  <c r="AM84" i="101"/>
  <c r="AM85" i="101" s="1"/>
  <c r="AO75" i="102"/>
  <c r="AN86" i="101" l="1"/>
  <c r="AM87" i="101" s="1"/>
  <c r="AN68" i="98"/>
  <c r="AN69" i="98" s="1"/>
  <c r="AO67" i="98"/>
  <c r="AN68" i="101"/>
  <c r="AO67" i="101"/>
  <c r="AO86" i="98"/>
  <c r="AN87" i="98" s="1"/>
  <c r="AK87" i="101" l="1"/>
  <c r="AN87" i="101"/>
  <c r="AL87" i="101"/>
  <c r="AL87" i="98"/>
  <c r="AO87" i="98"/>
  <c r="AN72" i="101"/>
  <c r="AO68" i="101"/>
  <c r="Z30" i="98"/>
  <c r="Z33" i="98" s="1"/>
  <c r="Z34" i="98" s="1"/>
  <c r="AK87" i="98"/>
  <c r="AM87" i="98"/>
  <c r="AM69" i="98"/>
  <c r="AJ69" i="98"/>
  <c r="AO68" i="98"/>
  <c r="AK69" i="98"/>
  <c r="AL69" i="98"/>
  <c r="AA30" i="98"/>
  <c r="AA33" i="98" s="1"/>
  <c r="AA34" i="98" s="1"/>
  <c r="AN69" i="101"/>
  <c r="AM69" i="101"/>
  <c r="AA47" i="98" l="1"/>
  <c r="AA49" i="98"/>
  <c r="AA46" i="98"/>
  <c r="AA48" i="98"/>
  <c r="AA42" i="98"/>
  <c r="Z42" i="98"/>
  <c r="Z48" i="98"/>
  <c r="Z49" i="98"/>
  <c r="Z46" i="98"/>
  <c r="Z47" i="98"/>
  <c r="AN74" i="101"/>
  <c r="AO72" i="101"/>
  <c r="AN76" i="101" l="1"/>
  <c r="AO76" i="101" s="1"/>
  <c r="AO74" i="101"/>
  <c r="AO75" i="101" l="1"/>
  <c r="Z30" i="102"/>
  <c r="Y30" i="98"/>
  <c r="Y32" i="98" l="1"/>
  <c r="Y33" i="98" s="1"/>
  <c r="Y34" i="98" s="1"/>
  <c r="Z32" i="102"/>
  <c r="Y31" i="102" s="1"/>
  <c r="Y42" i="98" l="1"/>
  <c r="Y46" i="98"/>
  <c r="Y47" i="98"/>
  <c r="Y49" i="98"/>
  <c r="Y48" i="98"/>
  <c r="X31" i="98"/>
  <c r="X33" i="98" l="1"/>
  <c r="X34" i="98" s="1"/>
  <c r="Y30" i="102" l="1"/>
  <c r="X42" i="98"/>
  <c r="X46" i="98"/>
  <c r="X49" i="98"/>
  <c r="X47" i="98"/>
  <c r="X48" i="98"/>
  <c r="X30" i="102" l="1"/>
  <c r="AA30" i="97"/>
  <c r="AA32" i="97" s="1"/>
  <c r="Y32" i="102"/>
  <c r="X31" i="102" s="1"/>
  <c r="Y33" i="102" l="1"/>
  <c r="Y34" i="102" s="1"/>
  <c r="X32" i="102"/>
  <c r="X33" i="102" s="1"/>
  <c r="AR7" i="97" l="1"/>
  <c r="AR11" i="97" s="1"/>
  <c r="AR26" i="97" s="1"/>
  <c r="AR28" i="97" s="1"/>
  <c r="Y48" i="102"/>
  <c r="Y41" i="102"/>
  <c r="Y42" i="102"/>
  <c r="Y43" i="100" s="1"/>
  <c r="Y46" i="102"/>
  <c r="Y45" i="102"/>
  <c r="Y43" i="101" s="1"/>
  <c r="Y44" i="102"/>
  <c r="Y47" i="102"/>
  <c r="Y49" i="102"/>
  <c r="Y43" i="102"/>
  <c r="AQ7" i="97"/>
  <c r="AQ11" i="97" s="1"/>
  <c r="AQ26" i="97" s="1"/>
  <c r="AQ28" i="97" s="1"/>
  <c r="X34" i="102"/>
  <c r="W31" i="102"/>
  <c r="Y30" i="97" l="1"/>
  <c r="Y43" i="99"/>
  <c r="Y36" i="102"/>
  <c r="W33" i="102"/>
  <c r="X48" i="102"/>
  <c r="X42" i="102"/>
  <c r="X43" i="100" s="1"/>
  <c r="X44" i="102"/>
  <c r="X41" i="102"/>
  <c r="X47" i="102"/>
  <c r="X43" i="102"/>
  <c r="X49" i="102"/>
  <c r="X46" i="102"/>
  <c r="X45" i="102"/>
  <c r="X43" i="101" s="1"/>
  <c r="AP7" i="97" l="1"/>
  <c r="Z30" i="97"/>
  <c r="W34" i="102"/>
  <c r="X30" i="97"/>
  <c r="X43" i="99"/>
  <c r="X36" i="102"/>
  <c r="Y32" i="97"/>
  <c r="W42" i="102" l="1"/>
  <c r="W48" i="102"/>
  <c r="W49" i="102"/>
  <c r="W47" i="102"/>
  <c r="W44" i="102"/>
  <c r="W45" i="102"/>
  <c r="W46" i="102"/>
  <c r="W41" i="102"/>
  <c r="W43" i="102"/>
  <c r="X30" i="99"/>
  <c r="Z32" i="97"/>
  <c r="AA31" i="97" s="1"/>
  <c r="AA33" i="97" s="1"/>
  <c r="X32" i="97"/>
  <c r="Y31" i="97" s="1"/>
  <c r="AP11" i="97"/>
  <c r="AP26" i="97" s="1"/>
  <c r="AP28" i="97" s="1"/>
  <c r="AM66" i="97"/>
  <c r="AM67" i="97" s="1"/>
  <c r="AO84" i="97"/>
  <c r="AO85" i="97" s="1"/>
  <c r="AM84" i="97"/>
  <c r="AM85" i="97" s="1"/>
  <c r="AN84" i="97"/>
  <c r="AN85" i="97" s="1"/>
  <c r="AN66" i="97"/>
  <c r="AN67" i="97" s="1"/>
  <c r="Z33" i="97" l="1"/>
  <c r="Z34" i="97" s="1"/>
  <c r="X33" i="97"/>
  <c r="X34" i="97" s="1"/>
  <c r="W43" i="100"/>
  <c r="W43" i="99"/>
  <c r="W36" i="102"/>
  <c r="X32" i="99"/>
  <c r="X33" i="99" s="1"/>
  <c r="AN68" i="97"/>
  <c r="AM69" i="97" s="1"/>
  <c r="W43" i="101"/>
  <c r="AO67" i="97"/>
  <c r="Y33" i="97"/>
  <c r="AO86" i="97"/>
  <c r="AO87" i="97" s="1"/>
  <c r="AA34" i="97"/>
  <c r="AN69" i="97" l="1"/>
  <c r="W36" i="99"/>
  <c r="X34" i="99"/>
  <c r="AK87" i="97"/>
  <c r="AL87" i="97"/>
  <c r="Y31" i="99"/>
  <c r="AN87" i="97"/>
  <c r="Z49" i="97"/>
  <c r="Z46" i="97"/>
  <c r="Z43" i="97"/>
  <c r="Z41" i="97"/>
  <c r="Z44" i="97"/>
  <c r="Z44" i="98" s="1"/>
  <c r="Z47" i="97"/>
  <c r="Z45" i="97"/>
  <c r="Z45" i="101" s="1"/>
  <c r="Z42" i="97"/>
  <c r="Z41" i="100" s="1"/>
  <c r="Z48" i="97"/>
  <c r="AM87" i="97"/>
  <c r="Y34" i="97"/>
  <c r="AA44" i="97"/>
  <c r="AA44" i="98" s="1"/>
  <c r="AA46" i="97"/>
  <c r="AA45" i="97"/>
  <c r="AA45" i="101" s="1"/>
  <c r="AA48" i="97"/>
  <c r="AA43" i="97"/>
  <c r="AA49" i="97"/>
  <c r="AA41" i="97"/>
  <c r="AA42" i="97"/>
  <c r="AA41" i="100" s="1"/>
  <c r="AA47" i="97"/>
  <c r="AN72" i="97"/>
  <c r="AJ69" i="97"/>
  <c r="AO68" i="97"/>
  <c r="AK69" i="97"/>
  <c r="AL69" i="97"/>
  <c r="X46" i="97"/>
  <c r="X47" i="97"/>
  <c r="X42" i="97"/>
  <c r="X44" i="97"/>
  <c r="X43" i="97"/>
  <c r="X45" i="97"/>
  <c r="X48" i="97"/>
  <c r="X49" i="97"/>
  <c r="X41" i="97"/>
  <c r="AA41" i="99" l="1"/>
  <c r="AA36" i="97"/>
  <c r="X41" i="100"/>
  <c r="X45" i="101"/>
  <c r="AN74" i="97"/>
  <c r="AO72" i="97"/>
  <c r="X45" i="99"/>
  <c r="X41" i="101" s="1"/>
  <c r="X54" i="99"/>
  <c r="X49" i="99"/>
  <c r="X46" i="99"/>
  <c r="X42" i="99"/>
  <c r="X42" i="100" s="1"/>
  <c r="X47" i="99"/>
  <c r="X48" i="99"/>
  <c r="X44" i="99"/>
  <c r="X41" i="98" s="1"/>
  <c r="Y43" i="97"/>
  <c r="Y46" i="97"/>
  <c r="Y48" i="97"/>
  <c r="Y47" i="97"/>
  <c r="Y45" i="97"/>
  <c r="Y45" i="101" s="1"/>
  <c r="Y44" i="97"/>
  <c r="Y44" i="98" s="1"/>
  <c r="Y42" i="97"/>
  <c r="Y41" i="100" s="1"/>
  <c r="Y49" i="97"/>
  <c r="Y41" i="97"/>
  <c r="X44" i="98"/>
  <c r="X41" i="99"/>
  <c r="X36" i="97"/>
  <c r="Z41" i="99"/>
  <c r="Z36" i="97"/>
  <c r="AN76" i="97" l="1"/>
  <c r="AO76" i="97" s="1"/>
  <c r="AO74" i="97"/>
  <c r="Y41" i="99"/>
  <c r="Y36" i="97"/>
  <c r="X36" i="99"/>
  <c r="AQ7" i="99"/>
  <c r="AQ11" i="99" s="1"/>
  <c r="AQ26" i="99" s="1"/>
  <c r="AQ28" i="99" s="1"/>
  <c r="AO75" i="97" l="1"/>
  <c r="AP7" i="99"/>
  <c r="AP11" i="99" l="1"/>
  <c r="AP26" i="99" s="1"/>
  <c r="AP28" i="99" s="1"/>
  <c r="AO84" i="99"/>
  <c r="AO85" i="99" s="1"/>
  <c r="AN84" i="99"/>
  <c r="AN85" i="99" s="1"/>
  <c r="AN66" i="99"/>
  <c r="AN67" i="99" s="1"/>
  <c r="AM66" i="99"/>
  <c r="AM67" i="99" s="1"/>
  <c r="AO86" i="99" l="1"/>
  <c r="Y30" i="100"/>
  <c r="Y33" i="100" s="1"/>
  <c r="Y34" i="100" s="1"/>
  <c r="AO67" i="99"/>
  <c r="AN68" i="99"/>
  <c r="AL87" i="99" l="1"/>
  <c r="AK87" i="99"/>
  <c r="AM87" i="99"/>
  <c r="AN72" i="99"/>
  <c r="AJ69" i="99"/>
  <c r="AO68" i="99"/>
  <c r="AK69" i="99"/>
  <c r="AL69" i="99"/>
  <c r="AN87" i="99"/>
  <c r="AM69" i="99"/>
  <c r="Y46" i="100"/>
  <c r="Y44" i="100"/>
  <c r="Y49" i="100"/>
  <c r="Y47" i="100"/>
  <c r="Y48" i="100"/>
  <c r="AN69" i="99"/>
  <c r="AO87" i="99"/>
  <c r="AN74" i="99" l="1"/>
  <c r="AO72" i="99"/>
  <c r="AN76" i="99" l="1"/>
  <c r="AO76" i="99" s="1"/>
  <c r="AO74" i="99"/>
  <c r="AO75" i="99" l="1"/>
  <c r="AT7" i="100" l="1"/>
  <c r="AT11" i="100" s="1"/>
  <c r="AT26" i="100" s="1"/>
  <c r="AT28" i="100" s="1"/>
  <c r="AS7" i="100" l="1"/>
  <c r="Y30" i="99"/>
  <c r="AS11" i="100" l="1"/>
  <c r="AS26" i="100" s="1"/>
  <c r="AS28" i="100" s="1"/>
  <c r="AU7" i="100"/>
  <c r="AT7" i="102"/>
  <c r="Y32" i="99"/>
  <c r="Z31" i="99" s="1"/>
  <c r="Y33" i="99" l="1"/>
  <c r="Y34" i="99" s="1"/>
  <c r="Z30" i="99"/>
  <c r="AT11" i="102"/>
  <c r="AT26" i="102" s="1"/>
  <c r="AT28" i="102" s="1"/>
  <c r="AU11" i="100"/>
  <c r="AU26" i="100" l="1"/>
  <c r="Z32" i="99"/>
  <c r="AA31" i="99" s="1"/>
  <c r="Y47" i="99"/>
  <c r="Y42" i="99"/>
  <c r="Y54" i="99"/>
  <c r="Y44" i="99"/>
  <c r="Y41" i="98" s="1"/>
  <c r="Y46" i="99"/>
  <c r="Y49" i="99"/>
  <c r="Y45" i="99"/>
  <c r="Y41" i="101" s="1"/>
  <c r="Y48" i="99"/>
  <c r="AS7" i="102"/>
  <c r="Z33" i="99" l="1"/>
  <c r="AU28" i="100"/>
  <c r="AS11" i="102"/>
  <c r="AS26" i="102" s="1"/>
  <c r="AS28" i="102" s="1"/>
  <c r="AU28" i="102" s="1"/>
  <c r="AU7" i="102"/>
  <c r="Y42" i="100"/>
  <c r="Y36" i="99"/>
  <c r="AA30" i="99"/>
  <c r="Z34" i="99" l="1"/>
  <c r="AA32" i="99"/>
  <c r="AB31" i="99" s="1"/>
  <c r="Z30" i="100"/>
  <c r="Z33" i="100" s="1"/>
  <c r="Z34" i="100" s="1"/>
  <c r="AU11" i="102"/>
  <c r="AA33" i="99" l="1"/>
  <c r="AA34" i="99" s="1"/>
  <c r="AA46" i="99" s="1"/>
  <c r="Z48" i="100"/>
  <c r="Z49" i="100"/>
  <c r="Z46" i="100"/>
  <c r="Z47" i="100"/>
  <c r="Z44" i="100"/>
  <c r="AU26" i="102"/>
  <c r="AU34" i="102"/>
  <c r="Z47" i="99"/>
  <c r="Z44" i="99"/>
  <c r="Z41" i="98" s="1"/>
  <c r="Z54" i="99"/>
  <c r="Z42" i="99"/>
  <c r="Z46" i="99"/>
  <c r="Z45" i="99"/>
  <c r="Z41" i="101" s="1"/>
  <c r="Z48" i="99"/>
  <c r="Z49" i="99"/>
  <c r="AA47" i="99" l="1"/>
  <c r="AA42" i="99"/>
  <c r="AA42" i="100" s="1"/>
  <c r="AA44" i="99"/>
  <c r="AA41" i="98" s="1"/>
  <c r="AA49" i="99"/>
  <c r="AA54" i="99"/>
  <c r="AA45" i="99"/>
  <c r="AA41" i="101" s="1"/>
  <c r="AA48" i="99"/>
  <c r="AA30" i="100"/>
  <c r="AA33" i="100" s="1"/>
  <c r="AA34" i="100" s="1"/>
  <c r="AT7" i="101"/>
  <c r="Z42" i="100"/>
  <c r="AT11" i="101" l="1"/>
  <c r="AA49" i="100"/>
  <c r="AA48" i="100"/>
  <c r="AA47" i="100"/>
  <c r="AA46" i="100"/>
  <c r="AA44" i="100"/>
  <c r="AT26" i="101" l="1"/>
  <c r="AT28" i="101" s="1"/>
  <c r="AS7" i="101" l="1"/>
  <c r="AS11" i="101" l="1"/>
  <c r="AU7" i="101"/>
  <c r="AT7" i="98"/>
  <c r="AS26" i="101" l="1"/>
  <c r="AS28" i="101" s="1"/>
  <c r="AU28" i="101" s="1"/>
  <c r="AU11" i="101"/>
  <c r="AT11" i="98"/>
  <c r="AT26" i="98" s="1"/>
  <c r="AT28" i="98" s="1"/>
  <c r="AS7" i="98" l="1"/>
  <c r="AU26" i="101"/>
  <c r="AS7" i="99"/>
  <c r="AS11" i="98" l="1"/>
  <c r="AS26" i="98" s="1"/>
  <c r="AS28" i="98" s="1"/>
  <c r="AU28" i="98" s="1"/>
  <c r="AU7" i="98"/>
  <c r="AS11" i="99"/>
  <c r="AS26" i="99" s="1"/>
  <c r="AS28" i="99" s="1"/>
  <c r="AU7" i="99"/>
  <c r="AU11" i="98" l="1"/>
  <c r="AU26" i="98" l="1"/>
  <c r="AW26" i="98" s="1"/>
  <c r="AB30" i="102" l="1"/>
  <c r="AA30" i="102" l="1"/>
  <c r="AB32" i="102"/>
  <c r="AA31" i="102" s="1"/>
  <c r="AA32" i="102" l="1"/>
  <c r="AA33" i="102" s="1"/>
  <c r="AS7" i="97" l="1"/>
  <c r="AS11" i="97" s="1"/>
  <c r="AS26" i="97" s="1"/>
  <c r="AS28" i="97" s="1"/>
  <c r="Z31" i="102"/>
  <c r="AE30" i="97"/>
  <c r="AE32" i="97" s="1"/>
  <c r="AA34" i="102"/>
  <c r="Z33" i="102" l="1"/>
  <c r="AD30" i="97"/>
  <c r="AD32" i="97" s="1"/>
  <c r="AD33" i="97" s="1"/>
  <c r="AA43" i="102"/>
  <c r="AA46" i="102"/>
  <c r="AA47" i="102"/>
  <c r="AA44" i="102"/>
  <c r="AA45" i="102"/>
  <c r="AA43" i="101" s="1"/>
  <c r="AA41" i="102"/>
  <c r="AA42" i="102"/>
  <c r="AA43" i="100" s="1"/>
  <c r="AA48" i="102"/>
  <c r="AA49" i="102"/>
  <c r="AB30" i="97" l="1"/>
  <c r="AD34" i="97"/>
  <c r="AA43" i="99"/>
  <c r="AA36" i="99" s="1"/>
  <c r="AA36" i="102"/>
  <c r="Z34" i="102"/>
  <c r="AC30" i="97" l="1"/>
  <c r="Z45" i="102"/>
  <c r="Z43" i="102"/>
  <c r="Z49" i="102"/>
  <c r="Z47" i="102"/>
  <c r="Z44" i="102"/>
  <c r="Z46" i="102"/>
  <c r="Z42" i="102"/>
  <c r="Z48" i="102"/>
  <c r="Z41" i="102"/>
  <c r="AD44" i="97"/>
  <c r="AD44" i="98" s="1"/>
  <c r="AD47" i="97"/>
  <c r="AD41" i="97"/>
  <c r="AD42" i="97"/>
  <c r="AD41" i="100" s="1"/>
  <c r="AD45" i="97"/>
  <c r="AD45" i="101" s="1"/>
  <c r="AD49" i="97"/>
  <c r="AD46" i="97"/>
  <c r="AD43" i="97"/>
  <c r="AD48" i="97"/>
  <c r="AB32" i="97"/>
  <c r="AB33" i="97" s="1"/>
  <c r="AB34" i="97" l="1"/>
  <c r="AD41" i="99"/>
  <c r="AD36" i="97"/>
  <c r="Z43" i="101"/>
  <c r="AT7" i="97"/>
  <c r="AC32" i="97"/>
  <c r="Z43" i="99"/>
  <c r="Z36" i="102"/>
  <c r="Z43" i="100"/>
  <c r="Z36" i="99" l="1"/>
  <c r="AT11" i="97"/>
  <c r="AU7" i="97"/>
  <c r="AB48" i="97"/>
  <c r="AB44" i="97"/>
  <c r="AB42" i="97"/>
  <c r="AB46" i="97"/>
  <c r="AB49" i="97"/>
  <c r="AB41" i="97"/>
  <c r="AB43" i="97"/>
  <c r="AB47" i="97"/>
  <c r="AB45" i="97"/>
  <c r="AB41" i="99" l="1"/>
  <c r="AB36" i="97"/>
  <c r="AB45" i="101"/>
  <c r="AT26" i="97"/>
  <c r="AT28" i="97" s="1"/>
  <c r="AU28" i="97" s="1"/>
  <c r="AU11" i="97"/>
  <c r="AB41" i="100"/>
  <c r="AB44" i="98"/>
  <c r="AU26" i="97" l="1"/>
  <c r="AW26" i="97" s="1"/>
  <c r="AT7" i="99" l="1"/>
  <c r="AT11" i="99" s="1"/>
  <c r="AT26" i="99" l="1"/>
  <c r="AT28" i="99" s="1"/>
  <c r="AU11" i="99"/>
  <c r="AU26" i="99" l="1"/>
  <c r="AU28" i="99" s="1"/>
  <c r="AB30" i="99" l="1"/>
  <c r="AB32" i="99" s="1"/>
  <c r="AB33" i="99" s="1"/>
  <c r="AB30" i="98" l="1"/>
  <c r="AV7" i="100"/>
  <c r="AB34" i="99"/>
  <c r="AV11" i="100" l="1"/>
  <c r="AW7" i="100"/>
  <c r="AB54" i="99"/>
  <c r="AB44" i="99"/>
  <c r="AB41" i="98" s="1"/>
  <c r="AB46" i="99"/>
  <c r="AB49" i="99"/>
  <c r="AB47" i="99"/>
  <c r="AB42" i="99"/>
  <c r="AB45" i="99"/>
  <c r="AB41" i="101" s="1"/>
  <c r="AB48" i="99"/>
  <c r="AW11" i="100" l="1"/>
  <c r="AB42" i="100"/>
  <c r="AV7" i="102" l="1"/>
  <c r="AV11" i="102" l="1"/>
  <c r="AW7" i="102"/>
  <c r="AW11" i="102" l="1"/>
  <c r="AV7" i="101" l="1"/>
  <c r="AV11" i="101" l="1"/>
  <c r="AW7" i="101"/>
  <c r="AW11" i="101" l="1"/>
  <c r="AV7" i="98" l="1"/>
  <c r="AV11" i="98" l="1"/>
  <c r="AW7" i="98"/>
  <c r="AW11" i="98" l="1"/>
  <c r="AE30" i="99" l="1"/>
  <c r="AE32" i="99" s="1"/>
  <c r="AF31" i="99" s="1"/>
  <c r="AD30" i="99" l="1"/>
  <c r="AD32" i="99" l="1"/>
  <c r="AF30" i="97" l="1"/>
  <c r="AF32" i="97" s="1"/>
  <c r="AF33" i="97" s="1"/>
  <c r="AE31" i="99"/>
  <c r="AE33" i="99" s="1"/>
  <c r="AE34" i="99" s="1"/>
  <c r="AC31" i="99"/>
  <c r="AI30" i="97"/>
  <c r="AI32" i="97" s="1"/>
  <c r="AI33" i="97" s="1"/>
  <c r="AI34" i="97" l="1"/>
  <c r="AE42" i="99"/>
  <c r="AE42" i="100" s="1"/>
  <c r="AE44" i="99"/>
  <c r="AE41" i="98" s="1"/>
  <c r="AE49" i="99"/>
  <c r="AE48" i="99"/>
  <c r="AE47" i="99"/>
  <c r="AE46" i="99"/>
  <c r="AE54" i="99"/>
  <c r="AE45" i="99"/>
  <c r="AE41" i="101" s="1"/>
  <c r="AF34" i="97"/>
  <c r="AG30" i="97" l="1"/>
  <c r="AG32" i="97" s="1"/>
  <c r="AG33" i="97" s="1"/>
  <c r="AF46" i="97"/>
  <c r="AF42" i="97"/>
  <c r="AF41" i="100" s="1"/>
  <c r="AF44" i="97"/>
  <c r="AF44" i="98" s="1"/>
  <c r="AF48" i="97"/>
  <c r="AF41" i="97"/>
  <c r="AF49" i="97"/>
  <c r="AF45" i="97"/>
  <c r="AF45" i="101" s="1"/>
  <c r="AF43" i="97"/>
  <c r="AF47" i="97"/>
  <c r="AI46" i="97"/>
  <c r="AI43" i="97"/>
  <c r="AI48" i="97"/>
  <c r="AI49" i="97"/>
  <c r="AI45" i="97"/>
  <c r="AI45" i="101" s="1"/>
  <c r="AI42" i="97"/>
  <c r="AI41" i="100" s="1"/>
  <c r="AI47" i="97"/>
  <c r="AI41" i="97"/>
  <c r="AI44" i="97"/>
  <c r="AI44" i="98" s="1"/>
  <c r="AF41" i="99" l="1"/>
  <c r="AF36" i="97"/>
  <c r="AG34" i="97"/>
  <c r="AI41" i="99"/>
  <c r="AI36" i="97"/>
  <c r="AG43" i="97" l="1"/>
  <c r="AG45" i="97"/>
  <c r="AG45" i="101" s="1"/>
  <c r="AG48" i="97"/>
  <c r="AG42" i="97"/>
  <c r="AG41" i="100" s="1"/>
  <c r="AG44" i="97"/>
  <c r="AG44" i="98" s="1"/>
  <c r="AG49" i="97"/>
  <c r="AG47" i="97"/>
  <c r="AG46" i="97"/>
  <c r="AG41" i="97"/>
  <c r="AV7" i="97"/>
  <c r="AG41" i="99" l="1"/>
  <c r="AG36" i="97"/>
  <c r="AV11" i="97"/>
  <c r="AW7" i="97"/>
  <c r="AW11" i="97" l="1"/>
  <c r="AV7" i="99" l="1"/>
  <c r="AV11" i="99" l="1"/>
  <c r="AW7" i="99"/>
  <c r="AW11" i="99" l="1"/>
  <c r="AF30" i="100" l="1"/>
  <c r="AF33" i="100" s="1"/>
  <c r="AF34" i="100" s="1"/>
  <c r="AF44" i="100" l="1"/>
  <c r="AF49" i="100"/>
  <c r="AF48" i="100"/>
  <c r="AF47" i="100"/>
  <c r="AF46" i="100"/>
  <c r="AI30" i="100" l="1"/>
  <c r="AI33" i="100" s="1"/>
  <c r="AI34" i="100" s="1"/>
  <c r="AM30" i="97"/>
  <c r="AM32" i="97" s="1"/>
  <c r="AM33" i="97" s="1"/>
  <c r="AM34" i="97" l="1"/>
  <c r="AI46" i="100"/>
  <c r="AI49" i="100"/>
  <c r="AI48" i="100"/>
  <c r="AI47" i="100"/>
  <c r="AI44" i="100"/>
  <c r="AM49" i="97" l="1"/>
  <c r="AM45" i="97"/>
  <c r="AM45" i="101" s="1"/>
  <c r="AM43" i="97"/>
  <c r="AM46" i="97"/>
  <c r="AM41" i="97"/>
  <c r="AM47" i="97"/>
  <c r="AM44" i="97"/>
  <c r="AM44" i="98" s="1"/>
  <c r="AM48" i="97"/>
  <c r="AM42" i="97"/>
  <c r="AM41" i="100" s="1"/>
  <c r="AK30" i="97" l="1"/>
  <c r="AK32" i="97" s="1"/>
  <c r="AK33" i="97" s="1"/>
  <c r="AM41" i="99"/>
  <c r="AM36" i="97"/>
  <c r="AK34" i="97" l="1"/>
  <c r="AK47" i="97" l="1"/>
  <c r="AK43" i="97"/>
  <c r="AK49" i="97"/>
  <c r="AK41" i="97"/>
  <c r="AK45" i="97"/>
  <c r="AK45" i="101" s="1"/>
  <c r="AK44" i="97"/>
  <c r="AK44" i="98" s="1"/>
  <c r="AK48" i="97"/>
  <c r="AK46" i="97"/>
  <c r="AK42" i="97"/>
  <c r="AK41" i="100" s="1"/>
  <c r="AK41" i="99" l="1"/>
  <c r="AK36" i="97"/>
  <c r="AN30" i="97" l="1"/>
  <c r="AS30" i="97"/>
  <c r="AL30" i="97" l="1"/>
  <c r="AL32" i="97" s="1"/>
  <c r="AL33" i="97" s="1"/>
  <c r="AQ30" i="97"/>
  <c r="AQ32" i="97" s="1"/>
  <c r="AS32" i="97"/>
  <c r="AO31" i="97" s="1"/>
  <c r="AO30" i="97"/>
  <c r="AO32" i="97" s="1"/>
  <c r="AN32" i="97"/>
  <c r="AN33" i="97" s="1"/>
  <c r="AS33" i="97" l="1"/>
  <c r="AS34" i="97" s="1"/>
  <c r="AN34" i="97"/>
  <c r="AH30" i="97"/>
  <c r="AJ30" i="97"/>
  <c r="AJ32" i="97" s="1"/>
  <c r="AJ33" i="97" s="1"/>
  <c r="AO33" i="97"/>
  <c r="AE31" i="97"/>
  <c r="AE33" i="97" s="1"/>
  <c r="AC31" i="97"/>
  <c r="AQ31" i="97"/>
  <c r="AQ33" i="97" s="1"/>
  <c r="AL34" i="97"/>
  <c r="AH32" i="97" l="1"/>
  <c r="AH33" i="97" s="1"/>
  <c r="AJ34" i="97"/>
  <c r="AL41" i="97"/>
  <c r="AL47" i="97"/>
  <c r="AL49" i="97"/>
  <c r="AL46" i="97"/>
  <c r="AL43" i="97"/>
  <c r="AL44" i="97"/>
  <c r="AL44" i="98" s="1"/>
  <c r="AL45" i="97"/>
  <c r="AL45" i="101" s="1"/>
  <c r="AL42" i="97"/>
  <c r="AL41" i="100" s="1"/>
  <c r="AL48" i="97"/>
  <c r="AQ34" i="97"/>
  <c r="AE34" i="97"/>
  <c r="AO34" i="97"/>
  <c r="AU31" i="97"/>
  <c r="AC33" i="97"/>
  <c r="AS47" i="97"/>
  <c r="AS46" i="97"/>
  <c r="AS42" i="97"/>
  <c r="AS41" i="100" s="1"/>
  <c r="AS43" i="97"/>
  <c r="AS49" i="97"/>
  <c r="AS44" i="97"/>
  <c r="AS45" i="97"/>
  <c r="AS45" i="101" s="1"/>
  <c r="AS41" i="97"/>
  <c r="AS48" i="97"/>
  <c r="AN43" i="97"/>
  <c r="AN47" i="97"/>
  <c r="AN44" i="97"/>
  <c r="AN44" i="98" s="1"/>
  <c r="AN49" i="97"/>
  <c r="AN45" i="97"/>
  <c r="AN45" i="101" s="1"/>
  <c r="AN41" i="97"/>
  <c r="AN48" i="97"/>
  <c r="AN42" i="97"/>
  <c r="AN41" i="100" s="1"/>
  <c r="AN46" i="97"/>
  <c r="AH34" i="97" l="1"/>
  <c r="AQ47" i="97"/>
  <c r="AQ43" i="97"/>
  <c r="AQ41" i="97"/>
  <c r="AQ45" i="97"/>
  <c r="AQ45" i="101" s="1"/>
  <c r="AQ42" i="97"/>
  <c r="AQ41" i="100" s="1"/>
  <c r="AQ46" i="97"/>
  <c r="AQ49" i="97"/>
  <c r="AQ48" i="97"/>
  <c r="AQ44" i="97"/>
  <c r="AQ44" i="98" s="1"/>
  <c r="AL41" i="99"/>
  <c r="AL36" i="97"/>
  <c r="AS41" i="99"/>
  <c r="AS36" i="97"/>
  <c r="AS38" i="97" s="1"/>
  <c r="AC34" i="97"/>
  <c r="AE47" i="97"/>
  <c r="AE43" i="97"/>
  <c r="AE41" i="97"/>
  <c r="AE48" i="97"/>
  <c r="AE44" i="97"/>
  <c r="AE44" i="98" s="1"/>
  <c r="AE46" i="97"/>
  <c r="AE49" i="97"/>
  <c r="AE45" i="97"/>
  <c r="AE45" i="101" s="1"/>
  <c r="AE42" i="97"/>
  <c r="AE41" i="100" s="1"/>
  <c r="AJ48" i="97"/>
  <c r="AJ41" i="97"/>
  <c r="AJ44" i="97"/>
  <c r="AJ44" i="98" s="1"/>
  <c r="AJ45" i="97"/>
  <c r="AJ45" i="101" s="1"/>
  <c r="AJ47" i="97"/>
  <c r="AJ46" i="97"/>
  <c r="AJ42" i="97"/>
  <c r="AJ41" i="100" s="1"/>
  <c r="AJ43" i="97"/>
  <c r="AJ49" i="97"/>
  <c r="AN41" i="99"/>
  <c r="AN36" i="97"/>
  <c r="AS44" i="98"/>
  <c r="AO49" i="97"/>
  <c r="AO44" i="97"/>
  <c r="AO44" i="98" s="1"/>
  <c r="AO46" i="97"/>
  <c r="AO41" i="97"/>
  <c r="AO43" i="97"/>
  <c r="AO42" i="97"/>
  <c r="AO41" i="100" s="1"/>
  <c r="AO47" i="97"/>
  <c r="AO45" i="97"/>
  <c r="AO45" i="101" s="1"/>
  <c r="AO48" i="97"/>
  <c r="AO41" i="99" l="1"/>
  <c r="AO36" i="97"/>
  <c r="AJ41" i="99"/>
  <c r="AJ36" i="97"/>
  <c r="AQ41" i="99"/>
  <c r="AQ36" i="97"/>
  <c r="AQ38" i="97" s="1"/>
  <c r="AC43" i="97"/>
  <c r="AC45" i="97"/>
  <c r="AC42" i="97"/>
  <c r="AC48" i="97"/>
  <c r="AC41" i="97"/>
  <c r="AC46" i="97"/>
  <c r="AC49" i="97"/>
  <c r="AC47" i="97"/>
  <c r="AC44" i="97"/>
  <c r="AS39" i="97"/>
  <c r="AE41" i="99"/>
  <c r="AE36" i="97"/>
  <c r="AH46" i="97"/>
  <c r="AH43" i="97"/>
  <c r="AH47" i="97"/>
  <c r="AH41" i="97"/>
  <c r="AH49" i="97"/>
  <c r="AH44" i="97"/>
  <c r="AH44" i="98" s="1"/>
  <c r="AH45" i="97"/>
  <c r="AH45" i="101" s="1"/>
  <c r="AH42" i="97"/>
  <c r="AH41" i="100" s="1"/>
  <c r="AH48" i="97"/>
  <c r="AC41" i="99" l="1"/>
  <c r="AC36" i="97"/>
  <c r="AC45" i="101"/>
  <c r="AC44" i="98"/>
  <c r="AH41" i="99"/>
  <c r="AH36" i="97"/>
  <c r="AS50" i="97"/>
  <c r="AS51" i="97"/>
  <c r="AS52" i="97"/>
  <c r="AS53" i="97"/>
  <c r="AS54" i="97"/>
  <c r="AC41" i="100"/>
  <c r="AQ39" i="97"/>
  <c r="AQ53" i="97" l="1"/>
  <c r="AQ51" i="97"/>
  <c r="AQ52" i="97"/>
  <c r="AQ50" i="97"/>
  <c r="AQ54" i="97"/>
  <c r="AS55" i="97"/>
  <c r="AQ55" i="97" l="1"/>
  <c r="AR30" i="99" l="1"/>
  <c r="AR30" i="97"/>
  <c r="AR32" i="97" s="1"/>
  <c r="AR33" i="97" s="1"/>
  <c r="AP30" i="97"/>
  <c r="AP32" i="97" l="1"/>
  <c r="AU32" i="97" s="1"/>
  <c r="AR34" i="97"/>
  <c r="AR32" i="99"/>
  <c r="AP33" i="97" l="1"/>
  <c r="AP34" i="97" s="1"/>
  <c r="AR46" i="97"/>
  <c r="AR41" i="97"/>
  <c r="AR43" i="97"/>
  <c r="AR47" i="97"/>
  <c r="AR45" i="97"/>
  <c r="AR48" i="97"/>
  <c r="AR49" i="97"/>
  <c r="AR42" i="97"/>
  <c r="AR41" i="100" s="1"/>
  <c r="AR44" i="97"/>
  <c r="AR44" i="98" s="1"/>
  <c r="AP46" i="97" l="1"/>
  <c r="AU46" i="97" s="1"/>
  <c r="AP42" i="97"/>
  <c r="AP48" i="97"/>
  <c r="AU48" i="97" s="1"/>
  <c r="AP47" i="97"/>
  <c r="AU47" i="97" s="1"/>
  <c r="AP41" i="97"/>
  <c r="AP49" i="97"/>
  <c r="AU49" i="97" s="1"/>
  <c r="AP45" i="97"/>
  <c r="AP45" i="101" s="1"/>
  <c r="AP44" i="97"/>
  <c r="AP43" i="97"/>
  <c r="AU43" i="97" s="1"/>
  <c r="AR41" i="99"/>
  <c r="AR36" i="97"/>
  <c r="AR38" i="97" s="1"/>
  <c r="AR45" i="101"/>
  <c r="AU45" i="101" l="1"/>
  <c r="AU45" i="97"/>
  <c r="AP41" i="100"/>
  <c r="AU41" i="100" s="1"/>
  <c r="AU42" i="97"/>
  <c r="AR39" i="97"/>
  <c r="AP41" i="99"/>
  <c r="AU41" i="99" s="1"/>
  <c r="AP36" i="97"/>
  <c r="AP38" i="97" s="1"/>
  <c r="AP44" i="98"/>
  <c r="AU44" i="98" s="1"/>
  <c r="AU44" i="97"/>
  <c r="AP39" i="97" l="1"/>
  <c r="AR54" i="97"/>
  <c r="AR51" i="97"/>
  <c r="AR50" i="97"/>
  <c r="AR52" i="97"/>
  <c r="AR53" i="97"/>
  <c r="AR55" i="97" l="1"/>
  <c r="AP50" i="97"/>
  <c r="AP54" i="97"/>
  <c r="AP52" i="97"/>
  <c r="AP51" i="97"/>
  <c r="AP53" i="97"/>
  <c r="AP55" i="97" l="1"/>
  <c r="AT30" i="97" l="1"/>
  <c r="AT33" i="97" l="1"/>
  <c r="AT36" i="97" s="1"/>
  <c r="AT38" i="97" s="1"/>
  <c r="AU30" i="97"/>
  <c r="AV30" i="97"/>
  <c r="AW30" i="97" l="1"/>
  <c r="AU33" i="97"/>
  <c r="AU34" i="97" s="1"/>
  <c r="AU41" i="97" s="1"/>
  <c r="AU36" i="97" s="1"/>
  <c r="AT39" i="97"/>
  <c r="AT50" i="97" l="1"/>
  <c r="AT51" i="97"/>
  <c r="AT54" i="97"/>
  <c r="AT52" i="97"/>
  <c r="AT53" i="97"/>
  <c r="AT55" i="97" l="1"/>
  <c r="AT30" i="101" l="1"/>
  <c r="AT33" i="101" s="1"/>
  <c r="AT34" i="101" l="1"/>
  <c r="AT30" i="100"/>
  <c r="AT33" i="100" l="1"/>
  <c r="AT49" i="101"/>
  <c r="AT47" i="101"/>
  <c r="AT42" i="101"/>
  <c r="AT45" i="100" s="1"/>
  <c r="AT48" i="101"/>
  <c r="AT46" i="101"/>
  <c r="AT44" i="101"/>
  <c r="AT45" i="98" s="1"/>
  <c r="AT34" i="100" l="1"/>
  <c r="AS30" i="98" l="1"/>
  <c r="AS33" i="98" s="1"/>
  <c r="AS34" i="98" s="1"/>
  <c r="AT49" i="100"/>
  <c r="AT44" i="100"/>
  <c r="AT48" i="100"/>
  <c r="AT46" i="100"/>
  <c r="AT47" i="100"/>
  <c r="AS30" i="99"/>
  <c r="AS33" i="99" s="1"/>
  <c r="AS34" i="99" s="1"/>
  <c r="AS30" i="100"/>
  <c r="AS33" i="100" s="1"/>
  <c r="AS34" i="100" s="1"/>
  <c r="AS44" i="100" l="1"/>
  <c r="AS47" i="100"/>
  <c r="AS49" i="100"/>
  <c r="AS46" i="100"/>
  <c r="AS48" i="100"/>
  <c r="AS54" i="99"/>
  <c r="AS49" i="99"/>
  <c r="AS48" i="99"/>
  <c r="AS44" i="99"/>
  <c r="AS41" i="98" s="1"/>
  <c r="AS46" i="99"/>
  <c r="AS45" i="99"/>
  <c r="AS41" i="101" s="1"/>
  <c r="AS47" i="99"/>
  <c r="AS42" i="99"/>
  <c r="AS42" i="100" s="1"/>
  <c r="AS46" i="98"/>
  <c r="AS47" i="98"/>
  <c r="AS42" i="98"/>
  <c r="AS48" i="98"/>
  <c r="AS49" i="98"/>
  <c r="AT30" i="99" l="1"/>
  <c r="AT33" i="99" l="1"/>
  <c r="AR30" i="100"/>
  <c r="AR33" i="100" s="1"/>
  <c r="AR34" i="100" s="1"/>
  <c r="AR44" i="100" l="1"/>
  <c r="AR48" i="100"/>
  <c r="AR47" i="100"/>
  <c r="AR49" i="100"/>
  <c r="AR46" i="100"/>
  <c r="AT34" i="99"/>
  <c r="AP30" i="101"/>
  <c r="AP33" i="101" s="1"/>
  <c r="AP34" i="101" s="1"/>
  <c r="AQ30" i="101"/>
  <c r="AQ33" i="101" s="1"/>
  <c r="AQ34" i="101" s="1"/>
  <c r="AP48" i="101" l="1"/>
  <c r="AP46" i="101"/>
  <c r="AP42" i="101"/>
  <c r="AP45" i="100" s="1"/>
  <c r="AP49" i="101"/>
  <c r="AP47" i="101"/>
  <c r="AP44" i="101"/>
  <c r="AP45" i="98" s="1"/>
  <c r="AQ30" i="100"/>
  <c r="AQ33" i="100" s="1"/>
  <c r="AQ34" i="100" s="1"/>
  <c r="AQ30" i="98"/>
  <c r="AQ33" i="98" s="1"/>
  <c r="AQ34" i="98" s="1"/>
  <c r="AQ44" i="101"/>
  <c r="AQ45" i="98" s="1"/>
  <c r="AQ42" i="101"/>
  <c r="AQ45" i="100" s="1"/>
  <c r="AQ48" i="101"/>
  <c r="AQ47" i="101"/>
  <c r="AQ49" i="101"/>
  <c r="AQ46" i="101"/>
  <c r="AT46" i="99"/>
  <c r="AT45" i="99"/>
  <c r="AT49" i="99"/>
  <c r="AT44" i="99"/>
  <c r="AT47" i="99"/>
  <c r="AT42" i="99"/>
  <c r="AT48" i="99"/>
  <c r="AT54" i="99"/>
  <c r="AP30" i="100"/>
  <c r="AP33" i="100" s="1"/>
  <c r="AP34" i="100" s="1"/>
  <c r="AT42" i="100" l="1"/>
  <c r="AQ49" i="98"/>
  <c r="AQ42" i="98"/>
  <c r="AQ46" i="98"/>
  <c r="AQ47" i="98"/>
  <c r="AQ48" i="98"/>
  <c r="AP48" i="100"/>
  <c r="AP46" i="100"/>
  <c r="AP44" i="100"/>
  <c r="AP47" i="100"/>
  <c r="AP49" i="100"/>
  <c r="AT41" i="101"/>
  <c r="AO30" i="100"/>
  <c r="AO33" i="100" s="1"/>
  <c r="AO34" i="100" s="1"/>
  <c r="AQ46" i="100"/>
  <c r="AQ49" i="100"/>
  <c r="AQ48" i="100"/>
  <c r="AQ44" i="100"/>
  <c r="AQ47" i="100"/>
  <c r="AR30" i="98"/>
  <c r="AR33" i="98" s="1"/>
  <c r="AR34" i="98" s="1"/>
  <c r="AT41" i="98"/>
  <c r="AN30" i="99"/>
  <c r="AN32" i="99" s="1"/>
  <c r="AO31" i="99" s="1"/>
  <c r="AO30" i="99"/>
  <c r="AO32" i="99" l="1"/>
  <c r="AP31" i="99" s="1"/>
  <c r="AO30" i="98"/>
  <c r="AO33" i="98" s="1"/>
  <c r="AO34" i="98" s="1"/>
  <c r="AR46" i="98"/>
  <c r="AR49" i="98"/>
  <c r="AR42" i="98"/>
  <c r="AR48" i="98"/>
  <c r="AR47" i="98"/>
  <c r="AO46" i="100"/>
  <c r="AO49" i="100"/>
  <c r="AO44" i="100"/>
  <c r="AO48" i="100"/>
  <c r="AO47" i="100"/>
  <c r="AP30" i="99"/>
  <c r="AO30" i="101"/>
  <c r="AO33" i="101" s="1"/>
  <c r="AO34" i="101" s="1"/>
  <c r="AO47" i="98" l="1"/>
  <c r="AO42" i="98"/>
  <c r="AO48" i="98"/>
  <c r="AO49" i="98"/>
  <c r="AO46" i="98"/>
  <c r="AP32" i="99"/>
  <c r="AQ31" i="99" s="1"/>
  <c r="AQ30" i="99"/>
  <c r="AN30" i="100"/>
  <c r="AN33" i="100" s="1"/>
  <c r="AN34" i="100" s="1"/>
  <c r="AO48" i="101"/>
  <c r="AO47" i="101"/>
  <c r="AO49" i="101"/>
  <c r="AO42" i="101"/>
  <c r="AO45" i="100" s="1"/>
  <c r="AO44" i="101"/>
  <c r="AO45" i="98" s="1"/>
  <c r="AO46" i="101"/>
  <c r="AO33" i="99"/>
  <c r="AO34" i="99" s="1"/>
  <c r="AP33" i="99" l="1"/>
  <c r="AP34" i="99" s="1"/>
  <c r="AP54" i="99" s="1"/>
  <c r="AT30" i="98"/>
  <c r="AN49" i="100"/>
  <c r="AN44" i="100"/>
  <c r="AN48" i="100"/>
  <c r="AN46" i="100"/>
  <c r="AN47" i="100"/>
  <c r="AQ32" i="99"/>
  <c r="AQ33" i="99" s="1"/>
  <c r="AQ34" i="99" s="1"/>
  <c r="AO42" i="99"/>
  <c r="AO42" i="100" s="1"/>
  <c r="AO48" i="99"/>
  <c r="AO45" i="99"/>
  <c r="AO41" i="101" s="1"/>
  <c r="AO49" i="99"/>
  <c r="AO44" i="99"/>
  <c r="AO41" i="98" s="1"/>
  <c r="AO46" i="99"/>
  <c r="AO54" i="99"/>
  <c r="AO47" i="99"/>
  <c r="AP30" i="102"/>
  <c r="AP32" i="102" s="1"/>
  <c r="AO31" i="102" s="1"/>
  <c r="AP45" i="99" l="1"/>
  <c r="AP41" i="101" s="1"/>
  <c r="AP47" i="99"/>
  <c r="AP46" i="99"/>
  <c r="AP42" i="99"/>
  <c r="AP42" i="100" s="1"/>
  <c r="AP44" i="99"/>
  <c r="AP41" i="98" s="1"/>
  <c r="AP49" i="99"/>
  <c r="AP48" i="99"/>
  <c r="AT33" i="98"/>
  <c r="AQ46" i="99"/>
  <c r="AQ44" i="99"/>
  <c r="AQ41" i="98" s="1"/>
  <c r="AQ48" i="99"/>
  <c r="AQ45" i="99"/>
  <c r="AQ41" i="101" s="1"/>
  <c r="AQ47" i="99"/>
  <c r="AQ54" i="99"/>
  <c r="AQ42" i="99"/>
  <c r="AQ42" i="100" s="1"/>
  <c r="AQ49" i="99"/>
  <c r="AT34" i="98" l="1"/>
  <c r="AT46" i="98" l="1"/>
  <c r="AT48" i="98"/>
  <c r="AT47" i="98"/>
  <c r="AT42" i="98"/>
  <c r="AT49" i="98"/>
  <c r="AR30" i="101"/>
  <c r="AR33" i="101" s="1"/>
  <c r="AR34" i="101" s="1"/>
  <c r="AR44" i="101" l="1"/>
  <c r="AR45" i="98" s="1"/>
  <c r="AR49" i="101"/>
  <c r="AR42" i="101"/>
  <c r="AR45" i="100" s="1"/>
  <c r="AR47" i="101"/>
  <c r="AR46" i="101"/>
  <c r="AR48" i="101"/>
  <c r="AM30" i="100" l="1"/>
  <c r="AM33" i="100" s="1"/>
  <c r="AM34" i="100" s="1"/>
  <c r="AM30" i="101"/>
  <c r="AM33" i="101" s="1"/>
  <c r="AM34" i="101" s="1"/>
  <c r="AM48" i="101" l="1"/>
  <c r="AM44" i="101"/>
  <c r="AM45" i="98" s="1"/>
  <c r="AM47" i="101"/>
  <c r="AM42" i="101"/>
  <c r="AM45" i="100" s="1"/>
  <c r="AM46" i="101"/>
  <c r="AM49" i="101"/>
  <c r="AM30" i="98"/>
  <c r="AM33" i="98" s="1"/>
  <c r="AM34" i="98" s="1"/>
  <c r="AM30" i="102"/>
  <c r="AM32" i="102" s="1"/>
  <c r="AL31" i="102" s="1"/>
  <c r="AL30" i="101"/>
  <c r="AL33" i="101" s="1"/>
  <c r="AL34" i="101" s="1"/>
  <c r="AM44" i="100"/>
  <c r="AM46" i="100"/>
  <c r="AM49" i="100"/>
  <c r="AM47" i="100"/>
  <c r="AM48" i="100"/>
  <c r="AM42" i="98" l="1"/>
  <c r="AM47" i="98"/>
  <c r="AM48" i="98"/>
  <c r="AM49" i="98"/>
  <c r="AM46" i="98"/>
  <c r="AL30" i="100"/>
  <c r="AL33" i="100" s="1"/>
  <c r="AL34" i="100" s="1"/>
  <c r="AL44" i="101"/>
  <c r="AL45" i="98" s="1"/>
  <c r="AL48" i="101"/>
  <c r="AL47" i="101"/>
  <c r="AL46" i="101"/>
  <c r="AL49" i="101"/>
  <c r="AL42" i="101"/>
  <c r="AL45" i="100" s="1"/>
  <c r="AL30" i="102" l="1"/>
  <c r="AL44" i="100"/>
  <c r="AL46" i="100"/>
  <c r="AL47" i="100"/>
  <c r="AL49" i="100"/>
  <c r="AL48" i="100"/>
  <c r="AM30" i="99" l="1"/>
  <c r="AM32" i="99" s="1"/>
  <c r="AN31" i="99" s="1"/>
  <c r="AN33" i="99" s="1"/>
  <c r="AN34" i="99" s="1"/>
  <c r="AL32" i="102"/>
  <c r="AK31" i="102" s="1"/>
  <c r="AK30" i="101"/>
  <c r="AK33" i="101" s="1"/>
  <c r="AK34" i="101" s="1"/>
  <c r="AL33" i="102" l="1"/>
  <c r="AL34" i="102" s="1"/>
  <c r="AJ30" i="99"/>
  <c r="AJ32" i="99" s="1"/>
  <c r="AK31" i="99" s="1"/>
  <c r="AK30" i="102"/>
  <c r="AK46" i="101"/>
  <c r="AK49" i="101"/>
  <c r="AK44" i="101"/>
  <c r="AK45" i="98" s="1"/>
  <c r="AK48" i="101"/>
  <c r="AK42" i="101"/>
  <c r="AK45" i="100" s="1"/>
  <c r="AK47" i="101"/>
  <c r="AJ30" i="102"/>
  <c r="AJ32" i="102" s="1"/>
  <c r="AI31" i="102" s="1"/>
  <c r="AN42" i="99"/>
  <c r="AN42" i="100" s="1"/>
  <c r="AN47" i="99"/>
  <c r="AN44" i="99"/>
  <c r="AN41" i="98" s="1"/>
  <c r="AN46" i="99"/>
  <c r="AN49" i="99"/>
  <c r="AN54" i="99"/>
  <c r="AN45" i="99"/>
  <c r="AN41" i="101" s="1"/>
  <c r="AN48" i="99"/>
  <c r="AN30" i="98"/>
  <c r="AN33" i="98" s="1"/>
  <c r="AN34" i="98" s="1"/>
  <c r="AJ30" i="100" l="1"/>
  <c r="AJ33" i="100" s="1"/>
  <c r="AT30" i="102"/>
  <c r="AL41" i="102"/>
  <c r="AL44" i="102"/>
  <c r="AL49" i="102"/>
  <c r="AL45" i="102"/>
  <c r="AL43" i="101" s="1"/>
  <c r="AL43" i="102"/>
  <c r="AL48" i="102"/>
  <c r="AL42" i="102"/>
  <c r="AL43" i="100" s="1"/>
  <c r="AL46" i="102"/>
  <c r="AL47" i="102"/>
  <c r="AK32" i="102"/>
  <c r="AJ31" i="102" s="1"/>
  <c r="AJ33" i="102" s="1"/>
  <c r="AN46" i="98"/>
  <c r="AN47" i="98"/>
  <c r="AN48" i="98"/>
  <c r="AN49" i="98"/>
  <c r="AN42" i="98"/>
  <c r="AL30" i="99"/>
  <c r="AL32" i="99" s="1"/>
  <c r="AM31" i="99" s="1"/>
  <c r="AM33" i="99" s="1"/>
  <c r="AM34" i="99" s="1"/>
  <c r="AL43" i="99" l="1"/>
  <c r="AL36" i="102"/>
  <c r="AK30" i="99"/>
  <c r="AK30" i="100"/>
  <c r="AK33" i="100" s="1"/>
  <c r="AK34" i="100" s="1"/>
  <c r="AJ34" i="100"/>
  <c r="AM47" i="99"/>
  <c r="AM49" i="99"/>
  <c r="AM54" i="99"/>
  <c r="AM42" i="99"/>
  <c r="AM42" i="100" s="1"/>
  <c r="AM46" i="99"/>
  <c r="AM48" i="99"/>
  <c r="AM45" i="99"/>
  <c r="AM41" i="101" s="1"/>
  <c r="AM44" i="99"/>
  <c r="AM41" i="98" s="1"/>
  <c r="AT33" i="102"/>
  <c r="AJ34" i="102"/>
  <c r="AK33" i="102"/>
  <c r="AT34" i="102" l="1"/>
  <c r="AK32" i="99"/>
  <c r="AL31" i="99" s="1"/>
  <c r="AL33" i="99" s="1"/>
  <c r="AK46" i="100"/>
  <c r="AK47" i="100"/>
  <c r="AK44" i="100"/>
  <c r="AK49" i="100"/>
  <c r="AK48" i="100"/>
  <c r="AJ49" i="100"/>
  <c r="AJ46" i="100"/>
  <c r="AJ48" i="100"/>
  <c r="AJ47" i="100"/>
  <c r="AJ44" i="100"/>
  <c r="AK30" i="98"/>
  <c r="AK33" i="98" s="1"/>
  <c r="AK34" i="98" s="1"/>
  <c r="AJ44" i="102"/>
  <c r="AJ42" i="102"/>
  <c r="AJ43" i="100" s="1"/>
  <c r="AJ41" i="102"/>
  <c r="AJ48" i="102"/>
  <c r="AJ47" i="102"/>
  <c r="AJ45" i="102"/>
  <c r="AJ43" i="101" s="1"/>
  <c r="AJ49" i="102"/>
  <c r="AJ43" i="102"/>
  <c r="AJ46" i="102"/>
  <c r="AK34" i="102"/>
  <c r="AK33" i="99" l="1"/>
  <c r="AK34" i="99" s="1"/>
  <c r="AK48" i="98"/>
  <c r="AK46" i="98"/>
  <c r="AK42" i="98"/>
  <c r="AK47" i="98"/>
  <c r="AK49" i="98"/>
  <c r="AK42" i="102"/>
  <c r="AK43" i="100" s="1"/>
  <c r="AK49" i="102"/>
  <c r="AK44" i="102"/>
  <c r="AK46" i="102"/>
  <c r="AK41" i="102"/>
  <c r="AK45" i="102"/>
  <c r="AK43" i="101" s="1"/>
  <c r="AK43" i="102"/>
  <c r="AK48" i="102"/>
  <c r="AK47" i="102"/>
  <c r="AL34" i="99"/>
  <c r="AT46" i="102"/>
  <c r="AT43" i="102"/>
  <c r="AT45" i="102"/>
  <c r="AT43" i="101" s="1"/>
  <c r="AT48" i="102"/>
  <c r="AT42" i="102"/>
  <c r="AT43" i="100" s="1"/>
  <c r="AT41" i="102"/>
  <c r="AT44" i="102"/>
  <c r="AT49" i="102"/>
  <c r="AT47" i="102"/>
  <c r="AJ43" i="99"/>
  <c r="AJ36" i="102"/>
  <c r="AT43" i="99" l="1"/>
  <c r="AT36" i="102"/>
  <c r="AT38" i="102" s="1"/>
  <c r="AK46" i="99"/>
  <c r="AK42" i="99"/>
  <c r="AK48" i="99"/>
  <c r="AK54" i="99"/>
  <c r="AK44" i="99"/>
  <c r="AK41" i="98" s="1"/>
  <c r="AK49" i="99"/>
  <c r="AK45" i="99"/>
  <c r="AK41" i="101" s="1"/>
  <c r="AK36" i="101" s="1"/>
  <c r="AK47" i="99"/>
  <c r="AT36" i="100"/>
  <c r="AT38" i="100" s="1"/>
  <c r="AK43" i="99"/>
  <c r="AK36" i="102"/>
  <c r="AL47" i="99"/>
  <c r="AL46" i="99"/>
  <c r="AL54" i="99"/>
  <c r="AL49" i="99"/>
  <c r="AL42" i="99"/>
  <c r="AL45" i="99"/>
  <c r="AL41" i="101" s="1"/>
  <c r="AL36" i="101" s="1"/>
  <c r="AL48" i="99"/>
  <c r="AL44" i="99"/>
  <c r="AL41" i="98" s="1"/>
  <c r="AT36" i="101"/>
  <c r="AT38" i="101" s="1"/>
  <c r="AT39" i="101" s="1"/>
  <c r="AT39" i="102" l="1"/>
  <c r="AT36" i="99"/>
  <c r="AL42" i="100"/>
  <c r="AL36" i="100" s="1"/>
  <c r="AL36" i="99"/>
  <c r="AT39" i="100"/>
  <c r="AK42" i="100"/>
  <c r="AK36" i="100" s="1"/>
  <c r="AK36" i="99"/>
  <c r="AT51" i="101"/>
  <c r="AT53" i="101"/>
  <c r="AT50" i="101"/>
  <c r="AT54" i="101"/>
  <c r="AT52" i="101"/>
  <c r="AT38" i="99" l="1"/>
  <c r="W30" i="101"/>
  <c r="W33" i="101" s="1"/>
  <c r="U30" i="101"/>
  <c r="U33" i="101" s="1"/>
  <c r="AT55" i="101"/>
  <c r="V30" i="101"/>
  <c r="V33" i="101" s="1"/>
  <c r="AT50" i="100"/>
  <c r="AT52" i="100"/>
  <c r="AT54" i="100"/>
  <c r="AT53" i="100"/>
  <c r="AT51" i="100"/>
  <c r="AT50" i="102"/>
  <c r="AT54" i="102"/>
  <c r="AT53" i="102"/>
  <c r="AT52" i="102"/>
  <c r="AT51" i="102"/>
  <c r="U34" i="101" l="1"/>
  <c r="W34" i="101"/>
  <c r="AT55" i="102"/>
  <c r="AT55" i="100"/>
  <c r="AT39" i="99"/>
  <c r="V34" i="101"/>
  <c r="W49" i="101" l="1"/>
  <c r="W42" i="101"/>
  <c r="W48" i="101"/>
  <c r="W44" i="101"/>
  <c r="W45" i="98" s="1"/>
  <c r="W46" i="101"/>
  <c r="W47" i="101"/>
  <c r="T30" i="101"/>
  <c r="V46" i="101"/>
  <c r="V47" i="101"/>
  <c r="V49" i="101"/>
  <c r="V48" i="101"/>
  <c r="V44" i="101"/>
  <c r="V42" i="101"/>
  <c r="AT53" i="99"/>
  <c r="AT52" i="99"/>
  <c r="AT51" i="99"/>
  <c r="AT50" i="99"/>
  <c r="U42" i="101"/>
  <c r="U47" i="101"/>
  <c r="U46" i="101"/>
  <c r="U49" i="101"/>
  <c r="U44" i="101"/>
  <c r="U48" i="101"/>
  <c r="AA30" i="101" l="1"/>
  <c r="AA33" i="101" s="1"/>
  <c r="V45" i="100"/>
  <c r="V36" i="100" s="1"/>
  <c r="V36" i="101"/>
  <c r="W45" i="100"/>
  <c r="W36" i="100" s="1"/>
  <c r="W36" i="101"/>
  <c r="Z30" i="101"/>
  <c r="Z33" i="101" s="1"/>
  <c r="T33" i="101"/>
  <c r="U45" i="100"/>
  <c r="U36" i="100" s="1"/>
  <c r="U36" i="101"/>
  <c r="Y30" i="101"/>
  <c r="Y33" i="101" s="1"/>
  <c r="X30" i="101"/>
  <c r="X33" i="101" s="1"/>
  <c r="AT55" i="99"/>
  <c r="AA34" i="101" l="1"/>
  <c r="X34" i="101"/>
  <c r="Y34" i="101"/>
  <c r="Z34" i="101"/>
  <c r="AD30" i="100"/>
  <c r="AD33" i="100" s="1"/>
  <c r="AD34" i="100" s="1"/>
  <c r="T34" i="101"/>
  <c r="AD46" i="100" l="1"/>
  <c r="AD49" i="100"/>
  <c r="AD47" i="100"/>
  <c r="AD44" i="100"/>
  <c r="AD48" i="100"/>
  <c r="Z42" i="101"/>
  <c r="Z49" i="101"/>
  <c r="Z47" i="101"/>
  <c r="Z48" i="101"/>
  <c r="Z44" i="101"/>
  <c r="Z45" i="98" s="1"/>
  <c r="Z46" i="101"/>
  <c r="X44" i="101"/>
  <c r="X45" i="98" s="1"/>
  <c r="X48" i="101"/>
  <c r="X46" i="101"/>
  <c r="X49" i="101"/>
  <c r="X42" i="101"/>
  <c r="X47" i="101"/>
  <c r="AD30" i="98"/>
  <c r="AD33" i="98" s="1"/>
  <c r="AD34" i="98" s="1"/>
  <c r="T46" i="101"/>
  <c r="T49" i="101"/>
  <c r="T48" i="101"/>
  <c r="T44" i="101"/>
  <c r="T47" i="101"/>
  <c r="T42" i="101"/>
  <c r="AB30" i="101"/>
  <c r="AA42" i="101"/>
  <c r="AA49" i="101"/>
  <c r="AA47" i="101"/>
  <c r="AA46" i="101"/>
  <c r="AA44" i="101"/>
  <c r="AA45" i="98" s="1"/>
  <c r="AA48" i="101"/>
  <c r="AE30" i="101"/>
  <c r="AE33" i="101" s="1"/>
  <c r="AE34" i="101" s="1"/>
  <c r="AE30" i="100"/>
  <c r="AE33" i="100" s="1"/>
  <c r="AE34" i="100" s="1"/>
  <c r="Y44" i="101"/>
  <c r="Y45" i="98" s="1"/>
  <c r="Y47" i="101"/>
  <c r="Y42" i="101"/>
  <c r="Y49" i="101"/>
  <c r="Y48" i="101"/>
  <c r="Y46" i="101"/>
  <c r="AE49" i="100" l="1"/>
  <c r="AE47" i="100"/>
  <c r="AE48" i="100"/>
  <c r="AE46" i="100"/>
  <c r="AE44" i="100"/>
  <c r="T45" i="100"/>
  <c r="T36" i="100" s="1"/>
  <c r="T36" i="101"/>
  <c r="AD49" i="98"/>
  <c r="AD42" i="98"/>
  <c r="AD48" i="98"/>
  <c r="AD47" i="98"/>
  <c r="AD46" i="98"/>
  <c r="Z45" i="100"/>
  <c r="Z36" i="100" s="1"/>
  <c r="Z36" i="101"/>
  <c r="AA45" i="100"/>
  <c r="AA36" i="100" s="1"/>
  <c r="AA36" i="101"/>
  <c r="AC30" i="98"/>
  <c r="X45" i="100"/>
  <c r="X36" i="100" s="1"/>
  <c r="X36" i="101"/>
  <c r="AB30" i="100"/>
  <c r="AE44" i="101"/>
  <c r="AE45" i="98" s="1"/>
  <c r="AE46" i="101"/>
  <c r="AE42" i="101"/>
  <c r="AE45" i="100" s="1"/>
  <c r="AE47" i="101"/>
  <c r="AE48" i="101"/>
  <c r="AE49" i="101"/>
  <c r="Y45" i="100"/>
  <c r="Y36" i="100" s="1"/>
  <c r="Y36" i="101"/>
  <c r="AE30" i="98"/>
  <c r="AE33" i="98" s="1"/>
  <c r="AE34" i="98" s="1"/>
  <c r="AB33" i="101"/>
  <c r="AB34" i="101" l="1"/>
  <c r="AE47" i="98"/>
  <c r="AE42" i="98"/>
  <c r="AE49" i="98"/>
  <c r="AE46" i="98"/>
  <c r="AE48" i="98"/>
  <c r="AB33" i="100"/>
  <c r="AC32" i="98"/>
  <c r="AC33" i="98" s="1"/>
  <c r="AC34" i="98" s="1"/>
  <c r="AP30" i="98"/>
  <c r="AP33" i="98" s="1"/>
  <c r="AP34" i="98" s="1"/>
  <c r="AC42" i="98" l="1"/>
  <c r="AC48" i="98"/>
  <c r="AC49" i="98"/>
  <c r="AC47" i="98"/>
  <c r="AC46" i="98"/>
  <c r="AB47" i="101"/>
  <c r="AB48" i="101"/>
  <c r="AB49" i="101"/>
  <c r="AB46" i="101"/>
  <c r="AB44" i="101"/>
  <c r="AB42" i="101"/>
  <c r="AB31" i="98"/>
  <c r="AU32" i="98"/>
  <c r="AB34" i="100"/>
  <c r="AP46" i="98"/>
  <c r="AP49" i="98"/>
  <c r="AP47" i="98"/>
  <c r="AP42" i="98"/>
  <c r="AP48" i="98"/>
  <c r="AB45" i="98" l="1"/>
  <c r="AB45" i="100"/>
  <c r="AB49" i="100"/>
  <c r="AB44" i="100"/>
  <c r="AB46" i="100"/>
  <c r="AB48" i="100"/>
  <c r="AB47" i="100"/>
  <c r="AU31" i="98"/>
  <c r="AB33" i="98"/>
  <c r="AH30" i="100" l="1"/>
  <c r="AH33" i="100" s="1"/>
  <c r="AH34" i="100" s="1"/>
  <c r="AB34" i="98"/>
  <c r="AB49" i="98" l="1"/>
  <c r="AB42" i="98"/>
  <c r="AB48" i="98"/>
  <c r="AB46" i="98"/>
  <c r="AB47" i="98"/>
  <c r="AH49" i="100"/>
  <c r="AH46" i="100"/>
  <c r="AH48" i="100"/>
  <c r="AH47" i="100"/>
  <c r="AH44" i="100"/>
  <c r="AG30" i="100" l="1"/>
  <c r="AG33" i="100" s="1"/>
  <c r="AG34" i="100" s="1"/>
  <c r="AN30" i="101"/>
  <c r="AN33" i="101" s="1"/>
  <c r="AN34" i="101" s="1"/>
  <c r="AN44" i="101" l="1"/>
  <c r="AN45" i="98" s="1"/>
  <c r="AN49" i="101"/>
  <c r="AN42" i="101"/>
  <c r="AN45" i="100" s="1"/>
  <c r="AN46" i="101"/>
  <c r="AN47" i="101"/>
  <c r="AN48" i="101"/>
  <c r="AG49" i="100"/>
  <c r="AG44" i="100"/>
  <c r="AG47" i="100"/>
  <c r="AG46" i="100"/>
  <c r="AG48" i="100"/>
  <c r="AI30" i="99" l="1"/>
  <c r="AI30" i="101"/>
  <c r="AI33" i="101" s="1"/>
  <c r="AI34" i="101" s="1"/>
  <c r="AI30" i="102"/>
  <c r="AH30" i="99" l="1"/>
  <c r="AH32" i="99" s="1"/>
  <c r="AR31" i="99" s="1"/>
  <c r="AF30" i="99"/>
  <c r="AI32" i="102"/>
  <c r="AH31" i="102" s="1"/>
  <c r="AI30" i="98"/>
  <c r="AI33" i="98" s="1"/>
  <c r="AI34" i="98" s="1"/>
  <c r="AG30" i="99"/>
  <c r="AG32" i="99" s="1"/>
  <c r="AH31" i="99" s="1"/>
  <c r="AR30" i="102"/>
  <c r="AR32" i="102" s="1"/>
  <c r="AQ31" i="102" s="1"/>
  <c r="AS30" i="101"/>
  <c r="AG30" i="102"/>
  <c r="AG32" i="102" s="1"/>
  <c r="AF31" i="102" s="1"/>
  <c r="AQ30" i="102"/>
  <c r="AF30" i="102"/>
  <c r="AI49" i="101"/>
  <c r="AI42" i="101"/>
  <c r="AI45" i="100" s="1"/>
  <c r="AI46" i="101"/>
  <c r="AI47" i="101"/>
  <c r="AI44" i="101"/>
  <c r="AI45" i="98" s="1"/>
  <c r="AI48" i="101"/>
  <c r="AH30" i="102"/>
  <c r="AG30" i="101"/>
  <c r="AG33" i="101" s="1"/>
  <c r="AG34" i="101" s="1"/>
  <c r="AH30" i="101"/>
  <c r="AH33" i="101" s="1"/>
  <c r="AH34" i="101" s="1"/>
  <c r="AI32" i="99"/>
  <c r="AJ31" i="99" s="1"/>
  <c r="AJ33" i="99" s="1"/>
  <c r="AI33" i="99" l="1"/>
  <c r="AI34" i="99" s="1"/>
  <c r="AI33" i="102"/>
  <c r="AI34" i="102" s="1"/>
  <c r="AH33" i="99"/>
  <c r="AH34" i="99" s="1"/>
  <c r="AH47" i="99" s="1"/>
  <c r="AG47" i="101"/>
  <c r="AG44" i="101"/>
  <c r="AG45" i="98" s="1"/>
  <c r="AG49" i="101"/>
  <c r="AG42" i="101"/>
  <c r="AG45" i="100" s="1"/>
  <c r="AG48" i="101"/>
  <c r="AG46" i="101"/>
  <c r="AS33" i="101"/>
  <c r="AS34" i="101" s="1"/>
  <c r="AC30" i="101"/>
  <c r="AC33" i="101" s="1"/>
  <c r="AC34" i="101" s="1"/>
  <c r="AF32" i="102"/>
  <c r="AE31" i="102" s="1"/>
  <c r="AF30" i="101"/>
  <c r="AF33" i="101" s="1"/>
  <c r="AH30" i="98"/>
  <c r="AH33" i="98" s="1"/>
  <c r="AH34" i="98" s="1"/>
  <c r="AQ32" i="102"/>
  <c r="AP31" i="102" s="1"/>
  <c r="AP33" i="102" s="1"/>
  <c r="AF32" i="99"/>
  <c r="AG31" i="99" s="1"/>
  <c r="AG33" i="99" s="1"/>
  <c r="AG34" i="99" s="1"/>
  <c r="AF30" i="98"/>
  <c r="AJ30" i="101"/>
  <c r="AJ33" i="101" s="1"/>
  <c r="AD30" i="101"/>
  <c r="AD33" i="101" s="1"/>
  <c r="AD34" i="101" s="1"/>
  <c r="AH32" i="102"/>
  <c r="AG31" i="102" s="1"/>
  <c r="AG33" i="102" s="1"/>
  <c r="AR33" i="99"/>
  <c r="AR34" i="99" s="1"/>
  <c r="AJ34" i="99"/>
  <c r="AH47" i="101"/>
  <c r="AH49" i="101"/>
  <c r="AH48" i="101"/>
  <c r="AH42" i="101"/>
  <c r="AH45" i="100" s="1"/>
  <c r="AH44" i="101"/>
  <c r="AH45" i="98" s="1"/>
  <c r="AH46" i="101"/>
  <c r="AI48" i="98"/>
  <c r="AI42" i="98"/>
  <c r="AI46" i="98"/>
  <c r="AI47" i="98"/>
  <c r="AI49" i="98"/>
  <c r="AH44" i="99" l="1"/>
  <c r="AH41" i="98" s="1"/>
  <c r="AH49" i="99"/>
  <c r="AH42" i="99"/>
  <c r="AH42" i="100" s="1"/>
  <c r="AH54" i="99"/>
  <c r="AH48" i="99"/>
  <c r="AF33" i="99"/>
  <c r="AF34" i="99" s="1"/>
  <c r="AF47" i="99" s="1"/>
  <c r="AH46" i="99"/>
  <c r="AH45" i="99"/>
  <c r="AH41" i="101" s="1"/>
  <c r="AF33" i="102"/>
  <c r="AF34" i="102" s="1"/>
  <c r="AQ33" i="102"/>
  <c r="AQ34" i="102" s="1"/>
  <c r="AU30" i="101"/>
  <c r="AR48" i="99"/>
  <c r="AR45" i="99"/>
  <c r="AR41" i="101" s="1"/>
  <c r="AR44" i="99"/>
  <c r="AR41" i="98" s="1"/>
  <c r="AR54" i="99"/>
  <c r="AR42" i="99"/>
  <c r="AR42" i="100" s="1"/>
  <c r="AR47" i="99"/>
  <c r="AR49" i="99"/>
  <c r="AR46" i="99"/>
  <c r="AJ34" i="101"/>
  <c r="AS47" i="101"/>
  <c r="AS49" i="101"/>
  <c r="AS46" i="101"/>
  <c r="AS42" i="101"/>
  <c r="AS45" i="100" s="1"/>
  <c r="AS44" i="101"/>
  <c r="AS48" i="101"/>
  <c r="AC30" i="99"/>
  <c r="AF34" i="101"/>
  <c r="AI44" i="99"/>
  <c r="AI41" i="98" s="1"/>
  <c r="AI49" i="99"/>
  <c r="AI42" i="99"/>
  <c r="AI45" i="99"/>
  <c r="AI41" i="101" s="1"/>
  <c r="AI48" i="99"/>
  <c r="AI46" i="99"/>
  <c r="AI47" i="99"/>
  <c r="AI54" i="99"/>
  <c r="AV30" i="101"/>
  <c r="AF33" i="98"/>
  <c r="AC30" i="100"/>
  <c r="AJ47" i="99"/>
  <c r="AJ54" i="99"/>
  <c r="AJ48" i="99"/>
  <c r="AJ44" i="99"/>
  <c r="AJ41" i="98" s="1"/>
  <c r="AJ46" i="99"/>
  <c r="AJ45" i="99"/>
  <c r="AJ41" i="101" s="1"/>
  <c r="AJ49" i="99"/>
  <c r="AJ42" i="99"/>
  <c r="AH33" i="102"/>
  <c r="AL30" i="98"/>
  <c r="AL33" i="98" s="1"/>
  <c r="AJ30" i="98"/>
  <c r="AJ33" i="98" s="1"/>
  <c r="AG34" i="102"/>
  <c r="AD49" i="101"/>
  <c r="AD47" i="101"/>
  <c r="AD44" i="101"/>
  <c r="AD45" i="98" s="1"/>
  <c r="AD48" i="101"/>
  <c r="AD46" i="101"/>
  <c r="AD42" i="101"/>
  <c r="AD45" i="100" s="1"/>
  <c r="AG54" i="99"/>
  <c r="AG47" i="99"/>
  <c r="AG45" i="99"/>
  <c r="AG41" i="101" s="1"/>
  <c r="AG42" i="99"/>
  <c r="AG42" i="100" s="1"/>
  <c r="AG46" i="99"/>
  <c r="AG49" i="99"/>
  <c r="AG44" i="99"/>
  <c r="AG41" i="98" s="1"/>
  <c r="AG48" i="99"/>
  <c r="AP34" i="102"/>
  <c r="AH48" i="98"/>
  <c r="AH46" i="98"/>
  <c r="AH49" i="98"/>
  <c r="AH47" i="98"/>
  <c r="AH42" i="98"/>
  <c r="AI45" i="102"/>
  <c r="AI43" i="101" s="1"/>
  <c r="AI41" i="102"/>
  <c r="AI47" i="102"/>
  <c r="AI46" i="102"/>
  <c r="AI42" i="102"/>
  <c r="AI43" i="100" s="1"/>
  <c r="AI49" i="102"/>
  <c r="AI44" i="102"/>
  <c r="AI48" i="102"/>
  <c r="AI43" i="102"/>
  <c r="AC48" i="101"/>
  <c r="AC42" i="101"/>
  <c r="AC49" i="101"/>
  <c r="AC47" i="101"/>
  <c r="AC44" i="101"/>
  <c r="AC45" i="98" s="1"/>
  <c r="AC46" i="101"/>
  <c r="AF42" i="99" l="1"/>
  <c r="AF42" i="100" s="1"/>
  <c r="AF44" i="99"/>
  <c r="AF41" i="98" s="1"/>
  <c r="AF54" i="99"/>
  <c r="AF49" i="99"/>
  <c r="AF45" i="99"/>
  <c r="AF41" i="101" s="1"/>
  <c r="AF48" i="99"/>
  <c r="AF46" i="99"/>
  <c r="AJ34" i="98"/>
  <c r="AF34" i="98"/>
  <c r="AF42" i="101"/>
  <c r="AF49" i="101"/>
  <c r="AF48" i="101"/>
  <c r="AF44" i="101"/>
  <c r="AF45" i="98" s="1"/>
  <c r="AF46" i="101"/>
  <c r="AF47" i="101"/>
  <c r="AH34" i="102"/>
  <c r="AF42" i="102"/>
  <c r="AF43" i="100" s="1"/>
  <c r="AF49" i="102"/>
  <c r="AF47" i="102"/>
  <c r="AF45" i="102"/>
  <c r="AF43" i="101" s="1"/>
  <c r="AF48" i="102"/>
  <c r="AF44" i="102"/>
  <c r="AF41" i="102"/>
  <c r="AF43" i="102"/>
  <c r="AF46" i="102"/>
  <c r="AJ42" i="100"/>
  <c r="AJ36" i="99"/>
  <c r="AC32" i="99"/>
  <c r="AC33" i="99" s="1"/>
  <c r="AC34" i="99" s="1"/>
  <c r="AU30" i="99"/>
  <c r="AC45" i="100"/>
  <c r="AI43" i="99"/>
  <c r="AI36" i="99" s="1"/>
  <c r="AI36" i="102"/>
  <c r="AP47" i="102"/>
  <c r="AP46" i="102"/>
  <c r="AP49" i="102"/>
  <c r="AP45" i="102"/>
  <c r="AP43" i="101" s="1"/>
  <c r="AP36" i="101" s="1"/>
  <c r="AP38" i="101" s="1"/>
  <c r="AP39" i="101" s="1"/>
  <c r="AP44" i="102"/>
  <c r="AP41" i="102"/>
  <c r="AP42" i="102"/>
  <c r="AP43" i="100" s="1"/>
  <c r="AP36" i="100" s="1"/>
  <c r="AP38" i="100" s="1"/>
  <c r="AP43" i="102"/>
  <c r="AP48" i="102"/>
  <c r="AC33" i="100"/>
  <c r="AC34" i="100" s="1"/>
  <c r="AU30" i="100"/>
  <c r="AI36" i="101"/>
  <c r="AJ44" i="101"/>
  <c r="AJ45" i="98" s="1"/>
  <c r="AJ48" i="101"/>
  <c r="AJ46" i="101"/>
  <c r="AJ42" i="101"/>
  <c r="AJ45" i="100" s="1"/>
  <c r="AJ47" i="101"/>
  <c r="AJ49" i="101"/>
  <c r="AQ48" i="102"/>
  <c r="AQ43" i="102"/>
  <c r="AQ46" i="102"/>
  <c r="AQ49" i="102"/>
  <c r="AQ42" i="102"/>
  <c r="AQ43" i="100" s="1"/>
  <c r="AQ36" i="100" s="1"/>
  <c r="AQ38" i="100" s="1"/>
  <c r="AQ47" i="102"/>
  <c r="AQ45" i="102"/>
  <c r="AQ43" i="101" s="1"/>
  <c r="AQ36" i="101" s="1"/>
  <c r="AQ38" i="101" s="1"/>
  <c r="AQ41" i="102"/>
  <c r="AQ44" i="102"/>
  <c r="AV30" i="100"/>
  <c r="AI42" i="100"/>
  <c r="AI36" i="100" s="1"/>
  <c r="AV30" i="99"/>
  <c r="AL34" i="98"/>
  <c r="AG45" i="102"/>
  <c r="AG43" i="101" s="1"/>
  <c r="AG36" i="101" s="1"/>
  <c r="AG42" i="102"/>
  <c r="AG43" i="100" s="1"/>
  <c r="AG36" i="100" s="1"/>
  <c r="AG43" i="102"/>
  <c r="AG48" i="102"/>
  <c r="AG49" i="102"/>
  <c r="AG46" i="102"/>
  <c r="AG47" i="102"/>
  <c r="AG44" i="102"/>
  <c r="AG41" i="102"/>
  <c r="AS45" i="98"/>
  <c r="AU33" i="101"/>
  <c r="AU34" i="101" s="1"/>
  <c r="AW30" i="101"/>
  <c r="AU48" i="101" l="1"/>
  <c r="AU46" i="101"/>
  <c r="AU47" i="101"/>
  <c r="AU49" i="101"/>
  <c r="AU45" i="98"/>
  <c r="AU44" i="101"/>
  <c r="AC42" i="99"/>
  <c r="AC48" i="99"/>
  <c r="AC44" i="99"/>
  <c r="AC49" i="99"/>
  <c r="AC47" i="99"/>
  <c r="AC54" i="99"/>
  <c r="AC45" i="99"/>
  <c r="AC46" i="99"/>
  <c r="AF43" i="99"/>
  <c r="AF36" i="99" s="1"/>
  <c r="AF36" i="102"/>
  <c r="AH42" i="102"/>
  <c r="AH43" i="100" s="1"/>
  <c r="AH36" i="100" s="1"/>
  <c r="AH41" i="102"/>
  <c r="AH44" i="102"/>
  <c r="AH45" i="102"/>
  <c r="AH43" i="101" s="1"/>
  <c r="AH36" i="101" s="1"/>
  <c r="AH49" i="102"/>
  <c r="AH47" i="102"/>
  <c r="AH48" i="102"/>
  <c r="AH43" i="102"/>
  <c r="AH46" i="102"/>
  <c r="AP43" i="99"/>
  <c r="AP36" i="99" s="1"/>
  <c r="AP38" i="99" s="1"/>
  <c r="AP36" i="102"/>
  <c r="AP38" i="102" s="1"/>
  <c r="AQ39" i="100"/>
  <c r="AW30" i="100"/>
  <c r="AU33" i="100"/>
  <c r="AU34" i="100" s="1"/>
  <c r="AP52" i="101"/>
  <c r="AP51" i="101"/>
  <c r="AP50" i="101"/>
  <c r="AP53" i="101"/>
  <c r="AP54" i="101"/>
  <c r="AD31" i="99"/>
  <c r="AU32" i="99"/>
  <c r="AU42" i="101"/>
  <c r="AC46" i="100"/>
  <c r="AU46" i="100" s="1"/>
  <c r="AC47" i="100"/>
  <c r="AU47" i="100" s="1"/>
  <c r="AC48" i="100"/>
  <c r="AU48" i="100" s="1"/>
  <c r="AC44" i="100"/>
  <c r="AU44" i="100" s="1"/>
  <c r="AC49" i="100"/>
  <c r="AU49" i="100" s="1"/>
  <c r="AJ36" i="100"/>
  <c r="AF45" i="100"/>
  <c r="AU45" i="100" s="1"/>
  <c r="AF36" i="101"/>
  <c r="AJ49" i="98"/>
  <c r="AJ47" i="98"/>
  <c r="AJ42" i="98"/>
  <c r="AJ48" i="98"/>
  <c r="AJ46" i="98"/>
  <c r="AL47" i="98"/>
  <c r="AL42" i="98"/>
  <c r="AL46" i="98"/>
  <c r="AL49" i="98"/>
  <c r="AL48" i="98"/>
  <c r="AF49" i="98"/>
  <c r="AF47" i="98"/>
  <c r="AF48" i="98"/>
  <c r="AF42" i="98"/>
  <c r="AF46" i="98"/>
  <c r="AW30" i="99"/>
  <c r="AG43" i="99"/>
  <c r="AG36" i="99" s="1"/>
  <c r="AG36" i="102"/>
  <c r="AQ43" i="99"/>
  <c r="AQ36" i="99" s="1"/>
  <c r="AQ38" i="99" s="1"/>
  <c r="AQ39" i="99" s="1"/>
  <c r="AQ36" i="102"/>
  <c r="AQ38" i="102" s="1"/>
  <c r="AJ36" i="101"/>
  <c r="AQ39" i="101"/>
  <c r="AP39" i="100"/>
  <c r="AF36" i="100" l="1"/>
  <c r="AP55" i="101"/>
  <c r="AC42" i="100"/>
  <c r="AQ53" i="100"/>
  <c r="AQ51" i="100"/>
  <c r="AQ52" i="100"/>
  <c r="AQ54" i="100"/>
  <c r="AQ50" i="100"/>
  <c r="AP39" i="102"/>
  <c r="AC41" i="101"/>
  <c r="AP39" i="99"/>
  <c r="AQ53" i="101"/>
  <c r="AQ51" i="101"/>
  <c r="AQ54" i="101"/>
  <c r="AQ50" i="101"/>
  <c r="AQ52" i="101"/>
  <c r="AQ39" i="102"/>
  <c r="AQ51" i="99"/>
  <c r="AQ52" i="99"/>
  <c r="AQ50" i="99"/>
  <c r="AQ53" i="99"/>
  <c r="AD33" i="99"/>
  <c r="AD34" i="99" s="1"/>
  <c r="AU31" i="99"/>
  <c r="AU33" i="99" s="1"/>
  <c r="AU34" i="99" s="1"/>
  <c r="AH43" i="99"/>
  <c r="AH36" i="99" s="1"/>
  <c r="AH36" i="102"/>
  <c r="AC41" i="98"/>
  <c r="AP52" i="100"/>
  <c r="AP51" i="100"/>
  <c r="AP54" i="100"/>
  <c r="AP50" i="100"/>
  <c r="AP53" i="100"/>
  <c r="AQ55" i="100" l="1"/>
  <c r="AQ51" i="102"/>
  <c r="AQ53" i="102"/>
  <c r="AQ52" i="102"/>
  <c r="AQ50" i="102"/>
  <c r="AQ54" i="102"/>
  <c r="AP50" i="99"/>
  <c r="AP53" i="99"/>
  <c r="AP52" i="99"/>
  <c r="AP51" i="99"/>
  <c r="AP54" i="102"/>
  <c r="AP51" i="102"/>
  <c r="AP50" i="102"/>
  <c r="AP53" i="102"/>
  <c r="AP52" i="102"/>
  <c r="AQ55" i="99"/>
  <c r="AQ55" i="101"/>
  <c r="AD48" i="99"/>
  <c r="AU48" i="99" s="1"/>
  <c r="AD47" i="99"/>
  <c r="AU47" i="99" s="1"/>
  <c r="AD44" i="99"/>
  <c r="AD46" i="99"/>
  <c r="AU46" i="99" s="1"/>
  <c r="AD45" i="99"/>
  <c r="AD54" i="99"/>
  <c r="AU54" i="99" s="1"/>
  <c r="AD49" i="99"/>
  <c r="AU49" i="99" s="1"/>
  <c r="AD42" i="99"/>
  <c r="AP55" i="100"/>
  <c r="AQ55" i="102" l="1"/>
  <c r="AO30" i="102"/>
  <c r="AE30" i="102"/>
  <c r="AD42" i="100"/>
  <c r="AU42" i="100" s="1"/>
  <c r="AU42" i="99"/>
  <c r="AP55" i="102"/>
  <c r="AP55" i="99"/>
  <c r="AD41" i="101"/>
  <c r="AU41" i="101" s="1"/>
  <c r="AU45" i="99"/>
  <c r="AC30" i="102"/>
  <c r="AN30" i="102"/>
  <c r="AD30" i="102"/>
  <c r="AD41" i="98"/>
  <c r="AU41" i="98" s="1"/>
  <c r="AU44" i="99"/>
  <c r="AS30" i="102"/>
  <c r="AD32" i="102" l="1"/>
  <c r="AC31" i="102" s="1"/>
  <c r="AC32" i="102"/>
  <c r="AU30" i="102"/>
  <c r="AW30" i="102" s="1"/>
  <c r="AO32" i="102"/>
  <c r="AN31" i="102" s="1"/>
  <c r="AE32" i="102"/>
  <c r="AD31" i="102" s="1"/>
  <c r="AN32" i="102"/>
  <c r="AM31" i="102" s="1"/>
  <c r="AM33" i="102" s="1"/>
  <c r="AS32" i="102"/>
  <c r="AR31" i="102" s="1"/>
  <c r="AR33" i="102" s="1"/>
  <c r="AD33" i="102" l="1"/>
  <c r="AD34" i="102" s="1"/>
  <c r="AE33" i="102"/>
  <c r="AE34" i="102" s="1"/>
  <c r="AS33" i="102"/>
  <c r="AR34" i="102"/>
  <c r="AM34" i="102"/>
  <c r="AN33" i="102"/>
  <c r="AB31" i="102"/>
  <c r="AU32" i="102"/>
  <c r="AC33" i="102"/>
  <c r="AO33" i="102"/>
  <c r="AB33" i="102" l="1"/>
  <c r="AU31" i="102"/>
  <c r="AE49" i="102"/>
  <c r="AE44" i="102"/>
  <c r="AE48" i="102"/>
  <c r="AE42" i="102"/>
  <c r="AE43" i="100" s="1"/>
  <c r="AE36" i="100" s="1"/>
  <c r="AE47" i="102"/>
  <c r="AE41" i="102"/>
  <c r="AE43" i="102"/>
  <c r="AE46" i="102"/>
  <c r="AE45" i="102"/>
  <c r="AE43" i="101" s="1"/>
  <c r="AE36" i="101" s="1"/>
  <c r="AM49" i="102"/>
  <c r="AM47" i="102"/>
  <c r="AM46" i="102"/>
  <c r="AM43" i="102"/>
  <c r="AM48" i="102"/>
  <c r="AM44" i="102"/>
  <c r="AM42" i="102"/>
  <c r="AM43" i="100" s="1"/>
  <c r="AM36" i="100" s="1"/>
  <c r="AM45" i="102"/>
  <c r="AM43" i="101" s="1"/>
  <c r="AM36" i="101" s="1"/>
  <c r="AM41" i="102"/>
  <c r="AR42" i="102"/>
  <c r="AR43" i="100" s="1"/>
  <c r="AR36" i="100" s="1"/>
  <c r="AR38" i="100" s="1"/>
  <c r="AR45" i="102"/>
  <c r="AR43" i="101" s="1"/>
  <c r="AR36" i="101" s="1"/>
  <c r="AR38" i="101" s="1"/>
  <c r="AR49" i="102"/>
  <c r="AR48" i="102"/>
  <c r="AR43" i="102"/>
  <c r="AR44" i="102"/>
  <c r="AR46" i="102"/>
  <c r="AR41" i="102"/>
  <c r="AR47" i="102"/>
  <c r="AO34" i="102"/>
  <c r="AN34" i="102"/>
  <c r="AC34" i="102"/>
  <c r="AS34" i="102"/>
  <c r="AD46" i="102"/>
  <c r="AD42" i="102"/>
  <c r="AD43" i="100" s="1"/>
  <c r="AD36" i="100" s="1"/>
  <c r="AD49" i="102"/>
  <c r="AD47" i="102"/>
  <c r="AD43" i="102"/>
  <c r="AD41" i="102"/>
  <c r="AD44" i="102"/>
  <c r="AD48" i="102"/>
  <c r="AD45" i="102"/>
  <c r="AD43" i="101" s="1"/>
  <c r="AD36" i="101" s="1"/>
  <c r="AS47" i="102" l="1"/>
  <c r="AS43" i="102"/>
  <c r="AS41" i="102"/>
  <c r="AS44" i="102"/>
  <c r="AS49" i="102"/>
  <c r="AS48" i="102"/>
  <c r="AS42" i="102"/>
  <c r="AS43" i="100" s="1"/>
  <c r="AS36" i="100" s="1"/>
  <c r="AS38" i="100" s="1"/>
  <c r="AS46" i="102"/>
  <c r="AS45" i="102"/>
  <c r="AS43" i="101" s="1"/>
  <c r="AS36" i="101" s="1"/>
  <c r="AS38" i="101" s="1"/>
  <c r="AR39" i="101"/>
  <c r="AO47" i="102"/>
  <c r="AO49" i="102"/>
  <c r="AO45" i="102"/>
  <c r="AO43" i="101" s="1"/>
  <c r="AO36" i="101" s="1"/>
  <c r="AO38" i="101" s="1"/>
  <c r="AO46" i="102"/>
  <c r="AO41" i="102"/>
  <c r="AO48" i="102"/>
  <c r="AO44" i="102"/>
  <c r="AO43" i="102"/>
  <c r="AO42" i="102"/>
  <c r="AO43" i="100" s="1"/>
  <c r="AO36" i="100" s="1"/>
  <c r="AO38" i="100" s="1"/>
  <c r="AR39" i="100"/>
  <c r="AM43" i="99"/>
  <c r="AM36" i="99" s="1"/>
  <c r="AM36" i="102"/>
  <c r="AB34" i="102"/>
  <c r="AD43" i="99"/>
  <c r="AD36" i="99" s="1"/>
  <c r="AD36" i="102"/>
  <c r="AR43" i="99"/>
  <c r="AR36" i="99" s="1"/>
  <c r="AR38" i="99" s="1"/>
  <c r="AR39" i="99" s="1"/>
  <c r="AR36" i="102"/>
  <c r="AR38" i="102" s="1"/>
  <c r="AN46" i="102"/>
  <c r="AN48" i="102"/>
  <c r="AN47" i="102"/>
  <c r="AN43" i="102"/>
  <c r="AN42" i="102"/>
  <c r="AN43" i="100" s="1"/>
  <c r="AN36" i="100" s="1"/>
  <c r="AN44" i="102"/>
  <c r="AN41" i="102"/>
  <c r="AN45" i="102"/>
  <c r="AN43" i="101" s="1"/>
  <c r="AN36" i="101" s="1"/>
  <c r="AN49" i="102"/>
  <c r="AC49" i="102"/>
  <c r="AC48" i="102"/>
  <c r="AC43" i="102"/>
  <c r="AC47" i="102"/>
  <c r="AC42" i="102"/>
  <c r="AC43" i="100" s="1"/>
  <c r="AC36" i="100" s="1"/>
  <c r="AC44" i="102"/>
  <c r="AC41" i="102"/>
  <c r="AC45" i="102"/>
  <c r="AC43" i="101" s="1"/>
  <c r="AC36" i="101" s="1"/>
  <c r="AC46" i="102"/>
  <c r="AE43" i="99"/>
  <c r="AE36" i="99" s="1"/>
  <c r="AE36" i="102"/>
  <c r="AC43" i="99" l="1"/>
  <c r="AC36" i="99" s="1"/>
  <c r="AC36" i="102"/>
  <c r="AN43" i="99"/>
  <c r="AN36" i="99" s="1"/>
  <c r="AN36" i="102"/>
  <c r="AO39" i="100"/>
  <c r="AR54" i="100"/>
  <c r="AR50" i="100"/>
  <c r="AR51" i="100"/>
  <c r="AR53" i="100"/>
  <c r="AR52" i="100"/>
  <c r="AS43" i="99"/>
  <c r="AS36" i="99" s="1"/>
  <c r="AS38" i="99" s="1"/>
  <c r="AS36" i="102"/>
  <c r="AS38" i="102" s="1"/>
  <c r="AB45" i="102"/>
  <c r="AB42" i="102"/>
  <c r="AB47" i="102"/>
  <c r="AU47" i="102" s="1"/>
  <c r="AB46" i="102"/>
  <c r="AU46" i="102" s="1"/>
  <c r="AB49" i="102"/>
  <c r="AU49" i="102" s="1"/>
  <c r="AB41" i="102"/>
  <c r="AB43" i="102"/>
  <c r="AU43" i="102" s="1"/>
  <c r="AB48" i="102"/>
  <c r="AU48" i="102" s="1"/>
  <c r="AB44" i="102"/>
  <c r="AU44" i="102" s="1"/>
  <c r="AO43" i="99"/>
  <c r="AO36" i="99" s="1"/>
  <c r="AO38" i="99" s="1"/>
  <c r="AO36" i="102"/>
  <c r="AO38" i="102" s="1"/>
  <c r="AS39" i="101"/>
  <c r="AR39" i="102"/>
  <c r="AR50" i="99"/>
  <c r="AR52" i="99"/>
  <c r="AR53" i="99"/>
  <c r="AR51" i="99"/>
  <c r="AO39" i="101"/>
  <c r="AR53" i="101"/>
  <c r="AR52" i="101"/>
  <c r="AR50" i="101"/>
  <c r="AR54" i="101"/>
  <c r="AR51" i="101"/>
  <c r="AS39" i="100"/>
  <c r="AS50" i="101" l="1"/>
  <c r="AS53" i="101"/>
  <c r="AS54" i="101"/>
  <c r="AS51" i="101"/>
  <c r="AS52" i="101"/>
  <c r="AR55" i="100"/>
  <c r="AB43" i="99"/>
  <c r="AU41" i="102"/>
  <c r="AB36" i="102"/>
  <c r="AS39" i="102"/>
  <c r="AO50" i="100"/>
  <c r="AO53" i="100"/>
  <c r="AO52" i="100"/>
  <c r="AO51" i="100"/>
  <c r="AO54" i="100"/>
  <c r="AS39" i="99"/>
  <c r="AO39" i="102"/>
  <c r="AO54" i="101"/>
  <c r="AO52" i="101"/>
  <c r="AO53" i="101"/>
  <c r="AO51" i="101"/>
  <c r="AO50" i="101"/>
  <c r="AR51" i="102"/>
  <c r="AR50" i="102"/>
  <c r="AR54" i="102"/>
  <c r="AR52" i="102"/>
  <c r="AR53" i="102"/>
  <c r="AO39" i="99"/>
  <c r="AB43" i="100"/>
  <c r="AU42" i="102"/>
  <c r="AR55" i="101"/>
  <c r="AR55" i="99"/>
  <c r="AS51" i="100"/>
  <c r="AS50" i="100"/>
  <c r="AS54" i="100"/>
  <c r="AS53" i="100"/>
  <c r="AS52" i="100"/>
  <c r="AB43" i="101"/>
  <c r="AU45" i="102"/>
  <c r="AB36" i="99" l="1"/>
  <c r="AU43" i="99"/>
  <c r="AU43" i="100"/>
  <c r="AU36" i="100" s="1"/>
  <c r="AB36" i="100"/>
  <c r="AS50" i="99"/>
  <c r="AS51" i="99"/>
  <c r="AS52" i="99"/>
  <c r="AS53" i="99"/>
  <c r="AS50" i="102"/>
  <c r="AS52" i="102"/>
  <c r="AS54" i="102"/>
  <c r="AS53" i="102"/>
  <c r="AS51" i="102"/>
  <c r="AO50" i="102"/>
  <c r="AO53" i="102"/>
  <c r="AO51" i="102"/>
  <c r="AO54" i="102"/>
  <c r="AO52" i="102"/>
  <c r="AO55" i="101"/>
  <c r="AS55" i="101"/>
  <c r="AS55" i="100"/>
  <c r="AO55" i="100"/>
  <c r="AU43" i="101"/>
  <c r="AU36" i="101" s="1"/>
  <c r="AB36" i="101"/>
  <c r="AR55" i="102"/>
  <c r="AO53" i="99"/>
  <c r="AO51" i="99"/>
  <c r="AO52" i="99"/>
  <c r="AO50" i="99"/>
  <c r="AO55" i="99" l="1"/>
  <c r="AS55" i="99"/>
  <c r="AU36" i="99"/>
  <c r="AS55" i="102"/>
  <c r="AO55" i="102"/>
  <c r="AG30" i="98" l="1"/>
  <c r="AG33" i="98" l="1"/>
  <c r="AU30" i="98"/>
  <c r="AV30" i="98"/>
  <c r="AU33" i="98" l="1"/>
  <c r="AU34" i="98" s="1"/>
  <c r="AW30" i="98"/>
  <c r="AG34" i="98"/>
  <c r="AG47" i="98" l="1"/>
  <c r="AU47" i="98" s="1"/>
  <c r="AG48" i="98"/>
  <c r="AU48" i="98" s="1"/>
  <c r="AG46" i="98"/>
  <c r="AU46" i="98" s="1"/>
  <c r="AG42" i="98"/>
  <c r="AG49" i="98"/>
  <c r="AU49" i="98" s="1"/>
  <c r="AU42" i="98" l="1"/>
  <c r="Y34" i="93" l="1"/>
  <c r="G42" i="56" l="1"/>
  <c r="G43" i="56" l="1"/>
  <c r="H43" i="56" s="1"/>
  <c r="H42" i="56"/>
  <c r="H44" i="58" l="1"/>
  <c r="G46" i="58"/>
  <c r="G46" i="59"/>
  <c r="G57" i="57"/>
  <c r="G44" i="56"/>
  <c r="H44" i="56" s="1"/>
  <c r="H56" i="59" l="1"/>
  <c r="M44" i="59"/>
  <c r="G48" i="59"/>
  <c r="H48" i="59" s="1"/>
  <c r="H46" i="59"/>
  <c r="G48" i="58"/>
  <c r="H48" i="58" s="1"/>
  <c r="H46" i="58"/>
  <c r="M44" i="58"/>
  <c r="H55" i="58"/>
  <c r="H66" i="57"/>
  <c r="M55" i="57"/>
  <c r="G59" i="57"/>
  <c r="H59" i="57" s="1"/>
  <c r="H57" i="57"/>
  <c r="C158" i="56"/>
  <c r="I158" i="56"/>
  <c r="I38" i="80"/>
  <c r="C33" i="81"/>
  <c r="C159" i="127" l="1"/>
  <c r="I159" i="127"/>
  <c r="C160" i="127"/>
  <c r="D160" i="127" s="1"/>
  <c r="I160" i="127"/>
  <c r="J160" i="127" s="1"/>
  <c r="O33" i="81"/>
  <c r="G33" i="81"/>
  <c r="I159" i="56"/>
  <c r="J159" i="56" s="1"/>
  <c r="M57" i="57"/>
  <c r="H68" i="57"/>
  <c r="M48" i="58"/>
  <c r="H57" i="58"/>
  <c r="J158" i="56"/>
  <c r="D158" i="56"/>
  <c r="M46" i="59"/>
  <c r="H57" i="59"/>
  <c r="H58" i="59"/>
  <c r="M48" i="59"/>
  <c r="I160" i="56"/>
  <c r="H69" i="57"/>
  <c r="M59" i="57"/>
  <c r="D33" i="81"/>
  <c r="I107" i="80"/>
  <c r="C159" i="56"/>
  <c r="D159" i="56" s="1"/>
  <c r="G84" i="60"/>
  <c r="C160" i="56"/>
  <c r="D160" i="56" s="1"/>
  <c r="M46" i="58"/>
  <c r="H56" i="58"/>
  <c r="I73" i="80"/>
  <c r="J159" i="127" l="1"/>
  <c r="D159" i="127"/>
  <c r="M50" i="59"/>
  <c r="J160" i="56"/>
  <c r="M82" i="60"/>
  <c r="H84" i="60"/>
  <c r="G86" i="60"/>
  <c r="H86" i="60" s="1"/>
  <c r="I161" i="127" l="1"/>
  <c r="C161" i="127"/>
  <c r="M84" i="60"/>
  <c r="K33" i="81"/>
  <c r="AA33" i="81" s="1"/>
  <c r="H98" i="60"/>
  <c r="I175" i="80"/>
  <c r="C161" i="56"/>
  <c r="M86" i="60"/>
  <c r="H99" i="60"/>
  <c r="I161" i="56"/>
  <c r="D161" i="127" l="1"/>
  <c r="C163" i="127"/>
  <c r="D163" i="127" s="1"/>
  <c r="J161" i="127"/>
  <c r="I163" i="127"/>
  <c r="J163" i="127" s="1"/>
  <c r="M88" i="60"/>
  <c r="J161" i="56"/>
  <c r="D161" i="56"/>
  <c r="C163" i="56"/>
  <c r="AC33" i="81" l="1"/>
  <c r="D163" i="56"/>
  <c r="D7" i="55" l="1"/>
  <c r="D104" i="55" l="1"/>
  <c r="D100" i="55" l="1"/>
  <c r="D98" i="55" l="1"/>
  <c r="D40" i="55" l="1"/>
  <c r="B15" i="70" l="1"/>
  <c r="D60" i="55" l="1"/>
  <c r="D70" i="55"/>
  <c r="D66" i="55" l="1"/>
  <c r="D30" i="55"/>
  <c r="D74" i="55" l="1"/>
  <c r="D48" i="55"/>
  <c r="D64" i="55" l="1"/>
  <c r="D46" i="55"/>
  <c r="D96" i="55" l="1"/>
  <c r="D76" i="55" l="1"/>
  <c r="D82" i="55" l="1"/>
  <c r="D84" i="55" l="1"/>
  <c r="D50" i="55" l="1"/>
  <c r="D52" i="55" l="1"/>
  <c r="D54" i="55" l="1"/>
  <c r="D56" i="55" l="1"/>
  <c r="D58" i="55" l="1"/>
  <c r="C15" i="70" l="1"/>
  <c r="C16" i="70" s="1"/>
  <c r="D19" i="70" s="1"/>
  <c r="D62" i="55"/>
  <c r="E15" i="70" l="1"/>
  <c r="D23" i="70" l="1"/>
  <c r="D16" i="70"/>
  <c r="D20" i="70" l="1"/>
  <c r="D22" i="70" s="1"/>
  <c r="B8" i="70" l="1"/>
  <c r="H8" i="70"/>
  <c r="C8" i="70"/>
  <c r="C9" i="70" l="1"/>
  <c r="B19" i="70" s="1"/>
  <c r="E19" i="70" s="1"/>
  <c r="D102" i="55" l="1"/>
  <c r="D107" i="55" s="1"/>
  <c r="D8" i="70" l="1"/>
  <c r="E8" i="70" l="1"/>
  <c r="B23" i="70" s="1"/>
  <c r="E23" i="70" s="1"/>
  <c r="D9" i="70"/>
  <c r="B20" i="70" s="1"/>
  <c r="E20" i="70" s="1"/>
  <c r="B22" i="70" l="1"/>
  <c r="E22" i="70" l="1"/>
  <c r="AC34" i="93" l="1"/>
  <c r="B13" i="55" l="1"/>
  <c r="B17" i="55" s="1"/>
  <c r="B27" i="55" l="1"/>
  <c r="B28" i="55" s="1"/>
  <c r="B107" i="55" s="1"/>
  <c r="B109" i="55" s="1"/>
  <c r="D356" i="80" l="1"/>
  <c r="K359" i="80" l="1"/>
  <c r="N368" i="80" l="1"/>
  <c r="N370" i="80" s="1"/>
  <c r="N372" i="80" s="1"/>
  <c r="N374" i="80" s="1"/>
  <c r="X91" i="78" l="1"/>
  <c r="X92" i="78" s="1"/>
  <c r="X93" i="78" s="1"/>
  <c r="X94" i="78" s="1"/>
  <c r="AA11" i="78"/>
  <c r="AA29" i="78" s="1"/>
  <c r="AA31" i="78" s="1"/>
  <c r="X73" i="78"/>
  <c r="X74" i="78" s="1"/>
  <c r="AA29" i="95" l="1"/>
  <c r="X91" i="95" l="1"/>
  <c r="X92" i="95" s="1"/>
  <c r="X93" i="95" s="1"/>
  <c r="X94" i="95" s="1"/>
  <c r="AA31" i="95"/>
  <c r="X73" i="95"/>
  <c r="X74" i="95" s="1"/>
  <c r="Y91" i="77" l="1"/>
  <c r="Y92" i="77" s="1"/>
  <c r="X91" i="77"/>
  <c r="X92" i="77" s="1"/>
  <c r="X93" i="77" s="1"/>
  <c r="X94" i="77" s="1"/>
  <c r="X73" i="77"/>
  <c r="AA11" i="77"/>
  <c r="AA29" i="77" l="1"/>
  <c r="X74" i="77"/>
  <c r="AA31" i="77" l="1"/>
  <c r="X91" i="76"/>
  <c r="X92" i="76" s="1"/>
  <c r="X93" i="76" s="1"/>
  <c r="X94" i="76" s="1"/>
  <c r="X73" i="76"/>
  <c r="X74" i="76" s="1"/>
  <c r="AA11" i="76"/>
  <c r="AA29" i="76" l="1"/>
  <c r="AA31" i="76" s="1"/>
  <c r="AA11" i="93" l="1"/>
  <c r="AA29" i="93" s="1"/>
  <c r="X91" i="93" l="1"/>
  <c r="X92" i="93" s="1"/>
  <c r="X93" i="93" s="1"/>
  <c r="X94" i="93" s="1"/>
  <c r="AA31" i="93"/>
  <c r="X73" i="93"/>
  <c r="X74" i="93" s="1"/>
  <c r="AA7" i="103" l="1"/>
  <c r="X73" i="63"/>
  <c r="X74" i="63" s="1"/>
  <c r="X91" i="63"/>
  <c r="X92" i="63" s="1"/>
  <c r="X93" i="63" s="1"/>
  <c r="X94" i="63" s="1"/>
  <c r="AA11" i="63"/>
  <c r="AA29" i="63" l="1"/>
  <c r="AA31" i="63" s="1"/>
  <c r="AA11" i="103"/>
  <c r="AA27" i="103" s="1"/>
  <c r="X114" i="103"/>
  <c r="X115" i="103" s="1"/>
  <c r="X120" i="88"/>
  <c r="X121" i="88" s="1"/>
  <c r="AA11" i="88"/>
  <c r="AA30" i="88" s="1"/>
  <c r="AM31" i="103" l="1"/>
  <c r="J339" i="80" l="1"/>
  <c r="F339" i="80" l="1"/>
  <c r="F34" i="85" l="1"/>
  <c r="G386" i="80" l="1"/>
  <c r="V329" i="80"/>
  <c r="D6" i="81" l="1"/>
  <c r="AB6" i="81" l="1"/>
  <c r="AA41" i="81" l="1"/>
  <c r="G6" i="110" l="1"/>
  <c r="G7" i="110" l="1"/>
  <c r="H7" i="110" s="1"/>
  <c r="H6" i="110"/>
  <c r="AB6" i="110" s="1"/>
  <c r="G8" i="110"/>
  <c r="H8" i="110" s="1"/>
  <c r="H10" i="110" s="1"/>
  <c r="H12" i="110" s="1"/>
  <c r="H44" i="111" l="1"/>
  <c r="H51" i="110"/>
  <c r="H53" i="110" s="1"/>
  <c r="H14" i="110"/>
  <c r="AB12" i="110"/>
  <c r="H28" i="110"/>
  <c r="H30" i="110"/>
  <c r="AB7" i="110"/>
  <c r="AB30" i="110" s="1"/>
  <c r="G44" i="111" l="1"/>
  <c r="H96" i="111"/>
  <c r="H93" i="111"/>
  <c r="J93" i="111" s="1"/>
  <c r="M44" i="111"/>
  <c r="M93" i="111" s="1"/>
  <c r="AB28" i="110"/>
  <c r="AA6" i="110"/>
  <c r="AA7" i="110" s="1"/>
  <c r="AB8" i="110"/>
  <c r="AB10" i="110" s="1"/>
  <c r="H29" i="110"/>
  <c r="H31" i="110" s="1"/>
  <c r="H54" i="110" s="1"/>
  <c r="AB14" i="110"/>
  <c r="AB29" i="110" s="1"/>
  <c r="H57" i="110"/>
  <c r="M95" i="111" l="1"/>
  <c r="M88" i="111"/>
  <c r="AA8" i="110"/>
  <c r="AB31" i="110"/>
  <c r="I146" i="56" l="1"/>
  <c r="J239" i="80" l="1"/>
  <c r="L239" i="80" s="1"/>
  <c r="D239" i="80"/>
  <c r="L146" i="56" l="1"/>
  <c r="L52" i="58" l="1"/>
  <c r="L63" i="57"/>
  <c r="Q63" i="57" s="1"/>
  <c r="L47" i="92" l="1"/>
  <c r="L52" i="59" l="1"/>
  <c r="L90" i="60" l="1"/>
  <c r="AY41" i="88" l="1"/>
  <c r="L380" i="80" l="1"/>
  <c r="M367" i="80" l="1"/>
  <c r="M369" i="80" s="1"/>
  <c r="AA31" i="103" l="1"/>
  <c r="AU49" i="115" l="1"/>
  <c r="B253" i="80" s="1"/>
  <c r="D253" i="80" s="1"/>
  <c r="AY43" i="88" l="1"/>
  <c r="BE72" i="83" l="1"/>
  <c r="BA89" i="83" l="1"/>
  <c r="BC78" i="83" l="1"/>
  <c r="BA78" i="83"/>
  <c r="J15" i="118" l="1"/>
  <c r="E62" i="117" l="1"/>
  <c r="AS10" i="120"/>
  <c r="AS35" i="120" s="1"/>
  <c r="AQ11" i="120"/>
  <c r="AQ8" i="120"/>
  <c r="AS8" i="120" s="1"/>
  <c r="AS9" i="120" l="1"/>
  <c r="AS11" i="120" s="1"/>
  <c r="AS13" i="120" s="1"/>
  <c r="AS32" i="120"/>
  <c r="AS15" i="120" l="1"/>
  <c r="AS31" i="120" s="1"/>
  <c r="AS33" i="120" s="1"/>
  <c r="AS36" i="120"/>
  <c r="AS38" i="120" s="1"/>
  <c r="AS39" i="120" l="1"/>
  <c r="B26" i="118"/>
  <c r="B27" i="118" s="1"/>
  <c r="B28" i="118" s="1"/>
  <c r="AY8" i="120"/>
  <c r="BA8" i="120" s="1"/>
  <c r="J13" i="118"/>
  <c r="J17" i="118"/>
  <c r="J16" i="118" l="1"/>
  <c r="E66" i="117"/>
  <c r="BA32" i="120"/>
  <c r="BA9" i="120"/>
  <c r="AY11" i="120"/>
  <c r="BA10" i="120"/>
  <c r="BA35" i="120" s="1"/>
  <c r="B29" i="118" l="1"/>
  <c r="B30" i="118" s="1"/>
  <c r="B31" i="118" s="1"/>
  <c r="B32" i="118" s="1"/>
  <c r="B33" i="118" s="1"/>
  <c r="B34" i="118" s="1"/>
  <c r="CL9" i="122"/>
  <c r="E60" i="117"/>
  <c r="AM8" i="120"/>
  <c r="AO8" i="120" s="1"/>
  <c r="AO10" i="120"/>
  <c r="AO35" i="120" s="1"/>
  <c r="AM11" i="120"/>
  <c r="BA11" i="120"/>
  <c r="BA13" i="120" s="1"/>
  <c r="B35" i="118" l="1"/>
  <c r="B36" i="118" s="1"/>
  <c r="AI9" i="120" s="1"/>
  <c r="BO9" i="120" s="1"/>
  <c r="AO32" i="120"/>
  <c r="AO9" i="120"/>
  <c r="AO11" i="120" s="1"/>
  <c r="AO13" i="120" s="1"/>
  <c r="CL8" i="122"/>
  <c r="CN10" i="122"/>
  <c r="CN35" i="122" s="1"/>
  <c r="CL11" i="122"/>
  <c r="BA36" i="120"/>
  <c r="BA38" i="120" s="1"/>
  <c r="BA15" i="120"/>
  <c r="BA31" i="120" s="1"/>
  <c r="BA33" i="120" s="1"/>
  <c r="BO7" i="120" l="1"/>
  <c r="BP7" i="120" s="1"/>
  <c r="E58" i="117"/>
  <c r="E101" i="117" s="1"/>
  <c r="G101" i="117" s="1"/>
  <c r="CH9" i="122"/>
  <c r="AI11" i="120"/>
  <c r="AK10" i="120"/>
  <c r="AK35" i="120" s="1"/>
  <c r="AI8" i="120"/>
  <c r="AK8" i="120" s="1"/>
  <c r="AK9" i="120" s="1"/>
  <c r="CJ10" i="122"/>
  <c r="DT10" i="122" s="1"/>
  <c r="DS10" i="122" s="1"/>
  <c r="CN8" i="122"/>
  <c r="CN32" i="122" s="1"/>
  <c r="AO15" i="120"/>
  <c r="AO31" i="120" s="1"/>
  <c r="AO33" i="120" s="1"/>
  <c r="AO36" i="120"/>
  <c r="AO38" i="120" s="1"/>
  <c r="BA39" i="120"/>
  <c r="E68" i="117"/>
  <c r="BC8" i="120"/>
  <c r="BE8" i="120" s="1"/>
  <c r="BE9" i="120" s="1"/>
  <c r="BC11" i="120"/>
  <c r="BE10" i="120"/>
  <c r="BE35" i="120" s="1"/>
  <c r="CT9" i="122"/>
  <c r="DR9" i="122" l="1"/>
  <c r="CH11" i="122"/>
  <c r="AK11" i="120"/>
  <c r="AK13" i="120" s="1"/>
  <c r="AK15" i="120" s="1"/>
  <c r="AK31" i="120" s="1"/>
  <c r="K55" i="85"/>
  <c r="L55" i="85" s="1"/>
  <c r="C84" i="117"/>
  <c r="CH8" i="122"/>
  <c r="CJ8" i="122" s="1"/>
  <c r="CJ32" i="122" s="1"/>
  <c r="DT32" i="122" s="1"/>
  <c r="AK32" i="120"/>
  <c r="CJ35" i="122"/>
  <c r="CN9" i="122"/>
  <c r="CN11" i="122" s="1"/>
  <c r="CN13" i="122" s="1"/>
  <c r="CN15" i="122" s="1"/>
  <c r="CN31" i="122" s="1"/>
  <c r="CN33" i="122" s="1"/>
  <c r="BE11" i="120"/>
  <c r="BE13" i="120" s="1"/>
  <c r="BE36" i="120" s="1"/>
  <c r="BE38" i="120" s="1"/>
  <c r="AO39" i="120"/>
  <c r="CT11" i="122"/>
  <c r="CV10" i="122"/>
  <c r="CV35" i="122" s="1"/>
  <c r="CT8" i="122"/>
  <c r="E64" i="117"/>
  <c r="AU8" i="120"/>
  <c r="BO8" i="120" s="1"/>
  <c r="AU11" i="120"/>
  <c r="BO11" i="120" s="1"/>
  <c r="AW10" i="120"/>
  <c r="AW35" i="120" s="1"/>
  <c r="J18" i="118"/>
  <c r="J20" i="118" s="1"/>
  <c r="J22" i="118" s="1"/>
  <c r="BE32" i="120"/>
  <c r="DR8" i="122" l="1"/>
  <c r="AK36" i="120"/>
  <c r="AK38" i="120" s="1"/>
  <c r="DR11" i="122"/>
  <c r="E100" i="117"/>
  <c r="G100" i="117" s="1"/>
  <c r="AK33" i="120"/>
  <c r="DT8" i="122"/>
  <c r="DT9" i="122" s="1"/>
  <c r="CJ9" i="122"/>
  <c r="CJ11" i="122" s="1"/>
  <c r="CJ13" i="122" s="1"/>
  <c r="CN36" i="122"/>
  <c r="CN38" i="122" s="1"/>
  <c r="CN39" i="122" s="1"/>
  <c r="BE15" i="120"/>
  <c r="BE31" i="120" s="1"/>
  <c r="BE33" i="120" s="1"/>
  <c r="BE39" i="120" s="1"/>
  <c r="DT38" i="122"/>
  <c r="DT41" i="122"/>
  <c r="DT43" i="122" s="1"/>
  <c r="CV8" i="122"/>
  <c r="AW8" i="120"/>
  <c r="AK39" i="120" l="1"/>
  <c r="DV11" i="122"/>
  <c r="DV13" i="122" s="1"/>
  <c r="DR56" i="122"/>
  <c r="DT11" i="122"/>
  <c r="DP51" i="69"/>
  <c r="B84" i="117"/>
  <c r="DS8" i="122"/>
  <c r="CV32" i="122"/>
  <c r="CV9" i="122"/>
  <c r="CV11" i="122" s="1"/>
  <c r="CV13" i="122" s="1"/>
  <c r="DV9" i="122"/>
  <c r="CJ15" i="122"/>
  <c r="CJ36" i="122"/>
  <c r="CJ38" i="122" s="1"/>
  <c r="DT13" i="122"/>
  <c r="AW32" i="120"/>
  <c r="AW9" i="120"/>
  <c r="AW11" i="120" s="1"/>
  <c r="AW13" i="120" s="1"/>
  <c r="BQ8" i="120"/>
  <c r="F88" i="117" l="1"/>
  <c r="H88" i="117" s="1"/>
  <c r="I277" i="80" s="1"/>
  <c r="V33" i="81"/>
  <c r="Z33" i="81" s="1"/>
  <c r="B44" i="85"/>
  <c r="E102" i="117"/>
  <c r="G102" i="117" s="1"/>
  <c r="DS9" i="122"/>
  <c r="DS11" i="122"/>
  <c r="CV36" i="122"/>
  <c r="CV38" i="122" s="1"/>
  <c r="CV15" i="122"/>
  <c r="CV31" i="122" s="1"/>
  <c r="CV33" i="122" s="1"/>
  <c r="CJ31" i="122"/>
  <c r="DT15" i="122"/>
  <c r="BQ9" i="120"/>
  <c r="BQ10" i="120" s="1"/>
  <c r="BP8" i="120"/>
  <c r="AW15" i="120"/>
  <c r="AW31" i="120" s="1"/>
  <c r="AW33" i="120" s="1"/>
  <c r="AW36" i="120"/>
  <c r="AW38" i="120" s="1"/>
  <c r="B69" i="85" l="1"/>
  <c r="O44" i="85"/>
  <c r="P44" i="85" s="1"/>
  <c r="E105" i="117"/>
  <c r="K44" i="85"/>
  <c r="L44" i="85" s="1"/>
  <c r="CV39" i="122"/>
  <c r="B45" i="85"/>
  <c r="E104" i="117"/>
  <c r="C44" i="85"/>
  <c r="E44" i="85" s="1"/>
  <c r="E45" i="85" s="1"/>
  <c r="CJ33" i="122"/>
  <c r="DT31" i="122"/>
  <c r="AW39" i="120"/>
  <c r="BQ11" i="120"/>
  <c r="BP10" i="120"/>
  <c r="BS9" i="120"/>
  <c r="BP9" i="120"/>
  <c r="G104" i="117" l="1"/>
  <c r="E106" i="117"/>
  <c r="M69" i="85"/>
  <c r="H102" i="117"/>
  <c r="C45" i="85"/>
  <c r="M88" i="117"/>
  <c r="M92" i="117" s="1"/>
  <c r="CJ39" i="122"/>
  <c r="DT33" i="122"/>
  <c r="BQ12" i="120"/>
  <c r="BQ13" i="120" s="1"/>
  <c r="BP11" i="120"/>
  <c r="F45" i="85"/>
  <c r="D45" i="85" l="1"/>
  <c r="BQ14" i="120"/>
  <c r="BQ15" i="120" s="1"/>
  <c r="K347" i="80"/>
  <c r="P346" i="80"/>
  <c r="G150" i="80" l="1"/>
  <c r="L12" i="81"/>
  <c r="J150" i="80" l="1"/>
  <c r="I150" i="80"/>
  <c r="L150" i="80" l="1"/>
  <c r="Q335" i="80" l="1"/>
  <c r="O358" i="80" l="1"/>
  <c r="B76" i="83" l="1"/>
  <c r="B74" i="83"/>
  <c r="W37" i="101" s="1"/>
  <c r="W38" i="101" s="1"/>
  <c r="W39" i="101" s="1"/>
  <c r="B80" i="83"/>
  <c r="B77" i="83"/>
  <c r="W37" i="98" s="1"/>
  <c r="B75" i="83"/>
  <c r="B79" i="83"/>
  <c r="B73" i="83"/>
  <c r="V37" i="97" l="1"/>
  <c r="V38" i="97" s="1"/>
  <c r="W52" i="101"/>
  <c r="W51" i="101"/>
  <c r="W53" i="101"/>
  <c r="W50" i="101"/>
  <c r="W54" i="101"/>
  <c r="B72" i="83"/>
  <c r="V37" i="98"/>
  <c r="V37" i="99"/>
  <c r="V37" i="100"/>
  <c r="V37" i="102"/>
  <c r="W37" i="100"/>
  <c r="W38" i="100" s="1"/>
  <c r="W39" i="100" s="1"/>
  <c r="V40" i="93"/>
  <c r="V40" i="95"/>
  <c r="W37" i="102"/>
  <c r="W38" i="102" s="1"/>
  <c r="W39" i="102" s="1"/>
  <c r="V37" i="101"/>
  <c r="W37" i="99"/>
  <c r="W38" i="99" s="1"/>
  <c r="W39" i="99" s="1"/>
  <c r="V38" i="99" l="1"/>
  <c r="V39" i="99" s="1"/>
  <c r="V39" i="97"/>
  <c r="W55" i="101"/>
  <c r="W50" i="99"/>
  <c r="W51" i="99"/>
  <c r="W53" i="99"/>
  <c r="W52" i="99"/>
  <c r="V38" i="98"/>
  <c r="W53" i="100"/>
  <c r="W54" i="100"/>
  <c r="W51" i="100"/>
  <c r="W52" i="100"/>
  <c r="W50" i="100"/>
  <c r="V38" i="102"/>
  <c r="V39" i="102" s="1"/>
  <c r="V38" i="101"/>
  <c r="V39" i="101" s="1"/>
  <c r="V38" i="100"/>
  <c r="V39" i="100" s="1"/>
  <c r="W51" i="102"/>
  <c r="W50" i="102"/>
  <c r="W54" i="102"/>
  <c r="W53" i="102"/>
  <c r="W52" i="102"/>
  <c r="W55" i="100" l="1"/>
  <c r="V50" i="99"/>
  <c r="V52" i="99"/>
  <c r="V51" i="99"/>
  <c r="V53" i="99"/>
  <c r="W55" i="99"/>
  <c r="V51" i="97"/>
  <c r="V50" i="97"/>
  <c r="V52" i="97"/>
  <c r="V54" i="97"/>
  <c r="V53" i="97"/>
  <c r="V54" i="101"/>
  <c r="V50" i="101"/>
  <c r="V52" i="101"/>
  <c r="V53" i="101"/>
  <c r="V51" i="101"/>
  <c r="V53" i="100"/>
  <c r="V50" i="100"/>
  <c r="V54" i="100"/>
  <c r="V52" i="100"/>
  <c r="V51" i="100"/>
  <c r="V39" i="98"/>
  <c r="W55" i="102"/>
  <c r="V53" i="102"/>
  <c r="V50" i="102"/>
  <c r="V54" i="102"/>
  <c r="V51" i="102"/>
  <c r="V52" i="102"/>
  <c r="V55" i="99" l="1"/>
  <c r="V52" i="98"/>
  <c r="V51" i="98"/>
  <c r="V53" i="98"/>
  <c r="V50" i="98"/>
  <c r="V54" i="98"/>
  <c r="V55" i="101"/>
  <c r="V55" i="100"/>
  <c r="V55" i="102"/>
  <c r="V55" i="97"/>
  <c r="V55" i="98" l="1"/>
  <c r="K380" i="80" l="1"/>
  <c r="O343" i="80" l="1"/>
  <c r="O338" i="80"/>
  <c r="P348" i="80"/>
  <c r="Q343" i="80" l="1"/>
  <c r="Q344" i="80" s="1"/>
  <c r="M345" i="80" l="1"/>
  <c r="G168" i="118" l="1"/>
  <c r="G170" i="118" s="1"/>
  <c r="H203" i="74" l="1"/>
  <c r="F31" i="59" l="1"/>
  <c r="F30" i="117" l="1"/>
  <c r="F30" i="111"/>
  <c r="F30" i="60"/>
  <c r="F31" i="57"/>
  <c r="F32" i="56"/>
  <c r="F31" i="58"/>
  <c r="F31" i="92" l="1"/>
  <c r="F32" i="58" l="1"/>
  <c r="F32" i="92"/>
  <c r="F32" i="59"/>
  <c r="F30" i="59"/>
  <c r="F30" i="57"/>
  <c r="F30" i="92"/>
  <c r="F30" i="58"/>
  <c r="F32" i="57"/>
  <c r="F31" i="56"/>
  <c r="F33" i="56"/>
  <c r="F29" i="117" l="1"/>
  <c r="F29" i="111"/>
  <c r="F29" i="60"/>
  <c r="F31" i="117"/>
  <c r="F31" i="60"/>
  <c r="F31" i="111"/>
  <c r="F30" i="56"/>
  <c r="F33" i="59"/>
  <c r="F29" i="59"/>
  <c r="F33" i="57"/>
  <c r="F33" i="58"/>
  <c r="F34" i="56"/>
  <c r="F29" i="57"/>
  <c r="F29" i="58"/>
  <c r="F29" i="92"/>
  <c r="F33" i="92"/>
  <c r="F32" i="60" l="1"/>
  <c r="F32" i="111"/>
  <c r="F32" i="117"/>
  <c r="F28" i="117"/>
  <c r="F28" i="60"/>
  <c r="F28" i="111"/>
  <c r="F29" i="56"/>
  <c r="F34" i="59"/>
  <c r="F28" i="59"/>
  <c r="F34" i="58"/>
  <c r="F28" i="57"/>
  <c r="F35" i="56"/>
  <c r="F34" i="57"/>
  <c r="F28" i="58"/>
  <c r="F34" i="92"/>
  <c r="F28" i="92"/>
  <c r="F33" i="60" l="1"/>
  <c r="F33" i="111"/>
  <c r="F33" i="117"/>
  <c r="F27" i="60"/>
  <c r="F27" i="117"/>
  <c r="F27" i="111"/>
  <c r="F27" i="59"/>
  <c r="F35" i="59"/>
  <c r="F27" i="57"/>
  <c r="F35" i="57"/>
  <c r="F35" i="58"/>
  <c r="F36" i="56"/>
  <c r="F28" i="56"/>
  <c r="F27" i="58"/>
  <c r="F27" i="92"/>
  <c r="F35" i="92"/>
  <c r="F34" i="117" l="1"/>
  <c r="F34" i="111"/>
  <c r="F34" i="60"/>
  <c r="F26" i="60"/>
  <c r="F26" i="117"/>
  <c r="F26" i="111"/>
  <c r="F36" i="59"/>
  <c r="F26" i="57"/>
  <c r="F36" i="58"/>
  <c r="F36" i="57"/>
  <c r="F37" i="56"/>
  <c r="F27" i="56"/>
  <c r="F26" i="58"/>
  <c r="F36" i="92"/>
  <c r="F26" i="92"/>
  <c r="F37" i="59" l="1"/>
  <c r="F26" i="59"/>
  <c r="F25" i="117"/>
  <c r="F25" i="60"/>
  <c r="F25" i="111"/>
  <c r="F35" i="117"/>
  <c r="F35" i="111"/>
  <c r="F35" i="60"/>
  <c r="F25" i="59"/>
  <c r="F25" i="57"/>
  <c r="F37" i="58"/>
  <c r="F38" i="56"/>
  <c r="F38" i="59"/>
  <c r="F37" i="57"/>
  <c r="F24" i="59"/>
  <c r="F25" i="92"/>
  <c r="F25" i="58"/>
  <c r="F26" i="56"/>
  <c r="F37" i="92"/>
  <c r="F24" i="117" l="1"/>
  <c r="F24" i="60"/>
  <c r="F24" i="111"/>
  <c r="F36" i="117"/>
  <c r="F36" i="111"/>
  <c r="F36" i="60"/>
  <c r="F38" i="58"/>
  <c r="F39" i="59"/>
  <c r="F38" i="57"/>
  <c r="F24" i="92"/>
  <c r="F23" i="59"/>
  <c r="F38" i="92"/>
  <c r="F24" i="58"/>
  <c r="F25" i="56"/>
  <c r="F37" i="111" l="1"/>
  <c r="F37" i="117"/>
  <c r="F37" i="60"/>
  <c r="F23" i="57"/>
  <c r="F24" i="57"/>
  <c r="F23" i="60"/>
  <c r="F23" i="117"/>
  <c r="F23" i="111"/>
  <c r="F40" i="56"/>
  <c r="F39" i="56"/>
  <c r="F39" i="58"/>
  <c r="F40" i="59"/>
  <c r="F39" i="57"/>
  <c r="F22" i="59"/>
  <c r="F23" i="58"/>
  <c r="F22" i="57"/>
  <c r="F24" i="56"/>
  <c r="F39" i="92"/>
  <c r="F23" i="92"/>
  <c r="C26" i="85" l="1"/>
  <c r="C27" i="85"/>
  <c r="F38" i="117"/>
  <c r="F38" i="60"/>
  <c r="F38" i="111"/>
  <c r="F22" i="117"/>
  <c r="F22" i="111"/>
  <c r="F22" i="60"/>
  <c r="F40" i="58"/>
  <c r="F40" i="57"/>
  <c r="F21" i="59"/>
  <c r="F23" i="56"/>
  <c r="F21" i="57"/>
  <c r="F40" i="92"/>
  <c r="C31" i="85" l="1"/>
  <c r="F21" i="58"/>
  <c r="F22" i="58"/>
  <c r="F39" i="111"/>
  <c r="F39" i="117"/>
  <c r="F39" i="60"/>
  <c r="F21" i="92"/>
  <c r="F22" i="92"/>
  <c r="F21" i="117"/>
  <c r="F21" i="60"/>
  <c r="F21" i="111"/>
  <c r="C29" i="85"/>
  <c r="C28" i="85"/>
  <c r="F20" i="57"/>
  <c r="F22" i="56"/>
  <c r="F20" i="59"/>
  <c r="H28" i="85" l="1"/>
  <c r="F40" i="60"/>
  <c r="F40" i="117"/>
  <c r="F40" i="111"/>
  <c r="F20" i="60"/>
  <c r="F20" i="111"/>
  <c r="F20" i="117"/>
  <c r="F20" i="92"/>
  <c r="F20" i="58"/>
  <c r="F19" i="57"/>
  <c r="F19" i="59"/>
  <c r="F21" i="56"/>
  <c r="C32" i="85" l="1"/>
  <c r="C30" i="85"/>
  <c r="F19" i="117"/>
  <c r="F19" i="111"/>
  <c r="F19" i="60"/>
  <c r="C33" i="85"/>
  <c r="F19" i="58"/>
  <c r="F18" i="59"/>
  <c r="F20" i="56"/>
  <c r="F19" i="92"/>
  <c r="F18" i="57"/>
  <c r="C34" i="85" l="1"/>
  <c r="F18" i="111"/>
  <c r="F18" i="117"/>
  <c r="F18" i="60"/>
  <c r="F17" i="59"/>
  <c r="F18" i="92"/>
  <c r="F17" i="57"/>
  <c r="F18" i="58"/>
  <c r="F19" i="56"/>
  <c r="G34" i="85" l="1"/>
  <c r="F17" i="111"/>
  <c r="F17" i="60"/>
  <c r="F17" i="117"/>
  <c r="F17" i="92"/>
  <c r="F18" i="56"/>
  <c r="F16" i="57"/>
  <c r="F17" i="58"/>
  <c r="F16" i="59"/>
  <c r="F16" i="60" l="1"/>
  <c r="F16" i="117"/>
  <c r="F16" i="111"/>
  <c r="F16" i="92"/>
  <c r="F17" i="56"/>
  <c r="F15" i="57"/>
  <c r="F16" i="58"/>
  <c r="F15" i="59"/>
  <c r="F15" i="111" l="1"/>
  <c r="F15" i="117"/>
  <c r="F15" i="60"/>
  <c r="F15" i="58"/>
  <c r="F14" i="57"/>
  <c r="F15" i="92"/>
  <c r="F14" i="59"/>
  <c r="F16" i="56"/>
  <c r="H151" i="56" l="1"/>
  <c r="B151" i="56"/>
  <c r="F14" i="60"/>
  <c r="F14" i="117"/>
  <c r="F14" i="111"/>
  <c r="F14" i="58"/>
  <c r="F14" i="92"/>
  <c r="F15" i="56"/>
  <c r="F13" i="59"/>
  <c r="F13" i="57"/>
  <c r="F42" i="117" l="1"/>
  <c r="F92" i="117" s="1"/>
  <c r="C17" i="85"/>
  <c r="F42" i="58"/>
  <c r="F50" i="58" s="1"/>
  <c r="H152" i="56"/>
  <c r="F13" i="111"/>
  <c r="F13" i="117"/>
  <c r="F13" i="60"/>
  <c r="B152" i="56"/>
  <c r="L151" i="56"/>
  <c r="N151" i="56" s="1"/>
  <c r="E151" i="56"/>
  <c r="F42" i="60"/>
  <c r="F88" i="60" s="1"/>
  <c r="H153" i="56"/>
  <c r="B153" i="56"/>
  <c r="H154" i="56"/>
  <c r="B154" i="56"/>
  <c r="F45" i="92"/>
  <c r="C19" i="85"/>
  <c r="F42" i="111"/>
  <c r="F88" i="111" s="1"/>
  <c r="F12" i="57"/>
  <c r="F12" i="59"/>
  <c r="F14" i="56"/>
  <c r="E152" i="56" l="1"/>
  <c r="L152" i="56"/>
  <c r="N152" i="56" s="1"/>
  <c r="H150" i="56"/>
  <c r="B150" i="56"/>
  <c r="L153" i="56"/>
  <c r="N153" i="56" s="1"/>
  <c r="E153" i="56"/>
  <c r="L154" i="56"/>
  <c r="N154" i="56" s="1"/>
  <c r="E154" i="56"/>
  <c r="F12" i="111"/>
  <c r="F12" i="60"/>
  <c r="F12" i="117"/>
  <c r="F13" i="56"/>
  <c r="F11" i="59"/>
  <c r="F11" i="57"/>
  <c r="H155" i="56" l="1"/>
  <c r="F11" i="60"/>
  <c r="F11" i="117"/>
  <c r="F11" i="111"/>
  <c r="E150" i="56"/>
  <c r="L150" i="56"/>
  <c r="N150" i="56" s="1"/>
  <c r="B155" i="56"/>
  <c r="F12" i="56"/>
  <c r="F10" i="59"/>
  <c r="F10" i="57"/>
  <c r="C16" i="85" l="1"/>
  <c r="F42" i="57"/>
  <c r="F61" i="57" s="1"/>
  <c r="F42" i="59"/>
  <c r="F50" i="59" s="1"/>
  <c r="C15" i="85"/>
  <c r="F10" i="117"/>
  <c r="F10" i="111"/>
  <c r="F10" i="60"/>
  <c r="E155" i="56"/>
  <c r="L155" i="56"/>
  <c r="N155" i="56" s="1"/>
  <c r="B165" i="56"/>
  <c r="F11" i="56"/>
  <c r="C20" i="85" l="1"/>
  <c r="C18" i="85"/>
  <c r="C21" i="85"/>
  <c r="F10" i="56"/>
  <c r="F45" i="56" l="1"/>
  <c r="C14" i="85"/>
  <c r="C22" i="85" l="1"/>
  <c r="F36" i="93" l="1"/>
  <c r="F39" i="93" s="1"/>
  <c r="B17" i="81" l="1"/>
  <c r="B32" i="81" s="1"/>
  <c r="H122" i="80"/>
  <c r="H140" i="80" s="1"/>
  <c r="B34" i="81" l="1"/>
  <c r="G190" i="80"/>
  <c r="G208" i="80" s="1"/>
  <c r="G122" i="80" l="1"/>
  <c r="G140" i="80" s="1"/>
  <c r="I110" i="80"/>
  <c r="I122" i="80" s="1"/>
  <c r="I140" i="80" s="1"/>
  <c r="I142" i="80" s="1"/>
  <c r="I178" i="80"/>
  <c r="I190" i="80" s="1"/>
  <c r="I208" i="80" s="1"/>
  <c r="H190" i="80"/>
  <c r="AW24" i="88" l="1"/>
  <c r="AW22" i="88"/>
  <c r="D199" i="80" l="1"/>
  <c r="J199" i="80"/>
  <c r="L199" i="80" s="1"/>
  <c r="J197" i="80" l="1"/>
  <c r="L197" i="80" s="1"/>
  <c r="D197" i="80"/>
  <c r="BA67" i="83" l="1"/>
  <c r="AP40" i="88" l="1"/>
  <c r="AQ40" i="88"/>
  <c r="E330" i="80" l="1"/>
  <c r="E335" i="80" l="1"/>
  <c r="G28" i="111" l="1"/>
  <c r="H27" i="111"/>
  <c r="M27" i="111" l="1"/>
  <c r="G29" i="111"/>
  <c r="H28" i="111"/>
  <c r="M28" i="111" s="1"/>
  <c r="G30" i="111" l="1"/>
  <c r="H29" i="111"/>
  <c r="M29" i="111" l="1"/>
  <c r="G31" i="111"/>
  <c r="H30" i="111"/>
  <c r="M30" i="111" l="1"/>
  <c r="H31" i="111"/>
  <c r="M31" i="111" s="1"/>
  <c r="G32" i="111"/>
  <c r="G33" i="111" l="1"/>
  <c r="H32" i="111"/>
  <c r="M32" i="111" l="1"/>
  <c r="G34" i="111"/>
  <c r="H33" i="111"/>
  <c r="M33" i="111" l="1"/>
  <c r="H34" i="111"/>
  <c r="M34" i="111" s="1"/>
  <c r="G35" i="111"/>
  <c r="G36" i="111" l="1"/>
  <c r="H35" i="111"/>
  <c r="M35" i="111" s="1"/>
  <c r="G37" i="111" l="1"/>
  <c r="H36" i="111"/>
  <c r="M36" i="111" s="1"/>
  <c r="G38" i="111" l="1"/>
  <c r="H37" i="111"/>
  <c r="M37" i="111" s="1"/>
  <c r="G39" i="111" l="1"/>
  <c r="H38" i="111"/>
  <c r="M38" i="111" s="1"/>
  <c r="G40" i="111" l="1"/>
  <c r="H40" i="111" s="1"/>
  <c r="H39" i="111"/>
  <c r="M39" i="111" s="1"/>
  <c r="M40" i="111" l="1"/>
  <c r="E32" i="85"/>
  <c r="D32" i="85" l="1"/>
  <c r="G28" i="56" l="1"/>
  <c r="H27" i="56"/>
  <c r="O27" i="56" l="1"/>
  <c r="M27" i="56"/>
  <c r="N27" i="56"/>
  <c r="G29" i="56"/>
  <c r="H28" i="56"/>
  <c r="H27" i="57" l="1"/>
  <c r="G28" i="57"/>
  <c r="H27" i="59"/>
  <c r="G28" i="59"/>
  <c r="N28" i="56"/>
  <c r="O28" i="56"/>
  <c r="M28" i="56"/>
  <c r="H29" i="56"/>
  <c r="G30" i="56"/>
  <c r="H27" i="58"/>
  <c r="G28" i="58"/>
  <c r="H28" i="58" l="1"/>
  <c r="M28" i="58" s="1"/>
  <c r="G29" i="58"/>
  <c r="H28" i="59"/>
  <c r="M28" i="59" s="1"/>
  <c r="G29" i="59"/>
  <c r="M27" i="58"/>
  <c r="G31" i="56"/>
  <c r="G45" i="56"/>
  <c r="H30" i="56"/>
  <c r="M27" i="59"/>
  <c r="G29" i="57"/>
  <c r="H28" i="57"/>
  <c r="M28" i="57" s="1"/>
  <c r="O29" i="56"/>
  <c r="M29" i="56"/>
  <c r="N29" i="56"/>
  <c r="M27" i="57"/>
  <c r="G30" i="57" l="1"/>
  <c r="H29" i="57"/>
  <c r="G30" i="58"/>
  <c r="H29" i="58"/>
  <c r="H27" i="117"/>
  <c r="G28" i="117"/>
  <c r="N30" i="56"/>
  <c r="O30" i="56"/>
  <c r="M30" i="56"/>
  <c r="G32" i="56"/>
  <c r="H31" i="56"/>
  <c r="H27" i="60"/>
  <c r="G28" i="60"/>
  <c r="G30" i="59"/>
  <c r="H29" i="59"/>
  <c r="G28" i="92"/>
  <c r="H27" i="92"/>
  <c r="G31" i="59" l="1"/>
  <c r="H30" i="59"/>
  <c r="H30" i="58"/>
  <c r="M30" i="58" s="1"/>
  <c r="G31" i="58"/>
  <c r="M29" i="59"/>
  <c r="M29" i="58"/>
  <c r="G29" i="60"/>
  <c r="H28" i="60"/>
  <c r="M28" i="60" s="1"/>
  <c r="M29" i="57"/>
  <c r="M31" i="56"/>
  <c r="O31" i="56"/>
  <c r="N31" i="56"/>
  <c r="G33" i="56"/>
  <c r="H32" i="56"/>
  <c r="H28" i="117"/>
  <c r="G29" i="117"/>
  <c r="M27" i="92"/>
  <c r="G29" i="92"/>
  <c r="H28" i="92"/>
  <c r="M28" i="92" s="1"/>
  <c r="M27" i="60"/>
  <c r="G31" i="57"/>
  <c r="H30" i="57"/>
  <c r="M32" i="56" l="1"/>
  <c r="N32" i="56"/>
  <c r="O32" i="56"/>
  <c r="G32" i="58"/>
  <c r="H31" i="58"/>
  <c r="H29" i="92"/>
  <c r="G30" i="92"/>
  <c r="G30" i="60"/>
  <c r="H29" i="60"/>
  <c r="M29" i="60" s="1"/>
  <c r="M30" i="59"/>
  <c r="M30" i="57"/>
  <c r="G32" i="59"/>
  <c r="H31" i="59"/>
  <c r="G32" i="57"/>
  <c r="H31" i="57"/>
  <c r="G34" i="56"/>
  <c r="H33" i="56"/>
  <c r="G30" i="117"/>
  <c r="H29" i="117"/>
  <c r="H32" i="58" l="1"/>
  <c r="M32" i="58" s="1"/>
  <c r="G33" i="58"/>
  <c r="M31" i="58"/>
  <c r="M29" i="92"/>
  <c r="G31" i="117"/>
  <c r="H30" i="117"/>
  <c r="H30" i="92"/>
  <c r="M30" i="92" s="1"/>
  <c r="G31" i="92"/>
  <c r="G45" i="92"/>
  <c r="G33" i="57"/>
  <c r="H32" i="57"/>
  <c r="G35" i="56"/>
  <c r="H34" i="56"/>
  <c r="M31" i="59"/>
  <c r="H32" i="59"/>
  <c r="M32" i="59" s="1"/>
  <c r="G33" i="59"/>
  <c r="N33" i="56"/>
  <c r="M33" i="56"/>
  <c r="M31" i="57"/>
  <c r="G31" i="60"/>
  <c r="H30" i="60"/>
  <c r="H33" i="59" l="1"/>
  <c r="M33" i="59" s="1"/>
  <c r="G34" i="59"/>
  <c r="N34" i="56"/>
  <c r="M34" i="56"/>
  <c r="H31" i="117"/>
  <c r="G32" i="117"/>
  <c r="H33" i="58"/>
  <c r="G34" i="58"/>
  <c r="M32" i="57"/>
  <c r="G34" i="57"/>
  <c r="H33" i="57"/>
  <c r="M33" i="57" s="1"/>
  <c r="G32" i="92"/>
  <c r="H31" i="92"/>
  <c r="M30" i="60"/>
  <c r="H31" i="60"/>
  <c r="M31" i="60" s="1"/>
  <c r="G32" i="60"/>
  <c r="H35" i="56"/>
  <c r="G36" i="56"/>
  <c r="G35" i="59" l="1"/>
  <c r="H34" i="59"/>
  <c r="M34" i="59" s="1"/>
  <c r="M31" i="92"/>
  <c r="G33" i="117"/>
  <c r="H32" i="117"/>
  <c r="N35" i="56"/>
  <c r="M35" i="56"/>
  <c r="M33" i="58"/>
  <c r="G33" i="92"/>
  <c r="H32" i="92"/>
  <c r="M32" i="92" s="1"/>
  <c r="H36" i="56"/>
  <c r="M36" i="56" s="1"/>
  <c r="G37" i="56"/>
  <c r="G35" i="58"/>
  <c r="H34" i="58"/>
  <c r="M34" i="58" s="1"/>
  <c r="H32" i="60"/>
  <c r="G33" i="60"/>
  <c r="H34" i="57"/>
  <c r="M34" i="57" s="1"/>
  <c r="G35" i="57"/>
  <c r="G38" i="56" l="1"/>
  <c r="H37" i="56"/>
  <c r="M37" i="56" s="1"/>
  <c r="H35" i="58"/>
  <c r="G36" i="58"/>
  <c r="H33" i="92"/>
  <c r="G34" i="92"/>
  <c r="G34" i="60"/>
  <c r="H33" i="60"/>
  <c r="M33" i="60" s="1"/>
  <c r="G34" i="117"/>
  <c r="H33" i="117"/>
  <c r="G36" i="59"/>
  <c r="H35" i="59"/>
  <c r="M35" i="59" s="1"/>
  <c r="M32" i="60"/>
  <c r="G36" i="57"/>
  <c r="H35" i="57"/>
  <c r="M35" i="57" s="1"/>
  <c r="G35" i="92" l="1"/>
  <c r="H34" i="92"/>
  <c r="M35" i="58"/>
  <c r="G35" i="60"/>
  <c r="H34" i="60"/>
  <c r="M34" i="60" s="1"/>
  <c r="M33" i="92"/>
  <c r="H36" i="59"/>
  <c r="M36" i="59" s="1"/>
  <c r="G37" i="59"/>
  <c r="H36" i="58"/>
  <c r="G37" i="58"/>
  <c r="G35" i="117"/>
  <c r="H34" i="117"/>
  <c r="H36" i="57"/>
  <c r="M36" i="57" s="1"/>
  <c r="G37" i="57"/>
  <c r="G39" i="56"/>
  <c r="H38" i="56"/>
  <c r="M38" i="56" s="1"/>
  <c r="G36" i="60" l="1"/>
  <c r="H35" i="60"/>
  <c r="M35" i="60" s="1"/>
  <c r="G40" i="56"/>
  <c r="H40" i="56" s="1"/>
  <c r="H39" i="56"/>
  <c r="M39" i="56" s="1"/>
  <c r="H37" i="58"/>
  <c r="G38" i="58"/>
  <c r="M34" i="117"/>
  <c r="G38" i="59"/>
  <c r="H37" i="59"/>
  <c r="M37" i="59" s="1"/>
  <c r="H37" i="57"/>
  <c r="M37" i="57" s="1"/>
  <c r="G38" i="57"/>
  <c r="H35" i="117"/>
  <c r="M35" i="117" s="1"/>
  <c r="G36" i="117"/>
  <c r="M34" i="92"/>
  <c r="H35" i="92"/>
  <c r="G36" i="92"/>
  <c r="G37" i="117" l="1"/>
  <c r="H36" i="117"/>
  <c r="M36" i="117" s="1"/>
  <c r="G39" i="58"/>
  <c r="H38" i="58"/>
  <c r="G37" i="92"/>
  <c r="H36" i="92"/>
  <c r="M36" i="92" s="1"/>
  <c r="H38" i="57"/>
  <c r="M38" i="57" s="1"/>
  <c r="G39" i="57"/>
  <c r="M35" i="92"/>
  <c r="H38" i="59"/>
  <c r="M38" i="59" s="1"/>
  <c r="G39" i="59"/>
  <c r="M40" i="56"/>
  <c r="E26" i="85"/>
  <c r="G37" i="60"/>
  <c r="H36" i="60"/>
  <c r="M36" i="60" s="1"/>
  <c r="G40" i="57" l="1"/>
  <c r="H40" i="57" s="1"/>
  <c r="H39" i="57"/>
  <c r="M39" i="57" s="1"/>
  <c r="H37" i="92"/>
  <c r="M37" i="92" s="1"/>
  <c r="G38" i="92"/>
  <c r="G40" i="58"/>
  <c r="H40" i="58" s="1"/>
  <c r="H39" i="58"/>
  <c r="G40" i="59"/>
  <c r="H40" i="59" s="1"/>
  <c r="H39" i="59"/>
  <c r="M39" i="59" s="1"/>
  <c r="H37" i="60"/>
  <c r="M37" i="60" s="1"/>
  <c r="G38" i="60"/>
  <c r="D26" i="85"/>
  <c r="H37" i="117"/>
  <c r="M37" i="117" s="1"/>
  <c r="G38" i="117"/>
  <c r="E29" i="85" l="1"/>
  <c r="M40" i="59"/>
  <c r="E27" i="85"/>
  <c r="G39" i="117"/>
  <c r="H38" i="117"/>
  <c r="M38" i="117" s="1"/>
  <c r="G39" i="60"/>
  <c r="H38" i="60"/>
  <c r="M38" i="60" s="1"/>
  <c r="H38" i="92"/>
  <c r="M38" i="92" s="1"/>
  <c r="G39" i="92"/>
  <c r="M40" i="57"/>
  <c r="E28" i="85"/>
  <c r="D29" i="85" l="1"/>
  <c r="G40" i="60"/>
  <c r="H40" i="60" s="1"/>
  <c r="H39" i="60"/>
  <c r="M39" i="60" s="1"/>
  <c r="D28" i="85"/>
  <c r="I28" i="85"/>
  <c r="G40" i="117"/>
  <c r="H40" i="117" s="1"/>
  <c r="H39" i="117"/>
  <c r="M39" i="117" s="1"/>
  <c r="D27" i="85"/>
  <c r="H39" i="92"/>
  <c r="M39" i="92" s="1"/>
  <c r="G40" i="92"/>
  <c r="G28" i="85" l="1"/>
  <c r="H84" i="85"/>
  <c r="M40" i="60"/>
  <c r="E30" i="85"/>
  <c r="G41" i="92"/>
  <c r="H40" i="92"/>
  <c r="M40" i="117"/>
  <c r="E33" i="85"/>
  <c r="D33" i="85" l="1"/>
  <c r="D30" i="85"/>
  <c r="M40" i="92"/>
  <c r="E31" i="85"/>
  <c r="G42" i="92"/>
  <c r="H41" i="92"/>
  <c r="H42" i="92" l="1"/>
  <c r="M42" i="92" s="1"/>
  <c r="G43" i="92"/>
  <c r="M41" i="92"/>
  <c r="E34" i="85"/>
  <c r="D31" i="85"/>
  <c r="G44" i="92" l="1"/>
  <c r="H44" i="92" s="1"/>
  <c r="H43" i="92"/>
  <c r="D34" i="85"/>
  <c r="H34" i="85"/>
  <c r="M44" i="92" l="1"/>
  <c r="G310" i="80"/>
  <c r="M43" i="92"/>
  <c r="I162" i="56"/>
  <c r="J162" i="56" l="1"/>
  <c r="I163" i="56"/>
  <c r="J163" i="56" s="1"/>
  <c r="R349" i="80" l="1"/>
  <c r="AJ84" i="83" l="1"/>
  <c r="AN61" i="83"/>
  <c r="AI92" i="83"/>
  <c r="AJ91" i="83"/>
  <c r="AK90" i="83"/>
  <c r="AL88" i="83"/>
  <c r="AM87" i="83"/>
  <c r="AN86" i="83"/>
  <c r="AO85" i="83"/>
  <c r="AP92" i="83"/>
  <c r="AH92" i="83"/>
  <c r="AI91" i="83"/>
  <c r="AJ90" i="83"/>
  <c r="AK88" i="83"/>
  <c r="AL87" i="83"/>
  <c r="AM86" i="83"/>
  <c r="AN85" i="83"/>
  <c r="AJ87" i="83"/>
  <c r="AL61" i="83"/>
  <c r="AO92" i="83"/>
  <c r="AP91" i="83"/>
  <c r="AH91" i="83"/>
  <c r="AI90" i="83"/>
  <c r="AK87" i="83"/>
  <c r="AL86" i="83"/>
  <c r="AM85" i="83"/>
  <c r="AN72" i="83"/>
  <c r="AN84" i="83"/>
  <c r="AK61" i="83"/>
  <c r="AN92" i="83"/>
  <c r="AO91" i="83"/>
  <c r="AP90" i="83"/>
  <c r="AH90" i="83"/>
  <c r="AI88" i="83"/>
  <c r="AK86" i="83"/>
  <c r="AL85" i="83"/>
  <c r="AM72" i="83"/>
  <c r="AM84" i="83"/>
  <c r="AH72" i="83"/>
  <c r="AH84" i="83"/>
  <c r="AJ88" i="83"/>
  <c r="AJ61" i="83"/>
  <c r="AM92" i="83"/>
  <c r="AN91" i="83"/>
  <c r="AO90" i="83"/>
  <c r="AP88" i="83"/>
  <c r="AH88" i="83"/>
  <c r="AI87" i="83"/>
  <c r="AJ86" i="83"/>
  <c r="AK85" i="83"/>
  <c r="AL72" i="83"/>
  <c r="AL84" i="83"/>
  <c r="AO72" i="83"/>
  <c r="AO84" i="83"/>
  <c r="AI61" i="83"/>
  <c r="AL92" i="83"/>
  <c r="AM91" i="83"/>
  <c r="AN90" i="83"/>
  <c r="AO88" i="83"/>
  <c r="AP87" i="83"/>
  <c r="AH87" i="83"/>
  <c r="AI86" i="83"/>
  <c r="AJ85" i="83"/>
  <c r="AK72" i="83"/>
  <c r="AK84" i="83"/>
  <c r="AM61" i="83"/>
  <c r="AP61" i="83"/>
  <c r="AH61" i="83"/>
  <c r="AK92" i="83"/>
  <c r="AL91" i="83"/>
  <c r="AM90" i="83"/>
  <c r="AN88" i="83"/>
  <c r="AO87" i="83"/>
  <c r="AP86" i="83"/>
  <c r="AH86" i="83"/>
  <c r="AI85" i="83"/>
  <c r="AJ72" i="83"/>
  <c r="AP72" i="83"/>
  <c r="AP84" i="83"/>
  <c r="AO61" i="83"/>
  <c r="AJ92" i="83"/>
  <c r="AK91" i="83"/>
  <c r="AL90" i="83"/>
  <c r="AM88" i="83"/>
  <c r="AN87" i="83"/>
  <c r="AO86" i="83"/>
  <c r="AP85" i="83"/>
  <c r="AH85" i="83"/>
  <c r="AI72" i="83"/>
  <c r="AI84" i="83"/>
  <c r="AH83" i="83" l="1"/>
  <c r="AI83" i="83"/>
  <c r="AI82" i="83"/>
  <c r="AH82" i="83"/>
  <c r="AJ83" i="83"/>
  <c r="AJ82" i="83"/>
  <c r="AK83" i="83"/>
  <c r="AK82" i="83"/>
  <c r="AP83" i="83"/>
  <c r="AP82" i="83"/>
  <c r="AO82" i="83"/>
  <c r="AO83" i="83"/>
  <c r="AM83" i="83"/>
  <c r="AM82" i="83"/>
  <c r="AL83" i="83"/>
  <c r="AL82" i="83"/>
  <c r="AN82" i="83"/>
  <c r="AN83" i="83"/>
  <c r="AD72" i="83" l="1"/>
  <c r="AA72" i="83"/>
  <c r="AC72" i="83"/>
  <c r="AA87" i="83" l="1"/>
  <c r="AC90" i="83"/>
  <c r="AD86" i="83"/>
  <c r="AD90" i="83"/>
  <c r="AA90" i="83"/>
  <c r="AC86" i="83"/>
  <c r="AA91" i="83"/>
  <c r="AD92" i="83"/>
  <c r="AD88" i="83"/>
  <c r="AA86" i="83"/>
  <c r="AA92" i="83"/>
  <c r="AC88" i="83"/>
  <c r="AD85" i="83"/>
  <c r="AD91" i="83"/>
  <c r="AA88" i="83"/>
  <c r="AC85" i="83"/>
  <c r="AC87" i="83"/>
  <c r="AC92" i="83"/>
  <c r="AC91" i="83"/>
  <c r="AD87" i="83"/>
  <c r="AA85" i="83"/>
  <c r="AC61" i="83"/>
  <c r="AC84" i="83"/>
  <c r="AA61" i="83"/>
  <c r="AA84" i="83"/>
  <c r="AD61" i="83"/>
  <c r="AD84" i="83"/>
  <c r="AD83" i="83" l="1"/>
  <c r="AD82" i="83"/>
  <c r="AA82" i="83"/>
  <c r="AA83" i="83"/>
  <c r="AC83" i="83"/>
  <c r="AC82" i="83"/>
  <c r="AQ72" i="83" l="1"/>
  <c r="AQ83" i="83" s="1"/>
  <c r="AQ91" i="83"/>
  <c r="J61" i="83" l="1"/>
  <c r="F61" i="83"/>
  <c r="AF61" i="83"/>
  <c r="P61" i="83"/>
  <c r="H61" i="83" l="1"/>
  <c r="G61" i="83"/>
  <c r="L61" i="83"/>
  <c r="W61" i="83"/>
  <c r="AY63" i="83" l="1"/>
  <c r="Y61" i="83"/>
  <c r="AY69" i="83"/>
  <c r="AG61" i="83" l="1"/>
  <c r="I61" i="83"/>
  <c r="AB61" i="83"/>
  <c r="AY65" i="83"/>
  <c r="Q61" i="83"/>
  <c r="BA69" i="83"/>
  <c r="R61" i="83"/>
  <c r="D61" i="83"/>
  <c r="N61" i="83"/>
  <c r="O61" i="83"/>
  <c r="X61" i="83"/>
  <c r="Z61" i="83"/>
  <c r="E61" i="83"/>
  <c r="AY68" i="83"/>
  <c r="K61" i="83"/>
  <c r="M61" i="83"/>
  <c r="BA63" i="83"/>
  <c r="AY64" i="83"/>
  <c r="AE61" i="83"/>
  <c r="AY70" i="83"/>
  <c r="C61" i="83"/>
  <c r="AY62" i="83"/>
  <c r="AY66" i="83"/>
  <c r="BA70" i="83" l="1"/>
  <c r="BA65" i="83"/>
  <c r="BA68" i="83"/>
  <c r="AY61" i="83"/>
  <c r="BA62" i="83"/>
  <c r="BA64" i="83"/>
  <c r="BA66" i="83"/>
  <c r="BA61" i="83" l="1"/>
  <c r="BC61" i="83"/>
  <c r="D92" i="83" l="1"/>
  <c r="D91" i="83"/>
  <c r="AB37" i="98" l="1"/>
  <c r="AC37" i="98"/>
  <c r="AA37" i="98"/>
  <c r="D88" i="83"/>
  <c r="Z37" i="98"/>
  <c r="AB37" i="100"/>
  <c r="AB38" i="100" s="1"/>
  <c r="AB39" i="100" s="1"/>
  <c r="D90" i="83"/>
  <c r="AC37" i="100"/>
  <c r="AC38" i="100" s="1"/>
  <c r="AC39" i="100" s="1"/>
  <c r="AA37" i="100"/>
  <c r="AA38" i="100" s="1"/>
  <c r="AA39" i="100" s="1"/>
  <c r="Z37" i="100"/>
  <c r="Z38" i="100" s="1"/>
  <c r="Z39" i="100" s="1"/>
  <c r="AA37" i="101"/>
  <c r="AA38" i="101" s="1"/>
  <c r="AA39" i="101" s="1"/>
  <c r="D85" i="83"/>
  <c r="Z37" i="101"/>
  <c r="Z38" i="101" s="1"/>
  <c r="Z39" i="101" s="1"/>
  <c r="AB37" i="101"/>
  <c r="AB38" i="101" s="1"/>
  <c r="AB39" i="101" s="1"/>
  <c r="AC37" i="101"/>
  <c r="AC38" i="101" s="1"/>
  <c r="AC39" i="101" s="1"/>
  <c r="AA37" i="99"/>
  <c r="AA38" i="99" s="1"/>
  <c r="AA39" i="99" s="1"/>
  <c r="AB37" i="99"/>
  <c r="AB38" i="99" s="1"/>
  <c r="AB39" i="99" s="1"/>
  <c r="AC37" i="99"/>
  <c r="AC38" i="99" s="1"/>
  <c r="AC39" i="99" s="1"/>
  <c r="Z37" i="99"/>
  <c r="Z38" i="99" s="1"/>
  <c r="Z39" i="99" s="1"/>
  <c r="D86" i="83"/>
  <c r="AB37" i="102"/>
  <c r="AB38" i="102" s="1"/>
  <c r="AB39" i="102" s="1"/>
  <c r="AA37" i="102"/>
  <c r="AA38" i="102" s="1"/>
  <c r="AA39" i="102" s="1"/>
  <c r="AC37" i="102"/>
  <c r="AC38" i="102" s="1"/>
  <c r="AC39" i="102" s="1"/>
  <c r="D87" i="83"/>
  <c r="AD37" i="101"/>
  <c r="AD38" i="101" s="1"/>
  <c r="AD39" i="101" s="1"/>
  <c r="F85" i="83"/>
  <c r="E84" i="83"/>
  <c r="AA37" i="97" l="1"/>
  <c r="AA38" i="97" s="1"/>
  <c r="AA39" i="97" s="1"/>
  <c r="D72" i="83"/>
  <c r="Z37" i="97"/>
  <c r="Z38" i="97" s="1"/>
  <c r="Z39" i="97" s="1"/>
  <c r="AC37" i="97"/>
  <c r="AC38" i="97" s="1"/>
  <c r="AC39" i="97" s="1"/>
  <c r="AB37" i="97"/>
  <c r="AB38" i="97" s="1"/>
  <c r="AB39" i="97" s="1"/>
  <c r="D84" i="83"/>
  <c r="AB53" i="102"/>
  <c r="AB52" i="102"/>
  <c r="AB50" i="102"/>
  <c r="AB54" i="102"/>
  <c r="AB51" i="102"/>
  <c r="Z53" i="99"/>
  <c r="Z51" i="99"/>
  <c r="Z52" i="99"/>
  <c r="Z50" i="99"/>
  <c r="Z52" i="101"/>
  <c r="Z50" i="101"/>
  <c r="Z54" i="101"/>
  <c r="Z53" i="101"/>
  <c r="Z51" i="101"/>
  <c r="Z51" i="100"/>
  <c r="Z54" i="100"/>
  <c r="Z53" i="100"/>
  <c r="Z50" i="100"/>
  <c r="Z52" i="100"/>
  <c r="AB51" i="101"/>
  <c r="AB52" i="101"/>
  <c r="AB53" i="101"/>
  <c r="AB50" i="101"/>
  <c r="AB54" i="101"/>
  <c r="AE84" i="83"/>
  <c r="AC54" i="101"/>
  <c r="AC51" i="101"/>
  <c r="AC50" i="101"/>
  <c r="AC53" i="101"/>
  <c r="AC52" i="101"/>
  <c r="AC51" i="99"/>
  <c r="AC53" i="99"/>
  <c r="AC52" i="99"/>
  <c r="AC50" i="99"/>
  <c r="AB52" i="99"/>
  <c r="AB51" i="99"/>
  <c r="AB53" i="99"/>
  <c r="AB50" i="99"/>
  <c r="AA52" i="101"/>
  <c r="AA54" i="101"/>
  <c r="AA53" i="101"/>
  <c r="AA51" i="101"/>
  <c r="AA50" i="101"/>
  <c r="AC53" i="100"/>
  <c r="AC54" i="100"/>
  <c r="AC50" i="100"/>
  <c r="AC51" i="100"/>
  <c r="AC52" i="100"/>
  <c r="AA52" i="99"/>
  <c r="AA51" i="99"/>
  <c r="AA50" i="99"/>
  <c r="AA53" i="99"/>
  <c r="AA51" i="102"/>
  <c r="AA52" i="102"/>
  <c r="AA50" i="102"/>
  <c r="AA54" i="102"/>
  <c r="AA53" i="102"/>
  <c r="AA54" i="100"/>
  <c r="AA52" i="100"/>
  <c r="AA51" i="100"/>
  <c r="AA53" i="100"/>
  <c r="AA50" i="100"/>
  <c r="AB51" i="100"/>
  <c r="AB52" i="100"/>
  <c r="AB50" i="100"/>
  <c r="AB53" i="100"/>
  <c r="AB54" i="100"/>
  <c r="AC52" i="102"/>
  <c r="AC54" i="102"/>
  <c r="AC53" i="102"/>
  <c r="AC51" i="102"/>
  <c r="AC50" i="102"/>
  <c r="AF85" i="83"/>
  <c r="N85" i="83"/>
  <c r="R91" i="83"/>
  <c r="AG85" i="83"/>
  <c r="AB92" i="83"/>
  <c r="AB88" i="83"/>
  <c r="P91" i="83"/>
  <c r="I90" i="83"/>
  <c r="AB86" i="83"/>
  <c r="AF92" i="83"/>
  <c r="AD51" i="101"/>
  <c r="AD53" i="101"/>
  <c r="AD50" i="101"/>
  <c r="AD54" i="101"/>
  <c r="AD52" i="101"/>
  <c r="AD37" i="97"/>
  <c r="AD38" i="97" s="1"/>
  <c r="AD39" i="97" s="1"/>
  <c r="F84" i="83"/>
  <c r="N86" i="83"/>
  <c r="Z86" i="83"/>
  <c r="Z92" i="83"/>
  <c r="X86" i="83"/>
  <c r="R87" i="83"/>
  <c r="Q88" i="83"/>
  <c r="AB85" i="83"/>
  <c r="I88" i="83"/>
  <c r="Q87" i="83"/>
  <c r="Z88" i="83"/>
  <c r="AF91" i="83"/>
  <c r="Q85" i="83"/>
  <c r="W88" i="83"/>
  <c r="X90" i="83"/>
  <c r="Z90" i="83"/>
  <c r="P90" i="83"/>
  <c r="R86" i="83"/>
  <c r="Y90" i="83"/>
  <c r="Q91" i="83"/>
  <c r="Z85" i="83"/>
  <c r="B59" i="97"/>
  <c r="K84" i="83"/>
  <c r="AB90" i="83"/>
  <c r="Q92" i="83"/>
  <c r="X88" i="83"/>
  <c r="W92" i="83"/>
  <c r="AG87" i="83"/>
  <c r="N92" i="83"/>
  <c r="X87" i="83"/>
  <c r="AG86" i="83"/>
  <c r="AG88" i="83"/>
  <c r="R92" i="83"/>
  <c r="N90" i="83"/>
  <c r="AB87" i="83"/>
  <c r="Q86" i="83"/>
  <c r="R85" i="83"/>
  <c r="AF88" i="83"/>
  <c r="AF90" i="83"/>
  <c r="X92" i="83"/>
  <c r="W90" i="83"/>
  <c r="AG92" i="83"/>
  <c r="P86" i="83"/>
  <c r="W85" i="83"/>
  <c r="J91" i="83"/>
  <c r="R88" i="83"/>
  <c r="W86" i="83"/>
  <c r="N87" i="83"/>
  <c r="AF86" i="83"/>
  <c r="Q90" i="83"/>
  <c r="R90" i="83"/>
  <c r="AE37" i="101"/>
  <c r="AE38" i="101" s="1"/>
  <c r="AE39" i="101" s="1"/>
  <c r="W87" i="83"/>
  <c r="P88" i="83"/>
  <c r="AB91" i="83"/>
  <c r="AF87" i="83"/>
  <c r="N91" i="83"/>
  <c r="X85" i="83"/>
  <c r="N88" i="83"/>
  <c r="W91" i="83"/>
  <c r="AG91" i="83"/>
  <c r="AW40" i="115" l="1"/>
  <c r="W7" i="81" s="1"/>
  <c r="G247" i="80" s="1"/>
  <c r="Z55" i="100"/>
  <c r="AA55" i="101"/>
  <c r="AB55" i="100"/>
  <c r="AC55" i="102"/>
  <c r="AC55" i="99"/>
  <c r="Z55" i="99"/>
  <c r="AB55" i="101"/>
  <c r="AB54" i="97"/>
  <c r="AB51" i="97"/>
  <c r="AB50" i="97"/>
  <c r="AB53" i="97"/>
  <c r="AB52" i="97"/>
  <c r="AC54" i="97"/>
  <c r="AC50" i="97"/>
  <c r="AC53" i="97"/>
  <c r="AC52" i="97"/>
  <c r="AC51" i="97"/>
  <c r="AA55" i="102"/>
  <c r="AC55" i="100"/>
  <c r="AB55" i="99"/>
  <c r="Z53" i="97"/>
  <c r="Z54" i="97"/>
  <c r="Z52" i="97"/>
  <c r="Z50" i="97"/>
  <c r="Z51" i="97"/>
  <c r="AA55" i="100"/>
  <c r="D82" i="83"/>
  <c r="D83" i="83"/>
  <c r="AA55" i="99"/>
  <c r="AC55" i="101"/>
  <c r="Z55" i="101"/>
  <c r="AB55" i="102"/>
  <c r="AA51" i="97"/>
  <c r="AA50" i="97"/>
  <c r="AA54" i="97"/>
  <c r="AA53" i="97"/>
  <c r="AA52" i="97"/>
  <c r="AE37" i="97"/>
  <c r="AE38" i="97" s="1"/>
  <c r="AE39" i="97" s="1"/>
  <c r="AE51" i="97" s="1"/>
  <c r="AD55" i="101"/>
  <c r="Y85" i="83"/>
  <c r="W40" i="77"/>
  <c r="V40" i="77"/>
  <c r="F59" i="102"/>
  <c r="F66" i="78"/>
  <c r="F67" i="78" s="1"/>
  <c r="F68" i="78" s="1"/>
  <c r="C87" i="83"/>
  <c r="O91" i="83"/>
  <c r="B67" i="113"/>
  <c r="AL37" i="99"/>
  <c r="AL38" i="99" s="1"/>
  <c r="AL39" i="99" s="1"/>
  <c r="AK37" i="99"/>
  <c r="AK38" i="99" s="1"/>
  <c r="AK39" i="99" s="1"/>
  <c r="AJ37" i="99"/>
  <c r="AJ38" i="99" s="1"/>
  <c r="AJ39" i="99" s="1"/>
  <c r="AM37" i="99"/>
  <c r="AM38" i="99" s="1"/>
  <c r="AM39" i="99" s="1"/>
  <c r="AN37" i="99"/>
  <c r="AN38" i="99" s="1"/>
  <c r="AN39" i="99" s="1"/>
  <c r="J86" i="83"/>
  <c r="B60" i="100"/>
  <c r="O90" i="83"/>
  <c r="B67" i="95"/>
  <c r="C88" i="83"/>
  <c r="X37" i="98"/>
  <c r="F66" i="93"/>
  <c r="F59" i="98"/>
  <c r="Y37" i="98"/>
  <c r="D67" i="76"/>
  <c r="D60" i="99"/>
  <c r="M86" i="83"/>
  <c r="W40" i="95"/>
  <c r="AG90" i="83"/>
  <c r="G87" i="83"/>
  <c r="AF37" i="102"/>
  <c r="AF38" i="102" s="1"/>
  <c r="AF39" i="102" s="1"/>
  <c r="AG37" i="102"/>
  <c r="AG38" i="102" s="1"/>
  <c r="AG39" i="102" s="1"/>
  <c r="F92" i="83"/>
  <c r="M91" i="83"/>
  <c r="D67" i="113"/>
  <c r="H90" i="83"/>
  <c r="AH37" i="100"/>
  <c r="AH38" i="100" s="1"/>
  <c r="AH39" i="100" s="1"/>
  <c r="AI37" i="100"/>
  <c r="AI38" i="100" s="1"/>
  <c r="AI39" i="100" s="1"/>
  <c r="D59" i="99"/>
  <c r="D66" i="76"/>
  <c r="L86" i="83"/>
  <c r="D66" i="115"/>
  <c r="L92" i="83"/>
  <c r="AH37" i="98"/>
  <c r="AI37" i="98"/>
  <c r="H88" i="83"/>
  <c r="P85" i="83"/>
  <c r="W40" i="78"/>
  <c r="V40" i="78"/>
  <c r="Y87" i="83"/>
  <c r="B67" i="115"/>
  <c r="O92" i="83"/>
  <c r="AN37" i="98"/>
  <c r="AK40" i="93"/>
  <c r="AK37" i="98"/>
  <c r="AJ40" i="93"/>
  <c r="J88" i="83"/>
  <c r="AJ37" i="98"/>
  <c r="AM40" i="93"/>
  <c r="AM37" i="98"/>
  <c r="AL37" i="98"/>
  <c r="AL40" i="93"/>
  <c r="AN40" i="93"/>
  <c r="D59" i="101"/>
  <c r="D66" i="77"/>
  <c r="L85" i="83"/>
  <c r="K90" i="83"/>
  <c r="B66" i="95"/>
  <c r="B59" i="100"/>
  <c r="E92" i="83"/>
  <c r="H91" i="83"/>
  <c r="E90" i="83"/>
  <c r="AE51" i="101"/>
  <c r="AE54" i="101"/>
  <c r="AE50" i="101"/>
  <c r="AE52" i="101"/>
  <c r="AE53" i="101"/>
  <c r="E86" i="83"/>
  <c r="F66" i="113"/>
  <c r="Y91" i="83"/>
  <c r="D67" i="77"/>
  <c r="D60" i="101"/>
  <c r="M85" i="83"/>
  <c r="AG37" i="100"/>
  <c r="AG38" i="100" s="1"/>
  <c r="AG39" i="100" s="1"/>
  <c r="AF37" i="100"/>
  <c r="AF38" i="100" s="1"/>
  <c r="AF39" i="100" s="1"/>
  <c r="G90" i="83"/>
  <c r="J87" i="83"/>
  <c r="AI37" i="102"/>
  <c r="AI38" i="102" s="1"/>
  <c r="AI39" i="102" s="1"/>
  <c r="AK37" i="102"/>
  <c r="AK38" i="102" s="1"/>
  <c r="AK39" i="102" s="1"/>
  <c r="AM37" i="102"/>
  <c r="AM38" i="102" s="1"/>
  <c r="AM39" i="102" s="1"/>
  <c r="AN37" i="102"/>
  <c r="AN38" i="102" s="1"/>
  <c r="AN39" i="102" s="1"/>
  <c r="AJ37" i="102"/>
  <c r="AJ38" i="102" s="1"/>
  <c r="AJ39" i="102" s="1"/>
  <c r="AL37" i="102"/>
  <c r="AL38" i="102" s="1"/>
  <c r="AL39" i="102" s="1"/>
  <c r="D66" i="95"/>
  <c r="L90" i="83"/>
  <c r="D59" i="100"/>
  <c r="E91" i="83"/>
  <c r="B66" i="93"/>
  <c r="K88" i="83"/>
  <c r="B59" i="98"/>
  <c r="W40" i="93"/>
  <c r="Y88" i="83"/>
  <c r="D67" i="95"/>
  <c r="D60" i="100"/>
  <c r="M90" i="83"/>
  <c r="AF37" i="101"/>
  <c r="AF38" i="101" s="1"/>
  <c r="AF39" i="101" s="1"/>
  <c r="AG37" i="101"/>
  <c r="AG38" i="101" s="1"/>
  <c r="AG39" i="101" s="1"/>
  <c r="G85" i="83"/>
  <c r="U337" i="80"/>
  <c r="Z91" i="83"/>
  <c r="AD53" i="97"/>
  <c r="AD54" i="97"/>
  <c r="AD50" i="97"/>
  <c r="AD52" i="97"/>
  <c r="AD51" i="97"/>
  <c r="K86" i="83"/>
  <c r="B59" i="99"/>
  <c r="O87" i="83"/>
  <c r="B60" i="102"/>
  <c r="B67" i="78"/>
  <c r="B60" i="98"/>
  <c r="B67" i="93"/>
  <c r="O88" i="83"/>
  <c r="F91" i="83"/>
  <c r="G91" i="83"/>
  <c r="AL37" i="101"/>
  <c r="AL38" i="101" s="1"/>
  <c r="AL39" i="101" s="1"/>
  <c r="AK37" i="101"/>
  <c r="AK38" i="101" s="1"/>
  <c r="AK39" i="101" s="1"/>
  <c r="AM37" i="101"/>
  <c r="AM38" i="101" s="1"/>
  <c r="AM39" i="101" s="1"/>
  <c r="J85" i="83"/>
  <c r="AN37" i="101"/>
  <c r="AN38" i="101" s="1"/>
  <c r="AN39" i="101" s="1"/>
  <c r="AG37" i="99"/>
  <c r="AG38" i="99" s="1"/>
  <c r="AG39" i="99" s="1"/>
  <c r="AF37" i="99"/>
  <c r="AF38" i="99" s="1"/>
  <c r="AF39" i="99" s="1"/>
  <c r="G86" i="83"/>
  <c r="F59" i="99"/>
  <c r="F66" i="76"/>
  <c r="C86" i="83"/>
  <c r="F59" i="101"/>
  <c r="F66" i="77"/>
  <c r="F67" i="77" s="1"/>
  <c r="F68" i="77" s="1"/>
  <c r="C85" i="83"/>
  <c r="L87" i="83"/>
  <c r="D59" i="102"/>
  <c r="D66" i="78"/>
  <c r="P87" i="83"/>
  <c r="K92" i="83"/>
  <c r="B67" i="77"/>
  <c r="B60" i="101"/>
  <c r="O85" i="83"/>
  <c r="F66" i="115"/>
  <c r="F68" i="115" s="1"/>
  <c r="C92" i="83"/>
  <c r="V40" i="115"/>
  <c r="W40" i="115"/>
  <c r="Y92" i="83"/>
  <c r="P92" i="83"/>
  <c r="B65" i="113"/>
  <c r="I91" i="83"/>
  <c r="AE37" i="98"/>
  <c r="F88" i="83"/>
  <c r="AD37" i="98"/>
  <c r="AJ37" i="100"/>
  <c r="AJ38" i="100" s="1"/>
  <c r="AJ39" i="100" s="1"/>
  <c r="AL37" i="100"/>
  <c r="AL38" i="100" s="1"/>
  <c r="AL39" i="100" s="1"/>
  <c r="AK37" i="100"/>
  <c r="AK38" i="100" s="1"/>
  <c r="AK39" i="100" s="1"/>
  <c r="AM37" i="100"/>
  <c r="AM38" i="100" s="1"/>
  <c r="AM39" i="100" s="1"/>
  <c r="AN37" i="100"/>
  <c r="AN38" i="100" s="1"/>
  <c r="AN39" i="100" s="1"/>
  <c r="J90" i="83"/>
  <c r="I92" i="83"/>
  <c r="B65" i="115"/>
  <c r="M92" i="83"/>
  <c r="D67" i="115"/>
  <c r="E87" i="83"/>
  <c r="H87" i="83"/>
  <c r="AH37" i="102"/>
  <c r="AH38" i="102" s="1"/>
  <c r="AH39" i="102" s="1"/>
  <c r="L88" i="83"/>
  <c r="D59" i="98"/>
  <c r="D66" i="93"/>
  <c r="G92" i="83"/>
  <c r="AH37" i="101"/>
  <c r="AH38" i="101" s="1"/>
  <c r="AH39" i="101" s="1"/>
  <c r="AI37" i="101"/>
  <c r="AI38" i="101" s="1"/>
  <c r="AI39" i="101" s="1"/>
  <c r="H85" i="83"/>
  <c r="AJ37" i="101"/>
  <c r="AJ38" i="101" s="1"/>
  <c r="AJ39" i="101" s="1"/>
  <c r="B67" i="76"/>
  <c r="B60" i="99"/>
  <c r="O86" i="83"/>
  <c r="F87" i="83"/>
  <c r="AD37" i="102"/>
  <c r="AD38" i="102" s="1"/>
  <c r="AD39" i="102" s="1"/>
  <c r="E88" i="83"/>
  <c r="D67" i="93"/>
  <c r="D60" i="98"/>
  <c r="M88" i="83"/>
  <c r="V40" i="76"/>
  <c r="Y86" i="83"/>
  <c r="W40" i="76"/>
  <c r="G88" i="83"/>
  <c r="AF37" i="98"/>
  <c r="AG37" i="98"/>
  <c r="Y37" i="100"/>
  <c r="Y38" i="100" s="1"/>
  <c r="Y39" i="100" s="1"/>
  <c r="X37" i="100"/>
  <c r="X38" i="100" s="1"/>
  <c r="X39" i="100" s="1"/>
  <c r="C90" i="83"/>
  <c r="F66" i="95"/>
  <c r="F59" i="100"/>
  <c r="Z87" i="83"/>
  <c r="I86" i="83"/>
  <c r="B65" i="76"/>
  <c r="K87" i="83"/>
  <c r="B59" i="102"/>
  <c r="AD37" i="100"/>
  <c r="AD38" i="100" s="1"/>
  <c r="AD39" i="100" s="1"/>
  <c r="F90" i="83"/>
  <c r="I85" i="83"/>
  <c r="B65" i="77"/>
  <c r="H92" i="83"/>
  <c r="H86" i="83"/>
  <c r="AH37" i="99"/>
  <c r="AH38" i="99" s="1"/>
  <c r="AH39" i="99" s="1"/>
  <c r="AI37" i="99"/>
  <c r="AI38" i="99" s="1"/>
  <c r="AI39" i="99" s="1"/>
  <c r="M87" i="83"/>
  <c r="D60" i="102"/>
  <c r="D67" i="78"/>
  <c r="D66" i="113"/>
  <c r="L91" i="83"/>
  <c r="AZ82" i="83"/>
  <c r="X91" i="83"/>
  <c r="J92" i="83"/>
  <c r="K91" i="83"/>
  <c r="B66" i="113"/>
  <c r="C91" i="83"/>
  <c r="W40" i="113"/>
  <c r="V40" i="113"/>
  <c r="B65" i="78"/>
  <c r="I87" i="83"/>
  <c r="AE52" i="97" l="1"/>
  <c r="AE54" i="97"/>
  <c r="D68" i="78"/>
  <c r="S40" i="78" s="1"/>
  <c r="D61" i="102"/>
  <c r="U37" i="102" s="1"/>
  <c r="U38" i="102" s="1"/>
  <c r="U39" i="102" s="1"/>
  <c r="AE50" i="97"/>
  <c r="AE53" i="97"/>
  <c r="B61" i="102"/>
  <c r="L37" i="102" s="1"/>
  <c r="L38" i="102" s="1"/>
  <c r="L55" i="102" s="1"/>
  <c r="D68" i="77"/>
  <c r="U40" i="77" s="1"/>
  <c r="AA55" i="97"/>
  <c r="Z55" i="97"/>
  <c r="AB55" i="97"/>
  <c r="AC55" i="97"/>
  <c r="D68" i="115"/>
  <c r="S40" i="115" s="1"/>
  <c r="B61" i="100"/>
  <c r="K37" i="100" s="1"/>
  <c r="K38" i="100" s="1"/>
  <c r="K55" i="100" s="1"/>
  <c r="D61" i="98"/>
  <c r="U37" i="98" s="1"/>
  <c r="U38" i="98" s="1"/>
  <c r="U39" i="98" s="1"/>
  <c r="AW40" i="78"/>
  <c r="K7" i="81" s="1"/>
  <c r="L7" i="81" s="1"/>
  <c r="D68" i="93"/>
  <c r="S40" i="93" s="1"/>
  <c r="B68" i="95"/>
  <c r="G40" i="95" s="1"/>
  <c r="D68" i="95"/>
  <c r="U40" i="95" s="1"/>
  <c r="AD55" i="97"/>
  <c r="AG51" i="101"/>
  <c r="AG54" i="101"/>
  <c r="AG50" i="101"/>
  <c r="AG53" i="101"/>
  <c r="AG52" i="101"/>
  <c r="AJ50" i="99"/>
  <c r="AJ51" i="99"/>
  <c r="AJ53" i="99"/>
  <c r="AJ52" i="99"/>
  <c r="H72" i="83"/>
  <c r="AJ37" i="97"/>
  <c r="AJ38" i="97" s="1"/>
  <c r="AJ39" i="97" s="1"/>
  <c r="AI37" i="97"/>
  <c r="AI38" i="97" s="1"/>
  <c r="AI39" i="97" s="1"/>
  <c r="AH37" i="97"/>
  <c r="AH38" i="97" s="1"/>
  <c r="AH39" i="97" s="1"/>
  <c r="H84" i="83"/>
  <c r="AI50" i="99"/>
  <c r="AI53" i="99"/>
  <c r="AI51" i="99"/>
  <c r="AI52" i="99"/>
  <c r="F67" i="95"/>
  <c r="AW40" i="95" s="1"/>
  <c r="AD51" i="102"/>
  <c r="AD50" i="102"/>
  <c r="AD54" i="102"/>
  <c r="AD53" i="102"/>
  <c r="AD52" i="102"/>
  <c r="AN54" i="100"/>
  <c r="AN51" i="100"/>
  <c r="AN53" i="100"/>
  <c r="AN52" i="100"/>
  <c r="AN50" i="100"/>
  <c r="W72" i="83"/>
  <c r="W84" i="83"/>
  <c r="AL53" i="101"/>
  <c r="AL52" i="101"/>
  <c r="AL50" i="101"/>
  <c r="AL54" i="101"/>
  <c r="AL51" i="101"/>
  <c r="F67" i="93"/>
  <c r="AW40" i="93" s="1"/>
  <c r="AK50" i="99"/>
  <c r="AK52" i="99"/>
  <c r="AK53" i="99"/>
  <c r="AK51" i="99"/>
  <c r="B65" i="63"/>
  <c r="I72" i="83"/>
  <c r="I84" i="83"/>
  <c r="AY73" i="83"/>
  <c r="C72" i="83"/>
  <c r="F66" i="63"/>
  <c r="F59" i="97"/>
  <c r="C84" i="83"/>
  <c r="F67" i="76"/>
  <c r="AW40" i="76" s="1"/>
  <c r="O7" i="81" s="1"/>
  <c r="AF52" i="101"/>
  <c r="AF54" i="101"/>
  <c r="AF53" i="101"/>
  <c r="AF51" i="101"/>
  <c r="AF50" i="101"/>
  <c r="F86" i="83"/>
  <c r="AD37" i="99"/>
  <c r="AD38" i="99" s="1"/>
  <c r="AD39" i="99" s="1"/>
  <c r="F72" i="83"/>
  <c r="AM53" i="102"/>
  <c r="AM51" i="102"/>
  <c r="AM50" i="102"/>
  <c r="AM52" i="102"/>
  <c r="AM54" i="102"/>
  <c r="F67" i="113"/>
  <c r="AW40" i="113" s="1"/>
  <c r="S7" i="81" s="1"/>
  <c r="AL53" i="99"/>
  <c r="AL50" i="99"/>
  <c r="AL51" i="99"/>
  <c r="AL52" i="99"/>
  <c r="AG51" i="99"/>
  <c r="AG52" i="99"/>
  <c r="AG50" i="99"/>
  <c r="AG53" i="99"/>
  <c r="AH50" i="99"/>
  <c r="AH52" i="99"/>
  <c r="AH53" i="99"/>
  <c r="AH51" i="99"/>
  <c r="Q72" i="83"/>
  <c r="Q84" i="83"/>
  <c r="X50" i="100"/>
  <c r="X53" i="100"/>
  <c r="X51" i="100"/>
  <c r="X54" i="100"/>
  <c r="X52" i="100"/>
  <c r="AM52" i="100"/>
  <c r="AM51" i="100"/>
  <c r="AM54" i="100"/>
  <c r="AM53" i="100"/>
  <c r="AM50" i="100"/>
  <c r="AG72" i="83"/>
  <c r="AG84" i="83"/>
  <c r="B68" i="113"/>
  <c r="F60" i="99"/>
  <c r="AW37" i="99" s="1"/>
  <c r="B61" i="99"/>
  <c r="B61" i="98"/>
  <c r="AK51" i="102"/>
  <c r="AK52" i="102"/>
  <c r="AK54" i="102"/>
  <c r="AK53" i="102"/>
  <c r="AK50" i="102"/>
  <c r="AF52" i="100"/>
  <c r="AF50" i="100"/>
  <c r="AF54" i="100"/>
  <c r="AF53" i="100"/>
  <c r="AF51" i="100"/>
  <c r="AW40" i="77"/>
  <c r="G7" i="81" s="1"/>
  <c r="F60" i="100"/>
  <c r="AW37" i="100" s="1"/>
  <c r="F60" i="98"/>
  <c r="AW37" i="98" s="1"/>
  <c r="AI53" i="101"/>
  <c r="AI50" i="101"/>
  <c r="AI52" i="101"/>
  <c r="AI51" i="101"/>
  <c r="AI54" i="101"/>
  <c r="AJ51" i="100"/>
  <c r="AJ50" i="100"/>
  <c r="AJ54" i="100"/>
  <c r="AJ52" i="100"/>
  <c r="AJ53" i="100"/>
  <c r="Y84" i="83"/>
  <c r="Y72" i="83"/>
  <c r="V40" i="63"/>
  <c r="AH53" i="101"/>
  <c r="AH52" i="101"/>
  <c r="AH50" i="101"/>
  <c r="AH51" i="101"/>
  <c r="AH54" i="101"/>
  <c r="AE37" i="100"/>
  <c r="AE38" i="100" s="1"/>
  <c r="AE39" i="100" s="1"/>
  <c r="Y50" i="100"/>
  <c r="Y54" i="100"/>
  <c r="Y52" i="100"/>
  <c r="Y51" i="100"/>
  <c r="Y53" i="100"/>
  <c r="AH52" i="102"/>
  <c r="AH50" i="102"/>
  <c r="AH54" i="102"/>
  <c r="AH51" i="102"/>
  <c r="AH53" i="102"/>
  <c r="AN54" i="101"/>
  <c r="AN50" i="101"/>
  <c r="AN51" i="101"/>
  <c r="AN53" i="101"/>
  <c r="AN52" i="101"/>
  <c r="AG54" i="100"/>
  <c r="AG52" i="100"/>
  <c r="AG53" i="100"/>
  <c r="AG51" i="100"/>
  <c r="AG50" i="100"/>
  <c r="AE55" i="101"/>
  <c r="AG52" i="102"/>
  <c r="AG54" i="102"/>
  <c r="AG50" i="102"/>
  <c r="AG53" i="102"/>
  <c r="AG51" i="102"/>
  <c r="R72" i="83"/>
  <c r="R84" i="83"/>
  <c r="AK52" i="101"/>
  <c r="AK50" i="101"/>
  <c r="AK51" i="101"/>
  <c r="AK53" i="101"/>
  <c r="AK54" i="101"/>
  <c r="AN54" i="102"/>
  <c r="AN50" i="102"/>
  <c r="AN52" i="102"/>
  <c r="AN51" i="102"/>
  <c r="AN53" i="102"/>
  <c r="N72" i="83"/>
  <c r="N84" i="83"/>
  <c r="B66" i="63"/>
  <c r="AK53" i="100"/>
  <c r="AK54" i="100"/>
  <c r="AK51" i="100"/>
  <c r="AK50" i="100"/>
  <c r="AK52" i="100"/>
  <c r="AG37" i="97"/>
  <c r="AG38" i="97" s="1"/>
  <c r="AG39" i="97" s="1"/>
  <c r="AF37" i="97"/>
  <c r="AF38" i="97" s="1"/>
  <c r="AF39" i="97" s="1"/>
  <c r="G72" i="83"/>
  <c r="G84" i="83"/>
  <c r="X72" i="83"/>
  <c r="X84" i="83"/>
  <c r="D61" i="100"/>
  <c r="B68" i="93"/>
  <c r="AI50" i="102"/>
  <c r="AI54" i="102"/>
  <c r="AI51" i="102"/>
  <c r="AI53" i="102"/>
  <c r="AI52" i="102"/>
  <c r="E85" i="83"/>
  <c r="E72" i="83"/>
  <c r="D61" i="99"/>
  <c r="D60" i="97"/>
  <c r="M84" i="83"/>
  <c r="M72" i="83"/>
  <c r="D67" i="63"/>
  <c r="AB72" i="83"/>
  <c r="AB84" i="83"/>
  <c r="AO37" i="97"/>
  <c r="AO38" i="97" s="1"/>
  <c r="AO39" i="97" s="1"/>
  <c r="J72" i="83"/>
  <c r="J84" i="83"/>
  <c r="AL37" i="97"/>
  <c r="AL38" i="97" s="1"/>
  <c r="AL39" i="97" s="1"/>
  <c r="AK37" i="97"/>
  <c r="AK38" i="97" s="1"/>
  <c r="AK39" i="97" s="1"/>
  <c r="AM37" i="97"/>
  <c r="AM38" i="97" s="1"/>
  <c r="AM39" i="97" s="1"/>
  <c r="AN37" i="97"/>
  <c r="AN38" i="97" s="1"/>
  <c r="AN39" i="97" s="1"/>
  <c r="AF72" i="83"/>
  <c r="AF84" i="83"/>
  <c r="AF52" i="99"/>
  <c r="AF53" i="99"/>
  <c r="AF50" i="99"/>
  <c r="AF51" i="99"/>
  <c r="AL52" i="102"/>
  <c r="AL51" i="102"/>
  <c r="AL54" i="102"/>
  <c r="AL53" i="102"/>
  <c r="AL50" i="102"/>
  <c r="Z72" i="83"/>
  <c r="BA47" i="88"/>
  <c r="BA44" i="103"/>
  <c r="Z84" i="83"/>
  <c r="D68" i="113"/>
  <c r="AF50" i="102"/>
  <c r="AF53" i="102"/>
  <c r="AF54" i="102"/>
  <c r="AF51" i="102"/>
  <c r="AF52" i="102"/>
  <c r="D68" i="76"/>
  <c r="AN50" i="99"/>
  <c r="AN53" i="99"/>
  <c r="AN52" i="99"/>
  <c r="AN51" i="99"/>
  <c r="O72" i="83"/>
  <c r="B60" i="97"/>
  <c r="B61" i="97" s="1"/>
  <c r="B67" i="63"/>
  <c r="O84" i="83"/>
  <c r="AH53" i="100"/>
  <c r="AH50" i="100"/>
  <c r="AH52" i="100"/>
  <c r="AH54" i="100"/>
  <c r="AH51" i="100"/>
  <c r="F60" i="102"/>
  <c r="AW37" i="102" s="1"/>
  <c r="P72" i="83"/>
  <c r="P84" i="83"/>
  <c r="AD53" i="100"/>
  <c r="AD54" i="100"/>
  <c r="AD52" i="100"/>
  <c r="AD51" i="100"/>
  <c r="AD50" i="100"/>
  <c r="AE37" i="102"/>
  <c r="AE38" i="102" s="1"/>
  <c r="AE39" i="102" s="1"/>
  <c r="AJ50" i="101"/>
  <c r="AJ53" i="101"/>
  <c r="AJ51" i="101"/>
  <c r="AJ54" i="101"/>
  <c r="AJ52" i="101"/>
  <c r="B59" i="101"/>
  <c r="B61" i="101" s="1"/>
  <c r="K85" i="83"/>
  <c r="K72" i="83"/>
  <c r="AL50" i="100"/>
  <c r="AL54" i="100"/>
  <c r="AL51" i="100"/>
  <c r="AL52" i="100"/>
  <c r="AL53" i="100"/>
  <c r="L72" i="83"/>
  <c r="D59" i="97"/>
  <c r="D66" i="63"/>
  <c r="L84" i="83"/>
  <c r="F60" i="101"/>
  <c r="AW37" i="101" s="1"/>
  <c r="AM50" i="101"/>
  <c r="AM53" i="101"/>
  <c r="AM52" i="101"/>
  <c r="AM54" i="101"/>
  <c r="AM51" i="101"/>
  <c r="AJ52" i="102"/>
  <c r="AJ54" i="102"/>
  <c r="AJ53" i="102"/>
  <c r="AJ51" i="102"/>
  <c r="AJ50" i="102"/>
  <c r="D61" i="101"/>
  <c r="AI54" i="100"/>
  <c r="AI52" i="100"/>
  <c r="AI53" i="100"/>
  <c r="AI51" i="100"/>
  <c r="AI50" i="100"/>
  <c r="AM53" i="99"/>
  <c r="AM52" i="99"/>
  <c r="AM50" i="99"/>
  <c r="AM51" i="99"/>
  <c r="T40" i="77" l="1"/>
  <c r="S37" i="102"/>
  <c r="S38" i="102" s="1"/>
  <c r="S39" i="102" s="1"/>
  <c r="S52" i="102" s="1"/>
  <c r="U40" i="78"/>
  <c r="T40" i="78"/>
  <c r="T37" i="102"/>
  <c r="T38" i="102" s="1"/>
  <c r="T39" i="102" s="1"/>
  <c r="T50" i="102" s="1"/>
  <c r="AE55" i="97"/>
  <c r="S40" i="77"/>
  <c r="J37" i="102"/>
  <c r="J38" i="102" s="1"/>
  <c r="J55" i="102" s="1"/>
  <c r="C37" i="102"/>
  <c r="C38" i="102" s="1"/>
  <c r="C55" i="102" s="1"/>
  <c r="N37" i="102"/>
  <c r="N38" i="102" s="1"/>
  <c r="N55" i="102" s="1"/>
  <c r="F37" i="102"/>
  <c r="F38" i="102" s="1"/>
  <c r="F55" i="102" s="1"/>
  <c r="G37" i="102"/>
  <c r="G38" i="102" s="1"/>
  <c r="G55" i="102" s="1"/>
  <c r="H40" i="95"/>
  <c r="O37" i="102"/>
  <c r="O38" i="102" s="1"/>
  <c r="O55" i="102" s="1"/>
  <c r="I37" i="102"/>
  <c r="I38" i="102" s="1"/>
  <c r="I55" i="102" s="1"/>
  <c r="B40" i="95"/>
  <c r="B41" i="95" s="1"/>
  <c r="B62" i="95" s="1"/>
  <c r="M37" i="102"/>
  <c r="M38" i="102" s="1"/>
  <c r="M55" i="102" s="1"/>
  <c r="E40" i="95"/>
  <c r="E41" i="95" s="1"/>
  <c r="E62" i="95" s="1"/>
  <c r="D37" i="102"/>
  <c r="D38" i="102" s="1"/>
  <c r="D55" i="102" s="1"/>
  <c r="P40" i="95"/>
  <c r="H37" i="102"/>
  <c r="H38" i="102" s="1"/>
  <c r="H55" i="102" s="1"/>
  <c r="P37" i="102"/>
  <c r="P38" i="102" s="1"/>
  <c r="P55" i="102" s="1"/>
  <c r="B37" i="102"/>
  <c r="B38" i="102" s="1"/>
  <c r="B55" i="102" s="1"/>
  <c r="Q37" i="102"/>
  <c r="Q38" i="102" s="1"/>
  <c r="Q55" i="102" s="1"/>
  <c r="E37" i="102"/>
  <c r="E38" i="102" s="1"/>
  <c r="E55" i="102" s="1"/>
  <c r="K37" i="102"/>
  <c r="K38" i="102" s="1"/>
  <c r="K55" i="102" s="1"/>
  <c r="R37" i="102"/>
  <c r="R38" i="102" s="1"/>
  <c r="R55" i="102" s="1"/>
  <c r="Q37" i="100"/>
  <c r="Q38" i="100" s="1"/>
  <c r="Q55" i="100" s="1"/>
  <c r="N37" i="100"/>
  <c r="N38" i="100" s="1"/>
  <c r="N55" i="100" s="1"/>
  <c r="T37" i="98"/>
  <c r="T38" i="98" s="1"/>
  <c r="T39" i="98" s="1"/>
  <c r="T51" i="98" s="1"/>
  <c r="O37" i="100"/>
  <c r="O38" i="100" s="1"/>
  <c r="O55" i="100" s="1"/>
  <c r="S37" i="98"/>
  <c r="S38" i="98" s="1"/>
  <c r="S39" i="98" s="1"/>
  <c r="S52" i="98" s="1"/>
  <c r="E37" i="100"/>
  <c r="R37" i="100"/>
  <c r="R38" i="100" s="1"/>
  <c r="R55" i="100" s="1"/>
  <c r="H37" i="100"/>
  <c r="D37" i="100"/>
  <c r="B37" i="100"/>
  <c r="F37" i="100"/>
  <c r="L37" i="100"/>
  <c r="L38" i="100" s="1"/>
  <c r="L55" i="100" s="1"/>
  <c r="P37" i="100"/>
  <c r="P38" i="100" s="1"/>
  <c r="P55" i="100" s="1"/>
  <c r="J37" i="100"/>
  <c r="J38" i="100" s="1"/>
  <c r="J55" i="100" s="1"/>
  <c r="M37" i="100"/>
  <c r="M38" i="100" s="1"/>
  <c r="M55" i="100" s="1"/>
  <c r="G37" i="100"/>
  <c r="I37" i="100"/>
  <c r="C37" i="100"/>
  <c r="T40" i="115"/>
  <c r="U40" i="115"/>
  <c r="T40" i="93"/>
  <c r="G145" i="80"/>
  <c r="I145" i="80" s="1"/>
  <c r="U40" i="93"/>
  <c r="N40" i="95"/>
  <c r="J40" i="95"/>
  <c r="C40" i="95"/>
  <c r="C41" i="95" s="1"/>
  <c r="C62" i="95" s="1"/>
  <c r="L40" i="95"/>
  <c r="R40" i="95"/>
  <c r="F40" i="95"/>
  <c r="D40" i="95"/>
  <c r="D41" i="95" s="1"/>
  <c r="D62" i="95" s="1"/>
  <c r="K40" i="95"/>
  <c r="S40" i="95"/>
  <c r="T40" i="95"/>
  <c r="AM55" i="99"/>
  <c r="AI55" i="100"/>
  <c r="AJ55" i="102"/>
  <c r="F61" i="102"/>
  <c r="Z37" i="102" s="1"/>
  <c r="Z38" i="102" s="1"/>
  <c r="Z39" i="102" s="1"/>
  <c r="D61" i="97"/>
  <c r="U37" i="97" s="1"/>
  <c r="U38" i="97" s="1"/>
  <c r="U39" i="97" s="1"/>
  <c r="AK55" i="102"/>
  <c r="AK55" i="100"/>
  <c r="F68" i="113"/>
  <c r="F68" i="95"/>
  <c r="AF55" i="99"/>
  <c r="F61" i="98"/>
  <c r="F68" i="93"/>
  <c r="T40" i="113"/>
  <c r="S40" i="113"/>
  <c r="U40" i="113"/>
  <c r="S37" i="101"/>
  <c r="S38" i="101" s="1"/>
  <c r="S39" i="101" s="1"/>
  <c r="T37" i="101"/>
  <c r="T38" i="101" s="1"/>
  <c r="T39" i="101" s="1"/>
  <c r="U37" i="101"/>
  <c r="U38" i="101" s="1"/>
  <c r="U39" i="101" s="1"/>
  <c r="F61" i="101"/>
  <c r="P83" i="83"/>
  <c r="P82" i="83"/>
  <c r="AZ33" i="88"/>
  <c r="AH55" i="100"/>
  <c r="AN55" i="99"/>
  <c r="AL52" i="97"/>
  <c r="AL50" i="97"/>
  <c r="AL54" i="97"/>
  <c r="AL53" i="97"/>
  <c r="AL51" i="97"/>
  <c r="E82" i="83"/>
  <c r="E83" i="83"/>
  <c r="T37" i="100"/>
  <c r="T38" i="100" s="1"/>
  <c r="T39" i="100" s="1"/>
  <c r="S37" i="100"/>
  <c r="S38" i="100" s="1"/>
  <c r="S39" i="100" s="1"/>
  <c r="U37" i="100"/>
  <c r="U38" i="100" s="1"/>
  <c r="U39" i="100" s="1"/>
  <c r="AN55" i="101"/>
  <c r="AI55" i="101"/>
  <c r="F61" i="100"/>
  <c r="G43" i="80"/>
  <c r="H7" i="81"/>
  <c r="AF55" i="100"/>
  <c r="F61" i="99"/>
  <c r="Q83" i="83"/>
  <c r="Q82" i="83"/>
  <c r="G213" i="80"/>
  <c r="AE37" i="99"/>
  <c r="AE38" i="99" s="1"/>
  <c r="AE39" i="99" s="1"/>
  <c r="F68" i="76"/>
  <c r="AH51" i="97"/>
  <c r="AH50" i="97"/>
  <c r="AH54" i="97"/>
  <c r="AH52" i="97"/>
  <c r="AH53" i="97"/>
  <c r="AJ55" i="99"/>
  <c r="AG55" i="101"/>
  <c r="AE90" i="83"/>
  <c r="AY79" i="83"/>
  <c r="AE92" i="83"/>
  <c r="B66" i="115"/>
  <c r="B68" i="115" s="1"/>
  <c r="AY81" i="83"/>
  <c r="N82" i="83"/>
  <c r="N83" i="83"/>
  <c r="AN55" i="102"/>
  <c r="Y55" i="100"/>
  <c r="AJ55" i="100"/>
  <c r="E40" i="113"/>
  <c r="E41" i="113" s="1"/>
  <c r="E62" i="113" s="1"/>
  <c r="H40" i="113"/>
  <c r="D40" i="113"/>
  <c r="D41" i="113" s="1"/>
  <c r="D62" i="113" s="1"/>
  <c r="O40" i="113"/>
  <c r="B40" i="113"/>
  <c r="P40" i="113"/>
  <c r="G40" i="113"/>
  <c r="L40" i="113"/>
  <c r="R40" i="113"/>
  <c r="N40" i="113"/>
  <c r="F40" i="113"/>
  <c r="J40" i="113"/>
  <c r="I40" i="113"/>
  <c r="C40" i="113"/>
  <c r="C41" i="113" s="1"/>
  <c r="C62" i="113" s="1"/>
  <c r="K40" i="113"/>
  <c r="M40" i="113"/>
  <c r="Q40" i="113"/>
  <c r="X55" i="100"/>
  <c r="AH55" i="99"/>
  <c r="AD50" i="99"/>
  <c r="AD51" i="99"/>
  <c r="AD52" i="99"/>
  <c r="AD53" i="99"/>
  <c r="P7" i="81"/>
  <c r="G77" i="80"/>
  <c r="F60" i="97"/>
  <c r="AW37" i="97" s="1"/>
  <c r="AI50" i="97"/>
  <c r="AI53" i="97"/>
  <c r="AI54" i="97"/>
  <c r="AI51" i="97"/>
  <c r="AI52" i="97"/>
  <c r="AE86" i="83"/>
  <c r="B66" i="76"/>
  <c r="B68" i="76" s="1"/>
  <c r="Q37" i="101"/>
  <c r="Q38" i="101" s="1"/>
  <c r="Q55" i="101" s="1"/>
  <c r="J37" i="101"/>
  <c r="J38" i="101" s="1"/>
  <c r="J55" i="101" s="1"/>
  <c r="F37" i="101"/>
  <c r="F38" i="101" s="1"/>
  <c r="F55" i="101" s="1"/>
  <c r="O37" i="101"/>
  <c r="O38" i="101" s="1"/>
  <c r="O55" i="101" s="1"/>
  <c r="B37" i="101"/>
  <c r="P37" i="101"/>
  <c r="P38" i="101" s="1"/>
  <c r="P55" i="101" s="1"/>
  <c r="G37" i="101"/>
  <c r="G38" i="101" s="1"/>
  <c r="G55" i="101" s="1"/>
  <c r="H37" i="101"/>
  <c r="H38" i="101" s="1"/>
  <c r="H55" i="101" s="1"/>
  <c r="D37" i="101"/>
  <c r="D38" i="101" s="1"/>
  <c r="D55" i="101" s="1"/>
  <c r="K37" i="101"/>
  <c r="K38" i="101" s="1"/>
  <c r="K55" i="101" s="1"/>
  <c r="R37" i="101"/>
  <c r="R38" i="101" s="1"/>
  <c r="R55" i="101" s="1"/>
  <c r="C37" i="101"/>
  <c r="C38" i="101" s="1"/>
  <c r="C55" i="101" s="1"/>
  <c r="L37" i="101"/>
  <c r="L38" i="101" s="1"/>
  <c r="L55" i="101" s="1"/>
  <c r="I37" i="101"/>
  <c r="I38" i="101" s="1"/>
  <c r="I55" i="101" s="1"/>
  <c r="N37" i="101"/>
  <c r="N38" i="101" s="1"/>
  <c r="N55" i="101" s="1"/>
  <c r="E37" i="101"/>
  <c r="E38" i="101" s="1"/>
  <c r="E55" i="101" s="1"/>
  <c r="M37" i="101"/>
  <c r="M38" i="101" s="1"/>
  <c r="M55" i="101" s="1"/>
  <c r="S40" i="76"/>
  <c r="U40" i="76"/>
  <c r="T40" i="76"/>
  <c r="AM55" i="101"/>
  <c r="S37" i="99"/>
  <c r="S38" i="99" s="1"/>
  <c r="S39" i="99" s="1"/>
  <c r="U37" i="99"/>
  <c r="U38" i="99" s="1"/>
  <c r="U39" i="99" s="1"/>
  <c r="T37" i="99"/>
  <c r="T38" i="99" s="1"/>
  <c r="T39" i="99" s="1"/>
  <c r="X82" i="83"/>
  <c r="X83" i="83"/>
  <c r="AE88" i="83"/>
  <c r="AY77" i="83"/>
  <c r="AE50" i="100"/>
  <c r="AE54" i="100"/>
  <c r="AE52" i="100"/>
  <c r="AE51" i="100"/>
  <c r="AE53" i="100"/>
  <c r="AH55" i="101"/>
  <c r="AY80" i="83"/>
  <c r="AE91" i="83"/>
  <c r="AG55" i="99"/>
  <c r="F67" i="63"/>
  <c r="F100" i="103"/>
  <c r="F106" i="88"/>
  <c r="AI55" i="99"/>
  <c r="L82" i="83"/>
  <c r="L83" i="83"/>
  <c r="K40" i="93"/>
  <c r="P40" i="93"/>
  <c r="Q40" i="93"/>
  <c r="J40" i="93"/>
  <c r="G40" i="93"/>
  <c r="E40" i="93"/>
  <c r="E41" i="93" s="1"/>
  <c r="E62" i="93" s="1"/>
  <c r="L40" i="93"/>
  <c r="C40" i="93"/>
  <c r="C41" i="93" s="1"/>
  <c r="C62" i="93" s="1"/>
  <c r="B40" i="93"/>
  <c r="D40" i="93"/>
  <c r="D41" i="93" s="1"/>
  <c r="D62" i="93" s="1"/>
  <c r="M40" i="93"/>
  <c r="N40" i="93"/>
  <c r="F40" i="93"/>
  <c r="F41" i="93" s="1"/>
  <c r="F62" i="93" s="1"/>
  <c r="R40" i="93"/>
  <c r="I40" i="93"/>
  <c r="H40" i="93"/>
  <c r="O40" i="93"/>
  <c r="I37" i="98"/>
  <c r="I38" i="98" s="1"/>
  <c r="I55" i="98" s="1"/>
  <c r="R37" i="98"/>
  <c r="R38" i="98" s="1"/>
  <c r="R55" i="98" s="1"/>
  <c r="B37" i="98"/>
  <c r="D37" i="98"/>
  <c r="D38" i="98" s="1"/>
  <c r="D55" i="98" s="1"/>
  <c r="N37" i="98"/>
  <c r="N38" i="98" s="1"/>
  <c r="N55" i="98" s="1"/>
  <c r="Q37" i="98"/>
  <c r="Q38" i="98" s="1"/>
  <c r="Q55" i="98" s="1"/>
  <c r="M37" i="98"/>
  <c r="M38" i="98" s="1"/>
  <c r="M55" i="98" s="1"/>
  <c r="F37" i="98"/>
  <c r="F38" i="98" s="1"/>
  <c r="F55" i="98" s="1"/>
  <c r="H37" i="98"/>
  <c r="H38" i="98" s="1"/>
  <c r="H55" i="98" s="1"/>
  <c r="L37" i="98"/>
  <c r="L38" i="98" s="1"/>
  <c r="L55" i="98" s="1"/>
  <c r="K37" i="98"/>
  <c r="K38" i="98" s="1"/>
  <c r="K55" i="98" s="1"/>
  <c r="P37" i="98"/>
  <c r="P38" i="98" s="1"/>
  <c r="P55" i="98" s="1"/>
  <c r="O37" i="98"/>
  <c r="O38" i="98" s="1"/>
  <c r="O55" i="98" s="1"/>
  <c r="J37" i="98"/>
  <c r="J38" i="98" s="1"/>
  <c r="J55" i="98" s="1"/>
  <c r="C37" i="98"/>
  <c r="C38" i="98" s="1"/>
  <c r="C55" i="98" s="1"/>
  <c r="G37" i="98"/>
  <c r="G38" i="98" s="1"/>
  <c r="G55" i="98" s="1"/>
  <c r="E37" i="98"/>
  <c r="E38" i="98" s="1"/>
  <c r="E55" i="98" s="1"/>
  <c r="B101" i="103"/>
  <c r="B107" i="88"/>
  <c r="Z82" i="83"/>
  <c r="AZ40" i="88"/>
  <c r="AZ37" i="103"/>
  <c r="Z83" i="83"/>
  <c r="C341" i="80"/>
  <c r="AN51" i="97"/>
  <c r="AN53" i="97"/>
  <c r="AN52" i="97"/>
  <c r="AN54" i="97"/>
  <c r="AN50" i="97"/>
  <c r="J83" i="83"/>
  <c r="J82" i="83"/>
  <c r="AB82" i="83"/>
  <c r="AB83" i="83"/>
  <c r="AH55" i="102"/>
  <c r="V37" i="103"/>
  <c r="V40" i="88"/>
  <c r="AG83" i="83"/>
  <c r="AG82" i="83"/>
  <c r="AM55" i="102"/>
  <c r="C82" i="83"/>
  <c r="C83" i="83"/>
  <c r="W83" i="83"/>
  <c r="W82" i="83"/>
  <c r="AJ53" i="97"/>
  <c r="AJ54" i="97"/>
  <c r="AJ50" i="97"/>
  <c r="AJ52" i="97"/>
  <c r="AJ51" i="97"/>
  <c r="U52" i="98"/>
  <c r="U50" i="98"/>
  <c r="U51" i="98"/>
  <c r="U53" i="98"/>
  <c r="U54" i="98"/>
  <c r="AE53" i="102"/>
  <c r="AE51" i="102"/>
  <c r="AE52" i="102"/>
  <c r="AE50" i="102"/>
  <c r="AE54" i="102"/>
  <c r="AL55" i="100"/>
  <c r="G82" i="83"/>
  <c r="G83" i="83"/>
  <c r="U50" i="102"/>
  <c r="U51" i="102"/>
  <c r="U52" i="102"/>
  <c r="U54" i="102"/>
  <c r="U53" i="102"/>
  <c r="D37" i="97"/>
  <c r="D38" i="97" s="1"/>
  <c r="D55" i="97" s="1"/>
  <c r="H37" i="97"/>
  <c r="H38" i="97" s="1"/>
  <c r="H55" i="97" s="1"/>
  <c r="B37" i="97"/>
  <c r="K37" i="97"/>
  <c r="K38" i="97" s="1"/>
  <c r="K55" i="97" s="1"/>
  <c r="G37" i="97"/>
  <c r="G38" i="97" s="1"/>
  <c r="G55" i="97" s="1"/>
  <c r="J37" i="97"/>
  <c r="J38" i="97" s="1"/>
  <c r="J55" i="97" s="1"/>
  <c r="L37" i="97"/>
  <c r="L38" i="97" s="1"/>
  <c r="L55" i="97" s="1"/>
  <c r="N37" i="97"/>
  <c r="N38" i="97" s="1"/>
  <c r="N55" i="97" s="1"/>
  <c r="M37" i="97"/>
  <c r="M38" i="97" s="1"/>
  <c r="M55" i="97" s="1"/>
  <c r="F37" i="97"/>
  <c r="F38" i="97" s="1"/>
  <c r="F55" i="97" s="1"/>
  <c r="R37" i="97"/>
  <c r="R38" i="97" s="1"/>
  <c r="R55" i="97" s="1"/>
  <c r="O37" i="97"/>
  <c r="O38" i="97" s="1"/>
  <c r="O55" i="97" s="1"/>
  <c r="C37" i="97"/>
  <c r="C38" i="97" s="1"/>
  <c r="C55" i="97" s="1"/>
  <c r="E37" i="97"/>
  <c r="E38" i="97" s="1"/>
  <c r="E55" i="97" s="1"/>
  <c r="P37" i="97"/>
  <c r="P38" i="97" s="1"/>
  <c r="P55" i="97" s="1"/>
  <c r="Q37" i="97"/>
  <c r="Q38" i="97" s="1"/>
  <c r="Q55" i="97" s="1"/>
  <c r="I37" i="97"/>
  <c r="I38" i="97" s="1"/>
  <c r="I55" i="97" s="1"/>
  <c r="AM50" i="97"/>
  <c r="AM54" i="97"/>
  <c r="AM53" i="97"/>
  <c r="AM52" i="97"/>
  <c r="AM51" i="97"/>
  <c r="D101" i="103"/>
  <c r="D107" i="88"/>
  <c r="AF52" i="97"/>
  <c r="AF53" i="97"/>
  <c r="AF51" i="97"/>
  <c r="AF54" i="97"/>
  <c r="AF50" i="97"/>
  <c r="AG55" i="100"/>
  <c r="Y82" i="83"/>
  <c r="Y83" i="83"/>
  <c r="AM55" i="100"/>
  <c r="AL55" i="99"/>
  <c r="AF55" i="101"/>
  <c r="BC73" i="83"/>
  <c r="BA73" i="83"/>
  <c r="AY84" i="83"/>
  <c r="BA84" i="83" s="1"/>
  <c r="AK55" i="99"/>
  <c r="H82" i="83"/>
  <c r="H83" i="83"/>
  <c r="B99" i="103"/>
  <c r="B68" i="63"/>
  <c r="B105" i="88"/>
  <c r="AI55" i="102"/>
  <c r="AG55" i="102"/>
  <c r="D100" i="103"/>
  <c r="D106" i="88"/>
  <c r="D68" i="63"/>
  <c r="S40" i="63" s="1"/>
  <c r="AD55" i="100"/>
  <c r="O82" i="83"/>
  <c r="O83" i="83"/>
  <c r="AF83" i="83"/>
  <c r="AF82" i="83"/>
  <c r="AK53" i="97"/>
  <c r="AK52" i="97"/>
  <c r="AK51" i="97"/>
  <c r="AK54" i="97"/>
  <c r="AK50" i="97"/>
  <c r="M82" i="83"/>
  <c r="M83" i="83"/>
  <c r="AG50" i="97"/>
  <c r="AG51" i="97"/>
  <c r="AG54" i="97"/>
  <c r="AG52" i="97"/>
  <c r="AG53" i="97"/>
  <c r="I247" i="80"/>
  <c r="I37" i="99"/>
  <c r="I38" i="99" s="1"/>
  <c r="I55" i="99" s="1"/>
  <c r="L37" i="99"/>
  <c r="L38" i="99" s="1"/>
  <c r="L55" i="99" s="1"/>
  <c r="C37" i="99"/>
  <c r="C38" i="99" s="1"/>
  <c r="C55" i="99" s="1"/>
  <c r="G37" i="99"/>
  <c r="G38" i="99" s="1"/>
  <c r="G55" i="99" s="1"/>
  <c r="B37" i="99"/>
  <c r="J37" i="99"/>
  <c r="J38" i="99" s="1"/>
  <c r="J55" i="99" s="1"/>
  <c r="P37" i="99"/>
  <c r="P38" i="99" s="1"/>
  <c r="P55" i="99" s="1"/>
  <c r="D37" i="99"/>
  <c r="D38" i="99" s="1"/>
  <c r="D55" i="99" s="1"/>
  <c r="H37" i="99"/>
  <c r="H38" i="99" s="1"/>
  <c r="H55" i="99" s="1"/>
  <c r="N37" i="99"/>
  <c r="N38" i="99" s="1"/>
  <c r="N55" i="99" s="1"/>
  <c r="M37" i="99"/>
  <c r="M38" i="99" s="1"/>
  <c r="M55" i="99" s="1"/>
  <c r="O37" i="99"/>
  <c r="O38" i="99" s="1"/>
  <c r="O55" i="99" s="1"/>
  <c r="F37" i="99"/>
  <c r="F38" i="99" s="1"/>
  <c r="F55" i="99" s="1"/>
  <c r="E37" i="99"/>
  <c r="E38" i="99" s="1"/>
  <c r="E55" i="99" s="1"/>
  <c r="K37" i="99"/>
  <c r="K38" i="99" s="1"/>
  <c r="K55" i="99" s="1"/>
  <c r="R37" i="99"/>
  <c r="R38" i="99" s="1"/>
  <c r="R55" i="99" s="1"/>
  <c r="Q37" i="99"/>
  <c r="Q38" i="99" s="1"/>
  <c r="Q55" i="99" s="1"/>
  <c r="AD55" i="102"/>
  <c r="AY75" i="83"/>
  <c r="AE85" i="83"/>
  <c r="AE72" i="83"/>
  <c r="B66" i="77"/>
  <c r="B68" i="77" s="1"/>
  <c r="R82" i="83"/>
  <c r="R83" i="83"/>
  <c r="K83" i="83"/>
  <c r="K82" i="83"/>
  <c r="AJ55" i="101"/>
  <c r="AF55" i="102"/>
  <c r="AL55" i="102"/>
  <c r="AO53" i="97"/>
  <c r="AO52" i="97"/>
  <c r="AO54" i="97"/>
  <c r="AO51" i="97"/>
  <c r="AO50" i="97"/>
  <c r="AK55" i="101"/>
  <c r="B66" i="78"/>
  <c r="B68" i="78" s="1"/>
  <c r="AE87" i="83"/>
  <c r="AY76" i="83"/>
  <c r="F83" i="83"/>
  <c r="F82" i="83"/>
  <c r="I82" i="83"/>
  <c r="I83" i="83"/>
  <c r="AL55" i="101"/>
  <c r="AN55" i="100"/>
  <c r="AY74" i="83"/>
  <c r="AY92" i="83" l="1"/>
  <c r="BA81" i="83"/>
  <c r="S51" i="102"/>
  <c r="S54" i="102"/>
  <c r="S53" i="102"/>
  <c r="S50" i="102"/>
  <c r="T53" i="102"/>
  <c r="T52" i="102"/>
  <c r="T51" i="102"/>
  <c r="T54" i="102"/>
  <c r="R40" i="63"/>
  <c r="B40" i="63"/>
  <c r="S53" i="98"/>
  <c r="AY72" i="83"/>
  <c r="BC86" i="83" s="1"/>
  <c r="T53" i="98"/>
  <c r="T37" i="97"/>
  <c r="T38" i="97" s="1"/>
  <c r="T39" i="97" s="1"/>
  <c r="T52" i="97" s="1"/>
  <c r="T50" i="98"/>
  <c r="S37" i="97"/>
  <c r="S38" i="97" s="1"/>
  <c r="S39" i="97" s="1"/>
  <c r="S50" i="97" s="1"/>
  <c r="T54" i="98"/>
  <c r="T52" i="98"/>
  <c r="S50" i="98"/>
  <c r="S54" i="98"/>
  <c r="S51" i="98"/>
  <c r="X37" i="102"/>
  <c r="X38" i="102" s="1"/>
  <c r="X39" i="102" s="1"/>
  <c r="X51" i="102" s="1"/>
  <c r="Y37" i="102"/>
  <c r="Y38" i="102" s="1"/>
  <c r="Y39" i="102" s="1"/>
  <c r="Y53" i="102" s="1"/>
  <c r="AU37" i="100"/>
  <c r="AU38" i="100" s="1"/>
  <c r="AU39" i="100" s="1"/>
  <c r="F61" i="97"/>
  <c r="W37" i="97" s="1"/>
  <c r="W38" i="97" s="1"/>
  <c r="W39" i="97" s="1"/>
  <c r="AF55" i="97"/>
  <c r="U55" i="102"/>
  <c r="U55" i="98"/>
  <c r="AN55" i="97"/>
  <c r="AL55" i="97"/>
  <c r="B38" i="99"/>
  <c r="B55" i="99" s="1"/>
  <c r="I40" i="78"/>
  <c r="O40" i="78"/>
  <c r="Q40" i="78"/>
  <c r="F40" i="78"/>
  <c r="G40" i="78"/>
  <c r="D40" i="78"/>
  <c r="D41" i="78" s="1"/>
  <c r="D62" i="78" s="1"/>
  <c r="C40" i="78"/>
  <c r="C41" i="78" s="1"/>
  <c r="C62" i="78" s="1"/>
  <c r="B40" i="78"/>
  <c r="P40" i="78"/>
  <c r="M40" i="78"/>
  <c r="E40" i="78"/>
  <c r="E41" i="78" s="1"/>
  <c r="E62" i="78" s="1"/>
  <c r="R40" i="78"/>
  <c r="H40" i="78"/>
  <c r="K40" i="78"/>
  <c r="J40" i="78"/>
  <c r="N40" i="78"/>
  <c r="L40" i="78"/>
  <c r="Q40" i="77"/>
  <c r="J40" i="77"/>
  <c r="B40" i="77"/>
  <c r="N40" i="77"/>
  <c r="K40" i="77"/>
  <c r="C40" i="77"/>
  <c r="C41" i="77" s="1"/>
  <c r="C62" i="77" s="1"/>
  <c r="G40" i="77"/>
  <c r="M40" i="77"/>
  <c r="I40" i="77"/>
  <c r="L40" i="77"/>
  <c r="F40" i="77"/>
  <c r="O40" i="77"/>
  <c r="R40" i="77"/>
  <c r="H40" i="77"/>
  <c r="P40" i="77"/>
  <c r="D40" i="77"/>
  <c r="D41" i="77" s="1"/>
  <c r="D62" i="77" s="1"/>
  <c r="E40" i="77"/>
  <c r="E41" i="77" s="1"/>
  <c r="E62" i="77" s="1"/>
  <c r="AG55" i="97"/>
  <c r="H40" i="63"/>
  <c r="M40" i="63"/>
  <c r="K40" i="63"/>
  <c r="P40" i="63"/>
  <c r="G40" i="63"/>
  <c r="O40" i="63"/>
  <c r="Q40" i="63"/>
  <c r="I40" i="63"/>
  <c r="C40" i="63"/>
  <c r="F40" i="63"/>
  <c r="E40" i="63"/>
  <c r="D40" i="63"/>
  <c r="L40" i="63"/>
  <c r="J40" i="63"/>
  <c r="N40" i="63"/>
  <c r="B38" i="97"/>
  <c r="AE55" i="102"/>
  <c r="B38" i="98"/>
  <c r="AU37" i="98"/>
  <c r="AV37" i="98" s="1"/>
  <c r="B38" i="101"/>
  <c r="B55" i="101" s="1"/>
  <c r="I213" i="80"/>
  <c r="I43" i="80"/>
  <c r="T51" i="101"/>
  <c r="T50" i="101"/>
  <c r="T53" i="101"/>
  <c r="T54" i="101"/>
  <c r="T52" i="101"/>
  <c r="Z54" i="102"/>
  <c r="Z50" i="102"/>
  <c r="Z51" i="102"/>
  <c r="Z53" i="102"/>
  <c r="Z52" i="102"/>
  <c r="B106" i="88"/>
  <c r="B108" i="88" s="1"/>
  <c r="E40" i="115"/>
  <c r="E41" i="115" s="1"/>
  <c r="E62" i="115" s="1"/>
  <c r="K40" i="115"/>
  <c r="R40" i="115"/>
  <c r="B40" i="115"/>
  <c r="M40" i="115"/>
  <c r="I40" i="115"/>
  <c r="N40" i="115"/>
  <c r="H40" i="115"/>
  <c r="C40" i="115"/>
  <c r="C41" i="115" s="1"/>
  <c r="C62" i="115" s="1"/>
  <c r="J40" i="115"/>
  <c r="F40" i="115"/>
  <c r="P40" i="115"/>
  <c r="D40" i="115"/>
  <c r="D41" i="115" s="1"/>
  <c r="D62" i="115" s="1"/>
  <c r="L40" i="115"/>
  <c r="Q40" i="115"/>
  <c r="G40" i="115"/>
  <c r="O40" i="115"/>
  <c r="AH55" i="97"/>
  <c r="S52" i="101"/>
  <c r="S51" i="101"/>
  <c r="S53" i="101"/>
  <c r="S54" i="101"/>
  <c r="S50" i="101"/>
  <c r="I77" i="80"/>
  <c r="F68" i="63"/>
  <c r="F107" i="88"/>
  <c r="F108" i="88" s="1"/>
  <c r="F101" i="103"/>
  <c r="AW42" i="63"/>
  <c r="AW40" i="63"/>
  <c r="AE55" i="100"/>
  <c r="B100" i="103"/>
  <c r="B102" i="103" s="1"/>
  <c r="AI55" i="97"/>
  <c r="BA79" i="83"/>
  <c r="BC79" i="83"/>
  <c r="AY90" i="83"/>
  <c r="BA90" i="83" s="1"/>
  <c r="U51" i="100"/>
  <c r="U50" i="100"/>
  <c r="U53" i="100"/>
  <c r="U54" i="100"/>
  <c r="U52" i="100"/>
  <c r="BC75" i="83"/>
  <c r="BA75" i="83"/>
  <c r="AY86" i="83"/>
  <c r="BA86" i="83" s="1"/>
  <c r="D108" i="88"/>
  <c r="AJ55" i="97"/>
  <c r="B41" i="93"/>
  <c r="B62" i="93" s="1"/>
  <c r="BC77" i="83"/>
  <c r="BA77" i="83"/>
  <c r="AY88" i="83"/>
  <c r="BA88" i="83" s="1"/>
  <c r="T53" i="99"/>
  <c r="T52" i="99"/>
  <c r="T50" i="99"/>
  <c r="T51" i="99"/>
  <c r="S50" i="100"/>
  <c r="S52" i="100"/>
  <c r="S53" i="100"/>
  <c r="S54" i="100"/>
  <c r="S51" i="100"/>
  <c r="D102" i="103"/>
  <c r="AM55" i="97"/>
  <c r="AY91" i="83"/>
  <c r="BA91" i="83" s="1"/>
  <c r="AV44" i="113"/>
  <c r="BC80" i="83"/>
  <c r="BA80" i="83"/>
  <c r="U51" i="99"/>
  <c r="U50" i="99"/>
  <c r="U53" i="99"/>
  <c r="U52" i="99"/>
  <c r="AD55" i="99"/>
  <c r="B41" i="113"/>
  <c r="Y37" i="99"/>
  <c r="Y38" i="99" s="1"/>
  <c r="Y39" i="99" s="1"/>
  <c r="X37" i="99"/>
  <c r="X38" i="99" s="1"/>
  <c r="X39" i="99" s="1"/>
  <c r="T51" i="100"/>
  <c r="T52" i="100"/>
  <c r="T54" i="100"/>
  <c r="T50" i="100"/>
  <c r="T53" i="100"/>
  <c r="U53" i="101"/>
  <c r="U51" i="101"/>
  <c r="U52" i="101"/>
  <c r="U54" i="101"/>
  <c r="U50" i="101"/>
  <c r="AE83" i="83"/>
  <c r="AE82" i="83"/>
  <c r="AO55" i="97"/>
  <c r="AK55" i="97"/>
  <c r="U40" i="63"/>
  <c r="T40" i="63"/>
  <c r="S50" i="99"/>
  <c r="S51" i="99"/>
  <c r="S52" i="99"/>
  <c r="S53" i="99"/>
  <c r="B40" i="76"/>
  <c r="I40" i="76"/>
  <c r="F40" i="76"/>
  <c r="D40" i="76"/>
  <c r="D41" i="76" s="1"/>
  <c r="D62" i="76" s="1"/>
  <c r="R40" i="76"/>
  <c r="N40" i="76"/>
  <c r="O40" i="76"/>
  <c r="L40" i="76"/>
  <c r="K40" i="76"/>
  <c r="E40" i="76"/>
  <c r="E41" i="76" s="1"/>
  <c r="E62" i="76" s="1"/>
  <c r="C40" i="76"/>
  <c r="C41" i="76" s="1"/>
  <c r="C62" i="76" s="1"/>
  <c r="H40" i="76"/>
  <c r="J40" i="76"/>
  <c r="M40" i="76"/>
  <c r="P40" i="76"/>
  <c r="Q40" i="76"/>
  <c r="G40" i="76"/>
  <c r="U53" i="97"/>
  <c r="U50" i="97"/>
  <c r="U52" i="97"/>
  <c r="U51" i="97"/>
  <c r="U54" i="97"/>
  <c r="BA74" i="83"/>
  <c r="BC74" i="83"/>
  <c r="AY85" i="83"/>
  <c r="BA85" i="83" s="1"/>
  <c r="BA76" i="83"/>
  <c r="BC76" i="83"/>
  <c r="AY87" i="83"/>
  <c r="BA87" i="83" s="1"/>
  <c r="AE53" i="99"/>
  <c r="AE51" i="99"/>
  <c r="AE52" i="99"/>
  <c r="AE50" i="99"/>
  <c r="X37" i="101"/>
  <c r="X38" i="101" s="1"/>
  <c r="X39" i="101" s="1"/>
  <c r="Y37" i="101"/>
  <c r="Y38" i="101" s="1"/>
  <c r="Y39" i="101" s="1"/>
  <c r="S55" i="102" l="1"/>
  <c r="T55" i="102"/>
  <c r="T53" i="97"/>
  <c r="T51" i="97"/>
  <c r="T50" i="97"/>
  <c r="T54" i="97"/>
  <c r="X50" i="102"/>
  <c r="S53" i="97"/>
  <c r="S51" i="97"/>
  <c r="S55" i="98"/>
  <c r="X54" i="102"/>
  <c r="X52" i="102"/>
  <c r="X53" i="102"/>
  <c r="AU53" i="102" s="1"/>
  <c r="S54" i="97"/>
  <c r="S52" i="97"/>
  <c r="T55" i="98"/>
  <c r="Y51" i="102"/>
  <c r="AU51" i="102" s="1"/>
  <c r="Y52" i="102"/>
  <c r="Y50" i="102"/>
  <c r="AV37" i="100"/>
  <c r="AU37" i="102"/>
  <c r="AV37" i="102" s="1"/>
  <c r="Y54" i="102"/>
  <c r="X37" i="97"/>
  <c r="X38" i="97" s="1"/>
  <c r="X39" i="97" s="1"/>
  <c r="X52" i="97" s="1"/>
  <c r="Y37" i="97"/>
  <c r="Y38" i="97" s="1"/>
  <c r="Y39" i="97" s="1"/>
  <c r="Y53" i="97" s="1"/>
  <c r="BC72" i="83"/>
  <c r="U55" i="100"/>
  <c r="AE55" i="99"/>
  <c r="U55" i="101"/>
  <c r="AY83" i="83"/>
  <c r="BA83" i="83" s="1"/>
  <c r="BB79" i="83"/>
  <c r="BA72" i="83"/>
  <c r="R40" i="88"/>
  <c r="R37" i="103"/>
  <c r="P37" i="103"/>
  <c r="P40" i="88"/>
  <c r="X54" i="101"/>
  <c r="X50" i="101"/>
  <c r="X52" i="101"/>
  <c r="X51" i="101"/>
  <c r="X53" i="101"/>
  <c r="BB73" i="83"/>
  <c r="T55" i="100"/>
  <c r="B41" i="115"/>
  <c r="B62" i="115" s="1"/>
  <c r="T55" i="101"/>
  <c r="E41" i="63"/>
  <c r="E62" i="63" s="1"/>
  <c r="E64" i="88" s="1"/>
  <c r="E37" i="103"/>
  <c r="E38" i="103" s="1"/>
  <c r="E57" i="103" s="1"/>
  <c r="E40" i="88"/>
  <c r="E41" i="88" s="1"/>
  <c r="E63" i="88" s="1"/>
  <c r="K40" i="88"/>
  <c r="K37" i="103"/>
  <c r="F40" i="88"/>
  <c r="F37" i="103"/>
  <c r="B37" i="103"/>
  <c r="B38" i="103" s="1"/>
  <c r="B57" i="103" s="1"/>
  <c r="B41" i="63"/>
  <c r="B62" i="63" s="1"/>
  <c r="B40" i="88"/>
  <c r="AX43" i="88"/>
  <c r="B55" i="98"/>
  <c r="C41" i="63"/>
  <c r="C62" i="63" s="1"/>
  <c r="C64" i="88" s="1"/>
  <c r="C40" i="88"/>
  <c r="C41" i="88" s="1"/>
  <c r="C63" i="88" s="1"/>
  <c r="C37" i="103"/>
  <c r="C38" i="103" s="1"/>
  <c r="C57" i="103" s="1"/>
  <c r="AU37" i="99"/>
  <c r="B41" i="76"/>
  <c r="B62" i="76" s="1"/>
  <c r="S55" i="99"/>
  <c r="T37" i="103"/>
  <c r="T40" i="88"/>
  <c r="AU51" i="100"/>
  <c r="T55" i="99"/>
  <c r="N40" i="88"/>
  <c r="N37" i="103"/>
  <c r="H40" i="88"/>
  <c r="H37" i="103"/>
  <c r="S55" i="100"/>
  <c r="AU50" i="100"/>
  <c r="B41" i="77"/>
  <c r="B62" i="77" s="1"/>
  <c r="S37" i="103"/>
  <c r="S40" i="88"/>
  <c r="X53" i="99"/>
  <c r="X52" i="99"/>
  <c r="X51" i="99"/>
  <c r="X50" i="99"/>
  <c r="U55" i="99"/>
  <c r="AU54" i="100"/>
  <c r="Z55" i="102"/>
  <c r="J40" i="88"/>
  <c r="J37" i="103"/>
  <c r="Y54" i="101"/>
  <c r="Y53" i="101"/>
  <c r="Y50" i="101"/>
  <c r="Y52" i="101"/>
  <c r="Y51" i="101"/>
  <c r="U55" i="97"/>
  <c r="U40" i="88"/>
  <c r="U37" i="103"/>
  <c r="Y53" i="99"/>
  <c r="Y51" i="99"/>
  <c r="Y52" i="99"/>
  <c r="Y50" i="99"/>
  <c r="B62" i="113"/>
  <c r="AU53" i="100"/>
  <c r="F102" i="103"/>
  <c r="AU37" i="101"/>
  <c r="L40" i="88"/>
  <c r="L37" i="103"/>
  <c r="B41" i="78"/>
  <c r="B62" i="78" s="1"/>
  <c r="W51" i="97"/>
  <c r="W52" i="97"/>
  <c r="W50" i="97"/>
  <c r="W53" i="97"/>
  <c r="W54" i="97"/>
  <c r="S55" i="101"/>
  <c r="AU52" i="100"/>
  <c r="AX40" i="88"/>
  <c r="C7" i="81"/>
  <c r="AA7" i="81" s="1"/>
  <c r="B55" i="97"/>
  <c r="D37" i="103"/>
  <c r="D38" i="103" s="1"/>
  <c r="D57" i="103" s="1"/>
  <c r="D41" i="63"/>
  <c r="D62" i="63" s="1"/>
  <c r="D64" i="88" s="1"/>
  <c r="D40" i="88"/>
  <c r="D41" i="88" s="1"/>
  <c r="D63" i="88" s="1"/>
  <c r="G37" i="103"/>
  <c r="G40" i="88"/>
  <c r="B64" i="88" l="1"/>
  <c r="T55" i="97"/>
  <c r="S55" i="97"/>
  <c r="AU50" i="102"/>
  <c r="AU54" i="102"/>
  <c r="X55" i="102"/>
  <c r="AU52" i="102"/>
  <c r="AU52" i="101"/>
  <c r="X51" i="97"/>
  <c r="Y51" i="97"/>
  <c r="X50" i="97"/>
  <c r="Y55" i="102"/>
  <c r="AU38" i="97"/>
  <c r="AU39" i="97" s="1"/>
  <c r="Y54" i="97"/>
  <c r="X54" i="97"/>
  <c r="X53" i="97"/>
  <c r="AU53" i="97" s="1"/>
  <c r="Y52" i="97"/>
  <c r="AU52" i="97" s="1"/>
  <c r="Y50" i="97"/>
  <c r="AU37" i="97"/>
  <c r="AV37" i="97" s="1"/>
  <c r="AU52" i="99"/>
  <c r="AU55" i="100"/>
  <c r="AU51" i="99"/>
  <c r="AU51" i="101"/>
  <c r="AU50" i="101"/>
  <c r="X55" i="99"/>
  <c r="AU53" i="101"/>
  <c r="AU53" i="99"/>
  <c r="AU38" i="99"/>
  <c r="AU39" i="99" s="1"/>
  <c r="AV37" i="99"/>
  <c r="E58" i="103"/>
  <c r="E59" i="103" s="1"/>
  <c r="E65" i="88"/>
  <c r="X55" i="101"/>
  <c r="D65" i="88"/>
  <c r="D58" i="103"/>
  <c r="D59" i="103" s="1"/>
  <c r="G8" i="80"/>
  <c r="I8" i="80" s="1"/>
  <c r="D7" i="81"/>
  <c r="B41" i="88"/>
  <c r="AU54" i="101"/>
  <c r="AY52" i="88"/>
  <c r="AZ34" i="88"/>
  <c r="AZ38" i="88" s="1"/>
  <c r="AU38" i="101"/>
  <c r="AU39" i="101" s="1"/>
  <c r="AV37" i="101"/>
  <c r="Y55" i="99"/>
  <c r="AU50" i="99"/>
  <c r="B58" i="103"/>
  <c r="B59" i="103" s="1"/>
  <c r="W55" i="97"/>
  <c r="Y55" i="101"/>
  <c r="C58" i="103"/>
  <c r="C59" i="103" s="1"/>
  <c r="C65" i="88"/>
  <c r="AU55" i="102" l="1"/>
  <c r="X55" i="97"/>
  <c r="AU51" i="97"/>
  <c r="AU54" i="97"/>
  <c r="Y55" i="97"/>
  <c r="AU50" i="97"/>
  <c r="AU55" i="99"/>
  <c r="AB7" i="81"/>
  <c r="BA35" i="88"/>
  <c r="BA32" i="103"/>
  <c r="B63" i="88"/>
  <c r="G283" i="80"/>
  <c r="AU55" i="101"/>
  <c r="B65" i="88" l="1"/>
  <c r="AU55" i="97"/>
  <c r="I283" i="80"/>
  <c r="L8" i="80" l="1"/>
  <c r="G253" i="80" l="1"/>
  <c r="I253" i="80" s="1"/>
  <c r="X9" i="81"/>
  <c r="J253" i="80" l="1"/>
  <c r="L253" i="80" l="1"/>
  <c r="B62" i="85" l="1"/>
  <c r="K48" i="85" l="1"/>
  <c r="L48" i="85" s="1"/>
  <c r="B56" i="85"/>
  <c r="F47" i="85" l="1"/>
  <c r="F49" i="85" s="1"/>
  <c r="M10" i="85"/>
  <c r="O10" i="85" s="1"/>
  <c r="M62" i="85"/>
  <c r="G62" i="85"/>
  <c r="B70" i="85"/>
  <c r="F70" i="85" l="1"/>
  <c r="W16" i="81" l="1"/>
  <c r="X16" i="81" l="1"/>
  <c r="G58" i="80"/>
  <c r="I58" i="80" s="1"/>
  <c r="H20" i="81"/>
  <c r="I272" i="80" l="1"/>
  <c r="AW137" i="88" l="1"/>
  <c r="AP22" i="103"/>
  <c r="AN25" i="88"/>
  <c r="AN22" i="103"/>
  <c r="AN29" i="88"/>
  <c r="AN26" i="103"/>
  <c r="AX118" i="88" l="1"/>
  <c r="AZ117" i="88" l="1"/>
  <c r="C22" i="81" l="1"/>
  <c r="D22" i="81" l="1"/>
  <c r="G25" i="80"/>
  <c r="I25" i="80" l="1"/>
  <c r="BF33" i="88" l="1"/>
  <c r="BI38" i="88" l="1"/>
  <c r="BI35" i="88"/>
  <c r="BF40" i="88" l="1"/>
  <c r="BF59" i="88" l="1"/>
  <c r="BF58" i="88"/>
  <c r="G233" i="80" l="1"/>
  <c r="J233" i="80" s="1"/>
  <c r="L233" i="80" s="1"/>
  <c r="K13" i="81"/>
  <c r="G152" i="80" s="1"/>
  <c r="I152" i="80" s="1"/>
  <c r="G256" i="80"/>
  <c r="J256" i="80" s="1"/>
  <c r="I233" i="80" l="1"/>
  <c r="I256" i="80"/>
  <c r="L256" i="80"/>
  <c r="G85" i="80" l="1"/>
  <c r="I85" i="80" s="1"/>
  <c r="P14" i="81"/>
  <c r="G221" i="80"/>
  <c r="I221" i="80" s="1"/>
  <c r="T14" i="81"/>
  <c r="G153" i="80" l="1"/>
  <c r="I153" i="80" s="1"/>
  <c r="L14" i="81"/>
  <c r="AB11" i="81" l="1"/>
  <c r="AP24" i="113" l="1"/>
  <c r="AP28" i="113"/>
  <c r="AP28" i="93"/>
  <c r="AU28" i="113" l="1"/>
  <c r="AU24" i="113"/>
  <c r="AP25" i="88"/>
  <c r="AU28" i="93"/>
  <c r="AP29" i="88"/>
  <c r="AU135" i="88"/>
  <c r="AU136" i="88" s="1"/>
  <c r="AP26" i="103"/>
  <c r="AZ105" i="88"/>
  <c r="BA105" i="88" s="1"/>
  <c r="AZ118" i="88"/>
  <c r="AZ119" i="88" s="1"/>
  <c r="AW138" i="88"/>
  <c r="AW139" i="88" s="1"/>
  <c r="AW140" i="88" s="1"/>
  <c r="AO24" i="78"/>
  <c r="AO28" i="78"/>
  <c r="AQ24" i="76"/>
  <c r="AQ28" i="76"/>
  <c r="AO25" i="88" l="1"/>
  <c r="AO22" i="103"/>
  <c r="AU24" i="78"/>
  <c r="AQ26" i="103"/>
  <c r="AQ29" i="88"/>
  <c r="AQ22" i="103"/>
  <c r="AQ25" i="88"/>
  <c r="AO26" i="103"/>
  <c r="AO29" i="88"/>
  <c r="AU28" i="78"/>
  <c r="AP30" i="105" s="1"/>
  <c r="AP32" i="105"/>
  <c r="AR24" i="95" l="1"/>
  <c r="AR28" i="95"/>
  <c r="AR24" i="115"/>
  <c r="AR28" i="115"/>
  <c r="AS24" i="63"/>
  <c r="AS28" i="63"/>
  <c r="AS28" i="76"/>
  <c r="AS24" i="76"/>
  <c r="AT22" i="103" l="1"/>
  <c r="AT25" i="88"/>
  <c r="AU24" i="77"/>
  <c r="AT26" i="103"/>
  <c r="AT29" i="88"/>
  <c r="AP29" i="105"/>
  <c r="AU24" i="76"/>
  <c r="AU28" i="76"/>
  <c r="AP31" i="105" s="1"/>
  <c r="AS29" i="88"/>
  <c r="AS26" i="103"/>
  <c r="AU28" i="63"/>
  <c r="AS25" i="88"/>
  <c r="AS22" i="103"/>
  <c r="AU24" i="63"/>
  <c r="AU28" i="115"/>
  <c r="AU24" i="115"/>
  <c r="AU28" i="95"/>
  <c r="AP34" i="105" s="1"/>
  <c r="AR29" i="88"/>
  <c r="AR26" i="103"/>
  <c r="AU24" i="95"/>
  <c r="AR25" i="88"/>
  <c r="AR22" i="103"/>
  <c r="AU26" i="103" l="1"/>
  <c r="AU25" i="88"/>
  <c r="AU22" i="103"/>
  <c r="AP33" i="105"/>
  <c r="AY29" i="88"/>
  <c r="AU29" i="88"/>
  <c r="AP36" i="105" l="1"/>
  <c r="Y14" i="1" l="1"/>
  <c r="AV21" i="97" l="1"/>
  <c r="X14" i="1"/>
  <c r="AV24" i="63"/>
  <c r="Y18" i="1"/>
  <c r="AW24" i="63" l="1"/>
  <c r="AD14" i="1"/>
  <c r="AV25" i="97"/>
  <c r="AW25" i="97" s="1"/>
  <c r="AV28" i="63"/>
  <c r="AW28" i="63" s="1"/>
  <c r="P15" i="2"/>
  <c r="P15" i="16"/>
  <c r="X18" i="1"/>
  <c r="H15" i="10"/>
  <c r="AW21" i="97"/>
  <c r="AV26" i="97"/>
  <c r="L15" i="10" l="1"/>
  <c r="N15" i="10" s="1"/>
  <c r="P15" i="10" s="1"/>
  <c r="H161" i="10"/>
  <c r="E71" i="12"/>
  <c r="G73" i="12" s="1"/>
  <c r="G74" i="12" s="1"/>
  <c r="P160" i="16"/>
  <c r="T15" i="16"/>
  <c r="T15" i="2"/>
  <c r="W15" i="2" s="1"/>
  <c r="P160" i="2"/>
  <c r="P15" i="8"/>
  <c r="E37" i="12"/>
  <c r="AE14" i="1"/>
  <c r="AD18" i="1"/>
  <c r="G36" i="12" l="1"/>
  <c r="G39" i="12"/>
  <c r="G40" i="12" s="1"/>
  <c r="P89" i="8"/>
  <c r="R15" i="8"/>
  <c r="R89" i="8" s="1"/>
  <c r="J15" i="16"/>
  <c r="H15" i="16"/>
  <c r="T114" i="14"/>
  <c r="L15" i="2"/>
  <c r="K15" i="2"/>
  <c r="AE18" i="1"/>
  <c r="L15" i="16"/>
  <c r="F144" i="14"/>
  <c r="G144" i="14" s="1"/>
  <c r="H15" i="2"/>
  <c r="G15" i="2"/>
  <c r="G15" i="16"/>
  <c r="J15" i="2"/>
  <c r="K15" i="16"/>
  <c r="AG14" i="1"/>
  <c r="AG18" i="1" s="1"/>
  <c r="AF19" i="1" l="1"/>
  <c r="AF20" i="1" s="1"/>
  <c r="K15" i="8"/>
  <c r="F46" i="6"/>
  <c r="L15" i="8"/>
  <c r="F42" i="6"/>
  <c r="H15" i="8"/>
  <c r="J15" i="8"/>
  <c r="C17" i="12"/>
  <c r="G15" i="8"/>
  <c r="F40" i="6"/>
  <c r="Y71" i="1" l="1"/>
  <c r="X71" i="1" l="1"/>
  <c r="AV24" i="95"/>
  <c r="AV21" i="100"/>
  <c r="Y75" i="1"/>
  <c r="Y91" i="1"/>
  <c r="X91" i="1" s="1"/>
  <c r="AV21" i="101" l="1"/>
  <c r="AV24" i="77"/>
  <c r="Y95" i="1"/>
  <c r="AW21" i="100"/>
  <c r="AW24" i="95"/>
  <c r="AV25" i="100"/>
  <c r="AW25" i="100" s="1"/>
  <c r="AV28" i="95"/>
  <c r="AW28" i="95" s="1"/>
  <c r="AD71" i="1"/>
  <c r="X75" i="1"/>
  <c r="Y52" i="1"/>
  <c r="X52" i="1" l="1"/>
  <c r="Y56" i="1"/>
  <c r="AV21" i="99"/>
  <c r="AV24" i="76"/>
  <c r="AE71" i="1"/>
  <c r="AD75" i="1"/>
  <c r="AV26" i="100"/>
  <c r="AW24" i="77"/>
  <c r="AW21" i="101"/>
  <c r="X95" i="1"/>
  <c r="AD91" i="1"/>
  <c r="AV25" i="101"/>
  <c r="AW25" i="101" s="1"/>
  <c r="AV28" i="77"/>
  <c r="AW28" i="77" s="1"/>
  <c r="AV26" i="101" l="1"/>
  <c r="AW26" i="101" s="1"/>
  <c r="AV28" i="100"/>
  <c r="AW28" i="100" s="1"/>
  <c r="AW26" i="100"/>
  <c r="AE75" i="1"/>
  <c r="AG71" i="1"/>
  <c r="AG75" i="1" s="1"/>
  <c r="F29" i="85"/>
  <c r="AW24" i="76"/>
  <c r="AW21" i="99"/>
  <c r="AV26" i="99"/>
  <c r="AW26" i="99" s="1"/>
  <c r="AY41" i="99" s="1"/>
  <c r="AE91" i="1"/>
  <c r="AD95" i="1"/>
  <c r="J39" i="10"/>
  <c r="R39" i="16"/>
  <c r="AD52" i="1"/>
  <c r="R39" i="2"/>
  <c r="AV25" i="99"/>
  <c r="AW25" i="99" s="1"/>
  <c r="X56" i="1"/>
  <c r="AV28" i="76"/>
  <c r="AW28" i="76" s="1"/>
  <c r="AG91" i="1" l="1"/>
  <c r="AG95" i="1" s="1"/>
  <c r="AE95" i="1"/>
  <c r="G54" i="2" s="1"/>
  <c r="G54" i="8" s="1"/>
  <c r="J54" i="2"/>
  <c r="I54" i="16"/>
  <c r="L54" i="16"/>
  <c r="J54" i="16"/>
  <c r="I54" i="2"/>
  <c r="I54" i="8" s="1"/>
  <c r="G54" i="16"/>
  <c r="H54" i="2"/>
  <c r="H54" i="8" s="1"/>
  <c r="K54" i="16"/>
  <c r="H54" i="16"/>
  <c r="D13" i="21"/>
  <c r="R160" i="2"/>
  <c r="AE52" i="1"/>
  <c r="K39" i="10"/>
  <c r="K161" i="10" s="1"/>
  <c r="AD56" i="1"/>
  <c r="S39" i="16"/>
  <c r="S160" i="16" s="1"/>
  <c r="S39" i="2"/>
  <c r="S160" i="2" s="1"/>
  <c r="F65" i="85"/>
  <c r="G65" i="85" s="1"/>
  <c r="AF76" i="1"/>
  <c r="AF77" i="1" s="1"/>
  <c r="R160" i="16"/>
  <c r="J161" i="10"/>
  <c r="L39" i="10"/>
  <c r="L54" i="2" l="1"/>
  <c r="L54" i="8" s="1"/>
  <c r="T39" i="16"/>
  <c r="T160" i="16" s="1"/>
  <c r="L161" i="10"/>
  <c r="N39" i="10"/>
  <c r="N161" i="10" s="1"/>
  <c r="P161" i="10" s="1"/>
  <c r="T39" i="2"/>
  <c r="T160" i="2" s="1"/>
  <c r="W160" i="2" s="1"/>
  <c r="C260" i="12"/>
  <c r="J54" i="8"/>
  <c r="AE56" i="1"/>
  <c r="I39" i="2" s="1"/>
  <c r="E62" i="57"/>
  <c r="E63" i="57" s="1"/>
  <c r="AG52" i="1"/>
  <c r="H39" i="2"/>
  <c r="J39" i="2"/>
  <c r="K54" i="2"/>
  <c r="K54" i="8" s="1"/>
  <c r="L56" i="16"/>
  <c r="L162" i="16" s="1"/>
  <c r="K56" i="16"/>
  <c r="H52" i="2"/>
  <c r="K56" i="2"/>
  <c r="K56" i="8" s="1"/>
  <c r="H55" i="16"/>
  <c r="K53" i="2"/>
  <c r="K53" i="8" s="1"/>
  <c r="I55" i="16"/>
  <c r="G55" i="16"/>
  <c r="I55" i="2"/>
  <c r="I55" i="8" s="1"/>
  <c r="I52" i="2"/>
  <c r="G55" i="2"/>
  <c r="G55" i="8" s="1"/>
  <c r="H56" i="2"/>
  <c r="G52" i="2"/>
  <c r="F63" i="85"/>
  <c r="G63" i="85" s="1"/>
  <c r="J53" i="16"/>
  <c r="K55" i="16"/>
  <c r="I52" i="16"/>
  <c r="L56" i="2"/>
  <c r="L55" i="16"/>
  <c r="K52" i="16"/>
  <c r="G53" i="16"/>
  <c r="J52" i="16"/>
  <c r="L52" i="16"/>
  <c r="J52" i="2"/>
  <c r="K52" i="2"/>
  <c r="H52" i="16"/>
  <c r="AF96" i="1"/>
  <c r="AF97" i="1" s="1"/>
  <c r="H53" i="2"/>
  <c r="H53" i="8" s="1"/>
  <c r="L53" i="16"/>
  <c r="K55" i="2"/>
  <c r="K55" i="8" s="1"/>
  <c r="H55" i="2"/>
  <c r="H55" i="8" s="1"/>
  <c r="H53" i="16"/>
  <c r="J53" i="2"/>
  <c r="I53" i="2"/>
  <c r="I53" i="8" s="1"/>
  <c r="L55" i="2"/>
  <c r="L55" i="8" s="1"/>
  <c r="H56" i="16"/>
  <c r="H162" i="16" s="1"/>
  <c r="L52" i="2"/>
  <c r="G53" i="2"/>
  <c r="G53" i="8" s="1"/>
  <c r="G52" i="16"/>
  <c r="L53" i="2"/>
  <c r="L53" i="8" s="1"/>
  <c r="I53" i="16"/>
  <c r="K53" i="16"/>
  <c r="G39" i="16" l="1"/>
  <c r="G160" i="16" s="1"/>
  <c r="K39" i="2"/>
  <c r="I39" i="16"/>
  <c r="I160" i="16" s="1"/>
  <c r="L39" i="16"/>
  <c r="L160" i="16" s="1"/>
  <c r="G39" i="2"/>
  <c r="G160" i="2" s="1"/>
  <c r="K58" i="16"/>
  <c r="J39" i="8"/>
  <c r="J89" i="8" s="1"/>
  <c r="J160" i="2"/>
  <c r="J53" i="8"/>
  <c r="C259" i="12"/>
  <c r="H39" i="8"/>
  <c r="H89" i="8" s="1"/>
  <c r="H160" i="2"/>
  <c r="K39" i="16"/>
  <c r="K160" i="16" s="1"/>
  <c r="F64" i="85"/>
  <c r="G64" i="85" s="1"/>
  <c r="G37" i="16"/>
  <c r="J38" i="16"/>
  <c r="J159" i="16" s="1"/>
  <c r="K40" i="2"/>
  <c r="H37" i="16"/>
  <c r="H37" i="2"/>
  <c r="L38" i="2"/>
  <c r="L40" i="2"/>
  <c r="J37" i="2"/>
  <c r="AF57" i="1"/>
  <c r="AF58" i="1" s="1"/>
  <c r="J37" i="16"/>
  <c r="H38" i="2"/>
  <c r="G37" i="2"/>
  <c r="K38" i="16"/>
  <c r="K159" i="16" s="1"/>
  <c r="I37" i="16"/>
  <c r="G40" i="16"/>
  <c r="G161" i="16" s="1"/>
  <c r="K41" i="2"/>
  <c r="I38" i="16"/>
  <c r="I159" i="16" s="1"/>
  <c r="L37" i="2"/>
  <c r="L38" i="16"/>
  <c r="L159" i="16" s="1"/>
  <c r="G38" i="2"/>
  <c r="K37" i="16"/>
  <c r="AG56" i="1"/>
  <c r="I40" i="2"/>
  <c r="H40" i="2"/>
  <c r="K41" i="16"/>
  <c r="K162" i="16" s="1"/>
  <c r="H40" i="16"/>
  <c r="H161" i="16" s="1"/>
  <c r="K38" i="2"/>
  <c r="K40" i="16"/>
  <c r="K161" i="16" s="1"/>
  <c r="L37" i="16"/>
  <c r="I38" i="2"/>
  <c r="I40" i="16"/>
  <c r="I161" i="16" s="1"/>
  <c r="G40" i="2"/>
  <c r="H38" i="16"/>
  <c r="H159" i="16" s="1"/>
  <c r="I37" i="2"/>
  <c r="G38" i="16"/>
  <c r="G159" i="16" s="1"/>
  <c r="K37" i="2"/>
  <c r="L40" i="16"/>
  <c r="L161" i="16" s="1"/>
  <c r="J38" i="2"/>
  <c r="K39" i="8"/>
  <c r="K89" i="8" s="1"/>
  <c r="K160" i="2"/>
  <c r="L56" i="8"/>
  <c r="L91" i="8" s="1"/>
  <c r="L162" i="2"/>
  <c r="H58" i="2"/>
  <c r="H52" i="8"/>
  <c r="G58" i="2"/>
  <c r="G52" i="8"/>
  <c r="G58" i="8" s="1"/>
  <c r="G39" i="8"/>
  <c r="G89" i="8" s="1"/>
  <c r="H162" i="2"/>
  <c r="H56" i="8"/>
  <c r="H91" i="8" s="1"/>
  <c r="K58" i="2"/>
  <c r="K52" i="8"/>
  <c r="K58" i="8" s="1"/>
  <c r="H39" i="16"/>
  <c r="H160" i="16" s="1"/>
  <c r="I58" i="16"/>
  <c r="H58" i="16"/>
  <c r="I39" i="8"/>
  <c r="I89" i="8" s="1"/>
  <c r="I160" i="2"/>
  <c r="G58" i="16"/>
  <c r="C258" i="12"/>
  <c r="J58" i="2"/>
  <c r="J59" i="2" s="1"/>
  <c r="J52" i="8"/>
  <c r="I58" i="2"/>
  <c r="I52" i="8"/>
  <c r="I58" i="8" s="1"/>
  <c r="L58" i="2"/>
  <c r="L52" i="8"/>
  <c r="L58" i="16"/>
  <c r="J39" i="16"/>
  <c r="J160" i="16" s="1"/>
  <c r="J58" i="16"/>
  <c r="J59" i="16" s="1"/>
  <c r="L39" i="2"/>
  <c r="L58" i="8" l="1"/>
  <c r="E261" i="12"/>
  <c r="H58" i="8"/>
  <c r="H37" i="8"/>
  <c r="H158" i="2"/>
  <c r="H164" i="2" s="1"/>
  <c r="H43" i="2"/>
  <c r="H43" i="16"/>
  <c r="H158" i="16"/>
  <c r="H164" i="16" s="1"/>
  <c r="K161" i="2"/>
  <c r="K40" i="8"/>
  <c r="K90" i="8" s="1"/>
  <c r="I38" i="8"/>
  <c r="I88" i="8" s="1"/>
  <c r="I159" i="2"/>
  <c r="K162" i="2"/>
  <c r="K41" i="8"/>
  <c r="K91" i="8" s="1"/>
  <c r="L43" i="16"/>
  <c r="L158" i="16"/>
  <c r="L164" i="16" s="1"/>
  <c r="G43" i="16"/>
  <c r="G158" i="16"/>
  <c r="G164" i="16" s="1"/>
  <c r="L39" i="8"/>
  <c r="L89" i="8" s="1"/>
  <c r="L160" i="2"/>
  <c r="I158" i="16"/>
  <c r="I164" i="16" s="1"/>
  <c r="I43" i="16"/>
  <c r="K38" i="8"/>
  <c r="K88" i="8" s="1"/>
  <c r="K159" i="2"/>
  <c r="G37" i="8"/>
  <c r="G158" i="2"/>
  <c r="G164" i="2" s="1"/>
  <c r="G43" i="2"/>
  <c r="L43" i="2"/>
  <c r="L37" i="8"/>
  <c r="L158" i="2"/>
  <c r="L164" i="2" s="1"/>
  <c r="H38" i="8"/>
  <c r="H88" i="8" s="1"/>
  <c r="H159" i="2"/>
  <c r="J38" i="8"/>
  <c r="J88" i="8" s="1"/>
  <c r="J159" i="2"/>
  <c r="H40" i="8"/>
  <c r="H90" i="8" s="1"/>
  <c r="H161" i="2"/>
  <c r="I40" i="8"/>
  <c r="I90" i="8" s="1"/>
  <c r="I161" i="2"/>
  <c r="K158" i="2"/>
  <c r="K164" i="2" s="1"/>
  <c r="K43" i="2"/>
  <c r="K37" i="8"/>
  <c r="G40" i="8"/>
  <c r="G90" i="8" s="1"/>
  <c r="G161" i="2"/>
  <c r="J158" i="16"/>
  <c r="J164" i="16" s="1"/>
  <c r="J166" i="16" s="1"/>
  <c r="L166" i="16" s="1"/>
  <c r="J43" i="16"/>
  <c r="J44" i="16" s="1"/>
  <c r="C210" i="12"/>
  <c r="J158" i="2"/>
  <c r="J164" i="2" s="1"/>
  <c r="J166" i="2" s="1"/>
  <c r="J37" i="8"/>
  <c r="J43" i="2"/>
  <c r="J44" i="2" s="1"/>
  <c r="K43" i="16"/>
  <c r="K158" i="16"/>
  <c r="K164" i="16" s="1"/>
  <c r="L161" i="2"/>
  <c r="L40" i="8"/>
  <c r="L90" i="8" s="1"/>
  <c r="J58" i="8"/>
  <c r="K108" i="8" s="1"/>
  <c r="I37" i="8"/>
  <c r="I43" i="2"/>
  <c r="I158" i="2"/>
  <c r="I164" i="2" s="1"/>
  <c r="G38" i="8"/>
  <c r="G88" i="8" s="1"/>
  <c r="G159" i="2"/>
  <c r="L159" i="2"/>
  <c r="L38" i="8"/>
  <c r="L88" i="8" s="1"/>
  <c r="L45" i="16" l="1"/>
  <c r="L43" i="8"/>
  <c r="L87" i="8"/>
  <c r="L93" i="8" s="1"/>
  <c r="G87" i="8"/>
  <c r="G93" i="8" s="1"/>
  <c r="G43" i="8"/>
  <c r="L60" i="8"/>
  <c r="I87" i="8"/>
  <c r="I93" i="8" s="1"/>
  <c r="I43" i="8"/>
  <c r="K87" i="8"/>
  <c r="K93" i="8" s="1"/>
  <c r="K43" i="8"/>
  <c r="L45" i="2"/>
  <c r="J43" i="8"/>
  <c r="J87" i="8"/>
  <c r="J93" i="8" s="1"/>
  <c r="H87" i="8"/>
  <c r="H93" i="8" s="1"/>
  <c r="H43" i="8"/>
  <c r="L45" i="8" l="1"/>
  <c r="L48" i="8"/>
  <c r="Y167" i="1" l="1"/>
  <c r="X167" i="1" s="1"/>
  <c r="AV24" i="115" l="1"/>
  <c r="Y171" i="1"/>
  <c r="Y148" i="1"/>
  <c r="X148" i="1" l="1"/>
  <c r="AV24" i="113"/>
  <c r="Y152" i="1"/>
  <c r="AW24" i="115"/>
  <c r="X171" i="1"/>
  <c r="AD167" i="1"/>
  <c r="AV28" i="115"/>
  <c r="AW28" i="115" s="1"/>
  <c r="AE167" i="1" l="1"/>
  <c r="AD171" i="1"/>
  <c r="AW24" i="113"/>
  <c r="AD148" i="1"/>
  <c r="X152" i="1"/>
  <c r="AV28" i="113"/>
  <c r="AW28" i="113" s="1"/>
  <c r="Y33" i="1"/>
  <c r="X33" i="1" l="1"/>
  <c r="AV24" i="93"/>
  <c r="Y37" i="1"/>
  <c r="AV21" i="98"/>
  <c r="AE148" i="1"/>
  <c r="AD152" i="1"/>
  <c r="AG167" i="1"/>
  <c r="AG171" i="1" s="1"/>
  <c r="AE171" i="1"/>
  <c r="E28" i="116"/>
  <c r="F28" i="116" s="1"/>
  <c r="AV30" i="115"/>
  <c r="AW30" i="115" s="1"/>
  <c r="Y110" i="1"/>
  <c r="X110" i="1" l="1"/>
  <c r="AV21" i="102"/>
  <c r="AV24" i="78"/>
  <c r="Y114" i="1"/>
  <c r="Y194" i="1" s="1"/>
  <c r="Y188" i="1"/>
  <c r="Y192" i="1" s="1"/>
  <c r="E93" i="117"/>
  <c r="E94" i="117" s="1"/>
  <c r="AE152" i="1"/>
  <c r="AG148" i="1"/>
  <c r="AG152" i="1" s="1"/>
  <c r="AW21" i="98"/>
  <c r="AW24" i="93"/>
  <c r="AD33" i="1"/>
  <c r="AV28" i="93"/>
  <c r="AW28" i="93" s="1"/>
  <c r="AV25" i="98"/>
  <c r="AW25" i="98" s="1"/>
  <c r="X37" i="1"/>
  <c r="X188" i="1"/>
  <c r="AV25" i="88" l="1"/>
  <c r="AW25" i="88" s="1"/>
  <c r="AV22" i="103"/>
  <c r="AW22" i="103" s="1"/>
  <c r="AW24" i="78"/>
  <c r="AW21" i="102"/>
  <c r="AV25" i="102"/>
  <c r="AW25" i="102" s="1"/>
  <c r="X114" i="1"/>
  <c r="X194" i="1" s="1"/>
  <c r="Z200" i="1" s="1"/>
  <c r="AD110" i="1"/>
  <c r="AV28" i="78"/>
  <c r="AW28" i="78" s="1"/>
  <c r="AE33" i="1"/>
  <c r="AD37" i="1"/>
  <c r="AV26" i="98"/>
  <c r="AD188" i="1"/>
  <c r="AV29" i="88"/>
  <c r="AW29" i="88" s="1"/>
  <c r="X192" i="1"/>
  <c r="AV26" i="103"/>
  <c r="AW26" i="103" s="1"/>
  <c r="AV26" i="102" l="1"/>
  <c r="AW26" i="102" s="1"/>
  <c r="AE110" i="1"/>
  <c r="AD114" i="1"/>
  <c r="AD194" i="1" s="1"/>
  <c r="AF196" i="1"/>
  <c r="X195" i="1"/>
  <c r="AA208" i="1"/>
  <c r="AE188" i="1"/>
  <c r="AD192" i="1"/>
  <c r="AE37" i="1"/>
  <c r="AG33" i="1"/>
  <c r="AG37" i="1" s="1"/>
  <c r="AV27" i="103"/>
  <c r="AD195" i="1" l="1"/>
  <c r="AE114" i="1"/>
  <c r="AG110" i="1"/>
  <c r="AG114" i="1" s="1"/>
  <c r="AG194" i="1" s="1"/>
  <c r="AX27" i="103"/>
  <c r="AF38" i="1"/>
  <c r="AF39" i="1" s="1"/>
  <c r="F67" i="85"/>
  <c r="G67" i="85" s="1"/>
  <c r="AE194" i="1"/>
  <c r="B75" i="85" s="1"/>
  <c r="AE198" i="1"/>
  <c r="N33" i="85"/>
  <c r="AV31" i="88"/>
  <c r="AG188" i="1"/>
  <c r="AG192" i="1" s="1"/>
  <c r="AE192" i="1"/>
  <c r="AE195" i="1" l="1"/>
  <c r="AG195" i="1"/>
  <c r="AF115" i="1"/>
  <c r="AF116" i="1" s="1"/>
  <c r="F66" i="85"/>
  <c r="G66" i="85" s="1"/>
  <c r="X209" i="1" l="1"/>
  <c r="C19" i="80" l="1"/>
  <c r="C37" i="80" s="1"/>
  <c r="H258" i="80" l="1"/>
  <c r="H276" i="80" s="1"/>
  <c r="AO11" i="115" l="1"/>
  <c r="AO29" i="115" s="1"/>
  <c r="AO31" i="115" s="1"/>
  <c r="AR11" i="115"/>
  <c r="AR29" i="115" s="1"/>
  <c r="AR31" i="115" s="1"/>
  <c r="AT11" i="115"/>
  <c r="AT29" i="115" s="1"/>
  <c r="AT31" i="115" s="1"/>
  <c r="AS11" i="115"/>
  <c r="AS29" i="115" s="1"/>
  <c r="AS31" i="115" s="1"/>
  <c r="AP11" i="115"/>
  <c r="AP29" i="115" s="1"/>
  <c r="AP31" i="115" s="1"/>
  <c r="AL11" i="115" l="1"/>
  <c r="AL29" i="115" s="1"/>
  <c r="AL31" i="115" s="1"/>
  <c r="AC11" i="115"/>
  <c r="AC29" i="115" s="1"/>
  <c r="AC31" i="115" s="1"/>
  <c r="AK11" i="115"/>
  <c r="AK29" i="115" s="1"/>
  <c r="AK31" i="115" s="1"/>
  <c r="AJ40" i="115"/>
  <c r="AJ11" i="115"/>
  <c r="AJ29" i="115" s="1"/>
  <c r="AJ31" i="115" s="1"/>
  <c r="AC40" i="115"/>
  <c r="AH11" i="115"/>
  <c r="AH29" i="115" s="1"/>
  <c r="AH31" i="115" s="1"/>
  <c r="AK73" i="115" l="1"/>
  <c r="AK74" i="115" s="1"/>
  <c r="AH73" i="115"/>
  <c r="AH74" i="115" s="1"/>
  <c r="AH91" i="115"/>
  <c r="AH92" i="115" s="1"/>
  <c r="AJ73" i="115"/>
  <c r="AJ74" i="115" s="1"/>
  <c r="AJ91" i="115"/>
  <c r="AJ92" i="115" s="1"/>
  <c r="AL73" i="115"/>
  <c r="AL74" i="115" s="1"/>
  <c r="AL91" i="115"/>
  <c r="AL92" i="115" s="1"/>
  <c r="AM11" i="115"/>
  <c r="AM29" i="115" s="1"/>
  <c r="AM31" i="115" s="1"/>
  <c r="AM40" i="115"/>
  <c r="AI73" i="115"/>
  <c r="AI74" i="115" s="1"/>
  <c r="AI11" i="115"/>
  <c r="AI29" i="115" s="1"/>
  <c r="AI31" i="115" s="1"/>
  <c r="AI91" i="115"/>
  <c r="AI92" i="115" s="1"/>
  <c r="AJ93" i="115" s="1"/>
  <c r="AI40" i="115"/>
  <c r="AD11" i="115"/>
  <c r="AD29" i="115" s="1"/>
  <c r="AD31" i="115" s="1"/>
  <c r="AD40" i="115"/>
  <c r="AE40" i="115" s="1"/>
  <c r="AH40" i="115"/>
  <c r="AK40" i="115"/>
  <c r="AL40" i="115"/>
  <c r="AQ11" i="115"/>
  <c r="AQ29" i="115" s="1"/>
  <c r="AQ31" i="115" s="1"/>
  <c r="AK91" i="115"/>
  <c r="AK92" i="115" s="1"/>
  <c r="AN11" i="115"/>
  <c r="AN29" i="115" s="1"/>
  <c r="AN31" i="115" s="1"/>
  <c r="AN40" i="115"/>
  <c r="AE11" i="115"/>
  <c r="AE29" i="115" s="1"/>
  <c r="AE31" i="115" s="1"/>
  <c r="AG11" i="115"/>
  <c r="AG29" i="115" s="1"/>
  <c r="AG73" i="115"/>
  <c r="AG74" i="115" s="1"/>
  <c r="AG91" i="115"/>
  <c r="AG92" i="115" s="1"/>
  <c r="AB11" i="115"/>
  <c r="Z73" i="115"/>
  <c r="Z74" i="115" s="1"/>
  <c r="Y73" i="115"/>
  <c r="AA91" i="115"/>
  <c r="AA92" i="115" s="1"/>
  <c r="AA73" i="115"/>
  <c r="AA74" i="115" s="1"/>
  <c r="AB91" i="115"/>
  <c r="AB92" i="115" s="1"/>
  <c r="AB73" i="115"/>
  <c r="AB74" i="115" s="1"/>
  <c r="Z91" i="115"/>
  <c r="Z92" i="115" s="1"/>
  <c r="Z93" i="115" s="1"/>
  <c r="AA40" i="115"/>
  <c r="Z40" i="115"/>
  <c r="AB40" i="115"/>
  <c r="AU7" i="115" l="1"/>
  <c r="AD73" i="115"/>
  <c r="AD74" i="115" s="1"/>
  <c r="AE91" i="115"/>
  <c r="AE92" i="115" s="1"/>
  <c r="AD91" i="115"/>
  <c r="AD92" i="115" s="1"/>
  <c r="AE93" i="115" s="1"/>
  <c r="AI94" i="115"/>
  <c r="AH94" i="115"/>
  <c r="AE75" i="115"/>
  <c r="AE79" i="115" s="1"/>
  <c r="AE81" i="115" s="1"/>
  <c r="AE83" i="115" s="1"/>
  <c r="AD76" i="115"/>
  <c r="AB29" i="115"/>
  <c r="AG31" i="115"/>
  <c r="AF11" i="115"/>
  <c r="AF29" i="115" s="1"/>
  <c r="AG40" i="115" s="1"/>
  <c r="AF73" i="115"/>
  <c r="AF74" i="115" s="1"/>
  <c r="AF91" i="115"/>
  <c r="AF92" i="115" s="1"/>
  <c r="AC73" i="115"/>
  <c r="AC74" i="115" s="1"/>
  <c r="AC75" i="115" s="1"/>
  <c r="AC91" i="115"/>
  <c r="AC92" i="115" s="1"/>
  <c r="AC93" i="115" s="1"/>
  <c r="AE73" i="115"/>
  <c r="AE74" i="115" s="1"/>
  <c r="Y74" i="115"/>
  <c r="Z94" i="115"/>
  <c r="Y94" i="115"/>
  <c r="AY28" i="115"/>
  <c r="AM73" i="115"/>
  <c r="AM74" i="115" s="1"/>
  <c r="AN91" i="115"/>
  <c r="AN92" i="115" s="1"/>
  <c r="AM91" i="115"/>
  <c r="AM92" i="115" s="1"/>
  <c r="AN73" i="115"/>
  <c r="AN74" i="115" s="1"/>
  <c r="AL75" i="115"/>
  <c r="AI76" i="115" s="1"/>
  <c r="AJ94" i="115"/>
  <c r="AD94" i="115" l="1"/>
  <c r="AE94" i="115"/>
  <c r="AA94" i="115"/>
  <c r="AB94" i="115"/>
  <c r="AC79" i="115"/>
  <c r="AC81" i="115" s="1"/>
  <c r="AC83" i="115" s="1"/>
  <c r="Z76" i="115"/>
  <c r="AB76" i="115"/>
  <c r="AA76" i="115"/>
  <c r="AG75" i="115"/>
  <c r="AF76" i="115" s="1"/>
  <c r="AG93" i="115"/>
  <c r="AG94" i="115" s="1"/>
  <c r="AF31" i="115"/>
  <c r="AF40" i="115"/>
  <c r="AN75" i="115"/>
  <c r="AN79" i="115" s="1"/>
  <c r="AN81" i="115" s="1"/>
  <c r="AN83" i="115" s="1"/>
  <c r="AB31" i="115"/>
  <c r="AY39" i="115"/>
  <c r="AU11" i="115"/>
  <c r="AU29" i="115" s="1"/>
  <c r="AO74" i="115"/>
  <c r="AL76" i="115"/>
  <c r="AJ76" i="115"/>
  <c r="AH76" i="115"/>
  <c r="AK76" i="115"/>
  <c r="Y75" i="115"/>
  <c r="Y76" i="115" s="1"/>
  <c r="Y40" i="115" s="1"/>
  <c r="AO75" i="115"/>
  <c r="AE76" i="115"/>
  <c r="AC94" i="115"/>
  <c r="AC76" i="115"/>
  <c r="AN93" i="115"/>
  <c r="AF94" i="115" l="1"/>
  <c r="AM76" i="115"/>
  <c r="AU31" i="115"/>
  <c r="AN94" i="115"/>
  <c r="AL94" i="115"/>
  <c r="AK94" i="115"/>
  <c r="AM94" i="115"/>
  <c r="AN76" i="115"/>
  <c r="Y79" i="115"/>
  <c r="Y81" i="115" s="1"/>
  <c r="X76" i="115"/>
  <c r="X40" i="115" s="1"/>
  <c r="AU40" i="115" s="1"/>
  <c r="AG79" i="115"/>
  <c r="AG81" i="115" s="1"/>
  <c r="AG83" i="115" s="1"/>
  <c r="AG76" i="115"/>
  <c r="AV40" i="115" l="1"/>
  <c r="AX40" i="115"/>
  <c r="B247" i="80"/>
  <c r="Y83" i="115"/>
  <c r="AO83" i="115" s="1"/>
  <c r="AO81" i="115"/>
  <c r="AO82" i="115" l="1"/>
  <c r="D247" i="80"/>
  <c r="J247" i="80"/>
  <c r="L247" i="80" s="1"/>
  <c r="AD11" i="113" l="1"/>
  <c r="AD29" i="113" s="1"/>
  <c r="AD31" i="113" s="1"/>
  <c r="AD40" i="113"/>
  <c r="AE11" i="113"/>
  <c r="AE29" i="113" s="1"/>
  <c r="AE31" i="113" s="1"/>
  <c r="AE40" i="113"/>
  <c r="AC11" i="113"/>
  <c r="AC29" i="113" s="1"/>
  <c r="AB11" i="113"/>
  <c r="AB29" i="113" s="1"/>
  <c r="AA73" i="113"/>
  <c r="AA74" i="113" s="1"/>
  <c r="Y73" i="113"/>
  <c r="Y74" i="113" s="1"/>
  <c r="Z73" i="113"/>
  <c r="Z74" i="113" s="1"/>
  <c r="Y91" i="113"/>
  <c r="Y92" i="113" s="1"/>
  <c r="Z91" i="113"/>
  <c r="Z92" i="113" s="1"/>
  <c r="AB91" i="113"/>
  <c r="AB92" i="113" s="1"/>
  <c r="AB73" i="113"/>
  <c r="AB74" i="113" s="1"/>
  <c r="AA91" i="113"/>
  <c r="AA92" i="113" s="1"/>
  <c r="Z75" i="113" l="1"/>
  <c r="Y76" i="113"/>
  <c r="Y40" i="113" s="1"/>
  <c r="AC31" i="113"/>
  <c r="AC40" i="113"/>
  <c r="AB31" i="113"/>
  <c r="AA40" i="113"/>
  <c r="AB40" i="113"/>
  <c r="Z93" i="113"/>
  <c r="Z94" i="113" s="1"/>
  <c r="Y94" i="113" l="1"/>
  <c r="Z76" i="113"/>
  <c r="Z40" i="113" s="1"/>
  <c r="X76" i="113"/>
  <c r="X40" i="113" s="1"/>
  <c r="R17" i="81" l="1"/>
  <c r="R32" i="81" s="1"/>
  <c r="R34" i="81" s="1"/>
  <c r="AB11" i="78" l="1"/>
  <c r="AB29" i="78" s="1"/>
  <c r="AB31" i="78" s="1"/>
  <c r="Y73" i="78"/>
  <c r="Y74" i="78" s="1"/>
  <c r="Y91" i="78"/>
  <c r="Y92" i="78" s="1"/>
  <c r="AD11" i="78"/>
  <c r="AD29" i="78" s="1"/>
  <c r="AD31" i="78" s="1"/>
  <c r="AB11" i="95"/>
  <c r="AB29" i="95" s="1"/>
  <c r="Z91" i="78"/>
  <c r="Z92" i="78" s="1"/>
  <c r="Z93" i="78" l="1"/>
  <c r="Y94" i="78" s="1"/>
  <c r="AD11" i="95"/>
  <c r="AD29" i="95" s="1"/>
  <c r="AC11" i="95"/>
  <c r="AC29" i="95" s="1"/>
  <c r="Z91" i="95" s="1"/>
  <c r="Z92" i="95" s="1"/>
  <c r="AA91" i="78"/>
  <c r="AA92" i="78" s="1"/>
  <c r="AA73" i="78"/>
  <c r="AA74" i="78" s="1"/>
  <c r="AB40" i="78"/>
  <c r="AC11" i="78"/>
  <c r="AC29" i="78" s="1"/>
  <c r="AC31" i="78" s="1"/>
  <c r="AC40" i="78"/>
  <c r="Z73" i="78"/>
  <c r="Z74" i="78" s="1"/>
  <c r="Z75" i="78" s="1"/>
  <c r="AA91" i="95"/>
  <c r="AA92" i="95" s="1"/>
  <c r="AA40" i="78"/>
  <c r="AB31" i="95"/>
  <c r="Y73" i="95"/>
  <c r="Y74" i="95" s="1"/>
  <c r="Y91" i="95"/>
  <c r="Y92" i="95" s="1"/>
  <c r="Z73" i="95" l="1"/>
  <c r="Z74" i="95" s="1"/>
  <c r="AA73" i="95"/>
  <c r="AA74" i="95" s="1"/>
  <c r="Z94" i="78"/>
  <c r="Z76" i="78"/>
  <c r="Z40" i="78" s="1"/>
  <c r="X76" i="78"/>
  <c r="X40" i="78" s="1"/>
  <c r="Y76" i="78"/>
  <c r="Y40" i="78" s="1"/>
  <c r="Z93" i="95"/>
  <c r="Y94" i="95" s="1"/>
  <c r="Y75" i="95"/>
  <c r="AC31" i="95"/>
  <c r="AC40" i="95"/>
  <c r="AA40" i="95"/>
  <c r="AD31" i="95"/>
  <c r="AB40" i="95"/>
  <c r="Z40" i="95"/>
  <c r="X76" i="95" l="1"/>
  <c r="X40" i="95" s="1"/>
  <c r="Y79" i="95"/>
  <c r="I76" i="95"/>
  <c r="I40" i="95" s="1"/>
  <c r="Z94" i="95"/>
  <c r="Y76" i="95"/>
  <c r="Y40" i="95" s="1"/>
  <c r="I37" i="103" l="1"/>
  <c r="I40" i="88"/>
  <c r="Y81" i="95"/>
  <c r="Y83" i="95" l="1"/>
  <c r="AD11" i="77" l="1"/>
  <c r="AD29" i="77" s="1"/>
  <c r="AD31" i="77" s="1"/>
  <c r="AC11" i="77"/>
  <c r="AC29" i="77" s="1"/>
  <c r="AC31" i="77" s="1"/>
  <c r="Y73" i="77" l="1"/>
  <c r="AB11" i="77"/>
  <c r="AA91" i="77"/>
  <c r="AA92" i="77" s="1"/>
  <c r="AA73" i="77"/>
  <c r="AA74" i="77" s="1"/>
  <c r="Z91" i="77"/>
  <c r="Z92" i="77" s="1"/>
  <c r="Z73" i="77"/>
  <c r="Z74" i="77" s="1"/>
  <c r="AA40" i="77"/>
  <c r="Z40" i="77"/>
  <c r="AB40" i="77"/>
  <c r="AC40" i="77"/>
  <c r="Z93" i="77" l="1"/>
  <c r="Y94" i="77" s="1"/>
  <c r="Z94" i="77"/>
  <c r="AB29" i="77"/>
  <c r="Y74" i="77"/>
  <c r="Y75" i="77" s="1"/>
  <c r="Y76" i="77" l="1"/>
  <c r="Y40" i="77" s="1"/>
  <c r="Y79" i="77"/>
  <c r="Y81" i="77" s="1"/>
  <c r="X76" i="77"/>
  <c r="X40" i="77" s="1"/>
  <c r="AB31" i="77"/>
  <c r="Y83" i="77" l="1"/>
  <c r="AD11" i="76" l="1"/>
  <c r="AD29" i="76" s="1"/>
  <c r="AD31" i="76" s="1"/>
  <c r="AC11" i="93" l="1"/>
  <c r="AC29" i="93" s="1"/>
  <c r="AD11" i="93" l="1"/>
  <c r="AD29" i="93" s="1"/>
  <c r="AD31" i="93" s="1"/>
  <c r="AC31" i="93"/>
  <c r="AB11" i="93"/>
  <c r="AB29" i="93" s="1"/>
  <c r="AB31" i="93" l="1"/>
  <c r="Z73" i="93"/>
  <c r="Z74" i="93" s="1"/>
  <c r="Y91" i="93"/>
  <c r="Y92" i="93" s="1"/>
  <c r="Y73" i="93"/>
  <c r="Y74" i="93" s="1"/>
  <c r="AA73" i="93"/>
  <c r="AA74" i="93" s="1"/>
  <c r="Z91" i="93"/>
  <c r="Z92" i="93" s="1"/>
  <c r="AA91" i="93"/>
  <c r="AA92" i="93" s="1"/>
  <c r="Y75" i="93" l="1"/>
  <c r="Z93" i="93"/>
  <c r="Y94" i="93" s="1"/>
  <c r="Y76" i="93" l="1"/>
  <c r="Y40" i="93" s="1"/>
  <c r="X76" i="93"/>
  <c r="X40" i="93" s="1"/>
  <c r="Z94" i="93"/>
  <c r="AD7" i="88" l="1"/>
  <c r="AD7" i="103"/>
  <c r="AD11" i="63"/>
  <c r="AD29" i="63" s="1"/>
  <c r="AD31" i="63" s="1"/>
  <c r="AC11" i="63"/>
  <c r="AC29" i="63" s="1"/>
  <c r="AC31" i="63" s="1"/>
  <c r="AB11" i="63" l="1"/>
  <c r="AB29" i="63" s="1"/>
  <c r="AB31" i="63" s="1"/>
  <c r="Y73" i="63"/>
  <c r="Y74" i="63" s="1"/>
  <c r="AA91" i="63"/>
  <c r="AA92" i="63" s="1"/>
  <c r="Z73" i="63"/>
  <c r="Z74" i="63" s="1"/>
  <c r="Y91" i="63"/>
  <c r="Y92" i="63" s="1"/>
  <c r="AA73" i="63"/>
  <c r="AA74" i="63" s="1"/>
  <c r="Z91" i="63"/>
  <c r="Z92" i="63" s="1"/>
  <c r="AB40" i="63"/>
  <c r="AA40" i="63"/>
  <c r="Z40" i="63"/>
  <c r="AC40" i="63"/>
  <c r="AD11" i="103"/>
  <c r="AD27" i="103" s="1"/>
  <c r="AD11" i="88"/>
  <c r="AD30" i="88" s="1"/>
  <c r="Z93" i="63" l="1"/>
  <c r="Y94" i="63" s="1"/>
  <c r="Y75" i="63"/>
  <c r="Y76" i="63" s="1"/>
  <c r="Z94" i="63" l="1"/>
  <c r="AA2" i="105"/>
  <c r="Y40" i="63"/>
  <c r="X76" i="63"/>
  <c r="W76" i="63"/>
  <c r="Y79" i="63"/>
  <c r="Y81" i="63" l="1"/>
  <c r="BA21" i="105"/>
  <c r="BA23" i="105" s="1"/>
  <c r="AR19" i="105"/>
  <c r="AR23" i="105" s="1"/>
  <c r="AV20" i="105"/>
  <c r="AV23" i="105" s="1"/>
  <c r="Y2" i="105"/>
  <c r="W40" i="63"/>
  <c r="Z2" i="105"/>
  <c r="X40" i="63"/>
  <c r="W37" i="103" l="1"/>
  <c r="W40" i="88"/>
  <c r="AY21" i="105"/>
  <c r="AY23" i="105" s="1"/>
  <c r="AP19" i="105"/>
  <c r="AP23" i="105" s="1"/>
  <c r="AT20" i="105"/>
  <c r="AT23" i="105" s="1"/>
  <c r="AU20" i="105"/>
  <c r="AU23" i="105" s="1"/>
  <c r="AQ19" i="105"/>
  <c r="AQ23" i="105" s="1"/>
  <c r="AZ21" i="105"/>
  <c r="AZ23" i="105" s="1"/>
  <c r="Y83" i="63"/>
  <c r="BA25" i="105" l="1"/>
  <c r="AL26" i="105"/>
  <c r="AQ25" i="105"/>
  <c r="AQ33" i="105" l="1"/>
  <c r="AQ30" i="105"/>
  <c r="AQ29" i="105"/>
  <c r="AQ31" i="105"/>
  <c r="AQ34" i="105"/>
  <c r="AQ32" i="105"/>
  <c r="AQ36" i="105" l="1"/>
  <c r="AC11" i="76" l="1"/>
  <c r="AC29" i="76" s="1"/>
  <c r="AC31" i="76" s="1"/>
  <c r="AC7" i="88"/>
  <c r="AC7" i="103"/>
  <c r="Y91" i="76" l="1"/>
  <c r="Y92" i="76" s="1"/>
  <c r="AB11" i="76"/>
  <c r="AB29" i="76" s="1"/>
  <c r="AB31" i="76" s="1"/>
  <c r="AA73" i="76"/>
  <c r="AA74" i="76" s="1"/>
  <c r="AA91" i="76"/>
  <c r="AA92" i="76" s="1"/>
  <c r="Z91" i="76"/>
  <c r="Z92" i="76" s="1"/>
  <c r="Z73" i="76"/>
  <c r="Z74" i="76" s="1"/>
  <c r="Y73" i="76"/>
  <c r="Y74" i="76" s="1"/>
  <c r="Z40" i="76"/>
  <c r="AB40" i="76"/>
  <c r="AA40" i="76"/>
  <c r="AB7" i="103"/>
  <c r="AB7" i="88"/>
  <c r="AC11" i="88"/>
  <c r="AC30" i="88" s="1"/>
  <c r="AC40" i="76"/>
  <c r="AC11" i="103"/>
  <c r="AC27" i="103" s="1"/>
  <c r="Z114" i="103" l="1"/>
  <c r="Z115" i="103" s="1"/>
  <c r="Y114" i="103"/>
  <c r="Y115" i="103" s="1"/>
  <c r="AA114" i="103"/>
  <c r="AA115" i="103" s="1"/>
  <c r="AB11" i="103"/>
  <c r="AB27" i="103" s="1"/>
  <c r="AA120" i="88"/>
  <c r="AA121" i="88" s="1"/>
  <c r="AB11" i="88"/>
  <c r="AB30" i="88" s="1"/>
  <c r="Z120" i="88"/>
  <c r="Z121" i="88" s="1"/>
  <c r="Y120" i="88"/>
  <c r="Y121" i="88" s="1"/>
  <c r="Y75" i="76"/>
  <c r="Y76" i="76" s="1"/>
  <c r="Y40" i="76" s="1"/>
  <c r="Z93" i="76"/>
  <c r="Y94" i="76" s="1"/>
  <c r="Z94" i="76" l="1"/>
  <c r="Y122" i="88"/>
  <c r="Y123" i="88"/>
  <c r="Y37" i="103"/>
  <c r="Y40" i="88"/>
  <c r="X76" i="76"/>
  <c r="X40" i="76" s="1"/>
  <c r="Y79" i="76"/>
  <c r="Y116" i="103"/>
  <c r="X40" i="88" l="1"/>
  <c r="X37" i="103"/>
  <c r="Y120" i="103"/>
  <c r="Y122" i="103" s="1"/>
  <c r="Y124" i="103" s="1"/>
  <c r="X117" i="103"/>
  <c r="Y81" i="76"/>
  <c r="Y126" i="88"/>
  <c r="Y128" i="88" s="1"/>
  <c r="Y130" i="88" s="1"/>
  <c r="X123" i="88"/>
  <c r="Y117" i="103"/>
  <c r="Y83" i="76" l="1"/>
  <c r="R331" i="80" l="1"/>
  <c r="N359" i="80" l="1"/>
  <c r="T331" i="80"/>
  <c r="G25" i="61" l="1"/>
  <c r="O332" i="80" s="1"/>
  <c r="O335" i="80" l="1"/>
  <c r="AE11" i="95" l="1"/>
  <c r="AE29" i="95" s="1"/>
  <c r="AB91" i="95"/>
  <c r="AB92" i="95" s="1"/>
  <c r="AE11" i="78"/>
  <c r="AE29" i="78" s="1"/>
  <c r="AE31" i="78" s="1"/>
  <c r="AD40" i="78"/>
  <c r="AB91" i="78"/>
  <c r="AB92" i="78" s="1"/>
  <c r="AB73" i="78"/>
  <c r="AB74" i="78" s="1"/>
  <c r="AE40" i="78" l="1"/>
  <c r="AE31" i="95"/>
  <c r="AE40" i="95"/>
  <c r="AB73" i="95"/>
  <c r="AB74" i="95" s="1"/>
  <c r="AD40" i="95"/>
  <c r="AE11" i="77" l="1"/>
  <c r="AD40" i="77"/>
  <c r="AB73" i="77"/>
  <c r="AB91" i="77"/>
  <c r="AB92" i="77" s="1"/>
  <c r="AE40" i="77" l="1"/>
  <c r="AB74" i="77"/>
  <c r="AE29" i="77"/>
  <c r="AE31" i="77" l="1"/>
  <c r="AE11" i="76" l="1"/>
  <c r="AE29" i="76" s="1"/>
  <c r="AE31" i="76" s="1"/>
  <c r="AD40" i="76"/>
  <c r="AB91" i="76"/>
  <c r="AB92" i="76" s="1"/>
  <c r="AB73" i="76"/>
  <c r="AB74" i="76" s="1"/>
  <c r="AE11" i="93"/>
  <c r="AE29" i="93" s="1"/>
  <c r="AE40" i="93"/>
  <c r="AD40" i="93"/>
  <c r="AE40" i="76" l="1"/>
  <c r="AE31" i="93"/>
  <c r="AB91" i="93"/>
  <c r="AB92" i="93" s="1"/>
  <c r="AB73" i="93"/>
  <c r="AB74" i="93" s="1"/>
  <c r="AE7" i="88" l="1"/>
  <c r="AE11" i="63"/>
  <c r="AE29" i="63" s="1"/>
  <c r="AE31" i="63" s="1"/>
  <c r="AE7" i="103"/>
  <c r="AD40" i="63"/>
  <c r="AB91" i="63"/>
  <c r="AB92" i="63" s="1"/>
  <c r="AB73" i="63"/>
  <c r="AB74" i="63" s="1"/>
  <c r="AE40" i="63" l="1"/>
  <c r="AD40" i="88"/>
  <c r="AD37" i="103"/>
  <c r="AE11" i="103"/>
  <c r="AE27" i="103" s="1"/>
  <c r="AB114" i="103"/>
  <c r="AB115" i="103" s="1"/>
  <c r="AE11" i="88"/>
  <c r="AE30" i="88" s="1"/>
  <c r="AB120" i="88"/>
  <c r="AB121" i="88" s="1"/>
  <c r="AE37" i="103" l="1"/>
  <c r="AE40" i="88"/>
  <c r="C258" i="80" l="1"/>
  <c r="C276" i="80" s="1"/>
  <c r="K246" i="80"/>
  <c r="K258" i="80" s="1"/>
  <c r="K276" i="80" s="1"/>
  <c r="V17" i="81" l="1"/>
  <c r="V32" i="81" s="1"/>
  <c r="V34" i="81" s="1"/>
  <c r="AG11" i="113" l="1"/>
  <c r="AG29" i="113" s="1"/>
  <c r="AG31" i="113" s="1"/>
  <c r="AG40" i="113"/>
  <c r="AF11" i="113"/>
  <c r="AF29" i="113" s="1"/>
  <c r="AF31" i="113" s="1"/>
  <c r="AF40" i="113"/>
  <c r="AD73" i="113"/>
  <c r="AD74" i="113" s="1"/>
  <c r="AD91" i="113"/>
  <c r="AD92" i="113" s="1"/>
  <c r="AC91" i="113"/>
  <c r="AC92" i="113" s="1"/>
  <c r="AC73" i="113"/>
  <c r="AC74" i="113" s="1"/>
  <c r="AF91" i="113"/>
  <c r="AF92" i="113" s="1"/>
  <c r="AE73" i="113" l="1"/>
  <c r="AE74" i="113" s="1"/>
  <c r="AE75" i="113" s="1"/>
  <c r="AF73" i="113"/>
  <c r="AF74" i="113" s="1"/>
  <c r="AE91" i="113"/>
  <c r="AE92" i="113" s="1"/>
  <c r="AE93" i="113" s="1"/>
  <c r="AE94" i="113" s="1"/>
  <c r="AC93" i="113"/>
  <c r="AC94" i="113" s="1"/>
  <c r="AC75" i="113"/>
  <c r="AD94" i="113"/>
  <c r="AH11" i="113"/>
  <c r="AH29" i="113" s="1"/>
  <c r="AI11" i="113"/>
  <c r="AI29" i="113" s="1"/>
  <c r="AE79" i="113" l="1"/>
  <c r="AE81" i="113" s="1"/>
  <c r="AE83" i="113" s="1"/>
  <c r="AD76" i="113"/>
  <c r="AE76" i="113"/>
  <c r="AC79" i="113"/>
  <c r="AA76" i="113"/>
  <c r="AB76" i="113"/>
  <c r="AI31" i="113"/>
  <c r="AB94" i="113"/>
  <c r="AA94" i="113"/>
  <c r="AC76" i="113"/>
  <c r="AH31" i="113"/>
  <c r="AF11" i="95" l="1"/>
  <c r="AF29" i="95" s="1"/>
  <c r="AC91" i="95"/>
  <c r="AC92" i="95" s="1"/>
  <c r="AC81" i="113"/>
  <c r="AE91" i="95" l="1"/>
  <c r="AE92" i="95" s="1"/>
  <c r="AD73" i="95"/>
  <c r="AD74" i="95" s="1"/>
  <c r="AD91" i="95"/>
  <c r="AD92" i="95" s="1"/>
  <c r="AF11" i="78"/>
  <c r="AF29" i="78" s="1"/>
  <c r="AF31" i="78" s="1"/>
  <c r="AC91" i="78"/>
  <c r="AC92" i="78" s="1"/>
  <c r="AC93" i="78" s="1"/>
  <c r="AC73" i="78"/>
  <c r="AC74" i="78" s="1"/>
  <c r="AD91" i="78"/>
  <c r="AD92" i="78" s="1"/>
  <c r="AC93" i="95"/>
  <c r="AG11" i="95"/>
  <c r="AG29" i="95" s="1"/>
  <c r="AG31" i="95" s="1"/>
  <c r="AG40" i="95"/>
  <c r="AF31" i="95"/>
  <c r="AC73" i="95"/>
  <c r="AC74" i="95" s="1"/>
  <c r="AE73" i="95"/>
  <c r="AE74" i="95" s="1"/>
  <c r="AE75" i="95" s="1"/>
  <c r="AF40" i="95"/>
  <c r="AH11" i="78"/>
  <c r="AH29" i="78" s="1"/>
  <c r="AH31" i="78" s="1"/>
  <c r="AH40" i="78"/>
  <c r="AF40" i="78"/>
  <c r="AH11" i="95"/>
  <c r="AH29" i="95" s="1"/>
  <c r="AH31" i="95" s="1"/>
  <c r="AC83" i="113"/>
  <c r="AE93" i="95" l="1"/>
  <c r="AD94" i="95" s="1"/>
  <c r="AD73" i="78"/>
  <c r="AD74" i="78" s="1"/>
  <c r="AE94" i="95"/>
  <c r="AE91" i="78"/>
  <c r="AE92" i="78" s="1"/>
  <c r="AE73" i="78"/>
  <c r="AE74" i="78" s="1"/>
  <c r="O76" i="95"/>
  <c r="O40" i="95" s="1"/>
  <c r="AE79" i="95"/>
  <c r="AE81" i="95" s="1"/>
  <c r="AE83" i="95" s="1"/>
  <c r="AD76" i="95"/>
  <c r="AA94" i="95"/>
  <c r="AB94" i="95"/>
  <c r="AC94" i="95"/>
  <c r="AE75" i="78"/>
  <c r="AE79" i="78" s="1"/>
  <c r="AE81" i="78" s="1"/>
  <c r="AE83" i="78" s="1"/>
  <c r="AC75" i="95"/>
  <c r="AC76" i="95" s="1"/>
  <c r="AC75" i="78"/>
  <c r="AC94" i="78"/>
  <c r="AA94" i="78"/>
  <c r="AB94" i="78"/>
  <c r="AG11" i="78"/>
  <c r="AG29" i="78" s="1"/>
  <c r="AG31" i="78" s="1"/>
  <c r="AG40" i="78"/>
  <c r="AE76" i="95"/>
  <c r="AE93" i="78" l="1"/>
  <c r="AD94" i="78" s="1"/>
  <c r="AC76" i="78"/>
  <c r="AC79" i="78"/>
  <c r="AA76" i="78"/>
  <c r="AB76" i="78"/>
  <c r="M76" i="95"/>
  <c r="M40" i="95" s="1"/>
  <c r="AC79" i="95"/>
  <c r="Z76" i="95"/>
  <c r="AA76" i="95"/>
  <c r="AB76" i="95"/>
  <c r="AE76" i="78"/>
  <c r="AD76" i="78"/>
  <c r="O37" i="103"/>
  <c r="O40" i="88"/>
  <c r="AE94" i="78" l="1"/>
  <c r="AC81" i="95"/>
  <c r="M40" i="88"/>
  <c r="M37" i="103"/>
  <c r="AC81" i="78"/>
  <c r="AC83" i="78" l="1"/>
  <c r="AC83" i="95"/>
  <c r="AG11" i="77" l="1"/>
  <c r="AG29" i="77" s="1"/>
  <c r="AG31" i="77" s="1"/>
  <c r="AH11" i="77"/>
  <c r="AH29" i="77" s="1"/>
  <c r="AH31" i="77" s="1"/>
  <c r="AF11" i="77" l="1"/>
  <c r="AF40" i="77"/>
  <c r="AC91" i="77"/>
  <c r="AC92" i="77" s="1"/>
  <c r="AD91" i="77"/>
  <c r="AD92" i="77" s="1"/>
  <c r="AC73" i="77"/>
  <c r="AE91" i="77"/>
  <c r="AE92" i="77" s="1"/>
  <c r="AE73" i="77"/>
  <c r="AE74" i="77" s="1"/>
  <c r="AD73" i="77"/>
  <c r="AD74" i="77" s="1"/>
  <c r="AG40" i="77"/>
  <c r="AE93" i="77" l="1"/>
  <c r="AD94" i="77" s="1"/>
  <c r="AC74" i="77"/>
  <c r="AC93" i="77"/>
  <c r="AC94" i="77"/>
  <c r="AE75" i="77"/>
  <c r="AE79" i="77" s="1"/>
  <c r="AE81" i="77" s="1"/>
  <c r="AE83" i="77" s="1"/>
  <c r="AD76" i="77"/>
  <c r="AE94" i="77"/>
  <c r="AF29" i="77"/>
  <c r="AF31" i="77" l="1"/>
  <c r="AA94" i="77"/>
  <c r="AB94" i="77"/>
  <c r="AC75" i="77"/>
  <c r="AE76" i="77"/>
  <c r="AC79" i="77" l="1"/>
  <c r="AC81" i="77" s="1"/>
  <c r="Z76" i="77"/>
  <c r="AA76" i="77"/>
  <c r="AB76" i="77"/>
  <c r="AC76" i="77"/>
  <c r="AC83" i="77" l="1"/>
  <c r="AE91" i="93" l="1"/>
  <c r="AE92" i="93" s="1"/>
  <c r="AG11" i="93"/>
  <c r="AG29" i="93" s="1"/>
  <c r="AG31" i="93" s="1"/>
  <c r="AG40" i="93"/>
  <c r="AF11" i="93"/>
  <c r="AF29" i="93" s="1"/>
  <c r="AF40" i="93"/>
  <c r="AD91" i="93"/>
  <c r="AD92" i="93" s="1"/>
  <c r="AD73" i="93"/>
  <c r="AD74" i="93" s="1"/>
  <c r="AH11" i="76"/>
  <c r="AH29" i="76" s="1"/>
  <c r="AH31" i="76" s="1"/>
  <c r="AF31" i="93" l="1"/>
  <c r="AC73" i="93"/>
  <c r="AC74" i="93" s="1"/>
  <c r="AC91" i="93"/>
  <c r="AC92" i="93" s="1"/>
  <c r="AC93" i="93" s="1"/>
  <c r="AE93" i="93"/>
  <c r="AD94" i="93" s="1"/>
  <c r="AH11" i="93"/>
  <c r="AH29" i="93" s="1"/>
  <c r="AH31" i="93" s="1"/>
  <c r="AE73" i="93"/>
  <c r="AE74" i="93" s="1"/>
  <c r="AE75" i="93" l="1"/>
  <c r="AD76" i="93" s="1"/>
  <c r="AC94" i="93"/>
  <c r="AA94" i="93"/>
  <c r="AB94" i="93"/>
  <c r="AC75" i="93"/>
  <c r="AE94" i="93"/>
  <c r="AA76" i="93" l="1"/>
  <c r="AA40" i="93" s="1"/>
  <c r="Z76" i="93"/>
  <c r="Z40" i="93" s="1"/>
  <c r="AB76" i="93"/>
  <c r="AB40" i="93" s="1"/>
  <c r="AC76" i="93"/>
  <c r="AC40" i="93" s="1"/>
  <c r="AE76" i="93"/>
  <c r="AB37" i="103" l="1"/>
  <c r="AB40" i="88"/>
  <c r="AC40" i="88"/>
  <c r="AC37" i="103"/>
  <c r="Z40" i="88"/>
  <c r="Z37" i="103"/>
  <c r="AA40" i="88"/>
  <c r="AA37" i="103"/>
  <c r="AG11" i="63" l="1"/>
  <c r="AG29" i="63" s="1"/>
  <c r="AG31" i="63" s="1"/>
  <c r="AH7" i="88"/>
  <c r="AH11" i="63"/>
  <c r="AH29" i="63" s="1"/>
  <c r="AH31" i="63" s="1"/>
  <c r="AH7" i="103"/>
  <c r="AH11" i="88" l="1"/>
  <c r="AH30" i="88" s="1"/>
  <c r="AH11" i="103"/>
  <c r="AH27" i="103" s="1"/>
  <c r="AF11" i="63" l="1"/>
  <c r="AF29" i="63" s="1"/>
  <c r="AF31" i="63" s="1"/>
  <c r="AF40" i="63"/>
  <c r="AE73" i="63"/>
  <c r="AE74" i="63" s="1"/>
  <c r="AD91" i="63"/>
  <c r="AD92" i="63" s="1"/>
  <c r="AC73" i="63"/>
  <c r="AC74" i="63" s="1"/>
  <c r="AC91" i="63"/>
  <c r="AC92" i="63" s="1"/>
  <c r="AE91" i="63"/>
  <c r="AE92" i="63" s="1"/>
  <c r="AD73" i="63"/>
  <c r="AD74" i="63" s="1"/>
  <c r="AG40" i="63"/>
  <c r="AE93" i="63" l="1"/>
  <c r="AE94" i="63" s="1"/>
  <c r="AD94" i="63"/>
  <c r="AC93" i="63"/>
  <c r="AC94" i="63" s="1"/>
  <c r="AC75" i="63"/>
  <c r="AE75" i="63"/>
  <c r="AE79" i="63" s="1"/>
  <c r="AE81" i="63" s="1"/>
  <c r="AE83" i="63" s="1"/>
  <c r="AE76" i="63" l="1"/>
  <c r="AG2" i="105" s="1"/>
  <c r="AD76" i="63"/>
  <c r="AF2" i="105" s="1"/>
  <c r="AC76" i="63"/>
  <c r="AE2" i="105" s="1"/>
  <c r="AC79" i="63"/>
  <c r="AA76" i="63"/>
  <c r="AC2" i="105" s="1"/>
  <c r="Z76" i="63"/>
  <c r="AB2" i="105" s="1"/>
  <c r="AB76" i="63"/>
  <c r="AD2" i="105" s="1"/>
  <c r="AA94" i="63"/>
  <c r="AB94" i="63"/>
  <c r="AC81" i="63" l="1"/>
  <c r="AC83" i="63" l="1"/>
  <c r="AG11" i="76" l="1"/>
  <c r="AG29" i="76" s="1"/>
  <c r="AG31" i="76" s="1"/>
  <c r="AG7" i="88"/>
  <c r="AG7" i="103"/>
  <c r="AG11" i="88" l="1"/>
  <c r="AG30" i="88" s="1"/>
  <c r="AG11" i="103"/>
  <c r="AG27" i="103" s="1"/>
  <c r="AF11" i="76" l="1"/>
  <c r="AF29" i="76" s="1"/>
  <c r="AF31" i="76" s="1"/>
  <c r="AF40" i="76"/>
  <c r="AE91" i="76"/>
  <c r="AE92" i="76" s="1"/>
  <c r="AE73" i="76"/>
  <c r="AE74" i="76" s="1"/>
  <c r="AD73" i="76"/>
  <c r="AD74" i="76" s="1"/>
  <c r="AC91" i="76"/>
  <c r="AC92" i="76" s="1"/>
  <c r="AC93" i="76" s="1"/>
  <c r="AC73" i="76"/>
  <c r="AC74" i="76" s="1"/>
  <c r="AD91" i="76"/>
  <c r="AD92" i="76" s="1"/>
  <c r="AF7" i="103"/>
  <c r="AF7" i="88"/>
  <c r="AG40" i="76"/>
  <c r="AE93" i="76" l="1"/>
  <c r="AD94" i="76" s="1"/>
  <c r="AC75" i="76"/>
  <c r="AF11" i="88"/>
  <c r="AF30" i="88" s="1"/>
  <c r="AE120" i="88"/>
  <c r="AE121" i="88" s="1"/>
  <c r="AD120" i="88"/>
  <c r="AD121" i="88" s="1"/>
  <c r="AC120" i="88"/>
  <c r="AC121" i="88" s="1"/>
  <c r="AC122" i="88" s="1"/>
  <c r="AG40" i="88"/>
  <c r="AG37" i="103"/>
  <c r="AF11" i="103"/>
  <c r="AF27" i="103" s="1"/>
  <c r="AD114" i="103"/>
  <c r="AD115" i="103" s="1"/>
  <c r="AE114" i="103"/>
  <c r="AE115" i="103" s="1"/>
  <c r="AC114" i="103"/>
  <c r="AC115" i="103" s="1"/>
  <c r="AC116" i="103" s="1"/>
  <c r="AC94" i="76"/>
  <c r="AA94" i="76"/>
  <c r="AB94" i="76"/>
  <c r="AE75" i="76"/>
  <c r="AE79" i="76" s="1"/>
  <c r="AE81" i="76" s="1"/>
  <c r="AE83" i="76" s="1"/>
  <c r="AF37" i="103"/>
  <c r="AF40" i="88"/>
  <c r="AE76" i="76" l="1"/>
  <c r="AD76" i="76"/>
  <c r="AE94" i="76"/>
  <c r="AE116" i="103"/>
  <c r="AE120" i="103" s="1"/>
  <c r="AE122" i="103" s="1"/>
  <c r="AE124" i="103" s="1"/>
  <c r="AE122" i="88"/>
  <c r="AE126" i="88" s="1"/>
  <c r="AE128" i="88" s="1"/>
  <c r="AE130" i="88" s="1"/>
  <c r="AC123" i="88"/>
  <c r="AC126" i="88"/>
  <c r="AC128" i="88" s="1"/>
  <c r="AC130" i="88" s="1"/>
  <c r="AA123" i="88"/>
  <c r="Z123" i="88"/>
  <c r="AB123" i="88"/>
  <c r="AC79" i="76"/>
  <c r="Z76" i="76"/>
  <c r="AA76" i="76"/>
  <c r="AB76" i="76"/>
  <c r="AC117" i="103"/>
  <c r="AC120" i="103"/>
  <c r="AC122" i="103" s="1"/>
  <c r="AC124" i="103" s="1"/>
  <c r="Z117" i="103"/>
  <c r="AA117" i="103"/>
  <c r="AB117" i="103"/>
  <c r="AC76" i="76"/>
  <c r="AD117" i="103" l="1"/>
  <c r="AE123" i="88"/>
  <c r="AC81" i="76"/>
  <c r="AD123" i="88"/>
  <c r="AE117" i="103"/>
  <c r="R332" i="80"/>
  <c r="T332" i="80" s="1"/>
  <c r="AC83" i="76" l="1"/>
  <c r="AI11" i="95" l="1"/>
  <c r="AI29" i="95" s="1"/>
  <c r="AI31" i="95" s="1"/>
  <c r="AI40" i="95"/>
  <c r="AF73" i="95"/>
  <c r="AF74" i="95" s="1"/>
  <c r="AF91" i="95"/>
  <c r="AF92" i="95" s="1"/>
  <c r="AH40" i="95"/>
  <c r="AI11" i="78" l="1"/>
  <c r="AI29" i="78" s="1"/>
  <c r="AI31" i="78" s="1"/>
  <c r="AF73" i="78"/>
  <c r="AF74" i="78" s="1"/>
  <c r="AF91" i="78"/>
  <c r="AF92" i="78" s="1"/>
  <c r="AI11" i="77" l="1"/>
  <c r="AF73" i="77"/>
  <c r="AF91" i="77"/>
  <c r="AF92" i="77" s="1"/>
  <c r="AF74" i="77" l="1"/>
  <c r="AI29" i="77"/>
  <c r="AI11" i="93" l="1"/>
  <c r="AI29" i="93" s="1"/>
  <c r="AI31" i="93" s="1"/>
  <c r="AI40" i="93"/>
  <c r="AF73" i="93"/>
  <c r="AF74" i="93" s="1"/>
  <c r="AF91" i="93"/>
  <c r="AF92" i="93" s="1"/>
  <c r="AH40" i="93"/>
  <c r="AI31" i="77"/>
  <c r="AU40" i="93" l="1"/>
  <c r="B179" i="80"/>
  <c r="AV40" i="93"/>
  <c r="J179" i="80" l="1"/>
  <c r="L179" i="80" s="1"/>
  <c r="D179" i="80"/>
  <c r="AI11" i="76"/>
  <c r="AI29" i="76" s="1"/>
  <c r="AI31" i="76" s="1"/>
  <c r="AI40" i="76"/>
  <c r="AH40" i="76"/>
  <c r="AF91" i="76"/>
  <c r="AF92" i="76" s="1"/>
  <c r="AF73" i="76"/>
  <c r="AF74" i="76" s="1"/>
  <c r="AI11" i="63" l="1"/>
  <c r="AI29" i="63" s="1"/>
  <c r="AI31" i="63" s="1"/>
  <c r="AI7" i="103"/>
  <c r="AI7" i="88"/>
  <c r="AF91" i="63"/>
  <c r="AF92" i="63" s="1"/>
  <c r="AF73" i="63"/>
  <c r="AF74" i="63" s="1"/>
  <c r="AI11" i="88" l="1"/>
  <c r="AI30" i="88" s="1"/>
  <c r="AF120" i="88"/>
  <c r="AF121" i="88" s="1"/>
  <c r="AI11" i="103"/>
  <c r="AI27" i="103" s="1"/>
  <c r="AF114" i="103"/>
  <c r="AF115" i="103" s="1"/>
  <c r="AS36" i="115" l="1"/>
  <c r="AS37" i="115" l="1"/>
  <c r="AS47" i="115" l="1"/>
  <c r="AS54" i="115"/>
  <c r="AS48" i="115"/>
  <c r="AS51" i="93" s="1"/>
  <c r="AS55" i="115"/>
  <c r="AS50" i="115"/>
  <c r="AS53" i="115"/>
  <c r="AS45" i="115"/>
  <c r="AS46" i="115"/>
  <c r="AS51" i="95" s="1"/>
  <c r="AS56" i="115"/>
  <c r="AS39" i="115" l="1"/>
  <c r="AS41" i="115" s="1"/>
  <c r="AS43" i="115" s="1"/>
  <c r="C190" i="80" l="1"/>
  <c r="C208" i="80" s="1"/>
  <c r="K178" i="80"/>
  <c r="K190" i="80" s="1"/>
  <c r="K208" i="80" s="1"/>
  <c r="C224" i="80"/>
  <c r="C242" i="80" s="1"/>
  <c r="AS60" i="115"/>
  <c r="AS58" i="115"/>
  <c r="AS59" i="115"/>
  <c r="AS61" i="115"/>
  <c r="AS57" i="115"/>
  <c r="H224" i="80"/>
  <c r="H242" i="80" s="1"/>
  <c r="AS62" i="115" l="1"/>
  <c r="K212" i="80"/>
  <c r="K224" i="80" s="1"/>
  <c r="K242" i="80" s="1"/>
  <c r="AM11" i="113" l="1"/>
  <c r="AM29" i="113" s="1"/>
  <c r="AL11" i="113"/>
  <c r="AL29" i="113" s="1"/>
  <c r="AK11" i="113"/>
  <c r="AK29" i="113" s="1"/>
  <c r="AK91" i="113"/>
  <c r="AK92" i="113" s="1"/>
  <c r="AJ11" i="113"/>
  <c r="AJ29" i="113" s="1"/>
  <c r="AJ91" i="113"/>
  <c r="AJ92" i="113" s="1"/>
  <c r="AJ73" i="113"/>
  <c r="AJ74" i="113" s="1"/>
  <c r="AG91" i="113"/>
  <c r="AG92" i="113" s="1"/>
  <c r="AI91" i="113"/>
  <c r="AI92" i="113" s="1"/>
  <c r="AI73" i="113"/>
  <c r="AI74" i="113" s="1"/>
  <c r="AH91" i="113"/>
  <c r="AH92" i="113" s="1"/>
  <c r="AG73" i="113"/>
  <c r="AG74" i="113" s="1"/>
  <c r="AH73" i="113"/>
  <c r="AH74" i="113" s="1"/>
  <c r="AK31" i="113" l="1"/>
  <c r="AK40" i="113"/>
  <c r="AG93" i="113"/>
  <c r="AF94" i="113" s="1"/>
  <c r="AL31" i="113"/>
  <c r="AL40" i="113"/>
  <c r="AJ31" i="113"/>
  <c r="AJ40" i="113"/>
  <c r="AI40" i="113"/>
  <c r="AH40" i="113"/>
  <c r="AJ75" i="113"/>
  <c r="AG75" i="113"/>
  <c r="AI93" i="113"/>
  <c r="AI94" i="113" s="1"/>
  <c r="AM31" i="113"/>
  <c r="AM40" i="113"/>
  <c r="AH94" i="113" l="1"/>
  <c r="AJ76" i="113"/>
  <c r="AJ79" i="113"/>
  <c r="AJ81" i="113" s="1"/>
  <c r="AJ83" i="113" s="1"/>
  <c r="AH76" i="113"/>
  <c r="AG79" i="113"/>
  <c r="AF76" i="113"/>
  <c r="AU40" i="113"/>
  <c r="AI76" i="113"/>
  <c r="AG94" i="113"/>
  <c r="AG76" i="113"/>
  <c r="AJ11" i="95" l="1"/>
  <c r="AJ29" i="95" s="1"/>
  <c r="AJ31" i="95" s="1"/>
  <c r="AG73" i="95"/>
  <c r="AG74" i="95" s="1"/>
  <c r="AG91" i="95"/>
  <c r="AG92" i="95" s="1"/>
  <c r="B213" i="80"/>
  <c r="AV40" i="113"/>
  <c r="AG81" i="113"/>
  <c r="D213" i="80" l="1"/>
  <c r="J213" i="80"/>
  <c r="L213" i="80" s="1"/>
  <c r="AG93" i="95"/>
  <c r="AF94" i="95" s="1"/>
  <c r="AG83" i="113"/>
  <c r="AG75" i="95"/>
  <c r="AG94" i="95" l="1"/>
  <c r="AJ11" i="78"/>
  <c r="AJ29" i="78" s="1"/>
  <c r="AJ31" i="78" s="1"/>
  <c r="AI91" i="78"/>
  <c r="AI92" i="78" s="1"/>
  <c r="AH73" i="78"/>
  <c r="AH74" i="78" s="1"/>
  <c r="AH91" i="78"/>
  <c r="AH92" i="78" s="1"/>
  <c r="AG91" i="78"/>
  <c r="AG92" i="78" s="1"/>
  <c r="AG73" i="78"/>
  <c r="AG74" i="78" s="1"/>
  <c r="AL11" i="95"/>
  <c r="AL29" i="95" s="1"/>
  <c r="AL31" i="95" s="1"/>
  <c r="AG76" i="95"/>
  <c r="AG79" i="95"/>
  <c r="Q76" i="95"/>
  <c r="Q40" i="95" s="1"/>
  <c r="AF76" i="95"/>
  <c r="AL11" i="78"/>
  <c r="AL29" i="78" s="1"/>
  <c r="AL31" i="78" s="1"/>
  <c r="AI93" i="78" l="1"/>
  <c r="AH94" i="78" s="1"/>
  <c r="Q40" i="88"/>
  <c r="Q37" i="103"/>
  <c r="AK11" i="95"/>
  <c r="AK29" i="95" s="1"/>
  <c r="AK31" i="95" s="1"/>
  <c r="AI91" i="95"/>
  <c r="AI92" i="95" s="1"/>
  <c r="AH91" i="95"/>
  <c r="AH92" i="95" s="1"/>
  <c r="AI73" i="95"/>
  <c r="AI74" i="95" s="1"/>
  <c r="AH73" i="95"/>
  <c r="AH74" i="95" s="1"/>
  <c r="AI94" i="78"/>
  <c r="AK11" i="78"/>
  <c r="AK29" i="78" s="1"/>
  <c r="AK31" i="78" s="1"/>
  <c r="AG93" i="78"/>
  <c r="AF94" i="78" s="1"/>
  <c r="AG81" i="95"/>
  <c r="AI73" i="78"/>
  <c r="AI74" i="78" s="1"/>
  <c r="AG75" i="78"/>
  <c r="AG76" i="78" s="1"/>
  <c r="AG94" i="78" l="1"/>
  <c r="AG83" i="95"/>
  <c r="AI75" i="95"/>
  <c r="AH76" i="95" s="1"/>
  <c r="AG79" i="78"/>
  <c r="AF76" i="78"/>
  <c r="AI76" i="95"/>
  <c r="AG81" i="78" l="1"/>
  <c r="AG83" i="78" l="1"/>
  <c r="AL11" i="77" l="1"/>
  <c r="AL29" i="77" s="1"/>
  <c r="AL31" i="77" s="1"/>
  <c r="AK11" i="77"/>
  <c r="AK29" i="77" s="1"/>
  <c r="AK31" i="77" s="1"/>
  <c r="AJ11" i="77" l="1"/>
  <c r="AJ40" i="77"/>
  <c r="AI91" i="77"/>
  <c r="AI92" i="77" s="1"/>
  <c r="AI73" i="77"/>
  <c r="AI74" i="77" s="1"/>
  <c r="AI40" i="77"/>
  <c r="AG73" i="77"/>
  <c r="AH73" i="77"/>
  <c r="AH74" i="77" s="1"/>
  <c r="AH91" i="77"/>
  <c r="AH92" i="77" s="1"/>
  <c r="AH40" i="77"/>
  <c r="AG91" i="77"/>
  <c r="AG92" i="77" s="1"/>
  <c r="AG93" i="77" l="1"/>
  <c r="AF94" i="77" s="1"/>
  <c r="AG74" i="77"/>
  <c r="AJ29" i="77"/>
  <c r="AJ31" i="77" l="1"/>
  <c r="AG75" i="77"/>
  <c r="AG94" i="77"/>
  <c r="AG79" i="77" l="1"/>
  <c r="AG81" i="77" s="1"/>
  <c r="AF76" i="77"/>
  <c r="AG76" i="77"/>
  <c r="AJ11" i="93" l="1"/>
  <c r="AJ29" i="93" s="1"/>
  <c r="AJ31" i="93" s="1"/>
  <c r="AG73" i="93"/>
  <c r="AG74" i="93" s="1"/>
  <c r="AG91" i="93"/>
  <c r="AG92" i="93" s="1"/>
  <c r="AG83" i="77"/>
  <c r="AK11" i="93" l="1"/>
  <c r="AK29" i="93" s="1"/>
  <c r="AK31" i="93" s="1"/>
  <c r="AG93" i="93"/>
  <c r="AF94" i="93" s="1"/>
  <c r="AH91" i="93"/>
  <c r="AH92" i="93" s="1"/>
  <c r="AL11" i="76"/>
  <c r="AL29" i="76" s="1"/>
  <c r="AL31" i="76" s="1"/>
  <c r="AH73" i="93"/>
  <c r="AH74" i="93" s="1"/>
  <c r="AG75" i="93"/>
  <c r="AG76" i="93" s="1"/>
  <c r="AL11" i="93" l="1"/>
  <c r="AL29" i="93" s="1"/>
  <c r="AL31" i="93" s="1"/>
  <c r="AG94" i="93"/>
  <c r="AI73" i="93"/>
  <c r="AI74" i="93" s="1"/>
  <c r="AI75" i="93" s="1"/>
  <c r="AI76" i="93" s="1"/>
  <c r="AI91" i="93"/>
  <c r="AI92" i="93" s="1"/>
  <c r="AF76" i="93"/>
  <c r="AH76" i="93" l="1"/>
  <c r="AK11" i="63" l="1"/>
  <c r="AK29" i="63" s="1"/>
  <c r="AK31" i="63" s="1"/>
  <c r="AL7" i="88"/>
  <c r="AL11" i="63"/>
  <c r="AL29" i="63" s="1"/>
  <c r="AL31" i="63" s="1"/>
  <c r="AL7" i="103"/>
  <c r="AL11" i="103" l="1"/>
  <c r="AL27" i="103" s="1"/>
  <c r="AL11" i="88"/>
  <c r="AL30" i="88" s="1"/>
  <c r="AJ11" i="63" l="1"/>
  <c r="AJ29" i="63" s="1"/>
  <c r="AJ31" i="63" s="1"/>
  <c r="AJ40" i="63"/>
  <c r="AI91" i="63"/>
  <c r="AI92" i="63" s="1"/>
  <c r="AI40" i="63"/>
  <c r="AG73" i="63"/>
  <c r="AG74" i="63" s="1"/>
  <c r="AH73" i="63"/>
  <c r="AH74" i="63" s="1"/>
  <c r="AH91" i="63"/>
  <c r="AH92" i="63" s="1"/>
  <c r="AH40" i="63"/>
  <c r="AI73" i="63"/>
  <c r="AI74" i="63" s="1"/>
  <c r="AG91" i="63"/>
  <c r="AG92" i="63" s="1"/>
  <c r="AG75" i="63" l="1"/>
  <c r="AG93" i="63"/>
  <c r="AF94" i="63" s="1"/>
  <c r="AH37" i="103"/>
  <c r="AH40" i="88"/>
  <c r="AI75" i="63"/>
  <c r="AH76" i="63" s="1"/>
  <c r="AJ2" i="105" s="1"/>
  <c r="AI76" i="63" l="1"/>
  <c r="AK2" i="105" s="1"/>
  <c r="AG94" i="63"/>
  <c r="AG79" i="63"/>
  <c r="AF76" i="63"/>
  <c r="AH2" i="105" s="1"/>
  <c r="AG76" i="63"/>
  <c r="AI2" i="105" s="1"/>
  <c r="AG81" i="63" l="1"/>
  <c r="AG83" i="63" l="1"/>
  <c r="AK11" i="76"/>
  <c r="AK29" i="76" s="1"/>
  <c r="AK31" i="76" s="1"/>
  <c r="AK7" i="103"/>
  <c r="AK7" i="88"/>
  <c r="AK11" i="88" l="1"/>
  <c r="AK30" i="88" s="1"/>
  <c r="AK11" i="103"/>
  <c r="AK27" i="103" s="1"/>
  <c r="AJ11" i="76" l="1"/>
  <c r="AJ29" i="76" s="1"/>
  <c r="AJ31" i="76" s="1"/>
  <c r="AI73" i="76"/>
  <c r="AI74" i="76" s="1"/>
  <c r="AH91" i="76"/>
  <c r="AH92" i="76" s="1"/>
  <c r="AH73" i="76"/>
  <c r="AH74" i="76" s="1"/>
  <c r="AI75" i="76" s="1"/>
  <c r="AH76" i="76" s="1"/>
  <c r="AG73" i="76"/>
  <c r="AG74" i="76" s="1"/>
  <c r="AG91" i="76"/>
  <c r="AG92" i="76" s="1"/>
  <c r="AI91" i="76"/>
  <c r="AI92" i="76" s="1"/>
  <c r="AJ7" i="88"/>
  <c r="AJ7" i="103"/>
  <c r="AJ11" i="88" l="1"/>
  <c r="AJ30" i="88" s="1"/>
  <c r="AI120" i="88"/>
  <c r="AI121" i="88" s="1"/>
  <c r="AG120" i="88"/>
  <c r="AG121" i="88" s="1"/>
  <c r="AG122" i="88" s="1"/>
  <c r="AH120" i="88"/>
  <c r="AH121" i="88" s="1"/>
  <c r="AJ11" i="103"/>
  <c r="AJ27" i="103" s="1"/>
  <c r="AH114" i="103"/>
  <c r="AH115" i="103" s="1"/>
  <c r="AI114" i="103"/>
  <c r="AI115" i="103" s="1"/>
  <c r="AG114" i="103"/>
  <c r="AG115" i="103" s="1"/>
  <c r="AG116" i="103" s="1"/>
  <c r="AG93" i="76"/>
  <c r="AF94" i="76" s="1"/>
  <c r="AG75" i="76"/>
  <c r="AI76" i="76"/>
  <c r="AG94" i="76" l="1"/>
  <c r="AG117" i="103"/>
  <c r="AG120" i="103"/>
  <c r="AG122" i="103" s="1"/>
  <c r="AG124" i="103" s="1"/>
  <c r="AF117" i="103"/>
  <c r="AM11" i="95"/>
  <c r="AM29" i="95" s="1"/>
  <c r="AM31" i="95" s="1"/>
  <c r="AJ73" i="95"/>
  <c r="AJ74" i="95" s="1"/>
  <c r="AJ91" i="95"/>
  <c r="AJ92" i="95" s="1"/>
  <c r="AG123" i="88"/>
  <c r="AG126" i="88"/>
  <c r="AG128" i="88" s="1"/>
  <c r="AG130" i="88" s="1"/>
  <c r="AF123" i="88"/>
  <c r="AG79" i="76"/>
  <c r="AF76" i="76"/>
  <c r="AG76" i="76"/>
  <c r="AJ93" i="95" l="1"/>
  <c r="AJ94" i="95" s="1"/>
  <c r="AG81" i="76"/>
  <c r="AM11" i="78"/>
  <c r="AM29" i="78" s="1"/>
  <c r="AM31" i="78" s="1"/>
  <c r="AM40" i="78"/>
  <c r="AJ91" i="78"/>
  <c r="AJ92" i="78" s="1"/>
  <c r="AJ40" i="78"/>
  <c r="AI40" i="78"/>
  <c r="AK91" i="78"/>
  <c r="AK92" i="78" s="1"/>
  <c r="AJ73" i="78"/>
  <c r="AJ74" i="78" s="1"/>
  <c r="AJ75" i="78" s="1"/>
  <c r="AL40" i="78"/>
  <c r="AK40" i="78"/>
  <c r="AM11" i="77" l="1"/>
  <c r="AM29" i="77" s="1"/>
  <c r="AM31" i="77" s="1"/>
  <c r="AJ91" i="77"/>
  <c r="AJ92" i="77" s="1"/>
  <c r="AJ73" i="77"/>
  <c r="AJ74" i="77" s="1"/>
  <c r="AU40" i="78"/>
  <c r="AG83" i="76"/>
  <c r="AH94" i="95"/>
  <c r="AI94" i="95"/>
  <c r="AJ76" i="78"/>
  <c r="AJ79" i="78"/>
  <c r="AH76" i="78"/>
  <c r="AI76" i="78"/>
  <c r="AI40" i="88"/>
  <c r="AI37" i="103"/>
  <c r="AJ93" i="77" l="1"/>
  <c r="AJ94" i="77"/>
  <c r="BD40" i="88"/>
  <c r="AJ81" i="78"/>
  <c r="B145" i="80"/>
  <c r="AV40" i="78"/>
  <c r="AV41" i="78"/>
  <c r="AX40" i="78"/>
  <c r="D145" i="80" l="1"/>
  <c r="J145" i="80"/>
  <c r="L145" i="80" s="1"/>
  <c r="AM11" i="93"/>
  <c r="AM29" i="93" s="1"/>
  <c r="AM31" i="93" s="1"/>
  <c r="AJ91" i="93"/>
  <c r="AJ92" i="93" s="1"/>
  <c r="AJ73" i="93"/>
  <c r="AJ74" i="93" s="1"/>
  <c r="AJ83" i="78"/>
  <c r="AI94" i="77"/>
  <c r="AH94" i="77"/>
  <c r="AJ93" i="93" l="1"/>
  <c r="AM11" i="76" l="1"/>
  <c r="AM29" i="76" s="1"/>
  <c r="AM31" i="76" s="1"/>
  <c r="AJ91" i="76"/>
  <c r="AJ92" i="76" s="1"/>
  <c r="AJ73" i="76"/>
  <c r="AJ74" i="76" s="1"/>
  <c r="AH94" i="93"/>
  <c r="AI94" i="93"/>
  <c r="AJ94" i="93"/>
  <c r="AJ93" i="76" l="1"/>
  <c r="AM7" i="88" l="1"/>
  <c r="AM11" i="63"/>
  <c r="AM29" i="63" s="1"/>
  <c r="AM31" i="63" s="1"/>
  <c r="AM7" i="103"/>
  <c r="AJ91" i="63"/>
  <c r="AJ92" i="63" s="1"/>
  <c r="AJ93" i="63" s="1"/>
  <c r="AJ73" i="63"/>
  <c r="AJ74" i="63" s="1"/>
  <c r="AH94" i="76"/>
  <c r="AI94" i="76"/>
  <c r="AJ94" i="76"/>
  <c r="H88" i="80"/>
  <c r="H106" i="80" s="1"/>
  <c r="H54" i="80"/>
  <c r="H72" i="80" s="1"/>
  <c r="H156" i="80"/>
  <c r="H174" i="80" s="1"/>
  <c r="AJ94" i="63" l="1"/>
  <c r="AI94" i="63"/>
  <c r="AH94" i="63"/>
  <c r="AM11" i="103"/>
  <c r="AM27" i="103" s="1"/>
  <c r="AJ114" i="103"/>
  <c r="AJ115" i="103" s="1"/>
  <c r="AM11" i="88"/>
  <c r="AM30" i="88" s="1"/>
  <c r="AJ120" i="88"/>
  <c r="AJ121" i="88" s="1"/>
  <c r="AJ122" i="88" s="1"/>
  <c r="AJ116" i="103" l="1"/>
  <c r="AJ117" i="103"/>
  <c r="AJ123" i="88"/>
  <c r="AJ126" i="88"/>
  <c r="AJ128" i="88" s="1"/>
  <c r="AJ130" i="88" s="1"/>
  <c r="AI123" i="88"/>
  <c r="AH123" i="88"/>
  <c r="C54" i="80" l="1"/>
  <c r="C72" i="80" s="1"/>
  <c r="AJ120" i="103"/>
  <c r="AJ122" i="103" s="1"/>
  <c r="AJ124" i="103" s="1"/>
  <c r="AI117" i="103"/>
  <c r="AH117" i="103"/>
  <c r="C88" i="80"/>
  <c r="C106" i="80" s="1"/>
  <c r="K110" i="80" l="1"/>
  <c r="K122" i="80" s="1"/>
  <c r="K140" i="80" s="1"/>
  <c r="C122" i="80"/>
  <c r="C140" i="80" s="1"/>
  <c r="H282" i="80" l="1"/>
  <c r="H289" i="80" s="1"/>
  <c r="H301" i="80" s="1"/>
  <c r="H19" i="80"/>
  <c r="H37" i="80" s="1"/>
  <c r="H302" i="80" s="1"/>
  <c r="K7" i="80"/>
  <c r="K19" i="80" s="1"/>
  <c r="K37" i="80" s="1"/>
  <c r="C156" i="80"/>
  <c r="C174" i="80" s="1"/>
  <c r="C302" i="80" s="1"/>
  <c r="C282" i="80"/>
  <c r="C323" i="80"/>
  <c r="C325" i="80" s="1"/>
  <c r="K302" i="80" l="1"/>
  <c r="H303" i="80"/>
  <c r="Q318" i="80" s="1"/>
  <c r="C289" i="80"/>
  <c r="C301" i="80" s="1"/>
  <c r="K282" i="80"/>
  <c r="K289" i="80" s="1"/>
  <c r="K301" i="80" s="1"/>
  <c r="J17" i="81"/>
  <c r="J32" i="81" s="1"/>
  <c r="J34" i="81" s="1"/>
  <c r="N17" i="81" l="1"/>
  <c r="N32" i="81" s="1"/>
  <c r="N34" i="81" s="1"/>
  <c r="K303" i="80"/>
  <c r="M360" i="80"/>
  <c r="M359" i="80"/>
  <c r="L359" i="80" s="1"/>
  <c r="Q317" i="80"/>
  <c r="Z5" i="81" l="1"/>
  <c r="F17" i="81"/>
  <c r="F32" i="81" s="1"/>
  <c r="F34" i="81" l="1"/>
  <c r="Z32" i="81"/>
  <c r="AD8" i="81"/>
  <c r="Z17" i="81"/>
  <c r="Z34" i="81" l="1"/>
  <c r="AC32" i="81"/>
  <c r="AP11" i="113" l="1"/>
  <c r="AP29" i="113" s="1"/>
  <c r="AP31" i="113" s="1"/>
  <c r="AO11" i="113"/>
  <c r="AO29" i="113" s="1"/>
  <c r="AO31" i="113" s="1"/>
  <c r="AQ11" i="113"/>
  <c r="AQ29" i="113" s="1"/>
  <c r="AQ31" i="113" s="1"/>
  <c r="AR11" i="113" l="1"/>
  <c r="AR29" i="113" s="1"/>
  <c r="AR31" i="113" s="1"/>
  <c r="AN11" i="113"/>
  <c r="AN29" i="113" s="1"/>
  <c r="AN31" i="113" s="1"/>
  <c r="AN73" i="113"/>
  <c r="AN74" i="113" s="1"/>
  <c r="AN91" i="113"/>
  <c r="AN92" i="113" s="1"/>
  <c r="AM73" i="113"/>
  <c r="AM74" i="113" s="1"/>
  <c r="AM91" i="113"/>
  <c r="AM92" i="113" s="1"/>
  <c r="AL73" i="113"/>
  <c r="AL74" i="113" s="1"/>
  <c r="AK73" i="113"/>
  <c r="AK74" i="113" s="1"/>
  <c r="AL91" i="113"/>
  <c r="AL92" i="113" s="1"/>
  <c r="AS11" i="113"/>
  <c r="AS29" i="113" s="1"/>
  <c r="AS31" i="113" s="1"/>
  <c r="AN93" i="113" l="1"/>
  <c r="AN75" i="113"/>
  <c r="AK76" i="113"/>
  <c r="AO74" i="113"/>
  <c r="AM94" i="113"/>
  <c r="AN76" i="113"/>
  <c r="AM76" i="113"/>
  <c r="AN94" i="113"/>
  <c r="AL76" i="113" l="1"/>
  <c r="AN79" i="113"/>
  <c r="AO75" i="113"/>
  <c r="AJ94" i="113"/>
  <c r="AK94" i="113"/>
  <c r="AL94" i="113"/>
  <c r="AN81" i="113" l="1"/>
  <c r="AO79" i="113"/>
  <c r="AN83" i="113" l="1"/>
  <c r="AO83" i="113" s="1"/>
  <c r="AO81" i="113"/>
  <c r="AO82" i="113" l="1"/>
  <c r="AN11" i="95" l="1"/>
  <c r="AN29" i="95" s="1"/>
  <c r="AN31" i="95" s="1"/>
  <c r="AN40" i="95"/>
  <c r="AJ40" i="95"/>
  <c r="AL40" i="95"/>
  <c r="AK40" i="95"/>
  <c r="AM40" i="95"/>
  <c r="AK73" i="95"/>
  <c r="AK74" i="95" s="1"/>
  <c r="AU40" i="95" l="1"/>
  <c r="AP11" i="95"/>
  <c r="AP29" i="95" s="1"/>
  <c r="AP31" i="95" s="1"/>
  <c r="AP11" i="78"/>
  <c r="AP29" i="78" s="1"/>
  <c r="AP31" i="78" s="1"/>
  <c r="AO11" i="78" l="1"/>
  <c r="AO29" i="78" s="1"/>
  <c r="AO31" i="78" s="1"/>
  <c r="AV40" i="95"/>
  <c r="B111" i="80"/>
  <c r="AN11" i="78"/>
  <c r="AN29" i="78" s="1"/>
  <c r="AN31" i="78" s="1"/>
  <c r="AL91" i="78"/>
  <c r="AL92" i="78" s="1"/>
  <c r="AL73" i="78"/>
  <c r="AL74" i="78" s="1"/>
  <c r="AK73" i="78"/>
  <c r="AK74" i="78" s="1"/>
  <c r="AM73" i="78"/>
  <c r="AM74" i="78" s="1"/>
  <c r="AM91" i="78"/>
  <c r="AM92" i="78" s="1"/>
  <c r="AN91" i="78"/>
  <c r="AN92" i="78" s="1"/>
  <c r="AO11" i="95" l="1"/>
  <c r="AO29" i="95" s="1"/>
  <c r="AO31" i="95" s="1"/>
  <c r="AM73" i="95"/>
  <c r="AM74" i="95" s="1"/>
  <c r="AL73" i="95"/>
  <c r="AL74" i="95" s="1"/>
  <c r="J111" i="80"/>
  <c r="L111" i="80" s="1"/>
  <c r="D111" i="80"/>
  <c r="AN93" i="78"/>
  <c r="AN94" i="78" s="1"/>
  <c r="AM94" i="78" l="1"/>
  <c r="AK94" i="78"/>
  <c r="AJ94" i="78"/>
  <c r="AL94" i="78"/>
  <c r="AO11" i="77" l="1"/>
  <c r="AO29" i="77" s="1"/>
  <c r="AP11" i="77"/>
  <c r="AP29" i="77" s="1"/>
  <c r="AP31" i="77" s="1"/>
  <c r="AO31" i="77" l="1"/>
  <c r="AN11" i="77" l="1"/>
  <c r="AN29" i="77" s="1"/>
  <c r="AN40" i="77"/>
  <c r="AK91" i="77"/>
  <c r="AK92" i="77" s="1"/>
  <c r="AK73" i="77"/>
  <c r="AK74" i="77" s="1"/>
  <c r="AL73" i="77"/>
  <c r="AL74" i="77" s="1"/>
  <c r="AK40" i="77"/>
  <c r="AM40" i="77"/>
  <c r="AL91" i="77"/>
  <c r="AL92" i="77" s="1"/>
  <c r="AL40" i="77"/>
  <c r="AL75" i="77" l="1"/>
  <c r="AU40" i="77"/>
  <c r="AN31" i="77"/>
  <c r="AY39" i="77"/>
  <c r="AV40" i="77" l="1"/>
  <c r="AX40" i="77"/>
  <c r="B43" i="80"/>
  <c r="AH76" i="77"/>
  <c r="AI76" i="77"/>
  <c r="AJ76" i="77"/>
  <c r="AK76" i="77"/>
  <c r="AL76" i="77"/>
  <c r="J43" i="80" l="1"/>
  <c r="L43" i="80" s="1"/>
  <c r="D43" i="80"/>
  <c r="AO11" i="93" l="1"/>
  <c r="AO29" i="93" s="1"/>
  <c r="AO31" i="93" s="1"/>
  <c r="AP11" i="76"/>
  <c r="AP29" i="76" s="1"/>
  <c r="AP31" i="76" s="1"/>
  <c r="AN11" i="93"/>
  <c r="AN29" i="93" s="1"/>
  <c r="AN31" i="93" s="1"/>
  <c r="AL73" i="93"/>
  <c r="AL74" i="93" s="1"/>
  <c r="AK73" i="93"/>
  <c r="AK74" i="93" s="1"/>
  <c r="AP11" i="93" l="1"/>
  <c r="AP29" i="93" s="1"/>
  <c r="AP31" i="93" s="1"/>
  <c r="AM73" i="93"/>
  <c r="AM74" i="93" s="1"/>
  <c r="AO11" i="63" l="1"/>
  <c r="AO29" i="63" s="1"/>
  <c r="AO31" i="63" s="1"/>
  <c r="AP11" i="63"/>
  <c r="AP29" i="63" s="1"/>
  <c r="AP31" i="63" s="1"/>
  <c r="AP7" i="88"/>
  <c r="AP11" i="88" s="1"/>
  <c r="AP30" i="88" s="1"/>
  <c r="AP7" i="103"/>
  <c r="AP11" i="103" s="1"/>
  <c r="AP27" i="103" s="1"/>
  <c r="AN11" i="63" l="1"/>
  <c r="AN29" i="63" s="1"/>
  <c r="AN31" i="63" s="1"/>
  <c r="AN40" i="63"/>
  <c r="AM73" i="63"/>
  <c r="AM74" i="63" s="1"/>
  <c r="AM40" i="63"/>
  <c r="AK73" i="63"/>
  <c r="AK74" i="63" s="1"/>
  <c r="AL40" i="63"/>
  <c r="AK91" i="63"/>
  <c r="AK92" i="63" s="1"/>
  <c r="AL73" i="63"/>
  <c r="AL74" i="63" s="1"/>
  <c r="AK40" i="63"/>
  <c r="AM91" i="63"/>
  <c r="AM92" i="63" s="1"/>
  <c r="AL91" i="63"/>
  <c r="AL92" i="63" s="1"/>
  <c r="AO40" i="63"/>
  <c r="AU40" i="63" l="1"/>
  <c r="AO40" i="88"/>
  <c r="AO37" i="103"/>
  <c r="AV40" i="63" l="1"/>
  <c r="B8" i="80"/>
  <c r="AO11" i="76" l="1"/>
  <c r="AO29" i="76" s="1"/>
  <c r="AO31" i="76" s="1"/>
  <c r="AO7" i="103"/>
  <c r="AO11" i="103" s="1"/>
  <c r="AO27" i="103" s="1"/>
  <c r="AO7" i="88"/>
  <c r="AO11" i="88" s="1"/>
  <c r="AO30" i="88" s="1"/>
  <c r="D8" i="80"/>
  <c r="AN11" i="76" l="1"/>
  <c r="AN29" i="76" s="1"/>
  <c r="AN31" i="76" s="1"/>
  <c r="AN40" i="76"/>
  <c r="AN91" i="76"/>
  <c r="AN92" i="76" s="1"/>
  <c r="AM40" i="76"/>
  <c r="AM91" i="76"/>
  <c r="AM92" i="76" s="1"/>
  <c r="AL91" i="76"/>
  <c r="AL92" i="76" s="1"/>
  <c r="AJ40" i="76"/>
  <c r="AM73" i="76"/>
  <c r="AM74" i="76" s="1"/>
  <c r="AK91" i="76"/>
  <c r="AK92" i="76" s="1"/>
  <c r="AL40" i="76"/>
  <c r="AK73" i="76"/>
  <c r="AK74" i="76" s="1"/>
  <c r="AL73" i="76"/>
  <c r="AL74" i="76" s="1"/>
  <c r="AK40" i="76"/>
  <c r="AN7" i="88"/>
  <c r="AN7" i="103"/>
  <c r="AL40" i="88" l="1"/>
  <c r="AL37" i="103"/>
  <c r="AJ40" i="88"/>
  <c r="AJ37" i="103"/>
  <c r="AU40" i="76"/>
  <c r="AN37" i="103"/>
  <c r="AN40" i="88"/>
  <c r="AN11" i="103"/>
  <c r="AN27" i="103" s="1"/>
  <c r="AL114" i="103"/>
  <c r="AL115" i="103" s="1"/>
  <c r="AK114" i="103"/>
  <c r="AK115" i="103" s="1"/>
  <c r="AM114" i="103"/>
  <c r="AM115" i="103" s="1"/>
  <c r="AM37" i="103"/>
  <c r="AM40" i="88"/>
  <c r="AN11" i="88"/>
  <c r="AN30" i="88" s="1"/>
  <c r="AM120" i="88"/>
  <c r="AM121" i="88" s="1"/>
  <c r="AL120" i="88"/>
  <c r="AL121" i="88" s="1"/>
  <c r="AK120" i="88"/>
  <c r="AK121" i="88" s="1"/>
  <c r="AK37" i="103"/>
  <c r="AK40" i="88"/>
  <c r="AQ11" i="95"/>
  <c r="AQ29" i="95" s="1"/>
  <c r="AQ31" i="95" s="1"/>
  <c r="AM91" i="95"/>
  <c r="AM92" i="95" s="1"/>
  <c r="AN91" i="95"/>
  <c r="AN92" i="95" s="1"/>
  <c r="AO91" i="95"/>
  <c r="AO92" i="95" s="1"/>
  <c r="AN73" i="95"/>
  <c r="AN74" i="95" s="1"/>
  <c r="AK91" i="95"/>
  <c r="AK92" i="95" s="1"/>
  <c r="AL91" i="95"/>
  <c r="AL92" i="95" s="1"/>
  <c r="B77" i="80" l="1"/>
  <c r="AV40" i="76"/>
  <c r="AY40" i="76"/>
  <c r="AU37" i="103"/>
  <c r="AV40" i="88"/>
  <c r="BA40" i="88" s="1"/>
  <c r="BA41" i="88" s="1"/>
  <c r="AV37" i="103"/>
  <c r="BA37" i="103" s="1"/>
  <c r="BA38" i="103" s="1"/>
  <c r="AU40" i="88"/>
  <c r="AO93" i="95"/>
  <c r="AN94" i="95" s="1"/>
  <c r="AO74" i="95"/>
  <c r="AN75" i="95"/>
  <c r="AQ11" i="78"/>
  <c r="AQ29" i="78" s="1"/>
  <c r="AQ31" i="78" s="1"/>
  <c r="AN73" i="78"/>
  <c r="AN74" i="78" s="1"/>
  <c r="AY40" i="88" l="1"/>
  <c r="AY42" i="88" s="1"/>
  <c r="AW40" i="88"/>
  <c r="AY47" i="88" s="1"/>
  <c r="AY48" i="88" s="1"/>
  <c r="AQ11" i="77"/>
  <c r="AQ29" i="77" s="1"/>
  <c r="AQ31" i="77" s="1"/>
  <c r="AN73" i="77"/>
  <c r="AM91" i="77"/>
  <c r="AM92" i="77" s="1"/>
  <c r="AM73" i="77"/>
  <c r="AM74" i="77" s="1"/>
  <c r="AW37" i="103"/>
  <c r="AX37" i="103"/>
  <c r="AM94" i="95"/>
  <c r="AL94" i="95"/>
  <c r="AO74" i="78"/>
  <c r="AN75" i="78"/>
  <c r="AN76" i="95"/>
  <c r="AN79" i="95"/>
  <c r="AO75" i="95"/>
  <c r="AJ76" i="95"/>
  <c r="AK76" i="95"/>
  <c r="AL76" i="95"/>
  <c r="AM76" i="95"/>
  <c r="AO94" i="95"/>
  <c r="D77" i="80"/>
  <c r="J77" i="80"/>
  <c r="L77" i="80" s="1"/>
  <c r="B283" i="80"/>
  <c r="AK94" i="95"/>
  <c r="AN79" i="78" l="1"/>
  <c r="AO75" i="78"/>
  <c r="AM76" i="78"/>
  <c r="AL76" i="78"/>
  <c r="AK76" i="78"/>
  <c r="D330" i="80"/>
  <c r="J283" i="80"/>
  <c r="L283" i="80" s="1"/>
  <c r="D283" i="80"/>
  <c r="AN76" i="78"/>
  <c r="AN74" i="77"/>
  <c r="AO75" i="77" s="1"/>
  <c r="AO74" i="77"/>
  <c r="AN81" i="95"/>
  <c r="AO79" i="95"/>
  <c r="AN75" i="77" l="1"/>
  <c r="AM76" i="77" s="1"/>
  <c r="AQ11" i="93"/>
  <c r="AQ29" i="93" s="1"/>
  <c r="AQ31" i="93" s="1"/>
  <c r="AL91" i="93"/>
  <c r="AL92" i="93" s="1"/>
  <c r="AN91" i="93"/>
  <c r="AN92" i="93" s="1"/>
  <c r="AO91" i="93"/>
  <c r="AO92" i="93" s="1"/>
  <c r="AK91" i="93"/>
  <c r="AK92" i="93" s="1"/>
  <c r="AN73" i="93"/>
  <c r="AN74" i="93" s="1"/>
  <c r="AM91" i="93"/>
  <c r="AM92" i="93" s="1"/>
  <c r="AN76" i="77"/>
  <c r="AN79" i="77"/>
  <c r="AN81" i="77" s="1"/>
  <c r="AN83" i="95"/>
  <c r="AO83" i="95" s="1"/>
  <c r="AO81" i="95"/>
  <c r="AN81" i="78"/>
  <c r="AO79" i="78"/>
  <c r="AO82" i="95" l="1"/>
  <c r="AN83" i="77"/>
  <c r="AO83" i="77" s="1"/>
  <c r="AO81" i="77"/>
  <c r="AN83" i="78"/>
  <c r="AO83" i="78" s="1"/>
  <c r="AO81" i="78"/>
  <c r="AO93" i="93"/>
  <c r="AL94" i="93" s="1"/>
  <c r="AO74" i="93"/>
  <c r="AN75" i="93"/>
  <c r="AO82" i="77" l="1"/>
  <c r="AQ11" i="76"/>
  <c r="AQ29" i="76" s="1"/>
  <c r="AQ31" i="76" s="1"/>
  <c r="AO91" i="76"/>
  <c r="AO92" i="76" s="1"/>
  <c r="AO93" i="76" s="1"/>
  <c r="AN73" i="76"/>
  <c r="AN74" i="76" s="1"/>
  <c r="AN76" i="93"/>
  <c r="AO75" i="93"/>
  <c r="AJ76" i="93"/>
  <c r="AL76" i="93"/>
  <c r="AK76" i="93"/>
  <c r="AM76" i="93"/>
  <c r="AM94" i="93"/>
  <c r="AO94" i="93"/>
  <c r="AK94" i="93"/>
  <c r="AO82" i="78"/>
  <c r="AN94" i="93"/>
  <c r="AR11" i="95"/>
  <c r="AR29" i="95" s="1"/>
  <c r="AR31" i="95" s="1"/>
  <c r="AO74" i="76" l="1"/>
  <c r="AN75" i="76"/>
  <c r="AO94" i="76"/>
  <c r="AM94" i="76"/>
  <c r="AL94" i="76"/>
  <c r="AN94" i="76"/>
  <c r="AK94" i="76"/>
  <c r="AS11" i="95" l="1"/>
  <c r="AS29" i="95" s="1"/>
  <c r="AS31" i="95" s="1"/>
  <c r="AN79" i="76"/>
  <c r="AO75" i="76"/>
  <c r="AJ76" i="76"/>
  <c r="AM76" i="76"/>
  <c r="AL76" i="76"/>
  <c r="AK76" i="76"/>
  <c r="AN76" i="76"/>
  <c r="AQ7" i="88"/>
  <c r="AQ11" i="63"/>
  <c r="AQ29" i="63" s="1"/>
  <c r="AQ31" i="63" s="1"/>
  <c r="AQ7" i="103"/>
  <c r="AN73" i="63"/>
  <c r="AN74" i="63" s="1"/>
  <c r="AN91" i="63"/>
  <c r="AN92" i="63" s="1"/>
  <c r="AQ11" i="103" l="1"/>
  <c r="AQ27" i="103" s="1"/>
  <c r="AN114" i="103"/>
  <c r="AN115" i="103" s="1"/>
  <c r="AQ11" i="88"/>
  <c r="AQ30" i="88" s="1"/>
  <c r="AN120" i="88"/>
  <c r="AN121" i="88" s="1"/>
  <c r="AN122" i="88" s="1"/>
  <c r="AN81" i="76"/>
  <c r="AO79" i="76"/>
  <c r="AO74" i="63"/>
  <c r="AN75" i="63"/>
  <c r="AT11" i="95"/>
  <c r="AT29" i="95" s="1"/>
  <c r="AT31" i="95" s="1"/>
  <c r="AU7" i="95"/>
  <c r="AU11" i="95" s="1"/>
  <c r="AU29" i="95" s="1"/>
  <c r="AU31" i="95" s="1"/>
  <c r="AN76" i="63" l="1"/>
  <c r="AP2" i="105" s="1"/>
  <c r="AN79" i="63"/>
  <c r="AO75" i="63"/>
  <c r="AJ76" i="63"/>
  <c r="AL2" i="105" s="1"/>
  <c r="AK76" i="63"/>
  <c r="AM2" i="105" s="1"/>
  <c r="AL76" i="63"/>
  <c r="AN2" i="105" s="1"/>
  <c r="AM76" i="63"/>
  <c r="AO2" i="105" s="1"/>
  <c r="AN83" i="76"/>
  <c r="AO83" i="76" s="1"/>
  <c r="AO81" i="76"/>
  <c r="AN123" i="88"/>
  <c r="AN126" i="88"/>
  <c r="AN128" i="88" s="1"/>
  <c r="AN130" i="88" s="1"/>
  <c r="AM123" i="88"/>
  <c r="AK123" i="88"/>
  <c r="AL123" i="88"/>
  <c r="AN116" i="103"/>
  <c r="AN117" i="103"/>
  <c r="AS11" i="77"/>
  <c r="AS29" i="77" s="1"/>
  <c r="AS31" i="77" s="1"/>
  <c r="AO82" i="76" l="1"/>
  <c r="AN81" i="63"/>
  <c r="AO79" i="63"/>
  <c r="AN120" i="103"/>
  <c r="AN122" i="103" s="1"/>
  <c r="AN124" i="103" s="1"/>
  <c r="AK117" i="103"/>
  <c r="AM117" i="103"/>
  <c r="AL117" i="103"/>
  <c r="AN83" i="63" l="1"/>
  <c r="AO83" i="63" s="1"/>
  <c r="AO81" i="63"/>
  <c r="AT11" i="77"/>
  <c r="AR11" i="77" l="1"/>
  <c r="AR29" i="77" s="1"/>
  <c r="AR31" i="77" s="1"/>
  <c r="AN91" i="77"/>
  <c r="AN92" i="77" s="1"/>
  <c r="AY28" i="77"/>
  <c r="AU7" i="77"/>
  <c r="AT29" i="77"/>
  <c r="AT31" i="77" s="1"/>
  <c r="AU31" i="77" s="1"/>
  <c r="AU11" i="77"/>
  <c r="AU29" i="77" s="1"/>
  <c r="AO82" i="63"/>
  <c r="AN93" i="77" l="1"/>
  <c r="AN94" i="77"/>
  <c r="AK94" i="77" l="1"/>
  <c r="AL94" i="77"/>
  <c r="AM94" i="77"/>
  <c r="AR11" i="93" l="1"/>
  <c r="AR29" i="93" s="1"/>
  <c r="AR31" i="93" s="1"/>
  <c r="AS3" i="93" l="1"/>
  <c r="AS11" i="93"/>
  <c r="AS29" i="93" s="1"/>
  <c r="AS31" i="93" s="1"/>
  <c r="AS11" i="63" l="1"/>
  <c r="AS29" i="63" s="1"/>
  <c r="AS31" i="63" s="1"/>
  <c r="AT11" i="93"/>
  <c r="AT29" i="93" s="1"/>
  <c r="AT31" i="93" s="1"/>
  <c r="AU31" i="93" s="1"/>
  <c r="AU7" i="93"/>
  <c r="AU11" i="93" s="1"/>
  <c r="AU29" i="93" s="1"/>
  <c r="AW29" i="93" s="1"/>
  <c r="AS11" i="76" l="1"/>
  <c r="AS29" i="76" s="1"/>
  <c r="AS31" i="76" s="1"/>
  <c r="AR11" i="63"/>
  <c r="AR29" i="63" s="1"/>
  <c r="AR31" i="63" s="1"/>
  <c r="AO91" i="63"/>
  <c r="AO92" i="63" s="1"/>
  <c r="AR11" i="76" l="1"/>
  <c r="AR29" i="76" s="1"/>
  <c r="AR31" i="76" s="1"/>
  <c r="AO93" i="63"/>
  <c r="AL94" i="63" l="1"/>
  <c r="AM94" i="63"/>
  <c r="AK94" i="63"/>
  <c r="AN94" i="63"/>
  <c r="AO94" i="63"/>
  <c r="AT35" i="115" l="1"/>
  <c r="AT36" i="115" l="1"/>
  <c r="AU35" i="115"/>
  <c r="AP34" i="115"/>
  <c r="AU34" i="115" s="1"/>
  <c r="AT37" i="115" l="1"/>
  <c r="AT46" i="115" l="1"/>
  <c r="AT56" i="115"/>
  <c r="AT47" i="115"/>
  <c r="AT48" i="115"/>
  <c r="AT51" i="93" s="1"/>
  <c r="AT52" i="88" s="1"/>
  <c r="AT53" i="115"/>
  <c r="AT50" i="115"/>
  <c r="AT54" i="115"/>
  <c r="AT55" i="115"/>
  <c r="AT45" i="115"/>
  <c r="AT36" i="95"/>
  <c r="AT37" i="95" s="1"/>
  <c r="AT39" i="115" l="1"/>
  <c r="AT41" i="115" s="1"/>
  <c r="AT43" i="115" s="1"/>
  <c r="AT53" i="95"/>
  <c r="AT54" i="95"/>
  <c r="AT55" i="95"/>
  <c r="AT56" i="95"/>
  <c r="AT48" i="95"/>
  <c r="AT61" i="115"/>
  <c r="AT57" i="115"/>
  <c r="AT58" i="115"/>
  <c r="AT60" i="115"/>
  <c r="AT59" i="115"/>
  <c r="AS36" i="76"/>
  <c r="AS37" i="76" s="1"/>
  <c r="AS36" i="95"/>
  <c r="AS37" i="95" s="1"/>
  <c r="AT35" i="77" l="1"/>
  <c r="AS34" i="77" s="1"/>
  <c r="AS31" i="103" s="1"/>
  <c r="AS53" i="95"/>
  <c r="AS54" i="95"/>
  <c r="AS48" i="95"/>
  <c r="AS55" i="95"/>
  <c r="AS56" i="95"/>
  <c r="AS49" i="76"/>
  <c r="AS53" i="76"/>
  <c r="AS48" i="76"/>
  <c r="AS45" i="93" s="1"/>
  <c r="AS46" i="76"/>
  <c r="AS46" i="95" s="1"/>
  <c r="AS47" i="76"/>
  <c r="AS55" i="76"/>
  <c r="AS56" i="76"/>
  <c r="AS54" i="76"/>
  <c r="AT62" i="115"/>
  <c r="AS36" i="77"/>
  <c r="AS37" i="77" s="1"/>
  <c r="AT36" i="77" l="1"/>
  <c r="AT37" i="77" s="1"/>
  <c r="AS54" i="77"/>
  <c r="AS55" i="77"/>
  <c r="AS53" i="77"/>
  <c r="AS45" i="77"/>
  <c r="AS46" i="77"/>
  <c r="AS49" i="95" s="1"/>
  <c r="AS56" i="77"/>
  <c r="AS48" i="77"/>
  <c r="AT55" i="77"/>
  <c r="AT54" i="77"/>
  <c r="AT56" i="77"/>
  <c r="AT45" i="77"/>
  <c r="AT53" i="77"/>
  <c r="AT48" i="77"/>
  <c r="AT49" i="93" s="1"/>
  <c r="AT46" i="77"/>
  <c r="AT49" i="95" s="1"/>
  <c r="AT35" i="93" l="1"/>
  <c r="AO34" i="93" s="1"/>
  <c r="AT36" i="93"/>
  <c r="AT37" i="93" s="1"/>
  <c r="AT53" i="93" l="1"/>
  <c r="AT46" i="93"/>
  <c r="AT54" i="93"/>
  <c r="AT55" i="93"/>
  <c r="AT56" i="93"/>
  <c r="Z36" i="95" l="1"/>
  <c r="Z36" i="93" l="1"/>
  <c r="Z37" i="93" s="1"/>
  <c r="Z54" i="93" l="1"/>
  <c r="Z56" i="93"/>
  <c r="Z53" i="93"/>
  <c r="Z55" i="93"/>
  <c r="AS49" i="93" l="1"/>
  <c r="AS35" i="93"/>
  <c r="AP34" i="93" s="1"/>
  <c r="AS36" i="93" l="1"/>
  <c r="AS52" i="93" l="1"/>
  <c r="AU52" i="93" s="1"/>
  <c r="AS37" i="93"/>
  <c r="AS53" i="93" l="1"/>
  <c r="AS46" i="93"/>
  <c r="AS54" i="93"/>
  <c r="AS56" i="93"/>
  <c r="AS55" i="93"/>
  <c r="AR35" i="113"/>
  <c r="AQ34" i="113" s="1"/>
  <c r="AS35" i="113" l="1"/>
  <c r="AR34" i="113" s="1"/>
  <c r="AR36" i="113" s="1"/>
  <c r="AR37" i="113" s="1"/>
  <c r="AR53" i="113" l="1"/>
  <c r="AR48" i="113"/>
  <c r="AR50" i="93" s="1"/>
  <c r="AR49" i="113"/>
  <c r="AR54" i="113"/>
  <c r="AR46" i="113"/>
  <c r="AR50" i="95" s="1"/>
  <c r="AR50" i="113"/>
  <c r="AR55" i="113"/>
  <c r="AR56" i="113"/>
  <c r="AI36" i="77" l="1"/>
  <c r="AI37" i="77" s="1"/>
  <c r="K36" i="95"/>
  <c r="K39" i="95" s="1"/>
  <c r="K41" i="95" s="1"/>
  <c r="K62" i="95" s="1"/>
  <c r="AF35" i="63" l="1"/>
  <c r="AD35" i="63"/>
  <c r="AG35" i="63"/>
  <c r="AI54" i="77"/>
  <c r="AI55" i="77"/>
  <c r="AI45" i="77"/>
  <c r="AI56" i="77"/>
  <c r="AI53" i="77"/>
  <c r="AI46" i="77"/>
  <c r="AI49" i="95" s="1"/>
  <c r="AI48" i="77"/>
  <c r="AI49" i="93" s="1"/>
  <c r="AE35" i="63"/>
  <c r="AE36" i="63" s="1"/>
  <c r="AA36" i="95"/>
  <c r="AA37" i="95" s="1"/>
  <c r="AM35" i="76"/>
  <c r="AM36" i="76" s="1"/>
  <c r="AM37" i="76" s="1"/>
  <c r="AA36" i="93"/>
  <c r="L36" i="95"/>
  <c r="L39" i="95" s="1"/>
  <c r="L41" i="95" s="1"/>
  <c r="L62" i="95" s="1"/>
  <c r="I36" i="95"/>
  <c r="I39" i="95" s="1"/>
  <c r="I41" i="95" s="1"/>
  <c r="I62" i="95" s="1"/>
  <c r="T36" i="95"/>
  <c r="T37" i="95" s="1"/>
  <c r="M36" i="95"/>
  <c r="M39" i="95" s="1"/>
  <c r="M41" i="95" s="1"/>
  <c r="M62" i="95" s="1"/>
  <c r="R36" i="95"/>
  <c r="R39" i="95" s="1"/>
  <c r="R41" i="95" s="1"/>
  <c r="R62" i="95" s="1"/>
  <c r="S36" i="95"/>
  <c r="N36" i="95"/>
  <c r="N39" i="95" s="1"/>
  <c r="N41" i="95" s="1"/>
  <c r="N62" i="95" s="1"/>
  <c r="G36" i="95"/>
  <c r="G39" i="95" s="1"/>
  <c r="G41" i="95" s="1"/>
  <c r="G62" i="95" s="1"/>
  <c r="P36" i="95"/>
  <c r="P39" i="95" s="1"/>
  <c r="P41" i="95" s="1"/>
  <c r="P62" i="95" s="1"/>
  <c r="U36" i="95"/>
  <c r="U37" i="95" s="1"/>
  <c r="V36" i="95"/>
  <c r="V37" i="95" s="1"/>
  <c r="J36" i="95"/>
  <c r="J39" i="95" s="1"/>
  <c r="J41" i="95" s="1"/>
  <c r="J62" i="95" s="1"/>
  <c r="Q36" i="95"/>
  <c r="Q39" i="95" s="1"/>
  <c r="Q41" i="95" s="1"/>
  <c r="Q62" i="95" s="1"/>
  <c r="H36" i="95"/>
  <c r="H39" i="95" s="1"/>
  <c r="H41" i="95" s="1"/>
  <c r="H62" i="95" s="1"/>
  <c r="O36" i="95"/>
  <c r="O39" i="95" s="1"/>
  <c r="O41" i="95" s="1"/>
  <c r="O62" i="95" s="1"/>
  <c r="AQ36" i="115"/>
  <c r="AN36" i="93"/>
  <c r="AP35" i="113"/>
  <c r="AO34" i="113" s="1"/>
  <c r="AQ36" i="77"/>
  <c r="AQ37" i="77" s="1"/>
  <c r="AR36" i="95"/>
  <c r="AO36" i="95"/>
  <c r="AO37" i="95" s="1"/>
  <c r="I36" i="113"/>
  <c r="I39" i="113" s="1"/>
  <c r="I41" i="113" s="1"/>
  <c r="I62" i="113" s="1"/>
  <c r="L36" i="113"/>
  <c r="L39" i="113" s="1"/>
  <c r="L41" i="113" s="1"/>
  <c r="L62" i="113" s="1"/>
  <c r="H36" i="113"/>
  <c r="H39" i="113" s="1"/>
  <c r="H41" i="113" s="1"/>
  <c r="H62" i="113" s="1"/>
  <c r="T35" i="113"/>
  <c r="K36" i="113"/>
  <c r="K39" i="113" s="1"/>
  <c r="K41" i="113" s="1"/>
  <c r="K62" i="113" s="1"/>
  <c r="P36" i="113"/>
  <c r="P39" i="113" s="1"/>
  <c r="P41" i="113" s="1"/>
  <c r="P62" i="113" s="1"/>
  <c r="R36" i="113"/>
  <c r="R39" i="113" s="1"/>
  <c r="R41" i="113" s="1"/>
  <c r="R62" i="113" s="1"/>
  <c r="J36" i="113"/>
  <c r="J39" i="113" s="1"/>
  <c r="J41" i="113" s="1"/>
  <c r="J62" i="113" s="1"/>
  <c r="N36" i="113"/>
  <c r="N39" i="113" s="1"/>
  <c r="N41" i="113" s="1"/>
  <c r="N62" i="113" s="1"/>
  <c r="M36" i="113"/>
  <c r="M39" i="113" s="1"/>
  <c r="M41" i="113" s="1"/>
  <c r="M62" i="113" s="1"/>
  <c r="G36" i="113"/>
  <c r="G39" i="113" s="1"/>
  <c r="G41" i="113" s="1"/>
  <c r="G62" i="113" s="1"/>
  <c r="O36" i="113"/>
  <c r="O39" i="113" s="1"/>
  <c r="O41" i="113" s="1"/>
  <c r="O62" i="113" s="1"/>
  <c r="Q36" i="113"/>
  <c r="Q39" i="113" s="1"/>
  <c r="Q41" i="113" s="1"/>
  <c r="Q62" i="113" s="1"/>
  <c r="AP36" i="115"/>
  <c r="AP35" i="76"/>
  <c r="O36" i="93"/>
  <c r="O39" i="93" s="1"/>
  <c r="O41" i="93" s="1"/>
  <c r="O62" i="93" s="1"/>
  <c r="T36" i="93"/>
  <c r="U36" i="93"/>
  <c r="N36" i="93"/>
  <c r="N39" i="93" s="1"/>
  <c r="N41" i="93" s="1"/>
  <c r="N62" i="93" s="1"/>
  <c r="K36" i="93"/>
  <c r="K39" i="93" s="1"/>
  <c r="K41" i="93" s="1"/>
  <c r="K62" i="93" s="1"/>
  <c r="I36" i="93"/>
  <c r="I39" i="93" s="1"/>
  <c r="I41" i="93" s="1"/>
  <c r="I62" i="93" s="1"/>
  <c r="P36" i="93"/>
  <c r="P39" i="93" s="1"/>
  <c r="P41" i="93" s="1"/>
  <c r="P62" i="93" s="1"/>
  <c r="H36" i="93"/>
  <c r="H39" i="93" s="1"/>
  <c r="H41" i="93" s="1"/>
  <c r="H62" i="93" s="1"/>
  <c r="Q36" i="93"/>
  <c r="Q39" i="93" s="1"/>
  <c r="Q41" i="93" s="1"/>
  <c r="Q62" i="93" s="1"/>
  <c r="R36" i="93"/>
  <c r="R39" i="93" s="1"/>
  <c r="R41" i="93" s="1"/>
  <c r="R62" i="93" s="1"/>
  <c r="J36" i="93"/>
  <c r="J39" i="93" s="1"/>
  <c r="J41" i="93" s="1"/>
  <c r="J62" i="93" s="1"/>
  <c r="V36" i="93"/>
  <c r="M36" i="93"/>
  <c r="M39" i="93" s="1"/>
  <c r="M41" i="93" s="1"/>
  <c r="M62" i="93" s="1"/>
  <c r="L36" i="93"/>
  <c r="L39" i="93" s="1"/>
  <c r="L41" i="93" s="1"/>
  <c r="L62" i="93" s="1"/>
  <c r="S36" i="93"/>
  <c r="AP36" i="77"/>
  <c r="AP37" i="77" s="1"/>
  <c r="AQ35" i="76"/>
  <c r="AQ36" i="76" s="1"/>
  <c r="AQ37" i="76" s="1"/>
  <c r="AP36" i="93"/>
  <c r="AN36" i="77"/>
  <c r="AN37" i="77" s="1"/>
  <c r="AO36" i="77"/>
  <c r="AO37" i="77" s="1"/>
  <c r="AP36" i="95"/>
  <c r="AP37" i="95" s="1"/>
  <c r="AN36" i="115"/>
  <c r="AQ36" i="95"/>
  <c r="AO36" i="115"/>
  <c r="AN36" i="95"/>
  <c r="AN37" i="95" s="1"/>
  <c r="AR36" i="77"/>
  <c r="AQ36" i="93"/>
  <c r="AQ37" i="93" s="1"/>
  <c r="AR36" i="115"/>
  <c r="AO35" i="76"/>
  <c r="AA54" i="95" l="1"/>
  <c r="AA48" i="95"/>
  <c r="AA46" i="93" s="1"/>
  <c r="AA56" i="95"/>
  <c r="AA55" i="95"/>
  <c r="AA53" i="95"/>
  <c r="AK36" i="95"/>
  <c r="AK37" i="95" s="1"/>
  <c r="AJ36" i="93"/>
  <c r="AK35" i="78"/>
  <c r="AJ34" i="78" s="1"/>
  <c r="AJ31" i="103" s="1"/>
  <c r="AK36" i="77"/>
  <c r="AK37" i="77" s="1"/>
  <c r="AJ36" i="77"/>
  <c r="AJ37" i="77" s="1"/>
  <c r="AK36" i="115"/>
  <c r="AK35" i="76"/>
  <c r="AK35" i="113"/>
  <c r="AJ34" i="113" s="1"/>
  <c r="AJ36" i="115"/>
  <c r="AJ36" i="95"/>
  <c r="AH36" i="115"/>
  <c r="AO37" i="115"/>
  <c r="AL35" i="113"/>
  <c r="AK34" i="113" s="1"/>
  <c r="Z35" i="113"/>
  <c r="AR35" i="76"/>
  <c r="AN34" i="76" s="1"/>
  <c r="AD36" i="95"/>
  <c r="AD37" i="95" s="1"/>
  <c r="AN37" i="115"/>
  <c r="AN37" i="93"/>
  <c r="AA37" i="93"/>
  <c r="AP35" i="78"/>
  <c r="AO34" i="78" s="1"/>
  <c r="AN35" i="113"/>
  <c r="AL36" i="95"/>
  <c r="S37" i="93"/>
  <c r="U37" i="93"/>
  <c r="AM36" i="93"/>
  <c r="AM37" i="93" s="1"/>
  <c r="AR35" i="93"/>
  <c r="AR36" i="93" s="1"/>
  <c r="AA35" i="76"/>
  <c r="AA36" i="76" s="1"/>
  <c r="AN54" i="95"/>
  <c r="AN56" i="95"/>
  <c r="AN55" i="95"/>
  <c r="AN48" i="95"/>
  <c r="AN46" i="95"/>
  <c r="AN53" i="95"/>
  <c r="T37" i="93"/>
  <c r="V35" i="113"/>
  <c r="U34" i="113" s="1"/>
  <c r="F36" i="95"/>
  <c r="F39" i="95" s="1"/>
  <c r="F41" i="95" s="1"/>
  <c r="F62" i="95" s="1"/>
  <c r="AE35" i="76"/>
  <c r="AF34" i="76" s="1"/>
  <c r="AR34" i="76"/>
  <c r="AO45" i="77"/>
  <c r="AO54" i="77"/>
  <c r="AO55" i="77"/>
  <c r="AO56" i="77"/>
  <c r="AO53" i="77"/>
  <c r="AO46" i="77"/>
  <c r="AO49" i="95" s="1"/>
  <c r="AO48" i="77"/>
  <c r="AO49" i="93" s="1"/>
  <c r="AI36" i="95"/>
  <c r="AM36" i="77"/>
  <c r="AM37" i="77" s="1"/>
  <c r="AD36" i="115"/>
  <c r="AO35" i="113"/>
  <c r="AN34" i="113" s="1"/>
  <c r="AQ37" i="115"/>
  <c r="V48" i="95"/>
  <c r="V56" i="95"/>
  <c r="V54" i="95"/>
  <c r="V53" i="95"/>
  <c r="V55" i="95"/>
  <c r="AM47" i="76"/>
  <c r="AM54" i="76"/>
  <c r="AM56" i="76"/>
  <c r="AM53" i="76"/>
  <c r="AM55" i="76"/>
  <c r="AM46" i="76"/>
  <c r="AM48" i="76"/>
  <c r="AM45" i="93" s="1"/>
  <c r="AM49" i="76"/>
  <c r="AR37" i="115"/>
  <c r="AL36" i="93"/>
  <c r="AH36" i="95"/>
  <c r="AH37" i="95" s="1"/>
  <c r="AA36" i="115"/>
  <c r="AQ35" i="78"/>
  <c r="AP34" i="78" s="1"/>
  <c r="V37" i="93"/>
  <c r="AM36" i="115"/>
  <c r="U48" i="95"/>
  <c r="U53" i="95"/>
  <c r="U54" i="95"/>
  <c r="U56" i="95"/>
  <c r="U55" i="95"/>
  <c r="AP56" i="95"/>
  <c r="AP54" i="95"/>
  <c r="AP53" i="95"/>
  <c r="AP55" i="95"/>
  <c r="AP48" i="95"/>
  <c r="AM36" i="95"/>
  <c r="AM37" i="95" s="1"/>
  <c r="AR37" i="77"/>
  <c r="AN55" i="77"/>
  <c r="AN54" i="77"/>
  <c r="AN46" i="77"/>
  <c r="AN49" i="95" s="1"/>
  <c r="AN45" i="77"/>
  <c r="AN48" i="77"/>
  <c r="AN49" i="93" s="1"/>
  <c r="AN53" i="77"/>
  <c r="AN56" i="77"/>
  <c r="AE36" i="115"/>
  <c r="AF36" i="95"/>
  <c r="AF37" i="95" s="1"/>
  <c r="S37" i="95"/>
  <c r="AQ46" i="93"/>
  <c r="AQ53" i="93"/>
  <c r="AQ54" i="93"/>
  <c r="AQ56" i="93"/>
  <c r="AQ55" i="93"/>
  <c r="AH35" i="113"/>
  <c r="AG34" i="113" s="1"/>
  <c r="AH35" i="63"/>
  <c r="AH36" i="63" s="1"/>
  <c r="AN35" i="76"/>
  <c r="AO34" i="76" s="1"/>
  <c r="AO36" i="76" s="1"/>
  <c r="AO37" i="76" s="1"/>
  <c r="AH36" i="93"/>
  <c r="G36" i="93"/>
  <c r="G39" i="93" s="1"/>
  <c r="G41" i="93" s="1"/>
  <c r="G62" i="93" s="1"/>
  <c r="AP37" i="115"/>
  <c r="AO35" i="93"/>
  <c r="AO36" i="93" s="1"/>
  <c r="AA36" i="77"/>
  <c r="AA37" i="77" s="1"/>
  <c r="AQ54" i="76"/>
  <c r="AQ56" i="76"/>
  <c r="AQ46" i="76"/>
  <c r="AQ46" i="95" s="1"/>
  <c r="AQ55" i="76"/>
  <c r="AQ48" i="76"/>
  <c r="AQ45" i="93" s="1"/>
  <c r="AQ49" i="76"/>
  <c r="AQ47" i="76"/>
  <c r="AQ53" i="76"/>
  <c r="AN35" i="78"/>
  <c r="AE37" i="63"/>
  <c r="AQ37" i="95"/>
  <c r="AP36" i="76"/>
  <c r="AP37" i="76" s="1"/>
  <c r="AR37" i="95"/>
  <c r="AD36" i="63"/>
  <c r="AP55" i="77"/>
  <c r="AP54" i="77"/>
  <c r="AP53" i="77"/>
  <c r="AP56" i="77"/>
  <c r="AP45" i="77"/>
  <c r="AP48" i="77"/>
  <c r="AP49" i="93" s="1"/>
  <c r="AP46" i="77"/>
  <c r="AP49" i="95" s="1"/>
  <c r="AQ56" i="77"/>
  <c r="AQ46" i="77"/>
  <c r="AQ49" i="95" s="1"/>
  <c r="AQ53" i="77"/>
  <c r="AQ48" i="77"/>
  <c r="AQ49" i="93" s="1"/>
  <c r="AQ55" i="77"/>
  <c r="AQ45" i="77"/>
  <c r="AG36" i="95"/>
  <c r="AG37" i="95" s="1"/>
  <c r="AE36" i="95"/>
  <c r="AE37" i="95" s="1"/>
  <c r="AL36" i="115"/>
  <c r="AG36" i="115"/>
  <c r="AD35" i="76"/>
  <c r="AE34" i="76" s="1"/>
  <c r="AO35" i="78"/>
  <c r="AN34" i="78" s="1"/>
  <c r="AI36" i="93"/>
  <c r="AI37" i="93" s="1"/>
  <c r="AL36" i="77"/>
  <c r="S34" i="113"/>
  <c r="S36" i="113" s="1"/>
  <c r="AF36" i="115"/>
  <c r="AP37" i="93"/>
  <c r="U35" i="113"/>
  <c r="T34" i="113" s="1"/>
  <c r="T36" i="113" s="1"/>
  <c r="T37" i="113" s="1"/>
  <c r="AO55" i="95"/>
  <c r="AO54" i="95"/>
  <c r="AO53" i="95"/>
  <c r="AO48" i="95"/>
  <c r="AO56" i="95"/>
  <c r="AQ35" i="113"/>
  <c r="AP34" i="113" s="1"/>
  <c r="AP36" i="113" s="1"/>
  <c r="AP37" i="113" s="1"/>
  <c r="T55" i="95"/>
  <c r="T53" i="95"/>
  <c r="T56" i="95"/>
  <c r="T48" i="95"/>
  <c r="T54" i="95"/>
  <c r="Z35" i="76"/>
  <c r="M36" i="78"/>
  <c r="M39" i="78" s="1"/>
  <c r="M41" i="78" s="1"/>
  <c r="M62" i="78" s="1"/>
  <c r="J36" i="78"/>
  <c r="J39" i="78" s="1"/>
  <c r="J41" i="78" s="1"/>
  <c r="J62" i="78" s="1"/>
  <c r="K36" i="78"/>
  <c r="K39" i="78" s="1"/>
  <c r="K41" i="78" s="1"/>
  <c r="K62" i="78" s="1"/>
  <c r="H36" i="78"/>
  <c r="H39" i="78" s="1"/>
  <c r="H41" i="78" s="1"/>
  <c r="H62" i="78" s="1"/>
  <c r="G36" i="78"/>
  <c r="G39" i="78" s="1"/>
  <c r="G41" i="78" s="1"/>
  <c r="G62" i="78" s="1"/>
  <c r="Q36" i="78"/>
  <c r="Q39" i="78" s="1"/>
  <c r="Q41" i="78" s="1"/>
  <c r="Q62" i="78" s="1"/>
  <c r="I36" i="78"/>
  <c r="I39" i="78" s="1"/>
  <c r="I41" i="78" s="1"/>
  <c r="I62" i="78" s="1"/>
  <c r="L36" i="78"/>
  <c r="L39" i="78" s="1"/>
  <c r="L41" i="78" s="1"/>
  <c r="L62" i="78" s="1"/>
  <c r="O36" i="78"/>
  <c r="O39" i="78" s="1"/>
  <c r="O41" i="78" s="1"/>
  <c r="O62" i="78" s="1"/>
  <c r="N36" i="78"/>
  <c r="N39" i="78" s="1"/>
  <c r="N41" i="78" s="1"/>
  <c r="N62" i="78" s="1"/>
  <c r="R36" i="78"/>
  <c r="R39" i="78" s="1"/>
  <c r="R41" i="78" s="1"/>
  <c r="R62" i="78" s="1"/>
  <c r="P36" i="78"/>
  <c r="P39" i="78" s="1"/>
  <c r="P41" i="78" s="1"/>
  <c r="P62" i="78" s="1"/>
  <c r="U36" i="77"/>
  <c r="U37" i="77" s="1"/>
  <c r="N36" i="77"/>
  <c r="N39" i="77" s="1"/>
  <c r="N41" i="77" s="1"/>
  <c r="N62" i="77" s="1"/>
  <c r="R36" i="77"/>
  <c r="R39" i="77" s="1"/>
  <c r="R41" i="77" s="1"/>
  <c r="R62" i="77" s="1"/>
  <c r="O36" i="77"/>
  <c r="O39" i="77" s="1"/>
  <c r="O41" i="77" s="1"/>
  <c r="O62" i="77" s="1"/>
  <c r="G36" i="77"/>
  <c r="G39" i="77" s="1"/>
  <c r="G41" i="77" s="1"/>
  <c r="G62" i="77" s="1"/>
  <c r="K36" i="77"/>
  <c r="K39" i="77" s="1"/>
  <c r="K41" i="77" s="1"/>
  <c r="K62" i="77" s="1"/>
  <c r="Q36" i="77"/>
  <c r="Q39" i="77" s="1"/>
  <c r="Q41" i="77" s="1"/>
  <c r="Q62" i="77" s="1"/>
  <c r="M36" i="77"/>
  <c r="M39" i="77" s="1"/>
  <c r="M41" i="77" s="1"/>
  <c r="M62" i="77" s="1"/>
  <c r="P36" i="77"/>
  <c r="P39" i="77" s="1"/>
  <c r="P41" i="77" s="1"/>
  <c r="P62" i="77" s="1"/>
  <c r="J36" i="77"/>
  <c r="J39" i="77" s="1"/>
  <c r="J41" i="77" s="1"/>
  <c r="J62" i="77" s="1"/>
  <c r="S36" i="77"/>
  <c r="V35" i="77"/>
  <c r="L36" i="77"/>
  <c r="L39" i="77" s="1"/>
  <c r="L41" i="77" s="1"/>
  <c r="L62" i="77" s="1"/>
  <c r="T36" i="77"/>
  <c r="T37" i="77" s="1"/>
  <c r="H36" i="77"/>
  <c r="H39" i="77" s="1"/>
  <c r="H41" i="77" s="1"/>
  <c r="H62" i="77" s="1"/>
  <c r="I36" i="77"/>
  <c r="I39" i="77" s="1"/>
  <c r="I41" i="77" s="1"/>
  <c r="I62" i="77" s="1"/>
  <c r="I36" i="115"/>
  <c r="I39" i="115" s="1"/>
  <c r="I41" i="115" s="1"/>
  <c r="I62" i="115" s="1"/>
  <c r="O36" i="115"/>
  <c r="O39" i="115" s="1"/>
  <c r="O41" i="115" s="1"/>
  <c r="O62" i="115" s="1"/>
  <c r="V36" i="115"/>
  <c r="Q36" i="115"/>
  <c r="Q39" i="115" s="1"/>
  <c r="Q41" i="115" s="1"/>
  <c r="Q62" i="115" s="1"/>
  <c r="M36" i="115"/>
  <c r="M39" i="115" s="1"/>
  <c r="M41" i="115" s="1"/>
  <c r="M62" i="115" s="1"/>
  <c r="R36" i="115"/>
  <c r="R39" i="115" s="1"/>
  <c r="R41" i="115" s="1"/>
  <c r="R62" i="115" s="1"/>
  <c r="L36" i="115"/>
  <c r="L39" i="115" s="1"/>
  <c r="L41" i="115" s="1"/>
  <c r="L62" i="115" s="1"/>
  <c r="G36" i="115"/>
  <c r="G39" i="115" s="1"/>
  <c r="G41" i="115" s="1"/>
  <c r="G62" i="115" s="1"/>
  <c r="N36" i="115"/>
  <c r="N39" i="115" s="1"/>
  <c r="N41" i="115" s="1"/>
  <c r="N62" i="115" s="1"/>
  <c r="J36" i="115"/>
  <c r="J39" i="115" s="1"/>
  <c r="J41" i="115" s="1"/>
  <c r="J62" i="115" s="1"/>
  <c r="T36" i="115"/>
  <c r="H36" i="115"/>
  <c r="H39" i="115" s="1"/>
  <c r="H41" i="115" s="1"/>
  <c r="H62" i="115" s="1"/>
  <c r="P36" i="115"/>
  <c r="P39" i="115" s="1"/>
  <c r="P41" i="115" s="1"/>
  <c r="P62" i="115" s="1"/>
  <c r="U36" i="115"/>
  <c r="K36" i="115"/>
  <c r="K39" i="115" s="1"/>
  <c r="K41" i="115" s="1"/>
  <c r="K62" i="115" s="1"/>
  <c r="S36" i="115"/>
  <c r="AG36" i="77"/>
  <c r="AG37" i="77" s="1"/>
  <c r="M36" i="76"/>
  <c r="M39" i="76" s="1"/>
  <c r="M41" i="76" s="1"/>
  <c r="M62" i="76" s="1"/>
  <c r="J36" i="76"/>
  <c r="J39" i="76" s="1"/>
  <c r="J41" i="76" s="1"/>
  <c r="J62" i="76" s="1"/>
  <c r="H36" i="76"/>
  <c r="H39" i="76" s="1"/>
  <c r="H41" i="76" s="1"/>
  <c r="H62" i="76" s="1"/>
  <c r="R36" i="76"/>
  <c r="R39" i="76" s="1"/>
  <c r="R41" i="76" s="1"/>
  <c r="R62" i="76" s="1"/>
  <c r="P36" i="76"/>
  <c r="P39" i="76" s="1"/>
  <c r="P41" i="76" s="1"/>
  <c r="P62" i="76" s="1"/>
  <c r="O36" i="76"/>
  <c r="O39" i="76" s="1"/>
  <c r="O41" i="76" s="1"/>
  <c r="O62" i="76" s="1"/>
  <c r="I36" i="76"/>
  <c r="I39" i="76" s="1"/>
  <c r="I41" i="76" s="1"/>
  <c r="I62" i="76" s="1"/>
  <c r="G36" i="76"/>
  <c r="G39" i="76" s="1"/>
  <c r="G41" i="76" s="1"/>
  <c r="G62" i="76" s="1"/>
  <c r="L36" i="76"/>
  <c r="L39" i="76" s="1"/>
  <c r="L41" i="76" s="1"/>
  <c r="L62" i="76" s="1"/>
  <c r="N36" i="76"/>
  <c r="N39" i="76" s="1"/>
  <c r="N41" i="76" s="1"/>
  <c r="N62" i="76" s="1"/>
  <c r="Q36" i="76"/>
  <c r="Q39" i="76" s="1"/>
  <c r="Q41" i="76" s="1"/>
  <c r="Q62" i="76" s="1"/>
  <c r="U35" i="76"/>
  <c r="K36" i="76"/>
  <c r="K39" i="76" s="1"/>
  <c r="K41" i="76" s="1"/>
  <c r="K62" i="76" s="1"/>
  <c r="W36" i="115"/>
  <c r="AP36" i="78" l="1"/>
  <c r="AK36" i="113"/>
  <c r="AK37" i="113" s="1"/>
  <c r="AR36" i="76"/>
  <c r="V36" i="113"/>
  <c r="V37" i="113" s="1"/>
  <c r="V46" i="113" s="1"/>
  <c r="V50" i="95" s="1"/>
  <c r="AJ34" i="88"/>
  <c r="AQ36" i="113"/>
  <c r="AQ37" i="113" s="1"/>
  <c r="AQ54" i="113" s="1"/>
  <c r="AO36" i="78"/>
  <c r="AO37" i="78" s="1"/>
  <c r="AE36" i="76"/>
  <c r="AE37" i="76" s="1"/>
  <c r="AN36" i="76"/>
  <c r="AN37" i="76" s="1"/>
  <c r="AN46" i="76" s="1"/>
  <c r="AO36" i="113"/>
  <c r="AO37" i="113" s="1"/>
  <c r="AO48" i="113" s="1"/>
  <c r="AO50" i="93" s="1"/>
  <c r="AN36" i="113"/>
  <c r="AN37" i="113" s="1"/>
  <c r="AN54" i="113" s="1"/>
  <c r="AK36" i="76"/>
  <c r="AL34" i="76"/>
  <c r="AJ37" i="93"/>
  <c r="AN36" i="78"/>
  <c r="AN37" i="78" s="1"/>
  <c r="AK37" i="115"/>
  <c r="AJ56" i="77"/>
  <c r="AJ45" i="77"/>
  <c r="AJ55" i="77"/>
  <c r="AJ54" i="77"/>
  <c r="AJ48" i="77"/>
  <c r="AJ49" i="93" s="1"/>
  <c r="AJ46" i="77"/>
  <c r="AJ49" i="95" s="1"/>
  <c r="AJ53" i="77"/>
  <c r="AJ37" i="95"/>
  <c r="AJ35" i="76"/>
  <c r="AJ36" i="76" s="1"/>
  <c r="AK45" i="77"/>
  <c r="AK54" i="77"/>
  <c r="AK53" i="77"/>
  <c r="AK55" i="77"/>
  <c r="AK46" i="77"/>
  <c r="AK49" i="95" s="1"/>
  <c r="AK56" i="77"/>
  <c r="AK48" i="77"/>
  <c r="AK49" i="93" s="1"/>
  <c r="AJ37" i="115"/>
  <c r="AK56" i="95"/>
  <c r="AK53" i="95"/>
  <c r="AK48" i="95"/>
  <c r="AK55" i="95"/>
  <c r="AK46" i="95"/>
  <c r="AK54" i="95"/>
  <c r="AJ35" i="113"/>
  <c r="AI34" i="113" s="1"/>
  <c r="AJ35" i="78"/>
  <c r="AI34" i="78" s="1"/>
  <c r="AO46" i="76"/>
  <c r="AO46" i="95" s="1"/>
  <c r="AO48" i="76"/>
  <c r="AO45" i="93" s="1"/>
  <c r="AO53" i="76"/>
  <c r="AO56" i="76"/>
  <c r="AO54" i="76"/>
  <c r="AO49" i="76"/>
  <c r="AO47" i="76"/>
  <c r="AO55" i="76"/>
  <c r="AH37" i="63"/>
  <c r="AO37" i="93"/>
  <c r="AI37" i="95"/>
  <c r="S37" i="113"/>
  <c r="AA37" i="76"/>
  <c r="AC36" i="115"/>
  <c r="W35" i="78"/>
  <c r="V34" i="78" s="1"/>
  <c r="AG35" i="76"/>
  <c r="AR54" i="95"/>
  <c r="AR55" i="95"/>
  <c r="AR56" i="95"/>
  <c r="AR48" i="95"/>
  <c r="AR53" i="95"/>
  <c r="H9" i="92"/>
  <c r="AL37" i="93"/>
  <c r="H9" i="58"/>
  <c r="T35" i="78"/>
  <c r="AN34" i="88"/>
  <c r="AN31" i="103"/>
  <c r="AH37" i="93"/>
  <c r="V53" i="113"/>
  <c r="V49" i="113"/>
  <c r="V54" i="113"/>
  <c r="AR37" i="93"/>
  <c r="AR37" i="76"/>
  <c r="Z36" i="115"/>
  <c r="AI35" i="76"/>
  <c r="AI36" i="76" s="1"/>
  <c r="AF37" i="115"/>
  <c r="AG37" i="115"/>
  <c r="AP53" i="76"/>
  <c r="AP49" i="76"/>
  <c r="AP47" i="76"/>
  <c r="AP55" i="76"/>
  <c r="AP48" i="76"/>
  <c r="AP45" i="93" s="1"/>
  <c r="AP56" i="76"/>
  <c r="AP46" i="76"/>
  <c r="AP46" i="95" s="1"/>
  <c r="AP54" i="76"/>
  <c r="AH48" i="95"/>
  <c r="AH56" i="95"/>
  <c r="AH53" i="95"/>
  <c r="AH46" i="95"/>
  <c r="AH54" i="95"/>
  <c r="AH55" i="95"/>
  <c r="AI35" i="63"/>
  <c r="AI36" i="63" s="1"/>
  <c r="AM35" i="113"/>
  <c r="AL34" i="113" s="1"/>
  <c r="AL36" i="113" s="1"/>
  <c r="AL37" i="113" s="1"/>
  <c r="AF36" i="93"/>
  <c r="AI36" i="115"/>
  <c r="S55" i="95"/>
  <c r="S56" i="95"/>
  <c r="S48" i="95"/>
  <c r="S53" i="95"/>
  <c r="S54" i="95"/>
  <c r="T35" i="76"/>
  <c r="S37" i="115"/>
  <c r="AF36" i="77"/>
  <c r="AF37" i="77" s="1"/>
  <c r="AL37" i="115"/>
  <c r="AR56" i="77"/>
  <c r="AR46" i="77"/>
  <c r="AR49" i="95" s="1"/>
  <c r="AR55" i="77"/>
  <c r="AR54" i="77"/>
  <c r="AR53" i="77"/>
  <c r="AR48" i="77"/>
  <c r="AR49" i="93" s="1"/>
  <c r="AR45" i="77"/>
  <c r="AM53" i="93"/>
  <c r="AM46" i="93"/>
  <c r="AM55" i="93"/>
  <c r="AM54" i="93"/>
  <c r="AM56" i="93"/>
  <c r="V36" i="77"/>
  <c r="V37" i="77" s="1"/>
  <c r="W34" i="77"/>
  <c r="S37" i="77"/>
  <c r="U35" i="78"/>
  <c r="T34" i="78" s="1"/>
  <c r="AE55" i="95"/>
  <c r="AE54" i="95"/>
  <c r="AE56" i="95"/>
  <c r="AE53" i="95"/>
  <c r="AE48" i="95"/>
  <c r="AL35" i="76"/>
  <c r="V46" i="93"/>
  <c r="V53" i="93"/>
  <c r="V56" i="93"/>
  <c r="V55" i="93"/>
  <c r="V54" i="93"/>
  <c r="AD37" i="115"/>
  <c r="AL37" i="95"/>
  <c r="S35" i="76"/>
  <c r="AP46" i="93"/>
  <c r="AP55" i="93"/>
  <c r="AP54" i="93"/>
  <c r="AP56" i="93"/>
  <c r="AP53" i="93"/>
  <c r="V35" i="76"/>
  <c r="W34" i="76" s="1"/>
  <c r="AE36" i="93"/>
  <c r="AM35" i="78"/>
  <c r="AL34" i="78" s="1"/>
  <c r="U54" i="77"/>
  <c r="U56" i="77"/>
  <c r="U46" i="77"/>
  <c r="U49" i="95" s="1"/>
  <c r="U48" i="77"/>
  <c r="U49" i="93" s="1"/>
  <c r="U53" i="77"/>
  <c r="U55" i="77"/>
  <c r="U45" i="77"/>
  <c r="AG54" i="77"/>
  <c r="AG46" i="77"/>
  <c r="AG49" i="95" s="1"/>
  <c r="AG55" i="77"/>
  <c r="AG53" i="77"/>
  <c r="AG56" i="77"/>
  <c r="AG45" i="77"/>
  <c r="AG48" i="77"/>
  <c r="AG49" i="93" s="1"/>
  <c r="AA45" i="77"/>
  <c r="AA54" i="77"/>
  <c r="AA46" i="77"/>
  <c r="AA49" i="95" s="1"/>
  <c r="AA56" i="77"/>
  <c r="AA48" i="77"/>
  <c r="AA49" i="93" s="1"/>
  <c r="AA53" i="77"/>
  <c r="AA55" i="77"/>
  <c r="AH35" i="78"/>
  <c r="AG34" i="78" s="1"/>
  <c r="AE45" i="63"/>
  <c r="AE48" i="63"/>
  <c r="AE50" i="63"/>
  <c r="AE54" i="63"/>
  <c r="AE46" i="63"/>
  <c r="AE47" i="63"/>
  <c r="AE55" i="63"/>
  <c r="AE53" i="63"/>
  <c r="AE49" i="63"/>
  <c r="AE56" i="63"/>
  <c r="AM46" i="95"/>
  <c r="AM53" i="95"/>
  <c r="AM54" i="95"/>
  <c r="AM55" i="95"/>
  <c r="AM56" i="95"/>
  <c r="AM48" i="95"/>
  <c r="AG35" i="113"/>
  <c r="AF34" i="113" s="1"/>
  <c r="AA56" i="93"/>
  <c r="AA53" i="93"/>
  <c r="AA55" i="93"/>
  <c r="AA54" i="93"/>
  <c r="AC36" i="77"/>
  <c r="AC37" i="77" s="1"/>
  <c r="AE37" i="115"/>
  <c r="AO35" i="88"/>
  <c r="U54" i="93"/>
  <c r="U46" i="93"/>
  <c r="U53" i="93"/>
  <c r="U55" i="93"/>
  <c r="U56" i="93"/>
  <c r="AN56" i="93"/>
  <c r="AN46" i="93"/>
  <c r="AN53" i="93"/>
  <c r="AN55" i="93"/>
  <c r="AN54" i="93"/>
  <c r="AO55" i="115"/>
  <c r="AO45" i="115"/>
  <c r="AO50" i="115"/>
  <c r="AO56" i="115"/>
  <c r="AO54" i="115"/>
  <c r="AO53" i="115"/>
  <c r="AO47" i="115"/>
  <c r="AO48" i="115"/>
  <c r="AO51" i="93" s="1"/>
  <c r="AO46" i="115"/>
  <c r="AO51" i="95" s="1"/>
  <c r="AD55" i="95"/>
  <c r="AD54" i="95"/>
  <c r="AD53" i="95"/>
  <c r="AD48" i="95"/>
  <c r="AD56" i="95"/>
  <c r="V35" i="78"/>
  <c r="AD37" i="63"/>
  <c r="AP53" i="115"/>
  <c r="AP45" i="115"/>
  <c r="AP46" i="115"/>
  <c r="AP51" i="95" s="1"/>
  <c r="AP47" i="115"/>
  <c r="AP48" i="115"/>
  <c r="AP51" i="93" s="1"/>
  <c r="AP54" i="115"/>
  <c r="AP56" i="115"/>
  <c r="AP50" i="115"/>
  <c r="AP55" i="115"/>
  <c r="W37" i="115"/>
  <c r="AP53" i="113"/>
  <c r="AP49" i="113"/>
  <c r="AP46" i="113"/>
  <c r="AP50" i="95" s="1"/>
  <c r="AP54" i="113"/>
  <c r="AP48" i="113"/>
  <c r="AP50" i="93" s="1"/>
  <c r="AP50" i="113"/>
  <c r="AP56" i="113"/>
  <c r="AP55" i="113"/>
  <c r="AI35" i="113"/>
  <c r="AH34" i="113" s="1"/>
  <c r="AH36" i="113" s="1"/>
  <c r="AH37" i="113" s="1"/>
  <c r="AB36" i="77"/>
  <c r="AB37" i="77" s="1"/>
  <c r="Y36" i="95"/>
  <c r="AR50" i="115"/>
  <c r="AR55" i="115"/>
  <c r="AR48" i="115"/>
  <c r="AR51" i="93" s="1"/>
  <c r="AR53" i="115"/>
  <c r="AR47" i="115"/>
  <c r="AR56" i="115"/>
  <c r="AR54" i="115"/>
  <c r="AR46" i="115"/>
  <c r="AR51" i="95" s="1"/>
  <c r="AS52" i="88" s="1"/>
  <c r="AR45" i="115"/>
  <c r="V37" i="115"/>
  <c r="T45" i="77"/>
  <c r="T46" i="77"/>
  <c r="T49" i="95" s="1"/>
  <c r="T53" i="77"/>
  <c r="T55" i="77"/>
  <c r="T56" i="77"/>
  <c r="T54" i="77"/>
  <c r="T48" i="77"/>
  <c r="T49" i="93" s="1"/>
  <c r="T56" i="93"/>
  <c r="T46" i="93"/>
  <c r="T53" i="93"/>
  <c r="T54" i="93"/>
  <c r="T55" i="93"/>
  <c r="AL37" i="77"/>
  <c r="AD36" i="93"/>
  <c r="T37" i="115"/>
  <c r="U36" i="113"/>
  <c r="U37" i="113" s="1"/>
  <c r="AG56" i="95"/>
  <c r="AG53" i="95"/>
  <c r="AG54" i="95"/>
  <c r="AG46" i="95"/>
  <c r="AG48" i="95"/>
  <c r="AG55" i="95"/>
  <c r="AM54" i="77"/>
  <c r="AM55" i="77"/>
  <c r="AM53" i="77"/>
  <c r="AM45" i="77"/>
  <c r="AM56" i="77"/>
  <c r="AM46" i="77"/>
  <c r="AM49" i="95" s="1"/>
  <c r="AM48" i="77"/>
  <c r="AM49" i="93" s="1"/>
  <c r="AH37" i="115"/>
  <c r="AE36" i="77"/>
  <c r="AE37" i="77" s="1"/>
  <c r="AG36" i="93"/>
  <c r="AP37" i="78"/>
  <c r="AQ48" i="95"/>
  <c r="AQ54" i="95"/>
  <c r="AQ56" i="95"/>
  <c r="AQ55" i="95"/>
  <c r="AQ53" i="95"/>
  <c r="AG35" i="78"/>
  <c r="AF34" i="78" s="1"/>
  <c r="AM37" i="115"/>
  <c r="AQ55" i="115"/>
  <c r="AQ50" i="115"/>
  <c r="AQ56" i="115"/>
  <c r="AQ45" i="115"/>
  <c r="AQ53" i="115"/>
  <c r="AQ46" i="115"/>
  <c r="AQ51" i="95" s="1"/>
  <c r="AQ48" i="115"/>
  <c r="AQ51" i="93" s="1"/>
  <c r="AQ47" i="115"/>
  <c r="AL35" i="78"/>
  <c r="AK34" i="78" s="1"/>
  <c r="AK48" i="113"/>
  <c r="AK50" i="93" s="1"/>
  <c r="AK54" i="113"/>
  <c r="AK53" i="113"/>
  <c r="AK49" i="113"/>
  <c r="AK56" i="113"/>
  <c r="AK55" i="113"/>
  <c r="AK46" i="113"/>
  <c r="AK50" i="95" s="1"/>
  <c r="AK50" i="113"/>
  <c r="U37" i="115"/>
  <c r="AF54" i="95"/>
  <c r="AF53" i="95"/>
  <c r="AF55" i="95"/>
  <c r="AF48" i="95"/>
  <c r="AF46" i="95"/>
  <c r="AF46" i="76" s="1"/>
  <c r="AF56" i="95"/>
  <c r="AB36" i="115"/>
  <c r="T46" i="113"/>
  <c r="T56" i="113"/>
  <c r="T53" i="113"/>
  <c r="T48" i="113"/>
  <c r="T50" i="93" s="1"/>
  <c r="T50" i="113"/>
  <c r="T55" i="113"/>
  <c r="T54" i="113"/>
  <c r="T49" i="113"/>
  <c r="AI55" i="93"/>
  <c r="AI46" i="93"/>
  <c r="AI56" i="93"/>
  <c r="AI54" i="93"/>
  <c r="AI53" i="93"/>
  <c r="AK34" i="93"/>
  <c r="AO32" i="103"/>
  <c r="AA37" i="115"/>
  <c r="S46" i="93"/>
  <c r="S56" i="93"/>
  <c r="S55" i="93"/>
  <c r="S53" i="93"/>
  <c r="S54" i="93"/>
  <c r="AN46" i="115"/>
  <c r="AN51" i="95" s="1"/>
  <c r="AN48" i="115"/>
  <c r="AN51" i="93" s="1"/>
  <c r="AN45" i="115"/>
  <c r="AN54" i="115"/>
  <c r="AN55" i="115"/>
  <c r="AN56" i="115"/>
  <c r="AN53" i="115"/>
  <c r="AN50" i="115"/>
  <c r="AN47" i="115"/>
  <c r="V55" i="113" l="1"/>
  <c r="V48" i="113"/>
  <c r="V50" i="93" s="1"/>
  <c r="AQ56" i="113"/>
  <c r="AQ49" i="113"/>
  <c r="AQ48" i="113"/>
  <c r="AQ50" i="93" s="1"/>
  <c r="AQ55" i="113"/>
  <c r="AQ50" i="113"/>
  <c r="AQ53" i="113"/>
  <c r="AO54" i="113"/>
  <c r="AO46" i="113"/>
  <c r="AO50" i="95" s="1"/>
  <c r="AO56" i="113"/>
  <c r="AO49" i="113"/>
  <c r="AO50" i="113"/>
  <c r="AO55" i="113"/>
  <c r="V56" i="113"/>
  <c r="AO53" i="113"/>
  <c r="V50" i="113"/>
  <c r="AN56" i="76"/>
  <c r="AN47" i="76"/>
  <c r="AN53" i="76"/>
  <c r="AN56" i="113"/>
  <c r="AM36" i="113"/>
  <c r="AM37" i="113" s="1"/>
  <c r="AM48" i="113" s="1"/>
  <c r="AM50" i="93" s="1"/>
  <c r="AN48" i="113"/>
  <c r="AN50" i="93" s="1"/>
  <c r="AJ36" i="78"/>
  <c r="AJ37" i="78" s="1"/>
  <c r="AJ53" i="78" s="1"/>
  <c r="AN49" i="113"/>
  <c r="AN46" i="113"/>
  <c r="AN50" i="95" s="1"/>
  <c r="AN53" i="113"/>
  <c r="AN55" i="76"/>
  <c r="AN55" i="113"/>
  <c r="AN49" i="76"/>
  <c r="AN54" i="76"/>
  <c r="V36" i="78"/>
  <c r="V37" i="78" s="1"/>
  <c r="V53" i="78" s="1"/>
  <c r="AN48" i="76"/>
  <c r="AN45" i="93" s="1"/>
  <c r="AG36" i="113"/>
  <c r="AG37" i="113" s="1"/>
  <c r="AG56" i="113" s="1"/>
  <c r="U36" i="78"/>
  <c r="U37" i="78" s="1"/>
  <c r="U49" i="78" s="1"/>
  <c r="U47" i="77" s="1"/>
  <c r="V36" i="76"/>
  <c r="V37" i="76" s="1"/>
  <c r="V47" i="76" s="1"/>
  <c r="AQ46" i="113"/>
  <c r="AQ50" i="95" s="1"/>
  <c r="AL36" i="76"/>
  <c r="AL37" i="76" s="1"/>
  <c r="AG36" i="78"/>
  <c r="AG37" i="78" s="1"/>
  <c r="AN50" i="113"/>
  <c r="AM36" i="78"/>
  <c r="AM37" i="78" s="1"/>
  <c r="AL36" i="78"/>
  <c r="AL37" i="78" s="1"/>
  <c r="AJ37" i="76"/>
  <c r="AJ48" i="115"/>
  <c r="AJ51" i="93" s="1"/>
  <c r="AJ45" i="115"/>
  <c r="AJ55" i="115"/>
  <c r="AJ47" i="115"/>
  <c r="AJ56" i="115"/>
  <c r="AJ53" i="115"/>
  <c r="AJ46" i="115"/>
  <c r="AJ51" i="95" s="1"/>
  <c r="AJ54" i="115"/>
  <c r="AJ50" i="115"/>
  <c r="AJ55" i="95"/>
  <c r="AJ48" i="95"/>
  <c r="AJ54" i="95"/>
  <c r="AJ53" i="95"/>
  <c r="AJ46" i="95"/>
  <c r="AJ56" i="95"/>
  <c r="AJ53" i="93"/>
  <c r="AJ56" i="93"/>
  <c r="AJ55" i="93"/>
  <c r="AJ54" i="93"/>
  <c r="AJ46" i="93"/>
  <c r="AI33" i="88"/>
  <c r="AG33" i="88"/>
  <c r="AK48" i="115"/>
  <c r="AK51" i="93" s="1"/>
  <c r="AK45" i="115"/>
  <c r="AK53" i="115"/>
  <c r="AK56" i="115"/>
  <c r="AK54" i="115"/>
  <c r="AK46" i="115"/>
  <c r="AK51" i="95" s="1"/>
  <c r="AK47" i="115"/>
  <c r="AK50" i="115"/>
  <c r="AK55" i="115"/>
  <c r="AR52" i="88"/>
  <c r="AP52" i="88"/>
  <c r="AG30" i="103"/>
  <c r="AK37" i="76"/>
  <c r="AO52" i="88"/>
  <c r="AI31" i="103"/>
  <c r="AI34" i="88"/>
  <c r="AR39" i="115"/>
  <c r="AR41" i="115" s="1"/>
  <c r="AR43" i="115" s="1"/>
  <c r="T36" i="78"/>
  <c r="T37" i="78" s="1"/>
  <c r="T56" i="78" s="1"/>
  <c r="AJ36" i="113"/>
  <c r="AJ37" i="113" s="1"/>
  <c r="AR49" i="76"/>
  <c r="AR48" i="76"/>
  <c r="AR45" i="93" s="1"/>
  <c r="AR53" i="76"/>
  <c r="AR55" i="76"/>
  <c r="AR54" i="76"/>
  <c r="AR47" i="76"/>
  <c r="AR46" i="76"/>
  <c r="AR46" i="95" s="1"/>
  <c r="AR56" i="76"/>
  <c r="AB37" i="115"/>
  <c r="AQ39" i="115"/>
  <c r="AQ41" i="115" s="1"/>
  <c r="AP55" i="78"/>
  <c r="AP53" i="78"/>
  <c r="AP48" i="78"/>
  <c r="AP54" i="78"/>
  <c r="AP56" i="78"/>
  <c r="AP49" i="78"/>
  <c r="AQ47" i="77" s="1"/>
  <c r="AP46" i="78"/>
  <c r="AP47" i="95" s="1"/>
  <c r="AI37" i="115"/>
  <c r="Z37" i="115"/>
  <c r="E8" i="85"/>
  <c r="AS35" i="63"/>
  <c r="AS36" i="63" s="1"/>
  <c r="Y36" i="115"/>
  <c r="AG37" i="93"/>
  <c r="AP39" i="115"/>
  <c r="AP41" i="115" s="1"/>
  <c r="AL53" i="95"/>
  <c r="AL54" i="95"/>
  <c r="AL48" i="95"/>
  <c r="AL55" i="95"/>
  <c r="AL46" i="95"/>
  <c r="AL56" i="95"/>
  <c r="AH46" i="93"/>
  <c r="AH53" i="93"/>
  <c r="AH56" i="93"/>
  <c r="AH55" i="93"/>
  <c r="AH54" i="93"/>
  <c r="AA54" i="76"/>
  <c r="AA47" i="76"/>
  <c r="AA53" i="76"/>
  <c r="AA46" i="76"/>
  <c r="AA46" i="95" s="1"/>
  <c r="AA49" i="76"/>
  <c r="AA55" i="76"/>
  <c r="AA56" i="76"/>
  <c r="AA48" i="76"/>
  <c r="AA45" i="93" s="1"/>
  <c r="AL56" i="77"/>
  <c r="AL48" i="77"/>
  <c r="AL49" i="93" s="1"/>
  <c r="AL53" i="77"/>
  <c r="AL55" i="77"/>
  <c r="AL54" i="77"/>
  <c r="AL45" i="77"/>
  <c r="AL46" i="77"/>
  <c r="AL49" i="95" s="1"/>
  <c r="V46" i="115"/>
  <c r="V51" i="95" s="1"/>
  <c r="V50" i="115"/>
  <c r="V53" i="115"/>
  <c r="V54" i="115"/>
  <c r="V55" i="115"/>
  <c r="V47" i="115"/>
  <c r="V48" i="115"/>
  <c r="V51" i="93" s="1"/>
  <c r="V56" i="115"/>
  <c r="V45" i="115"/>
  <c r="AE49" i="77"/>
  <c r="AL34" i="88"/>
  <c r="AL31" i="103"/>
  <c r="V53" i="77"/>
  <c r="V48" i="77"/>
  <c r="V49" i="93" s="1"/>
  <c r="V55" i="77"/>
  <c r="V45" i="77"/>
  <c r="V56" i="77"/>
  <c r="V46" i="77"/>
  <c r="V49" i="95" s="1"/>
  <c r="V54" i="77"/>
  <c r="AL45" i="115"/>
  <c r="AL46" i="115"/>
  <c r="AL51" i="95" s="1"/>
  <c r="AL48" i="115"/>
  <c r="AL51" i="93" s="1"/>
  <c r="AL56" i="115"/>
  <c r="AL53" i="115"/>
  <c r="AL54" i="115"/>
  <c r="AL50" i="115"/>
  <c r="AL47" i="115"/>
  <c r="AL55" i="115"/>
  <c r="AF37" i="93"/>
  <c r="S56" i="113"/>
  <c r="AO45" i="113"/>
  <c r="S50" i="113"/>
  <c r="AT45" i="113"/>
  <c r="AN45" i="113"/>
  <c r="AK45" i="113"/>
  <c r="S55" i="113"/>
  <c r="AA45" i="113"/>
  <c r="AI45" i="113"/>
  <c r="S48" i="113"/>
  <c r="Z45" i="113"/>
  <c r="S49" i="113"/>
  <c r="AC45" i="113"/>
  <c r="AP45" i="113"/>
  <c r="AR45" i="113"/>
  <c r="AF45" i="113"/>
  <c r="Y45" i="113"/>
  <c r="AH45" i="113"/>
  <c r="AJ45" i="113"/>
  <c r="AD45" i="113"/>
  <c r="S45" i="113"/>
  <c r="AM45" i="113"/>
  <c r="X45" i="113"/>
  <c r="W45" i="113"/>
  <c r="AQ45" i="113"/>
  <c r="AG45" i="113"/>
  <c r="AL45" i="113"/>
  <c r="S54" i="113"/>
  <c r="S53" i="113"/>
  <c r="AE45" i="113"/>
  <c r="S46" i="113"/>
  <c r="AB45" i="113"/>
  <c r="U45" i="113"/>
  <c r="AS45" i="113"/>
  <c r="V45" i="113"/>
  <c r="T45" i="113"/>
  <c r="AH35" i="76"/>
  <c r="AO39" i="115"/>
  <c r="AO41" i="115" s="1"/>
  <c r="AR54" i="93"/>
  <c r="AR55" i="93"/>
  <c r="AR46" i="93"/>
  <c r="AR56" i="93"/>
  <c r="AR53" i="93"/>
  <c r="F36" i="78"/>
  <c r="F39" i="78" s="1"/>
  <c r="F41" i="78" s="1"/>
  <c r="F62" i="78" s="1"/>
  <c r="F36" i="77"/>
  <c r="F39" i="77" s="1"/>
  <c r="F41" i="77" s="1"/>
  <c r="F62" i="77" s="1"/>
  <c r="AC36" i="95"/>
  <c r="AC37" i="95" s="1"/>
  <c r="X35" i="78"/>
  <c r="W34" i="78" s="1"/>
  <c r="W36" i="78" s="1"/>
  <c r="AK36" i="78"/>
  <c r="AK34" i="88"/>
  <c r="S45" i="77"/>
  <c r="S48" i="77"/>
  <c r="S54" i="77"/>
  <c r="S56" i="77"/>
  <c r="S55" i="77"/>
  <c r="S53" i="77"/>
  <c r="S46" i="77"/>
  <c r="AI35" i="78"/>
  <c r="AH34" i="78" s="1"/>
  <c r="AH36" i="78" s="1"/>
  <c r="S34" i="78"/>
  <c r="U54" i="113"/>
  <c r="U56" i="113"/>
  <c r="U46" i="113"/>
  <c r="U49" i="113"/>
  <c r="U55" i="113"/>
  <c r="U50" i="113"/>
  <c r="U48" i="113"/>
  <c r="U50" i="93" s="1"/>
  <c r="U53" i="113"/>
  <c r="AB48" i="77"/>
  <c r="AB49" i="93" s="1"/>
  <c r="AB56" i="77"/>
  <c r="AB55" i="77"/>
  <c r="AB46" i="77"/>
  <c r="AB49" i="95" s="1"/>
  <c r="AB45" i="77"/>
  <c r="AB54" i="77"/>
  <c r="AB53" i="77"/>
  <c r="AI37" i="63"/>
  <c r="F36" i="115"/>
  <c r="F39" i="115" s="1"/>
  <c r="F41" i="115" s="1"/>
  <c r="F62" i="115" s="1"/>
  <c r="H9" i="117" s="1"/>
  <c r="AG56" i="115"/>
  <c r="AG47" i="115"/>
  <c r="AG45" i="115"/>
  <c r="AG46" i="115"/>
  <c r="AG51" i="95" s="1"/>
  <c r="AG50" i="115"/>
  <c r="AG53" i="115"/>
  <c r="AG48" i="115"/>
  <c r="AG51" i="93" s="1"/>
  <c r="AG55" i="115"/>
  <c r="AG54" i="115"/>
  <c r="AH34" i="76"/>
  <c r="AG35" i="88"/>
  <c r="AG32" i="103"/>
  <c r="AC35" i="93"/>
  <c r="U53" i="115"/>
  <c r="U47" i="115"/>
  <c r="U50" i="115"/>
  <c r="U56" i="115"/>
  <c r="U48" i="115"/>
  <c r="U51" i="93" s="1"/>
  <c r="U54" i="115"/>
  <c r="U46" i="115"/>
  <c r="U51" i="95" s="1"/>
  <c r="U55" i="115"/>
  <c r="U45" i="115"/>
  <c r="T45" i="115"/>
  <c r="T55" i="115"/>
  <c r="T48" i="115"/>
  <c r="T51" i="93" s="1"/>
  <c r="T46" i="115"/>
  <c r="T51" i="95" s="1"/>
  <c r="T54" i="115"/>
  <c r="T47" i="115"/>
  <c r="T56" i="115"/>
  <c r="T50" i="115"/>
  <c r="T53" i="115"/>
  <c r="AI36" i="113"/>
  <c r="AI37" i="113" s="1"/>
  <c r="Y35" i="77"/>
  <c r="Z34" i="77" s="1"/>
  <c r="Z36" i="77" s="1"/>
  <c r="Z37" i="77" s="1"/>
  <c r="AE45" i="76"/>
  <c r="AE39" i="63"/>
  <c r="AE41" i="63" s="1"/>
  <c r="M9" i="58"/>
  <c r="E6" i="85"/>
  <c r="AE37" i="93"/>
  <c r="W35" i="76"/>
  <c r="X34" i="76" s="1"/>
  <c r="AE55" i="115"/>
  <c r="AE45" i="115"/>
  <c r="AE54" i="115"/>
  <c r="AE46" i="115"/>
  <c r="AE51" i="95" s="1"/>
  <c r="AE53" i="115"/>
  <c r="AE56" i="115"/>
  <c r="AE50" i="115"/>
  <c r="AE48" i="115"/>
  <c r="AE51" i="93" s="1"/>
  <c r="AE47" i="115"/>
  <c r="AI46" i="95"/>
  <c r="AI48" i="95"/>
  <c r="AI56" i="95"/>
  <c r="AI53" i="95"/>
  <c r="AI54" i="95"/>
  <c r="AI55" i="95"/>
  <c r="AE45" i="95"/>
  <c r="S50" i="115"/>
  <c r="S53" i="115"/>
  <c r="S48" i="115"/>
  <c r="S55" i="115"/>
  <c r="S54" i="115"/>
  <c r="S56" i="115"/>
  <c r="S46" i="115"/>
  <c r="S45" i="115"/>
  <c r="S47" i="115"/>
  <c r="W36" i="93"/>
  <c r="W37" i="93" s="1"/>
  <c r="AI30" i="103"/>
  <c r="AO53" i="93"/>
  <c r="AO46" i="93"/>
  <c r="AO56" i="93"/>
  <c r="AO54" i="93"/>
  <c r="AO55" i="93"/>
  <c r="Y35" i="76"/>
  <c r="Z34" i="76" s="1"/>
  <c r="Z36" i="76" s="1"/>
  <c r="Z37" i="76" s="1"/>
  <c r="AE47" i="113"/>
  <c r="X36" i="95"/>
  <c r="AE48" i="93"/>
  <c r="AD36" i="77"/>
  <c r="F36" i="76"/>
  <c r="F39" i="76" s="1"/>
  <c r="F41" i="76" s="1"/>
  <c r="F62" i="76" s="1"/>
  <c r="H9" i="57" s="1"/>
  <c r="AK31" i="103"/>
  <c r="AK36" i="93"/>
  <c r="AQ52" i="88"/>
  <c r="AD37" i="93"/>
  <c r="AH48" i="113"/>
  <c r="AH50" i="93" s="1"/>
  <c r="AH56" i="113"/>
  <c r="AH54" i="113"/>
  <c r="AH50" i="113"/>
  <c r="AH53" i="113"/>
  <c r="AH55" i="113"/>
  <c r="AH49" i="113"/>
  <c r="AH46" i="113"/>
  <c r="AH50" i="95" s="1"/>
  <c r="AF55" i="115"/>
  <c r="AF54" i="115"/>
  <c r="AF46" i="115"/>
  <c r="AF51" i="95" s="1"/>
  <c r="AF50" i="115"/>
  <c r="AF56" i="115"/>
  <c r="AF53" i="115"/>
  <c r="AF47" i="115"/>
  <c r="AF45" i="115"/>
  <c r="AF48" i="115"/>
  <c r="AF51" i="93" s="1"/>
  <c r="AD47" i="115"/>
  <c r="AD48" i="115"/>
  <c r="AD51" i="93" s="1"/>
  <c r="AD54" i="115"/>
  <c r="AD45" i="115"/>
  <c r="AD55" i="115"/>
  <c r="AD46" i="115"/>
  <c r="AD51" i="95" s="1"/>
  <c r="AD53" i="115"/>
  <c r="AD50" i="115"/>
  <c r="AD56" i="115"/>
  <c r="AO46" i="78"/>
  <c r="AO47" i="95" s="1"/>
  <c r="AO53" i="78"/>
  <c r="AO49" i="78"/>
  <c r="AO54" i="78"/>
  <c r="AO55" i="78"/>
  <c r="AO48" i="78"/>
  <c r="AO56" i="78"/>
  <c r="AE56" i="77"/>
  <c r="AE54" i="77"/>
  <c r="AE53" i="77"/>
  <c r="AE55" i="77"/>
  <c r="AE48" i="77"/>
  <c r="AE49" i="93" s="1"/>
  <c r="AE45" i="77"/>
  <c r="AE46" i="77"/>
  <c r="AE49" i="95" s="1"/>
  <c r="AD46" i="63"/>
  <c r="AD53" i="63"/>
  <c r="AD54" i="63"/>
  <c r="AD56" i="63"/>
  <c r="AD47" i="63"/>
  <c r="AD48" i="63"/>
  <c r="AD45" i="63"/>
  <c r="AD50" i="63"/>
  <c r="AD49" i="63"/>
  <c r="AD55" i="63"/>
  <c r="AM55" i="115"/>
  <c r="AM46" i="115"/>
  <c r="AM51" i="95" s="1"/>
  <c r="AN52" i="88" s="1"/>
  <c r="AM56" i="115"/>
  <c r="AM47" i="115"/>
  <c r="AM45" i="115"/>
  <c r="AM50" i="115"/>
  <c r="AM54" i="115"/>
  <c r="AM53" i="115"/>
  <c r="AM48" i="115"/>
  <c r="AM51" i="93" s="1"/>
  <c r="AE47" i="78"/>
  <c r="AL54" i="113"/>
  <c r="AL55" i="113"/>
  <c r="AL56" i="113"/>
  <c r="AL53" i="113"/>
  <c r="AL50" i="113"/>
  <c r="AL46" i="113"/>
  <c r="AL50" i="95" s="1"/>
  <c r="AL48" i="113"/>
  <c r="AL50" i="93" s="1"/>
  <c r="AL49" i="113"/>
  <c r="AH54" i="63"/>
  <c r="AH53" i="63"/>
  <c r="AH48" i="63"/>
  <c r="AH45" i="63"/>
  <c r="AH55" i="63"/>
  <c r="AH47" i="63"/>
  <c r="AH46" i="63"/>
  <c r="AH56" i="63"/>
  <c r="AH49" i="63"/>
  <c r="AH50" i="63"/>
  <c r="F36" i="113"/>
  <c r="F39" i="113" s="1"/>
  <c r="F41" i="113" s="1"/>
  <c r="AH47" i="115"/>
  <c r="AH55" i="115"/>
  <c r="AH48" i="115"/>
  <c r="AH51" i="93" s="1"/>
  <c r="AH56" i="115"/>
  <c r="AH45" i="115"/>
  <c r="AH54" i="115"/>
  <c r="AH50" i="115"/>
  <c r="AH53" i="115"/>
  <c r="AH46" i="115"/>
  <c r="AH51" i="95" s="1"/>
  <c r="W56" i="115"/>
  <c r="W55" i="115"/>
  <c r="W53" i="115"/>
  <c r="W50" i="115"/>
  <c r="W47" i="115"/>
  <c r="W48" i="115"/>
  <c r="W51" i="93" s="1"/>
  <c r="W46" i="115"/>
  <c r="W51" i="95" s="1"/>
  <c r="W54" i="115"/>
  <c r="W45" i="115"/>
  <c r="AA48" i="115"/>
  <c r="AA51" i="93" s="1"/>
  <c r="AA56" i="115"/>
  <c r="AA45" i="115"/>
  <c r="AA47" i="115"/>
  <c r="AA53" i="115"/>
  <c r="AA54" i="115"/>
  <c r="AA50" i="115"/>
  <c r="AA55" i="115"/>
  <c r="AA46" i="115"/>
  <c r="AA51" i="95" s="1"/>
  <c r="S34" i="76"/>
  <c r="U34" i="76"/>
  <c r="U36" i="76" s="1"/>
  <c r="U37" i="76" s="1"/>
  <c r="AR35" i="63"/>
  <c r="AR36" i="63" s="1"/>
  <c r="Z35" i="78"/>
  <c r="Y34" i="78" s="1"/>
  <c r="AI37" i="76"/>
  <c r="AL56" i="93"/>
  <c r="AL53" i="93"/>
  <c r="AL54" i="93"/>
  <c r="AL46" i="93"/>
  <c r="AL55" i="93"/>
  <c r="AC37" i="115"/>
  <c r="F33" i="88"/>
  <c r="F36" i="63"/>
  <c r="F39" i="63" s="1"/>
  <c r="F41" i="63" s="1"/>
  <c r="F62" i="63" s="1"/>
  <c r="F30" i="103"/>
  <c r="AF53" i="77"/>
  <c r="AF54" i="77"/>
  <c r="AF46" i="77"/>
  <c r="AF49" i="95" s="1"/>
  <c r="AF56" i="77"/>
  <c r="AF45" i="77"/>
  <c r="AF55" i="77"/>
  <c r="AF48" i="77"/>
  <c r="AF49" i="93" s="1"/>
  <c r="AN46" i="78"/>
  <c r="AN47" i="95" s="1"/>
  <c r="AN54" i="78"/>
  <c r="AN48" i="78"/>
  <c r="AN53" i="78"/>
  <c r="AN55" i="78"/>
  <c r="AN49" i="78"/>
  <c r="AN47" i="77" s="1"/>
  <c r="AN56" i="78"/>
  <c r="W35" i="113"/>
  <c r="Y35" i="78"/>
  <c r="W35" i="77"/>
  <c r="W36" i="77" s="1"/>
  <c r="W37" i="77" s="1"/>
  <c r="AN39" i="115"/>
  <c r="AN41" i="115" s="1"/>
  <c r="AC54" i="77"/>
  <c r="AC45" i="77"/>
  <c r="AC55" i="77"/>
  <c r="AC56" i="77"/>
  <c r="AC46" i="77"/>
  <c r="AC49" i="95" s="1"/>
  <c r="AC48" i="77"/>
  <c r="AC49" i="93" s="1"/>
  <c r="AC53" i="77"/>
  <c r="T34" i="76"/>
  <c r="T36" i="76" s="1"/>
  <c r="T37" i="76" s="1"/>
  <c r="AE48" i="76"/>
  <c r="AE45" i="93" s="1"/>
  <c r="AE49" i="76"/>
  <c r="AE53" i="76"/>
  <c r="AE46" i="76"/>
  <c r="AE46" i="95" s="1"/>
  <c r="AE55" i="76"/>
  <c r="AE47" i="76"/>
  <c r="AE54" i="76"/>
  <c r="AE56" i="76"/>
  <c r="T55" i="78" l="1"/>
  <c r="AJ48" i="78"/>
  <c r="AJ56" i="78"/>
  <c r="AJ46" i="78"/>
  <c r="AJ47" i="95" s="1"/>
  <c r="T54" i="78"/>
  <c r="V56" i="78"/>
  <c r="V49" i="78"/>
  <c r="V47" i="77" s="1"/>
  <c r="AM46" i="113"/>
  <c r="AM50" i="95" s="1"/>
  <c r="AM56" i="113"/>
  <c r="AM50" i="113"/>
  <c r="AM49" i="113"/>
  <c r="AM53" i="113"/>
  <c r="AG53" i="113"/>
  <c r="V46" i="78"/>
  <c r="V47" i="95" s="1"/>
  <c r="AG54" i="113"/>
  <c r="AM55" i="113"/>
  <c r="V48" i="78"/>
  <c r="V47" i="93" s="1"/>
  <c r="AG50" i="113"/>
  <c r="AJ49" i="78"/>
  <c r="AJ47" i="77" s="1"/>
  <c r="AJ54" i="78"/>
  <c r="V53" i="76"/>
  <c r="AM54" i="113"/>
  <c r="AG55" i="113"/>
  <c r="V56" i="76"/>
  <c r="V54" i="76"/>
  <c r="V48" i="76"/>
  <c r="V45" i="93" s="1"/>
  <c r="AH36" i="76"/>
  <c r="AH37" i="76" s="1"/>
  <c r="AJ55" i="78"/>
  <c r="V49" i="76"/>
  <c r="V46" i="76"/>
  <c r="V46" i="95" s="1"/>
  <c r="T53" i="78"/>
  <c r="Z36" i="78"/>
  <c r="Z37" i="78" s="1"/>
  <c r="U48" i="78"/>
  <c r="U47" i="93" s="1"/>
  <c r="AF52" i="88"/>
  <c r="V55" i="76"/>
  <c r="AG46" i="113"/>
  <c r="AG50" i="95" s="1"/>
  <c r="AI36" i="78"/>
  <c r="AI37" i="78" s="1"/>
  <c r="U55" i="78"/>
  <c r="AG48" i="113"/>
  <c r="AG50" i="93" s="1"/>
  <c r="V55" i="78"/>
  <c r="AG49" i="113"/>
  <c r="AM52" i="88"/>
  <c r="U56" i="78"/>
  <c r="U53" i="78"/>
  <c r="U54" i="78"/>
  <c r="U46" i="78"/>
  <c r="U47" i="95" s="1"/>
  <c r="V54" i="78"/>
  <c r="U52" i="88"/>
  <c r="AL52" i="88"/>
  <c r="AH52" i="88"/>
  <c r="AI32" i="103"/>
  <c r="AI33" i="103" s="1"/>
  <c r="AI34" i="103" s="1"/>
  <c r="T48" i="78"/>
  <c r="T47" i="93" s="1"/>
  <c r="T46" i="78"/>
  <c r="T47" i="95" s="1"/>
  <c r="AI35" i="88"/>
  <c r="AI36" i="88" s="1"/>
  <c r="AI37" i="88" s="1"/>
  <c r="W36" i="76"/>
  <c r="W37" i="76" s="1"/>
  <c r="W46" i="76" s="1"/>
  <c r="W46" i="95" s="1"/>
  <c r="W37" i="95" s="1"/>
  <c r="X36" i="78"/>
  <c r="X37" i="78" s="1"/>
  <c r="AJ35" i="63"/>
  <c r="AJ36" i="63" s="1"/>
  <c r="AJ33" i="88"/>
  <c r="AJ30" i="103"/>
  <c r="AK39" i="115"/>
  <c r="AK41" i="115" s="1"/>
  <c r="AK43" i="115" s="1"/>
  <c r="U39" i="115"/>
  <c r="U41" i="115" s="1"/>
  <c r="U43" i="115" s="1"/>
  <c r="AK52" i="88"/>
  <c r="AK35" i="63"/>
  <c r="AK36" i="63" s="1"/>
  <c r="AK33" i="88"/>
  <c r="AK30" i="103"/>
  <c r="AE39" i="76"/>
  <c r="AE41" i="76" s="1"/>
  <c r="AE43" i="76" s="1"/>
  <c r="T49" i="78"/>
  <c r="T47" i="77" s="1"/>
  <c r="AK48" i="76"/>
  <c r="AK45" i="93" s="1"/>
  <c r="AK56" i="76"/>
  <c r="AK47" i="76"/>
  <c r="AK54" i="76"/>
  <c r="AK46" i="76"/>
  <c r="AK53" i="76"/>
  <c r="AK49" i="76"/>
  <c r="AK55" i="76"/>
  <c r="AJ47" i="93"/>
  <c r="AJ43" i="98"/>
  <c r="AJ39" i="115"/>
  <c r="AJ41" i="115" s="1"/>
  <c r="AJ43" i="115" s="1"/>
  <c r="AJ54" i="113"/>
  <c r="AJ50" i="113"/>
  <c r="AJ53" i="113"/>
  <c r="AJ55" i="113"/>
  <c r="AJ46" i="113"/>
  <c r="AJ50" i="95" s="1"/>
  <c r="AJ56" i="113"/>
  <c r="AJ49" i="113"/>
  <c r="AJ48" i="113"/>
  <c r="AJ50" i="93" s="1"/>
  <c r="AG52" i="88"/>
  <c r="AJ49" i="76"/>
  <c r="AJ55" i="76"/>
  <c r="AJ48" i="76"/>
  <c r="AJ45" i="93" s="1"/>
  <c r="AJ46" i="76"/>
  <c r="AJ56" i="76"/>
  <c r="AJ54" i="76"/>
  <c r="AJ47" i="76"/>
  <c r="AJ53" i="76"/>
  <c r="W37" i="78"/>
  <c r="AN47" i="93"/>
  <c r="AN43" i="98"/>
  <c r="AN36" i="98" s="1"/>
  <c r="AN38" i="98" s="1"/>
  <c r="AB56" i="115"/>
  <c r="AB53" i="115"/>
  <c r="AB55" i="115"/>
  <c r="AB48" i="115"/>
  <c r="AB51" i="93" s="1"/>
  <c r="AB52" i="88" s="1"/>
  <c r="AB54" i="115"/>
  <c r="AB45" i="115"/>
  <c r="AB47" i="115"/>
  <c r="AB46" i="115"/>
  <c r="AB51" i="95" s="1"/>
  <c r="AB50" i="115"/>
  <c r="N33" i="88"/>
  <c r="N36" i="88" s="1"/>
  <c r="N39" i="88" s="1"/>
  <c r="N41" i="88" s="1"/>
  <c r="N63" i="88" s="1"/>
  <c r="N36" i="63"/>
  <c r="N39" i="63" s="1"/>
  <c r="N41" i="63" s="1"/>
  <c r="N62" i="63" s="1"/>
  <c r="N64" i="88" s="1"/>
  <c r="N30" i="103"/>
  <c r="N33" i="103" s="1"/>
  <c r="N36" i="103" s="1"/>
  <c r="N38" i="103" s="1"/>
  <c r="N57" i="103" s="1"/>
  <c r="AH45" i="95"/>
  <c r="AD47" i="78"/>
  <c r="Z48" i="77"/>
  <c r="Z49" i="93" s="1"/>
  <c r="Z55" i="77"/>
  <c r="Z56" i="77"/>
  <c r="Z53" i="77"/>
  <c r="Z45" i="77"/>
  <c r="Z54" i="77"/>
  <c r="Z46" i="77"/>
  <c r="Z49" i="95" s="1"/>
  <c r="AL48" i="76"/>
  <c r="AL45" i="93" s="1"/>
  <c r="AL56" i="76"/>
  <c r="AL54" i="76"/>
  <c r="AL55" i="76"/>
  <c r="AL49" i="76"/>
  <c r="AL46" i="76"/>
  <c r="AL47" i="76"/>
  <c r="AL53" i="76"/>
  <c r="S50" i="93"/>
  <c r="X35" i="77"/>
  <c r="Y34" i="77" s="1"/>
  <c r="Y36" i="77" s="1"/>
  <c r="Y37" i="77" s="1"/>
  <c r="Z55" i="115"/>
  <c r="Z53" i="115"/>
  <c r="Z45" i="115"/>
  <c r="Z47" i="115"/>
  <c r="Z48" i="115"/>
  <c r="Z51" i="93" s="1"/>
  <c r="Z54" i="115"/>
  <c r="Z46" i="115"/>
  <c r="Z51" i="95" s="1"/>
  <c r="AA52" i="88" s="1"/>
  <c r="Z56" i="115"/>
  <c r="Z50" i="115"/>
  <c r="W39" i="115"/>
  <c r="W41" i="115" s="1"/>
  <c r="AH47" i="78"/>
  <c r="AO30" i="103"/>
  <c r="AO33" i="88"/>
  <c r="AL35" i="63"/>
  <c r="AL36" i="63" s="1"/>
  <c r="AL30" i="103"/>
  <c r="AL33" i="88"/>
  <c r="AI48" i="113"/>
  <c r="AI50" i="93" s="1"/>
  <c r="AI54" i="113"/>
  <c r="AI46" i="113"/>
  <c r="AI50" i="95" s="1"/>
  <c r="AI50" i="113"/>
  <c r="AI49" i="113"/>
  <c r="AI53" i="113"/>
  <c r="AI55" i="113"/>
  <c r="AI56" i="113"/>
  <c r="AH31" i="103"/>
  <c r="AH34" i="88"/>
  <c r="AU33" i="115"/>
  <c r="AH37" i="78"/>
  <c r="AH39" i="115"/>
  <c r="AH41" i="115" s="1"/>
  <c r="AP47" i="77"/>
  <c r="AO47" i="77"/>
  <c r="AF39" i="115"/>
  <c r="AF41" i="115" s="1"/>
  <c r="W54" i="93"/>
  <c r="W53" i="93"/>
  <c r="W46" i="93"/>
  <c r="W55" i="93"/>
  <c r="W56" i="93"/>
  <c r="AE46" i="93"/>
  <c r="AE54" i="93"/>
  <c r="AE56" i="93"/>
  <c r="AE53" i="93"/>
  <c r="AE55" i="93"/>
  <c r="E10" i="85"/>
  <c r="T9" i="117"/>
  <c r="S49" i="95"/>
  <c r="AC48" i="95"/>
  <c r="AC46" i="93" s="1"/>
  <c r="AC56" i="95"/>
  <c r="AC54" i="95"/>
  <c r="AC55" i="95"/>
  <c r="AC53" i="95"/>
  <c r="V35" i="63"/>
  <c r="V30" i="103"/>
  <c r="V33" i="88"/>
  <c r="AI48" i="115"/>
  <c r="AI51" i="93" s="1"/>
  <c r="AI52" i="88" s="1"/>
  <c r="AI56" i="115"/>
  <c r="AI53" i="115"/>
  <c r="AI46" i="115"/>
  <c r="AI51" i="95" s="1"/>
  <c r="AJ52" i="88" s="1"/>
  <c r="AI47" i="115"/>
  <c r="AI54" i="115"/>
  <c r="AI50" i="115"/>
  <c r="AI55" i="115"/>
  <c r="AI45" i="115"/>
  <c r="G33" i="88"/>
  <c r="G36" i="88" s="1"/>
  <c r="G39" i="88" s="1"/>
  <c r="G41" i="88" s="1"/>
  <c r="G63" i="88" s="1"/>
  <c r="G36" i="63"/>
  <c r="G39" i="63" s="1"/>
  <c r="G41" i="63" s="1"/>
  <c r="G62" i="63" s="1"/>
  <c r="G64" i="88" s="1"/>
  <c r="G30" i="103"/>
  <c r="G33" i="103" s="1"/>
  <c r="G36" i="103" s="1"/>
  <c r="G38" i="103" s="1"/>
  <c r="G57" i="103" s="1"/>
  <c r="AQ43" i="115"/>
  <c r="AH32" i="103"/>
  <c r="AH35" i="88"/>
  <c r="AF46" i="93"/>
  <c r="AF55" i="93"/>
  <c r="AF53" i="93"/>
  <c r="AF54" i="93"/>
  <c r="AF56" i="93"/>
  <c r="C170" i="127"/>
  <c r="I186" i="56"/>
  <c r="M9" i="57"/>
  <c r="I186" i="127"/>
  <c r="E5" i="85"/>
  <c r="C170" i="56"/>
  <c r="P30" i="103"/>
  <c r="P33" i="103" s="1"/>
  <c r="P36" i="103" s="1"/>
  <c r="P38" i="103" s="1"/>
  <c r="P57" i="103" s="1"/>
  <c r="P33" i="88"/>
  <c r="P36" i="88" s="1"/>
  <c r="P39" i="88" s="1"/>
  <c r="P41" i="88" s="1"/>
  <c r="P63" i="88" s="1"/>
  <c r="P36" i="63"/>
  <c r="P39" i="63" s="1"/>
  <c r="P41" i="63" s="1"/>
  <c r="P62" i="63" s="1"/>
  <c r="P64" i="88" s="1"/>
  <c r="AE39" i="115"/>
  <c r="AE41" i="115" s="1"/>
  <c r="AU45" i="113"/>
  <c r="AA39" i="115"/>
  <c r="AA41" i="115" s="1"/>
  <c r="S39" i="115"/>
  <c r="S41" i="115" s="1"/>
  <c r="Z56" i="76"/>
  <c r="Z46" i="76"/>
  <c r="Z46" i="95" s="1"/>
  <c r="Z37" i="95" s="1"/>
  <c r="Z49" i="76"/>
  <c r="Z53" i="76"/>
  <c r="Z54" i="76"/>
  <c r="Z47" i="76"/>
  <c r="Z48" i="76"/>
  <c r="Z45" i="93" s="1"/>
  <c r="Z55" i="76"/>
  <c r="AN43" i="115"/>
  <c r="AI47" i="76"/>
  <c r="AI49" i="76"/>
  <c r="AI53" i="76"/>
  <c r="AI56" i="76"/>
  <c r="AI55" i="76"/>
  <c r="AI48" i="76"/>
  <c r="AI45" i="93" s="1"/>
  <c r="AI54" i="76"/>
  <c r="AI46" i="76"/>
  <c r="W36" i="95"/>
  <c r="S33" i="88"/>
  <c r="S35" i="63"/>
  <c r="S36" i="63" s="1"/>
  <c r="S30" i="103"/>
  <c r="R33" i="88"/>
  <c r="R36" i="88" s="1"/>
  <c r="R39" i="88" s="1"/>
  <c r="R41" i="88" s="1"/>
  <c r="R63" i="88" s="1"/>
  <c r="R30" i="103"/>
  <c r="R33" i="103" s="1"/>
  <c r="R36" i="103" s="1"/>
  <c r="R38" i="103" s="1"/>
  <c r="R57" i="103" s="1"/>
  <c r="R36" i="63"/>
  <c r="R39" i="63" s="1"/>
  <c r="R41" i="63" s="1"/>
  <c r="R62" i="63" s="1"/>
  <c r="R64" i="88" s="1"/>
  <c r="S49" i="93"/>
  <c r="H9" i="60"/>
  <c r="AL39" i="115"/>
  <c r="AL41" i="115" s="1"/>
  <c r="AM48" i="78"/>
  <c r="AM54" i="78"/>
  <c r="AM53" i="78"/>
  <c r="AM55" i="78"/>
  <c r="AM56" i="78"/>
  <c r="AM49" i="78"/>
  <c r="AM47" i="77" s="1"/>
  <c r="AM46" i="78"/>
  <c r="AM47" i="95" s="1"/>
  <c r="AD47" i="113"/>
  <c r="AD56" i="113" s="1"/>
  <c r="AC36" i="93"/>
  <c r="AB34" i="93"/>
  <c r="AG53" i="78"/>
  <c r="AG55" i="78"/>
  <c r="AG48" i="78"/>
  <c r="AG46" i="78"/>
  <c r="AG47" i="95" s="1"/>
  <c r="AG49" i="78"/>
  <c r="AG47" i="77" s="1"/>
  <c r="AG54" i="78"/>
  <c r="AG56" i="78"/>
  <c r="AG53" i="93"/>
  <c r="AG56" i="93"/>
  <c r="AG55" i="93"/>
  <c r="AG46" i="93"/>
  <c r="AG54" i="93"/>
  <c r="X34" i="113"/>
  <c r="AD48" i="93"/>
  <c r="S36" i="78"/>
  <c r="AP33" i="88"/>
  <c r="AP35" i="63"/>
  <c r="AP30" i="103"/>
  <c r="AR37" i="63"/>
  <c r="AR60" i="115"/>
  <c r="AR59" i="115"/>
  <c r="AR58" i="115"/>
  <c r="AR61" i="115"/>
  <c r="AR57" i="115"/>
  <c r="H9" i="59"/>
  <c r="AM35" i="63"/>
  <c r="AM33" i="88"/>
  <c r="AM30" i="103"/>
  <c r="AD46" i="93"/>
  <c r="AD54" i="93"/>
  <c r="AD56" i="93"/>
  <c r="AD55" i="93"/>
  <c r="AD53" i="93"/>
  <c r="W48" i="77"/>
  <c r="W49" i="93" s="1"/>
  <c r="W56" i="77"/>
  <c r="W45" i="77"/>
  <c r="W55" i="77"/>
  <c r="W53" i="77"/>
  <c r="W54" i="77"/>
  <c r="W46" i="77"/>
  <c r="W49" i="95" s="1"/>
  <c r="X35" i="76"/>
  <c r="X36" i="76" s="1"/>
  <c r="F33" i="103"/>
  <c r="F36" i="103" s="1"/>
  <c r="F38" i="103" s="1"/>
  <c r="F57" i="103" s="1"/>
  <c r="AQ35" i="63"/>
  <c r="AQ30" i="103"/>
  <c r="AQ33" i="88"/>
  <c r="AM39" i="115"/>
  <c r="AM41" i="115" s="1"/>
  <c r="AE52" i="88"/>
  <c r="AK37" i="93"/>
  <c r="X36" i="115"/>
  <c r="AY29" i="115"/>
  <c r="AY30" i="115" s="1"/>
  <c r="AN35" i="63"/>
  <c r="AN36" i="63" s="1"/>
  <c r="AN33" i="88"/>
  <c r="AN30" i="103"/>
  <c r="AG39" i="115"/>
  <c r="AG41" i="115" s="1"/>
  <c r="AO43" i="115"/>
  <c r="V52" i="88"/>
  <c r="AS37" i="63"/>
  <c r="AP43" i="98"/>
  <c r="AP36" i="98" s="1"/>
  <c r="AP38" i="98" s="1"/>
  <c r="AP47" i="93"/>
  <c r="Z30" i="103"/>
  <c r="Z35" i="63"/>
  <c r="Z33" i="88"/>
  <c r="S31" i="103"/>
  <c r="S34" i="88"/>
  <c r="S36" i="76"/>
  <c r="AH47" i="113"/>
  <c r="AH39" i="113" s="1"/>
  <c r="AH41" i="113" s="1"/>
  <c r="AH51" i="88"/>
  <c r="Y37" i="115"/>
  <c r="AO43" i="98"/>
  <c r="AO36" i="98" s="1"/>
  <c r="AO38" i="98" s="1"/>
  <c r="AO47" i="93"/>
  <c r="AE45" i="88"/>
  <c r="AE42" i="103"/>
  <c r="I36" i="63"/>
  <c r="I39" i="63" s="1"/>
  <c r="I41" i="63" s="1"/>
  <c r="I62" i="63" s="1"/>
  <c r="I64" i="88" s="1"/>
  <c r="I30" i="103"/>
  <c r="I33" i="103" s="1"/>
  <c r="I36" i="103" s="1"/>
  <c r="I38" i="103" s="1"/>
  <c r="I57" i="103" s="1"/>
  <c r="I33" i="88"/>
  <c r="I36" i="88" s="1"/>
  <c r="I39" i="88" s="1"/>
  <c r="I41" i="88" s="1"/>
  <c r="I63" i="88" s="1"/>
  <c r="K36" i="63"/>
  <c r="K39" i="63" s="1"/>
  <c r="K41" i="63" s="1"/>
  <c r="K62" i="63" s="1"/>
  <c r="K64" i="88" s="1"/>
  <c r="K30" i="103"/>
  <c r="K33" i="103" s="1"/>
  <c r="K36" i="103" s="1"/>
  <c r="K38" i="103" s="1"/>
  <c r="K57" i="103" s="1"/>
  <c r="K33" i="88"/>
  <c r="K36" i="88" s="1"/>
  <c r="K39" i="88" s="1"/>
  <c r="K41" i="88" s="1"/>
  <c r="K63" i="88" s="1"/>
  <c r="W52" i="88"/>
  <c r="AH48" i="93"/>
  <c r="AD45" i="95"/>
  <c r="L30" i="103"/>
  <c r="L33" i="103" s="1"/>
  <c r="L36" i="103" s="1"/>
  <c r="L38" i="103" s="1"/>
  <c r="L57" i="103" s="1"/>
  <c r="L36" i="63"/>
  <c r="L39" i="63" s="1"/>
  <c r="L41" i="63" s="1"/>
  <c r="L62" i="63" s="1"/>
  <c r="L64" i="88" s="1"/>
  <c r="L33" i="88"/>
  <c r="L36" i="88" s="1"/>
  <c r="L39" i="88" s="1"/>
  <c r="L41" i="88" s="1"/>
  <c r="L63" i="88" s="1"/>
  <c r="M33" i="88"/>
  <c r="M36" i="88" s="1"/>
  <c r="M39" i="88" s="1"/>
  <c r="M41" i="88" s="1"/>
  <c r="M63" i="88" s="1"/>
  <c r="M30" i="103"/>
  <c r="M33" i="103" s="1"/>
  <c r="M36" i="103" s="1"/>
  <c r="M38" i="103" s="1"/>
  <c r="M57" i="103" s="1"/>
  <c r="M36" i="63"/>
  <c r="M39" i="63" s="1"/>
  <c r="M41" i="63" s="1"/>
  <c r="M62" i="63" s="1"/>
  <c r="M64" i="88" s="1"/>
  <c r="AI48" i="63"/>
  <c r="AI50" i="63"/>
  <c r="AI45" i="63"/>
  <c r="AI56" i="63"/>
  <c r="AI53" i="63"/>
  <c r="AI54" i="63"/>
  <c r="AI55" i="63"/>
  <c r="AI46" i="63"/>
  <c r="AI49" i="63"/>
  <c r="AI47" i="63"/>
  <c r="AB36" i="95"/>
  <c r="AB37" i="95" s="1"/>
  <c r="AL46" i="78"/>
  <c r="AL47" i="95" s="1"/>
  <c r="AL49" i="78"/>
  <c r="AL47" i="77" s="1"/>
  <c r="AL53" i="78"/>
  <c r="AL55" i="78"/>
  <c r="AL54" i="78"/>
  <c r="AL48" i="78"/>
  <c r="AL56" i="78"/>
  <c r="X34" i="77"/>
  <c r="F58" i="103"/>
  <c r="F62" i="113"/>
  <c r="H9" i="111" s="1"/>
  <c r="S51" i="93"/>
  <c r="AE43" i="63"/>
  <c r="O33" i="88"/>
  <c r="O36" i="88" s="1"/>
  <c r="O39" i="88" s="1"/>
  <c r="O41" i="88" s="1"/>
  <c r="O63" i="88" s="1"/>
  <c r="O36" i="63"/>
  <c r="O39" i="63" s="1"/>
  <c r="O41" i="63" s="1"/>
  <c r="O62" i="63" s="1"/>
  <c r="O64" i="88" s="1"/>
  <c r="O30" i="103"/>
  <c r="O33" i="103" s="1"/>
  <c r="O36" i="103" s="1"/>
  <c r="O38" i="103" s="1"/>
  <c r="O57" i="103" s="1"/>
  <c r="AP43" i="115"/>
  <c r="AP34" i="63"/>
  <c r="F36" i="88"/>
  <c r="Q33" i="88"/>
  <c r="Q36" i="88" s="1"/>
  <c r="Q39" i="88" s="1"/>
  <c r="Q41" i="88" s="1"/>
  <c r="Q63" i="88" s="1"/>
  <c r="Q30" i="103"/>
  <c r="Q33" i="103" s="1"/>
  <c r="Q36" i="103" s="1"/>
  <c r="Q38" i="103" s="1"/>
  <c r="Q57" i="103" s="1"/>
  <c r="Q36" i="63"/>
  <c r="Q39" i="63" s="1"/>
  <c r="Q41" i="63" s="1"/>
  <c r="Q62" i="63" s="1"/>
  <c r="Q64" i="88" s="1"/>
  <c r="AH49" i="77"/>
  <c r="AD45" i="76"/>
  <c r="AD39" i="63"/>
  <c r="AD41" i="63" s="1"/>
  <c r="T56" i="76"/>
  <c r="T47" i="76"/>
  <c r="T48" i="76"/>
  <c r="T45" i="93" s="1"/>
  <c r="T53" i="76"/>
  <c r="T46" i="76"/>
  <c r="T46" i="95" s="1"/>
  <c r="T49" i="76"/>
  <c r="T55" i="76"/>
  <c r="T54" i="76"/>
  <c r="AC48" i="115"/>
  <c r="AC51" i="93" s="1"/>
  <c r="AC47" i="115"/>
  <c r="AC56" i="115"/>
  <c r="AC50" i="115"/>
  <c r="AC45" i="115"/>
  <c r="AC53" i="115"/>
  <c r="AC46" i="115"/>
  <c r="AC51" i="95" s="1"/>
  <c r="AD52" i="88" s="1"/>
  <c r="AC54" i="115"/>
  <c r="AC55" i="115"/>
  <c r="Y35" i="113"/>
  <c r="Z34" i="113" s="1"/>
  <c r="Z36" i="113" s="1"/>
  <c r="Z37" i="113" s="1"/>
  <c r="AK37" i="78"/>
  <c r="T33" i="88"/>
  <c r="T30" i="103"/>
  <c r="T35" i="63"/>
  <c r="AH45" i="76"/>
  <c r="AH39" i="63"/>
  <c r="AH41" i="63" s="1"/>
  <c r="H33" i="88"/>
  <c r="H36" i="88" s="1"/>
  <c r="H39" i="88" s="1"/>
  <c r="H41" i="88" s="1"/>
  <c r="H63" i="88" s="1"/>
  <c r="H36" i="63"/>
  <c r="H39" i="63" s="1"/>
  <c r="H41" i="63" s="1"/>
  <c r="H62" i="63" s="1"/>
  <c r="H64" i="88" s="1"/>
  <c r="H30" i="103"/>
  <c r="H33" i="103" s="1"/>
  <c r="H36" i="103" s="1"/>
  <c r="H38" i="103" s="1"/>
  <c r="H57" i="103" s="1"/>
  <c r="S51" i="95"/>
  <c r="V39" i="115"/>
  <c r="V41" i="115" s="1"/>
  <c r="X35" i="113"/>
  <c r="W34" i="113" s="1"/>
  <c r="Y36" i="78"/>
  <c r="U53" i="76"/>
  <c r="U49" i="76"/>
  <c r="U46" i="76"/>
  <c r="U46" i="95" s="1"/>
  <c r="U48" i="76"/>
  <c r="U45" i="93" s="1"/>
  <c r="U55" i="76"/>
  <c r="U54" i="76"/>
  <c r="U47" i="76"/>
  <c r="U56" i="76"/>
  <c r="Y35" i="93"/>
  <c r="Y36" i="93" s="1"/>
  <c r="AD49" i="77"/>
  <c r="AD39" i="115"/>
  <c r="AD41" i="115" s="1"/>
  <c r="AD37" i="77"/>
  <c r="J30" i="103"/>
  <c r="J33" i="103" s="1"/>
  <c r="J36" i="103" s="1"/>
  <c r="J38" i="103" s="1"/>
  <c r="J57" i="103" s="1"/>
  <c r="J33" i="88"/>
  <c r="J36" i="88" s="1"/>
  <c r="J39" i="88" s="1"/>
  <c r="J41" i="88" s="1"/>
  <c r="J63" i="88" s="1"/>
  <c r="J36" i="63"/>
  <c r="J39" i="63" s="1"/>
  <c r="J41" i="63" s="1"/>
  <c r="J62" i="63" s="1"/>
  <c r="J64" i="88" s="1"/>
  <c r="T39" i="115"/>
  <c r="T41" i="115" s="1"/>
  <c r="U35" i="63"/>
  <c r="U33" i="88"/>
  <c r="U30" i="103"/>
  <c r="X36" i="77" l="1"/>
  <c r="AR62" i="115"/>
  <c r="AP36" i="63"/>
  <c r="F64" i="88"/>
  <c r="W54" i="76"/>
  <c r="W53" i="76"/>
  <c r="W49" i="76"/>
  <c r="W48" i="76"/>
  <c r="W45" i="93" s="1"/>
  <c r="W55" i="76"/>
  <c r="W47" i="76"/>
  <c r="W56" i="76"/>
  <c r="X36" i="113"/>
  <c r="X37" i="113" s="1"/>
  <c r="X50" i="113" s="1"/>
  <c r="AK37" i="63"/>
  <c r="AK35" i="88"/>
  <c r="AK36" i="88" s="1"/>
  <c r="AK37" i="88" s="1"/>
  <c r="AK32" i="103"/>
  <c r="AK33" i="103" s="1"/>
  <c r="AK34" i="103" s="1"/>
  <c r="AJ36" i="98"/>
  <c r="AJ38" i="98" s="1"/>
  <c r="AJ39" i="98" s="1"/>
  <c r="AJ58" i="115"/>
  <c r="AJ59" i="115"/>
  <c r="AJ57" i="115"/>
  <c r="AJ60" i="115"/>
  <c r="AJ61" i="115"/>
  <c r="AK60" i="115"/>
  <c r="AK57" i="115"/>
  <c r="AK59" i="115"/>
  <c r="AK61" i="115"/>
  <c r="AK58" i="115"/>
  <c r="AJ37" i="63"/>
  <c r="AJ32" i="103"/>
  <c r="AJ33" i="103" s="1"/>
  <c r="AJ34" i="103" s="1"/>
  <c r="AJ35" i="88"/>
  <c r="AJ36" i="88" s="1"/>
  <c r="AJ37" i="88" s="1"/>
  <c r="H9" i="127"/>
  <c r="C168" i="127" s="1"/>
  <c r="H9" i="56"/>
  <c r="E3" i="85" s="1"/>
  <c r="F59" i="103"/>
  <c r="AL37" i="63"/>
  <c r="Y37" i="93"/>
  <c r="S37" i="63"/>
  <c r="AE61" i="63"/>
  <c r="AE60" i="63"/>
  <c r="AE59" i="63"/>
  <c r="AE57" i="63"/>
  <c r="AE58" i="63"/>
  <c r="M58" i="103"/>
  <c r="M59" i="103" s="1"/>
  <c r="M65" i="88"/>
  <c r="AQ32" i="103"/>
  <c r="AQ35" i="88"/>
  <c r="Z54" i="95"/>
  <c r="Z56" i="95"/>
  <c r="Z55" i="95"/>
  <c r="Z48" i="95"/>
  <c r="Z46" i="93" s="1"/>
  <c r="Z53" i="95"/>
  <c r="AH46" i="78"/>
  <c r="AH47" i="95" s="1"/>
  <c r="AH53" i="78"/>
  <c r="AH49" i="78"/>
  <c r="AH47" i="77" s="1"/>
  <c r="AH56" i="78"/>
  <c r="AH54" i="78"/>
  <c r="AH48" i="78"/>
  <c r="AH55" i="78"/>
  <c r="X53" i="78"/>
  <c r="X46" i="78"/>
  <c r="X47" i="95" s="1"/>
  <c r="X49" i="78"/>
  <c r="X47" i="77" s="1"/>
  <c r="X48" i="78"/>
  <c r="X55" i="78"/>
  <c r="X56" i="78"/>
  <c r="N65" i="88"/>
  <c r="N58" i="103"/>
  <c r="N59" i="103" s="1"/>
  <c r="AH43" i="115"/>
  <c r="AM43" i="115"/>
  <c r="P58" i="103"/>
  <c r="P59" i="103" s="1"/>
  <c r="P65" i="88"/>
  <c r="AI48" i="93"/>
  <c r="Z35" i="88"/>
  <c r="Z32" i="103"/>
  <c r="AB48" i="95"/>
  <c r="AB46" i="93" s="1"/>
  <c r="AB54" i="95"/>
  <c r="AB55" i="95"/>
  <c r="AB56" i="95"/>
  <c r="AB53" i="95"/>
  <c r="Y56" i="115"/>
  <c r="Y45" i="115"/>
  <c r="Y48" i="115"/>
  <c r="Y51" i="93" s="1"/>
  <c r="Y47" i="115"/>
  <c r="Y53" i="115"/>
  <c r="Y50" i="115"/>
  <c r="Y55" i="115"/>
  <c r="Y54" i="115"/>
  <c r="Y46" i="115"/>
  <c r="Y51" i="95" s="1"/>
  <c r="Z52" i="88" s="1"/>
  <c r="AH48" i="76"/>
  <c r="AH54" i="76"/>
  <c r="AH56" i="76"/>
  <c r="AH53" i="76"/>
  <c r="AH46" i="76"/>
  <c r="AH47" i="76"/>
  <c r="AH55" i="76"/>
  <c r="AH49" i="76"/>
  <c r="AP37" i="63"/>
  <c r="AB35" i="76"/>
  <c r="AB36" i="76" s="1"/>
  <c r="AU35" i="77"/>
  <c r="AC35" i="76"/>
  <c r="AD34" i="76" s="1"/>
  <c r="AP32" i="103"/>
  <c r="AP35" i="88"/>
  <c r="AU36" i="115"/>
  <c r="AU34" i="77"/>
  <c r="AN37" i="63"/>
  <c r="T34" i="63"/>
  <c r="S35" i="88"/>
  <c r="S32" i="103"/>
  <c r="S33" i="103" s="1"/>
  <c r="AF43" i="115"/>
  <c r="X37" i="76"/>
  <c r="AG47" i="93"/>
  <c r="AG43" i="98"/>
  <c r="AG36" i="98" s="1"/>
  <c r="AG38" i="98" s="1"/>
  <c r="AM43" i="98"/>
  <c r="AM36" i="98" s="1"/>
  <c r="AM38" i="98" s="1"/>
  <c r="AM47" i="93"/>
  <c r="AC52" i="88"/>
  <c r="AP34" i="88"/>
  <c r="AP31" i="103"/>
  <c r="AI45" i="95"/>
  <c r="S37" i="76"/>
  <c r="AA43" i="115"/>
  <c r="Z39" i="115"/>
  <c r="Z41" i="115" s="1"/>
  <c r="AB39" i="115"/>
  <c r="AB41" i="115" s="1"/>
  <c r="U61" i="115"/>
  <c r="U59" i="115"/>
  <c r="U57" i="115"/>
  <c r="U58" i="115"/>
  <c r="U60" i="115"/>
  <c r="AO58" i="115"/>
  <c r="AO61" i="115"/>
  <c r="AO60" i="115"/>
  <c r="AO59" i="115"/>
  <c r="AO57" i="115"/>
  <c r="V43" i="115"/>
  <c r="R65" i="88"/>
  <c r="R58" i="103"/>
  <c r="R59" i="103" s="1"/>
  <c r="AC39" i="115"/>
  <c r="AC41" i="115" s="1"/>
  <c r="AD56" i="77"/>
  <c r="AD45" i="77"/>
  <c r="AD53" i="77"/>
  <c r="AD55" i="77"/>
  <c r="AD48" i="77"/>
  <c r="AD49" i="93" s="1"/>
  <c r="AD46" i="77"/>
  <c r="AD49" i="95" s="1"/>
  <c r="AE60" i="76"/>
  <c r="AE61" i="76"/>
  <c r="AE58" i="76"/>
  <c r="AE59" i="76"/>
  <c r="AE57" i="76"/>
  <c r="AD43" i="63"/>
  <c r="AD45" i="88"/>
  <c r="AD42" i="103"/>
  <c r="AI46" i="78"/>
  <c r="AI47" i="95" s="1"/>
  <c r="AI53" i="78"/>
  <c r="AI48" i="103" s="1"/>
  <c r="AI56" i="78"/>
  <c r="AI57" i="88" s="1"/>
  <c r="AI49" i="78"/>
  <c r="AI47" i="77" s="1"/>
  <c r="AI55" i="78"/>
  <c r="AI56" i="88" s="1"/>
  <c r="AI54" i="78"/>
  <c r="AI49" i="103" s="1"/>
  <c r="AI48" i="78"/>
  <c r="AI46" i="103" s="1"/>
  <c r="AN35" i="88"/>
  <c r="AN36" i="88" s="1"/>
  <c r="AN37" i="88" s="1"/>
  <c r="AC34" i="63"/>
  <c r="AQ34" i="63"/>
  <c r="AN32" i="103"/>
  <c r="AN33" i="103" s="1"/>
  <c r="AN34" i="103" s="1"/>
  <c r="Y34" i="76"/>
  <c r="AU33" i="95"/>
  <c r="W34" i="63"/>
  <c r="V35" i="88"/>
  <c r="V32" i="103"/>
  <c r="W36" i="113"/>
  <c r="AP58" i="115"/>
  <c r="AP59" i="115"/>
  <c r="AP61" i="115"/>
  <c r="AP57" i="115"/>
  <c r="AP60" i="115"/>
  <c r="AL43" i="98"/>
  <c r="AL36" i="98" s="1"/>
  <c r="AL38" i="98" s="1"/>
  <c r="AL47" i="93"/>
  <c r="I65" i="88"/>
  <c r="I58" i="103"/>
  <c r="I59" i="103" s="1"/>
  <c r="X37" i="115"/>
  <c r="AI39" i="115"/>
  <c r="AI41" i="115" s="1"/>
  <c r="T43" i="115"/>
  <c r="Z49" i="113"/>
  <c r="Z48" i="113"/>
  <c r="Z50" i="93" s="1"/>
  <c r="Z46" i="113"/>
  <c r="Z50" i="95" s="1"/>
  <c r="Z50" i="113"/>
  <c r="Z53" i="113"/>
  <c r="Z55" i="113"/>
  <c r="Z46" i="78"/>
  <c r="Z47" i="95" s="1"/>
  <c r="Z55" i="78"/>
  <c r="Z49" i="78"/>
  <c r="Z47" i="77" s="1"/>
  <c r="Z56" i="78"/>
  <c r="Z53" i="78"/>
  <c r="Z48" i="78"/>
  <c r="AI45" i="76"/>
  <c r="AI39" i="76" s="1"/>
  <c r="AI41" i="76" s="1"/>
  <c r="AI39" i="63"/>
  <c r="AI41" i="63" s="1"/>
  <c r="X37" i="77"/>
  <c r="Q65" i="88"/>
  <c r="Q58" i="103"/>
  <c r="Q59" i="103" s="1"/>
  <c r="AI47" i="113"/>
  <c r="AI39" i="113" s="1"/>
  <c r="AI41" i="113" s="1"/>
  <c r="AI51" i="88"/>
  <c r="AO39" i="98"/>
  <c r="AR50" i="63"/>
  <c r="AR49" i="63"/>
  <c r="AR56" i="63"/>
  <c r="AR54" i="63"/>
  <c r="AR45" i="63"/>
  <c r="AR55" i="63"/>
  <c r="AR46" i="63"/>
  <c r="AR48" i="63"/>
  <c r="AR47" i="63"/>
  <c r="AR53" i="63"/>
  <c r="AH43" i="63"/>
  <c r="W43" i="115"/>
  <c r="I185" i="56"/>
  <c r="C169" i="127"/>
  <c r="I185" i="127"/>
  <c r="M9" i="59"/>
  <c r="C169" i="56"/>
  <c r="E4" i="85"/>
  <c r="F39" i="88"/>
  <c r="AH42" i="103"/>
  <c r="AH45" i="88"/>
  <c r="AN39" i="98"/>
  <c r="AD43" i="115"/>
  <c r="AB36" i="93"/>
  <c r="AU33" i="93"/>
  <c r="Y37" i="78"/>
  <c r="K58" i="103"/>
  <c r="K59" i="103" s="1"/>
  <c r="K65" i="88"/>
  <c r="L58" i="103"/>
  <c r="L59" i="103" s="1"/>
  <c r="L65" i="88"/>
  <c r="T52" i="88"/>
  <c r="AL43" i="115"/>
  <c r="G65" i="88"/>
  <c r="G58" i="103"/>
  <c r="G59" i="103" s="1"/>
  <c r="AK46" i="78"/>
  <c r="AK47" i="95" s="1"/>
  <c r="AK48" i="78"/>
  <c r="AK56" i="78"/>
  <c r="AK54" i="78"/>
  <c r="AK53" i="78"/>
  <c r="AK55" i="78"/>
  <c r="AK49" i="78"/>
  <c r="T9" i="111"/>
  <c r="E9" i="85"/>
  <c r="M9" i="111"/>
  <c r="AC37" i="93"/>
  <c r="W48" i="78"/>
  <c r="W53" i="78"/>
  <c r="W55" i="78"/>
  <c r="W46" i="78"/>
  <c r="W47" i="95" s="1"/>
  <c r="W49" i="78"/>
  <c r="W47" i="77" s="1"/>
  <c r="W56" i="78"/>
  <c r="AM35" i="88"/>
  <c r="AM36" i="88" s="1"/>
  <c r="AM37" i="88" s="1"/>
  <c r="AM32" i="103"/>
  <c r="AM33" i="103" s="1"/>
  <c r="AM34" i="103" s="1"/>
  <c r="J65" i="88"/>
  <c r="J58" i="103"/>
  <c r="J59" i="103" s="1"/>
  <c r="Y54" i="77"/>
  <c r="Y55" i="77"/>
  <c r="Y46" i="77"/>
  <c r="Y49" i="95" s="1"/>
  <c r="Y45" i="77"/>
  <c r="Y53" i="77"/>
  <c r="Y56" i="77"/>
  <c r="Y48" i="77"/>
  <c r="Y49" i="93" s="1"/>
  <c r="AH43" i="113"/>
  <c r="AG43" i="115"/>
  <c r="W53" i="95"/>
  <c r="W56" i="95"/>
  <c r="W55" i="95"/>
  <c r="W48" i="95"/>
  <c r="W54" i="95"/>
  <c r="AP39" i="98"/>
  <c r="AN61" i="115"/>
  <c r="AN58" i="115"/>
  <c r="AN60" i="115"/>
  <c r="AN59" i="115"/>
  <c r="AN57" i="115"/>
  <c r="AL35" i="88"/>
  <c r="AL36" i="88" s="1"/>
  <c r="AL37" i="88" s="1"/>
  <c r="AL32" i="103"/>
  <c r="AL33" i="103" s="1"/>
  <c r="AL34" i="103" s="1"/>
  <c r="H58" i="103"/>
  <c r="H59" i="103" s="1"/>
  <c r="H65" i="88"/>
  <c r="S52" i="88"/>
  <c r="AI47" i="78"/>
  <c r="AQ59" i="115"/>
  <c r="AQ60" i="115"/>
  <c r="AQ58" i="115"/>
  <c r="AQ61" i="115"/>
  <c r="AQ57" i="115"/>
  <c r="U34" i="63"/>
  <c r="T32" i="103"/>
  <c r="T35" i="88"/>
  <c r="AI49" i="77"/>
  <c r="AS49" i="63"/>
  <c r="AS46" i="63"/>
  <c r="AS50" i="63"/>
  <c r="AS47" i="113" s="1"/>
  <c r="AS54" i="63"/>
  <c r="AS56" i="63"/>
  <c r="AS45" i="63"/>
  <c r="AS47" i="63"/>
  <c r="AS53" i="63"/>
  <c r="AS55" i="63"/>
  <c r="AS48" i="63"/>
  <c r="S43" i="115"/>
  <c r="S37" i="78"/>
  <c r="V34" i="63"/>
  <c r="U32" i="103"/>
  <c r="U35" i="88"/>
  <c r="X34" i="93"/>
  <c r="X34" i="88" s="1"/>
  <c r="AU35" i="93"/>
  <c r="Y36" i="113"/>
  <c r="Y37" i="113" s="1"/>
  <c r="O65" i="88"/>
  <c r="O58" i="103"/>
  <c r="O59" i="103" s="1"/>
  <c r="AK54" i="93"/>
  <c r="AK55" i="93"/>
  <c r="AK53" i="93"/>
  <c r="AK56" i="93"/>
  <c r="AK46" i="93"/>
  <c r="AM36" i="63"/>
  <c r="T9" i="60"/>
  <c r="C171" i="56"/>
  <c r="C171" i="127"/>
  <c r="E7" i="85"/>
  <c r="I187" i="127"/>
  <c r="I187" i="56"/>
  <c r="M9" i="60"/>
  <c r="AE43" i="115"/>
  <c r="X53" i="113" l="1"/>
  <c r="X49" i="113"/>
  <c r="X55" i="113"/>
  <c r="X46" i="113"/>
  <c r="X50" i="95" s="1"/>
  <c r="AC36" i="76"/>
  <c r="AC37" i="76" s="1"/>
  <c r="AC47" i="76" s="1"/>
  <c r="X56" i="113"/>
  <c r="AI47" i="103"/>
  <c r="AI50" i="88"/>
  <c r="X48" i="113"/>
  <c r="X50" i="93" s="1"/>
  <c r="N9" i="127"/>
  <c r="O9" i="127"/>
  <c r="AE62" i="76"/>
  <c r="H22" i="57" s="1"/>
  <c r="G22" i="57" s="1"/>
  <c r="I184" i="127"/>
  <c r="I189" i="127" s="1"/>
  <c r="M9" i="117"/>
  <c r="AI51" i="103"/>
  <c r="M9" i="127"/>
  <c r="N9" i="56"/>
  <c r="M9" i="56"/>
  <c r="AI47" i="88"/>
  <c r="AP33" i="103"/>
  <c r="AP34" i="103" s="1"/>
  <c r="AI55" i="88"/>
  <c r="AI44" i="103"/>
  <c r="AJ51" i="98"/>
  <c r="AJ53" i="98"/>
  <c r="AJ52" i="98"/>
  <c r="AJ54" i="98"/>
  <c r="AJ50" i="98"/>
  <c r="AI39" i="95"/>
  <c r="AI41" i="95" s="1"/>
  <c r="AI43" i="95" s="1"/>
  <c r="AK62" i="115"/>
  <c r="AK53" i="63"/>
  <c r="AK54" i="88" s="1"/>
  <c r="AK55" i="63"/>
  <c r="AK50" i="103" s="1"/>
  <c r="AK56" i="63"/>
  <c r="AK57" i="88" s="1"/>
  <c r="AK50" i="63"/>
  <c r="AK47" i="63"/>
  <c r="AK47" i="78" s="1"/>
  <c r="AK45" i="63"/>
  <c r="AK48" i="63"/>
  <c r="AK48" i="93" s="1"/>
  <c r="AK54" i="63"/>
  <c r="AK55" i="88" s="1"/>
  <c r="AK46" i="63"/>
  <c r="AK45" i="95" s="1"/>
  <c r="AK39" i="95" s="1"/>
  <c r="AK41" i="95" s="1"/>
  <c r="AK43" i="95" s="1"/>
  <c r="AK49" i="63"/>
  <c r="AK49" i="77" s="1"/>
  <c r="C168" i="56"/>
  <c r="C172" i="56" s="1"/>
  <c r="AJ53" i="63"/>
  <c r="AJ56" i="63"/>
  <c r="AJ45" i="63"/>
  <c r="AJ49" i="63"/>
  <c r="AJ55" i="63"/>
  <c r="AJ54" i="63"/>
  <c r="AJ50" i="63"/>
  <c r="AJ48" i="63"/>
  <c r="AJ47" i="63"/>
  <c r="AJ46" i="63"/>
  <c r="I184" i="56"/>
  <c r="I189" i="56" s="1"/>
  <c r="O9" i="56"/>
  <c r="AJ62" i="115"/>
  <c r="AC45" i="78"/>
  <c r="S54" i="78"/>
  <c r="AP45" i="78"/>
  <c r="S45" i="78"/>
  <c r="S53" i="78"/>
  <c r="S49" i="78"/>
  <c r="W45" i="78"/>
  <c r="AF45" i="78"/>
  <c r="AO45" i="78"/>
  <c r="Y45" i="78"/>
  <c r="S48" i="78"/>
  <c r="X45" i="78"/>
  <c r="AS45" i="78"/>
  <c r="AS43" i="103" s="1"/>
  <c r="AB45" i="78"/>
  <c r="AM45" i="78"/>
  <c r="AH45" i="78"/>
  <c r="AH39" i="78" s="1"/>
  <c r="AH41" i="78" s="1"/>
  <c r="AL45" i="78"/>
  <c r="AJ45" i="78"/>
  <c r="AE45" i="78"/>
  <c r="AD45" i="78"/>
  <c r="AT45" i="78"/>
  <c r="AI45" i="78"/>
  <c r="S55" i="78"/>
  <c r="AK45" i="78"/>
  <c r="S56" i="78"/>
  <c r="U45" i="78"/>
  <c r="AN45" i="78"/>
  <c r="Z45" i="78"/>
  <c r="AG45" i="78"/>
  <c r="V45" i="78"/>
  <c r="AA45" i="78"/>
  <c r="T45" i="78"/>
  <c r="AR45" i="78"/>
  <c r="AR46" i="88" s="1"/>
  <c r="S46" i="78"/>
  <c r="AQ45" i="78"/>
  <c r="S34" i="103"/>
  <c r="AT49" i="77"/>
  <c r="V31" i="103"/>
  <c r="V33" i="103" s="1"/>
  <c r="V34" i="103" s="1"/>
  <c r="V34" i="88"/>
  <c r="V36" i="88" s="1"/>
  <c r="V37" i="88" s="1"/>
  <c r="V36" i="63"/>
  <c r="U34" i="88"/>
  <c r="U36" i="88" s="1"/>
  <c r="U37" i="88" s="1"/>
  <c r="U31" i="103"/>
  <c r="U33" i="103" s="1"/>
  <c r="U34" i="103" s="1"/>
  <c r="U36" i="63"/>
  <c r="AB37" i="93"/>
  <c r="AR45" i="76"/>
  <c r="AR39" i="76" s="1"/>
  <c r="AR41" i="76" s="1"/>
  <c r="AR43" i="76" s="1"/>
  <c r="AR39" i="63"/>
  <c r="AR41" i="63" s="1"/>
  <c r="AI43" i="63"/>
  <c r="AX33" i="95"/>
  <c r="AU36" i="95"/>
  <c r="Z43" i="115"/>
  <c r="AN53" i="63"/>
  <c r="AN47" i="63"/>
  <c r="AN46" i="63"/>
  <c r="AN48" i="63"/>
  <c r="AN49" i="63"/>
  <c r="AN55" i="63"/>
  <c r="AN45" i="63"/>
  <c r="AN54" i="63"/>
  <c r="AN50" i="63"/>
  <c r="AN56" i="63"/>
  <c r="AI49" i="88"/>
  <c r="X47" i="93"/>
  <c r="X43" i="98"/>
  <c r="X36" i="98" s="1"/>
  <c r="X38" i="98" s="1"/>
  <c r="AQ62" i="115"/>
  <c r="AC56" i="93"/>
  <c r="AC55" i="93"/>
  <c r="AC54" i="93"/>
  <c r="AC53" i="93"/>
  <c r="V57" i="115"/>
  <c r="V58" i="115"/>
  <c r="V61" i="115"/>
  <c r="V59" i="115"/>
  <c r="V60" i="115"/>
  <c r="AM39" i="98"/>
  <c r="AP48" i="63"/>
  <c r="AP53" i="63"/>
  <c r="AP47" i="63"/>
  <c r="AP46" i="63"/>
  <c r="AP56" i="63"/>
  <c r="AP55" i="63"/>
  <c r="AP54" i="63"/>
  <c r="AP45" i="63"/>
  <c r="AP49" i="63"/>
  <c r="AP50" i="63"/>
  <c r="AE57" i="115"/>
  <c r="AE58" i="115"/>
  <c r="AE59" i="115"/>
  <c r="AE61" i="115"/>
  <c r="AE60" i="115"/>
  <c r="AS47" i="78"/>
  <c r="AG59" i="115"/>
  <c r="AG61" i="115"/>
  <c r="AG60" i="115"/>
  <c r="AG58" i="115"/>
  <c r="AG57" i="115"/>
  <c r="AL57" i="115"/>
  <c r="AL61" i="115"/>
  <c r="AL58" i="115"/>
  <c r="AL59" i="115"/>
  <c r="AL60" i="115"/>
  <c r="W60" i="115"/>
  <c r="W58" i="115"/>
  <c r="W59" i="115"/>
  <c r="W61" i="115"/>
  <c r="W57" i="115"/>
  <c r="AG39" i="98"/>
  <c r="AI42" i="103"/>
  <c r="AI45" i="88"/>
  <c r="AI43" i="113"/>
  <c r="AB35" i="63"/>
  <c r="AB36" i="63" s="1"/>
  <c r="AS45" i="76"/>
  <c r="AS39" i="76" s="1"/>
  <c r="AS41" i="76" s="1"/>
  <c r="AS39" i="63"/>
  <c r="AS41" i="63" s="1"/>
  <c r="AN62" i="115"/>
  <c r="AD59" i="115"/>
  <c r="AD57" i="115"/>
  <c r="AD58" i="115"/>
  <c r="AD61" i="115"/>
  <c r="AD60" i="115"/>
  <c r="F41" i="88"/>
  <c r="AS49" i="77"/>
  <c r="AI43" i="76"/>
  <c r="T57" i="115"/>
  <c r="T58" i="115"/>
  <c r="T61" i="115"/>
  <c r="T59" i="115"/>
  <c r="T60" i="115"/>
  <c r="AL39" i="98"/>
  <c r="Y36" i="76"/>
  <c r="Y37" i="76" s="1"/>
  <c r="AO62" i="115"/>
  <c r="AU37" i="115"/>
  <c r="C172" i="127"/>
  <c r="E11" i="85"/>
  <c r="AK47" i="77"/>
  <c r="W35" i="63"/>
  <c r="W36" i="63" s="1"/>
  <c r="W33" i="88"/>
  <c r="W30" i="103"/>
  <c r="AH59" i="63"/>
  <c r="AH60" i="63"/>
  <c r="AH57" i="63"/>
  <c r="AH61" i="63"/>
  <c r="AH58" i="63"/>
  <c r="AR47" i="113"/>
  <c r="AR39" i="113" s="1"/>
  <c r="AR41" i="113" s="1"/>
  <c r="AR43" i="113" s="1"/>
  <c r="AR51" i="88"/>
  <c r="Z47" i="93"/>
  <c r="Z43" i="98"/>
  <c r="Z36" i="98" s="1"/>
  <c r="Z38" i="98" s="1"/>
  <c r="AN51" i="98"/>
  <c r="AN54" i="98"/>
  <c r="AN50" i="98"/>
  <c r="AN52" i="98"/>
  <c r="AN53" i="98"/>
  <c r="AI43" i="115"/>
  <c r="AP62" i="115"/>
  <c r="AD59" i="63"/>
  <c r="AD61" i="63"/>
  <c r="AD60" i="63"/>
  <c r="AD58" i="63"/>
  <c r="AD57" i="63"/>
  <c r="AC43" i="115"/>
  <c r="AA59" i="115"/>
  <c r="AA57" i="115"/>
  <c r="AA61" i="115"/>
  <c r="AA60" i="115"/>
  <c r="AA58" i="115"/>
  <c r="X53" i="76"/>
  <c r="X48" i="76"/>
  <c r="X45" i="93" s="1"/>
  <c r="X46" i="76"/>
  <c r="X46" i="95" s="1"/>
  <c r="X37" i="95" s="1"/>
  <c r="X47" i="76"/>
  <c r="X55" i="76"/>
  <c r="X49" i="76"/>
  <c r="X56" i="76"/>
  <c r="X54" i="76"/>
  <c r="Y39" i="115"/>
  <c r="Y41" i="115" s="1"/>
  <c r="AH47" i="93"/>
  <c r="AH43" i="98"/>
  <c r="AH36" i="98" s="1"/>
  <c r="AH38" i="98" s="1"/>
  <c r="AQ36" i="63"/>
  <c r="X35" i="63"/>
  <c r="X30" i="103"/>
  <c r="X33" i="88"/>
  <c r="AH61" i="113"/>
  <c r="AH58" i="113"/>
  <c r="AH59" i="113"/>
  <c r="AH57" i="113"/>
  <c r="AH60" i="113"/>
  <c r="AO52" i="98"/>
  <c r="AO51" i="98"/>
  <c r="AO53" i="98"/>
  <c r="AO50" i="98"/>
  <c r="AO54" i="98"/>
  <c r="AD36" i="76"/>
  <c r="Y49" i="113"/>
  <c r="Y53" i="113"/>
  <c r="Y50" i="113"/>
  <c r="Y48" i="113"/>
  <c r="Y50" i="93" s="1"/>
  <c r="Y55" i="113"/>
  <c r="Y46" i="113"/>
  <c r="Y50" i="95" s="1"/>
  <c r="AK47" i="93"/>
  <c r="AK43" i="98"/>
  <c r="AK36" i="98" s="1"/>
  <c r="AK38" i="98" s="1"/>
  <c r="X56" i="115"/>
  <c r="AU56" i="115" s="1"/>
  <c r="X48" i="115"/>
  <c r="X54" i="115"/>
  <c r="AU54" i="115" s="1"/>
  <c r="X47" i="115"/>
  <c r="AU47" i="115" s="1"/>
  <c r="X45" i="115"/>
  <c r="X46" i="115"/>
  <c r="X50" i="115"/>
  <c r="AU50" i="115" s="1"/>
  <c r="X55" i="115"/>
  <c r="AU55" i="115" s="1"/>
  <c r="AV23" i="88" s="1"/>
  <c r="AV30" i="88" s="1"/>
  <c r="X53" i="115"/>
  <c r="AU53" i="115" s="1"/>
  <c r="B272" i="80" s="1"/>
  <c r="AI47" i="93"/>
  <c r="AI43" i="98"/>
  <c r="AI36" i="98" s="1"/>
  <c r="AI38" i="98" s="1"/>
  <c r="AH61" i="115"/>
  <c r="AH57" i="115"/>
  <c r="AH59" i="115"/>
  <c r="AH60" i="115"/>
  <c r="AH58" i="115"/>
  <c r="S48" i="63"/>
  <c r="S49" i="63"/>
  <c r="S55" i="63"/>
  <c r="S50" i="63"/>
  <c r="S47" i="63"/>
  <c r="S54" i="63"/>
  <c r="S56" i="63"/>
  <c r="S46" i="63"/>
  <c r="S45" i="63"/>
  <c r="S53" i="63"/>
  <c r="Y56" i="78"/>
  <c r="Y46" i="78"/>
  <c r="Y47" i="95" s="1"/>
  <c r="Y48" i="78"/>
  <c r="Y53" i="78"/>
  <c r="Y55" i="78"/>
  <c r="Y49" i="78"/>
  <c r="Y47" i="77" s="1"/>
  <c r="AR47" i="78"/>
  <c r="W37" i="113"/>
  <c r="Y35" i="63"/>
  <c r="Y30" i="103"/>
  <c r="Y33" i="88"/>
  <c r="AR48" i="93"/>
  <c r="AP36" i="88"/>
  <c r="AP37" i="88" s="1"/>
  <c r="Y54" i="93"/>
  <c r="Y53" i="93"/>
  <c r="Y56" i="93"/>
  <c r="Y55" i="93"/>
  <c r="AC35" i="63"/>
  <c r="AC36" i="63" s="1"/>
  <c r="AM37" i="63"/>
  <c r="S36" i="88"/>
  <c r="AR45" i="95"/>
  <c r="AI39" i="77"/>
  <c r="AI41" i="77" s="1"/>
  <c r="AI50" i="103"/>
  <c r="T34" i="88"/>
  <c r="T31" i="103"/>
  <c r="T36" i="63"/>
  <c r="AC56" i="76"/>
  <c r="AC53" i="76"/>
  <c r="AC49" i="76"/>
  <c r="AC55" i="76"/>
  <c r="AM58" i="115"/>
  <c r="AM60" i="115"/>
  <c r="AM57" i="115"/>
  <c r="AM61" i="115"/>
  <c r="AM59" i="115"/>
  <c r="AS45" i="95"/>
  <c r="AH39" i="76"/>
  <c r="AH41" i="76" s="1"/>
  <c r="AF57" i="115"/>
  <c r="AF60" i="115"/>
  <c r="AF61" i="115"/>
  <c r="AF58" i="115"/>
  <c r="AF59" i="115"/>
  <c r="AP53" i="98"/>
  <c r="AP52" i="98"/>
  <c r="AP54" i="98"/>
  <c r="AP51" i="98"/>
  <c r="AP50" i="98"/>
  <c r="AI54" i="88"/>
  <c r="U62" i="115"/>
  <c r="H12" i="117" s="1"/>
  <c r="G12" i="117" s="1"/>
  <c r="S49" i="76"/>
  <c r="S53" i="76"/>
  <c r="S54" i="76"/>
  <c r="S46" i="76"/>
  <c r="S56" i="76"/>
  <c r="S48" i="76"/>
  <c r="S55" i="76"/>
  <c r="S47" i="76"/>
  <c r="AE62" i="63"/>
  <c r="X31" i="103"/>
  <c r="AU34" i="93"/>
  <c r="AU36" i="93" s="1"/>
  <c r="X36" i="93"/>
  <c r="S60" i="115"/>
  <c r="S57" i="115"/>
  <c r="S61" i="115"/>
  <c r="S59" i="115"/>
  <c r="S58" i="115"/>
  <c r="W43" i="98"/>
  <c r="W47" i="93"/>
  <c r="AH45" i="93"/>
  <c r="AA35" i="63"/>
  <c r="AA36" i="63" s="1"/>
  <c r="AS48" i="93"/>
  <c r="AY34" i="93"/>
  <c r="X53" i="77"/>
  <c r="X56" i="77"/>
  <c r="X46" i="77"/>
  <c r="X48" i="77"/>
  <c r="X54" i="77"/>
  <c r="X45" i="77"/>
  <c r="X55" i="77"/>
  <c r="W34" i="88"/>
  <c r="W31" i="103"/>
  <c r="AB43" i="115"/>
  <c r="AB37" i="76"/>
  <c r="AL50" i="63"/>
  <c r="AL48" i="63"/>
  <c r="AL55" i="63"/>
  <c r="AL49" i="63"/>
  <c r="AL56" i="63"/>
  <c r="AL45" i="63"/>
  <c r="AL54" i="63"/>
  <c r="AL53" i="63"/>
  <c r="AL46" i="63"/>
  <c r="AL47" i="63"/>
  <c r="AS46" i="88" l="1"/>
  <c r="AC54" i="76"/>
  <c r="AC46" i="76"/>
  <c r="AC46" i="95" s="1"/>
  <c r="AC48" i="76"/>
  <c r="AC45" i="93" s="1"/>
  <c r="AK47" i="103"/>
  <c r="AK50" i="88"/>
  <c r="M22" i="57"/>
  <c r="AK39" i="93"/>
  <c r="AK41" i="93" s="1"/>
  <c r="AK43" i="93" s="1"/>
  <c r="AK49" i="88"/>
  <c r="AK46" i="103"/>
  <c r="AK49" i="103"/>
  <c r="AK47" i="88"/>
  <c r="AJ55" i="98"/>
  <c r="AK44" i="103"/>
  <c r="AK48" i="103"/>
  <c r="AK39" i="77"/>
  <c r="AK41" i="77" s="1"/>
  <c r="AK43" i="77" s="1"/>
  <c r="AK56" i="88"/>
  <c r="AK51" i="103"/>
  <c r="AJ47" i="113"/>
  <c r="AJ39" i="113" s="1"/>
  <c r="AJ41" i="113" s="1"/>
  <c r="AJ43" i="113" s="1"/>
  <c r="AJ51" i="88"/>
  <c r="AK47" i="113"/>
  <c r="AK39" i="113" s="1"/>
  <c r="AK41" i="113" s="1"/>
  <c r="AK43" i="113" s="1"/>
  <c r="AK51" i="88"/>
  <c r="AJ55" i="88"/>
  <c r="AJ49" i="103"/>
  <c r="AJ56" i="88"/>
  <c r="AJ50" i="103"/>
  <c r="AO55" i="98"/>
  <c r="T62" i="115"/>
  <c r="H11" i="117" s="1"/>
  <c r="G11" i="117" s="1"/>
  <c r="AJ49" i="77"/>
  <c r="AJ39" i="77" s="1"/>
  <c r="AJ41" i="77" s="1"/>
  <c r="AJ43" i="77" s="1"/>
  <c r="AJ47" i="103"/>
  <c r="AJ50" i="88"/>
  <c r="AJ48" i="103"/>
  <c r="AJ54" i="88"/>
  <c r="AL62" i="115"/>
  <c r="AJ51" i="103"/>
  <c r="AJ57" i="88"/>
  <c r="AG62" i="115"/>
  <c r="H24" i="117" s="1"/>
  <c r="G24" i="117" s="1"/>
  <c r="AJ45" i="95"/>
  <c r="AJ39" i="95" s="1"/>
  <c r="AJ41" i="95" s="1"/>
  <c r="AJ43" i="95" s="1"/>
  <c r="AJ47" i="88"/>
  <c r="AJ44" i="103"/>
  <c r="AJ45" i="76"/>
  <c r="AJ39" i="76" s="1"/>
  <c r="AJ41" i="76" s="1"/>
  <c r="AJ43" i="76" s="1"/>
  <c r="AJ39" i="63"/>
  <c r="AJ41" i="63" s="1"/>
  <c r="AJ43" i="63" s="1"/>
  <c r="AJ47" i="78"/>
  <c r="AJ39" i="78" s="1"/>
  <c r="AJ41" i="78" s="1"/>
  <c r="AJ48" i="88"/>
  <c r="AJ45" i="103"/>
  <c r="AK45" i="76"/>
  <c r="AK39" i="76" s="1"/>
  <c r="AK41" i="76" s="1"/>
  <c r="AK43" i="76" s="1"/>
  <c r="AK39" i="63"/>
  <c r="AK41" i="63" s="1"/>
  <c r="AK43" i="63" s="1"/>
  <c r="AJ48" i="93"/>
  <c r="AJ46" i="103"/>
  <c r="AJ49" i="88"/>
  <c r="AU37" i="93"/>
  <c r="S62" i="115"/>
  <c r="S47" i="113"/>
  <c r="S51" i="88"/>
  <c r="AE62" i="115"/>
  <c r="H22" i="117" s="1"/>
  <c r="G22" i="117" s="1"/>
  <c r="AN50" i="88"/>
  <c r="AN49" i="77"/>
  <c r="AN39" i="77" s="1"/>
  <c r="AN41" i="77" s="1"/>
  <c r="AN47" i="103"/>
  <c r="AL54" i="88"/>
  <c r="AL48" i="103"/>
  <c r="S48" i="103"/>
  <c r="S54" i="88"/>
  <c r="AD62" i="63"/>
  <c r="AP50" i="103"/>
  <c r="AP56" i="88"/>
  <c r="U37" i="63"/>
  <c r="AL49" i="103"/>
  <c r="AL55" i="88"/>
  <c r="AP55" i="98"/>
  <c r="AH43" i="76"/>
  <c r="S45" i="76"/>
  <c r="S39" i="63"/>
  <c r="S41" i="63" s="1"/>
  <c r="AH62" i="115"/>
  <c r="H25" i="117" s="1"/>
  <c r="G25" i="117" s="1"/>
  <c r="X51" i="93"/>
  <c r="AU48" i="115"/>
  <c r="B254" i="80" s="1"/>
  <c r="B187" i="80" s="1"/>
  <c r="AS43" i="63"/>
  <c r="AI58" i="113"/>
  <c r="AI57" i="113"/>
  <c r="AI61" i="113"/>
  <c r="AI59" i="113"/>
  <c r="AI60" i="113"/>
  <c r="AP51" i="103"/>
  <c r="AP57" i="88"/>
  <c r="S47" i="93"/>
  <c r="AL45" i="76"/>
  <c r="AL39" i="76" s="1"/>
  <c r="AL41" i="76" s="1"/>
  <c r="AL43" i="103"/>
  <c r="AL46" i="88"/>
  <c r="AL39" i="63"/>
  <c r="AL41" i="63" s="1"/>
  <c r="S45" i="93"/>
  <c r="W48" i="113"/>
  <c r="W49" i="113"/>
  <c r="W55" i="113"/>
  <c r="W46" i="113"/>
  <c r="W53" i="113"/>
  <c r="W50" i="113"/>
  <c r="W56" i="113"/>
  <c r="S47" i="88"/>
  <c r="S44" i="103"/>
  <c r="S45" i="95"/>
  <c r="B274" i="80"/>
  <c r="W8" i="81"/>
  <c r="AD37" i="76"/>
  <c r="W37" i="63"/>
  <c r="AI58" i="76"/>
  <c r="AI60" i="76"/>
  <c r="AI57" i="76"/>
  <c r="AI61" i="76"/>
  <c r="AI59" i="76"/>
  <c r="AP45" i="95"/>
  <c r="AP39" i="95" s="1"/>
  <c r="AP41" i="95" s="1"/>
  <c r="AP44" i="103"/>
  <c r="AP47" i="88"/>
  <c r="AN57" i="88"/>
  <c r="AN51" i="103"/>
  <c r="AU37" i="95"/>
  <c r="AK46" i="88"/>
  <c r="AK43" i="103"/>
  <c r="AK39" i="78"/>
  <c r="AK41" i="78" s="1"/>
  <c r="AL48" i="93"/>
  <c r="AL49" i="88"/>
  <c r="AL46" i="103"/>
  <c r="AM53" i="63"/>
  <c r="AM55" i="63"/>
  <c r="AM50" i="63"/>
  <c r="AM54" i="63"/>
  <c r="AM56" i="63"/>
  <c r="AM45" i="63"/>
  <c r="AM48" i="63"/>
  <c r="AM49" i="63"/>
  <c r="AM46" i="63"/>
  <c r="AM47" i="63"/>
  <c r="AL51" i="88"/>
  <c r="AL47" i="113"/>
  <c r="AL39" i="113" s="1"/>
  <c r="AL41" i="113" s="1"/>
  <c r="AI39" i="93"/>
  <c r="AI41" i="93" s="1"/>
  <c r="AI48" i="88"/>
  <c r="AI45" i="103"/>
  <c r="Y49" i="76"/>
  <c r="Y46" i="76"/>
  <c r="Y46" i="95" s="1"/>
  <c r="Y37" i="95" s="1"/>
  <c r="Y47" i="76"/>
  <c r="Y56" i="76"/>
  <c r="Y48" i="76"/>
  <c r="Y45" i="93" s="1"/>
  <c r="Y55" i="76"/>
  <c r="Y53" i="76"/>
  <c r="Y54" i="76"/>
  <c r="F63" i="88"/>
  <c r="AR43" i="63"/>
  <c r="AE43" i="103"/>
  <c r="AE46" i="88"/>
  <c r="X37" i="93"/>
  <c r="AB60" i="115"/>
  <c r="AB57" i="115"/>
  <c r="AB61" i="115"/>
  <c r="AB58" i="115"/>
  <c r="AB59" i="115"/>
  <c r="AL51" i="103"/>
  <c r="AL57" i="88"/>
  <c r="S51" i="103"/>
  <c r="S57" i="88"/>
  <c r="X36" i="63"/>
  <c r="X35" i="88"/>
  <c r="X36" i="88" s="1"/>
  <c r="X37" i="88" s="1"/>
  <c r="X32" i="103"/>
  <c r="X33" i="103" s="1"/>
  <c r="X34" i="103" s="1"/>
  <c r="Y34" i="63"/>
  <c r="AP47" i="78"/>
  <c r="AP39" i="78" s="1"/>
  <c r="AP41" i="78" s="1"/>
  <c r="AP43" i="78" s="1"/>
  <c r="AP48" i="88"/>
  <c r="AP45" i="103"/>
  <c r="AN51" i="88"/>
  <c r="AN47" i="113"/>
  <c r="AN39" i="113" s="1"/>
  <c r="AN41" i="113" s="1"/>
  <c r="AL49" i="77"/>
  <c r="AL39" i="77" s="1"/>
  <c r="AL41" i="77" s="1"/>
  <c r="AL47" i="103"/>
  <c r="AL50" i="88"/>
  <c r="AS45" i="88"/>
  <c r="AS42" i="103"/>
  <c r="S46" i="95"/>
  <c r="S37" i="88"/>
  <c r="S55" i="88"/>
  <c r="S49" i="103"/>
  <c r="AQ37" i="63"/>
  <c r="X53" i="95"/>
  <c r="X56" i="95"/>
  <c r="X48" i="95"/>
  <c r="X55" i="95"/>
  <c r="X54" i="95"/>
  <c r="AS43" i="76"/>
  <c r="AP48" i="103"/>
  <c r="AP54" i="88"/>
  <c r="AN49" i="103"/>
  <c r="AN55" i="88"/>
  <c r="AI39" i="78"/>
  <c r="AI41" i="78" s="1"/>
  <c r="AI46" i="88"/>
  <c r="AI43" i="103"/>
  <c r="AL50" i="103"/>
  <c r="AL56" i="88"/>
  <c r="S47" i="78"/>
  <c r="S39" i="78" s="1"/>
  <c r="S41" i="78" s="1"/>
  <c r="W35" i="88"/>
  <c r="W36" i="88" s="1"/>
  <c r="W32" i="103"/>
  <c r="W33" i="103" s="1"/>
  <c r="AP48" i="93"/>
  <c r="AP46" i="103"/>
  <c r="AP49" i="88"/>
  <c r="AN45" i="76"/>
  <c r="AN39" i="76" s="1"/>
  <c r="AN41" i="76" s="1"/>
  <c r="AN46" i="88"/>
  <c r="AN43" i="103"/>
  <c r="AN39" i="63"/>
  <c r="AN41" i="63" s="1"/>
  <c r="V37" i="63"/>
  <c r="AI39" i="98"/>
  <c r="S47" i="95"/>
  <c r="AA37" i="63"/>
  <c r="T37" i="63"/>
  <c r="S50" i="88"/>
  <c r="S49" i="77"/>
  <c r="S47" i="103"/>
  <c r="AH39" i="98"/>
  <c r="AM53" i="98"/>
  <c r="AM50" i="98"/>
  <c r="AM51" i="98"/>
  <c r="AM54" i="98"/>
  <c r="AM52" i="98"/>
  <c r="AR43" i="103"/>
  <c r="AJ46" i="88"/>
  <c r="AJ43" i="103"/>
  <c r="AM62" i="115"/>
  <c r="AC37" i="63"/>
  <c r="Y47" i="93"/>
  <c r="Y43" i="98"/>
  <c r="Y36" i="98" s="1"/>
  <c r="Y38" i="98" s="1"/>
  <c r="S49" i="88"/>
  <c r="S46" i="103"/>
  <c r="S48" i="93"/>
  <c r="AK45" i="103"/>
  <c r="AK48" i="88"/>
  <c r="AL50" i="98"/>
  <c r="AL52" i="98"/>
  <c r="AL51" i="98"/>
  <c r="AL54" i="98"/>
  <c r="AL53" i="98"/>
  <c r="T33" i="103"/>
  <c r="T34" i="103" s="1"/>
  <c r="Y43" i="115"/>
  <c r="AN55" i="98"/>
  <c r="AN48" i="88"/>
  <c r="AN47" i="78"/>
  <c r="AN39" i="78" s="1"/>
  <c r="AN41" i="78" s="1"/>
  <c r="AN45" i="103"/>
  <c r="AH43" i="78"/>
  <c r="T36" i="88"/>
  <c r="AH62" i="113"/>
  <c r="H25" i="111" s="1"/>
  <c r="AD62" i="115"/>
  <c r="H21" i="117" s="1"/>
  <c r="AP50" i="88"/>
  <c r="AP47" i="103"/>
  <c r="AQ49" i="77"/>
  <c r="AQ39" i="77" s="1"/>
  <c r="AQ41" i="77" s="1"/>
  <c r="AN54" i="88"/>
  <c r="AN48" i="103"/>
  <c r="AP45" i="76"/>
  <c r="AP39" i="76" s="1"/>
  <c r="AP41" i="76" s="1"/>
  <c r="AP43" i="103"/>
  <c r="AP46" i="88"/>
  <c r="AP39" i="63"/>
  <c r="AP41" i="63" s="1"/>
  <c r="AB56" i="93"/>
  <c r="AB53" i="93"/>
  <c r="AB55" i="93"/>
  <c r="AB54" i="93"/>
  <c r="X49" i="93"/>
  <c r="Z39" i="98"/>
  <c r="AN56" i="88"/>
  <c r="AN50" i="103"/>
  <c r="AI57" i="63"/>
  <c r="AI61" i="63"/>
  <c r="AI59" i="63"/>
  <c r="AI60" i="63"/>
  <c r="AI58" i="63"/>
  <c r="S47" i="77"/>
  <c r="X49" i="95"/>
  <c r="S56" i="88"/>
  <c r="S50" i="103"/>
  <c r="AI60" i="115"/>
  <c r="AI61" i="115"/>
  <c r="AI59" i="115"/>
  <c r="AI58" i="115"/>
  <c r="AI57" i="115"/>
  <c r="AG50" i="98"/>
  <c r="AG52" i="98"/>
  <c r="AG54" i="98"/>
  <c r="AG51" i="98"/>
  <c r="AG53" i="98"/>
  <c r="D272" i="80"/>
  <c r="J272" i="80"/>
  <c r="L272" i="80" s="1"/>
  <c r="AK39" i="98"/>
  <c r="AN48" i="93"/>
  <c r="AN46" i="103"/>
  <c r="AN49" i="88"/>
  <c r="AU45" i="78"/>
  <c r="B163" i="80" s="1"/>
  <c r="AX30" i="88"/>
  <c r="AV32" i="88"/>
  <c r="AH45" i="103"/>
  <c r="AH48" i="88"/>
  <c r="AR59" i="113"/>
  <c r="AR58" i="113"/>
  <c r="AR60" i="113"/>
  <c r="AR61" i="113"/>
  <c r="AR57" i="113"/>
  <c r="AN47" i="88"/>
  <c r="AN45" i="95"/>
  <c r="AN39" i="95" s="1"/>
  <c r="AN41" i="95" s="1"/>
  <c r="AN44" i="103"/>
  <c r="AA62" i="115"/>
  <c r="H18" i="117" s="1"/>
  <c r="AB37" i="63"/>
  <c r="AP51" i="88"/>
  <c r="AP47" i="113"/>
  <c r="AP39" i="113" s="1"/>
  <c r="AP41" i="113" s="1"/>
  <c r="AR59" i="76"/>
  <c r="AR58" i="76"/>
  <c r="AR60" i="76"/>
  <c r="AR61" i="76"/>
  <c r="AR57" i="76"/>
  <c r="H22" i="127"/>
  <c r="H22" i="56"/>
  <c r="X51" i="95"/>
  <c r="AU46" i="115"/>
  <c r="B270" i="80" s="1"/>
  <c r="J270" i="80" s="1"/>
  <c r="L270" i="80" s="1"/>
  <c r="W62" i="115"/>
  <c r="H14" i="117" s="1"/>
  <c r="AL47" i="78"/>
  <c r="AL39" i="78" s="1"/>
  <c r="AL41" i="78" s="1"/>
  <c r="AL45" i="103"/>
  <c r="AL48" i="88"/>
  <c r="AB48" i="76"/>
  <c r="AB45" i="93" s="1"/>
  <c r="AB49" i="76"/>
  <c r="AB46" i="76"/>
  <c r="AB46" i="95" s="1"/>
  <c r="AB53" i="76"/>
  <c r="AB55" i="76"/>
  <c r="AB56" i="76"/>
  <c r="AB47" i="76"/>
  <c r="AF62" i="115"/>
  <c r="H23" i="117" s="1"/>
  <c r="G23" i="117" s="1"/>
  <c r="Z34" i="63"/>
  <c r="Y35" i="88"/>
  <c r="Y32" i="103"/>
  <c r="AU45" i="115"/>
  <c r="X39" i="115"/>
  <c r="X41" i="115" s="1"/>
  <c r="AH62" i="63"/>
  <c r="AL45" i="95"/>
  <c r="AL39" i="95" s="1"/>
  <c r="AL41" i="95" s="1"/>
  <c r="AL47" i="88"/>
  <c r="AL44" i="103"/>
  <c r="W36" i="98"/>
  <c r="W38" i="98" s="1"/>
  <c r="AI60" i="95"/>
  <c r="AI59" i="95"/>
  <c r="AI58" i="95"/>
  <c r="AI61" i="95"/>
  <c r="AI57" i="95"/>
  <c r="AI43" i="77"/>
  <c r="AK58" i="95"/>
  <c r="AK61" i="95"/>
  <c r="AK59" i="95"/>
  <c r="AK57" i="95"/>
  <c r="AK60" i="95"/>
  <c r="AC58" i="115"/>
  <c r="AC59" i="115"/>
  <c r="AC57" i="115"/>
  <c r="AC60" i="115"/>
  <c r="AC61" i="115"/>
  <c r="AP55" i="88"/>
  <c r="AP49" i="103"/>
  <c r="V62" i="115"/>
  <c r="H13" i="117" s="1"/>
  <c r="G13" i="117" s="1"/>
  <c r="X39" i="98"/>
  <c r="Z61" i="115"/>
  <c r="Z59" i="115"/>
  <c r="Z58" i="115"/>
  <c r="Z57" i="115"/>
  <c r="Z60" i="115"/>
  <c r="AK42" i="103" l="1"/>
  <c r="AK36" i="103" s="1"/>
  <c r="AK38" i="103" s="1"/>
  <c r="AK40" i="103" s="1"/>
  <c r="AK45" i="88"/>
  <c r="AI62" i="115"/>
  <c r="H26" i="117" s="1"/>
  <c r="G26" i="117" s="1"/>
  <c r="S43" i="103"/>
  <c r="AJ61" i="63"/>
  <c r="AJ57" i="63"/>
  <c r="AJ59" i="63"/>
  <c r="AJ58" i="63"/>
  <c r="AJ60" i="63"/>
  <c r="AJ58" i="76"/>
  <c r="AJ60" i="76"/>
  <c r="AJ59" i="76"/>
  <c r="AJ57" i="76"/>
  <c r="AJ61" i="76"/>
  <c r="AJ61" i="77"/>
  <c r="AJ60" i="77"/>
  <c r="AJ59" i="77"/>
  <c r="AJ57" i="77"/>
  <c r="AJ58" i="77"/>
  <c r="AR62" i="113"/>
  <c r="AJ45" i="88"/>
  <c r="AJ39" i="88" s="1"/>
  <c r="AJ41" i="88" s="1"/>
  <c r="AJ43" i="88" s="1"/>
  <c r="AJ42" i="103"/>
  <c r="AJ36" i="103" s="1"/>
  <c r="AJ38" i="103" s="1"/>
  <c r="AJ40" i="103" s="1"/>
  <c r="AJ39" i="93"/>
  <c r="AJ41" i="93" s="1"/>
  <c r="AJ43" i="93" s="1"/>
  <c r="AJ60" i="95"/>
  <c r="AJ61" i="95"/>
  <c r="AJ58" i="95"/>
  <c r="AJ57" i="95"/>
  <c r="AJ59" i="95"/>
  <c r="AR62" i="76"/>
  <c r="AK61" i="63"/>
  <c r="AK59" i="63"/>
  <c r="AK57" i="63"/>
  <c r="AK60" i="63"/>
  <c r="AK58" i="63"/>
  <c r="AK60" i="76"/>
  <c r="AK59" i="76"/>
  <c r="AK57" i="76"/>
  <c r="AK58" i="76"/>
  <c r="AK61" i="76"/>
  <c r="AK57" i="113"/>
  <c r="AK60" i="113"/>
  <c r="AK61" i="113"/>
  <c r="AK59" i="113"/>
  <c r="AK58" i="113"/>
  <c r="AI62" i="76"/>
  <c r="H26" i="57" s="1"/>
  <c r="G26" i="57" s="1"/>
  <c r="AC62" i="115"/>
  <c r="H20" i="117" s="1"/>
  <c r="G20" i="117" s="1"/>
  <c r="AJ57" i="113"/>
  <c r="AJ61" i="113"/>
  <c r="AJ58" i="113"/>
  <c r="AJ59" i="113"/>
  <c r="AJ60" i="113"/>
  <c r="AN43" i="78"/>
  <c r="S43" i="78"/>
  <c r="AL43" i="78"/>
  <c r="O22" i="127"/>
  <c r="M22" i="127"/>
  <c r="N22" i="127"/>
  <c r="G22" i="127"/>
  <c r="S39" i="77"/>
  <c r="S41" i="77" s="1"/>
  <c r="AN43" i="95"/>
  <c r="AL55" i="98"/>
  <c r="AM44" i="103"/>
  <c r="AM47" i="88"/>
  <c r="AM45" i="95"/>
  <c r="AM39" i="95" s="1"/>
  <c r="AM41" i="95" s="1"/>
  <c r="Z31" i="103"/>
  <c r="Z33" i="103" s="1"/>
  <c r="Z34" i="103" s="1"/>
  <c r="Z34" i="88"/>
  <c r="Z36" i="88" s="1"/>
  <c r="Z37" i="88" s="1"/>
  <c r="Z36" i="63"/>
  <c r="Y39" i="98"/>
  <c r="AM50" i="103"/>
  <c r="AM56" i="88"/>
  <c r="AD54" i="76"/>
  <c r="AD56" i="76"/>
  <c r="AD48" i="76"/>
  <c r="AD46" i="76"/>
  <c r="AD47" i="76"/>
  <c r="AD55" i="76"/>
  <c r="AD53" i="76"/>
  <c r="AD49" i="76"/>
  <c r="Z62" i="115"/>
  <c r="H17" i="117" s="1"/>
  <c r="Z54" i="98"/>
  <c r="Z50" i="98"/>
  <c r="Z51" i="98"/>
  <c r="Z53" i="98"/>
  <c r="Z52" i="98"/>
  <c r="AP39" i="93"/>
  <c r="AP41" i="93" s="1"/>
  <c r="AI36" i="103"/>
  <c r="AI38" i="103" s="1"/>
  <c r="AM48" i="103"/>
  <c r="AM54" i="88"/>
  <c r="G248" i="80"/>
  <c r="X8" i="81"/>
  <c r="S39" i="93"/>
  <c r="S41" i="93" s="1"/>
  <c r="S39" i="76"/>
  <c r="S41" i="76" s="1"/>
  <c r="W39" i="98"/>
  <c r="AU51" i="95"/>
  <c r="Y52" i="88"/>
  <c r="AB54" i="63"/>
  <c r="AB53" i="63"/>
  <c r="AB55" i="63"/>
  <c r="AB56" i="63"/>
  <c r="AB47" i="63"/>
  <c r="AB45" i="63"/>
  <c r="AB48" i="63"/>
  <c r="AB50" i="63"/>
  <c r="AB46" i="63"/>
  <c r="AB49" i="63"/>
  <c r="AK59" i="77"/>
  <c r="AK57" i="77"/>
  <c r="AK60" i="77"/>
  <c r="AK58" i="77"/>
  <c r="AK61" i="77"/>
  <c r="AI50" i="98"/>
  <c r="AI54" i="98"/>
  <c r="AI52" i="98"/>
  <c r="AI53" i="98"/>
  <c r="AI51" i="98"/>
  <c r="AI39" i="88"/>
  <c r="AI41" i="88" s="1"/>
  <c r="AR58" i="63"/>
  <c r="AR60" i="63"/>
  <c r="AR59" i="63"/>
  <c r="AR61" i="63"/>
  <c r="AR57" i="63"/>
  <c r="AI43" i="93"/>
  <c r="AP43" i="95"/>
  <c r="D274" i="80"/>
  <c r="J274" i="80"/>
  <c r="L274" i="80" s="1"/>
  <c r="S46" i="88"/>
  <c r="AL43" i="95"/>
  <c r="AM45" i="103"/>
  <c r="AM48" i="88"/>
  <c r="AM47" i="78"/>
  <c r="AM39" i="78" s="1"/>
  <c r="AM41" i="78" s="1"/>
  <c r="AS59" i="63"/>
  <c r="AS60" i="63"/>
  <c r="AS58" i="63"/>
  <c r="AS57" i="63"/>
  <c r="AS61" i="63"/>
  <c r="S39" i="113"/>
  <c r="S41" i="113" s="1"/>
  <c r="H25" i="127"/>
  <c r="H25" i="56"/>
  <c r="V53" i="63"/>
  <c r="V45" i="63"/>
  <c r="V54" i="63"/>
  <c r="V49" i="63"/>
  <c r="V48" i="63"/>
  <c r="V47" i="63"/>
  <c r="V55" i="63"/>
  <c r="V50" i="63"/>
  <c r="V56" i="63"/>
  <c r="V46" i="63"/>
  <c r="AQ46" i="63"/>
  <c r="AQ54" i="63"/>
  <c r="AQ48" i="63"/>
  <c r="AQ56" i="63"/>
  <c r="AQ50" i="63"/>
  <c r="AQ49" i="63"/>
  <c r="AQ47" i="63"/>
  <c r="AQ45" i="63"/>
  <c r="AQ53" i="63"/>
  <c r="AQ55" i="63"/>
  <c r="Y31" i="103"/>
  <c r="Y34" i="88"/>
  <c r="Y36" i="63"/>
  <c r="AN43" i="63"/>
  <c r="N22" i="56"/>
  <c r="G22" i="56"/>
  <c r="M22" i="56"/>
  <c r="O22" i="56"/>
  <c r="G18" i="117"/>
  <c r="AQ43" i="77"/>
  <c r="AH61" i="78"/>
  <c r="AH60" i="78"/>
  <c r="AH59" i="78"/>
  <c r="AH57" i="78"/>
  <c r="AH58" i="78"/>
  <c r="AC54" i="63"/>
  <c r="AC49" i="63"/>
  <c r="AC48" i="63"/>
  <c r="AC56" i="63"/>
  <c r="AC55" i="63"/>
  <c r="AC53" i="63"/>
  <c r="AC46" i="63"/>
  <c r="AC45" i="63"/>
  <c r="AC47" i="63"/>
  <c r="AC50" i="63"/>
  <c r="AI43" i="78"/>
  <c r="S39" i="95"/>
  <c r="S41" i="95" s="1"/>
  <c r="W37" i="88"/>
  <c r="AI62" i="113"/>
  <c r="H26" i="111" s="1"/>
  <c r="H21" i="127"/>
  <c r="H21" i="56"/>
  <c r="AK62" i="95"/>
  <c r="AH52" i="98"/>
  <c r="AH54" i="98"/>
  <c r="AH51" i="98"/>
  <c r="AH53" i="98"/>
  <c r="AH50" i="98"/>
  <c r="AL43" i="113"/>
  <c r="AL45" i="88"/>
  <c r="AL39" i="88" s="1"/>
  <c r="AL41" i="88" s="1"/>
  <c r="AL42" i="103"/>
  <c r="AL36" i="103" s="1"/>
  <c r="AL38" i="103" s="1"/>
  <c r="AL39" i="93"/>
  <c r="AL41" i="93" s="1"/>
  <c r="AL43" i="63"/>
  <c r="AH60" i="76"/>
  <c r="AH59" i="76"/>
  <c r="AH61" i="76"/>
  <c r="AH58" i="76"/>
  <c r="AH57" i="76"/>
  <c r="AP59" i="78"/>
  <c r="AP60" i="78"/>
  <c r="AP58" i="78"/>
  <c r="AP61" i="78"/>
  <c r="AP57" i="78"/>
  <c r="D163" i="80"/>
  <c r="N9" i="117"/>
  <c r="F65" i="88"/>
  <c r="X53" i="98"/>
  <c r="X51" i="98"/>
  <c r="X52" i="98"/>
  <c r="X50" i="98"/>
  <c r="X54" i="98"/>
  <c r="AK43" i="78"/>
  <c r="W34" i="103"/>
  <c r="AK39" i="88"/>
  <c r="AK41" i="88" s="1"/>
  <c r="H10" i="117"/>
  <c r="AI57" i="77"/>
  <c r="AI58" i="77"/>
  <c r="AI59" i="77"/>
  <c r="AI61" i="77"/>
  <c r="AI60" i="77"/>
  <c r="AN42" i="103"/>
  <c r="AN36" i="103" s="1"/>
  <c r="AN38" i="103" s="1"/>
  <c r="AN45" i="88"/>
  <c r="AN39" i="88" s="1"/>
  <c r="AN41" i="88" s="1"/>
  <c r="AN39" i="93"/>
  <c r="AN41" i="93" s="1"/>
  <c r="T47" i="63"/>
  <c r="T55" i="63"/>
  <c r="T53" i="63"/>
  <c r="T56" i="63"/>
  <c r="T45" i="63"/>
  <c r="T46" i="63"/>
  <c r="T49" i="63"/>
  <c r="T50" i="63"/>
  <c r="T48" i="63"/>
  <c r="T54" i="63"/>
  <c r="AS60" i="76"/>
  <c r="AS59" i="76"/>
  <c r="AS58" i="76"/>
  <c r="AS57" i="76"/>
  <c r="AS61" i="76"/>
  <c r="X37" i="63"/>
  <c r="W50" i="63"/>
  <c r="W54" i="63"/>
  <c r="W49" i="63"/>
  <c r="W45" i="63"/>
  <c r="W55" i="63"/>
  <c r="W48" i="63"/>
  <c r="W47" i="63"/>
  <c r="W53" i="63"/>
  <c r="W46" i="63"/>
  <c r="W56" i="63"/>
  <c r="AI62" i="95"/>
  <c r="H26" i="58" s="1"/>
  <c r="AU39" i="115"/>
  <c r="AU41" i="115" s="1"/>
  <c r="AU43" i="115" s="1"/>
  <c r="AI62" i="63"/>
  <c r="Y59" i="115"/>
  <c r="Y60" i="115"/>
  <c r="Y58" i="115"/>
  <c r="Y61" i="115"/>
  <c r="Y57" i="115"/>
  <c r="S42" i="103"/>
  <c r="S45" i="88"/>
  <c r="AM51" i="103"/>
  <c r="AM57" i="88"/>
  <c r="AP43" i="76"/>
  <c r="Y53" i="95"/>
  <c r="AU53" i="95" s="1"/>
  <c r="Y54" i="95"/>
  <c r="AU54" i="95" s="1"/>
  <c r="Y55" i="95"/>
  <c r="AU55" i="95" s="1"/>
  <c r="Y48" i="95"/>
  <c r="Y46" i="93" s="1"/>
  <c r="Y56" i="95"/>
  <c r="AU56" i="95" s="1"/>
  <c r="B138" i="80" s="1"/>
  <c r="AM55" i="88"/>
  <c r="AM49" i="103"/>
  <c r="S43" i="63"/>
  <c r="U48" i="63"/>
  <c r="U50" i="63"/>
  <c r="U53" i="63"/>
  <c r="U56" i="63"/>
  <c r="U54" i="63"/>
  <c r="U55" i="63"/>
  <c r="U49" i="63"/>
  <c r="U45" i="63"/>
  <c r="U46" i="63"/>
  <c r="U47" i="63"/>
  <c r="G21" i="117"/>
  <c r="AK60" i="93"/>
  <c r="AK57" i="93"/>
  <c r="AK59" i="93"/>
  <c r="AK61" i="93"/>
  <c r="AK58" i="93"/>
  <c r="AJ43" i="78"/>
  <c r="S45" i="103"/>
  <c r="AL43" i="76"/>
  <c r="AG55" i="98"/>
  <c r="AM47" i="103"/>
  <c r="AM50" i="88"/>
  <c r="AM49" i="77"/>
  <c r="AM39" i="77" s="1"/>
  <c r="AM41" i="77" s="1"/>
  <c r="AP43" i="63"/>
  <c r="G25" i="111"/>
  <c r="M25" i="111"/>
  <c r="S48" i="88"/>
  <c r="AL43" i="77"/>
  <c r="AB62" i="115"/>
  <c r="H19" i="117" s="1"/>
  <c r="AM48" i="93"/>
  <c r="AM46" i="103"/>
  <c r="AM49" i="88"/>
  <c r="X43" i="115"/>
  <c r="T37" i="88"/>
  <c r="AM45" i="76"/>
  <c r="AM39" i="76" s="1"/>
  <c r="AM41" i="76" s="1"/>
  <c r="AM43" i="103"/>
  <c r="AM46" i="88"/>
  <c r="AM39" i="63"/>
  <c r="AM41" i="63" s="1"/>
  <c r="W50" i="95"/>
  <c r="X52" i="88"/>
  <c r="AU51" i="93"/>
  <c r="AN43" i="76"/>
  <c r="G14" i="117"/>
  <c r="AK50" i="98"/>
  <c r="AK51" i="98"/>
  <c r="AK53" i="98"/>
  <c r="AK54" i="98"/>
  <c r="AK52" i="98"/>
  <c r="AA45" i="63"/>
  <c r="AA48" i="63"/>
  <c r="AA49" i="63"/>
  <c r="AA55" i="63"/>
  <c r="AA47" i="63"/>
  <c r="AA53" i="63"/>
  <c r="AA50" i="63"/>
  <c r="AA54" i="63"/>
  <c r="AA56" i="63"/>
  <c r="AA46" i="63"/>
  <c r="AN43" i="113"/>
  <c r="X55" i="93"/>
  <c r="AU55" i="93" s="1"/>
  <c r="X53" i="93"/>
  <c r="AU53" i="93" s="1"/>
  <c r="X46" i="93"/>
  <c r="X56" i="93"/>
  <c r="AU56" i="93" s="1"/>
  <c r="B206" i="80" s="1"/>
  <c r="X54" i="93"/>
  <c r="AU54" i="93" s="1"/>
  <c r="AP43" i="113"/>
  <c r="AM55" i="98"/>
  <c r="AM51" i="88"/>
  <c r="AM47" i="113"/>
  <c r="AM39" i="113" s="1"/>
  <c r="AM41" i="113" s="1"/>
  <c r="W50" i="93"/>
  <c r="AN43" i="77"/>
  <c r="M26" i="57" l="1"/>
  <c r="AH62" i="76"/>
  <c r="H25" i="57" s="1"/>
  <c r="M25" i="57" s="1"/>
  <c r="AJ62" i="63"/>
  <c r="AV52" i="88"/>
  <c r="Y62" i="115"/>
  <c r="H16" i="117" s="1"/>
  <c r="G16" i="117" s="1"/>
  <c r="AJ62" i="95"/>
  <c r="AH55" i="98"/>
  <c r="AJ57" i="93"/>
  <c r="AJ61" i="93"/>
  <c r="AJ58" i="93"/>
  <c r="AJ59" i="93"/>
  <c r="AJ60" i="93"/>
  <c r="AK62" i="113"/>
  <c r="AK62" i="76"/>
  <c r="AJ62" i="113"/>
  <c r="AJ62" i="76"/>
  <c r="AK62" i="63"/>
  <c r="AJ62" i="77"/>
  <c r="AL40" i="103"/>
  <c r="AN40" i="103"/>
  <c r="AL43" i="88"/>
  <c r="J138" i="80"/>
  <c r="L138" i="80" s="1"/>
  <c r="D138" i="80"/>
  <c r="AP60" i="63"/>
  <c r="AP58" i="63"/>
  <c r="AP59" i="63"/>
  <c r="AP61" i="63"/>
  <c r="AP57" i="63"/>
  <c r="U47" i="88"/>
  <c r="U45" i="95"/>
  <c r="U39" i="95" s="1"/>
  <c r="U41" i="95" s="1"/>
  <c r="U44" i="103"/>
  <c r="AN58" i="77"/>
  <c r="AN59" i="77"/>
  <c r="AN60" i="77"/>
  <c r="AN57" i="77"/>
  <c r="AN61" i="77"/>
  <c r="AU46" i="93"/>
  <c r="AA45" i="76"/>
  <c r="AA39" i="76" s="1"/>
  <c r="AA41" i="76" s="1"/>
  <c r="AA46" i="88"/>
  <c r="AA43" i="103"/>
  <c r="AA39" i="63"/>
  <c r="AA41" i="63" s="1"/>
  <c r="W45" i="95"/>
  <c r="W39" i="95" s="1"/>
  <c r="W41" i="95" s="1"/>
  <c r="W47" i="88"/>
  <c r="W44" i="103"/>
  <c r="AS62" i="76"/>
  <c r="X55" i="98"/>
  <c r="AI58" i="78"/>
  <c r="AI59" i="78"/>
  <c r="AI60" i="78"/>
  <c r="AI61" i="78"/>
  <c r="AI57" i="78"/>
  <c r="AQ45" i="95"/>
  <c r="G25" i="56"/>
  <c r="M25" i="56"/>
  <c r="N25" i="56"/>
  <c r="O25" i="56"/>
  <c r="AP43" i="93"/>
  <c r="S39" i="88"/>
  <c r="W54" i="88"/>
  <c r="W48" i="103"/>
  <c r="AN43" i="93"/>
  <c r="AL58" i="63"/>
  <c r="AL59" i="63"/>
  <c r="AL60" i="63"/>
  <c r="AL57" i="63"/>
  <c r="AL61" i="63"/>
  <c r="AC47" i="113"/>
  <c r="AC56" i="113" s="1"/>
  <c r="V47" i="88"/>
  <c r="V45" i="95"/>
  <c r="V39" i="95" s="1"/>
  <c r="V41" i="95" s="1"/>
  <c r="V44" i="103"/>
  <c r="AD46" i="95"/>
  <c r="AD39" i="76"/>
  <c r="AD41" i="76" s="1"/>
  <c r="BD52" i="88"/>
  <c r="AU52" i="88"/>
  <c r="X58" i="115"/>
  <c r="AU58" i="115" s="1"/>
  <c r="B261" i="80" s="1"/>
  <c r="X57" i="115"/>
  <c r="X61" i="115"/>
  <c r="AU61" i="115" s="1"/>
  <c r="X59" i="115"/>
  <c r="AU59" i="115" s="1"/>
  <c r="B262" i="80" s="1"/>
  <c r="X60" i="115"/>
  <c r="AU60" i="115" s="1"/>
  <c r="B263" i="80" s="1"/>
  <c r="AL60" i="76"/>
  <c r="AL61" i="76"/>
  <c r="AL57" i="76"/>
  <c r="AL59" i="76"/>
  <c r="AL58" i="76"/>
  <c r="U48" i="88"/>
  <c r="U45" i="103"/>
  <c r="U47" i="78"/>
  <c r="U39" i="78" s="1"/>
  <c r="U41" i="78" s="1"/>
  <c r="S36" i="103"/>
  <c r="S38" i="103" s="1"/>
  <c r="W47" i="78"/>
  <c r="W48" i="88"/>
  <c r="W45" i="103"/>
  <c r="AP62" i="78"/>
  <c r="AL43" i="93"/>
  <c r="AC47" i="78"/>
  <c r="Y37" i="63"/>
  <c r="V51" i="103"/>
  <c r="V57" i="88"/>
  <c r="O25" i="127"/>
  <c r="M25" i="127"/>
  <c r="G25" i="127"/>
  <c r="N25" i="127"/>
  <c r="AL58" i="95"/>
  <c r="AL59" i="95"/>
  <c r="AL61" i="95"/>
  <c r="AL60" i="95"/>
  <c r="AL57" i="95"/>
  <c r="AB49" i="77"/>
  <c r="W54" i="98"/>
  <c r="W53" i="98"/>
  <c r="W51" i="98"/>
  <c r="W52" i="98"/>
  <c r="W50" i="98"/>
  <c r="AD45" i="93"/>
  <c r="AQ60" i="77"/>
  <c r="AQ59" i="77"/>
  <c r="AQ58" i="77"/>
  <c r="AQ57" i="77"/>
  <c r="AQ61" i="77"/>
  <c r="S43" i="113"/>
  <c r="U43" i="103"/>
  <c r="U46" i="88"/>
  <c r="U45" i="76"/>
  <c r="U39" i="76" s="1"/>
  <c r="U41" i="76" s="1"/>
  <c r="U39" i="63"/>
  <c r="U41" i="63" s="1"/>
  <c r="T55" i="88"/>
  <c r="T49" i="103"/>
  <c r="V50" i="103"/>
  <c r="V56" i="88"/>
  <c r="AL57" i="78"/>
  <c r="AL59" i="78"/>
  <c r="AL61" i="78"/>
  <c r="AL60" i="78"/>
  <c r="AL58" i="78"/>
  <c r="AJ61" i="78"/>
  <c r="AJ57" i="78"/>
  <c r="AJ58" i="78"/>
  <c r="AJ60" i="78"/>
  <c r="AJ59" i="78"/>
  <c r="U50" i="88"/>
  <c r="U47" i="103"/>
  <c r="U49" i="77"/>
  <c r="U39" i="77" s="1"/>
  <c r="U41" i="77" s="1"/>
  <c r="W46" i="88"/>
  <c r="W45" i="76"/>
  <c r="W39" i="76" s="1"/>
  <c r="W41" i="76" s="1"/>
  <c r="W43" i="103"/>
  <c r="W39" i="63"/>
  <c r="W41" i="63" s="1"/>
  <c r="AB48" i="93"/>
  <c r="AM43" i="63"/>
  <c r="AM39" i="93"/>
  <c r="AM41" i="93" s="1"/>
  <c r="AM42" i="103"/>
  <c r="AM36" i="103" s="1"/>
  <c r="AM38" i="103" s="1"/>
  <c r="AM45" i="88"/>
  <c r="AM39" i="88" s="1"/>
  <c r="AM41" i="88" s="1"/>
  <c r="AB45" i="76"/>
  <c r="AB43" i="103"/>
  <c r="AB46" i="88"/>
  <c r="AB39" i="63"/>
  <c r="AB41" i="63" s="1"/>
  <c r="Z55" i="98"/>
  <c r="AQ45" i="76"/>
  <c r="AQ39" i="76" s="1"/>
  <c r="AQ41" i="76" s="1"/>
  <c r="AQ43" i="103"/>
  <c r="AQ46" i="88"/>
  <c r="AQ39" i="63"/>
  <c r="AQ41" i="63" s="1"/>
  <c r="AA47" i="113"/>
  <c r="AA56" i="113" s="1"/>
  <c r="AM43" i="77"/>
  <c r="H26" i="127"/>
  <c r="H26" i="56"/>
  <c r="V55" i="88"/>
  <c r="V49" i="103"/>
  <c r="AC49" i="77"/>
  <c r="U51" i="88"/>
  <c r="U47" i="113"/>
  <c r="U39" i="113" s="1"/>
  <c r="U41" i="113" s="1"/>
  <c r="AP59" i="76"/>
  <c r="AP58" i="76"/>
  <c r="AP60" i="76"/>
  <c r="AP57" i="76"/>
  <c r="AP61" i="76"/>
  <c r="X47" i="63"/>
  <c r="X45" i="63"/>
  <c r="X48" i="63"/>
  <c r="X49" i="63"/>
  <c r="X54" i="63"/>
  <c r="X50" i="63"/>
  <c r="X56" i="63"/>
  <c r="X53" i="63"/>
  <c r="X55" i="63"/>
  <c r="X46" i="63"/>
  <c r="T51" i="103"/>
  <c r="T57" i="88"/>
  <c r="AK58" i="78"/>
  <c r="AK59" i="88" s="1"/>
  <c r="AK57" i="78"/>
  <c r="AK52" i="103" s="1"/>
  <c r="AK60" i="78"/>
  <c r="AK61" i="88" s="1"/>
  <c r="AK59" i="78"/>
  <c r="AK60" i="88" s="1"/>
  <c r="AK61" i="78"/>
  <c r="AK56" i="103" s="1"/>
  <c r="AQ47" i="113"/>
  <c r="AQ39" i="113" s="1"/>
  <c r="AQ41" i="113" s="1"/>
  <c r="AQ51" i="88"/>
  <c r="V48" i="103"/>
  <c r="V54" i="88"/>
  <c r="AI58" i="93"/>
  <c r="AI61" i="93"/>
  <c r="AI59" i="93"/>
  <c r="AI57" i="93"/>
  <c r="AI60" i="93"/>
  <c r="AB45" i="95"/>
  <c r="M21" i="56"/>
  <c r="G21" i="56"/>
  <c r="O21" i="56"/>
  <c r="N21" i="56"/>
  <c r="AM43" i="95"/>
  <c r="AA45" i="95"/>
  <c r="T46" i="103"/>
  <c r="T49" i="88"/>
  <c r="T48" i="93"/>
  <c r="W49" i="77"/>
  <c r="W39" i="77" s="1"/>
  <c r="W41" i="77" s="1"/>
  <c r="W47" i="103"/>
  <c r="W50" i="88"/>
  <c r="G26" i="111"/>
  <c r="M26" i="111"/>
  <c r="S61" i="78"/>
  <c r="S57" i="78"/>
  <c r="S59" i="78"/>
  <c r="S58" i="78"/>
  <c r="S60" i="78"/>
  <c r="U55" i="88"/>
  <c r="U49" i="103"/>
  <c r="T50" i="88"/>
  <c r="T49" i="77"/>
  <c r="T47" i="103"/>
  <c r="V49" i="77"/>
  <c r="V39" i="77" s="1"/>
  <c r="V41" i="77" s="1"/>
  <c r="V47" i="103"/>
  <c r="V50" i="88"/>
  <c r="AI62" i="77"/>
  <c r="H26" i="59" s="1"/>
  <c r="AI55" i="98"/>
  <c r="AM43" i="76"/>
  <c r="AK62" i="93"/>
  <c r="T46" i="88"/>
  <c r="T45" i="76"/>
  <c r="T43" i="103"/>
  <c r="T39" i="63"/>
  <c r="T41" i="63" s="1"/>
  <c r="AA47" i="78"/>
  <c r="AP58" i="113"/>
  <c r="AP60" i="113"/>
  <c r="AP59" i="113"/>
  <c r="AP61" i="113"/>
  <c r="AP57" i="113"/>
  <c r="U46" i="103"/>
  <c r="U49" i="88"/>
  <c r="U48" i="93"/>
  <c r="T54" i="88"/>
  <c r="T48" i="103"/>
  <c r="G10" i="117"/>
  <c r="AU48" i="95"/>
  <c r="B132" i="80" s="1"/>
  <c r="AR62" i="63"/>
  <c r="Y52" i="98"/>
  <c r="Y50" i="98"/>
  <c r="Y54" i="98"/>
  <c r="Y51" i="98"/>
  <c r="Y53" i="98"/>
  <c r="S43" i="77"/>
  <c r="AC45" i="76"/>
  <c r="AC39" i="76" s="1"/>
  <c r="AC41" i="76" s="1"/>
  <c r="AC43" i="103"/>
  <c r="AC46" i="88"/>
  <c r="AC39" i="63"/>
  <c r="AC41" i="63" s="1"/>
  <c r="V51" i="88"/>
  <c r="V47" i="113"/>
  <c r="V39" i="113" s="1"/>
  <c r="V41" i="113" s="1"/>
  <c r="AI43" i="88"/>
  <c r="S43" i="76"/>
  <c r="AC45" i="95"/>
  <c r="Y33" i="103"/>
  <c r="Y34" i="103" s="1"/>
  <c r="AK55" i="98"/>
  <c r="AS62" i="63"/>
  <c r="G19" i="117"/>
  <c r="U57" i="88"/>
  <c r="U51" i="103"/>
  <c r="T47" i="88"/>
  <c r="T44" i="103"/>
  <c r="T45" i="95"/>
  <c r="AC48" i="93"/>
  <c r="I248" i="80"/>
  <c r="J248" i="80"/>
  <c r="L248" i="80" s="1"/>
  <c r="U54" i="88"/>
  <c r="U48" i="103"/>
  <c r="S43" i="95"/>
  <c r="AR49" i="77"/>
  <c r="V43" i="103"/>
  <c r="V46" i="88"/>
  <c r="V45" i="76"/>
  <c r="V39" i="76" s="1"/>
  <c r="V41" i="76" s="1"/>
  <c r="V39" i="63"/>
  <c r="V41" i="63" s="1"/>
  <c r="AN60" i="95"/>
  <c r="AN61" i="95"/>
  <c r="AN57" i="95"/>
  <c r="AN59" i="95"/>
  <c r="AN58" i="95"/>
  <c r="AN43" i="88"/>
  <c r="AL57" i="77"/>
  <c r="AL58" i="77"/>
  <c r="AL61" i="77"/>
  <c r="AL59" i="77"/>
  <c r="AL60" i="77"/>
  <c r="AA49" i="77"/>
  <c r="M26" i="58"/>
  <c r="G26" i="58"/>
  <c r="T56" i="88"/>
  <c r="T50" i="103"/>
  <c r="AH62" i="78"/>
  <c r="H25" i="60" s="1"/>
  <c r="AQ48" i="93"/>
  <c r="AM43" i="78"/>
  <c r="AK62" i="77"/>
  <c r="Z37" i="63"/>
  <c r="AM43" i="113"/>
  <c r="W48" i="93"/>
  <c r="W46" i="103"/>
  <c r="W49" i="88"/>
  <c r="Y36" i="88"/>
  <c r="AN57" i="113"/>
  <c r="AN58" i="113"/>
  <c r="AN61" i="113"/>
  <c r="AN59" i="113"/>
  <c r="AN60" i="113"/>
  <c r="W50" i="103"/>
  <c r="W56" i="88"/>
  <c r="AB47" i="113"/>
  <c r="AB56" i="113" s="1"/>
  <c r="N21" i="127"/>
  <c r="O21" i="127"/>
  <c r="G21" i="127"/>
  <c r="M21" i="127"/>
  <c r="V47" i="78"/>
  <c r="V39" i="78" s="1"/>
  <c r="V41" i="78" s="1"/>
  <c r="V45" i="103"/>
  <c r="V48" i="88"/>
  <c r="S43" i="93"/>
  <c r="U50" i="103"/>
  <c r="U56" i="88"/>
  <c r="T51" i="88"/>
  <c r="T47" i="113"/>
  <c r="AL57" i="113"/>
  <c r="AL58" i="113"/>
  <c r="AL60" i="113"/>
  <c r="AL59" i="113"/>
  <c r="AL61" i="113"/>
  <c r="V46" i="103"/>
  <c r="V49" i="88"/>
  <c r="V48" i="93"/>
  <c r="AB47" i="78"/>
  <c r="W47" i="113"/>
  <c r="W51" i="88"/>
  <c r="AQ47" i="78"/>
  <c r="AP60" i="95"/>
  <c r="AP58" i="95"/>
  <c r="AP57" i="95"/>
  <c r="AP61" i="95"/>
  <c r="AP59" i="95"/>
  <c r="G17" i="117"/>
  <c r="D206" i="80"/>
  <c r="J206" i="80"/>
  <c r="L206" i="80" s="1"/>
  <c r="AA48" i="93"/>
  <c r="AN61" i="76"/>
  <c r="AN59" i="76"/>
  <c r="AN60" i="76"/>
  <c r="AN57" i="76"/>
  <c r="AN58" i="76"/>
  <c r="S60" i="63"/>
  <c r="S58" i="63"/>
  <c r="S59" i="63"/>
  <c r="S61" i="63"/>
  <c r="S57" i="63"/>
  <c r="W51" i="103"/>
  <c r="W57" i="88"/>
  <c r="T45" i="103"/>
  <c r="T47" i="78"/>
  <c r="T48" i="88"/>
  <c r="AK43" i="88"/>
  <c r="AN60" i="63"/>
  <c r="AN57" i="63"/>
  <c r="AN59" i="63"/>
  <c r="AN61" i="63"/>
  <c r="AN58" i="63"/>
  <c r="AI40" i="103"/>
  <c r="AN59" i="78"/>
  <c r="AN60" i="78"/>
  <c r="AN58" i="78"/>
  <c r="AN57" i="78"/>
  <c r="AN61" i="78"/>
  <c r="G25" i="57" l="1"/>
  <c r="B264" i="80"/>
  <c r="AK54" i="103"/>
  <c r="AK58" i="88"/>
  <c r="AK62" i="88"/>
  <c r="AJ62" i="93"/>
  <c r="AP62" i="95"/>
  <c r="AK55" i="103"/>
  <c r="AN62" i="95"/>
  <c r="AK63" i="88"/>
  <c r="AP62" i="113"/>
  <c r="AM61" i="95"/>
  <c r="AM57" i="95"/>
  <c r="AM58" i="95"/>
  <c r="AM60" i="95"/>
  <c r="AM59" i="95"/>
  <c r="AM57" i="113"/>
  <c r="AM61" i="113"/>
  <c r="AM59" i="113"/>
  <c r="AM60" i="113"/>
  <c r="AM58" i="113"/>
  <c r="T43" i="63"/>
  <c r="S62" i="78"/>
  <c r="AI52" i="103"/>
  <c r="AI62" i="93"/>
  <c r="H26" i="92" s="1"/>
  <c r="AI58" i="88"/>
  <c r="AQ43" i="76"/>
  <c r="AL57" i="93"/>
  <c r="AL52" i="103" s="1"/>
  <c r="AL61" i="93"/>
  <c r="AL56" i="103" s="1"/>
  <c r="AL58" i="93"/>
  <c r="AL53" i="103" s="1"/>
  <c r="AL60" i="93"/>
  <c r="AL61" i="88" s="1"/>
  <c r="AL59" i="93"/>
  <c r="AL60" i="88" s="1"/>
  <c r="AN62" i="113"/>
  <c r="M26" i="59"/>
  <c r="G26" i="59"/>
  <c r="AI60" i="88"/>
  <c r="AI54" i="103"/>
  <c r="AP62" i="76"/>
  <c r="AB42" i="103"/>
  <c r="AB45" i="88"/>
  <c r="AJ54" i="103"/>
  <c r="AJ60" i="88"/>
  <c r="D263" i="80"/>
  <c r="J263" i="80"/>
  <c r="L263" i="80" s="1"/>
  <c r="S41" i="88"/>
  <c r="AA43" i="76"/>
  <c r="T39" i="78"/>
  <c r="T41" i="78" s="1"/>
  <c r="V43" i="78"/>
  <c r="Z54" i="63"/>
  <c r="Z49" i="63"/>
  <c r="Z46" i="63"/>
  <c r="Z56" i="63"/>
  <c r="Z50" i="63"/>
  <c r="Z48" i="63"/>
  <c r="Z53" i="63"/>
  <c r="Z47" i="63"/>
  <c r="Z55" i="63"/>
  <c r="Z45" i="63"/>
  <c r="S60" i="95"/>
  <c r="S61" i="95"/>
  <c r="S57" i="95"/>
  <c r="S58" i="95"/>
  <c r="S59" i="95"/>
  <c r="S58" i="77"/>
  <c r="S60" i="77"/>
  <c r="S57" i="77"/>
  <c r="S59" i="77"/>
  <c r="S61" i="77"/>
  <c r="AI56" i="103"/>
  <c r="AI62" i="88"/>
  <c r="AB43" i="63"/>
  <c r="AJ61" i="88"/>
  <c r="AJ55" i="103"/>
  <c r="U43" i="63"/>
  <c r="AD46" i="88"/>
  <c r="AD43" i="103"/>
  <c r="J262" i="80"/>
  <c r="L262" i="80" s="1"/>
  <c r="D262" i="80"/>
  <c r="V43" i="95"/>
  <c r="AI62" i="78"/>
  <c r="D132" i="80"/>
  <c r="J132" i="80"/>
  <c r="L132" i="80" s="1"/>
  <c r="T39" i="76"/>
  <c r="T41" i="76" s="1"/>
  <c r="AI59" i="88"/>
  <c r="AI53" i="103"/>
  <c r="AL62" i="113"/>
  <c r="M26" i="56"/>
  <c r="O26" i="56"/>
  <c r="G26" i="56"/>
  <c r="N26" i="56"/>
  <c r="U43" i="113"/>
  <c r="AJ56" i="103"/>
  <c r="AJ62" i="88"/>
  <c r="Y55" i="98"/>
  <c r="AN62" i="78"/>
  <c r="V43" i="113"/>
  <c r="AK53" i="103"/>
  <c r="S59" i="113"/>
  <c r="S60" i="113"/>
  <c r="S61" i="113"/>
  <c r="S57" i="113"/>
  <c r="S58" i="113"/>
  <c r="V45" i="88"/>
  <c r="V39" i="88" s="1"/>
  <c r="V41" i="88" s="1"/>
  <c r="V42" i="103"/>
  <c r="V36" i="103" s="1"/>
  <c r="V38" i="103" s="1"/>
  <c r="V39" i="93"/>
  <c r="V41" i="93" s="1"/>
  <c r="AM57" i="76"/>
  <c r="AM61" i="76"/>
  <c r="AM58" i="76"/>
  <c r="AM59" i="76"/>
  <c r="AM60" i="76"/>
  <c r="AD43" i="76"/>
  <c r="AN62" i="63"/>
  <c r="T42" i="103"/>
  <c r="T45" i="88"/>
  <c r="T39" i="93"/>
  <c r="T41" i="93" s="1"/>
  <c r="X49" i="77"/>
  <c r="X39" i="77" s="1"/>
  <c r="X41" i="77" s="1"/>
  <c r="X47" i="103"/>
  <c r="X50" i="88"/>
  <c r="AM43" i="93"/>
  <c r="W43" i="76"/>
  <c r="AL62" i="78"/>
  <c r="AQ62" i="77"/>
  <c r="U43" i="95"/>
  <c r="AM43" i="88"/>
  <c r="V43" i="77"/>
  <c r="X50" i="103"/>
  <c r="X56" i="88"/>
  <c r="AP60" i="93"/>
  <c r="AP59" i="93"/>
  <c r="AP58" i="93"/>
  <c r="AP57" i="93"/>
  <c r="AP61" i="93"/>
  <c r="T39" i="113"/>
  <c r="T41" i="113" s="1"/>
  <c r="X48" i="103"/>
  <c r="X54" i="88"/>
  <c r="S62" i="63"/>
  <c r="T39" i="77"/>
  <c r="T41" i="77" s="1"/>
  <c r="X47" i="113"/>
  <c r="X51" i="88"/>
  <c r="W43" i="63"/>
  <c r="AC45" i="88"/>
  <c r="AC42" i="103"/>
  <c r="Y49" i="63"/>
  <c r="Y55" i="63"/>
  <c r="Y48" i="63"/>
  <c r="Y45" i="63"/>
  <c r="Y50" i="63"/>
  <c r="Y53" i="63"/>
  <c r="Y56" i="63"/>
  <c r="Y51" i="103" s="1"/>
  <c r="Y54" i="63"/>
  <c r="Y46" i="63"/>
  <c r="Y47" i="63"/>
  <c r="W39" i="93"/>
  <c r="W41" i="93" s="1"/>
  <c r="W45" i="88"/>
  <c r="W42" i="103"/>
  <c r="T39" i="95"/>
  <c r="T41" i="95" s="1"/>
  <c r="U42" i="103"/>
  <c r="U36" i="103" s="1"/>
  <c r="U38" i="103" s="1"/>
  <c r="U45" i="88"/>
  <c r="U39" i="88" s="1"/>
  <c r="U41" i="88" s="1"/>
  <c r="U39" i="93"/>
  <c r="U41" i="93" s="1"/>
  <c r="X48" i="93"/>
  <c r="X49" i="88"/>
  <c r="X46" i="103"/>
  <c r="AQ43" i="63"/>
  <c r="AL62" i="95"/>
  <c r="W43" i="95"/>
  <c r="U43" i="76"/>
  <c r="X45" i="95"/>
  <c r="X39" i="95" s="1"/>
  <c r="X41" i="95" s="1"/>
  <c r="X44" i="103"/>
  <c r="X47" i="88"/>
  <c r="AJ58" i="88"/>
  <c r="AJ52" i="103"/>
  <c r="AJ62" i="78"/>
  <c r="AU57" i="115"/>
  <c r="B260" i="80" s="1"/>
  <c r="X62" i="115"/>
  <c r="O26" i="127"/>
  <c r="N26" i="127"/>
  <c r="M26" i="127"/>
  <c r="G26" i="127"/>
  <c r="D261" i="80"/>
  <c r="AN62" i="77"/>
  <c r="X51" i="103"/>
  <c r="X57" i="88"/>
  <c r="AM60" i="77"/>
  <c r="AM58" i="77"/>
  <c r="AM61" i="77"/>
  <c r="AM59" i="77"/>
  <c r="AM57" i="77"/>
  <c r="U43" i="78"/>
  <c r="Y37" i="88"/>
  <c r="V43" i="63"/>
  <c r="AM58" i="78"/>
  <c r="AM59" i="78"/>
  <c r="AM61" i="78"/>
  <c r="AM57" i="78"/>
  <c r="AM60" i="78"/>
  <c r="AC43" i="63"/>
  <c r="AQ45" i="88"/>
  <c r="AQ42" i="103"/>
  <c r="AL62" i="77"/>
  <c r="AC43" i="76"/>
  <c r="X45" i="76"/>
  <c r="X39" i="76" s="1"/>
  <c r="X41" i="76" s="1"/>
  <c r="X46" i="88"/>
  <c r="X43" i="103"/>
  <c r="X39" i="63"/>
  <c r="X41" i="63" s="1"/>
  <c r="AM57" i="63"/>
  <c r="AM58" i="63"/>
  <c r="AM59" i="63"/>
  <c r="AM60" i="63"/>
  <c r="AM61" i="63"/>
  <c r="U43" i="77"/>
  <c r="AL62" i="76"/>
  <c r="AN59" i="93"/>
  <c r="AN54" i="103" s="1"/>
  <c r="AN61" i="93"/>
  <c r="AN56" i="103" s="1"/>
  <c r="AN57" i="93"/>
  <c r="AN52" i="103" s="1"/>
  <c r="AN58" i="93"/>
  <c r="AN59" i="88" s="1"/>
  <c r="AN60" i="93"/>
  <c r="AN55" i="103" s="1"/>
  <c r="AA43" i="63"/>
  <c r="AP62" i="63"/>
  <c r="AJ59" i="88"/>
  <c r="AJ53" i="103"/>
  <c r="W55" i="98"/>
  <c r="D264" i="80"/>
  <c r="B198" i="80"/>
  <c r="B184" i="80"/>
  <c r="S61" i="76"/>
  <c r="S60" i="76"/>
  <c r="S57" i="76"/>
  <c r="S58" i="76"/>
  <c r="S59" i="76"/>
  <c r="AA45" i="88"/>
  <c r="AA42" i="103"/>
  <c r="S40" i="103"/>
  <c r="W43" i="77"/>
  <c r="AQ43" i="113"/>
  <c r="AL62" i="63"/>
  <c r="AM40" i="103"/>
  <c r="V43" i="76"/>
  <c r="AN62" i="76"/>
  <c r="S60" i="93"/>
  <c r="S61" i="93"/>
  <c r="S57" i="93"/>
  <c r="S58" i="93"/>
  <c r="S59" i="93"/>
  <c r="M25" i="60"/>
  <c r="G25" i="60"/>
  <c r="AR42" i="103"/>
  <c r="AR45" i="88"/>
  <c r="AI55" i="103"/>
  <c r="AI61" i="88"/>
  <c r="AK62" i="78"/>
  <c r="AK64" i="88" s="1"/>
  <c r="X47" i="78"/>
  <c r="X45" i="103"/>
  <c r="X48" i="88"/>
  <c r="AJ64" i="88" l="1"/>
  <c r="AK57" i="103"/>
  <c r="AN60" i="88"/>
  <c r="AI64" i="88"/>
  <c r="AL58" i="88"/>
  <c r="S52" i="103"/>
  <c r="AN62" i="88"/>
  <c r="S56" i="103"/>
  <c r="AN58" i="88"/>
  <c r="AL54" i="103"/>
  <c r="AI58" i="103"/>
  <c r="AK65" i="88"/>
  <c r="AL59" i="88"/>
  <c r="AM62" i="77"/>
  <c r="S62" i="88"/>
  <c r="AM62" i="76"/>
  <c r="AL62" i="88"/>
  <c r="AN61" i="88"/>
  <c r="AM62" i="113"/>
  <c r="AJ63" i="88"/>
  <c r="S61" i="88"/>
  <c r="AL55" i="103"/>
  <c r="V59" i="77"/>
  <c r="V58" i="77"/>
  <c r="V61" i="77"/>
  <c r="V60" i="77"/>
  <c r="V57" i="77"/>
  <c r="Z48" i="93"/>
  <c r="Z49" i="88"/>
  <c r="Z46" i="103"/>
  <c r="D260" i="80"/>
  <c r="M330" i="80" s="1"/>
  <c r="AQ59" i="63"/>
  <c r="AQ58" i="63"/>
  <c r="AQ60" i="63"/>
  <c r="AQ61" i="63"/>
  <c r="AQ57" i="63"/>
  <c r="Y46" i="103"/>
  <c r="Y48" i="93"/>
  <c r="Y49" i="88"/>
  <c r="H10" i="127"/>
  <c r="H10" i="56"/>
  <c r="S59" i="88"/>
  <c r="Z45" i="76"/>
  <c r="Z39" i="76" s="1"/>
  <c r="Z41" i="76" s="1"/>
  <c r="Z46" i="88"/>
  <c r="Z43" i="103"/>
  <c r="Z39" i="63"/>
  <c r="Z41" i="63" s="1"/>
  <c r="S62" i="93"/>
  <c r="AJ58" i="103"/>
  <c r="W43" i="93"/>
  <c r="Y50" i="103"/>
  <c r="Y56" i="88"/>
  <c r="AM60" i="93"/>
  <c r="AM61" i="88" s="1"/>
  <c r="AM57" i="93"/>
  <c r="AM58" i="88" s="1"/>
  <c r="AM59" i="93"/>
  <c r="AM54" i="103" s="1"/>
  <c r="AM58" i="93"/>
  <c r="AM59" i="88" s="1"/>
  <c r="AM61" i="93"/>
  <c r="AM62" i="88" s="1"/>
  <c r="V43" i="93"/>
  <c r="Z50" i="103"/>
  <c r="Z56" i="88"/>
  <c r="U58" i="77"/>
  <c r="U57" i="77"/>
  <c r="U61" i="77"/>
  <c r="U60" i="77"/>
  <c r="U59" i="77"/>
  <c r="AJ57" i="103"/>
  <c r="Y50" i="88"/>
  <c r="Y49" i="77"/>
  <c r="Y39" i="77" s="1"/>
  <c r="Y41" i="77" s="1"/>
  <c r="Y47" i="103"/>
  <c r="S58" i="88"/>
  <c r="V40" i="103"/>
  <c r="Z47" i="78"/>
  <c r="Z48" i="88"/>
  <c r="Z45" i="103"/>
  <c r="AA59" i="76"/>
  <c r="AA61" i="76"/>
  <c r="AA58" i="76"/>
  <c r="AA57" i="76"/>
  <c r="AA60" i="76"/>
  <c r="AQ58" i="76"/>
  <c r="AQ60" i="76"/>
  <c r="AQ59" i="76"/>
  <c r="AQ57" i="76"/>
  <c r="AQ61" i="76"/>
  <c r="AC57" i="76"/>
  <c r="AC61" i="76"/>
  <c r="AC59" i="76"/>
  <c r="AC60" i="76"/>
  <c r="AC58" i="76"/>
  <c r="S55" i="103"/>
  <c r="U59" i="113"/>
  <c r="U57" i="113"/>
  <c r="U61" i="113"/>
  <c r="U58" i="113"/>
  <c r="U60" i="113"/>
  <c r="M26" i="92"/>
  <c r="G26" i="92"/>
  <c r="S43" i="88"/>
  <c r="AM62" i="63"/>
  <c r="U57" i="95"/>
  <c r="U58" i="95"/>
  <c r="U60" i="95"/>
  <c r="U61" i="95"/>
  <c r="U59" i="95"/>
  <c r="Z45" i="95"/>
  <c r="Z39" i="95" s="1"/>
  <c r="Z41" i="95" s="1"/>
  <c r="Z44" i="103"/>
  <c r="Z47" i="88"/>
  <c r="J184" i="80"/>
  <c r="L184" i="80" s="1"/>
  <c r="D184" i="80"/>
  <c r="AP62" i="93"/>
  <c r="AP58" i="103" s="1"/>
  <c r="AC58" i="63"/>
  <c r="AC60" i="63"/>
  <c r="AC59" i="63"/>
  <c r="AC57" i="63"/>
  <c r="AC61" i="63"/>
  <c r="AN53" i="103"/>
  <c r="AN57" i="103" s="1"/>
  <c r="V57" i="63"/>
  <c r="V59" i="63"/>
  <c r="V61" i="63"/>
  <c r="V60" i="63"/>
  <c r="V58" i="63"/>
  <c r="S62" i="77"/>
  <c r="AM62" i="95"/>
  <c r="S60" i="88"/>
  <c r="U57" i="63"/>
  <c r="U59" i="63"/>
  <c r="U60" i="63"/>
  <c r="U58" i="63"/>
  <c r="U61" i="63"/>
  <c r="V60" i="76"/>
  <c r="V59" i="76"/>
  <c r="V57" i="76"/>
  <c r="V58" i="76"/>
  <c r="V61" i="76"/>
  <c r="S62" i="76"/>
  <c r="U61" i="78"/>
  <c r="U58" i="78"/>
  <c r="U59" i="78"/>
  <c r="U57" i="78"/>
  <c r="U60" i="78"/>
  <c r="AD57" i="76"/>
  <c r="AD60" i="76"/>
  <c r="AD59" i="76"/>
  <c r="AD61" i="76"/>
  <c r="AD58" i="76"/>
  <c r="U43" i="88"/>
  <c r="T36" i="103"/>
  <c r="T38" i="103" s="1"/>
  <c r="Z49" i="77"/>
  <c r="Z39" i="77" s="1"/>
  <c r="Z41" i="77" s="1"/>
  <c r="Z50" i="88"/>
  <c r="Z47" i="103"/>
  <c r="X43" i="63"/>
  <c r="V59" i="113"/>
  <c r="V60" i="113"/>
  <c r="V57" i="113"/>
  <c r="V61" i="113"/>
  <c r="V58" i="113"/>
  <c r="H26" i="60"/>
  <c r="S62" i="95"/>
  <c r="J198" i="80"/>
  <c r="L198" i="80" s="1"/>
  <c r="D198" i="80"/>
  <c r="W57" i="77"/>
  <c r="W59" i="77"/>
  <c r="W58" i="77"/>
  <c r="W60" i="77"/>
  <c r="W61" i="77"/>
  <c r="AK58" i="103"/>
  <c r="AK59" i="103" s="1"/>
  <c r="W57" i="95"/>
  <c r="W58" i="95"/>
  <c r="W59" i="95"/>
  <c r="W60" i="95"/>
  <c r="W61" i="95"/>
  <c r="Y54" i="88"/>
  <c r="Y48" i="103"/>
  <c r="T43" i="77"/>
  <c r="S62" i="113"/>
  <c r="V58" i="95"/>
  <c r="V61" i="95"/>
  <c r="V59" i="95"/>
  <c r="V57" i="95"/>
  <c r="V60" i="95"/>
  <c r="V58" i="78"/>
  <c r="V59" i="78"/>
  <c r="V60" i="78"/>
  <c r="V61" i="78"/>
  <c r="V57" i="78"/>
  <c r="X45" i="88"/>
  <c r="X42" i="103"/>
  <c r="X39" i="93"/>
  <c r="X41" i="93" s="1"/>
  <c r="Z48" i="103"/>
  <c r="Z54" i="88"/>
  <c r="T43" i="93"/>
  <c r="S54" i="103"/>
  <c r="T43" i="113"/>
  <c r="U59" i="76"/>
  <c r="U60" i="76"/>
  <c r="U61" i="76"/>
  <c r="U57" i="76"/>
  <c r="U58" i="76"/>
  <c r="U40" i="103"/>
  <c r="AB61" i="63"/>
  <c r="AB58" i="63"/>
  <c r="AB57" i="63"/>
  <c r="AB60" i="63"/>
  <c r="AB59" i="63"/>
  <c r="T58" i="63"/>
  <c r="T57" i="63"/>
  <c r="T60" i="63"/>
  <c r="T59" i="63"/>
  <c r="T61" i="63"/>
  <c r="AN62" i="93"/>
  <c r="AN58" i="103" s="1"/>
  <c r="X43" i="76"/>
  <c r="AM62" i="78"/>
  <c r="T43" i="95"/>
  <c r="Y51" i="88"/>
  <c r="Y47" i="113"/>
  <c r="V43" i="88"/>
  <c r="AI63" i="88"/>
  <c r="AI65" i="88" s="1"/>
  <c r="X43" i="77"/>
  <c r="T43" i="76"/>
  <c r="Z51" i="88"/>
  <c r="Z47" i="113"/>
  <c r="Z56" i="113" s="1"/>
  <c r="Z57" i="88" s="1"/>
  <c r="AI57" i="103"/>
  <c r="AQ60" i="113"/>
  <c r="AQ58" i="113"/>
  <c r="AQ59" i="113"/>
  <c r="AQ61" i="113"/>
  <c r="AQ57" i="113"/>
  <c r="X43" i="95"/>
  <c r="Z51" i="103"/>
  <c r="H10" i="60"/>
  <c r="AA59" i="63"/>
  <c r="AA57" i="63"/>
  <c r="AA58" i="63"/>
  <c r="AA60" i="63"/>
  <c r="AA61" i="63"/>
  <c r="U43" i="93"/>
  <c r="Y48" i="88"/>
  <c r="Y45" i="103"/>
  <c r="Y47" i="78"/>
  <c r="W58" i="63"/>
  <c r="W60" i="63"/>
  <c r="W61" i="63"/>
  <c r="W57" i="63"/>
  <c r="W59" i="63"/>
  <c r="T39" i="88"/>
  <c r="Y47" i="88"/>
  <c r="Y45" i="95"/>
  <c r="Y39" i="95" s="1"/>
  <c r="Y41" i="95" s="1"/>
  <c r="Y44" i="103"/>
  <c r="H15" i="117"/>
  <c r="AU62" i="115"/>
  <c r="AY34" i="115" s="1"/>
  <c r="AY40" i="115"/>
  <c r="AY41" i="115" s="1"/>
  <c r="Y45" i="76"/>
  <c r="Y46" i="88"/>
  <c r="Y43" i="103"/>
  <c r="Y39" i="63"/>
  <c r="Y41" i="63" s="1"/>
  <c r="W59" i="76"/>
  <c r="W58" i="76"/>
  <c r="W60" i="76"/>
  <c r="W61" i="76"/>
  <c r="W57" i="76"/>
  <c r="S53" i="103"/>
  <c r="T43" i="78"/>
  <c r="AL62" i="93"/>
  <c r="AL58" i="103" s="1"/>
  <c r="AN63" i="88" l="1"/>
  <c r="AM60" i="88"/>
  <c r="AM63" i="88" s="1"/>
  <c r="S57" i="103"/>
  <c r="W62" i="76"/>
  <c r="H14" i="57" s="1"/>
  <c r="M14" i="57" s="1"/>
  <c r="AL57" i="103"/>
  <c r="AL59" i="103" s="1"/>
  <c r="S64" i="88"/>
  <c r="AL63" i="88"/>
  <c r="AN64" i="88"/>
  <c r="AN65" i="88" s="1"/>
  <c r="AL64" i="88"/>
  <c r="AI59" i="103"/>
  <c r="U62" i="76"/>
  <c r="H12" i="57" s="1"/>
  <c r="G12" i="57" s="1"/>
  <c r="AJ65" i="88"/>
  <c r="AM55" i="103"/>
  <c r="AC62" i="76"/>
  <c r="H20" i="57" s="1"/>
  <c r="M20" i="57" s="1"/>
  <c r="V62" i="77"/>
  <c r="H13" i="59" s="1"/>
  <c r="M13" i="59" s="1"/>
  <c r="S63" i="88"/>
  <c r="AQ62" i="113"/>
  <c r="V62" i="78"/>
  <c r="H13" i="60" s="1"/>
  <c r="M13" i="60" s="1"/>
  <c r="AN59" i="103"/>
  <c r="Y39" i="76"/>
  <c r="Y41" i="76" s="1"/>
  <c r="AA62" i="63"/>
  <c r="AM53" i="103"/>
  <c r="V62" i="95"/>
  <c r="H13" i="58" s="1"/>
  <c r="H10" i="58"/>
  <c r="AA62" i="76"/>
  <c r="H18" i="57" s="1"/>
  <c r="W62" i="63"/>
  <c r="W62" i="95"/>
  <c r="H14" i="58" s="1"/>
  <c r="T40" i="103"/>
  <c r="U62" i="63"/>
  <c r="AJ59" i="103"/>
  <c r="V59" i="93"/>
  <c r="V60" i="88" s="1"/>
  <c r="V57" i="93"/>
  <c r="V52" i="103" s="1"/>
  <c r="V61" i="93"/>
  <c r="V56" i="103" s="1"/>
  <c r="V60" i="93"/>
  <c r="V55" i="103" s="1"/>
  <c r="V58" i="93"/>
  <c r="V59" i="88" s="1"/>
  <c r="Z45" i="88"/>
  <c r="Z42" i="103"/>
  <c r="Z39" i="93"/>
  <c r="Z41" i="93" s="1"/>
  <c r="V62" i="63"/>
  <c r="H10" i="92"/>
  <c r="Y45" i="88"/>
  <c r="Y42" i="103"/>
  <c r="Y39" i="93"/>
  <c r="Y41" i="93" s="1"/>
  <c r="T61" i="76"/>
  <c r="T57" i="76"/>
  <c r="T58" i="76"/>
  <c r="T60" i="76"/>
  <c r="T59" i="76"/>
  <c r="X43" i="93"/>
  <c r="H10" i="57"/>
  <c r="AQ62" i="63"/>
  <c r="V62" i="113"/>
  <c r="H13" i="111" s="1"/>
  <c r="AM56" i="103"/>
  <c r="T57" i="113"/>
  <c r="T61" i="113"/>
  <c r="T60" i="113"/>
  <c r="T58" i="113"/>
  <c r="T59" i="113"/>
  <c r="AD62" i="76"/>
  <c r="X60" i="63"/>
  <c r="X57" i="63"/>
  <c r="X61" i="63"/>
  <c r="X58" i="63"/>
  <c r="X59" i="63"/>
  <c r="AM52" i="103"/>
  <c r="U62" i="113"/>
  <c r="H12" i="111" s="1"/>
  <c r="T57" i="78"/>
  <c r="T61" i="78"/>
  <c r="T59" i="78"/>
  <c r="T58" i="78"/>
  <c r="T60" i="78"/>
  <c r="H10" i="111"/>
  <c r="H10" i="59"/>
  <c r="X59" i="95"/>
  <c r="X57" i="95"/>
  <c r="X60" i="95"/>
  <c r="X58" i="95"/>
  <c r="X61" i="95"/>
  <c r="Z43" i="76"/>
  <c r="W62" i="77"/>
  <c r="H14" i="59" s="1"/>
  <c r="V62" i="76"/>
  <c r="H13" i="57" s="1"/>
  <c r="U61" i="93"/>
  <c r="U56" i="103" s="1"/>
  <c r="U58" i="93"/>
  <c r="U59" i="88" s="1"/>
  <c r="U60" i="93"/>
  <c r="U61" i="88" s="1"/>
  <c r="U59" i="93"/>
  <c r="U54" i="103" s="1"/>
  <c r="U57" i="93"/>
  <c r="U62" i="78"/>
  <c r="H12" i="60" s="1"/>
  <c r="S58" i="103"/>
  <c r="G10" i="60"/>
  <c r="M10" i="60"/>
  <c r="G26" i="60"/>
  <c r="M26" i="60"/>
  <c r="M26" i="117"/>
  <c r="Z43" i="95"/>
  <c r="G15" i="117"/>
  <c r="E21" i="85"/>
  <c r="H92" i="117"/>
  <c r="H105" i="117" s="1"/>
  <c r="H42" i="117"/>
  <c r="T62" i="63"/>
  <c r="U62" i="77"/>
  <c r="H12" i="59" s="1"/>
  <c r="Y56" i="113"/>
  <c r="T59" i="77"/>
  <c r="T61" i="77"/>
  <c r="T57" i="77"/>
  <c r="T58" i="77"/>
  <c r="T60" i="77"/>
  <c r="AM62" i="93"/>
  <c r="AM58" i="103" s="1"/>
  <c r="AB62" i="63"/>
  <c r="X61" i="76"/>
  <c r="X60" i="76"/>
  <c r="X59" i="76"/>
  <c r="X58" i="76"/>
  <c r="X57" i="76"/>
  <c r="T57" i="93"/>
  <c r="T58" i="93"/>
  <c r="T59" i="93"/>
  <c r="T60" i="93"/>
  <c r="T61" i="93"/>
  <c r="O10" i="56"/>
  <c r="N10" i="56"/>
  <c r="M10" i="56"/>
  <c r="G10" i="56"/>
  <c r="Z43" i="63"/>
  <c r="X61" i="77"/>
  <c r="X59" i="77"/>
  <c r="X57" i="77"/>
  <c r="X60" i="77"/>
  <c r="X58" i="77"/>
  <c r="AC62" i="63"/>
  <c r="Y43" i="95"/>
  <c r="U62" i="95"/>
  <c r="H12" i="58" s="1"/>
  <c r="T61" i="95"/>
  <c r="T58" i="95"/>
  <c r="T57" i="95"/>
  <c r="T59" i="95"/>
  <c r="T60" i="95"/>
  <c r="AQ62" i="76"/>
  <c r="Y43" i="63"/>
  <c r="T41" i="88"/>
  <c r="Z43" i="77"/>
  <c r="Y43" i="77"/>
  <c r="W59" i="93"/>
  <c r="W58" i="93"/>
  <c r="W57" i="93"/>
  <c r="W61" i="93"/>
  <c r="W60" i="93"/>
  <c r="N10" i="127"/>
  <c r="O10" i="127"/>
  <c r="G10" i="127"/>
  <c r="M10" i="127"/>
  <c r="S59" i="103" l="1"/>
  <c r="AL65" i="88"/>
  <c r="G14" i="57"/>
  <c r="U62" i="93"/>
  <c r="H12" i="92" s="1"/>
  <c r="G12" i="92" s="1"/>
  <c r="M12" i="57"/>
  <c r="G13" i="59"/>
  <c r="G20" i="57"/>
  <c r="AM64" i="88"/>
  <c r="AM65" i="88" s="1"/>
  <c r="V58" i="88"/>
  <c r="V61" i="88"/>
  <c r="V62" i="88"/>
  <c r="U53" i="103"/>
  <c r="X62" i="77"/>
  <c r="H15" i="59" s="1"/>
  <c r="M15" i="59" s="1"/>
  <c r="M10" i="117"/>
  <c r="T62" i="88"/>
  <c r="G13" i="60"/>
  <c r="T60" i="88"/>
  <c r="S65" i="88"/>
  <c r="V54" i="103"/>
  <c r="H21" i="57"/>
  <c r="M18" i="57"/>
  <c r="G18" i="57"/>
  <c r="Y59" i="95"/>
  <c r="Y58" i="95"/>
  <c r="Y61" i="95"/>
  <c r="Y60" i="95"/>
  <c r="Y57" i="95"/>
  <c r="G10" i="57"/>
  <c r="M10" i="57"/>
  <c r="U52" i="103"/>
  <c r="H11" i="127"/>
  <c r="H11" i="56"/>
  <c r="U58" i="88"/>
  <c r="H20" i="127"/>
  <c r="H20" i="56"/>
  <c r="Z58" i="63"/>
  <c r="Z60" i="63"/>
  <c r="Z61" i="63"/>
  <c r="Z57" i="63"/>
  <c r="Z59" i="63"/>
  <c r="V53" i="103"/>
  <c r="T62" i="77"/>
  <c r="T58" i="88"/>
  <c r="Z61" i="95"/>
  <c r="Z57" i="95"/>
  <c r="Z59" i="95"/>
  <c r="Z58" i="95"/>
  <c r="Z60" i="95"/>
  <c r="X58" i="93"/>
  <c r="X57" i="93"/>
  <c r="X60" i="93"/>
  <c r="X59" i="93"/>
  <c r="X61" i="93"/>
  <c r="U60" i="88"/>
  <c r="T52" i="103"/>
  <c r="X62" i="63"/>
  <c r="T62" i="113"/>
  <c r="G10" i="92"/>
  <c r="M12" i="58"/>
  <c r="G12" i="58"/>
  <c r="M10" i="111"/>
  <c r="G10" i="111"/>
  <c r="M12" i="59"/>
  <c r="G12" i="59"/>
  <c r="W62" i="93"/>
  <c r="H14" i="92" s="1"/>
  <c r="Z60" i="76"/>
  <c r="Z57" i="76"/>
  <c r="Z59" i="76"/>
  <c r="Z58" i="76"/>
  <c r="Z61" i="76"/>
  <c r="Z43" i="93"/>
  <c r="Y43" i="76"/>
  <c r="Y57" i="63"/>
  <c r="Y59" i="63"/>
  <c r="Y58" i="63"/>
  <c r="Y61" i="63"/>
  <c r="Y60" i="63"/>
  <c r="T62" i="78"/>
  <c r="T55" i="103"/>
  <c r="T59" i="88"/>
  <c r="U62" i="88"/>
  <c r="G13" i="111"/>
  <c r="M13" i="111"/>
  <c r="V62" i="93"/>
  <c r="H13" i="92" s="1"/>
  <c r="G13" i="92" s="1"/>
  <c r="H14" i="127"/>
  <c r="H14" i="56"/>
  <c r="H18" i="127"/>
  <c r="H18" i="56"/>
  <c r="D21" i="85"/>
  <c r="U55" i="103"/>
  <c r="T53" i="103"/>
  <c r="G13" i="57"/>
  <c r="M13" i="57"/>
  <c r="Y59" i="77"/>
  <c r="Y60" i="77"/>
  <c r="Y61" i="77"/>
  <c r="Y58" i="77"/>
  <c r="Y57" i="77"/>
  <c r="M13" i="58"/>
  <c r="G13" i="58"/>
  <c r="T54" i="103"/>
  <c r="Z61" i="77"/>
  <c r="Z59" i="77"/>
  <c r="Z60" i="77"/>
  <c r="Z57" i="77"/>
  <c r="Z58" i="77"/>
  <c r="M14" i="59"/>
  <c r="G14" i="59"/>
  <c r="G10" i="59"/>
  <c r="M10" i="59"/>
  <c r="G12" i="111"/>
  <c r="M12" i="111"/>
  <c r="Y43" i="93"/>
  <c r="H12" i="127"/>
  <c r="H12" i="56"/>
  <c r="U58" i="103"/>
  <c r="T43" i="88"/>
  <c r="T61" i="88"/>
  <c r="H13" i="127"/>
  <c r="H13" i="56"/>
  <c r="G14" i="58"/>
  <c r="M14" i="58"/>
  <c r="G10" i="58"/>
  <c r="M10" i="58"/>
  <c r="X62" i="95"/>
  <c r="H15" i="58" s="1"/>
  <c r="H19" i="127"/>
  <c r="H19" i="56"/>
  <c r="T62" i="95"/>
  <c r="T62" i="93"/>
  <c r="D277" i="80"/>
  <c r="H99" i="117"/>
  <c r="H104" i="117" s="1"/>
  <c r="H106" i="117" s="1"/>
  <c r="G12" i="60"/>
  <c r="M12" i="60"/>
  <c r="X62" i="76"/>
  <c r="H15" i="57" s="1"/>
  <c r="Y57" i="88"/>
  <c r="AM57" i="103"/>
  <c r="AM59" i="103" s="1"/>
  <c r="T62" i="76"/>
  <c r="T56" i="103"/>
  <c r="U64" i="88" l="1"/>
  <c r="V63" i="88"/>
  <c r="T64" i="88"/>
  <c r="V64" i="88"/>
  <c r="G15" i="59"/>
  <c r="U63" i="88"/>
  <c r="U65" i="88" s="1"/>
  <c r="Y62" i="77"/>
  <c r="H16" i="59" s="1"/>
  <c r="G16" i="59" s="1"/>
  <c r="X62" i="93"/>
  <c r="H15" i="92" s="1"/>
  <c r="G15" i="92" s="1"/>
  <c r="V57" i="103"/>
  <c r="Y62" i="95"/>
  <c r="H16" i="58" s="1"/>
  <c r="G16" i="58" s="1"/>
  <c r="H11" i="57"/>
  <c r="H11" i="92"/>
  <c r="N14" i="56"/>
  <c r="O14" i="56"/>
  <c r="G14" i="56"/>
  <c r="M14" i="56"/>
  <c r="G14" i="92"/>
  <c r="H11" i="59"/>
  <c r="M21" i="57"/>
  <c r="G21" i="57"/>
  <c r="Z62" i="77"/>
  <c r="H17" i="59" s="1"/>
  <c r="Y62" i="63"/>
  <c r="H11" i="111"/>
  <c r="T58" i="103"/>
  <c r="M12" i="117"/>
  <c r="O12" i="56"/>
  <c r="G12" i="56"/>
  <c r="M12" i="56"/>
  <c r="N12" i="56"/>
  <c r="Y61" i="76"/>
  <c r="Y57" i="76"/>
  <c r="Y60" i="76"/>
  <c r="Y59" i="76"/>
  <c r="Y58" i="76"/>
  <c r="N11" i="56"/>
  <c r="O11" i="56"/>
  <c r="G11" i="56"/>
  <c r="M11" i="56"/>
  <c r="C175" i="56"/>
  <c r="I174" i="56"/>
  <c r="M15" i="57"/>
  <c r="G15" i="57"/>
  <c r="T57" i="103"/>
  <c r="U57" i="103"/>
  <c r="U59" i="103" s="1"/>
  <c r="H15" i="127"/>
  <c r="H15" i="56"/>
  <c r="M13" i="117"/>
  <c r="G13" i="56"/>
  <c r="N13" i="56"/>
  <c r="M13" i="56"/>
  <c r="O13" i="56"/>
  <c r="G19" i="127"/>
  <c r="O19" i="127"/>
  <c r="N19" i="127"/>
  <c r="M19" i="127"/>
  <c r="V65" i="88"/>
  <c r="Y57" i="93"/>
  <c r="Y61" i="93"/>
  <c r="Y59" i="93"/>
  <c r="Y60" i="93"/>
  <c r="Y58" i="93"/>
  <c r="Z62" i="63"/>
  <c r="O11" i="127"/>
  <c r="G11" i="127"/>
  <c r="M11" i="127"/>
  <c r="N11" i="127"/>
  <c r="I174" i="127"/>
  <c r="C175" i="127"/>
  <c r="M12" i="127"/>
  <c r="N12" i="127"/>
  <c r="G12" i="127"/>
  <c r="O12" i="127"/>
  <c r="M19" i="56"/>
  <c r="G19" i="56"/>
  <c r="O19" i="56"/>
  <c r="N19" i="56"/>
  <c r="V58" i="103"/>
  <c r="G18" i="56"/>
  <c r="N18" i="56"/>
  <c r="O18" i="56"/>
  <c r="M18" i="56"/>
  <c r="O20" i="56"/>
  <c r="G20" i="56"/>
  <c r="M20" i="56"/>
  <c r="N20" i="56"/>
  <c r="N14" i="127"/>
  <c r="M14" i="127"/>
  <c r="G14" i="127"/>
  <c r="O14" i="127"/>
  <c r="H11" i="58"/>
  <c r="T63" i="88"/>
  <c r="Z59" i="93"/>
  <c r="Z57" i="93"/>
  <c r="Z61" i="93"/>
  <c r="Z60" i="93"/>
  <c r="Z58" i="93"/>
  <c r="G15" i="58"/>
  <c r="M15" i="58"/>
  <c r="O13" i="127"/>
  <c r="N13" i="127"/>
  <c r="G13" i="127"/>
  <c r="M13" i="127"/>
  <c r="G18" i="127"/>
  <c r="M18" i="127"/>
  <c r="O18" i="127"/>
  <c r="N18" i="127"/>
  <c r="H11" i="60"/>
  <c r="Z62" i="76"/>
  <c r="H17" i="57" s="1"/>
  <c r="Z62" i="95"/>
  <c r="H17" i="58" s="1"/>
  <c r="G20" i="127"/>
  <c r="M20" i="127"/>
  <c r="N20" i="127"/>
  <c r="O20" i="127"/>
  <c r="M16" i="58" l="1"/>
  <c r="M16" i="59"/>
  <c r="V59" i="103"/>
  <c r="Y62" i="76"/>
  <c r="H16" i="127"/>
  <c r="H16" i="56"/>
  <c r="G11" i="57"/>
  <c r="M11" i="57"/>
  <c r="C177" i="127"/>
  <c r="I176" i="127"/>
  <c r="C177" i="56"/>
  <c r="C179" i="56" s="1"/>
  <c r="I176" i="56"/>
  <c r="T59" i="103"/>
  <c r="T98" i="103"/>
  <c r="G11" i="60"/>
  <c r="M11" i="60"/>
  <c r="I177" i="127"/>
  <c r="C178" i="127"/>
  <c r="I177" i="56"/>
  <c r="C178" i="56"/>
  <c r="G17" i="59"/>
  <c r="M17" i="59"/>
  <c r="T65" i="88"/>
  <c r="T104" i="88"/>
  <c r="G17" i="57"/>
  <c r="M17" i="57"/>
  <c r="M11" i="117"/>
  <c r="G11" i="59"/>
  <c r="M11" i="59"/>
  <c r="C176" i="56"/>
  <c r="I175" i="127"/>
  <c r="I175" i="56"/>
  <c r="C176" i="127"/>
  <c r="N15" i="127"/>
  <c r="M15" i="127"/>
  <c r="G15" i="127"/>
  <c r="O15" i="127"/>
  <c r="G17" i="58"/>
  <c r="M17" i="58"/>
  <c r="M11" i="58"/>
  <c r="G11" i="58"/>
  <c r="H17" i="127"/>
  <c r="H17" i="56"/>
  <c r="O15" i="56"/>
  <c r="G15" i="56"/>
  <c r="N15" i="56"/>
  <c r="M15" i="56"/>
  <c r="Z62" i="93"/>
  <c r="H17" i="92" s="1"/>
  <c r="Y62" i="93"/>
  <c r="G11" i="92"/>
  <c r="G11" i="111"/>
  <c r="M11" i="111"/>
  <c r="I179" i="127" l="1"/>
  <c r="I179" i="56"/>
  <c r="C179" i="127"/>
  <c r="H16" i="92"/>
  <c r="M16" i="56"/>
  <c r="G16" i="56"/>
  <c r="N16" i="56"/>
  <c r="O16" i="56"/>
  <c r="H16" i="57"/>
  <c r="G17" i="127"/>
  <c r="O17" i="127"/>
  <c r="N17" i="127"/>
  <c r="M17" i="127"/>
  <c r="N17" i="56"/>
  <c r="M17" i="56"/>
  <c r="G17" i="56"/>
  <c r="O17" i="56"/>
  <c r="G17" i="92"/>
  <c r="M17" i="92"/>
  <c r="M16" i="127"/>
  <c r="O16" i="127"/>
  <c r="G16" i="127"/>
  <c r="N16" i="127"/>
  <c r="G16" i="92" l="1"/>
  <c r="M16" i="92"/>
  <c r="G16" i="57"/>
  <c r="M16" i="57"/>
  <c r="AC35" i="113" l="1"/>
  <c r="AB34" i="113" s="1"/>
  <c r="AH36" i="77" l="1"/>
  <c r="AH33" i="88"/>
  <c r="AH36" i="88" s="1"/>
  <c r="AH37" i="88" s="1"/>
  <c r="AH30" i="103"/>
  <c r="AH33" i="103" s="1"/>
  <c r="AH34" i="103" s="1"/>
  <c r="AY29" i="77"/>
  <c r="AY30" i="77" s="1"/>
  <c r="AU33" i="77"/>
  <c r="AE35" i="113"/>
  <c r="AD34" i="113" s="1"/>
  <c r="AF35" i="113"/>
  <c r="AE34" i="113" s="1"/>
  <c r="AB35" i="113"/>
  <c r="AA34" i="113" s="1"/>
  <c r="AD35" i="113"/>
  <c r="AC34" i="113" s="1"/>
  <c r="AC36" i="113" s="1"/>
  <c r="AF35" i="78"/>
  <c r="AE34" i="78" s="1"/>
  <c r="AA35" i="113"/>
  <c r="AB36" i="113" l="1"/>
  <c r="AB37" i="113" s="1"/>
  <c r="AE36" i="113"/>
  <c r="AF36" i="113"/>
  <c r="AD36" i="113"/>
  <c r="AD37" i="113" s="1"/>
  <c r="AF36" i="78"/>
  <c r="AF37" i="78" s="1"/>
  <c r="AE37" i="113"/>
  <c r="AF37" i="113"/>
  <c r="AC35" i="78"/>
  <c r="AC33" i="88"/>
  <c r="AC30" i="103"/>
  <c r="AD35" i="78"/>
  <c r="AD33" i="88"/>
  <c r="AD30" i="103"/>
  <c r="AB49" i="113"/>
  <c r="AB48" i="113"/>
  <c r="AB50" i="93" s="1"/>
  <c r="AB50" i="113"/>
  <c r="AB53" i="113"/>
  <c r="AB55" i="113"/>
  <c r="AB46" i="113"/>
  <c r="AB50" i="95" s="1"/>
  <c r="AE31" i="103"/>
  <c r="AE34" i="88"/>
  <c r="AB35" i="78"/>
  <c r="AB30" i="103"/>
  <c r="AB33" i="88"/>
  <c r="AE35" i="78"/>
  <c r="AE36" i="78" s="1"/>
  <c r="AE33" i="88"/>
  <c r="AE30" i="103"/>
  <c r="AA34" i="88"/>
  <c r="AC37" i="113"/>
  <c r="AU36" i="77"/>
  <c r="AA36" i="113"/>
  <c r="AA37" i="113" s="1"/>
  <c r="AA35" i="78"/>
  <c r="AA36" i="78" s="1"/>
  <c r="AA30" i="103"/>
  <c r="AA33" i="88"/>
  <c r="AH37" i="77"/>
  <c r="AB51" i="88" l="1"/>
  <c r="AE37" i="78"/>
  <c r="AA35" i="88"/>
  <c r="AA32" i="103"/>
  <c r="AB35" i="88"/>
  <c r="AB32" i="103"/>
  <c r="AC34" i="78"/>
  <c r="AD32" i="103"/>
  <c r="AD35" i="88"/>
  <c r="AH53" i="77"/>
  <c r="AH55" i="77"/>
  <c r="AH56" i="77"/>
  <c r="AH46" i="77"/>
  <c r="AH54" i="77"/>
  <c r="AH48" i="77"/>
  <c r="AH45" i="77"/>
  <c r="AA55" i="113"/>
  <c r="AA49" i="113"/>
  <c r="AA46" i="113"/>
  <c r="AA50" i="113"/>
  <c r="AA53" i="113"/>
  <c r="AA48" i="113"/>
  <c r="AU37" i="77"/>
  <c r="AB34" i="78"/>
  <c r="AC35" i="88"/>
  <c r="AC32" i="103"/>
  <c r="AD49" i="113"/>
  <c r="AD48" i="113"/>
  <c r="AD50" i="93" s="1"/>
  <c r="AD54" i="113"/>
  <c r="AD53" i="113"/>
  <c r="AD46" i="113"/>
  <c r="AD55" i="113"/>
  <c r="AD50" i="113"/>
  <c r="AC49" i="113"/>
  <c r="AC48" i="113"/>
  <c r="AC50" i="93" s="1"/>
  <c r="AC53" i="113"/>
  <c r="AC46" i="113"/>
  <c r="AC54" i="113"/>
  <c r="AC55" i="113"/>
  <c r="AC50" i="113"/>
  <c r="AF49" i="113"/>
  <c r="AF48" i="113"/>
  <c r="AF50" i="93" s="1"/>
  <c r="AF50" i="113"/>
  <c r="AF54" i="113"/>
  <c r="AF55" i="113"/>
  <c r="AF46" i="113"/>
  <c r="AF53" i="113"/>
  <c r="AF56" i="113"/>
  <c r="AD34" i="78"/>
  <c r="AE32" i="103"/>
  <c r="AE33" i="103" s="1"/>
  <c r="AE35" i="88"/>
  <c r="AE36" i="88" s="1"/>
  <c r="AF49" i="78"/>
  <c r="AF47" i="77" s="1"/>
  <c r="AF48" i="78"/>
  <c r="AF53" i="78"/>
  <c r="AF54" i="78"/>
  <c r="AF55" i="78"/>
  <c r="AF46" i="78"/>
  <c r="AF56" i="78"/>
  <c r="AA37" i="78"/>
  <c r="AE48" i="113"/>
  <c r="AE50" i="93" s="1"/>
  <c r="AE54" i="113"/>
  <c r="AE46" i="113"/>
  <c r="AE50" i="113"/>
  <c r="AE56" i="113"/>
  <c r="AE53" i="113"/>
  <c r="AE55" i="113"/>
  <c r="AE49" i="113"/>
  <c r="AF50" i="95" l="1"/>
  <c r="AE34" i="103"/>
  <c r="AF47" i="95"/>
  <c r="AH56" i="88"/>
  <c r="AH50" i="103"/>
  <c r="AU55" i="77"/>
  <c r="AH46" i="88"/>
  <c r="AU45" i="77"/>
  <c r="AH43" i="103"/>
  <c r="AH39" i="77"/>
  <c r="AH41" i="77" s="1"/>
  <c r="AA36" i="88"/>
  <c r="AB34" i="88"/>
  <c r="AB31" i="103"/>
  <c r="AB36" i="78"/>
  <c r="AB37" i="78" s="1"/>
  <c r="AD50" i="95"/>
  <c r="AD51" i="88" s="1"/>
  <c r="AD39" i="113"/>
  <c r="AD41" i="113" s="1"/>
  <c r="AA50" i="95"/>
  <c r="AF43" i="98"/>
  <c r="AF36" i="98" s="1"/>
  <c r="AF38" i="98" s="1"/>
  <c r="AF47" i="93"/>
  <c r="AC50" i="95"/>
  <c r="AC51" i="88" s="1"/>
  <c r="AC39" i="113"/>
  <c r="AC41" i="113" s="1"/>
  <c r="AH49" i="93"/>
  <c r="AH46" i="103"/>
  <c r="AH49" i="88"/>
  <c r="AU48" i="77"/>
  <c r="B64" i="80" s="1"/>
  <c r="AH48" i="103"/>
  <c r="AH54" i="88"/>
  <c r="AU53" i="77"/>
  <c r="AE37" i="88"/>
  <c r="AA33" i="103"/>
  <c r="AA34" i="103" s="1"/>
  <c r="AE50" i="95"/>
  <c r="AE51" i="88" s="1"/>
  <c r="AE39" i="113"/>
  <c r="AE41" i="113" s="1"/>
  <c r="AH49" i="103"/>
  <c r="AH55" i="88"/>
  <c r="AH51" i="103"/>
  <c r="AH57" i="88"/>
  <c r="AU56" i="77"/>
  <c r="AA55" i="78"/>
  <c r="AA46" i="78"/>
  <c r="AA48" i="78"/>
  <c r="AA53" i="78"/>
  <c r="AA56" i="78"/>
  <c r="AA49" i="78"/>
  <c r="AA50" i="93"/>
  <c r="AC31" i="103"/>
  <c r="AC33" i="103" s="1"/>
  <c r="AC34" i="88"/>
  <c r="AC36" i="88" s="1"/>
  <c r="AC36" i="78"/>
  <c r="AD34" i="88"/>
  <c r="AD36" i="88" s="1"/>
  <c r="AD37" i="88" s="1"/>
  <c r="AD31" i="103"/>
  <c r="AD33" i="103" s="1"/>
  <c r="AD34" i="103" s="1"/>
  <c r="AD36" i="78"/>
  <c r="AH49" i="95"/>
  <c r="AH44" i="103"/>
  <c r="AH47" i="88"/>
  <c r="AU46" i="77"/>
  <c r="B62" i="80" s="1"/>
  <c r="AE55" i="78"/>
  <c r="AE48" i="78"/>
  <c r="AE46" i="78"/>
  <c r="AE54" i="78"/>
  <c r="AE53" i="78"/>
  <c r="AE49" i="78"/>
  <c r="AE56" i="78"/>
  <c r="AD43" i="113" l="1"/>
  <c r="AE51" i="103"/>
  <c r="AE57" i="88"/>
  <c r="AE47" i="77"/>
  <c r="AE39" i="77" s="1"/>
  <c r="AE41" i="77" s="1"/>
  <c r="AE50" i="88"/>
  <c r="AE47" i="103"/>
  <c r="AC37" i="78"/>
  <c r="D64" i="80"/>
  <c r="J64" i="80"/>
  <c r="L64" i="80" s="1"/>
  <c r="AB53" i="78"/>
  <c r="AB55" i="78"/>
  <c r="AB48" i="78"/>
  <c r="AB56" i="78"/>
  <c r="AB49" i="78"/>
  <c r="AB46" i="78"/>
  <c r="AC37" i="88"/>
  <c r="AE49" i="103"/>
  <c r="AE55" i="88"/>
  <c r="AE43" i="113"/>
  <c r="J62" i="80"/>
  <c r="L62" i="80" s="1"/>
  <c r="D62" i="80"/>
  <c r="AA43" i="98"/>
  <c r="AA47" i="93"/>
  <c r="AA49" i="88"/>
  <c r="AA46" i="103"/>
  <c r="AF35" i="76"/>
  <c r="AF36" i="76" s="1"/>
  <c r="AF30" i="103"/>
  <c r="AF33" i="88"/>
  <c r="AB36" i="88"/>
  <c r="AA51" i="103"/>
  <c r="AA57" i="88"/>
  <c r="AA37" i="88"/>
  <c r="AA48" i="103"/>
  <c r="AA54" i="88"/>
  <c r="AH43" i="77"/>
  <c r="AA47" i="95"/>
  <c r="AA44" i="103"/>
  <c r="AA47" i="88"/>
  <c r="AF39" i="98"/>
  <c r="AB33" i="103"/>
  <c r="AE43" i="98"/>
  <c r="AE36" i="98" s="1"/>
  <c r="AE38" i="98" s="1"/>
  <c r="AE47" i="93"/>
  <c r="AE46" i="103"/>
  <c r="AE49" i="88"/>
  <c r="AA51" i="88"/>
  <c r="AE50" i="103"/>
  <c r="AE56" i="88"/>
  <c r="AA50" i="103"/>
  <c r="AA56" i="88"/>
  <c r="AE54" i="88"/>
  <c r="AE48" i="103"/>
  <c r="AC34" i="103"/>
  <c r="AE47" i="95"/>
  <c r="AE39" i="95" s="1"/>
  <c r="AE41" i="95" s="1"/>
  <c r="AE44" i="103"/>
  <c r="AE47" i="88"/>
  <c r="AE39" i="78"/>
  <c r="AE41" i="78" s="1"/>
  <c r="AH47" i="103"/>
  <c r="AH36" i="103" s="1"/>
  <c r="AH38" i="103" s="1"/>
  <c r="AH50" i="88"/>
  <c r="AH39" i="88" s="1"/>
  <c r="AH41" i="88" s="1"/>
  <c r="AH39" i="93"/>
  <c r="AH41" i="93" s="1"/>
  <c r="AU49" i="93"/>
  <c r="B181" i="80" s="1"/>
  <c r="AC43" i="113"/>
  <c r="AA47" i="77"/>
  <c r="AA50" i="88"/>
  <c r="AA47" i="103"/>
  <c r="AH39" i="95"/>
  <c r="AH41" i="95" s="1"/>
  <c r="AU49" i="95"/>
  <c r="B116" i="80" s="1"/>
  <c r="G15" i="81"/>
  <c r="B68" i="80"/>
  <c r="AD37" i="78"/>
  <c r="B70" i="80"/>
  <c r="G8" i="81"/>
  <c r="AU50" i="95"/>
  <c r="B118" i="80" s="1"/>
  <c r="D118" i="80" s="1"/>
  <c r="AH43" i="88" l="1"/>
  <c r="AD55" i="78"/>
  <c r="AD53" i="78"/>
  <c r="AD56" i="78"/>
  <c r="AD49" i="78"/>
  <c r="AD54" i="78"/>
  <c r="AD46" i="78"/>
  <c r="AD48" i="78"/>
  <c r="AF54" i="98"/>
  <c r="AF52" i="98"/>
  <c r="AF50" i="98"/>
  <c r="AF53" i="98"/>
  <c r="AF51" i="98"/>
  <c r="AA39" i="93"/>
  <c r="AA41" i="93" s="1"/>
  <c r="AA45" i="103"/>
  <c r="AA48" i="88"/>
  <c r="AB47" i="93"/>
  <c r="AB43" i="98"/>
  <c r="AB36" i="98" s="1"/>
  <c r="AB38" i="98" s="1"/>
  <c r="AB49" i="88"/>
  <c r="AB46" i="103"/>
  <c r="D68" i="80"/>
  <c r="J68" i="80"/>
  <c r="L68" i="80" s="1"/>
  <c r="AA36" i="98"/>
  <c r="AA38" i="98" s="1"/>
  <c r="AB56" i="88"/>
  <c r="AB50" i="103"/>
  <c r="G52" i="80"/>
  <c r="H15" i="81"/>
  <c r="AE43" i="78"/>
  <c r="AB54" i="88"/>
  <c r="AB48" i="103"/>
  <c r="D116" i="80"/>
  <c r="J116" i="80"/>
  <c r="L116" i="80" s="1"/>
  <c r="AH40" i="103"/>
  <c r="AE39" i="98"/>
  <c r="AG34" i="76"/>
  <c r="AF35" i="88"/>
  <c r="AF32" i="103"/>
  <c r="AU35" i="76"/>
  <c r="AE60" i="113"/>
  <c r="AE61" i="113"/>
  <c r="AE57" i="113"/>
  <c r="AE58" i="113"/>
  <c r="AE59" i="113"/>
  <c r="AE43" i="77"/>
  <c r="G44" i="80"/>
  <c r="J44" i="80" s="1"/>
  <c r="L44" i="80" s="1"/>
  <c r="H8" i="81"/>
  <c r="AC61" i="113"/>
  <c r="AC60" i="113"/>
  <c r="AC57" i="113"/>
  <c r="AC58" i="113"/>
  <c r="AC59" i="113"/>
  <c r="AB34" i="103"/>
  <c r="AB47" i="95"/>
  <c r="AB39" i="95" s="1"/>
  <c r="AB41" i="95" s="1"/>
  <c r="AB44" i="103"/>
  <c r="AB47" i="88"/>
  <c r="AB37" i="88"/>
  <c r="AE43" i="95"/>
  <c r="AA39" i="95"/>
  <c r="AA41" i="95" s="1"/>
  <c r="AC53" i="78"/>
  <c r="AC48" i="78"/>
  <c r="AC49" i="78"/>
  <c r="AC55" i="78"/>
  <c r="AC54" i="78"/>
  <c r="AC46" i="78"/>
  <c r="AC56" i="78"/>
  <c r="AH61" i="77"/>
  <c r="AH57" i="77"/>
  <c r="AH59" i="77"/>
  <c r="AH60" i="77"/>
  <c r="AH58" i="77"/>
  <c r="BD33" i="88"/>
  <c r="AA39" i="77"/>
  <c r="AA41" i="77" s="1"/>
  <c r="AF37" i="76"/>
  <c r="D70" i="80"/>
  <c r="J70" i="80"/>
  <c r="L70" i="80" s="1"/>
  <c r="D181" i="80"/>
  <c r="J181" i="80"/>
  <c r="L181" i="80" s="1"/>
  <c r="G10" i="81"/>
  <c r="AB47" i="77"/>
  <c r="AB39" i="77" s="1"/>
  <c r="AB41" i="77" s="1"/>
  <c r="AB47" i="103"/>
  <c r="AB50" i="88"/>
  <c r="AH43" i="95"/>
  <c r="AE45" i="103"/>
  <c r="AE36" i="103" s="1"/>
  <c r="AE38" i="103" s="1"/>
  <c r="AE48" i="88"/>
  <c r="AE39" i="88" s="1"/>
  <c r="AE41" i="88" s="1"/>
  <c r="AE39" i="93"/>
  <c r="AE41" i="93" s="1"/>
  <c r="AH43" i="93"/>
  <c r="AB51" i="103"/>
  <c r="AB57" i="88"/>
  <c r="AD59" i="113"/>
  <c r="AD58" i="113"/>
  <c r="AD60" i="113"/>
  <c r="AD61" i="113"/>
  <c r="AD57" i="113"/>
  <c r="AD62" i="113" l="1"/>
  <c r="H21" i="111" s="1"/>
  <c r="AE40" i="103"/>
  <c r="AE43" i="93"/>
  <c r="AG36" i="76"/>
  <c r="AU34" i="76"/>
  <c r="AH62" i="77"/>
  <c r="AF55" i="98"/>
  <c r="AE50" i="98"/>
  <c r="AE53" i="98"/>
  <c r="AE52" i="98"/>
  <c r="AE54" i="98"/>
  <c r="AE51" i="98"/>
  <c r="AA39" i="98"/>
  <c r="AE61" i="77"/>
  <c r="AE57" i="77"/>
  <c r="AE59" i="77"/>
  <c r="AE58" i="77"/>
  <c r="AE60" i="77"/>
  <c r="AD47" i="93"/>
  <c r="AD43" i="98"/>
  <c r="AD36" i="98" s="1"/>
  <c r="AD38" i="98" s="1"/>
  <c r="AD46" i="103"/>
  <c r="AD49" i="88"/>
  <c r="AC56" i="88"/>
  <c r="AC50" i="103"/>
  <c r="AC47" i="77"/>
  <c r="AC50" i="88"/>
  <c r="AC47" i="103"/>
  <c r="AD51" i="103"/>
  <c r="AD57" i="88"/>
  <c r="AC54" i="88"/>
  <c r="AC48" i="103"/>
  <c r="AE60" i="78"/>
  <c r="AE58" i="78"/>
  <c r="AE57" i="78"/>
  <c r="AE59" i="78"/>
  <c r="AE61" i="78"/>
  <c r="AD56" i="88"/>
  <c r="AD50" i="103"/>
  <c r="AC49" i="103"/>
  <c r="AC55" i="88"/>
  <c r="AB39" i="98"/>
  <c r="AC47" i="93"/>
  <c r="AC43" i="98"/>
  <c r="AC36" i="98" s="1"/>
  <c r="AC38" i="98" s="1"/>
  <c r="AC46" i="103"/>
  <c r="AC49" i="88"/>
  <c r="AB39" i="93"/>
  <c r="AB41" i="93" s="1"/>
  <c r="AB48" i="88"/>
  <c r="AB45" i="103"/>
  <c r="G47" i="80"/>
  <c r="I47" i="80" s="1"/>
  <c r="H10" i="81"/>
  <c r="AA43" i="95"/>
  <c r="AC62" i="113"/>
  <c r="H20" i="111" s="1"/>
  <c r="AC57" i="88"/>
  <c r="AC51" i="103"/>
  <c r="AH58" i="95"/>
  <c r="AH61" i="95"/>
  <c r="AH60" i="95"/>
  <c r="AH59" i="95"/>
  <c r="AH57" i="95"/>
  <c r="AB43" i="95"/>
  <c r="AD47" i="77"/>
  <c r="AD47" i="103"/>
  <c r="AD50" i="88"/>
  <c r="AE62" i="113"/>
  <c r="H22" i="111" s="1"/>
  <c r="J52" i="80"/>
  <c r="L52" i="80" s="1"/>
  <c r="I52" i="80"/>
  <c r="AA43" i="93"/>
  <c r="M21" i="111"/>
  <c r="G21" i="111"/>
  <c r="AE43" i="88"/>
  <c r="AC47" i="95"/>
  <c r="AC39" i="95" s="1"/>
  <c r="AC41" i="95" s="1"/>
  <c r="AC47" i="88"/>
  <c r="AC44" i="103"/>
  <c r="AC39" i="78"/>
  <c r="AC41" i="78" s="1"/>
  <c r="AF47" i="76"/>
  <c r="AF56" i="76"/>
  <c r="AF48" i="76"/>
  <c r="AF53" i="76"/>
  <c r="AF54" i="76"/>
  <c r="AF49" i="76"/>
  <c r="AF55" i="76"/>
  <c r="AD47" i="95"/>
  <c r="AD39" i="95" s="1"/>
  <c r="AD41" i="95" s="1"/>
  <c r="AD44" i="103"/>
  <c r="AD47" i="88"/>
  <c r="AD39" i="78"/>
  <c r="AD41" i="78" s="1"/>
  <c r="AA43" i="77"/>
  <c r="AB43" i="77"/>
  <c r="AD48" i="103"/>
  <c r="AD54" i="88"/>
  <c r="AH61" i="93"/>
  <c r="AH58" i="93"/>
  <c r="AH59" i="93"/>
  <c r="AH57" i="93"/>
  <c r="AH60" i="93"/>
  <c r="AE59" i="95"/>
  <c r="AE60" i="95"/>
  <c r="AE58" i="95"/>
  <c r="AE57" i="95"/>
  <c r="AE61" i="95"/>
  <c r="BD35" i="88"/>
  <c r="AE62" i="77" l="1"/>
  <c r="H22" i="59" s="1"/>
  <c r="AH62" i="95"/>
  <c r="H25" i="58" s="1"/>
  <c r="G25" i="58" s="1"/>
  <c r="AC43" i="95"/>
  <c r="AA60" i="95"/>
  <c r="AA57" i="95"/>
  <c r="AA58" i="95"/>
  <c r="AA61" i="95"/>
  <c r="AA59" i="95"/>
  <c r="H25" i="59"/>
  <c r="AD43" i="78"/>
  <c r="AC39" i="98"/>
  <c r="AH61" i="88"/>
  <c r="AH55" i="103"/>
  <c r="AB60" i="95"/>
  <c r="AB58" i="95"/>
  <c r="AB61" i="95"/>
  <c r="AB59" i="95"/>
  <c r="AB57" i="95"/>
  <c r="AH53" i="103"/>
  <c r="AH59" i="88"/>
  <c r="AE57" i="93"/>
  <c r="AE58" i="93"/>
  <c r="AE59" i="93"/>
  <c r="AE61" i="93"/>
  <c r="AE60" i="93"/>
  <c r="AB43" i="93"/>
  <c r="AF45" i="93"/>
  <c r="AD43" i="95"/>
  <c r="AC39" i="77"/>
  <c r="AC41" i="77" s="1"/>
  <c r="AH62" i="88"/>
  <c r="AH56" i="103"/>
  <c r="AA50" i="98"/>
  <c r="AA54" i="98"/>
  <c r="AA53" i="98"/>
  <c r="AA52" i="98"/>
  <c r="AA51" i="98"/>
  <c r="AA58" i="93"/>
  <c r="AA60" i="93"/>
  <c r="AA59" i="93"/>
  <c r="AA61" i="93"/>
  <c r="AA57" i="93"/>
  <c r="G22" i="111"/>
  <c r="M22" i="111"/>
  <c r="AD39" i="98"/>
  <c r="AE55" i="98"/>
  <c r="AH58" i="88"/>
  <c r="AH52" i="103"/>
  <c r="AH62" i="93"/>
  <c r="H25" i="92" s="1"/>
  <c r="AG37" i="76"/>
  <c r="AH54" i="103"/>
  <c r="AH60" i="88"/>
  <c r="AE62" i="78"/>
  <c r="H22" i="60" s="1"/>
  <c r="AB57" i="77"/>
  <c r="AB59" i="77"/>
  <c r="AB61" i="77"/>
  <c r="AB58" i="77"/>
  <c r="AB60" i="77"/>
  <c r="AC39" i="93"/>
  <c r="AC41" i="93" s="1"/>
  <c r="AC45" i="103"/>
  <c r="AC36" i="103" s="1"/>
  <c r="AC38" i="103" s="1"/>
  <c r="AC48" i="88"/>
  <c r="AC39" i="88" s="1"/>
  <c r="AC41" i="88" s="1"/>
  <c r="AC43" i="78"/>
  <c r="AE62" i="95"/>
  <c r="H22" i="58" s="1"/>
  <c r="AA61" i="77"/>
  <c r="AA59" i="77"/>
  <c r="AA58" i="77"/>
  <c r="AA57" i="77"/>
  <c r="AA60" i="77"/>
  <c r="G20" i="111"/>
  <c r="M20" i="111"/>
  <c r="AB50" i="98"/>
  <c r="AB52" i="98"/>
  <c r="AB53" i="98"/>
  <c r="AB51" i="98"/>
  <c r="AB54" i="98"/>
  <c r="AD48" i="88"/>
  <c r="AD45" i="103"/>
  <c r="AD39" i="93"/>
  <c r="AD41" i="93" s="1"/>
  <c r="M25" i="58" l="1"/>
  <c r="AH64" i="88"/>
  <c r="AC43" i="88"/>
  <c r="AA62" i="77"/>
  <c r="AB62" i="95"/>
  <c r="H19" i="58" s="1"/>
  <c r="AC40" i="103"/>
  <c r="G22" i="59"/>
  <c r="M22" i="59"/>
  <c r="G25" i="59"/>
  <c r="M25" i="59"/>
  <c r="M25" i="117"/>
  <c r="AB58" i="93"/>
  <c r="AB60" i="93"/>
  <c r="AB57" i="93"/>
  <c r="AB59" i="93"/>
  <c r="AB61" i="93"/>
  <c r="AD52" i="98"/>
  <c r="AD54" i="98"/>
  <c r="AD51" i="98"/>
  <c r="AD53" i="98"/>
  <c r="AD50" i="98"/>
  <c r="AA62" i="95"/>
  <c r="AC43" i="77"/>
  <c r="AG48" i="76"/>
  <c r="AG54" i="76"/>
  <c r="AG53" i="76"/>
  <c r="AG46" i="76"/>
  <c r="AG55" i="76"/>
  <c r="AG49" i="76"/>
  <c r="AG47" i="76"/>
  <c r="AG56" i="76"/>
  <c r="AC57" i="78"/>
  <c r="AC59" i="78"/>
  <c r="AC60" i="78"/>
  <c r="AC61" i="78"/>
  <c r="AC58" i="78"/>
  <c r="G25" i="92"/>
  <c r="M25" i="92"/>
  <c r="AE54" i="103"/>
  <c r="AE60" i="88"/>
  <c r="AE59" i="88"/>
  <c r="AE53" i="103"/>
  <c r="AC52" i="98"/>
  <c r="AC50" i="98"/>
  <c r="AC51" i="98"/>
  <c r="AC53" i="98"/>
  <c r="AC54" i="98"/>
  <c r="AD58" i="78"/>
  <c r="AD60" i="78"/>
  <c r="AD59" i="78"/>
  <c r="AD61" i="78"/>
  <c r="AD57" i="78"/>
  <c r="AA55" i="98"/>
  <c r="G22" i="60"/>
  <c r="M22" i="60"/>
  <c r="M22" i="58"/>
  <c r="G22" i="58"/>
  <c r="AA62" i="93"/>
  <c r="AH57" i="103"/>
  <c r="AB62" i="77"/>
  <c r="H19" i="59" s="1"/>
  <c r="AE55" i="103"/>
  <c r="AE61" i="88"/>
  <c r="AD43" i="93"/>
  <c r="AE62" i="88"/>
  <c r="AE56" i="103"/>
  <c r="AE52" i="103"/>
  <c r="AE58" i="88"/>
  <c r="AE62" i="93"/>
  <c r="AE64" i="88" s="1"/>
  <c r="AC58" i="95"/>
  <c r="AC61" i="95"/>
  <c r="AC59" i="95"/>
  <c r="AC57" i="95"/>
  <c r="AC60" i="95"/>
  <c r="AB55" i="98"/>
  <c r="AH63" i="88"/>
  <c r="AH65" i="88" s="1"/>
  <c r="AD61" i="95"/>
  <c r="AD57" i="95"/>
  <c r="AD59" i="95"/>
  <c r="AD58" i="95"/>
  <c r="AD60" i="95"/>
  <c r="AC43" i="93"/>
  <c r="AH58" i="103"/>
  <c r="AH59" i="103" l="1"/>
  <c r="AE63" i="88"/>
  <c r="AE65" i="88" s="1"/>
  <c r="AD62" i="78"/>
  <c r="H21" i="60" s="1"/>
  <c r="H22" i="92"/>
  <c r="AE58" i="103"/>
  <c r="AC60" i="93"/>
  <c r="AC61" i="93"/>
  <c r="AC58" i="93"/>
  <c r="AC59" i="93"/>
  <c r="AC57" i="93"/>
  <c r="H18" i="92"/>
  <c r="AD62" i="95"/>
  <c r="H21" i="58" s="1"/>
  <c r="AB62" i="93"/>
  <c r="H19" i="92" s="1"/>
  <c r="AD57" i="93"/>
  <c r="AD60" i="93"/>
  <c r="AD59" i="93"/>
  <c r="AD61" i="93"/>
  <c r="AD58" i="93"/>
  <c r="H18" i="58"/>
  <c r="H18" i="59"/>
  <c r="G19" i="58"/>
  <c r="M19" i="58"/>
  <c r="AC58" i="77"/>
  <c r="AC60" i="77"/>
  <c r="AC61" i="77"/>
  <c r="AC57" i="77"/>
  <c r="AC59" i="77"/>
  <c r="AE57" i="103"/>
  <c r="AG45" i="93"/>
  <c r="AC62" i="95"/>
  <c r="H20" i="58" s="1"/>
  <c r="AC55" i="98"/>
  <c r="M19" i="59"/>
  <c r="G19" i="59"/>
  <c r="AC62" i="78"/>
  <c r="H20" i="60" s="1"/>
  <c r="AD55" i="98"/>
  <c r="G18" i="92" l="1"/>
  <c r="M18" i="92"/>
  <c r="M18" i="58"/>
  <c r="G18" i="58"/>
  <c r="AC58" i="88"/>
  <c r="AC52" i="103"/>
  <c r="AC62" i="93"/>
  <c r="H20" i="92" s="1"/>
  <c r="AC62" i="77"/>
  <c r="AC60" i="88"/>
  <c r="AC54" i="103"/>
  <c r="AD62" i="93"/>
  <c r="H21" i="92" s="1"/>
  <c r="G21" i="60"/>
  <c r="M21" i="60"/>
  <c r="G21" i="58"/>
  <c r="M21" i="58"/>
  <c r="G20" i="60"/>
  <c r="M20" i="60"/>
  <c r="AC53" i="103"/>
  <c r="AC59" i="88"/>
  <c r="AC61" i="88"/>
  <c r="AC55" i="103"/>
  <c r="G22" i="92"/>
  <c r="M22" i="92"/>
  <c r="M22" i="117"/>
  <c r="AC56" i="103"/>
  <c r="AC62" i="88"/>
  <c r="M20" i="58"/>
  <c r="G20" i="58"/>
  <c r="M19" i="92"/>
  <c r="G19" i="92"/>
  <c r="AE59" i="103"/>
  <c r="G18" i="59"/>
  <c r="M18" i="59"/>
  <c r="AC64" i="88" l="1"/>
  <c r="H20" i="59"/>
  <c r="AC58" i="103"/>
  <c r="AC57" i="103"/>
  <c r="AC63" i="88"/>
  <c r="G20" i="92"/>
  <c r="M20" i="92"/>
  <c r="G21" i="92"/>
  <c r="M21" i="92"/>
  <c r="AC65" i="88" l="1"/>
  <c r="AC59" i="103"/>
  <c r="M20" i="117"/>
  <c r="M20" i="59"/>
  <c r="G20" i="59"/>
  <c r="AV11" i="77" l="1"/>
  <c r="AW7" i="77"/>
  <c r="AV11" i="95"/>
  <c r="AW7" i="95"/>
  <c r="AW33" i="95"/>
  <c r="AT36" i="78"/>
  <c r="AS11" i="78" l="1"/>
  <c r="AS29" i="78" s="1"/>
  <c r="AS31" i="78" s="1"/>
  <c r="AS7" i="88"/>
  <c r="AS7" i="103"/>
  <c r="AS11" i="103" s="1"/>
  <c r="AS27" i="103" s="1"/>
  <c r="AT11" i="78"/>
  <c r="AT29" i="78" s="1"/>
  <c r="AT31" i="78" s="1"/>
  <c r="AT37" i="78"/>
  <c r="D42" i="80"/>
  <c r="AW11" i="95"/>
  <c r="AV29" i="95"/>
  <c r="AW11" i="77"/>
  <c r="AV29" i="77"/>
  <c r="AW29" i="77" s="1"/>
  <c r="AV11" i="113"/>
  <c r="AW33" i="93"/>
  <c r="AV11" i="78"/>
  <c r="AV29" i="78" s="1"/>
  <c r="AW7" i="93" l="1"/>
  <c r="AV11" i="93"/>
  <c r="AV31" i="95"/>
  <c r="AW31" i="95" s="1"/>
  <c r="AW29" i="95"/>
  <c r="AT49" i="78"/>
  <c r="AT55" i="78"/>
  <c r="AT54" i="78"/>
  <c r="AT48" i="78"/>
  <c r="AT53" i="78"/>
  <c r="AT56" i="78"/>
  <c r="AT46" i="78"/>
  <c r="AT35" i="63"/>
  <c r="AT36" i="63" s="1"/>
  <c r="AU33" i="63"/>
  <c r="AV29" i="113"/>
  <c r="AT11" i="113"/>
  <c r="AT29" i="113" s="1"/>
  <c r="AT31" i="113" s="1"/>
  <c r="AU31" i="113" s="1"/>
  <c r="AU7" i="113"/>
  <c r="AS35" i="78"/>
  <c r="AS33" i="88"/>
  <c r="AS30" i="103"/>
  <c r="AS11" i="88"/>
  <c r="AS30" i="88" s="1"/>
  <c r="AR11" i="78"/>
  <c r="AR29" i="78" s="1"/>
  <c r="AR31" i="78" s="1"/>
  <c r="AU31" i="78" s="1"/>
  <c r="AU7" i="78"/>
  <c r="AR7" i="88"/>
  <c r="AR11" i="88" s="1"/>
  <c r="AR7" i="103"/>
  <c r="AV11" i="76"/>
  <c r="AV29" i="76" s="1"/>
  <c r="AT11" i="76"/>
  <c r="AU7" i="76"/>
  <c r="AY33" i="77"/>
  <c r="AW33" i="77"/>
  <c r="AT11" i="63"/>
  <c r="AU7" i="63"/>
  <c r="AT7" i="88"/>
  <c r="AT11" i="88" s="1"/>
  <c r="AT30" i="88" s="1"/>
  <c r="AT7" i="103"/>
  <c r="AT11" i="103" s="1"/>
  <c r="AT27" i="103" s="1"/>
  <c r="AV11" i="115"/>
  <c r="AW7" i="115"/>
  <c r="J110" i="80"/>
  <c r="D110" i="80"/>
  <c r="AU11" i="76" l="1"/>
  <c r="AT29" i="76"/>
  <c r="AT31" i="76" s="1"/>
  <c r="AT47" i="95"/>
  <c r="AT36" i="76"/>
  <c r="AT37" i="76" s="1"/>
  <c r="AU33" i="76"/>
  <c r="AW7" i="113"/>
  <c r="AU11" i="113"/>
  <c r="D144" i="80"/>
  <c r="L110" i="80"/>
  <c r="AW11" i="115"/>
  <c r="AV29" i="115"/>
  <c r="AW29" i="115" s="1"/>
  <c r="AU11" i="88"/>
  <c r="AR30" i="88"/>
  <c r="AU11" i="78"/>
  <c r="AW7" i="78"/>
  <c r="AT37" i="63"/>
  <c r="D212" i="80"/>
  <c r="AU7" i="88"/>
  <c r="AW7" i="88" s="1"/>
  <c r="AT30" i="103"/>
  <c r="AW11" i="93"/>
  <c r="AV29" i="93"/>
  <c r="AW7" i="63"/>
  <c r="AV11" i="63"/>
  <c r="AT33" i="88"/>
  <c r="AY33" i="115"/>
  <c r="AY35" i="115" s="1"/>
  <c r="AY36" i="115" s="1"/>
  <c r="AW33" i="115"/>
  <c r="AO34" i="63"/>
  <c r="AT32" i="103"/>
  <c r="AG34" i="63"/>
  <c r="AF34" i="63"/>
  <c r="AU35" i="63"/>
  <c r="AR34" i="78"/>
  <c r="AS32" i="103"/>
  <c r="AS33" i="103" s="1"/>
  <c r="AS35" i="88"/>
  <c r="AR11" i="103"/>
  <c r="AU7" i="103"/>
  <c r="AW7" i="103" s="1"/>
  <c r="AU11" i="63"/>
  <c r="AU29" i="63" s="1"/>
  <c r="AW29" i="63" s="1"/>
  <c r="AT29" i="63"/>
  <c r="AT31" i="63" s="1"/>
  <c r="AU31" i="63" s="1"/>
  <c r="AR35" i="78"/>
  <c r="AR30" i="103"/>
  <c r="AR33" i="88"/>
  <c r="AU33" i="78"/>
  <c r="AT35" i="113"/>
  <c r="AT36" i="113" s="1"/>
  <c r="AU33" i="113"/>
  <c r="AT47" i="93"/>
  <c r="AT43" i="98"/>
  <c r="AT36" i="98" s="1"/>
  <c r="AT38" i="98" s="1"/>
  <c r="AX29" i="63"/>
  <c r="AW33" i="63"/>
  <c r="D246" i="80"/>
  <c r="D258" i="80" s="1"/>
  <c r="D276" i="80" s="1"/>
  <c r="D278" i="80" s="1"/>
  <c r="B258" i="80"/>
  <c r="B276" i="80" s="1"/>
  <c r="AX31" i="78"/>
  <c r="AW7" i="76"/>
  <c r="AS36" i="78"/>
  <c r="AV33" i="88" l="1"/>
  <c r="AV30" i="103"/>
  <c r="AF31" i="103"/>
  <c r="AF33" i="103" s="1"/>
  <c r="AF34" i="103" s="1"/>
  <c r="AF34" i="88"/>
  <c r="AF36" i="88" s="1"/>
  <c r="AF37" i="88" s="1"/>
  <c r="AF36" i="63"/>
  <c r="AU34" i="63"/>
  <c r="AO34" i="88"/>
  <c r="AO36" i="88" s="1"/>
  <c r="AO31" i="103"/>
  <c r="AO33" i="103" s="1"/>
  <c r="AO36" i="63"/>
  <c r="AT50" i="63"/>
  <c r="AT56" i="63"/>
  <c r="AT47" i="63"/>
  <c r="AT48" i="63"/>
  <c r="AT55" i="63"/>
  <c r="AT46" i="63"/>
  <c r="AT49" i="63"/>
  <c r="AT53" i="63"/>
  <c r="AT45" i="63"/>
  <c r="AT54" i="63"/>
  <c r="AS37" i="78"/>
  <c r="D178" i="80"/>
  <c r="J178" i="80"/>
  <c r="AU29" i="113"/>
  <c r="AW29" i="113" s="1"/>
  <c r="AW11" i="113"/>
  <c r="AU33" i="88"/>
  <c r="AW11" i="63"/>
  <c r="AV29" i="63"/>
  <c r="AW11" i="88"/>
  <c r="AU30" i="88"/>
  <c r="AW30" i="88" s="1"/>
  <c r="D76" i="80"/>
  <c r="AX35" i="113"/>
  <c r="AW33" i="113"/>
  <c r="AS34" i="103"/>
  <c r="D7" i="80"/>
  <c r="B282" i="80"/>
  <c r="B323" i="80"/>
  <c r="B325" i="80" s="1"/>
  <c r="B19" i="80"/>
  <c r="AT39" i="98"/>
  <c r="BA37" i="76"/>
  <c r="AW33" i="76"/>
  <c r="AU36" i="76"/>
  <c r="AU11" i="103"/>
  <c r="AR27" i="103"/>
  <c r="AT37" i="113"/>
  <c r="AR36" i="78"/>
  <c r="AR31" i="103"/>
  <c r="AR34" i="88"/>
  <c r="AU30" i="103"/>
  <c r="AQ34" i="78"/>
  <c r="AR35" i="88"/>
  <c r="AR32" i="103"/>
  <c r="AU35" i="78"/>
  <c r="AV32" i="103" s="1"/>
  <c r="AT56" i="76"/>
  <c r="AU56" i="76" s="1"/>
  <c r="AT54" i="76"/>
  <c r="AT46" i="76"/>
  <c r="AT53" i="76"/>
  <c r="AU53" i="76" s="1"/>
  <c r="AT55" i="76"/>
  <c r="AU55" i="76" s="1"/>
  <c r="AT48" i="76"/>
  <c r="AT49" i="76"/>
  <c r="AU49" i="76" s="1"/>
  <c r="AT47" i="76"/>
  <c r="AU47" i="76" s="1"/>
  <c r="B80" i="80" s="1"/>
  <c r="AS34" i="113"/>
  <c r="AU35" i="113"/>
  <c r="AG34" i="88"/>
  <c r="AG31" i="103"/>
  <c r="AG33" i="103" s="1"/>
  <c r="AG34" i="103" s="1"/>
  <c r="AG36" i="63"/>
  <c r="AT33" i="103"/>
  <c r="AT34" i="103" s="1"/>
  <c r="AW11" i="78"/>
  <c r="AU29" i="78"/>
  <c r="AW29" i="78" s="1"/>
  <c r="AW33" i="78"/>
  <c r="AT35" i="88"/>
  <c r="AT36" i="88" s="1"/>
  <c r="AT37" i="88" s="1"/>
  <c r="AW11" i="76"/>
  <c r="AU29" i="76"/>
  <c r="AR33" i="103" l="1"/>
  <c r="AX64" i="88"/>
  <c r="AX33" i="88"/>
  <c r="AU32" i="103"/>
  <c r="AR34" i="103"/>
  <c r="AR37" i="78"/>
  <c r="AT45" i="95"/>
  <c r="AT44" i="103"/>
  <c r="AW32" i="103"/>
  <c r="D323" i="80"/>
  <c r="D19" i="80"/>
  <c r="AT50" i="103"/>
  <c r="O15" i="81"/>
  <c r="B102" i="80"/>
  <c r="AT53" i="113"/>
  <c r="AT54" i="88" s="1"/>
  <c r="AT56" i="113"/>
  <c r="AT57" i="88" s="1"/>
  <c r="AT50" i="113"/>
  <c r="AT49" i="113"/>
  <c r="AT54" i="113"/>
  <c r="AT55" i="88" s="1"/>
  <c r="AT55" i="113"/>
  <c r="AT56" i="88" s="1"/>
  <c r="AT46" i="113"/>
  <c r="AT48" i="113"/>
  <c r="AT50" i="93" s="1"/>
  <c r="AT51" i="88" s="1"/>
  <c r="BA30" i="88"/>
  <c r="AW33" i="88"/>
  <c r="AT46" i="103"/>
  <c r="AT48" i="93"/>
  <c r="AT45" i="93"/>
  <c r="AU48" i="76"/>
  <c r="B98" i="80" s="1"/>
  <c r="AW11" i="103"/>
  <c r="AU27" i="103"/>
  <c r="AW27" i="103" s="1"/>
  <c r="AT51" i="103"/>
  <c r="AU31" i="76"/>
  <c r="AW29" i="76"/>
  <c r="AY45" i="76" s="1"/>
  <c r="AV35" i="88"/>
  <c r="AO37" i="88"/>
  <c r="AT49" i="103"/>
  <c r="AU36" i="63"/>
  <c r="AT47" i="78"/>
  <c r="AG36" i="88"/>
  <c r="BD34" i="88"/>
  <c r="AO37" i="63"/>
  <c r="AO34" i="103"/>
  <c r="AT50" i="98"/>
  <c r="AT54" i="98"/>
  <c r="AT52" i="98"/>
  <c r="AT51" i="98"/>
  <c r="AT53" i="98"/>
  <c r="AS49" i="78"/>
  <c r="AS53" i="78"/>
  <c r="AS48" i="78"/>
  <c r="AS55" i="78"/>
  <c r="AS56" i="78"/>
  <c r="AS46" i="78"/>
  <c r="AS54" i="78"/>
  <c r="AS34" i="88"/>
  <c r="AS36" i="113"/>
  <c r="AU34" i="113"/>
  <c r="AU36" i="113" s="1"/>
  <c r="AW30" i="103"/>
  <c r="AT45" i="76"/>
  <c r="AT39" i="76" s="1"/>
  <c r="AT41" i="76" s="1"/>
  <c r="AT43" i="76" s="1"/>
  <c r="AT39" i="63"/>
  <c r="AT41" i="63" s="1"/>
  <c r="AF37" i="63"/>
  <c r="AT46" i="95"/>
  <c r="AU46" i="95" s="1"/>
  <c r="B115" i="80" s="1"/>
  <c r="AU46" i="76"/>
  <c r="B96" i="80" s="1"/>
  <c r="L178" i="80"/>
  <c r="AQ36" i="78"/>
  <c r="AQ31" i="103"/>
  <c r="AQ33" i="103" s="1"/>
  <c r="AQ34" i="88"/>
  <c r="AQ36" i="88" s="1"/>
  <c r="AU34" i="78"/>
  <c r="AU36" i="78" s="1"/>
  <c r="D80" i="80"/>
  <c r="AT48" i="103"/>
  <c r="AG37" i="63"/>
  <c r="B104" i="80"/>
  <c r="O8" i="81"/>
  <c r="AU37" i="76"/>
  <c r="AT47" i="113"/>
  <c r="AR36" i="88"/>
  <c r="AU35" i="88"/>
  <c r="D282" i="80"/>
  <c r="AT50" i="88"/>
  <c r="AT47" i="103"/>
  <c r="AT49" i="88" l="1"/>
  <c r="AT55" i="98"/>
  <c r="AU31" i="103"/>
  <c r="AU33" i="103" s="1"/>
  <c r="AU37" i="113"/>
  <c r="G86" i="80"/>
  <c r="P15" i="81"/>
  <c r="P8" i="81"/>
  <c r="G78" i="80"/>
  <c r="AS37" i="113"/>
  <c r="D104" i="80"/>
  <c r="J104" i="80"/>
  <c r="L104" i="80" s="1"/>
  <c r="AU34" i="88"/>
  <c r="AS36" i="88"/>
  <c r="AS47" i="95"/>
  <c r="AS39" i="95" s="1"/>
  <c r="AS41" i="95" s="1"/>
  <c r="AS44" i="103"/>
  <c r="AS39" i="78"/>
  <c r="AS41" i="78" s="1"/>
  <c r="AS48" i="103"/>
  <c r="AU37" i="78"/>
  <c r="AT59" i="76"/>
  <c r="AT58" i="76"/>
  <c r="AT60" i="76"/>
  <c r="AT61" i="76"/>
  <c r="AT57" i="76"/>
  <c r="AV36" i="88"/>
  <c r="AV37" i="88" s="1"/>
  <c r="AU37" i="63"/>
  <c r="J96" i="80"/>
  <c r="L96" i="80" s="1"/>
  <c r="D96" i="80"/>
  <c r="AG55" i="63"/>
  <c r="AG54" i="63"/>
  <c r="AG47" i="63"/>
  <c r="AG45" i="63"/>
  <c r="AG56" i="63"/>
  <c r="AG46" i="63"/>
  <c r="AG49" i="63"/>
  <c r="AG48" i="63"/>
  <c r="AG50" i="63"/>
  <c r="AG53" i="63"/>
  <c r="D325" i="80"/>
  <c r="AS51" i="103"/>
  <c r="AT39" i="78"/>
  <c r="AT41" i="78" s="1"/>
  <c r="AW35" i="88"/>
  <c r="AQ37" i="88"/>
  <c r="AV34" i="88"/>
  <c r="D98" i="80"/>
  <c r="J98" i="80"/>
  <c r="L98" i="80" s="1"/>
  <c r="AR54" i="78"/>
  <c r="AR48" i="78"/>
  <c r="AR55" i="78"/>
  <c r="AR46" i="78"/>
  <c r="AR53" i="78"/>
  <c r="AR56" i="78"/>
  <c r="AR49" i="78"/>
  <c r="AS49" i="103"/>
  <c r="D115" i="80"/>
  <c r="J115" i="80"/>
  <c r="L115" i="80" s="1"/>
  <c r="AF56" i="63"/>
  <c r="AF48" i="63"/>
  <c r="AF46" i="63"/>
  <c r="AF54" i="63"/>
  <c r="AF47" i="63"/>
  <c r="AF50" i="63"/>
  <c r="AF55" i="63"/>
  <c r="AF45" i="63"/>
  <c r="AF53" i="63"/>
  <c r="AF49" i="63"/>
  <c r="AT39" i="113"/>
  <c r="AT41" i="113" s="1"/>
  <c r="AT43" i="113" s="1"/>
  <c r="AT43" i="63"/>
  <c r="AS47" i="93"/>
  <c r="AS43" i="98"/>
  <c r="AS36" i="98" s="1"/>
  <c r="AS38" i="98" s="1"/>
  <c r="AS46" i="103"/>
  <c r="AT39" i="95"/>
  <c r="AT41" i="95" s="1"/>
  <c r="AV31" i="103"/>
  <c r="AV33" i="103" s="1"/>
  <c r="AT39" i="93"/>
  <c r="AT41" i="93" s="1"/>
  <c r="AT43" i="93" s="1"/>
  <c r="AU45" i="93"/>
  <c r="AO48" i="63"/>
  <c r="AO54" i="63"/>
  <c r="AO55" i="63"/>
  <c r="AO45" i="63"/>
  <c r="AO49" i="63"/>
  <c r="AO50" i="63"/>
  <c r="AO53" i="63"/>
  <c r="AO48" i="103" s="1"/>
  <c r="AO47" i="63"/>
  <c r="AO46" i="63"/>
  <c r="AO56" i="63"/>
  <c r="AS50" i="103"/>
  <c r="AG37" i="88"/>
  <c r="BD37" i="88" s="1"/>
  <c r="BD36" i="88"/>
  <c r="AT43" i="103"/>
  <c r="AT47" i="88"/>
  <c r="AT46" i="88"/>
  <c r="AT47" i="77"/>
  <c r="AS47" i="103"/>
  <c r="AR37" i="88"/>
  <c r="AQ34" i="103"/>
  <c r="AQ37" i="78"/>
  <c r="AT45" i="88"/>
  <c r="AT42" i="103"/>
  <c r="D102" i="80"/>
  <c r="J102" i="80"/>
  <c r="L102" i="80" s="1"/>
  <c r="AT62" i="76" l="1"/>
  <c r="AO55" i="88"/>
  <c r="AO49" i="103"/>
  <c r="AG54" i="88"/>
  <c r="AG48" i="103"/>
  <c r="AO47" i="103"/>
  <c r="AO50" i="88"/>
  <c r="AP49" i="77"/>
  <c r="AO49" i="77"/>
  <c r="AO39" i="77" s="1"/>
  <c r="AO41" i="77" s="1"/>
  <c r="AF55" i="88"/>
  <c r="AF49" i="103"/>
  <c r="AU54" i="63"/>
  <c r="AR43" i="98"/>
  <c r="AR36" i="98" s="1"/>
  <c r="AR38" i="98" s="1"/>
  <c r="AR47" i="93"/>
  <c r="AR46" i="103"/>
  <c r="AR49" i="88"/>
  <c r="AO45" i="76"/>
  <c r="AO39" i="76" s="1"/>
  <c r="AO41" i="76" s="1"/>
  <c r="AO46" i="88"/>
  <c r="AO43" i="103"/>
  <c r="AO39" i="63"/>
  <c r="AO41" i="63" s="1"/>
  <c r="AF45" i="95"/>
  <c r="AF44" i="103"/>
  <c r="AF47" i="88"/>
  <c r="AU46" i="63"/>
  <c r="AR49" i="103"/>
  <c r="AR55" i="88"/>
  <c r="AO56" i="88"/>
  <c r="AO50" i="103"/>
  <c r="AF48" i="93"/>
  <c r="AF49" i="88"/>
  <c r="AF46" i="103"/>
  <c r="AU48" i="63"/>
  <c r="AF57" i="88"/>
  <c r="AF51" i="103"/>
  <c r="AU56" i="63"/>
  <c r="AO48" i="93"/>
  <c r="AO46" i="103"/>
  <c r="AO49" i="88"/>
  <c r="AS43" i="78"/>
  <c r="B183" i="80"/>
  <c r="AG45" i="76"/>
  <c r="AG39" i="76" s="1"/>
  <c r="AG41" i="76" s="1"/>
  <c r="AG43" i="103"/>
  <c r="AG46" i="88"/>
  <c r="AG39" i="63"/>
  <c r="AG41" i="63" s="1"/>
  <c r="AO44" i="103"/>
  <c r="AO47" i="88"/>
  <c r="AO45" i="95"/>
  <c r="AO39" i="95" s="1"/>
  <c r="AO41" i="95" s="1"/>
  <c r="AU34" i="103"/>
  <c r="AF45" i="76"/>
  <c r="AF46" i="88"/>
  <c r="AF43" i="103"/>
  <c r="AU45" i="63"/>
  <c r="AF39" i="63"/>
  <c r="AF41" i="63" s="1"/>
  <c r="AR51" i="103"/>
  <c r="AR57" i="88"/>
  <c r="AG47" i="78"/>
  <c r="AG39" i="78" s="1"/>
  <c r="AG41" i="78" s="1"/>
  <c r="AG48" i="88"/>
  <c r="AG45" i="103"/>
  <c r="AS37" i="88"/>
  <c r="I78" i="80"/>
  <c r="J78" i="80"/>
  <c r="L78" i="80" s="1"/>
  <c r="AG49" i="77"/>
  <c r="AG39" i="77" s="1"/>
  <c r="AG41" i="77" s="1"/>
  <c r="AG50" i="88"/>
  <c r="AG47" i="103"/>
  <c r="AT59" i="93"/>
  <c r="AT60" i="93"/>
  <c r="AT58" i="93"/>
  <c r="AT61" i="93"/>
  <c r="AT57" i="93"/>
  <c r="I86" i="80"/>
  <c r="J86" i="80"/>
  <c r="L86" i="80" s="1"/>
  <c r="AT43" i="95"/>
  <c r="AR48" i="103"/>
  <c r="AR54" i="88"/>
  <c r="AG55" i="88"/>
  <c r="AG49" i="103"/>
  <c r="AW34" i="88"/>
  <c r="AU36" i="88"/>
  <c r="AS39" i="98"/>
  <c r="AG47" i="113"/>
  <c r="AG39" i="113" s="1"/>
  <c r="AG41" i="113" s="1"/>
  <c r="AG51" i="88"/>
  <c r="AG45" i="95"/>
  <c r="AG39" i="95" s="1"/>
  <c r="AG41" i="95" s="1"/>
  <c r="AG47" i="88"/>
  <c r="AG44" i="103"/>
  <c r="AF49" i="77"/>
  <c r="AF50" i="88"/>
  <c r="AF47" i="103"/>
  <c r="AU49" i="63"/>
  <c r="AG57" i="88"/>
  <c r="AG51" i="103"/>
  <c r="AO51" i="103"/>
  <c r="AO57" i="88"/>
  <c r="AS47" i="77"/>
  <c r="AS39" i="77" s="1"/>
  <c r="AS41" i="77" s="1"/>
  <c r="AR50" i="88"/>
  <c r="AR47" i="103"/>
  <c r="AF56" i="88"/>
  <c r="AF50" i="103"/>
  <c r="AU55" i="63"/>
  <c r="AR47" i="95"/>
  <c r="AR39" i="95" s="1"/>
  <c r="AR41" i="95" s="1"/>
  <c r="AR44" i="103"/>
  <c r="AR47" i="88"/>
  <c r="AR39" i="78"/>
  <c r="AR41" i="78" s="1"/>
  <c r="AR43" i="78" s="1"/>
  <c r="AS53" i="113"/>
  <c r="AS50" i="113"/>
  <c r="AS55" i="113"/>
  <c r="AS56" i="113"/>
  <c r="AS49" i="113"/>
  <c r="AS46" i="113"/>
  <c r="AS54" i="113"/>
  <c r="AS55" i="88" s="1"/>
  <c r="AS48" i="113"/>
  <c r="AG48" i="93"/>
  <c r="AG49" i="88"/>
  <c r="AG46" i="103"/>
  <c r="AQ55" i="78"/>
  <c r="AQ48" i="78"/>
  <c r="AQ46" i="78"/>
  <c r="AQ49" i="78"/>
  <c r="AQ54" i="78"/>
  <c r="AQ56" i="78"/>
  <c r="AQ53" i="78"/>
  <c r="AT59" i="63"/>
  <c r="AT60" i="63"/>
  <c r="AT58" i="63"/>
  <c r="AT61" i="63"/>
  <c r="AT57" i="63"/>
  <c r="AT60" i="113"/>
  <c r="AT58" i="113"/>
  <c r="AT59" i="113"/>
  <c r="AT61" i="113"/>
  <c r="AT57" i="113"/>
  <c r="AS43" i="95"/>
  <c r="AF54" i="88"/>
  <c r="AF48" i="103"/>
  <c r="AU53" i="63"/>
  <c r="AO47" i="78"/>
  <c r="AO39" i="78" s="1"/>
  <c r="AO41" i="78" s="1"/>
  <c r="AO48" i="88"/>
  <c r="AO45" i="103"/>
  <c r="AT43" i="78"/>
  <c r="AF47" i="113"/>
  <c r="AF51" i="88"/>
  <c r="AU50" i="63"/>
  <c r="AG50" i="103"/>
  <c r="AG56" i="88"/>
  <c r="AT39" i="77"/>
  <c r="AT41" i="77" s="1"/>
  <c r="AT48" i="88"/>
  <c r="AT45" i="103"/>
  <c r="AO51" i="88"/>
  <c r="AO47" i="113"/>
  <c r="AW31" i="103"/>
  <c r="AF47" i="78"/>
  <c r="AF48" i="88"/>
  <c r="AF45" i="103"/>
  <c r="AU47" i="63"/>
  <c r="AR56" i="88"/>
  <c r="AR50" i="103"/>
  <c r="BD57" i="88" l="1"/>
  <c r="BD50" i="88"/>
  <c r="BD48" i="88"/>
  <c r="BD47" i="88"/>
  <c r="BD54" i="88"/>
  <c r="AT62" i="113"/>
  <c r="BD56" i="88"/>
  <c r="AO42" i="103"/>
  <c r="AO36" i="103" s="1"/>
  <c r="AO38" i="103" s="1"/>
  <c r="AO45" i="88"/>
  <c r="AO39" i="93"/>
  <c r="AO41" i="93" s="1"/>
  <c r="AR39" i="93"/>
  <c r="AR41" i="93" s="1"/>
  <c r="AR43" i="93" s="1"/>
  <c r="AO54" i="88"/>
  <c r="AO39" i="113"/>
  <c r="AO41" i="113" s="1"/>
  <c r="AO43" i="78"/>
  <c r="BB64" i="101"/>
  <c r="BA71" i="115"/>
  <c r="BA71" i="77"/>
  <c r="AS50" i="93"/>
  <c r="AU48" i="113"/>
  <c r="B236" i="80" s="1"/>
  <c r="B186" i="80" s="1"/>
  <c r="AS49" i="88"/>
  <c r="AG43" i="95"/>
  <c r="AO43" i="95"/>
  <c r="B35" i="80"/>
  <c r="C8" i="81"/>
  <c r="AR39" i="98"/>
  <c r="BD51" i="88"/>
  <c r="B34" i="80"/>
  <c r="C16" i="81"/>
  <c r="AT62" i="63"/>
  <c r="AG45" i="88"/>
  <c r="AG39" i="88" s="1"/>
  <c r="AG41" i="88" s="1"/>
  <c r="AG42" i="103"/>
  <c r="AG39" i="93"/>
  <c r="AG41" i="93" s="1"/>
  <c r="AT61" i="95"/>
  <c r="AT58" i="95"/>
  <c r="AT57" i="95"/>
  <c r="AT59" i="95"/>
  <c r="AT60" i="95"/>
  <c r="C15" i="81"/>
  <c r="B33" i="80"/>
  <c r="AU46" i="113"/>
  <c r="AS47" i="88"/>
  <c r="AS39" i="113"/>
  <c r="AS41" i="113" s="1"/>
  <c r="AS43" i="113" s="1"/>
  <c r="AG43" i="113"/>
  <c r="AT62" i="93"/>
  <c r="B27" i="80"/>
  <c r="AS50" i="88"/>
  <c r="AU49" i="113"/>
  <c r="AS43" i="77"/>
  <c r="AG43" i="63"/>
  <c r="AS45" i="103"/>
  <c r="AS36" i="103" s="1"/>
  <c r="AS38" i="103" s="1"/>
  <c r="AT43" i="77"/>
  <c r="AQ48" i="103"/>
  <c r="AU48" i="103" s="1"/>
  <c r="AQ54" i="88"/>
  <c r="AU53" i="78"/>
  <c r="AS57" i="88"/>
  <c r="AU56" i="113"/>
  <c r="AS52" i="98"/>
  <c r="AS50" i="98"/>
  <c r="AS53" i="98"/>
  <c r="AS51" i="98"/>
  <c r="AS54" i="98"/>
  <c r="AG43" i="78"/>
  <c r="AO43" i="77"/>
  <c r="AQ51" i="103"/>
  <c r="AU51" i="103" s="1"/>
  <c r="AQ57" i="88"/>
  <c r="AU56" i="78"/>
  <c r="AV51" i="103" s="1"/>
  <c r="AG36" i="103"/>
  <c r="AG38" i="103" s="1"/>
  <c r="AU45" i="95"/>
  <c r="AF39" i="95"/>
  <c r="AF41" i="95" s="1"/>
  <c r="AQ49" i="103"/>
  <c r="AQ55" i="88"/>
  <c r="BE55" i="88" s="1"/>
  <c r="AU53" i="113"/>
  <c r="AS54" i="88"/>
  <c r="AR60" i="78"/>
  <c r="AR59" i="78"/>
  <c r="AR58" i="78"/>
  <c r="AR61" i="78"/>
  <c r="AR57" i="78"/>
  <c r="B30" i="80"/>
  <c r="AF45" i="88"/>
  <c r="AF39" i="88" s="1"/>
  <c r="AF41" i="88" s="1"/>
  <c r="AF42" i="103"/>
  <c r="AF39" i="93"/>
  <c r="AF41" i="93" s="1"/>
  <c r="AU48" i="93"/>
  <c r="AQ43" i="98"/>
  <c r="AQ47" i="93"/>
  <c r="AQ46" i="103"/>
  <c r="AU46" i="103" s="1"/>
  <c r="AQ49" i="88"/>
  <c r="AU48" i="78"/>
  <c r="B166" i="80" s="1"/>
  <c r="AQ50" i="103"/>
  <c r="AU50" i="103" s="1"/>
  <c r="AQ56" i="88"/>
  <c r="AU55" i="78"/>
  <c r="AV50" i="103" s="1"/>
  <c r="AU46" i="88"/>
  <c r="BD46" i="88"/>
  <c r="AS59" i="78"/>
  <c r="AS58" i="78"/>
  <c r="AS57" i="78"/>
  <c r="AS61" i="78"/>
  <c r="AS60" i="78"/>
  <c r="AO43" i="63"/>
  <c r="B31" i="80"/>
  <c r="AS61" i="95"/>
  <c r="AS60" i="95"/>
  <c r="AS59" i="95"/>
  <c r="AS58" i="95"/>
  <c r="AS57" i="95"/>
  <c r="AR47" i="77"/>
  <c r="AR45" i="103" s="1"/>
  <c r="AR36" i="103" s="1"/>
  <c r="AR38" i="103" s="1"/>
  <c r="AQ50" i="88"/>
  <c r="AQ47" i="103"/>
  <c r="AU47" i="103" s="1"/>
  <c r="AU49" i="78"/>
  <c r="B167" i="80" s="1"/>
  <c r="AQ47" i="95"/>
  <c r="AQ47" i="88"/>
  <c r="AQ44" i="103"/>
  <c r="AU46" i="78"/>
  <c r="AV44" i="103" s="1"/>
  <c r="AQ39" i="78"/>
  <c r="AQ41" i="78" s="1"/>
  <c r="AQ43" i="78" s="1"/>
  <c r="AV46" i="88"/>
  <c r="B26" i="80"/>
  <c r="AV43" i="103"/>
  <c r="AU39" i="63"/>
  <c r="AU41" i="63" s="1"/>
  <c r="J183" i="80"/>
  <c r="L183" i="80" s="1"/>
  <c r="D183" i="80"/>
  <c r="B28" i="80"/>
  <c r="AO43" i="76"/>
  <c r="AR43" i="95"/>
  <c r="AU49" i="77"/>
  <c r="B49" i="80" s="1"/>
  <c r="AF39" i="77"/>
  <c r="AF41" i="77" s="1"/>
  <c r="AU45" i="76"/>
  <c r="AF39" i="76"/>
  <c r="AF41" i="76" s="1"/>
  <c r="AU43" i="103"/>
  <c r="AS56" i="88"/>
  <c r="AU55" i="113"/>
  <c r="AU37" i="88"/>
  <c r="B29" i="80"/>
  <c r="AP39" i="77"/>
  <c r="AP41" i="77" s="1"/>
  <c r="AP45" i="88"/>
  <c r="AP39" i="88" s="1"/>
  <c r="AP41" i="88" s="1"/>
  <c r="AP43" i="88" s="1"/>
  <c r="AP42" i="103"/>
  <c r="AP36" i="103" s="1"/>
  <c r="AP38" i="103" s="1"/>
  <c r="AP40" i="103" s="1"/>
  <c r="AS48" i="88"/>
  <c r="AU50" i="113"/>
  <c r="AG43" i="76"/>
  <c r="AF43" i="63"/>
  <c r="AU47" i="113"/>
  <c r="B219" i="80" s="1"/>
  <c r="AF39" i="113"/>
  <c r="AF41" i="113" s="1"/>
  <c r="AG43" i="77"/>
  <c r="AT60" i="78"/>
  <c r="AT59" i="78"/>
  <c r="AT57" i="78"/>
  <c r="AT58" i="78"/>
  <c r="AT61" i="78"/>
  <c r="AF39" i="78"/>
  <c r="AF41" i="78" s="1"/>
  <c r="AU47" i="78"/>
  <c r="BD49" i="88"/>
  <c r="AT36" i="103"/>
  <c r="AT38" i="103" s="1"/>
  <c r="AT39" i="88"/>
  <c r="AT41" i="88" s="1"/>
  <c r="AT43" i="88" s="1"/>
  <c r="AV49" i="88" l="1"/>
  <c r="AR62" i="78"/>
  <c r="AV47" i="103"/>
  <c r="AU42" i="103"/>
  <c r="BE57" i="88"/>
  <c r="AR48" i="88"/>
  <c r="AR39" i="88" s="1"/>
  <c r="AR41" i="88" s="1"/>
  <c r="AR43" i="88" s="1"/>
  <c r="AW46" i="88"/>
  <c r="AU49" i="88"/>
  <c r="AW49" i="88" s="1"/>
  <c r="AU50" i="88"/>
  <c r="AU56" i="88"/>
  <c r="AW43" i="103"/>
  <c r="AS55" i="98"/>
  <c r="AU54" i="88"/>
  <c r="AF36" i="103"/>
  <c r="AF38" i="103" s="1"/>
  <c r="AF40" i="103" s="1"/>
  <c r="AG61" i="77"/>
  <c r="AG58" i="77"/>
  <c r="AG57" i="77"/>
  <c r="AG60" i="77"/>
  <c r="AG59" i="77"/>
  <c r="AG40" i="103"/>
  <c r="AF43" i="113"/>
  <c r="D30" i="80"/>
  <c r="AT62" i="95"/>
  <c r="AW47" i="103"/>
  <c r="AS60" i="113"/>
  <c r="AS58" i="113"/>
  <c r="AS59" i="113"/>
  <c r="AS61" i="113"/>
  <c r="AS57" i="113"/>
  <c r="AQ39" i="95"/>
  <c r="AQ41" i="95" s="1"/>
  <c r="AU47" i="95"/>
  <c r="B114" i="80" s="1"/>
  <c r="D166" i="80"/>
  <c r="J166" i="80"/>
  <c r="L166" i="80" s="1"/>
  <c r="K15" i="81"/>
  <c r="B170" i="80"/>
  <c r="B232" i="80"/>
  <c r="B79" i="80"/>
  <c r="AR39" i="77"/>
  <c r="AR41" i="77" s="1"/>
  <c r="AU47" i="77"/>
  <c r="AQ36" i="98"/>
  <c r="AQ38" i="98" s="1"/>
  <c r="AU43" i="98"/>
  <c r="AU36" i="98" s="1"/>
  <c r="J27" i="80"/>
  <c r="L27" i="80" s="1"/>
  <c r="D27" i="80"/>
  <c r="AV54" i="88"/>
  <c r="AV57" i="88"/>
  <c r="AF43" i="77"/>
  <c r="AU43" i="63"/>
  <c r="AS62" i="95"/>
  <c r="B185" i="80"/>
  <c r="AV45" i="88"/>
  <c r="AV42" i="103"/>
  <c r="AG59" i="78"/>
  <c r="AG57" i="78"/>
  <c r="AG60" i="78"/>
  <c r="AG58" i="78"/>
  <c r="AG61" i="78"/>
  <c r="AT60" i="77"/>
  <c r="AT59" i="77"/>
  <c r="AT54" i="103" s="1"/>
  <c r="AT58" i="77"/>
  <c r="AT59" i="88" s="1"/>
  <c r="AT61" i="77"/>
  <c r="AT62" i="88" s="1"/>
  <c r="AT57" i="77"/>
  <c r="AT52" i="103" s="1"/>
  <c r="AV48" i="103"/>
  <c r="AW48" i="103" s="1"/>
  <c r="B164" i="80"/>
  <c r="AG58" i="95"/>
  <c r="AG57" i="95"/>
  <c r="AG59" i="95"/>
  <c r="AG60" i="95"/>
  <c r="AG61" i="95"/>
  <c r="AT40" i="103"/>
  <c r="AV56" i="88"/>
  <c r="BE56" i="88"/>
  <c r="B238" i="80"/>
  <c r="D238" i="80" s="1"/>
  <c r="S15" i="81"/>
  <c r="AT62" i="78"/>
  <c r="D49" i="80"/>
  <c r="AF43" i="93"/>
  <c r="AS40" i="103"/>
  <c r="AV47" i="88"/>
  <c r="D33" i="80"/>
  <c r="J33" i="80"/>
  <c r="L33" i="80" s="1"/>
  <c r="D8" i="81"/>
  <c r="G9" i="80"/>
  <c r="D26" i="80"/>
  <c r="AU57" i="88"/>
  <c r="G17" i="80"/>
  <c r="D15" i="81"/>
  <c r="D35" i="80"/>
  <c r="J35" i="80"/>
  <c r="L35" i="80" s="1"/>
  <c r="AP43" i="77"/>
  <c r="AR60" i="95"/>
  <c r="AR59" i="95"/>
  <c r="AR58" i="95"/>
  <c r="AR57" i="95"/>
  <c r="AR61" i="95"/>
  <c r="AF43" i="88"/>
  <c r="AU45" i="88"/>
  <c r="BD45" i="88"/>
  <c r="AF43" i="95"/>
  <c r="AG61" i="63"/>
  <c r="AG58" i="63"/>
  <c r="AG60" i="63"/>
  <c r="AG57" i="63"/>
  <c r="AG59" i="63"/>
  <c r="AO58" i="78"/>
  <c r="AO59" i="78"/>
  <c r="AO60" i="78"/>
  <c r="AO61" i="78"/>
  <c r="AO57" i="78"/>
  <c r="AV46" i="103"/>
  <c r="AW46" i="103" s="1"/>
  <c r="AQ59" i="78"/>
  <c r="AQ58" i="78"/>
  <c r="AQ60" i="78"/>
  <c r="AQ61" i="78"/>
  <c r="AQ57" i="78"/>
  <c r="AV50" i="88"/>
  <c r="B113" i="80"/>
  <c r="D16" i="81"/>
  <c r="G18" i="80"/>
  <c r="AA16" i="81"/>
  <c r="AB16" i="81" s="1"/>
  <c r="AO60" i="95"/>
  <c r="AO61" i="95"/>
  <c r="AO58" i="95"/>
  <c r="AO57" i="95"/>
  <c r="AO59" i="95"/>
  <c r="AO43" i="113"/>
  <c r="J29" i="80"/>
  <c r="L29" i="80" s="1"/>
  <c r="D29" i="80"/>
  <c r="B240" i="80"/>
  <c r="S8" i="81"/>
  <c r="G214" i="80" s="1"/>
  <c r="AO58" i="63"/>
  <c r="AO60" i="63"/>
  <c r="AO59" i="63"/>
  <c r="AO57" i="63"/>
  <c r="AO61" i="63"/>
  <c r="AF58" i="63"/>
  <c r="AF57" i="63"/>
  <c r="AF60" i="63"/>
  <c r="AF61" i="63"/>
  <c r="AF59" i="63"/>
  <c r="D167" i="80"/>
  <c r="AO60" i="77"/>
  <c r="AO58" i="77"/>
  <c r="AO59" i="77"/>
  <c r="AO57" i="77"/>
  <c r="AO61" i="77"/>
  <c r="AG43" i="93"/>
  <c r="AS51" i="88"/>
  <c r="AU51" i="88" s="1"/>
  <c r="AU50" i="93"/>
  <c r="AV51" i="88" s="1"/>
  <c r="AS39" i="93"/>
  <c r="AS41" i="93" s="1"/>
  <c r="AS43" i="93" s="1"/>
  <c r="AO39" i="88"/>
  <c r="AO41" i="88" s="1"/>
  <c r="AO43" i="88" s="1"/>
  <c r="AO59" i="76"/>
  <c r="AO57" i="76"/>
  <c r="AO61" i="76"/>
  <c r="AO58" i="76"/>
  <c r="AO60" i="76"/>
  <c r="D31" i="80"/>
  <c r="B172" i="80"/>
  <c r="K8" i="81"/>
  <c r="AG57" i="113"/>
  <c r="AG59" i="113"/>
  <c r="AG58" i="113"/>
  <c r="AG60" i="113"/>
  <c r="AG61" i="113"/>
  <c r="AW51" i="103"/>
  <c r="AR58" i="93"/>
  <c r="AR60" i="93"/>
  <c r="AR59" i="93"/>
  <c r="AR61" i="93"/>
  <c r="AR57" i="93"/>
  <c r="D28" i="80"/>
  <c r="AO43" i="93"/>
  <c r="AR40" i="103"/>
  <c r="D34" i="80"/>
  <c r="J34" i="80"/>
  <c r="L34" i="80" s="1"/>
  <c r="AS60" i="77"/>
  <c r="AS59" i="77"/>
  <c r="AS58" i="77"/>
  <c r="AS61" i="77"/>
  <c r="AS57" i="77"/>
  <c r="D219" i="80"/>
  <c r="AU44" i="103"/>
  <c r="AW44" i="103" s="1"/>
  <c r="AO40" i="103"/>
  <c r="AF43" i="78"/>
  <c r="AG60" i="76"/>
  <c r="AG61" i="76"/>
  <c r="AG59" i="76"/>
  <c r="AG57" i="76"/>
  <c r="AG58" i="76"/>
  <c r="AF43" i="76"/>
  <c r="AS62" i="78"/>
  <c r="AQ39" i="93"/>
  <c r="AQ41" i="93" s="1"/>
  <c r="AQ48" i="88"/>
  <c r="AU48" i="88" s="1"/>
  <c r="AQ45" i="103"/>
  <c r="AU45" i="103" s="1"/>
  <c r="AU47" i="93"/>
  <c r="AG43" i="88"/>
  <c r="AT55" i="103"/>
  <c r="AR54" i="98"/>
  <c r="AR52" i="98"/>
  <c r="AR53" i="98"/>
  <c r="AR51" i="98"/>
  <c r="AR50" i="98"/>
  <c r="AU47" i="88"/>
  <c r="AA15" i="81" l="1"/>
  <c r="AB15" i="81" s="1"/>
  <c r="AW42" i="103"/>
  <c r="AW50" i="88"/>
  <c r="AT56" i="103"/>
  <c r="AW54" i="88"/>
  <c r="AT58" i="103"/>
  <c r="B297" i="80"/>
  <c r="D297" i="80" s="1"/>
  <c r="B296" i="80"/>
  <c r="J296" i="80" s="1"/>
  <c r="L296" i="80" s="1"/>
  <c r="AQ39" i="88"/>
  <c r="AQ41" i="88" s="1"/>
  <c r="AQ43" i="88" s="1"/>
  <c r="AW57" i="88"/>
  <c r="AS39" i="88"/>
  <c r="AS41" i="88" s="1"/>
  <c r="AS43" i="88" s="1"/>
  <c r="AO62" i="78"/>
  <c r="B182" i="80"/>
  <c r="AU39" i="93"/>
  <c r="AU41" i="93" s="1"/>
  <c r="AV45" i="103"/>
  <c r="AW45" i="103" s="1"/>
  <c r="AV48" i="88"/>
  <c r="AW48" i="88" s="1"/>
  <c r="AT61" i="88"/>
  <c r="D172" i="80"/>
  <c r="J172" i="80"/>
  <c r="L172" i="80" s="1"/>
  <c r="AU58" i="63"/>
  <c r="AQ62" i="78"/>
  <c r="AP58" i="77"/>
  <c r="AP57" i="77"/>
  <c r="AP59" i="77"/>
  <c r="AP61" i="77"/>
  <c r="AP60" i="77"/>
  <c r="T15" i="81"/>
  <c r="G222" i="80"/>
  <c r="AA8" i="81"/>
  <c r="J238" i="80"/>
  <c r="L238" i="80" s="1"/>
  <c r="J164" i="80"/>
  <c r="L164" i="80" s="1"/>
  <c r="D164" i="80"/>
  <c r="AQ43" i="95"/>
  <c r="I214" i="80"/>
  <c r="J214" i="80"/>
  <c r="L214" i="80" s="1"/>
  <c r="AO62" i="76"/>
  <c r="AF61" i="77"/>
  <c r="AF60" i="77"/>
  <c r="AF58" i="77"/>
  <c r="AF59" i="77"/>
  <c r="AF57" i="77"/>
  <c r="AO57" i="113"/>
  <c r="AO60" i="113"/>
  <c r="AO58" i="113"/>
  <c r="AO61" i="113"/>
  <c r="AO59" i="113"/>
  <c r="J114" i="80"/>
  <c r="L114" i="80" s="1"/>
  <c r="D114" i="80"/>
  <c r="AG62" i="76"/>
  <c r="H24" i="57" s="1"/>
  <c r="AQ36" i="103"/>
  <c r="AQ38" i="103" s="1"/>
  <c r="AR62" i="93"/>
  <c r="AG57" i="93"/>
  <c r="AG58" i="88" s="1"/>
  <c r="AG60" i="93"/>
  <c r="AG55" i="103" s="1"/>
  <c r="AG61" i="93"/>
  <c r="AG56" i="103" s="1"/>
  <c r="AG59" i="93"/>
  <c r="AG54" i="103" s="1"/>
  <c r="AG58" i="93"/>
  <c r="AG53" i="103" s="1"/>
  <c r="AO62" i="95"/>
  <c r="AT58" i="88"/>
  <c r="D185" i="80"/>
  <c r="J185" i="80"/>
  <c r="L185" i="80" s="1"/>
  <c r="AS62" i="113"/>
  <c r="AQ39" i="98"/>
  <c r="AU38" i="98"/>
  <c r="AO62" i="77"/>
  <c r="AT62" i="77"/>
  <c r="AT64" i="88" s="1"/>
  <c r="B47" i="80"/>
  <c r="AG62" i="77"/>
  <c r="H24" i="59" s="1"/>
  <c r="AW45" i="88"/>
  <c r="AR43" i="77"/>
  <c r="AF60" i="95"/>
  <c r="AF57" i="95"/>
  <c r="AF59" i="95"/>
  <c r="AF58" i="95"/>
  <c r="AF61" i="95"/>
  <c r="D79" i="80"/>
  <c r="D88" i="80" s="1"/>
  <c r="B88" i="80"/>
  <c r="J240" i="80"/>
  <c r="L240" i="80" s="1"/>
  <c r="D240" i="80"/>
  <c r="AF59" i="93"/>
  <c r="AF58" i="93"/>
  <c r="AF60" i="93"/>
  <c r="AF61" i="93"/>
  <c r="AF57" i="93"/>
  <c r="AW47" i="88"/>
  <c r="AO61" i="93"/>
  <c r="AO56" i="103" s="1"/>
  <c r="AO60" i="93"/>
  <c r="AO55" i="103" s="1"/>
  <c r="AO59" i="93"/>
  <c r="AO54" i="103" s="1"/>
  <c r="AO57" i="93"/>
  <c r="AO52" i="103" s="1"/>
  <c r="AO58" i="93"/>
  <c r="AO53" i="103" s="1"/>
  <c r="AS60" i="93"/>
  <c r="AS59" i="93"/>
  <c r="AS58" i="93"/>
  <c r="AS61" i="93"/>
  <c r="AS57" i="93"/>
  <c r="AU61" i="63"/>
  <c r="AU39" i="95"/>
  <c r="AU41" i="95" s="1"/>
  <c r="AU43" i="95" s="1"/>
  <c r="B299" i="80"/>
  <c r="L15" i="81"/>
  <c r="G154" i="80"/>
  <c r="AF60" i="78"/>
  <c r="AF61" i="78"/>
  <c r="AF58" i="78"/>
  <c r="AF57" i="78"/>
  <c r="AF59" i="78"/>
  <c r="I18" i="80"/>
  <c r="J18" i="80"/>
  <c r="L18" i="80" s="1"/>
  <c r="G287" i="80"/>
  <c r="I287" i="80" s="1"/>
  <c r="AR62" i="95"/>
  <c r="AQ43" i="93"/>
  <c r="AU59" i="63"/>
  <c r="J170" i="80"/>
  <c r="L170" i="80" s="1"/>
  <c r="D170" i="80"/>
  <c r="AT53" i="103"/>
  <c r="J113" i="80"/>
  <c r="D113" i="80"/>
  <c r="B122" i="80"/>
  <c r="AG62" i="63"/>
  <c r="AG62" i="95"/>
  <c r="H24" i="58" s="1"/>
  <c r="AG62" i="78"/>
  <c r="H24" i="60" s="1"/>
  <c r="AO62" i="63"/>
  <c r="I17" i="80"/>
  <c r="J17" i="80"/>
  <c r="L17" i="80" s="1"/>
  <c r="J232" i="80"/>
  <c r="L232" i="80" s="1"/>
  <c r="D232" i="80"/>
  <c r="AG62" i="113"/>
  <c r="H24" i="111" s="1"/>
  <c r="AU60" i="63"/>
  <c r="AR55" i="98"/>
  <c r="AF60" i="76"/>
  <c r="AF59" i="76"/>
  <c r="AF58" i="76"/>
  <c r="AF61" i="76"/>
  <c r="AF57" i="76"/>
  <c r="AS62" i="77"/>
  <c r="AT60" i="88"/>
  <c r="G146" i="80"/>
  <c r="L8" i="81"/>
  <c r="AU57" i="63"/>
  <c r="AF62" i="63"/>
  <c r="I9" i="80"/>
  <c r="J9" i="80"/>
  <c r="L9" i="80" s="1"/>
  <c r="AF59" i="113"/>
  <c r="AF61" i="113"/>
  <c r="AF60" i="113"/>
  <c r="AF57" i="113"/>
  <c r="AF58" i="113"/>
  <c r="D296" i="80" l="1"/>
  <c r="J297" i="80"/>
  <c r="L297" i="80" s="1"/>
  <c r="AT57" i="103"/>
  <c r="G286" i="80"/>
  <c r="I286" i="80" s="1"/>
  <c r="AO58" i="88"/>
  <c r="AO59" i="88"/>
  <c r="AF52" i="103"/>
  <c r="AF60" i="88"/>
  <c r="AG61" i="88"/>
  <c r="AO62" i="88"/>
  <c r="AF54" i="103"/>
  <c r="AO60" i="88"/>
  <c r="AF56" i="103"/>
  <c r="D122" i="80"/>
  <c r="AF62" i="88"/>
  <c r="AO61" i="88"/>
  <c r="AO57" i="103"/>
  <c r="B24" i="80"/>
  <c r="AG62" i="88"/>
  <c r="AF62" i="113"/>
  <c r="H23" i="111" s="1"/>
  <c r="J146" i="80"/>
  <c r="L146" i="80" s="1"/>
  <c r="I146" i="80"/>
  <c r="B25" i="80"/>
  <c r="AF62" i="93"/>
  <c r="M24" i="57"/>
  <c r="G24" i="57"/>
  <c r="I222" i="80"/>
  <c r="J222" i="80"/>
  <c r="L222" i="80" s="1"/>
  <c r="AQ59" i="95"/>
  <c r="AU59" i="95" s="1"/>
  <c r="B126" i="80" s="1"/>
  <c r="AQ58" i="95"/>
  <c r="AU58" i="95" s="1"/>
  <c r="B125" i="80" s="1"/>
  <c r="AQ57" i="95"/>
  <c r="AU57" i="95" s="1"/>
  <c r="B124" i="80" s="1"/>
  <c r="AQ60" i="95"/>
  <c r="AU60" i="95" s="1"/>
  <c r="B127" i="80" s="1"/>
  <c r="AQ61" i="95"/>
  <c r="AU61" i="95" s="1"/>
  <c r="M24" i="60"/>
  <c r="G24" i="60"/>
  <c r="AS55" i="103"/>
  <c r="AS61" i="88"/>
  <c r="G24" i="58"/>
  <c r="M24" i="58"/>
  <c r="G24" i="59"/>
  <c r="M24" i="59"/>
  <c r="AQ40" i="103"/>
  <c r="L113" i="80"/>
  <c r="L122" i="80" s="1"/>
  <c r="J122" i="80"/>
  <c r="D47" i="80"/>
  <c r="J47" i="80"/>
  <c r="L47" i="80" s="1"/>
  <c r="B288" i="80"/>
  <c r="AT63" i="88"/>
  <c r="AS53" i="103"/>
  <c r="AS59" i="88"/>
  <c r="AR58" i="103"/>
  <c r="AF62" i="95"/>
  <c r="AP55" i="103"/>
  <c r="AP61" i="88"/>
  <c r="AF62" i="76"/>
  <c r="H23" i="57" s="1"/>
  <c r="AS62" i="93"/>
  <c r="AS58" i="103" s="1"/>
  <c r="AS58" i="88"/>
  <c r="AS52" i="103"/>
  <c r="AG59" i="88"/>
  <c r="AP56" i="103"/>
  <c r="AP62" i="88"/>
  <c r="AU43" i="93"/>
  <c r="G285" i="80"/>
  <c r="G84" i="85"/>
  <c r="B23" i="80"/>
  <c r="AF62" i="78"/>
  <c r="H23" i="60" s="1"/>
  <c r="AS56" i="103"/>
  <c r="AS62" i="88"/>
  <c r="AP54" i="103"/>
  <c r="AP60" i="88"/>
  <c r="J182" i="80"/>
  <c r="D182" i="80"/>
  <c r="D190" i="80" s="1"/>
  <c r="B190" i="80"/>
  <c r="AP59" i="88"/>
  <c r="AP53" i="103"/>
  <c r="B22" i="80"/>
  <c r="H24" i="127"/>
  <c r="H24" i="56"/>
  <c r="AG62" i="93"/>
  <c r="H24" i="92" s="1"/>
  <c r="AO62" i="113"/>
  <c r="AF59" i="88"/>
  <c r="B21" i="80"/>
  <c r="AF61" i="88"/>
  <c r="AG52" i="103"/>
  <c r="AG57" i="103" s="1"/>
  <c r="D299" i="80"/>
  <c r="AF53" i="103"/>
  <c r="AP52" i="103"/>
  <c r="AP58" i="88"/>
  <c r="AP62" i="77"/>
  <c r="AP64" i="88" s="1"/>
  <c r="AS60" i="88"/>
  <c r="AS54" i="103"/>
  <c r="AQ60" i="93"/>
  <c r="AQ59" i="93"/>
  <c r="AQ58" i="93"/>
  <c r="AQ61" i="93"/>
  <c r="AQ57" i="93"/>
  <c r="H23" i="127"/>
  <c r="H23" i="56"/>
  <c r="AU62" i="63"/>
  <c r="AR59" i="77"/>
  <c r="AR61" i="77"/>
  <c r="AR57" i="77"/>
  <c r="AR60" i="77"/>
  <c r="AR58" i="77"/>
  <c r="I154" i="80"/>
  <c r="J154" i="80"/>
  <c r="L154" i="80" s="1"/>
  <c r="AO62" i="93"/>
  <c r="AF55" i="103"/>
  <c r="AG60" i="88"/>
  <c r="AQ51" i="98"/>
  <c r="AU51" i="98" s="1"/>
  <c r="AQ52" i="98"/>
  <c r="AU52" i="98" s="1"/>
  <c r="AQ53" i="98"/>
  <c r="AU53" i="98" s="1"/>
  <c r="AQ50" i="98"/>
  <c r="AQ54" i="98"/>
  <c r="AU54" i="98" s="1"/>
  <c r="AF62" i="77"/>
  <c r="H23" i="59" s="1"/>
  <c r="AB8" i="81"/>
  <c r="AF58" i="88"/>
  <c r="M24" i="111"/>
  <c r="G24" i="111"/>
  <c r="J286" i="80" l="1"/>
  <c r="L286" i="80" s="1"/>
  <c r="B128" i="80"/>
  <c r="B140" i="80" s="1"/>
  <c r="AO63" i="88"/>
  <c r="AO64" i="88"/>
  <c r="AS64" i="88"/>
  <c r="AG64" i="88"/>
  <c r="AF64" i="88"/>
  <c r="AG63" i="88"/>
  <c r="AO58" i="103"/>
  <c r="AO59" i="103" s="1"/>
  <c r="AF57" i="103"/>
  <c r="AS63" i="88"/>
  <c r="J341" i="80"/>
  <c r="J343" i="80" s="1"/>
  <c r="J125" i="80"/>
  <c r="L125" i="80" s="1"/>
  <c r="D125" i="80"/>
  <c r="D126" i="80"/>
  <c r="J126" i="80"/>
  <c r="L126" i="80" s="1"/>
  <c r="AQ53" i="103"/>
  <c r="AQ59" i="88"/>
  <c r="G23" i="56"/>
  <c r="O23" i="56"/>
  <c r="M23" i="56"/>
  <c r="N23" i="56"/>
  <c r="I150" i="56"/>
  <c r="C150" i="56"/>
  <c r="H45" i="56"/>
  <c r="D38" i="80"/>
  <c r="L38" i="80" s="1"/>
  <c r="J127" i="80"/>
  <c r="L127" i="80" s="1"/>
  <c r="D127" i="80"/>
  <c r="N24" i="127"/>
  <c r="M24" i="127"/>
  <c r="G24" i="127"/>
  <c r="O24" i="127"/>
  <c r="G23" i="60"/>
  <c r="M23" i="60"/>
  <c r="AU58" i="93"/>
  <c r="AQ62" i="95"/>
  <c r="AU62" i="95" s="1"/>
  <c r="AX34" i="95" s="1"/>
  <c r="D23" i="80"/>
  <c r="AQ62" i="88"/>
  <c r="AQ56" i="103"/>
  <c r="AR62" i="88"/>
  <c r="AR56" i="103"/>
  <c r="AF63" i="88"/>
  <c r="AF58" i="103"/>
  <c r="AS57" i="103"/>
  <c r="G23" i="111"/>
  <c r="M23" i="111"/>
  <c r="AQ52" i="103"/>
  <c r="AQ58" i="88"/>
  <c r="AQ62" i="93"/>
  <c r="AU62" i="93" s="1"/>
  <c r="AY35" i="93" s="1"/>
  <c r="D22" i="80"/>
  <c r="M23" i="59"/>
  <c r="G23" i="59"/>
  <c r="G23" i="57"/>
  <c r="M23" i="57"/>
  <c r="AU50" i="98"/>
  <c r="AQ55" i="98"/>
  <c r="AU55" i="98" s="1"/>
  <c r="AR61" i="88"/>
  <c r="AR55" i="103"/>
  <c r="AQ54" i="103"/>
  <c r="AQ60" i="88"/>
  <c r="D21" i="80"/>
  <c r="B37" i="80"/>
  <c r="AR52" i="103"/>
  <c r="AR58" i="88"/>
  <c r="AR62" i="77"/>
  <c r="AR64" i="88" s="1"/>
  <c r="AQ61" i="88"/>
  <c r="AQ55" i="103"/>
  <c r="I285" i="80"/>
  <c r="J285" i="80"/>
  <c r="L285" i="80" s="1"/>
  <c r="D24" i="80"/>
  <c r="D288" i="80"/>
  <c r="AR60" i="88"/>
  <c r="AR54" i="103"/>
  <c r="AU57" i="93"/>
  <c r="AP63" i="88"/>
  <c r="AP65" i="88" s="1"/>
  <c r="H23" i="58"/>
  <c r="G23" i="127"/>
  <c r="M23" i="127"/>
  <c r="N23" i="127"/>
  <c r="O23" i="127"/>
  <c r="H45" i="127"/>
  <c r="I150" i="127"/>
  <c r="C150" i="127"/>
  <c r="J128" i="80"/>
  <c r="L128" i="80" s="1"/>
  <c r="AR59" i="88"/>
  <c r="AR53" i="103"/>
  <c r="L182" i="80"/>
  <c r="L190" i="80" s="1"/>
  <c r="J190" i="80"/>
  <c r="H23" i="92"/>
  <c r="H45" i="92" s="1"/>
  <c r="C12" i="55" s="1"/>
  <c r="AG58" i="103"/>
  <c r="AG59" i="103" s="1"/>
  <c r="AU59" i="93"/>
  <c r="AP57" i="103"/>
  <c r="AP59" i="103" s="1"/>
  <c r="D124" i="80"/>
  <c r="J124" i="80"/>
  <c r="L124" i="80" s="1"/>
  <c r="M24" i="92"/>
  <c r="G24" i="92"/>
  <c r="AU61" i="93"/>
  <c r="AX30" i="63"/>
  <c r="AY30" i="63" s="1"/>
  <c r="AZ59" i="97"/>
  <c r="M24" i="117"/>
  <c r="N24" i="56"/>
  <c r="G24" i="56"/>
  <c r="M24" i="56"/>
  <c r="O24" i="56"/>
  <c r="E14" i="85"/>
  <c r="AU60" i="93"/>
  <c r="D25" i="80"/>
  <c r="J25" i="80"/>
  <c r="L25" i="80" s="1"/>
  <c r="D128" i="80" l="1"/>
  <c r="AO65" i="88"/>
  <c r="M23" i="117"/>
  <c r="N45" i="56"/>
  <c r="AQ64" i="88"/>
  <c r="AF59" i="103"/>
  <c r="AF65" i="88"/>
  <c r="BE59" i="88"/>
  <c r="AG65" i="88"/>
  <c r="E140" i="80"/>
  <c r="AR57" i="103"/>
  <c r="L140" i="80"/>
  <c r="C26" i="55"/>
  <c r="D26" i="55" s="1"/>
  <c r="D12" i="55"/>
  <c r="O45" i="56"/>
  <c r="P145" i="56" s="1"/>
  <c r="J150" i="127"/>
  <c r="I198" i="127"/>
  <c r="O45" i="127"/>
  <c r="P145" i="127" s="1"/>
  <c r="J330" i="80"/>
  <c r="D140" i="80"/>
  <c r="M45" i="127"/>
  <c r="S45" i="127"/>
  <c r="W45" i="127"/>
  <c r="AA45" i="127" s="1"/>
  <c r="H144" i="127"/>
  <c r="H147" i="127" s="1"/>
  <c r="D150" i="127"/>
  <c r="B194" i="80"/>
  <c r="E37" i="80"/>
  <c r="N45" i="127"/>
  <c r="AR63" i="88"/>
  <c r="G23" i="58"/>
  <c r="G42" i="58" s="1"/>
  <c r="M23" i="58"/>
  <c r="M42" i="58" s="1"/>
  <c r="M50" i="58" s="1"/>
  <c r="E17" i="85"/>
  <c r="H42" i="58"/>
  <c r="D141" i="80"/>
  <c r="L141" i="80" s="1"/>
  <c r="D209" i="80"/>
  <c r="AQ57" i="103"/>
  <c r="D150" i="56"/>
  <c r="AY37" i="93"/>
  <c r="AY36" i="93"/>
  <c r="AX36" i="95"/>
  <c r="AX35" i="95"/>
  <c r="C154" i="56"/>
  <c r="D154" i="56" s="1"/>
  <c r="J150" i="56"/>
  <c r="I198" i="56"/>
  <c r="M23" i="92"/>
  <c r="G23" i="92"/>
  <c r="I154" i="56"/>
  <c r="J154" i="56" s="1"/>
  <c r="C154" i="127"/>
  <c r="D154" i="127" s="1"/>
  <c r="E19" i="85"/>
  <c r="I154" i="127"/>
  <c r="J154" i="127" s="1"/>
  <c r="J140" i="80"/>
  <c r="G330" i="80"/>
  <c r="D37" i="80"/>
  <c r="AQ63" i="88"/>
  <c r="B195" i="80"/>
  <c r="B192" i="80"/>
  <c r="AZ60" i="97"/>
  <c r="AZ61" i="97" s="1"/>
  <c r="AY60" i="93"/>
  <c r="B193" i="80"/>
  <c r="BE58" i="88"/>
  <c r="B196" i="80"/>
  <c r="M45" i="56"/>
  <c r="S45" i="56"/>
  <c r="W45" i="56"/>
  <c r="AA45" i="56" s="1"/>
  <c r="H144" i="56"/>
  <c r="D14" i="85"/>
  <c r="E62" i="85"/>
  <c r="AQ58" i="103"/>
  <c r="L142" i="80" l="1"/>
  <c r="J335" i="80"/>
  <c r="D142" i="80"/>
  <c r="D17" i="85"/>
  <c r="E65" i="85"/>
  <c r="D195" i="80"/>
  <c r="J195" i="80"/>
  <c r="L195" i="80" s="1"/>
  <c r="V45" i="127"/>
  <c r="S144" i="127"/>
  <c r="S146" i="127" s="1"/>
  <c r="D196" i="80"/>
  <c r="J196" i="80"/>
  <c r="L196" i="80" s="1"/>
  <c r="D39" i="80"/>
  <c r="H350" i="80"/>
  <c r="C6" i="55"/>
  <c r="H147" i="56"/>
  <c r="J194" i="80"/>
  <c r="L194" i="80" s="1"/>
  <c r="D194" i="80"/>
  <c r="F341" i="80"/>
  <c r="D193" i="80"/>
  <c r="J193" i="80"/>
  <c r="L193" i="80" s="1"/>
  <c r="D19" i="85"/>
  <c r="E67" i="85"/>
  <c r="D192" i="80"/>
  <c r="J192" i="80"/>
  <c r="B208" i="80"/>
  <c r="E208" i="80" s="1"/>
  <c r="V45" i="56"/>
  <c r="S144" i="56"/>
  <c r="S146" i="56" s="1"/>
  <c r="N42" i="58"/>
  <c r="H50" i="58"/>
  <c r="H54" i="58"/>
  <c r="H58" i="58" s="1"/>
  <c r="J198" i="127" l="1"/>
  <c r="K198" i="127" s="1"/>
  <c r="J198" i="56"/>
  <c r="K198" i="56" s="1"/>
  <c r="C21" i="55"/>
  <c r="D6" i="55"/>
  <c r="F343" i="80"/>
  <c r="L192" i="80"/>
  <c r="L208" i="80" s="1"/>
  <c r="J208" i="80"/>
  <c r="F330" i="80"/>
  <c r="D208" i="80"/>
  <c r="D210" i="80" s="1"/>
  <c r="H59" i="58"/>
  <c r="H60" i="58" s="1"/>
  <c r="N51" i="58"/>
  <c r="C11" i="55"/>
  <c r="F335" i="80" l="1"/>
  <c r="D21" i="55"/>
  <c r="C25" i="55"/>
  <c r="D25" i="55" s="1"/>
  <c r="D11" i="55"/>
  <c r="D5" i="81" l="1"/>
  <c r="W17" i="81"/>
  <c r="P5" i="81"/>
  <c r="H5" i="81"/>
  <c r="L5" i="81"/>
  <c r="I212" i="80" l="1"/>
  <c r="J212" i="80"/>
  <c r="T5" i="81"/>
  <c r="S10" i="81" s="1"/>
  <c r="G282" i="80"/>
  <c r="X17" i="81"/>
  <c r="I7" i="80"/>
  <c r="J7" i="80"/>
  <c r="AA5" i="81"/>
  <c r="AE5" i="81" l="1"/>
  <c r="AE6" i="81" s="1"/>
  <c r="J282" i="80"/>
  <c r="W27" i="81"/>
  <c r="W26" i="81"/>
  <c r="W30" i="81"/>
  <c r="W25" i="81"/>
  <c r="W24" i="81"/>
  <c r="W23" i="81"/>
  <c r="AB5" i="81"/>
  <c r="AC8" i="81" s="1"/>
  <c r="AC9" i="81" s="1"/>
  <c r="L7" i="80"/>
  <c r="L19" i="80" s="1"/>
  <c r="J19" i="80"/>
  <c r="G323" i="80"/>
  <c r="G325" i="80" s="1"/>
  <c r="I246" i="80"/>
  <c r="I258" i="80" s="1"/>
  <c r="G258" i="80"/>
  <c r="J246" i="80"/>
  <c r="L212" i="80"/>
  <c r="I144" i="80"/>
  <c r="K144" i="80" s="1"/>
  <c r="K156" i="80" s="1"/>
  <c r="K174" i="80" s="1"/>
  <c r="J144" i="80"/>
  <c r="I42" i="80"/>
  <c r="J42" i="80"/>
  <c r="I76" i="80"/>
  <c r="K76" i="80" s="1"/>
  <c r="K88" i="80" s="1"/>
  <c r="K106" i="80" s="1"/>
  <c r="J76" i="80"/>
  <c r="I323" i="80" l="1"/>
  <c r="I325" i="80" s="1"/>
  <c r="J323" i="80"/>
  <c r="J325" i="80" s="1"/>
  <c r="L144" i="80"/>
  <c r="G265" i="80"/>
  <c r="X25" i="81"/>
  <c r="G273" i="80"/>
  <c r="X30" i="81"/>
  <c r="G269" i="80"/>
  <c r="G14" i="81"/>
  <c r="X26" i="81"/>
  <c r="G271" i="80"/>
  <c r="X27" i="81"/>
  <c r="X23" i="81"/>
  <c r="C14" i="81"/>
  <c r="G268" i="80"/>
  <c r="K42" i="80"/>
  <c r="K54" i="80" s="1"/>
  <c r="K72" i="80" s="1"/>
  <c r="H323" i="80"/>
  <c r="H325" i="80" s="1"/>
  <c r="I282" i="80"/>
  <c r="X24" i="81"/>
  <c r="G267" i="80"/>
  <c r="L246" i="80"/>
  <c r="L258" i="80" s="1"/>
  <c r="J258" i="80"/>
  <c r="L282" i="80"/>
  <c r="L76" i="80"/>
  <c r="H14" i="81" l="1"/>
  <c r="G51" i="80"/>
  <c r="I51" i="80" s="1"/>
  <c r="I269" i="80"/>
  <c r="J269" i="80"/>
  <c r="L269" i="80" s="1"/>
  <c r="J273" i="80"/>
  <c r="L273" i="80" s="1"/>
  <c r="I273" i="80"/>
  <c r="I271" i="80"/>
  <c r="J271" i="80"/>
  <c r="L271" i="80" s="1"/>
  <c r="L42" i="80"/>
  <c r="J267" i="80"/>
  <c r="L267" i="80" s="1"/>
  <c r="I267" i="80"/>
  <c r="I265" i="80"/>
  <c r="J265" i="80"/>
  <c r="L265" i="80" s="1"/>
  <c r="J268" i="80"/>
  <c r="L268" i="80" s="1"/>
  <c r="I268" i="80"/>
  <c r="D14" i="81"/>
  <c r="G16" i="80"/>
  <c r="AA14" i="81"/>
  <c r="C17" i="81"/>
  <c r="I16" i="80" l="1"/>
  <c r="I19" i="80" s="1"/>
  <c r="G19" i="80"/>
  <c r="D17" i="81"/>
  <c r="C26" i="81" l="1"/>
  <c r="C25" i="81"/>
  <c r="C24" i="81"/>
  <c r="C30" i="81"/>
  <c r="C23" i="81"/>
  <c r="C28" i="81"/>
  <c r="C27" i="81"/>
  <c r="C29" i="81"/>
  <c r="C31" i="81"/>
  <c r="D29" i="81" l="1"/>
  <c r="D31" i="81"/>
  <c r="G31" i="80"/>
  <c r="S9" i="81"/>
  <c r="AA27" i="81"/>
  <c r="AB27" i="81" s="1"/>
  <c r="D27" i="81"/>
  <c r="AA28" i="81"/>
  <c r="G32" i="80"/>
  <c r="I32" i="80" s="1"/>
  <c r="D28" i="81"/>
  <c r="D23" i="81"/>
  <c r="D30" i="81"/>
  <c r="D24" i="81"/>
  <c r="G28" i="80"/>
  <c r="K9" i="81"/>
  <c r="O9" i="81"/>
  <c r="G26" i="80"/>
  <c r="D25" i="81"/>
  <c r="G30" i="80"/>
  <c r="D26" i="81"/>
  <c r="G9" i="81"/>
  <c r="I30" i="80" l="1"/>
  <c r="J30" i="80"/>
  <c r="L30" i="80" s="1"/>
  <c r="I28" i="80"/>
  <c r="J28" i="80"/>
  <c r="L28" i="80" s="1"/>
  <c r="I26" i="80"/>
  <c r="J26" i="80"/>
  <c r="G79" i="80"/>
  <c r="P9" i="81"/>
  <c r="G49" i="80"/>
  <c r="AA9" i="81"/>
  <c r="H9" i="81"/>
  <c r="G17" i="81"/>
  <c r="I31" i="80"/>
  <c r="J31" i="80"/>
  <c r="T9" i="81"/>
  <c r="G219" i="80"/>
  <c r="S17" i="81"/>
  <c r="G147" i="80"/>
  <c r="L9" i="81"/>
  <c r="K17" i="81"/>
  <c r="L17" i="81" l="1"/>
  <c r="I79" i="80"/>
  <c r="J79" i="80"/>
  <c r="T17" i="81"/>
  <c r="S25" i="81" s="1"/>
  <c r="H17" i="81"/>
  <c r="I147" i="80"/>
  <c r="I156" i="80" s="1"/>
  <c r="J147" i="80"/>
  <c r="G156" i="80"/>
  <c r="L26" i="80"/>
  <c r="I219" i="80"/>
  <c r="I224" i="80" s="1"/>
  <c r="J219" i="80"/>
  <c r="G224" i="80"/>
  <c r="AB9" i="81"/>
  <c r="I49" i="80"/>
  <c r="I54" i="80" s="1"/>
  <c r="J49" i="80"/>
  <c r="G54" i="80"/>
  <c r="T25" i="81" l="1"/>
  <c r="G84" i="80"/>
  <c r="G231" i="80"/>
  <c r="O13" i="81"/>
  <c r="L79" i="80"/>
  <c r="L147" i="80"/>
  <c r="G23" i="81"/>
  <c r="G25" i="81"/>
  <c r="G31" i="81"/>
  <c r="G30" i="81"/>
  <c r="G24" i="81"/>
  <c r="G29" i="81"/>
  <c r="G26" i="81"/>
  <c r="L49" i="80"/>
  <c r="L219" i="80"/>
  <c r="K23" i="81"/>
  <c r="K24" i="81"/>
  <c r="L24" i="81" s="1"/>
  <c r="K29" i="81"/>
  <c r="L29" i="81" s="1"/>
  <c r="K31" i="81"/>
  <c r="L31" i="81" s="1"/>
  <c r="K26" i="81"/>
  <c r="K25" i="81"/>
  <c r="K30" i="81"/>
  <c r="AD54" i="77" l="1"/>
  <c r="H30" i="81"/>
  <c r="G69" i="80"/>
  <c r="G61" i="80"/>
  <c r="H25" i="81"/>
  <c r="O12" i="81"/>
  <c r="J231" i="80"/>
  <c r="L231" i="80" s="1"/>
  <c r="I231" i="80"/>
  <c r="H31" i="81"/>
  <c r="H23" i="81"/>
  <c r="G65" i="80"/>
  <c r="P13" i="81"/>
  <c r="AA13" i="81"/>
  <c r="AB13" i="81" s="1"/>
  <c r="G165" i="80"/>
  <c r="L23" i="81"/>
  <c r="L30" i="81"/>
  <c r="G171" i="80"/>
  <c r="I84" i="80"/>
  <c r="G163" i="80"/>
  <c r="O10" i="81"/>
  <c r="L25" i="81"/>
  <c r="H26" i="81"/>
  <c r="G167" i="80"/>
  <c r="L26" i="81"/>
  <c r="H29" i="81"/>
  <c r="G63" i="80"/>
  <c r="H24" i="81"/>
  <c r="G80" i="80" l="1"/>
  <c r="P10" i="81"/>
  <c r="AA10" i="81"/>
  <c r="O17" i="81"/>
  <c r="J65" i="80"/>
  <c r="L65" i="80" s="1"/>
  <c r="I65" i="80"/>
  <c r="J63" i="80"/>
  <c r="L63" i="80" s="1"/>
  <c r="I63" i="80"/>
  <c r="I61" i="80"/>
  <c r="J61" i="80"/>
  <c r="L61" i="80" s="1"/>
  <c r="I163" i="80"/>
  <c r="J163" i="80"/>
  <c r="L163" i="80" s="1"/>
  <c r="I167" i="80"/>
  <c r="J167" i="80"/>
  <c r="L167" i="80" s="1"/>
  <c r="J171" i="80"/>
  <c r="L171" i="80" s="1"/>
  <c r="I171" i="80"/>
  <c r="I69" i="80"/>
  <c r="J69" i="80"/>
  <c r="L69" i="80" s="1"/>
  <c r="AB54" i="113"/>
  <c r="AB39" i="113" s="1"/>
  <c r="AB41" i="113" s="1"/>
  <c r="Y54" i="113"/>
  <c r="Y39" i="113" s="1"/>
  <c r="Y41" i="113" s="1"/>
  <c r="AA54" i="78"/>
  <c r="AA54" i="113"/>
  <c r="AA39" i="113" s="1"/>
  <c r="AA41" i="113" s="1"/>
  <c r="X54" i="113"/>
  <c r="X39" i="113" s="1"/>
  <c r="X41" i="113" s="1"/>
  <c r="AC30" i="81"/>
  <c r="W54" i="78"/>
  <c r="Y54" i="78"/>
  <c r="AB54" i="78"/>
  <c r="AB39" i="78" s="1"/>
  <c r="AB41" i="78" s="1"/>
  <c r="Z54" i="78"/>
  <c r="X54" i="78"/>
  <c r="Z54" i="113"/>
  <c r="Z39" i="113" s="1"/>
  <c r="Z41" i="113" s="1"/>
  <c r="W54" i="113"/>
  <c r="J165" i="80"/>
  <c r="L165" i="80" s="1"/>
  <c r="I165" i="80"/>
  <c r="P12" i="81"/>
  <c r="G82" i="80"/>
  <c r="AA12" i="81"/>
  <c r="AB12" i="81" s="1"/>
  <c r="AU54" i="77"/>
  <c r="AD49" i="103"/>
  <c r="AD36" i="103" s="1"/>
  <c r="AD38" i="103" s="1"/>
  <c r="AD55" i="88"/>
  <c r="AD39" i="88" s="1"/>
  <c r="AD41" i="88" s="1"/>
  <c r="AD39" i="77"/>
  <c r="AD41" i="77" s="1"/>
  <c r="AA49" i="103" l="1"/>
  <c r="AA36" i="103" s="1"/>
  <c r="AA38" i="103" s="1"/>
  <c r="AA55" i="88"/>
  <c r="AA39" i="88" s="1"/>
  <c r="AA41" i="88" s="1"/>
  <c r="AA39" i="78"/>
  <c r="AA41" i="78" s="1"/>
  <c r="AB43" i="113"/>
  <c r="Z43" i="113"/>
  <c r="AD40" i="103"/>
  <c r="Y49" i="103"/>
  <c r="Y36" i="103" s="1"/>
  <c r="Y38" i="103" s="1"/>
  <c r="Y55" i="88"/>
  <c r="Y39" i="88" s="1"/>
  <c r="Y41" i="88" s="1"/>
  <c r="Y39" i="78"/>
  <c r="Y41" i="78" s="1"/>
  <c r="J82" i="80"/>
  <c r="L82" i="80" s="1"/>
  <c r="I82" i="80"/>
  <c r="AB43" i="78"/>
  <c r="P17" i="81"/>
  <c r="AD43" i="88"/>
  <c r="AU54" i="78"/>
  <c r="W49" i="103"/>
  <c r="W55" i="88"/>
  <c r="W39" i="78"/>
  <c r="W41" i="78" s="1"/>
  <c r="AB10" i="81"/>
  <c r="AA17" i="81"/>
  <c r="AB17" i="81" s="1"/>
  <c r="AE22" i="81"/>
  <c r="AU54" i="113"/>
  <c r="W39" i="113"/>
  <c r="W41" i="113" s="1"/>
  <c r="Z49" i="103"/>
  <c r="Z36" i="103" s="1"/>
  <c r="Z38" i="103" s="1"/>
  <c r="Z55" i="88"/>
  <c r="Z39" i="88" s="1"/>
  <c r="Z41" i="88" s="1"/>
  <c r="Z39" i="78"/>
  <c r="Z41" i="78" s="1"/>
  <c r="Y43" i="113"/>
  <c r="AD43" i="77"/>
  <c r="X49" i="103"/>
  <c r="X36" i="103" s="1"/>
  <c r="X38" i="103" s="1"/>
  <c r="X55" i="88"/>
  <c r="X39" i="88" s="1"/>
  <c r="X41" i="88" s="1"/>
  <c r="X39" i="78"/>
  <c r="X41" i="78" s="1"/>
  <c r="AZ47" i="102"/>
  <c r="B53" i="80"/>
  <c r="AU39" i="77"/>
  <c r="AU41" i="77" s="1"/>
  <c r="AU43" i="77" s="1"/>
  <c r="X43" i="113"/>
  <c r="AA43" i="113"/>
  <c r="I80" i="80"/>
  <c r="J80" i="80"/>
  <c r="G288" i="80"/>
  <c r="G88" i="80"/>
  <c r="X43" i="78" l="1"/>
  <c r="Y43" i="88"/>
  <c r="Z43" i="88"/>
  <c r="X43" i="88"/>
  <c r="W43" i="78"/>
  <c r="W36" i="103"/>
  <c r="W38" i="103" s="1"/>
  <c r="I88" i="80"/>
  <c r="Z40" i="103"/>
  <c r="AB59" i="113"/>
  <c r="AB61" i="113"/>
  <c r="AB58" i="113"/>
  <c r="AB60" i="113"/>
  <c r="AB57" i="113"/>
  <c r="X40" i="103"/>
  <c r="I288" i="80"/>
  <c r="I289" i="80" s="1"/>
  <c r="J288" i="80"/>
  <c r="L288" i="80" s="1"/>
  <c r="G289" i="80"/>
  <c r="B155" i="80"/>
  <c r="AZ54" i="78"/>
  <c r="AU39" i="78"/>
  <c r="AU41" i="78" s="1"/>
  <c r="AU43" i="78" s="1"/>
  <c r="Y59" i="113"/>
  <c r="Y60" i="113"/>
  <c r="Y61" i="113"/>
  <c r="Y58" i="113"/>
  <c r="Y57" i="113"/>
  <c r="AA59" i="113"/>
  <c r="AA60" i="113"/>
  <c r="AA58" i="113"/>
  <c r="AA57" i="113"/>
  <c r="AA61" i="113"/>
  <c r="W43" i="113"/>
  <c r="AV41" i="113"/>
  <c r="O31" i="81"/>
  <c r="O29" i="81"/>
  <c r="O25" i="81"/>
  <c r="O23" i="81"/>
  <c r="O24" i="81"/>
  <c r="O30" i="81"/>
  <c r="O26" i="81"/>
  <c r="AA43" i="78"/>
  <c r="Y43" i="78"/>
  <c r="AD57" i="77"/>
  <c r="AD59" i="77"/>
  <c r="AD58" i="77"/>
  <c r="AD60" i="77"/>
  <c r="AD61" i="77"/>
  <c r="L80" i="80"/>
  <c r="L88" i="80" s="1"/>
  <c r="J88" i="80"/>
  <c r="Z43" i="78"/>
  <c r="Z57" i="113"/>
  <c r="Z58" i="113"/>
  <c r="Z60" i="113"/>
  <c r="Z61" i="113"/>
  <c r="Z59" i="113"/>
  <c r="B223" i="80"/>
  <c r="AZ54" i="113"/>
  <c r="AU39" i="113"/>
  <c r="AU41" i="113" s="1"/>
  <c r="AU43" i="113" s="1"/>
  <c r="AA43" i="88"/>
  <c r="W39" i="88"/>
  <c r="Y40" i="103"/>
  <c r="X57" i="113"/>
  <c r="X61" i="113"/>
  <c r="X58" i="113"/>
  <c r="X59" i="113"/>
  <c r="X60" i="113"/>
  <c r="J53" i="80"/>
  <c r="D53" i="80"/>
  <c r="D54" i="80" s="1"/>
  <c r="B54" i="80"/>
  <c r="AB60" i="78"/>
  <c r="AB57" i="78"/>
  <c r="AB59" i="78"/>
  <c r="AB61" i="78"/>
  <c r="AB58" i="78"/>
  <c r="AA40" i="103"/>
  <c r="B287" i="80" l="1"/>
  <c r="B289" i="80" s="1"/>
  <c r="AB62" i="113"/>
  <c r="H19" i="111" s="1"/>
  <c r="M19" i="111" s="1"/>
  <c r="Y62" i="113"/>
  <c r="H16" i="111" s="1"/>
  <c r="M16" i="111" s="1"/>
  <c r="D287" i="80"/>
  <c r="D289" i="80" s="1"/>
  <c r="AD58" i="88"/>
  <c r="AD52" i="103"/>
  <c r="AU57" i="77"/>
  <c r="B56" i="80" s="1"/>
  <c r="AD62" i="77"/>
  <c r="AD64" i="88" s="1"/>
  <c r="Y58" i="78"/>
  <c r="Y59" i="78"/>
  <c r="Y57" i="78"/>
  <c r="Y61" i="78"/>
  <c r="Y60" i="78"/>
  <c r="AA62" i="113"/>
  <c r="H18" i="111" s="1"/>
  <c r="Z58" i="78"/>
  <c r="Z60" i="78"/>
  <c r="Z61" i="78"/>
  <c r="Z57" i="78"/>
  <c r="Z59" i="78"/>
  <c r="P23" i="81"/>
  <c r="G95" i="80"/>
  <c r="P25" i="81"/>
  <c r="AA25" i="81"/>
  <c r="AB25" i="81" s="1"/>
  <c r="W61" i="113"/>
  <c r="AU61" i="113" s="1"/>
  <c r="W58" i="113"/>
  <c r="AU58" i="113" s="1"/>
  <c r="B227" i="80" s="1"/>
  <c r="W60" i="113"/>
  <c r="AU60" i="113" s="1"/>
  <c r="B229" i="80" s="1"/>
  <c r="W57" i="113"/>
  <c r="W59" i="113"/>
  <c r="AU59" i="113" s="1"/>
  <c r="B228" i="80" s="1"/>
  <c r="P26" i="81"/>
  <c r="G99" i="80"/>
  <c r="AA26" i="81"/>
  <c r="AB26" i="81" s="1"/>
  <c r="AB54" i="76"/>
  <c r="P30" i="81"/>
  <c r="G103" i="80"/>
  <c r="AA30" i="81"/>
  <c r="AB30" i="81" s="1"/>
  <c r="P29" i="81"/>
  <c r="AA29" i="81"/>
  <c r="AB29" i="81" s="1"/>
  <c r="G16" i="111"/>
  <c r="P31" i="81"/>
  <c r="AA31" i="81"/>
  <c r="AB31" i="81" s="1"/>
  <c r="W60" i="78"/>
  <c r="W57" i="78"/>
  <c r="W61" i="78"/>
  <c r="W59" i="78"/>
  <c r="W58" i="78"/>
  <c r="AA59" i="78"/>
  <c r="AA58" i="78"/>
  <c r="AA61" i="78"/>
  <c r="AA57" i="78"/>
  <c r="AA60" i="78"/>
  <c r="W41" i="88"/>
  <c r="D223" i="80"/>
  <c r="D224" i="80" s="1"/>
  <c r="J223" i="80"/>
  <c r="B224" i="80"/>
  <c r="X62" i="113"/>
  <c r="H15" i="111" s="1"/>
  <c r="Z62" i="113"/>
  <c r="H17" i="111" s="1"/>
  <c r="AB62" i="78"/>
  <c r="H19" i="60" s="1"/>
  <c r="P24" i="81"/>
  <c r="G97" i="80"/>
  <c r="AA24" i="81"/>
  <c r="AD62" i="88"/>
  <c r="AD56" i="103"/>
  <c r="AU61" i="77"/>
  <c r="AD55" i="103"/>
  <c r="AD61" i="88"/>
  <c r="AU60" i="77"/>
  <c r="B59" i="80" s="1"/>
  <c r="L53" i="80"/>
  <c r="L54" i="80" s="1"/>
  <c r="J54" i="80"/>
  <c r="AD53" i="103"/>
  <c r="AD59" i="88"/>
  <c r="AU58" i="77"/>
  <c r="B57" i="80" s="1"/>
  <c r="AD60" i="88"/>
  <c r="AD54" i="103"/>
  <c r="AU59" i="77"/>
  <c r="B58" i="80" s="1"/>
  <c r="D155" i="80"/>
  <c r="D156" i="80" s="1"/>
  <c r="J155" i="80"/>
  <c r="B156" i="80"/>
  <c r="W40" i="103"/>
  <c r="X57" i="78"/>
  <c r="X61" i="78"/>
  <c r="X60" i="78"/>
  <c r="X59" i="78"/>
  <c r="X58" i="78"/>
  <c r="J287" i="80" l="1"/>
  <c r="B60" i="80"/>
  <c r="B72" i="80" s="1"/>
  <c r="B230" i="80"/>
  <c r="D230" i="80" s="1"/>
  <c r="G19" i="111"/>
  <c r="AA53" i="103"/>
  <c r="AA59" i="88"/>
  <c r="I103" i="80"/>
  <c r="G298" i="80"/>
  <c r="G15" i="111"/>
  <c r="M15" i="111"/>
  <c r="Y56" i="103"/>
  <c r="Y62" i="88"/>
  <c r="W55" i="103"/>
  <c r="W61" i="88"/>
  <c r="AU60" i="78"/>
  <c r="B161" i="80" s="1"/>
  <c r="Y53" i="103"/>
  <c r="Y59" i="88"/>
  <c r="J228" i="80"/>
  <c r="L228" i="80" s="1"/>
  <c r="D228" i="80"/>
  <c r="Z58" i="88"/>
  <c r="Z52" i="103"/>
  <c r="Z62" i="78"/>
  <c r="Z64" i="88" s="1"/>
  <c r="D56" i="80"/>
  <c r="AU57" i="113"/>
  <c r="B226" i="80" s="1"/>
  <c r="W62" i="113"/>
  <c r="Z56" i="103"/>
  <c r="Z62" i="88"/>
  <c r="AD57" i="103"/>
  <c r="AA60" i="88"/>
  <c r="AA54" i="103"/>
  <c r="Y61" i="88"/>
  <c r="Y55" i="103"/>
  <c r="AU54" i="76"/>
  <c r="AB55" i="88"/>
  <c r="AB49" i="103"/>
  <c r="AB39" i="76"/>
  <c r="AB41" i="76" s="1"/>
  <c r="W52" i="103"/>
  <c r="W58" i="88"/>
  <c r="AU57" i="78"/>
  <c r="B158" i="80" s="1"/>
  <c r="W62" i="78"/>
  <c r="H21" i="59"/>
  <c r="AD58" i="103"/>
  <c r="AY40" i="77"/>
  <c r="AY41" i="77" s="1"/>
  <c r="AU62" i="77"/>
  <c r="AY34" i="77" s="1"/>
  <c r="L155" i="80"/>
  <c r="L156" i="80" s="1"/>
  <c r="J156" i="80"/>
  <c r="J229" i="80"/>
  <c r="L229" i="80" s="1"/>
  <c r="D229" i="80"/>
  <c r="AD63" i="88"/>
  <c r="G19" i="60"/>
  <c r="M19" i="60"/>
  <c r="X54" i="103"/>
  <c r="X60" i="88"/>
  <c r="G17" i="111"/>
  <c r="M17" i="111"/>
  <c r="W53" i="103"/>
  <c r="AU58" i="78"/>
  <c r="B159" i="80" s="1"/>
  <c r="W59" i="88"/>
  <c r="W54" i="103"/>
  <c r="AU59" i="78"/>
  <c r="B160" i="80" s="1"/>
  <c r="W60" i="88"/>
  <c r="X52" i="103"/>
  <c r="X58" i="88"/>
  <c r="X62" i="78"/>
  <c r="X64" i="88" s="1"/>
  <c r="I99" i="80"/>
  <c r="J99" i="80"/>
  <c r="L99" i="80" s="1"/>
  <c r="Y54" i="103"/>
  <c r="Y60" i="88"/>
  <c r="L223" i="80"/>
  <c r="L224" i="80" s="1"/>
  <c r="J224" i="80"/>
  <c r="D60" i="80"/>
  <c r="AA61" i="88"/>
  <c r="AA55" i="103"/>
  <c r="Z59" i="88"/>
  <c r="Z53" i="103"/>
  <c r="D59" i="80"/>
  <c r="I95" i="80"/>
  <c r="J95" i="80"/>
  <c r="L95" i="80" s="1"/>
  <c r="G299" i="80"/>
  <c r="D58" i="80"/>
  <c r="J58" i="80"/>
  <c r="L58" i="80" s="1"/>
  <c r="L287" i="80"/>
  <c r="L289" i="80" s="1"/>
  <c r="J289" i="80"/>
  <c r="X53" i="103"/>
  <c r="X59" i="88"/>
  <c r="G18" i="111"/>
  <c r="M18" i="111"/>
  <c r="X61" i="88"/>
  <c r="X55" i="103"/>
  <c r="X62" i="88"/>
  <c r="X56" i="103"/>
  <c r="W62" i="88"/>
  <c r="W56" i="103"/>
  <c r="AU61" i="78"/>
  <c r="Y52" i="103"/>
  <c r="Y58" i="88"/>
  <c r="Y62" i="78"/>
  <c r="Y64" i="88" s="1"/>
  <c r="Z54" i="103"/>
  <c r="Z60" i="88"/>
  <c r="W43" i="88"/>
  <c r="Z61" i="88"/>
  <c r="Z55" i="103"/>
  <c r="AE23" i="81"/>
  <c r="AE24" i="81" s="1"/>
  <c r="AB24" i="81"/>
  <c r="D227" i="80"/>
  <c r="I97" i="80"/>
  <c r="J97" i="80"/>
  <c r="L97" i="80" s="1"/>
  <c r="AA58" i="88"/>
  <c r="AA52" i="103"/>
  <c r="AA62" i="78"/>
  <c r="AA64" i="88" s="1"/>
  <c r="D57" i="80"/>
  <c r="AA62" i="88"/>
  <c r="AA56" i="103"/>
  <c r="B162" i="80" l="1"/>
  <c r="B174" i="80" s="1"/>
  <c r="W64" i="88"/>
  <c r="AA57" i="103"/>
  <c r="W63" i="88"/>
  <c r="AA63" i="88"/>
  <c r="AA65" i="88" s="1"/>
  <c r="AD59" i="103"/>
  <c r="AY36" i="77"/>
  <c r="AY35" i="77"/>
  <c r="D159" i="80"/>
  <c r="Z63" i="88"/>
  <c r="H14" i="60"/>
  <c r="W58" i="103"/>
  <c r="AU62" i="78"/>
  <c r="AX32" i="78" s="1"/>
  <c r="X63" i="88"/>
  <c r="W57" i="103"/>
  <c r="D226" i="80"/>
  <c r="D161" i="80"/>
  <c r="H15" i="60"/>
  <c r="X58" i="103"/>
  <c r="Y63" i="88"/>
  <c r="X57" i="103"/>
  <c r="AD65" i="88"/>
  <c r="AB43" i="76"/>
  <c r="B103" i="80"/>
  <c r="AV49" i="103"/>
  <c r="AV55" i="88"/>
  <c r="AV39" i="88" s="1"/>
  <c r="AU39" i="76"/>
  <c r="AU41" i="76" s="1"/>
  <c r="H330" i="80"/>
  <c r="D72" i="80"/>
  <c r="H17" i="60"/>
  <c r="Z58" i="103"/>
  <c r="Z57" i="103"/>
  <c r="I299" i="80"/>
  <c r="J299" i="80"/>
  <c r="L299" i="80" s="1"/>
  <c r="H14" i="111"/>
  <c r="AU62" i="113"/>
  <c r="AX36" i="113" s="1"/>
  <c r="AX38" i="113" s="1"/>
  <c r="AB36" i="103"/>
  <c r="AB38" i="103" s="1"/>
  <c r="AU49" i="103"/>
  <c r="M21" i="59"/>
  <c r="M42" i="59" s="1"/>
  <c r="G21" i="59"/>
  <c r="M21" i="117"/>
  <c r="I151" i="127"/>
  <c r="E15" i="85"/>
  <c r="I151" i="56"/>
  <c r="C151" i="56"/>
  <c r="C151" i="127"/>
  <c r="D73" i="80"/>
  <c r="L73" i="80" s="1"/>
  <c r="H42" i="59"/>
  <c r="H18" i="60"/>
  <c r="AA58" i="103"/>
  <c r="D158" i="80"/>
  <c r="I298" i="80"/>
  <c r="H16" i="60"/>
  <c r="Y58" i="103"/>
  <c r="Y57" i="103"/>
  <c r="D162" i="80"/>
  <c r="D160" i="80"/>
  <c r="AB39" i="88"/>
  <c r="AU55" i="88"/>
  <c r="BD55" i="88"/>
  <c r="BF55" i="88" s="1"/>
  <c r="B242" i="80"/>
  <c r="E72" i="80"/>
  <c r="Z59" i="103" l="1"/>
  <c r="AA59" i="103"/>
  <c r="X59" i="103"/>
  <c r="Y59" i="103"/>
  <c r="X65" i="88"/>
  <c r="E174" i="80"/>
  <c r="G17" i="60"/>
  <c r="M17" i="60"/>
  <c r="M17" i="117"/>
  <c r="AW49" i="103"/>
  <c r="AU36" i="103"/>
  <c r="AU38" i="103" s="1"/>
  <c r="D74" i="80"/>
  <c r="AX35" i="78"/>
  <c r="AX33" i="78"/>
  <c r="AY33" i="78" s="1"/>
  <c r="M14" i="111"/>
  <c r="M42" i="111" s="1"/>
  <c r="G14" i="111"/>
  <c r="M14" i="117"/>
  <c r="H88" i="111"/>
  <c r="H101" i="111" s="1"/>
  <c r="E20" i="85"/>
  <c r="H42" i="111"/>
  <c r="H95" i="111" s="1"/>
  <c r="H100" i="111" s="1"/>
  <c r="D243" i="80"/>
  <c r="M18" i="60"/>
  <c r="G18" i="60"/>
  <c r="M18" i="117"/>
  <c r="D151" i="56"/>
  <c r="Y65" i="88"/>
  <c r="J151" i="127"/>
  <c r="I199" i="127"/>
  <c r="AB40" i="103"/>
  <c r="G15" i="60"/>
  <c r="M15" i="60"/>
  <c r="M15" i="117"/>
  <c r="D103" i="80"/>
  <c r="J103" i="80"/>
  <c r="L103" i="80" s="1"/>
  <c r="B298" i="80"/>
  <c r="AB58" i="76"/>
  <c r="AB57" i="76"/>
  <c r="AB59" i="76"/>
  <c r="AB60" i="76"/>
  <c r="AB61" i="76"/>
  <c r="G16" i="60"/>
  <c r="M16" i="60"/>
  <c r="M16" i="117"/>
  <c r="AU43" i="76"/>
  <c r="AV41" i="88"/>
  <c r="AV38" i="103"/>
  <c r="D151" i="127"/>
  <c r="J151" i="56"/>
  <c r="I199" i="56"/>
  <c r="L330" i="80"/>
  <c r="D242" i="80"/>
  <c r="H50" i="59"/>
  <c r="H55" i="59"/>
  <c r="H59" i="59" s="1"/>
  <c r="W59" i="103"/>
  <c r="D15" i="85"/>
  <c r="E63" i="85"/>
  <c r="AW55" i="88"/>
  <c r="AU39" i="88"/>
  <c r="K330" i="80"/>
  <c r="D174" i="80"/>
  <c r="I153" i="127"/>
  <c r="C153" i="127"/>
  <c r="D153" i="127" s="1"/>
  <c r="G14" i="60"/>
  <c r="C153" i="56"/>
  <c r="D153" i="56" s="1"/>
  <c r="I153" i="56"/>
  <c r="M14" i="60"/>
  <c r="E18" i="85"/>
  <c r="D175" i="80"/>
  <c r="L175" i="80" s="1"/>
  <c r="H42" i="60"/>
  <c r="AB41" i="88"/>
  <c r="BD39" i="88"/>
  <c r="Z65" i="88"/>
  <c r="W65" i="88"/>
  <c r="D244" i="80" l="1"/>
  <c r="I201" i="56"/>
  <c r="J153" i="56"/>
  <c r="AV40" i="103"/>
  <c r="AW38" i="103"/>
  <c r="AU40" i="103"/>
  <c r="AB43" i="88"/>
  <c r="BD43" i="88" s="1"/>
  <c r="AU41" i="88"/>
  <c r="BD41" i="88"/>
  <c r="AB53" i="103"/>
  <c r="AU53" i="103" s="1"/>
  <c r="AU99" i="103" s="1"/>
  <c r="AB59" i="88"/>
  <c r="AU58" i="76"/>
  <c r="I201" i="127"/>
  <c r="J153" i="127"/>
  <c r="H95" i="60"/>
  <c r="H100" i="60" s="1"/>
  <c r="H88" i="60"/>
  <c r="AB56" i="103"/>
  <c r="AU56" i="103" s="1"/>
  <c r="AB62" i="88"/>
  <c r="AU61" i="76"/>
  <c r="AB61" i="88"/>
  <c r="AB55" i="103"/>
  <c r="AU55" i="103" s="1"/>
  <c r="AU60" i="76"/>
  <c r="D298" i="80"/>
  <c r="J298" i="80"/>
  <c r="L298" i="80" s="1"/>
  <c r="H60" i="59"/>
  <c r="H61" i="59" s="1"/>
  <c r="C8" i="55"/>
  <c r="M54" i="59"/>
  <c r="D176" i="80"/>
  <c r="AB54" i="103"/>
  <c r="AU54" i="103" s="1"/>
  <c r="AB60" i="88"/>
  <c r="AU59" i="76"/>
  <c r="H102" i="111"/>
  <c r="AV43" i="88"/>
  <c r="D18" i="85"/>
  <c r="E66" i="85"/>
  <c r="M42" i="60"/>
  <c r="AU57" i="76"/>
  <c r="AB52" i="103"/>
  <c r="AB58" i="88"/>
  <c r="AB62" i="76"/>
  <c r="AB64" i="88" s="1"/>
  <c r="D20" i="85"/>
  <c r="AW40" i="103" l="1"/>
  <c r="C18" i="81"/>
  <c r="W19" i="81"/>
  <c r="S22" i="81"/>
  <c r="K21" i="81"/>
  <c r="K22" i="81"/>
  <c r="K19" i="81"/>
  <c r="S19" i="81"/>
  <c r="G22" i="81"/>
  <c r="G19" i="81"/>
  <c r="G18" i="81"/>
  <c r="O20" i="81"/>
  <c r="K18" i="81"/>
  <c r="W18" i="81"/>
  <c r="S23" i="81"/>
  <c r="AA23" i="81" s="1"/>
  <c r="AB23" i="81" s="1"/>
  <c r="O18" i="81"/>
  <c r="W22" i="81"/>
  <c r="O21" i="81"/>
  <c r="K20" i="81"/>
  <c r="O22" i="81"/>
  <c r="S20" i="81"/>
  <c r="T20" i="81" s="1"/>
  <c r="S21" i="81"/>
  <c r="T21" i="81" s="1"/>
  <c r="C20" i="81"/>
  <c r="C21" i="81"/>
  <c r="O19" i="81"/>
  <c r="C19" i="81"/>
  <c r="G21" i="81"/>
  <c r="S18" i="81"/>
  <c r="AU61" i="88"/>
  <c r="BD61" i="88"/>
  <c r="B92" i="80"/>
  <c r="AV54" i="103"/>
  <c r="AW54" i="103" s="1"/>
  <c r="AV60" i="88"/>
  <c r="BD60" i="88"/>
  <c r="AU60" i="88"/>
  <c r="BD58" i="88"/>
  <c r="AU58" i="88"/>
  <c r="B93" i="80"/>
  <c r="AV61" i="88"/>
  <c r="AV55" i="103"/>
  <c r="AW55" i="103" s="1"/>
  <c r="AB63" i="88"/>
  <c r="B94" i="80"/>
  <c r="AV56" i="103"/>
  <c r="AW56" i="103" s="1"/>
  <c r="AV62" i="88"/>
  <c r="AU43" i="88"/>
  <c r="AW43" i="88" s="1"/>
  <c r="AW41" i="88"/>
  <c r="C10" i="55"/>
  <c r="H101" i="60"/>
  <c r="H102" i="60" s="1"/>
  <c r="B90" i="80"/>
  <c r="AV58" i="88"/>
  <c r="AV52" i="103"/>
  <c r="C22" i="55"/>
  <c r="D8" i="55"/>
  <c r="B91" i="80"/>
  <c r="AV59" i="88"/>
  <c r="AV53" i="103"/>
  <c r="AW53" i="103" s="1"/>
  <c r="BD62" i="88"/>
  <c r="AU62" i="88"/>
  <c r="H19" i="57"/>
  <c r="AB58" i="103"/>
  <c r="AV64" i="88"/>
  <c r="AU62" i="76"/>
  <c r="BA38" i="76" s="1"/>
  <c r="AU52" i="103"/>
  <c r="AB57" i="103"/>
  <c r="AU59" i="88"/>
  <c r="BD59" i="88"/>
  <c r="T19" i="81" l="1"/>
  <c r="G227" i="80"/>
  <c r="L22" i="81"/>
  <c r="G162" i="80"/>
  <c r="G160" i="80"/>
  <c r="L20" i="81"/>
  <c r="G161" i="80"/>
  <c r="L21" i="81"/>
  <c r="AA22" i="81"/>
  <c r="AB22" i="81" s="1"/>
  <c r="G60" i="80"/>
  <c r="H22" i="81"/>
  <c r="G159" i="80"/>
  <c r="L19" i="81"/>
  <c r="G93" i="80"/>
  <c r="I93" i="80" s="1"/>
  <c r="P21" i="81"/>
  <c r="G230" i="80"/>
  <c r="T22" i="81"/>
  <c r="D19" i="81"/>
  <c r="AA19" i="81"/>
  <c r="G22" i="80"/>
  <c r="H18" i="81"/>
  <c r="G56" i="80"/>
  <c r="G32" i="81"/>
  <c r="X22" i="81"/>
  <c r="G264" i="80"/>
  <c r="X19" i="81"/>
  <c r="G261" i="80"/>
  <c r="P22" i="81"/>
  <c r="G94" i="80"/>
  <c r="I94" i="80" s="1"/>
  <c r="G90" i="80"/>
  <c r="J90" i="80" s="1"/>
  <c r="P18" i="81"/>
  <c r="O32" i="81"/>
  <c r="D18" i="81"/>
  <c r="G21" i="80"/>
  <c r="AA18" i="81"/>
  <c r="C32" i="81"/>
  <c r="P19" i="81"/>
  <c r="G91" i="80"/>
  <c r="I91" i="80" s="1"/>
  <c r="H19" i="81"/>
  <c r="G57" i="80"/>
  <c r="P20" i="81"/>
  <c r="G92" i="80"/>
  <c r="I92" i="80" s="1"/>
  <c r="G24" i="80"/>
  <c r="D21" i="81"/>
  <c r="AA21" i="81"/>
  <c r="AB21" i="81" s="1"/>
  <c r="AA20" i="81"/>
  <c r="AB20" i="81" s="1"/>
  <c r="D20" i="81"/>
  <c r="G23" i="80"/>
  <c r="G260" i="80"/>
  <c r="X18" i="81"/>
  <c r="W32" i="81"/>
  <c r="X32" i="81" s="1"/>
  <c r="G226" i="80"/>
  <c r="T18" i="81"/>
  <c r="S32" i="81"/>
  <c r="T32" i="81" s="1"/>
  <c r="H21" i="81"/>
  <c r="G59" i="80"/>
  <c r="L18" i="81"/>
  <c r="G158" i="80"/>
  <c r="K32" i="81"/>
  <c r="AW60" i="88"/>
  <c r="AV57" i="103"/>
  <c r="AV59" i="103" s="1"/>
  <c r="AV63" i="88"/>
  <c r="AU63" i="88"/>
  <c r="BA31" i="88" s="1"/>
  <c r="BA32" i="88" s="1"/>
  <c r="AB65" i="88"/>
  <c r="N28" i="117"/>
  <c r="BD63" i="88"/>
  <c r="N10" i="117" a="1"/>
  <c r="C24" i="55"/>
  <c r="D10" i="55"/>
  <c r="D90" i="80"/>
  <c r="B106" i="80"/>
  <c r="B291" i="80"/>
  <c r="D91" i="80"/>
  <c r="B292" i="80"/>
  <c r="D92" i="80"/>
  <c r="B293" i="80"/>
  <c r="AW62" i="88"/>
  <c r="AY63" i="88"/>
  <c r="AW117" i="88"/>
  <c r="AX117" i="88" s="1"/>
  <c r="AX120" i="88" s="1"/>
  <c r="AX122" i="88" s="1"/>
  <c r="AX126" i="88" s="1"/>
  <c r="AB59" i="103"/>
  <c r="AU57" i="103"/>
  <c r="AU59" i="103" s="1"/>
  <c r="D93" i="80"/>
  <c r="B294" i="80"/>
  <c r="G19" i="57"/>
  <c r="M19" i="57"/>
  <c r="M42" i="57" s="1"/>
  <c r="M61" i="57" s="1"/>
  <c r="C152" i="56"/>
  <c r="E16" i="85"/>
  <c r="H42" i="57"/>
  <c r="D107" i="80"/>
  <c r="L107" i="80" s="1"/>
  <c r="I152" i="127"/>
  <c r="I152" i="56"/>
  <c r="C152" i="127"/>
  <c r="G306" i="80"/>
  <c r="G308" i="80" s="1"/>
  <c r="M19" i="117"/>
  <c r="M28" i="117" s="1"/>
  <c r="M42" i="117" s="1"/>
  <c r="AW52" i="103"/>
  <c r="BB40" i="76"/>
  <c r="BB39" i="76"/>
  <c r="F382" i="80"/>
  <c r="AW58" i="88"/>
  <c r="AU105" i="88"/>
  <c r="AW59" i="88"/>
  <c r="J199" i="127"/>
  <c r="K199" i="127" s="1"/>
  <c r="J199" i="56"/>
  <c r="K199" i="56" s="1"/>
  <c r="D22" i="55"/>
  <c r="J94" i="80"/>
  <c r="L94" i="80" s="1"/>
  <c r="D94" i="80"/>
  <c r="B295" i="80"/>
  <c r="AW61" i="88"/>
  <c r="J91" i="80" l="1"/>
  <c r="L91" i="80" s="1"/>
  <c r="J92" i="80"/>
  <c r="L92" i="80" s="1"/>
  <c r="I341" i="80"/>
  <c r="AU65" i="88"/>
  <c r="AW63" i="88"/>
  <c r="I261" i="80"/>
  <c r="J261" i="80"/>
  <c r="L261" i="80" s="1"/>
  <c r="I159" i="80"/>
  <c r="K341" i="80"/>
  <c r="J159" i="80"/>
  <c r="L159" i="80" s="1"/>
  <c r="I60" i="80"/>
  <c r="G295" i="80"/>
  <c r="I295" i="80" s="1"/>
  <c r="J60" i="80"/>
  <c r="L60" i="80" s="1"/>
  <c r="F383" i="80"/>
  <c r="F384" i="80" s="1"/>
  <c r="AB18" i="81"/>
  <c r="I161" i="80"/>
  <c r="J161" i="80"/>
  <c r="L161" i="80" s="1"/>
  <c r="J93" i="80"/>
  <c r="L93" i="80" s="1"/>
  <c r="G34" i="81"/>
  <c r="G36" i="81" s="1"/>
  <c r="H32" i="81"/>
  <c r="I21" i="80"/>
  <c r="G291" i="80"/>
  <c r="J291" i="80" s="1"/>
  <c r="J21" i="80"/>
  <c r="G37" i="80"/>
  <c r="G292" i="80"/>
  <c r="I292" i="80" s="1"/>
  <c r="I22" i="80"/>
  <c r="J22" i="80"/>
  <c r="L22" i="80" s="1"/>
  <c r="G341" i="80"/>
  <c r="I57" i="80"/>
  <c r="H341" i="80"/>
  <c r="J57" i="80"/>
  <c r="L57" i="80" s="1"/>
  <c r="L32" i="81"/>
  <c r="K34" i="81"/>
  <c r="K36" i="81" s="1"/>
  <c r="AB19" i="81"/>
  <c r="I160" i="80"/>
  <c r="J160" i="80"/>
  <c r="L160" i="80" s="1"/>
  <c r="I264" i="80"/>
  <c r="J264" i="80"/>
  <c r="L264" i="80" s="1"/>
  <c r="D32" i="81"/>
  <c r="C34" i="81"/>
  <c r="C36" i="81" s="1"/>
  <c r="AA32" i="81"/>
  <c r="I56" i="80"/>
  <c r="G72" i="80"/>
  <c r="F72" i="80" s="1"/>
  <c r="J56" i="80"/>
  <c r="I158" i="80"/>
  <c r="G174" i="80"/>
  <c r="F174" i="80" s="1"/>
  <c r="J158" i="80"/>
  <c r="P32" i="81"/>
  <c r="O34" i="81"/>
  <c r="O36" i="81" s="1"/>
  <c r="I162" i="80"/>
  <c r="J162" i="80"/>
  <c r="L162" i="80" s="1"/>
  <c r="I226" i="80"/>
  <c r="G242" i="80"/>
  <c r="J226" i="80"/>
  <c r="I260" i="80"/>
  <c r="J260" i="80"/>
  <c r="G276" i="80"/>
  <c r="G277" i="80" s="1"/>
  <c r="I24" i="80"/>
  <c r="G294" i="80"/>
  <c r="I294" i="80" s="1"/>
  <c r="J24" i="80"/>
  <c r="L24" i="80" s="1"/>
  <c r="I59" i="80"/>
  <c r="J59" i="80"/>
  <c r="L59" i="80" s="1"/>
  <c r="I90" i="80"/>
  <c r="G106" i="80"/>
  <c r="F106" i="80" s="1"/>
  <c r="I230" i="80"/>
  <c r="J230" i="80"/>
  <c r="L230" i="80" s="1"/>
  <c r="I227" i="80"/>
  <c r="J227" i="80"/>
  <c r="L227" i="80" s="1"/>
  <c r="I23" i="80"/>
  <c r="G293" i="80"/>
  <c r="I293" i="80" s="1"/>
  <c r="J23" i="80"/>
  <c r="L23" i="80" s="1"/>
  <c r="AX63" i="88"/>
  <c r="AX65" i="88" s="1"/>
  <c r="AV65" i="88"/>
  <c r="A302" i="80"/>
  <c r="C335" i="80"/>
  <c r="AW57" i="103"/>
  <c r="D16" i="85"/>
  <c r="E64" i="85"/>
  <c r="E22" i="85"/>
  <c r="O23" i="117"/>
  <c r="O16" i="117"/>
  <c r="O11" i="117"/>
  <c r="O18" i="117"/>
  <c r="O20" i="117"/>
  <c r="O19" i="117"/>
  <c r="O12" i="117"/>
  <c r="O15" i="117"/>
  <c r="O26" i="117"/>
  <c r="O13" i="117"/>
  <c r="O24" i="117"/>
  <c r="O21" i="117"/>
  <c r="O17" i="117"/>
  <c r="O14" i="117"/>
  <c r="N10" i="117"/>
  <c r="O10" i="117" s="1"/>
  <c r="O25" i="117"/>
  <c r="O22" i="117"/>
  <c r="D293" i="80"/>
  <c r="N29" i="117"/>
  <c r="E106" i="80"/>
  <c r="B302" i="80"/>
  <c r="L90" i="80"/>
  <c r="D294" i="80"/>
  <c r="D292" i="80"/>
  <c r="J152" i="127"/>
  <c r="I200" i="127"/>
  <c r="I203" i="127" s="1"/>
  <c r="I206" i="127" s="1"/>
  <c r="I155" i="127"/>
  <c r="J155" i="127" s="1"/>
  <c r="J201" i="127"/>
  <c r="K201" i="127" s="1"/>
  <c r="J201" i="56"/>
  <c r="K201" i="56" s="1"/>
  <c r="D24" i="55"/>
  <c r="D291" i="80"/>
  <c r="B301" i="80"/>
  <c r="I330" i="80"/>
  <c r="D106" i="80"/>
  <c r="D152" i="56"/>
  <c r="C155" i="56"/>
  <c r="D295" i="80"/>
  <c r="D152" i="127"/>
  <c r="C155" i="127"/>
  <c r="H65" i="57"/>
  <c r="H70" i="57" s="1"/>
  <c r="N42" i="57"/>
  <c r="H61" i="57"/>
  <c r="J152" i="56"/>
  <c r="I200" i="56"/>
  <c r="I203" i="56" s="1"/>
  <c r="I206" i="56" s="1"/>
  <c r="I155" i="56"/>
  <c r="J155" i="56" s="1"/>
  <c r="J106" i="80" l="1"/>
  <c r="F302" i="80"/>
  <c r="F303" i="80" s="1"/>
  <c r="J293" i="80"/>
  <c r="L293" i="80" s="1"/>
  <c r="J295" i="80"/>
  <c r="L295" i="80" s="1"/>
  <c r="J292" i="80"/>
  <c r="L292" i="80" s="1"/>
  <c r="J294" i="80"/>
  <c r="L294" i="80" s="1"/>
  <c r="L158" i="80"/>
  <c r="L174" i="80" s="1"/>
  <c r="L176" i="80" s="1"/>
  <c r="J174" i="80"/>
  <c r="G302" i="80"/>
  <c r="J302" i="80" s="1"/>
  <c r="I329" i="80"/>
  <c r="I106" i="80"/>
  <c r="I108" i="80" s="1"/>
  <c r="K329" i="80"/>
  <c r="I174" i="80"/>
  <c r="I176" i="80" s="1"/>
  <c r="L21" i="80"/>
  <c r="L37" i="80" s="1"/>
  <c r="L39" i="80" s="1"/>
  <c r="J37" i="80"/>
  <c r="I291" i="80"/>
  <c r="I301" i="80" s="1"/>
  <c r="G301" i="80"/>
  <c r="M358" i="80" s="1"/>
  <c r="AA42" i="81"/>
  <c r="AB32" i="81"/>
  <c r="AA34" i="81"/>
  <c r="AA36" i="81" s="1"/>
  <c r="AA39" i="81"/>
  <c r="AB35" i="81"/>
  <c r="L106" i="80"/>
  <c r="L108" i="80" s="1"/>
  <c r="L56" i="80"/>
  <c r="L72" i="80" s="1"/>
  <c r="L74" i="80" s="1"/>
  <c r="J72" i="80"/>
  <c r="G329" i="80"/>
  <c r="I37" i="80"/>
  <c r="L226" i="80"/>
  <c r="L242" i="80" s="1"/>
  <c r="J242" i="80"/>
  <c r="L329" i="80"/>
  <c r="I242" i="80"/>
  <c r="I244" i="80" s="1"/>
  <c r="L260" i="80"/>
  <c r="L276" i="80" s="1"/>
  <c r="J276" i="80"/>
  <c r="L341" i="80"/>
  <c r="M329" i="80"/>
  <c r="I276" i="80"/>
  <c r="I278" i="80" s="1"/>
  <c r="H329" i="80"/>
  <c r="I72" i="80"/>
  <c r="I74" i="80" s="1"/>
  <c r="D22" i="85"/>
  <c r="L291" i="80"/>
  <c r="C165" i="56"/>
  <c r="D165" i="56" s="1"/>
  <c r="C193" i="56"/>
  <c r="D155" i="56"/>
  <c r="R330" i="80"/>
  <c r="AA310" i="80"/>
  <c r="N317" i="80"/>
  <c r="M317" i="80" s="1"/>
  <c r="B303" i="80"/>
  <c r="D301" i="80"/>
  <c r="D108" i="80"/>
  <c r="D302" i="80"/>
  <c r="E302" i="80"/>
  <c r="L68" i="57"/>
  <c r="N62" i="57"/>
  <c r="C9" i="55"/>
  <c r="H71" i="57"/>
  <c r="H72" i="57" s="1"/>
  <c r="C165" i="127"/>
  <c r="D165" i="127" s="1"/>
  <c r="D155" i="127"/>
  <c r="C193" i="127"/>
  <c r="I335" i="80" l="1"/>
  <c r="L301" i="80"/>
  <c r="L335" i="80"/>
  <c r="I339" i="80"/>
  <c r="I343" i="80" s="1"/>
  <c r="J301" i="80"/>
  <c r="J303" i="80" s="1"/>
  <c r="N318" i="80"/>
  <c r="M318" i="80" s="1"/>
  <c r="G303" i="80"/>
  <c r="H339" i="80"/>
  <c r="H343" i="80" s="1"/>
  <c r="H335" i="80"/>
  <c r="G367" i="80"/>
  <c r="F385" i="80"/>
  <c r="B374" i="80"/>
  <c r="G339" i="80"/>
  <c r="F374" i="80"/>
  <c r="H349" i="80"/>
  <c r="G335" i="80"/>
  <c r="K339" i="80"/>
  <c r="K343" i="80" s="1"/>
  <c r="K335" i="80"/>
  <c r="I39" i="80"/>
  <c r="I302" i="80"/>
  <c r="D310" i="80" s="1"/>
  <c r="C196" i="127"/>
  <c r="E193" i="127"/>
  <c r="T330" i="80"/>
  <c r="E301" i="80"/>
  <c r="E303" i="80" s="1"/>
  <c r="D306" i="80"/>
  <c r="D303" i="80"/>
  <c r="D9" i="55"/>
  <c r="D13" i="55" s="1"/>
  <c r="D17" i="55" s="1"/>
  <c r="C23" i="55"/>
  <c r="C13" i="55"/>
  <c r="C17" i="55" s="1"/>
  <c r="C196" i="56"/>
  <c r="E193" i="56"/>
  <c r="I303" i="80" l="1"/>
  <c r="L302" i="80"/>
  <c r="L303" i="80" s="1"/>
  <c r="G387" i="80"/>
  <c r="F387" i="80"/>
  <c r="L339" i="80"/>
  <c r="G343" i="80"/>
  <c r="L343" i="80" s="1"/>
  <c r="M322" i="80"/>
  <c r="H310" i="80"/>
  <c r="J200" i="127"/>
  <c r="K200" i="127" s="1"/>
  <c r="J200" i="56"/>
  <c r="K200" i="56" s="1"/>
  <c r="D23" i="55"/>
  <c r="D27" i="55" s="1"/>
  <c r="C27" i="55"/>
  <c r="C28" i="55" s="1"/>
  <c r="C107" i="55" s="1"/>
  <c r="H306" i="80"/>
  <c r="D308" i="80"/>
  <c r="H308" i="80" l="1"/>
  <c r="F308" i="80"/>
  <c r="J203" i="56"/>
  <c r="K203" i="56" s="1"/>
  <c r="J203" i="127"/>
  <c r="K203" i="127" s="1"/>
  <c r="C336" i="80" l="1"/>
  <c r="C356" i="80" l="1"/>
  <c r="C337" i="80"/>
  <c r="D333" i="80" l="1"/>
  <c r="AV45" i="113" l="1"/>
  <c r="AV46" i="113" s="1"/>
  <c r="AV47" i="113" s="1"/>
  <c r="AV48" i="113" s="1"/>
  <c r="A343" i="80"/>
  <c r="A344" i="80" s="1"/>
  <c r="S338" i="80"/>
  <c r="D329" i="80"/>
  <c r="G373" i="80" l="1"/>
  <c r="C340" i="80"/>
  <c r="C342" i="80" s="1"/>
  <c r="D335" i="80"/>
  <c r="BB81" i="83" s="1"/>
  <c r="BB82" i="83" s="1"/>
  <c r="F373" i="80"/>
  <c r="F375" i="80" s="1"/>
  <c r="R329" i="80"/>
  <c r="B375" i="80"/>
  <c r="W329" i="80" l="1"/>
  <c r="R340" i="80"/>
  <c r="N327" i="80"/>
  <c r="T329" i="80"/>
  <c r="N358" i="80"/>
  <c r="V331" i="80" l="1"/>
  <c r="N360" i="80"/>
  <c r="L358" i="80"/>
  <c r="D316" i="80" l="1"/>
  <c r="E74" i="85" l="1"/>
  <c r="Q336" i="80"/>
  <c r="Q324" i="80" s="1"/>
  <c r="R336" i="80"/>
  <c r="C54" i="85" l="1"/>
  <c r="E54" i="85" l="1"/>
  <c r="G52" i="85" s="1"/>
  <c r="D54" i="85" l="1"/>
  <c r="E68" i="85"/>
  <c r="P333" i="80" l="1"/>
  <c r="O344" i="80" l="1"/>
  <c r="O339" i="80"/>
  <c r="AA311" i="80"/>
  <c r="AA312" i="80" s="1"/>
  <c r="P335" i="80"/>
  <c r="N333" i="80"/>
  <c r="M343" i="80" l="1"/>
  <c r="K378" i="80"/>
  <c r="K382" i="80" s="1"/>
  <c r="R333" i="80"/>
  <c r="C55" i="85" l="1"/>
  <c r="C52" i="85"/>
  <c r="T333" i="80"/>
  <c r="F361" i="80"/>
  <c r="C56" i="85" l="1"/>
  <c r="G361" i="80"/>
  <c r="N334" i="80" l="1"/>
  <c r="R348" i="80" l="1"/>
  <c r="S349" i="80" s="1"/>
  <c r="K360" i="80"/>
  <c r="K361" i="80" s="1"/>
  <c r="K362" i="80" s="1"/>
  <c r="AB340" i="80"/>
  <c r="N335" i="80"/>
  <c r="O357" i="80"/>
  <c r="P349" i="80"/>
  <c r="L378" i="80"/>
  <c r="L382" i="80" s="1"/>
  <c r="M346" i="80"/>
  <c r="AA318" i="80"/>
  <c r="AC318" i="80" s="1"/>
  <c r="R334" i="80"/>
  <c r="E55" i="85"/>
  <c r="D311" i="80"/>
  <c r="E69" i="85" l="1"/>
  <c r="E70" i="85" s="1"/>
  <c r="E72" i="85" s="1"/>
  <c r="E75" i="85" s="1"/>
  <c r="E56" i="85"/>
  <c r="M319" i="80"/>
  <c r="M320" i="80" s="1"/>
  <c r="M324" i="80" s="1"/>
  <c r="N361" i="80"/>
  <c r="N362" i="80" s="1"/>
  <c r="R335" i="80"/>
  <c r="G56" i="85"/>
  <c r="G57" i="85" s="1"/>
  <c r="P358" i="80"/>
  <c r="O359" i="80"/>
  <c r="G311" i="80"/>
  <c r="G313" i="80" s="1"/>
  <c r="G315" i="80" s="1"/>
  <c r="H311" i="80"/>
  <c r="D313" i="80"/>
  <c r="T334" i="80"/>
  <c r="T335" i="80" s="1"/>
  <c r="D55" i="85"/>
  <c r="D56" i="85" s="1"/>
  <c r="F362" i="80"/>
  <c r="N324" i="80" l="1"/>
  <c r="Q325" i="80"/>
  <c r="R337" i="80"/>
  <c r="Q359" i="80"/>
  <c r="N356" i="80"/>
  <c r="G362" i="80"/>
  <c r="F363" i="80"/>
  <c r="G363" i="80" s="1"/>
  <c r="S337" i="80"/>
  <c r="R360" i="80"/>
  <c r="D315" i="80"/>
  <c r="E313" i="80"/>
  <c r="H313" i="80"/>
  <c r="I207" i="56"/>
  <c r="I208" i="56" s="1"/>
  <c r="I207" i="127"/>
  <c r="I208" i="127" s="1"/>
  <c r="J315" i="80"/>
  <c r="R356" i="80" l="1"/>
  <c r="M365" i="80"/>
  <c r="AB341" i="80"/>
  <c r="AA343" i="80"/>
  <c r="AB335" i="80"/>
  <c r="H315" i="80"/>
  <c r="C108" i="55"/>
  <c r="D317" i="80"/>
  <c r="H316" i="80" s="1"/>
  <c r="J317" i="80" s="1"/>
  <c r="J206" i="127" l="1"/>
  <c r="K206" i="127" s="1"/>
  <c r="J206" i="56"/>
  <c r="K206" i="56" s="1"/>
  <c r="C109" i="5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</author>
  </authors>
  <commentList>
    <comment ref="R54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1 Grower Stolen</t>
        </r>
      </text>
    </comment>
    <comment ref="R56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1 Ration, staff welfare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</author>
  </authors>
  <commentList>
    <comment ref="H4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5 Sows to Reiham</t>
        </r>
      </text>
    </comment>
    <comment ref="J54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1 Grower Stolen</t>
        </r>
      </text>
    </comment>
    <comment ref="J56" authorId="0" shapeId="0" xr:uid="{00000000-0006-0000-0500-000003000000}">
      <text>
        <r>
          <rPr>
            <b/>
            <sz val="8"/>
            <color indexed="81"/>
            <rFont val="Tahoma"/>
            <family val="2"/>
          </rPr>
          <t>1 Ration, staff welfare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TripleCPigs</author>
    <author>AD</author>
    <author>Job</author>
  </authors>
  <commentList>
    <comment ref="O53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TripleCPigs:</t>
        </r>
        <r>
          <rPr>
            <sz val="8"/>
            <color indexed="81"/>
            <rFont val="Tahoma"/>
            <family val="2"/>
          </rPr>
          <t xml:space="preserve">
617 seaforth
110 tradewinds
150 moonfarm
</t>
        </r>
      </text>
    </comment>
    <comment ref="R54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1 Grower Stolen</t>
        </r>
      </text>
    </comment>
    <comment ref="R56" authorId="1" shapeId="0" xr:uid="{00000000-0006-0000-0600-000003000000}">
      <text>
        <r>
          <rPr>
            <b/>
            <sz val="8"/>
            <color indexed="81"/>
            <rFont val="Tahoma"/>
            <family val="2"/>
          </rPr>
          <t>1 Ration, staff welfare</t>
        </r>
      </text>
    </comment>
    <comment ref="J149" authorId="2" shapeId="0" xr:uid="{00000000-0006-0000-0600-000004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Sort out formula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Obey Mhenyu</author>
    <author>user</author>
    <author>tc={62DD50CE-9437-4FBA-837F-7B431235741E}</author>
    <author>tc={93375808-C8A0-4D74-8EE7-8EFD5E0B37A8}</author>
    <author>tc={72B1F3D4-B326-47E2-99B2-B285C6A487BD}</author>
    <author>tc={FD533D00-9A23-4797-917D-B39F1B415538}</author>
    <author>tc={B3CB4942-2F89-4563-9693-EC610BC9544A}</author>
    <author>tc={50AC5A3C-C989-4326-90FE-E54C1F47BBCE}</author>
    <author>tc={85ABF113-76DB-43D6-BD0C-F8338EE7402B}</author>
    <author>tc={4F668AA1-BBF8-4550-9A54-99B330EE9699}</author>
    <author>tc={D36BB7D1-0C9A-4F57-B5B8-50F3F30730CE}</author>
    <author>Tonderai Gonamombe</author>
    <author>tc={ECF929A0-2A25-4089-BE41-9FF13A2EFD3D}</author>
  </authors>
  <commentList>
    <comment ref="AF14" authorId="0" shapeId="0" xr:uid="{937F2A74-AE6C-4806-80E6-0E899BC98D91}">
      <text>
        <r>
          <rPr>
            <b/>
            <sz val="9"/>
            <color indexed="81"/>
            <rFont val="Tahoma"/>
            <family val="2"/>
          </rPr>
          <t>Obey Mhenyu:</t>
        </r>
        <r>
          <rPr>
            <sz val="9"/>
            <color indexed="81"/>
            <rFont val="Tahoma"/>
            <family val="2"/>
          </rPr>
          <t xml:space="preserve">
1 Pig @ ZAS</t>
        </r>
      </text>
    </comment>
    <comment ref="C17" authorId="1" shapeId="0" xr:uid="{00000000-0006-0000-0B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mainsite 15 (FHs)+19 (AI),</t>
        </r>
      </text>
    </comment>
    <comment ref="AF33" authorId="2" shapeId="0" xr:uid="{62DD50CE-9437-4FBA-837F-7B431235741E}">
      <text>
        <t>[Threaded comment]
Your version of Excel allows you to read this threaded comment; however, any edits to it will get removed if the file is opened in a newer version of Excel. Learn more: https://go.microsoft.com/fwlink/?linkid=870924
Comment:
    1 Pig at ZAS</t>
      </text>
    </comment>
    <comment ref="P52" authorId="3" shapeId="0" xr:uid="{93375808-C8A0-4D74-8EE7-8EFD5E0B37A8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Gilts</t>
      </text>
    </comment>
    <comment ref="W71" authorId="4" shapeId="0" xr:uid="{72B1F3D4-B326-47E2-99B2-B285C6A487BD}">
      <text>
        <t>[Threaded comment]
Your version of Excel allows you to read this threaded comment; however, any edits to it will get removed if the file is opened in a newer version of Excel. Learn more: https://go.microsoft.com/fwlink/?linkid=870924
Comment:
    2 DIP/DOAs were included in mortality. Munyaka to correct summary movement &amp; two recons.</t>
      </text>
    </comment>
    <comment ref="C110" authorId="5" shapeId="0" xr:uid="{FD533D00-9A23-4797-917D-B39F1B415538}">
      <text>
        <t>[Threaded comment]
Your version of Excel allows you to read this threaded comment; however, any edits to it will get removed if the file is opened in a newer version of Excel. Learn more: https://go.microsoft.com/fwlink/?linkid=870924
Comment:
    478 pigs brought back into stock at Colcom</t>
      </text>
    </comment>
    <comment ref="N111" authorId="6" shapeId="0" xr:uid="{B3CB4942-2F89-4563-9693-EC610BC9544A}">
      <text>
        <t>[Threaded comment]
Your version of Excel allows you to read this threaded comment; however, any edits to it will get removed if the file is opened in a newer version of Excel. Learn more: https://go.microsoft.com/fwlink/?linkid=870924
Comment:
    71 from multiplier shld be recieved as gilts first, then transferred to weaner.</t>
      </text>
    </comment>
    <comment ref="W112" authorId="7" shapeId="0" xr:uid="{50AC5A3C-C989-4326-90FE-E54C1F47BB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1 pig for opening error
</t>
      </text>
    </comment>
    <comment ref="X148" authorId="8" shapeId="0" xr:uid="{85ABF113-76DB-43D6-BD0C-F8338EE7402B}">
      <text>
        <t>[Threaded comment]
Your version of Excel allows you to read this threaded comment; however, any edits to it will get removed if the file is opened in a newer version of Excel. Learn more: https://go.microsoft.com/fwlink/?linkid=870924
Comment:
    1 from Show</t>
      </text>
    </comment>
    <comment ref="N149" authorId="9" shapeId="0" xr:uid="{4F668AA1-BBF8-4550-9A54-99B330EE9699}">
      <text>
        <t>[Threaded comment]
Your version of Excel allows you to read this threaded comment; however, any edits to it will get removed if the file is opened in a newer version of Excel. Learn more: https://go.microsoft.com/fwlink/?linkid=870924
Comment:
    780 already in drysow and have been serviced hence moving them to sows.</t>
      </text>
    </comment>
    <comment ref="W167" authorId="10" shapeId="0" xr:uid="{D36BB7D1-0C9A-4F57-B5B8-50F3F30730CE}">
      <text>
        <t>[Threaded comment]
Your version of Excel allows you to read this threaded comment; however, any edits to it will get removed if the file is opened in a newer version of Excel. Learn more: https://go.microsoft.com/fwlink/?linkid=870924
Comment:
    1 pig to adjust variance</t>
      </text>
    </comment>
    <comment ref="X168" authorId="11" shapeId="0" xr:uid="{4FE6BD23-7603-4D57-A43F-5DE28797156D}">
      <text>
        <r>
          <rPr>
            <b/>
            <sz val="9"/>
            <color indexed="81"/>
            <rFont val="Tahoma"/>
            <family val="2"/>
          </rPr>
          <t>Tonderai Gonamombe:</t>
        </r>
        <r>
          <rPr>
            <sz val="9"/>
            <color indexed="81"/>
            <rFont val="Tahoma"/>
            <family val="2"/>
          </rPr>
          <t xml:space="preserve">
3 sentinals not agreeing to colc
</t>
        </r>
      </text>
    </comment>
    <comment ref="AF169" authorId="12" shapeId="0" xr:uid="{ECF929A0-2A25-4089-BE41-9FF13A2EFD3D}">
      <text>
        <t>[Threaded comment]
Your version of Excel allows you to read this threaded comment; however, any edits to it will get removed if the file is opened in a newer version of Excel. Learn more: https://go.microsoft.com/fwlink/?linkid=870924
Comment:
    7 Cull not added to the summary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tc={5C69557B-D581-44BA-859D-87BD00E7DEB7}</author>
    <author>tc={D52D2187-084E-43C4-8400-022A8591E1C9}</author>
    <author>tc={583E5487-8DEA-4068-9689-9036F492A37C}</author>
    <author>tc={5D1B5105-5FD7-49BC-8140-EBC1ADC07590}</author>
    <author>tc={D586DB0E-61D4-4ED4-A222-706674B40A6E}</author>
    <author>tc={A16C7E5C-64F0-4365-9047-8DB9203B325A}</author>
    <author>tc={3D84490C-5C12-4B60-9F85-E8F13D22C3EE}</author>
    <author>tc={5C7E8181-FC24-4DAF-8842-C301FDEF2E5B}</author>
    <author>user</author>
    <author>tc={E3D7B97C-EA1A-42D6-A58A-28A8B083DD1A}</author>
    <author>Obey Mhenyu</author>
    <author>tc={C2F147D9-839E-4EC1-9065-58E354C87659}</author>
    <author>tc={51952BEE-F9E6-4065-A1B1-9DC77D1B1096}</author>
    <author>tc={756AD23F-8E03-4019-B580-F7FB0AA33A35}</author>
    <author>tc={61AE0392-627B-41FD-BEBD-4C0E7942AC64}</author>
    <author>tc={FD94BFD2-8FE0-43FB-AF3F-F948B02ECD64}</author>
  </authors>
  <commentList>
    <comment ref="D61" authorId="0" shapeId="0" xr:uid="{5C69557B-D581-44BA-859D-87BD00E7DEB7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DH &amp; FH Movement in CellD61</t>
      </text>
    </comment>
    <comment ref="H66" authorId="1" shapeId="0" xr:uid="{D52D2187-084E-43C4-8400-022A8591E1C9}">
      <text>
        <t>[Threaded comment]
Your version of Excel allows you to read this threaded comment; however, any edits to it will get removed if the file is opened in a newer version of Excel. Learn more: https://go.microsoft.com/fwlink/?linkid=870924
Comment:
    8 Gilts for previous month</t>
      </text>
    </comment>
    <comment ref="X66" authorId="2" shapeId="0" xr:uid="{583E5487-8DEA-4068-9689-9036F492A37C}">
      <text>
        <t>[Threaded comment]
Your version of Excel allows you to read this threaded comment; however, any edits to it will get removed if the file is opened in a newer version of Excel. Learn more: https://go.microsoft.com/fwlink/?linkid=870924
Comment:
    360 Sows 5 Gilts</t>
      </text>
    </comment>
    <comment ref="U79" authorId="3" shapeId="0" xr:uid="{5D1B5105-5FD7-49BC-8140-EBC1ADC0759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Marked as Grower but went to Colcom</t>
      </text>
    </comment>
    <comment ref="W80" authorId="4" shapeId="0" xr:uid="{D586DB0E-61D4-4ED4-A222-706674B40A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Plus one boar in Gilts
</t>
      </text>
    </comment>
    <comment ref="E81" authorId="5" shapeId="0" xr:uid="{A16C7E5C-64F0-4365-9047-8DB9203B325A}">
      <text>
        <t>[Threaded comment]
Your version of Excel allows you to read this threaded comment; however, any edits to it will get removed if the file is opened in a newer version of Excel. Learn more: https://go.microsoft.com/fwlink/?linkid=870924
Comment:
    in DS2</t>
      </text>
    </comment>
    <comment ref="J81" authorId="6" shapeId="0" xr:uid="{3D84490C-5C12-4B60-9F85-E8F13D22C3EE}">
      <text>
        <t>[Threaded comment]
Your version of Excel allows you to read this threaded comment; however, any edits to it will get removed if the file is opened in a newer version of Excel. Learn more: https://go.microsoft.com/fwlink/?linkid=870924
Comment:
    8 in DS but under Gilts</t>
      </text>
    </comment>
    <comment ref="W81" authorId="7" shapeId="0" xr:uid="{5C7E8181-FC24-4DAF-8842-C301FDEF2E5B}">
      <text>
        <t>[Threaded comment]
Your version of Excel allows you to read this threaded comment; however, any edits to it will get removed if the file is opened in a newer version of Excel. Learn more: https://go.microsoft.com/fwlink/?linkid=870924
Comment:
    16 for DRysow 1 but are gilts</t>
      </text>
    </comment>
    <comment ref="D88" authorId="8" shapeId="0" xr:uid="{00000000-0006-0000-0D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21 AI, 9 Mainsite (FH6),  3 (Dry Sow)</t>
        </r>
      </text>
    </comment>
    <comment ref="K88" authorId="9" shapeId="0" xr:uid="{E3D7B97C-EA1A-42D6-A58A-28A8B083DD1A}">
      <text>
        <t>[Threaded comment]
Your version of Excel allows you to read this threaded comment; however, any edits to it will get removed if the file is opened in a newer version of Excel. Learn more: https://go.microsoft.com/fwlink/?linkid=870924
Comment:
    1 boar was in gilt, setting off with mortality</t>
      </text>
    </comment>
    <comment ref="T93" authorId="10" shapeId="0" xr:uid="{E77E06F4-EA18-4A23-811B-4B31C292C765}">
      <text>
        <r>
          <rPr>
            <b/>
            <sz val="9"/>
            <color indexed="81"/>
            <rFont val="Tahoma"/>
            <family val="2"/>
          </rPr>
          <t>Obey Mhenyu:</t>
        </r>
        <r>
          <rPr>
            <sz val="9"/>
            <color indexed="81"/>
            <rFont val="Tahoma"/>
            <family val="2"/>
          </rPr>
          <t xml:space="preserve">
3 dry sow; 11 FH6, 23 AI. 1 boar in guilts</t>
        </r>
      </text>
    </comment>
    <comment ref="J118" authorId="11" shapeId="0" xr:uid="{C2F147D9-839E-4EC1-9065-58E354C87659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Mainsite 14</t>
      </text>
    </comment>
    <comment ref="J119" authorId="12" shapeId="0" xr:uid="{51952BEE-F9E6-4065-A1B1-9DC77D1B1096}">
      <text>
        <t>[Threaded comment]
Your version of Excel allows you to read this threaded comment; however, any edits to it will get removed if the file is opened in a newer version of Excel. Learn more: https://go.microsoft.com/fwlink/?linkid=870924
Comment:
    0 Quarantine, 2131 Mainsite, 11 Cull</t>
      </text>
    </comment>
    <comment ref="C132" authorId="13" shapeId="0" xr:uid="{756AD23F-8E03-4019-B580-F7FB0AA33A35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940 as per count</t>
      </text>
    </comment>
    <comment ref="C139" authorId="14" shapeId="0" xr:uid="{61AE0392-627B-41FD-BEBD-4C0E7942AC64}">
      <text>
        <t>[Threaded comment]
Your version of Excel allows you to read this threaded comment; however, any edits to it will get removed if the file is opened in a newer version of Excel. Learn more: https://go.microsoft.com/fwlink/?linkid=870924
Comment:
    1 Pig at ZAS</t>
      </text>
    </comment>
    <comment ref="C142" authorId="15" shapeId="0" xr:uid="{FD94BFD2-8FE0-43FB-AF3F-F948B02ECD64}">
      <text>
        <t>[Threaded comment]
Your version of Excel allows you to read this threaded comment; however, any edits to it will get removed if the file is opened in a newer version of Excel. Learn more: https://go.microsoft.com/fwlink/?linkid=870924
Comment:
    30 Weeks for Porta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Obey Mhenyu</author>
  </authors>
  <commentList>
    <comment ref="B26" authorId="0" shapeId="0" xr:uid="{B6E0944D-60CD-42EB-8256-D9804CD14ECB}">
      <text>
        <r>
          <rPr>
            <b/>
            <sz val="9"/>
            <color indexed="81"/>
            <rFont val="Tahoma"/>
            <family val="2"/>
          </rPr>
          <t>Obey Mhenyu:</t>
        </r>
        <r>
          <rPr>
            <sz val="9"/>
            <color indexed="81"/>
            <rFont val="Tahoma"/>
            <family val="2"/>
          </rPr>
          <t xml:space="preserve">
Pigs at colcom carried forward to Wk 14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Obey Mhenyu</author>
  </authors>
  <commentList>
    <comment ref="B26" authorId="0" shapeId="0" xr:uid="{F1B9A825-97A5-49B1-85BB-F708412D08A2}">
      <text>
        <r>
          <rPr>
            <b/>
            <sz val="9"/>
            <color indexed="81"/>
            <rFont val="Tahoma"/>
            <family val="2"/>
          </rPr>
          <t>Obey Mhenyu:</t>
        </r>
        <r>
          <rPr>
            <sz val="9"/>
            <color indexed="81"/>
            <rFont val="Tahoma"/>
            <family val="2"/>
          </rPr>
          <t xml:space="preserve">
inclusive of 475 at colcom pens, carried forward to wk14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tc={7FC78F18-8670-4A80-B4B9-D80423B57E53}</author>
    <author>tc={67D3F260-F1AF-45E2-AACE-16512FADCA6E}</author>
    <author>tc={3B47A749-490A-4B25-B79B-B3D5E5EBE10F}</author>
  </authors>
  <commentList>
    <comment ref="D6" authorId="0" shapeId="0" xr:uid="{7FC78F18-8670-4A80-B4B9-D80423B57E53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DH &amp; FH Movement in CellD61</t>
      </text>
    </comment>
    <comment ref="I11" authorId="1" shapeId="0" xr:uid="{67D3F260-F1AF-45E2-AACE-16512FADCA6E}">
      <text>
        <t>[Threaded comment]
Your version of Excel allows you to read this threaded comment; however, any edits to it will get removed if the file is opened in a newer version of Excel. Learn more: https://go.microsoft.com/fwlink/?linkid=870924
Comment:
    8 Gilts for previous month</t>
      </text>
    </comment>
    <comment ref="Z11" authorId="2" shapeId="0" xr:uid="{3B47A749-490A-4B25-B79B-B3D5E5EBE10F}">
      <text>
        <t>[Threaded comment]
Your version of Excel allows you to read this threaded comment; however, any edits to it will get removed if the file is opened in a newer version of Excel. Learn more: https://go.microsoft.com/fwlink/?linkid=870924
Comment:
    360 Sows 5 Gilts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tc={F7C96007-96BA-4D72-9568-50E8A34B4970}</author>
  </authors>
  <commentList>
    <comment ref="I7" authorId="0" shapeId="0" xr:uid="{F7C96007-96BA-4D72-9568-50E8A34B49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102 quarantine
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tc={BD928C35-F9E1-4F96-81CB-2A575899D1B9}</author>
  </authors>
  <commentList>
    <comment ref="AG27" authorId="0" shapeId="0" xr:uid="{BD928C35-F9E1-4F96-81CB-2A575899D1B9}">
      <text>
        <t>[Threaded comment]
Your version of Excel allows you to read this threaded comment; however, any edits to it will get removed if the file is opened in a newer version of Excel. Learn more: https://go.microsoft.com/fwlink/?linkid=870924
Comment:
    Selous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tc={0457F385-D1FC-4B3A-BB68-4458D036E016}</author>
  </authors>
  <commentList>
    <comment ref="W16" authorId="0" shapeId="0" xr:uid="{0457F385-D1FC-4B3A-BB68-4458D036E016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summary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tc={26AE1331-AF4B-4541-A1FB-7A4AB1DFFB7B}</author>
  </authors>
  <commentList>
    <comment ref="AB13" authorId="0" shapeId="0" xr:uid="{26AE1331-AF4B-4541-A1FB-7A4AB1DFFB7B}">
      <text>
        <t>[Threaded comment]
Your version of Excel allows you to read this threaded comment; however, any edits to it will get removed if the file is opened in a newer version of Excel. Learn more: https://go.microsoft.com/fwlink/?linkid=870924
Comment:
    Gilts from LH to Ext direct. To pass thru grower since there are no NC at Ext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tc={2410FFF1-1F24-4029-BA9F-B408D147E17E}</author>
    <author>tc={D752DE53-CFEE-4184-B853-C7ABDB2B11D4}</author>
  </authors>
  <commentList>
    <comment ref="AT10" authorId="0" shapeId="0" xr:uid="{2410FFF1-1F24-4029-BA9F-B408D147E17E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at Agric Show. closed in last month closing stock</t>
      </text>
    </comment>
    <comment ref="AJ40" authorId="1" shapeId="0" xr:uid="{D752DE53-CFEE-4184-B853-C7ABDB2B11D4}">
      <text>
        <t>[Threaded comment]
Your version of Excel allows you to read this threaded comment; however, any edits to it will get removed if the file is opened in a newer version of Excel. Learn more: https://go.microsoft.com/fwlink/?linkid=870924
Comment:
    Feed req over requested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W30" authorId="0" shapeId="0" xr:uid="{00000000-0006-0000-3200-000001000000}">
      <text>
        <r>
          <rPr>
            <b/>
            <sz val="12"/>
            <color indexed="81"/>
            <rFont val="Tahoma"/>
            <family val="2"/>
          </rPr>
          <t>user:</t>
        </r>
        <r>
          <rPr>
            <sz val="12"/>
            <color indexed="81"/>
            <rFont val="Tahoma"/>
            <family val="2"/>
          </rPr>
          <t xml:space="preserve">
7 Pigs left in November at AP53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tc={30F3497A-7D32-4ABD-94F2-B3CA7805C1D1}</author>
    <author>Obey Mhenyu</author>
  </authors>
  <commentList>
    <comment ref="Y7" authorId="0" shapeId="0" xr:uid="{30F3497A-7D32-4ABD-94F2-B3CA7805C1D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was a mixup on age in the previous month from farrowing</t>
      </text>
    </comment>
    <comment ref="AT24" authorId="1" shapeId="0" xr:uid="{805782C8-4CEE-4F6E-97BC-6B1D489A3F53}">
      <text>
        <r>
          <rPr>
            <b/>
            <sz val="9"/>
            <color indexed="81"/>
            <rFont val="Tahoma"/>
            <family val="2"/>
          </rPr>
          <t>Obey Mhenyu:</t>
        </r>
        <r>
          <rPr>
            <sz val="9"/>
            <color indexed="81"/>
            <rFont val="Tahoma"/>
            <family val="2"/>
          </rPr>
          <t xml:space="preserve">
Adjust for difference in opening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Obey Mhenyu</author>
    <author>tc={EE1D25F9-579B-4B73-B1D1-1A4C65184C0D}</author>
    <author>tc={A30CBC98-608D-4E58-BEF4-2BBD22A222E1}</author>
  </authors>
  <commentList>
    <comment ref="U8" authorId="0" shapeId="0" xr:uid="{65039EB2-AB7F-49C2-A4A8-AB69C3C708D0}">
      <text>
        <r>
          <rPr>
            <b/>
            <sz val="9"/>
            <color indexed="81"/>
            <rFont val="Tahoma"/>
            <family val="2"/>
          </rPr>
          <t>Obey Mhenyu:</t>
        </r>
        <r>
          <rPr>
            <sz val="9"/>
            <color indexed="81"/>
            <rFont val="Tahoma"/>
            <family val="2"/>
          </rPr>
          <t xml:space="preserve">
adjusted for the imbalance - 5  piglets</t>
        </r>
      </text>
    </comment>
    <comment ref="AR24" authorId="1" shapeId="0" xr:uid="{EE1D25F9-579B-4B73-B1D1-1A4C65184C0D}">
      <text>
        <t>[Threaded comment]
Your version of Excel allows you to read this threaded comment; however, any edits to it will get removed if the file is opened in a newer version of Excel. Learn more: https://go.microsoft.com/fwlink/?linkid=870924
Comment:
    Batch was supposed to Open with bal of 216</t>
      </text>
    </comment>
    <comment ref="AJ40" authorId="2" shapeId="0" xr:uid="{A30CBC98-608D-4E58-BEF4-2BBD22A222E1}">
      <text>
        <t>[Threaded comment]
Your version of Excel allows you to read this threaded comment; however, any edits to it will get removed if the file is opened in a newer version of Excel. Learn more: https://go.microsoft.com/fwlink/?linkid=870924
Comment:
    Feed req over requested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tc={50B73CF9-C2E1-4261-AD2C-8D4FEB07D7BB}</author>
  </authors>
  <commentList>
    <comment ref="W9" authorId="0" shapeId="0" xr:uid="{50B73CF9-C2E1-4261-AD2C-8D4FEB07D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from where it came from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Job</author>
  </authors>
  <commentList>
    <comment ref="I15" authorId="0" shapeId="0" xr:uid="{00000000-0006-0000-3F00-000001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To Quarantine
</t>
        </r>
      </text>
    </comment>
    <comment ref="K24" authorId="0" shapeId="0" xr:uid="{00000000-0006-0000-3F00-000002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Art Farm
</t>
        </r>
      </text>
    </comment>
    <comment ref="I58" authorId="0" shapeId="0" xr:uid="{00000000-0006-0000-3F00-000003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To Quarantine
</t>
        </r>
      </text>
    </comment>
    <comment ref="K67" authorId="0" shapeId="0" xr:uid="{00000000-0006-0000-3F00-000004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Art Farm
</t>
        </r>
      </text>
    </comment>
    <comment ref="I100" authorId="0" shapeId="0" xr:uid="{00000000-0006-0000-3F00-000005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To Quarantine
</t>
        </r>
      </text>
    </comment>
    <comment ref="K109" authorId="0" shapeId="0" xr:uid="{00000000-0006-0000-3F00-000006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Art Farm
</t>
        </r>
      </text>
    </comment>
    <comment ref="D144" authorId="0" shapeId="0" xr:uid="{00000000-0006-0000-3F00-000007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Service slaughter Mrs Chant</t>
        </r>
      </text>
    </comment>
    <comment ref="J146" authorId="0" shapeId="0" xr:uid="{00000000-0006-0000-3F00-000008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To Quarantine
</t>
        </r>
      </text>
    </comment>
    <comment ref="D152" authorId="0" shapeId="0" xr:uid="{00000000-0006-0000-3F00-000009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Service slaughter Mrs Chant</t>
        </r>
      </text>
    </comment>
    <comment ref="L153" authorId="0" shapeId="0" xr:uid="{00000000-0006-0000-3F00-00000A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Art Farm
</t>
        </r>
      </text>
    </comment>
    <comment ref="E160" authorId="0" shapeId="0" xr:uid="{00000000-0006-0000-3F00-00000B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Crocodiles
</t>
        </r>
      </text>
    </comment>
    <comment ref="E166" authorId="0" shapeId="0" xr:uid="{00000000-0006-0000-3F00-00000C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Crocodiles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Job</author>
  </authors>
  <commentList>
    <comment ref="F21" authorId="0" shapeId="0" xr:uid="{00000000-0006-0000-4800-000001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10 Gilts to Rogate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Walter</author>
    <author>TrippleC</author>
  </authors>
  <commentList>
    <comment ref="D13" authorId="0" shapeId="0" xr:uid="{00000000-0006-0000-5100-00000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I13" authorId="1" shapeId="0" xr:uid="{00000000-0006-0000-5100-000002000000}">
      <text>
        <r>
          <rPr>
            <b/>
            <sz val="9"/>
            <color indexed="81"/>
            <rFont val="Tahoma"/>
            <family val="2"/>
          </rPr>
          <t>TrippleC:</t>
        </r>
        <r>
          <rPr>
            <sz val="9"/>
            <color indexed="81"/>
            <rFont val="Tahoma"/>
            <family val="2"/>
          </rPr>
          <t xml:space="preserve">
90 transfer to Lion Head
</t>
        </r>
      </text>
    </comment>
    <comment ref="I14" authorId="1" shapeId="0" xr:uid="{00000000-0006-0000-5100-000003000000}">
      <text>
        <r>
          <rPr>
            <b/>
            <sz val="9"/>
            <color indexed="81"/>
            <rFont val="Tahoma"/>
            <family val="2"/>
          </rPr>
          <t>TrippleC:
10 TRANSFERRED TO</t>
        </r>
        <r>
          <rPr>
            <sz val="9"/>
            <color indexed="81"/>
            <rFont val="Tahoma"/>
            <family val="2"/>
          </rPr>
          <t xml:space="preserve"> Villa
</t>
        </r>
      </text>
    </comment>
    <comment ref="I15" authorId="1" shapeId="0" xr:uid="{00000000-0006-0000-5100-000004000000}">
      <text>
        <r>
          <rPr>
            <b/>
            <sz val="9"/>
            <color indexed="81"/>
            <rFont val="Tahoma"/>
            <family val="2"/>
          </rPr>
          <t>TrippleC:</t>
        </r>
        <r>
          <rPr>
            <sz val="9"/>
            <color indexed="81"/>
            <rFont val="Tahoma"/>
            <family val="2"/>
          </rPr>
          <t xml:space="preserve">
24 TRASFERED TO Villa
9 TRANSFERRED To Villa 
 </t>
        </r>
      </text>
    </comment>
    <comment ref="O16" authorId="0" shapeId="0" xr:uid="{00000000-0006-0000-5100-000005000000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J19" authorId="1" shapeId="0" xr:uid="{00000000-0006-0000-5100-000006000000}">
      <text>
        <r>
          <rPr>
            <b/>
            <sz val="9"/>
            <color indexed="81"/>
            <rFont val="Tahoma"/>
            <family val="2"/>
          </rPr>
          <t>TrippleC:</t>
        </r>
        <r>
          <rPr>
            <sz val="9"/>
            <color indexed="81"/>
            <rFont val="Tahoma"/>
            <family val="2"/>
          </rPr>
          <t xml:space="preserve">
2 DOA 23.09.15
1 DOA 24.09.15
3 CONDEMNED WK 38
</t>
        </r>
      </text>
    </comment>
    <comment ref="D28" authorId="1" shapeId="0" xr:uid="{00000000-0006-0000-5100-000007000000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J32" authorId="1" shapeId="0" xr:uid="{00000000-0006-0000-5100-000008000000}">
      <text>
        <r>
          <rPr>
            <b/>
            <sz val="9"/>
            <color indexed="81"/>
            <rFont val="Tahoma"/>
            <family val="2"/>
          </rPr>
          <t>TrippleC:</t>
        </r>
        <r>
          <rPr>
            <sz val="9"/>
            <color indexed="81"/>
            <rFont val="Tahoma"/>
            <family val="2"/>
          </rPr>
          <t xml:space="preserve">
1 DOA 01.09.15
</t>
        </r>
      </text>
    </comment>
    <comment ref="D39" authorId="1" shapeId="0" xr:uid="{00000000-0006-0000-5100-000009000000}">
      <text>
        <r>
          <rPr>
            <b/>
            <sz val="9"/>
            <color indexed="81"/>
            <rFont val="Tahoma"/>
            <family val="2"/>
          </rPr>
          <t>TrippleC:</t>
        </r>
        <r>
          <rPr>
            <sz val="9"/>
            <color indexed="81"/>
            <rFont val="Tahoma"/>
            <family val="2"/>
          </rPr>
          <t xml:space="preserve">
TRANSFER FROM CCC
</t>
        </r>
      </text>
    </comment>
    <comment ref="D40" authorId="1" shapeId="0" xr:uid="{00000000-0006-0000-5100-00000A000000}">
      <text>
        <r>
          <rPr>
            <b/>
            <sz val="9"/>
            <color indexed="81"/>
            <rFont val="Tahoma"/>
            <family val="2"/>
          </rPr>
          <t>TrippleC:</t>
        </r>
        <r>
          <rPr>
            <sz val="9"/>
            <color indexed="81"/>
            <rFont val="Tahoma"/>
            <family val="2"/>
          </rPr>
          <t xml:space="preserve">
9 TRANSFER FORM CCC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<sst xmlns="http://schemas.openxmlformats.org/spreadsheetml/2006/main" count="11624" uniqueCount="2396">
  <si>
    <t>Triple C Pigs Books</t>
  </si>
  <si>
    <t>CR</t>
  </si>
  <si>
    <t>1700/065</t>
  </si>
  <si>
    <t>Feed ingredients other</t>
  </si>
  <si>
    <t>DR</t>
  </si>
  <si>
    <t>6136/000</t>
  </si>
  <si>
    <t>Zimbo intra-company</t>
  </si>
  <si>
    <t>6137/000</t>
  </si>
  <si>
    <t>Trade winds-intra company</t>
  </si>
  <si>
    <t>6141/000</t>
  </si>
  <si>
    <t>Quarantine - Outgrowers</t>
  </si>
  <si>
    <t>1500/010</t>
  </si>
  <si>
    <t>AI Consumables</t>
  </si>
  <si>
    <t>1500/025</t>
  </si>
  <si>
    <t>Consumables</t>
  </si>
  <si>
    <t>1400/030</t>
  </si>
  <si>
    <t>Consultancy Fees</t>
  </si>
  <si>
    <t>1500/095</t>
  </si>
  <si>
    <t>Training - External Consultants</t>
  </si>
  <si>
    <t>1600/010</t>
  </si>
  <si>
    <t>Cimas</t>
  </si>
  <si>
    <t>1600/030</t>
  </si>
  <si>
    <t>Nssa</t>
  </si>
  <si>
    <t>1600/040</t>
  </si>
  <si>
    <t>Protective Clothing</t>
  </si>
  <si>
    <t>1600/050</t>
  </si>
  <si>
    <t>Salaries</t>
  </si>
  <si>
    <t>1600/070</t>
  </si>
  <si>
    <t>Wages</t>
  </si>
  <si>
    <t>1600/080</t>
  </si>
  <si>
    <t>Welfare &amp; Training</t>
  </si>
  <si>
    <t>1750/010</t>
  </si>
  <si>
    <t>1750/030</t>
  </si>
  <si>
    <t>1750/050</t>
  </si>
  <si>
    <t>1750/070</t>
  </si>
  <si>
    <t>1450/070</t>
  </si>
  <si>
    <t>1550/010</t>
  </si>
  <si>
    <t>1550/020</t>
  </si>
  <si>
    <t>Disinfectants</t>
  </si>
  <si>
    <t>1550/040</t>
  </si>
  <si>
    <t>Other Injections</t>
  </si>
  <si>
    <t>1550/050</t>
  </si>
  <si>
    <t>Vaccines</t>
  </si>
  <si>
    <t>1550/060</t>
  </si>
  <si>
    <t>Vermin &amp; Fly Control</t>
  </si>
  <si>
    <t>1400/120</t>
  </si>
  <si>
    <t>Veterinary</t>
  </si>
  <si>
    <t>0300/030</t>
  </si>
  <si>
    <t>Followers</t>
  </si>
  <si>
    <t>0300/015</t>
  </si>
  <si>
    <t>Gilts</t>
  </si>
  <si>
    <t>1500/015</t>
  </si>
  <si>
    <t>Cost of sales</t>
  </si>
  <si>
    <t>Zimbo Books</t>
  </si>
  <si>
    <t>0300/020</t>
  </si>
  <si>
    <t>Sows</t>
  </si>
  <si>
    <t>Triple C Pigs</t>
  </si>
  <si>
    <t>Trade winds Books</t>
  </si>
  <si>
    <t>Quarantine Books</t>
  </si>
  <si>
    <t>Dr</t>
  </si>
  <si>
    <t>Dry Sow</t>
  </si>
  <si>
    <t>Gilt</t>
  </si>
  <si>
    <t>Creep</t>
  </si>
  <si>
    <t>Lactate</t>
  </si>
  <si>
    <t>Wean1</t>
  </si>
  <si>
    <t>Wean2</t>
  </si>
  <si>
    <t>Grower 2</t>
  </si>
  <si>
    <t>Grower 1</t>
  </si>
  <si>
    <t>Grower 4</t>
  </si>
  <si>
    <t>Grower 3</t>
  </si>
  <si>
    <t>Wheat bran</t>
  </si>
  <si>
    <t>Total</t>
  </si>
  <si>
    <t>Tradewinds</t>
  </si>
  <si>
    <t>Tonnage</t>
  </si>
  <si>
    <t>Unit cost</t>
  </si>
  <si>
    <t>Zimbo</t>
  </si>
  <si>
    <t>Quarantine</t>
  </si>
  <si>
    <t>Rotgate</t>
  </si>
  <si>
    <t>0300/010</t>
  </si>
  <si>
    <t>Boars</t>
  </si>
  <si>
    <t>Trade Winds Books</t>
  </si>
  <si>
    <t>COLCOM HOLDINGS LIMITED</t>
  </si>
  <si>
    <t>TRIPLE C PIGS</t>
  </si>
  <si>
    <t>LIVESTOCK ANALYSIS SCHEDULE INCLUDING IAS 41</t>
  </si>
  <si>
    <t>COST</t>
  </si>
  <si>
    <t>GRASMERE FARM</t>
  </si>
  <si>
    <t>SITE:</t>
  </si>
  <si>
    <t>DESCRIPTION</t>
  </si>
  <si>
    <t>SITE</t>
  </si>
  <si>
    <t>OPENING</t>
  </si>
  <si>
    <t>PIG PURCHASES</t>
  </si>
  <si>
    <t>TRANSFER IN</t>
  </si>
  <si>
    <t>A I CONSUMMABLES</t>
  </si>
  <si>
    <t>BEDDING AND CONSUMMABLES</t>
  </si>
  <si>
    <t>CONSULTANCY FEES</t>
  </si>
  <si>
    <t>DIRECT STAFF COSTS</t>
  </si>
  <si>
    <t>STOCK FEED</t>
  </si>
  <si>
    <t>SUNDRY TOOLS</t>
  </si>
  <si>
    <t>VETERINARY</t>
  </si>
  <si>
    <t>TOTAL COST</t>
  </si>
  <si>
    <t>AVERAGE COST</t>
  </si>
  <si>
    <t>TRANSFER OUT</t>
  </si>
  <si>
    <t>SALES</t>
  </si>
  <si>
    <t>IAS 41  ADJ.</t>
  </si>
  <si>
    <t>CLOSING</t>
  </si>
  <si>
    <t>PIGLETS</t>
  </si>
  <si>
    <t>MAIN</t>
  </si>
  <si>
    <t>WEANERS</t>
  </si>
  <si>
    <t>WEANER</t>
  </si>
  <si>
    <t>GROWERS</t>
  </si>
  <si>
    <t xml:space="preserve">GROWER </t>
  </si>
  <si>
    <t>GILTS</t>
  </si>
  <si>
    <t>SOWS</t>
  </si>
  <si>
    <t>BOARS</t>
  </si>
  <si>
    <t>AI</t>
  </si>
  <si>
    <t>TOTAL</t>
  </si>
  <si>
    <t>TRADE WINDS</t>
  </si>
  <si>
    <t>ZIMBO</t>
  </si>
  <si>
    <t>ROGATE</t>
  </si>
  <si>
    <t>QUARANTINE</t>
  </si>
  <si>
    <t>OSWA</t>
  </si>
  <si>
    <t>MAIN SITE</t>
  </si>
  <si>
    <t>Direct expenses</t>
  </si>
  <si>
    <t>Less Cattle</t>
  </si>
  <si>
    <t>Less Trade winds</t>
  </si>
  <si>
    <t>Less Zimbo</t>
  </si>
  <si>
    <t>Less Quarantine</t>
  </si>
  <si>
    <t>Grasmere</t>
  </si>
  <si>
    <t>Oswa</t>
  </si>
  <si>
    <t>Establishment Expenses</t>
  </si>
  <si>
    <t>Al Consumbables</t>
  </si>
  <si>
    <t>Bedding &amp; Consumables</t>
  </si>
  <si>
    <t>Staff &amp; Associated Costs</t>
  </si>
  <si>
    <t>Stockfeed</t>
  </si>
  <si>
    <t>Sundry Tools &amp; Equipment</t>
  </si>
  <si>
    <t>Veterinary, Health &amp; Hygiene</t>
  </si>
  <si>
    <t xml:space="preserve">TRIPLE C PIGS </t>
  </si>
  <si>
    <t>LIVESTOCK ANALYSIS SCHEDULE</t>
  </si>
  <si>
    <t xml:space="preserve"> </t>
  </si>
  <si>
    <t>CULLS</t>
  </si>
  <si>
    <t>STOCK ADJMNT</t>
  </si>
  <si>
    <t>UMFULI BANKS</t>
  </si>
  <si>
    <t>SEAFORTH FARM</t>
  </si>
  <si>
    <t>MOON FARM</t>
  </si>
  <si>
    <t>DZUMBUNU</t>
  </si>
  <si>
    <t>CLIFTON</t>
  </si>
  <si>
    <t>COLDSTREAM</t>
  </si>
  <si>
    <t>Fick</t>
  </si>
  <si>
    <t>Dzumbunu</t>
  </si>
  <si>
    <t>Umfuli Banks</t>
  </si>
  <si>
    <t>Seaforth</t>
  </si>
  <si>
    <t>Moonfarm</t>
  </si>
  <si>
    <t>Clifton</t>
  </si>
  <si>
    <t>Coldstream</t>
  </si>
  <si>
    <t>Chibhero</t>
  </si>
  <si>
    <t>Sundry Tools Equipment &amp; Transport</t>
  </si>
  <si>
    <t>maize</t>
  </si>
  <si>
    <t>soya</t>
  </si>
  <si>
    <t>feed ingredients</t>
  </si>
  <si>
    <t>Maize</t>
  </si>
  <si>
    <t xml:space="preserve">Soya </t>
  </si>
  <si>
    <t>Other</t>
  </si>
  <si>
    <t>IAS 41 MOVEMENT</t>
  </si>
  <si>
    <t>SUB TOTAL</t>
  </si>
  <si>
    <t>CURRENT ADJMNT</t>
  </si>
  <si>
    <t>CLOSING BAL</t>
  </si>
  <si>
    <t>SUMMARY</t>
  </si>
  <si>
    <t>In</t>
  </si>
  <si>
    <t>Out</t>
  </si>
  <si>
    <t>Mortality</t>
  </si>
  <si>
    <t>mortaliy</t>
  </si>
  <si>
    <t>Cull hse</t>
  </si>
  <si>
    <t>DS4</t>
  </si>
  <si>
    <t>Stock</t>
  </si>
  <si>
    <t>Fw</t>
  </si>
  <si>
    <t>DS3</t>
  </si>
  <si>
    <t>DS5</t>
  </si>
  <si>
    <t>FH6</t>
  </si>
  <si>
    <t>Qua</t>
  </si>
  <si>
    <t>Pre Farrowing</t>
  </si>
  <si>
    <t># Pigs</t>
  </si>
  <si>
    <t>CDM</t>
  </si>
  <si>
    <t>Ave.</t>
  </si>
  <si>
    <t>Value</t>
  </si>
  <si>
    <t>Previous Month NOP</t>
  </si>
  <si>
    <t>Diff</t>
  </si>
  <si>
    <t>Villa</t>
  </si>
  <si>
    <t>Lionshead</t>
  </si>
  <si>
    <t>Lionshead Ext.</t>
  </si>
  <si>
    <t>Richlands</t>
  </si>
  <si>
    <t>Learig</t>
  </si>
  <si>
    <t>Porta</t>
  </si>
  <si>
    <t>Multiplier</t>
  </si>
  <si>
    <t>1-17 Weeks</t>
  </si>
  <si>
    <t>Lionhead Ext.</t>
  </si>
  <si>
    <t>&gt;=18 Weeks</t>
  </si>
  <si>
    <t xml:space="preserve"> Local Non- Current</t>
  </si>
  <si>
    <t>Ave/Pig</t>
  </si>
  <si>
    <t>Imported Non-Current</t>
  </si>
  <si>
    <t>Cost</t>
  </si>
  <si>
    <t>Acc. Amort.</t>
  </si>
  <si>
    <t>Liohead Ext</t>
  </si>
  <si>
    <t>Cattle</t>
  </si>
  <si>
    <t># Cattle</t>
  </si>
  <si>
    <t>Grand Total</t>
  </si>
  <si>
    <t>Ave</t>
  </si>
  <si>
    <t>Lionhead Ext</t>
  </si>
  <si>
    <t>Check</t>
  </si>
  <si>
    <t>1 to 17 Weeks</t>
  </si>
  <si>
    <t>!8 to 23 Weeks Cost</t>
  </si>
  <si>
    <t>!8 to 23Faire Value</t>
  </si>
  <si>
    <t>Lionshead Ext</t>
  </si>
  <si>
    <t>Transfer In</t>
  </si>
  <si>
    <t>Lionhead</t>
  </si>
  <si>
    <t>Villa Franca</t>
  </si>
  <si>
    <t xml:space="preserve">Lionhead </t>
  </si>
  <si>
    <t>Transfer Out</t>
  </si>
  <si>
    <t>NUMBER OF PIGS</t>
  </si>
  <si>
    <t>GRASMERE</t>
  </si>
  <si>
    <t>Transfer From/In</t>
  </si>
  <si>
    <t>Transfer To/Out</t>
  </si>
  <si>
    <t>Opening</t>
  </si>
  <si>
    <t>Births</t>
  </si>
  <si>
    <t>Grasmere Quarantine</t>
  </si>
  <si>
    <t>Lionheads</t>
  </si>
  <si>
    <t>Porta Farm</t>
  </si>
  <si>
    <t>Deaths</t>
  </si>
  <si>
    <t>Colcom Sales</t>
  </si>
  <si>
    <t>Colcom Deaths</t>
  </si>
  <si>
    <t>Rations</t>
  </si>
  <si>
    <t>Donations</t>
  </si>
  <si>
    <t>Pet Food</t>
  </si>
  <si>
    <t>Farm Sales</t>
  </si>
  <si>
    <t xml:space="preserve">Closing </t>
  </si>
  <si>
    <t>Stock Count</t>
  </si>
  <si>
    <t>MAINSITE</t>
  </si>
  <si>
    <t>AI &amp; MAINSITE</t>
  </si>
  <si>
    <t>L/Head</t>
  </si>
  <si>
    <t>L/Head ext.</t>
  </si>
  <si>
    <t>R/Lands</t>
  </si>
  <si>
    <t>LEARIG</t>
  </si>
  <si>
    <t>Selous Farm</t>
  </si>
  <si>
    <t>LIONSHEAD FARM</t>
  </si>
  <si>
    <t>L/HEAD M/SITE</t>
  </si>
  <si>
    <t>L/HEAD WEANER</t>
  </si>
  <si>
    <t>L/HEAD GROWER</t>
  </si>
  <si>
    <t>LIONSHEAD EXT. FARM</t>
  </si>
  <si>
    <t>L/HEAD EXT. M/SITE</t>
  </si>
  <si>
    <t>L/HEAD EXT. WEANER</t>
  </si>
  <si>
    <t>L/HEAD EXT.GROWER</t>
  </si>
  <si>
    <t>L/HEAD EXT.</t>
  </si>
  <si>
    <t xml:space="preserve">L/Head </t>
  </si>
  <si>
    <t>VILLA FRANCA FARM</t>
  </si>
  <si>
    <t>Lionhead   Ext.</t>
  </si>
  <si>
    <t>V/FRANCA M/SITE</t>
  </si>
  <si>
    <t>V/FRANCA WEANER</t>
  </si>
  <si>
    <t>V/FRANCA GROWER</t>
  </si>
  <si>
    <t>L/Head Ext.</t>
  </si>
  <si>
    <t>RICHLANDS FARM</t>
  </si>
  <si>
    <t>`</t>
  </si>
  <si>
    <t>Multplier</t>
  </si>
  <si>
    <t>R/LANDS M/SITE</t>
  </si>
  <si>
    <t>R/LANDS WEANER</t>
  </si>
  <si>
    <t>R/LANDS GROWER</t>
  </si>
  <si>
    <t>QUARANTINE-GRASMERE FARM</t>
  </si>
  <si>
    <t>Births/Purchases</t>
  </si>
  <si>
    <t>G/MERE QUARANTINE</t>
  </si>
  <si>
    <t>PORTA FARM</t>
  </si>
  <si>
    <t>.</t>
  </si>
  <si>
    <t>MULTIPLIER</t>
  </si>
  <si>
    <t>fh1</t>
  </si>
  <si>
    <t>MULTIPLIER FARM</t>
  </si>
  <si>
    <t>fh2</t>
  </si>
  <si>
    <t>fh3</t>
  </si>
  <si>
    <t>fh4</t>
  </si>
  <si>
    <t>fh5</t>
  </si>
  <si>
    <t>correct</t>
  </si>
  <si>
    <t>Sows &amp; Boars</t>
  </si>
  <si>
    <t>Piglets, Weaner &amp; Growers</t>
  </si>
  <si>
    <t>Lions Ext</t>
  </si>
  <si>
    <t>Farrowing Hse 1</t>
  </si>
  <si>
    <t>Farrowing Hse 2</t>
  </si>
  <si>
    <t>Farrowing Hse 3</t>
  </si>
  <si>
    <t>Farrowing Hse 4</t>
  </si>
  <si>
    <t>Farrowing Hse 5</t>
  </si>
  <si>
    <t>Farrowing Hse 6</t>
  </si>
  <si>
    <t>Week</t>
  </si>
  <si>
    <t>Born Dead</t>
  </si>
  <si>
    <t>Sows Mortaulity</t>
  </si>
  <si>
    <t>Piglets To Weaner</t>
  </si>
  <si>
    <t>Piglets to Learig</t>
  </si>
  <si>
    <t>Piglets to Quarantine</t>
  </si>
  <si>
    <t>F1 Weaner</t>
  </si>
  <si>
    <t>Colcom</t>
  </si>
  <si>
    <t>Profeeds</t>
  </si>
  <si>
    <t>Pig Costing Mvmnt</t>
  </si>
  <si>
    <t>Week  5</t>
  </si>
  <si>
    <t>Week 4</t>
  </si>
  <si>
    <t>Week 3</t>
  </si>
  <si>
    <t>Week 2</t>
  </si>
  <si>
    <t>Week 1</t>
  </si>
  <si>
    <t>Summary Farrowing Aging</t>
  </si>
  <si>
    <t>F1</t>
  </si>
  <si>
    <t>F2</t>
  </si>
  <si>
    <t>F3</t>
  </si>
  <si>
    <t>F4</t>
  </si>
  <si>
    <t>F5</t>
  </si>
  <si>
    <t>F6</t>
  </si>
  <si>
    <t>Dry House</t>
  </si>
  <si>
    <t>Dead</t>
  </si>
  <si>
    <t>Abattior/ Ration</t>
  </si>
  <si>
    <t>Boar</t>
  </si>
  <si>
    <t>Chengeta</t>
  </si>
  <si>
    <t>D 1</t>
  </si>
  <si>
    <t>D 2</t>
  </si>
  <si>
    <t>D 3</t>
  </si>
  <si>
    <t>D 4</t>
  </si>
  <si>
    <t>D 5</t>
  </si>
  <si>
    <t>Cull House</t>
  </si>
  <si>
    <t>Villa/Zimbo</t>
  </si>
  <si>
    <t>F1 Grower</t>
  </si>
  <si>
    <t>DH 2</t>
  </si>
  <si>
    <t xml:space="preserve"> PIGLETS MAINSITE   MOVEMENT </t>
  </si>
  <si>
    <t>Week No.</t>
  </si>
  <si>
    <t>Date:</t>
  </si>
  <si>
    <t>BBF</t>
  </si>
  <si>
    <t>BORN ALIVE</t>
  </si>
  <si>
    <t>BORN DEAD</t>
  </si>
  <si>
    <t>PIGS OUT</t>
  </si>
  <si>
    <t>F1 WEANERS</t>
  </si>
  <si>
    <t>FARM</t>
  </si>
  <si>
    <t>AGE</t>
  </si>
  <si>
    <t>DEATHS</t>
  </si>
  <si>
    <t>REASON</t>
  </si>
  <si>
    <t>OTHER/SALES</t>
  </si>
  <si>
    <t>CULL</t>
  </si>
  <si>
    <t>BALANCE</t>
  </si>
  <si>
    <t>In from DH</t>
  </si>
  <si>
    <t>In from FH</t>
  </si>
  <si>
    <t>In from Multiplier</t>
  </si>
  <si>
    <t>Out DH</t>
  </si>
  <si>
    <t>Out FH</t>
  </si>
  <si>
    <t>Out Cull</t>
  </si>
  <si>
    <t>Ration</t>
  </si>
  <si>
    <t>V/franca</t>
  </si>
  <si>
    <t>Qurantine</t>
  </si>
  <si>
    <t>Balance</t>
  </si>
  <si>
    <t>cull</t>
  </si>
  <si>
    <t>dh5</t>
  </si>
  <si>
    <t>dh4</t>
  </si>
  <si>
    <t>dh3</t>
  </si>
  <si>
    <t>dh2</t>
  </si>
  <si>
    <t>dh1</t>
  </si>
  <si>
    <t>fh6</t>
  </si>
  <si>
    <t>In fromQuarantine</t>
  </si>
  <si>
    <t>In from F1 Weaner</t>
  </si>
  <si>
    <t>In from Weaner</t>
  </si>
  <si>
    <t>In From F1 Grower</t>
  </si>
  <si>
    <t>Out F1 Grower</t>
  </si>
  <si>
    <t>Out DH 2</t>
  </si>
  <si>
    <t>Out Porta</t>
  </si>
  <si>
    <t>Out-Cull</t>
  </si>
  <si>
    <t>In Quarantine</t>
  </si>
  <si>
    <t>Out-Cull/Quarantine</t>
  </si>
  <si>
    <t>Out Villa</t>
  </si>
  <si>
    <t>Out R/Lands</t>
  </si>
  <si>
    <t>Out L/Heads</t>
  </si>
  <si>
    <t>Out Selous</t>
  </si>
  <si>
    <t>Out Colcom</t>
  </si>
  <si>
    <t>Dry Gilt 2</t>
  </si>
  <si>
    <t xml:space="preserve"> AI &amp; MAINSITE  BOARS  MOVEMENT </t>
  </si>
  <si>
    <t xml:space="preserve">PIGS IN </t>
  </si>
  <si>
    <t>Multilier</t>
  </si>
  <si>
    <t xml:space="preserve"> WEANER SITE  MOVEMENT </t>
  </si>
  <si>
    <t>RATIONS</t>
  </si>
  <si>
    <t xml:space="preserve">GROWER SITE  MOVEMENT </t>
  </si>
  <si>
    <t>PIGS OUT/COLCOM</t>
  </si>
  <si>
    <t>SELOUS</t>
  </si>
  <si>
    <t>PET FOOD</t>
  </si>
  <si>
    <t>Richalands</t>
  </si>
  <si>
    <t>Mainsite</t>
  </si>
  <si>
    <t>Aging</t>
  </si>
  <si>
    <t>No. of Pigs</t>
  </si>
  <si>
    <t>1 Week</t>
  </si>
  <si>
    <t>Piglets</t>
  </si>
  <si>
    <t>2 Weeks</t>
  </si>
  <si>
    <t>3 Weeks</t>
  </si>
  <si>
    <t>4 Weeks</t>
  </si>
  <si>
    <t>5 Weeks</t>
  </si>
  <si>
    <t>Weaners</t>
  </si>
  <si>
    <t>check</t>
  </si>
  <si>
    <t>6 Weeks</t>
  </si>
  <si>
    <t>7 Weeks</t>
  </si>
  <si>
    <t>8 Weeks</t>
  </si>
  <si>
    <t>9 Weeks</t>
  </si>
  <si>
    <t>10 Weeks</t>
  </si>
  <si>
    <t>11 Weeks</t>
  </si>
  <si>
    <t>Growers</t>
  </si>
  <si>
    <t>12 Weeks</t>
  </si>
  <si>
    <t>13 Weeks</t>
  </si>
  <si>
    <t>14 Weeks</t>
  </si>
  <si>
    <t>15 Weeks</t>
  </si>
  <si>
    <t>16 Weeks</t>
  </si>
  <si>
    <t>17 Weeks</t>
  </si>
  <si>
    <t>18 Weeks</t>
  </si>
  <si>
    <t>19 Weeks</t>
  </si>
  <si>
    <t>20 Weeks</t>
  </si>
  <si>
    <t>21 Weeks</t>
  </si>
  <si>
    <t>22 Weeks</t>
  </si>
  <si>
    <t>23 Weeks</t>
  </si>
  <si>
    <t>24 Weeks</t>
  </si>
  <si>
    <t>25 Weeks</t>
  </si>
  <si>
    <t>Sick Block</t>
  </si>
  <si>
    <t>In Fron DS</t>
  </si>
  <si>
    <t>In Fron FH</t>
  </si>
  <si>
    <t>In From Gilts</t>
  </si>
  <si>
    <t>In From Quarantine</t>
  </si>
  <si>
    <t>Out Mortality</t>
  </si>
  <si>
    <t>OutTo DS</t>
  </si>
  <si>
    <t>Out To FH</t>
  </si>
  <si>
    <t>Out To Colcom</t>
  </si>
  <si>
    <t>Out To Rations</t>
  </si>
  <si>
    <t>Closing</t>
  </si>
  <si>
    <t>TB</t>
  </si>
  <si>
    <t>BD</t>
  </si>
  <si>
    <t>mortality</t>
  </si>
  <si>
    <t>weaner</t>
  </si>
  <si>
    <t>outgrowers</t>
  </si>
  <si>
    <t>closing</t>
  </si>
  <si>
    <t>NUMBER OF CATTLE</t>
  </si>
  <si>
    <t>BIRTHS</t>
  </si>
  <si>
    <t>PURCHASES</t>
  </si>
  <si>
    <t>FEED SCHEME</t>
  </si>
  <si>
    <t>CULLED</t>
  </si>
  <si>
    <t>Stk Take Adjmnt</t>
  </si>
  <si>
    <t>STK TAKE</t>
  </si>
  <si>
    <t>Difference</t>
  </si>
  <si>
    <t>Calves (below 6 months)</t>
  </si>
  <si>
    <t>Calves (+ 6 months)</t>
  </si>
  <si>
    <t>Weaner Heifers (6-12mths)</t>
  </si>
  <si>
    <t>Weaner bulls (6-12mths)</t>
  </si>
  <si>
    <t>Weaners Steers</t>
  </si>
  <si>
    <t>Bulling Heifers</t>
  </si>
  <si>
    <t>Young bulls</t>
  </si>
  <si>
    <t>Cows</t>
  </si>
  <si>
    <t>Bulls</t>
  </si>
  <si>
    <t>Weaner Steers (2-3yrs)</t>
  </si>
  <si>
    <t>Calves</t>
  </si>
  <si>
    <t>Weaner Steers (6-12mths)</t>
  </si>
  <si>
    <t>Steers</t>
  </si>
  <si>
    <t>BREEDERS</t>
  </si>
  <si>
    <t>SOW NO.</t>
  </si>
  <si>
    <t>PARITY</t>
  </si>
  <si>
    <t>DATE OF BIRTH</t>
  </si>
  <si>
    <t>PX9606</t>
  </si>
  <si>
    <t>SY 6728</t>
  </si>
  <si>
    <t>PW 5596</t>
  </si>
  <si>
    <t>PX1824</t>
  </si>
  <si>
    <t>PX3123</t>
  </si>
  <si>
    <t>PX3236</t>
  </si>
  <si>
    <t>PX5393</t>
  </si>
  <si>
    <t>SDPX4957</t>
  </si>
  <si>
    <t>SDPX8951</t>
  </si>
  <si>
    <t>PY0492</t>
  </si>
  <si>
    <t>NA9777</t>
  </si>
  <si>
    <t>SDPY0018</t>
  </si>
  <si>
    <t>SDPY1337</t>
  </si>
  <si>
    <t>SDPY2061</t>
  </si>
  <si>
    <t>SDPY2356</t>
  </si>
  <si>
    <t>PY8328</t>
  </si>
  <si>
    <t>PY8218</t>
  </si>
  <si>
    <t>PY8647</t>
  </si>
  <si>
    <t>PY5926</t>
  </si>
  <si>
    <t>PY7172</t>
  </si>
  <si>
    <t>PY7889</t>
  </si>
  <si>
    <t>PY6909</t>
  </si>
  <si>
    <t>PY6844</t>
  </si>
  <si>
    <t>PY6982</t>
  </si>
  <si>
    <t>PY7336</t>
  </si>
  <si>
    <t>SDPZ1073</t>
  </si>
  <si>
    <t>SDPZ1655</t>
  </si>
  <si>
    <t>PZ2705</t>
  </si>
  <si>
    <t>PZ3008</t>
  </si>
  <si>
    <t>SDPZ2996</t>
  </si>
  <si>
    <t>SDPZ3301</t>
  </si>
  <si>
    <t>SDPZ3641</t>
  </si>
  <si>
    <t>SDPZ3829</t>
  </si>
  <si>
    <t>SDPZ4120</t>
  </si>
  <si>
    <t>SDPZ4322</t>
  </si>
  <si>
    <t>SDPZ4324</t>
  </si>
  <si>
    <t>SDPZ4655</t>
  </si>
  <si>
    <t>SDPZ5722</t>
  </si>
  <si>
    <t>DLNA3149</t>
  </si>
  <si>
    <t>DLNA3169</t>
  </si>
  <si>
    <t>DLNA2927</t>
  </si>
  <si>
    <t>DLNA2723</t>
  </si>
  <si>
    <t>DLNA2356</t>
  </si>
  <si>
    <t>DLNA2115</t>
  </si>
  <si>
    <t>DLNA1734</t>
  </si>
  <si>
    <t>DLNA1677</t>
  </si>
  <si>
    <t>DLNA1517</t>
  </si>
  <si>
    <t>DLNA1404</t>
  </si>
  <si>
    <t>DLNA1128</t>
  </si>
  <si>
    <t>DLNA1133</t>
  </si>
  <si>
    <t>DLNA0701</t>
  </si>
  <si>
    <t>DLNA0462</t>
  </si>
  <si>
    <t>DLNA0506</t>
  </si>
  <si>
    <t>DLNA0361</t>
  </si>
  <si>
    <t>SDPZ9841</t>
  </si>
  <si>
    <t>SDPZ9370</t>
  </si>
  <si>
    <t>SDPZ8985</t>
  </si>
  <si>
    <t>SDPZ8679</t>
  </si>
  <si>
    <t>SDPZ8196</t>
  </si>
  <si>
    <t>SDPZ6559</t>
  </si>
  <si>
    <t>DLNA1894</t>
  </si>
  <si>
    <t>DLNA9490</t>
  </si>
  <si>
    <t>DLNA9244</t>
  </si>
  <si>
    <t>DLNA9173</t>
  </si>
  <si>
    <t>DLNA9114</t>
  </si>
  <si>
    <t>DLNA8848</t>
  </si>
  <si>
    <t>DLNA8929</t>
  </si>
  <si>
    <t>DLNA8677</t>
  </si>
  <si>
    <t>DLNA8126</t>
  </si>
  <si>
    <t>DLNA8063</t>
  </si>
  <si>
    <t>DLNA7380</t>
  </si>
  <si>
    <t>DLNA6773</t>
  </si>
  <si>
    <t>DLNA3774</t>
  </si>
  <si>
    <t>DLNA3570</t>
  </si>
  <si>
    <t>DLNB0464</t>
  </si>
  <si>
    <t>DLNB1555</t>
  </si>
  <si>
    <t>DLNB4052</t>
  </si>
  <si>
    <t>DLNB4446</t>
  </si>
  <si>
    <t>DLNB4449</t>
  </si>
  <si>
    <t>DLNB4648</t>
  </si>
  <si>
    <t>DLNB5098</t>
  </si>
  <si>
    <t>DLNB5166</t>
  </si>
  <si>
    <t>DLNB5368</t>
  </si>
  <si>
    <t>DLNB5423</t>
  </si>
  <si>
    <t>DLNB5724</t>
  </si>
  <si>
    <t>DLNB5713</t>
  </si>
  <si>
    <t>DLNB5763</t>
  </si>
  <si>
    <t>DLNB6138</t>
  </si>
  <si>
    <t>DLNB6070</t>
  </si>
  <si>
    <t>DLNB6462</t>
  </si>
  <si>
    <t>DLNB6445</t>
  </si>
  <si>
    <t>DLNB6471</t>
  </si>
  <si>
    <t>DLNB7276</t>
  </si>
  <si>
    <t>DLNB7250</t>
  </si>
  <si>
    <t>DLNB7251</t>
  </si>
  <si>
    <t>DLNB7752</t>
  </si>
  <si>
    <t>DLNB7836</t>
  </si>
  <si>
    <t>DLNB8299</t>
  </si>
  <si>
    <t>DLNB8345</t>
  </si>
  <si>
    <t>DLNC2749</t>
  </si>
  <si>
    <t>DLNC2782</t>
  </si>
  <si>
    <t>DLNC3073</t>
  </si>
  <si>
    <t>DLNC3381</t>
  </si>
  <si>
    <t>DLNC3436</t>
  </si>
  <si>
    <t>DLNC3400</t>
  </si>
  <si>
    <t>DLNC3739</t>
  </si>
  <si>
    <t>DLNC3741</t>
  </si>
  <si>
    <t>DLNC3743</t>
  </si>
  <si>
    <t>DLNC4046</t>
  </si>
  <si>
    <t>DLNC4075</t>
  </si>
  <si>
    <t>DLNC4412</t>
  </si>
  <si>
    <t>DLNC4416</t>
  </si>
  <si>
    <t>DLNC4430</t>
  </si>
  <si>
    <t>DLNC4431</t>
  </si>
  <si>
    <t>DLNC2415</t>
  </si>
  <si>
    <t>DLNC2418</t>
  </si>
  <si>
    <t>DLNC2487</t>
  </si>
  <si>
    <t>DLNC3148</t>
  </si>
  <si>
    <t>Transfers</t>
  </si>
  <si>
    <t>Colocom</t>
  </si>
  <si>
    <t>Total for previous month minus current month total minus colcom sales</t>
  </si>
  <si>
    <t>BOAR NO.</t>
  </si>
  <si>
    <t>Date Received</t>
  </si>
  <si>
    <t>COMMENT</t>
  </si>
  <si>
    <t>TNCJ0211</t>
  </si>
  <si>
    <t>CL7180</t>
  </si>
  <si>
    <t>CL5312</t>
  </si>
  <si>
    <t>CL3033</t>
  </si>
  <si>
    <t>CL1114</t>
  </si>
  <si>
    <t>RCDA0379</t>
  </si>
  <si>
    <t>REDA1130</t>
  </si>
  <si>
    <t>DA1627</t>
  </si>
  <si>
    <t>LA0499</t>
  </si>
  <si>
    <t>DA1669</t>
  </si>
  <si>
    <t>DA1721</t>
  </si>
  <si>
    <t>REDA2568</t>
  </si>
  <si>
    <t>YELA0752</t>
  </si>
  <si>
    <t>REDA2470</t>
  </si>
  <si>
    <t>YELA0724</t>
  </si>
  <si>
    <t>BLXB0349</t>
  </si>
  <si>
    <t>BLXB0234</t>
  </si>
  <si>
    <t>BLXB0011</t>
  </si>
  <si>
    <t>BLXA9988</t>
  </si>
  <si>
    <t>REDA3337</t>
  </si>
  <si>
    <t>REDA3300</t>
  </si>
  <si>
    <t>REDA3132</t>
  </si>
  <si>
    <t>YELA0946</t>
  </si>
  <si>
    <t>Colocom Sales</t>
  </si>
  <si>
    <t xml:space="preserve">Transfers </t>
  </si>
  <si>
    <t>Grv date</t>
  </si>
  <si>
    <t>LIONHEADS TN60 IN STOCK</t>
  </si>
  <si>
    <t>Tag number</t>
  </si>
  <si>
    <t>Parity</t>
  </si>
  <si>
    <t>Comment</t>
  </si>
  <si>
    <t>Imported Pigs at Lions Head</t>
  </si>
  <si>
    <t>LIONSHEAD TN70 IN STOCK</t>
  </si>
  <si>
    <t>DLNA8080</t>
  </si>
  <si>
    <t>From Porta</t>
  </si>
  <si>
    <t>ADMX8193</t>
  </si>
  <si>
    <t>ADMX8180</t>
  </si>
  <si>
    <t>DLNA7533</t>
  </si>
  <si>
    <t>ADMX7883</t>
  </si>
  <si>
    <t>DLNA7156</t>
  </si>
  <si>
    <t>Imported Pigs at Villa</t>
  </si>
  <si>
    <t>TAG NUMBER</t>
  </si>
  <si>
    <t>Imported Pigs at Richlands</t>
  </si>
  <si>
    <t>SB23</t>
  </si>
  <si>
    <t>SJ2810</t>
  </si>
  <si>
    <t>SM60</t>
  </si>
  <si>
    <t>SN03</t>
  </si>
  <si>
    <t>Transfer</t>
  </si>
  <si>
    <t>RICHLANDS TN 70 IN STOCK</t>
  </si>
  <si>
    <t>MY3243</t>
  </si>
  <si>
    <t>ADMY1985</t>
  </si>
  <si>
    <t>DLNB3205</t>
  </si>
  <si>
    <t>ADMX7392</t>
  </si>
  <si>
    <t>ADMY3148</t>
  </si>
  <si>
    <t>ADMY3606</t>
  </si>
  <si>
    <t>RICHLANDS TN60 IN STOCK</t>
  </si>
  <si>
    <t>Breeder Pigs</t>
  </si>
  <si>
    <t>Cost Avail. for Amort.</t>
  </si>
  <si>
    <t xml:space="preserve">  Acc. Amortisation</t>
  </si>
  <si>
    <t>NBV</t>
  </si>
  <si>
    <t>Previous month</t>
  </si>
  <si>
    <t>Richlands &amp; Lionhead</t>
  </si>
  <si>
    <t>Amortisation</t>
  </si>
  <si>
    <t>PORTA TN70 IN STOCK</t>
  </si>
  <si>
    <t>Mar movements</t>
  </si>
  <si>
    <t>ADMX8747</t>
  </si>
  <si>
    <t>DLNA8340</t>
  </si>
  <si>
    <t>ADMX8688</t>
  </si>
  <si>
    <t>LH</t>
  </si>
  <si>
    <t>DLNA8228</t>
  </si>
  <si>
    <t>DLNA8252</t>
  </si>
  <si>
    <t>DLNA8254</t>
  </si>
  <si>
    <t>DLNA8282</t>
  </si>
  <si>
    <t>DLNA8294</t>
  </si>
  <si>
    <t>DLNA8299</t>
  </si>
  <si>
    <t>ADMX8616</t>
  </si>
  <si>
    <t>ADMX8617</t>
  </si>
  <si>
    <t>ADMX8652</t>
  </si>
  <si>
    <t>ADMX8657</t>
  </si>
  <si>
    <t>ADMX8660</t>
  </si>
  <si>
    <t>DLNA8196</t>
  </si>
  <si>
    <t>ADMX8521</t>
  </si>
  <si>
    <t>ADMX8523</t>
  </si>
  <si>
    <t>DLNA8132</t>
  </si>
  <si>
    <t>DLNA8088</t>
  </si>
  <si>
    <t>DLNA8091</t>
  </si>
  <si>
    <t>DLNA8092</t>
  </si>
  <si>
    <t>DLNA8109</t>
  </si>
  <si>
    <t>ADMX8444</t>
  </si>
  <si>
    <t>ADMX8364</t>
  </si>
  <si>
    <t>ADMX8285</t>
  </si>
  <si>
    <t>ADMX8318</t>
  </si>
  <si>
    <t>ADMX8321</t>
  </si>
  <si>
    <t>ADMX8325</t>
  </si>
  <si>
    <t>ADMX8329</t>
  </si>
  <si>
    <t>ADMX8343</t>
  </si>
  <si>
    <t>DLNA7900</t>
  </si>
  <si>
    <t>DLNA7940</t>
  </si>
  <si>
    <t>ADMX8259</t>
  </si>
  <si>
    <t>ADMX8270</t>
  </si>
  <si>
    <t>DLNA7785</t>
  </si>
  <si>
    <t>DLNA7837</t>
  </si>
  <si>
    <t>DLNA7839</t>
  </si>
  <si>
    <t>DLNA7814</t>
  </si>
  <si>
    <t>ADMX8210</t>
  </si>
  <si>
    <t>ADMX8239</t>
  </si>
  <si>
    <t>DLNA7761</t>
  </si>
  <si>
    <t>ADMX8198</t>
  </si>
  <si>
    <t>DLNA7751</t>
  </si>
  <si>
    <t>DLNA7757</t>
  </si>
  <si>
    <t>ADMX8142</t>
  </si>
  <si>
    <t>ADMX8162</t>
  </si>
  <si>
    <t>ADMX8170</t>
  </si>
  <si>
    <t>ADMX8115</t>
  </si>
  <si>
    <t>ADMX8121</t>
  </si>
  <si>
    <t>DLNA7687</t>
  </si>
  <si>
    <t>ADMX8063</t>
  </si>
  <si>
    <t>ADMX7988</t>
  </si>
  <si>
    <t>ADMX8013</t>
  </si>
  <si>
    <t>DLNA7576</t>
  </si>
  <si>
    <t>ADMX7964</t>
  </si>
  <si>
    <t>ADMX7973</t>
  </si>
  <si>
    <t>DLNA7482</t>
  </si>
  <si>
    <t>DLNA7470</t>
  </si>
  <si>
    <t>DLNA7519</t>
  </si>
  <si>
    <t>DLNA7534</t>
  </si>
  <si>
    <t>DLNA7436</t>
  </si>
  <si>
    <t>DLNA7438</t>
  </si>
  <si>
    <t>DLNA7432</t>
  </si>
  <si>
    <t>DLNA7460</t>
  </si>
  <si>
    <t>DLNA7463</t>
  </si>
  <si>
    <t>ADMX7869</t>
  </si>
  <si>
    <t>DLNA7404</t>
  </si>
  <si>
    <t>DLNA7408</t>
  </si>
  <si>
    <t>DLNA7410</t>
  </si>
  <si>
    <t>DLNA7398</t>
  </si>
  <si>
    <t>DLNA7384</t>
  </si>
  <si>
    <t>ADMX7806</t>
  </si>
  <si>
    <t>DLNA7246</t>
  </si>
  <si>
    <t>ADMX7704</t>
  </si>
  <si>
    <t>ADMX7717</t>
  </si>
  <si>
    <t>ADMX7728</t>
  </si>
  <si>
    <t>DLNA7208</t>
  </si>
  <si>
    <t>DLNA7210</t>
  </si>
  <si>
    <t>DLNA7224</t>
  </si>
  <si>
    <t>DLNA7232</t>
  </si>
  <si>
    <t>DLNA7213</t>
  </si>
  <si>
    <t>ADMX7646</t>
  </si>
  <si>
    <t>ADMX7664</t>
  </si>
  <si>
    <t>ADMX7672</t>
  </si>
  <si>
    <t>ADMX7582</t>
  </si>
  <si>
    <t>ADMX7635</t>
  </si>
  <si>
    <t>ADMX7556</t>
  </si>
  <si>
    <t>ADMX7560</t>
  </si>
  <si>
    <t>ADMX7572</t>
  </si>
  <si>
    <t>DLNA7147</t>
  </si>
  <si>
    <t>DLNA7148</t>
  </si>
  <si>
    <t>ADMX7543</t>
  </si>
  <si>
    <t>DLNA7061</t>
  </si>
  <si>
    <t>DLNA7062</t>
  </si>
  <si>
    <t>ADMX7485</t>
  </si>
  <si>
    <t>ADMX7504</t>
  </si>
  <si>
    <t>ADMX7507</t>
  </si>
  <si>
    <t>DLNA6971</t>
  </si>
  <si>
    <t>DLNA7018</t>
  </si>
  <si>
    <t>DLNA7019</t>
  </si>
  <si>
    <t>DLNA7020</t>
  </si>
  <si>
    <t>DLNA7010</t>
  </si>
  <si>
    <t>DLNA7016</t>
  </si>
  <si>
    <t>DLNA6986</t>
  </si>
  <si>
    <t>DLNA6989</t>
  </si>
  <si>
    <t>ADMX7407</t>
  </si>
  <si>
    <t>DLNA6923</t>
  </si>
  <si>
    <t>DLNA6926</t>
  </si>
  <si>
    <t>DLNA6944</t>
  </si>
  <si>
    <t>ADMX7305</t>
  </si>
  <si>
    <t>ADMX7320</t>
  </si>
  <si>
    <t>ADMX7358</t>
  </si>
  <si>
    <t>DLNA6860</t>
  </si>
  <si>
    <t>DLNA6907</t>
  </si>
  <si>
    <t>DLNA6879</t>
  </si>
  <si>
    <t>ADMX7268</t>
  </si>
  <si>
    <t>ADMX7286</t>
  </si>
  <si>
    <t>ADMX7290</t>
  </si>
  <si>
    <t>DLNA6832</t>
  </si>
  <si>
    <t>DLNA6835</t>
  </si>
  <si>
    <t>DLNA6817</t>
  </si>
  <si>
    <t>DLNA6859</t>
  </si>
  <si>
    <t>DLNA6838</t>
  </si>
  <si>
    <t>DLNA6839</t>
  </si>
  <si>
    <t>ADMY0308</t>
  </si>
  <si>
    <t>ADMY0254</t>
  </si>
  <si>
    <t>DLNA9981</t>
  </si>
  <si>
    <t>DLNA9982</t>
  </si>
  <si>
    <t>ADMY0143</t>
  </si>
  <si>
    <t>ADMY0147</t>
  </si>
  <si>
    <t>ADMY0196</t>
  </si>
  <si>
    <t>ADMY0198</t>
  </si>
  <si>
    <t>ADMY0076</t>
  </si>
  <si>
    <t>ADMY0084</t>
  </si>
  <si>
    <t>ADMY0106</t>
  </si>
  <si>
    <t>ADMY0113</t>
  </si>
  <si>
    <t>ADMY0126</t>
  </si>
  <si>
    <t>DLNA9797</t>
  </si>
  <si>
    <t>DLNA9844</t>
  </si>
  <si>
    <t>ADMY0055</t>
  </si>
  <si>
    <t>ADMY0064</t>
  </si>
  <si>
    <t>ADMY0019</t>
  </si>
  <si>
    <t>DLNA9720</t>
  </si>
  <si>
    <t>DLNA9721</t>
  </si>
  <si>
    <t>ADMX9973</t>
  </si>
  <si>
    <t>DLNA9682</t>
  </si>
  <si>
    <t>ADMX9964</t>
  </si>
  <si>
    <t>DLNA9668</t>
  </si>
  <si>
    <t>DLNA9651</t>
  </si>
  <si>
    <t>ADMX9798</t>
  </si>
  <si>
    <t>ADMX9819</t>
  </si>
  <si>
    <t>ADMX9830</t>
  </si>
  <si>
    <t>ADMX9868</t>
  </si>
  <si>
    <t>ADMX9893</t>
  </si>
  <si>
    <t>ADMX9903</t>
  </si>
  <si>
    <t>ADMX9915</t>
  </si>
  <si>
    <t>ADMX9776</t>
  </si>
  <si>
    <t>DLNA9552</t>
  </si>
  <si>
    <t>DLNA9573</t>
  </si>
  <si>
    <t>DLNA9562</t>
  </si>
  <si>
    <t>DLNA9523</t>
  </si>
  <si>
    <t>DLNA9499</t>
  </si>
  <si>
    <t>DLNA9559</t>
  </si>
  <si>
    <t>DLNA9454</t>
  </si>
  <si>
    <t>DLNA9476</t>
  </si>
  <si>
    <t>DLNA9435</t>
  </si>
  <si>
    <t>DLNA9438</t>
  </si>
  <si>
    <t>DLNA9439</t>
  </si>
  <si>
    <t>DLNA9417</t>
  </si>
  <si>
    <t>ADMX9624</t>
  </si>
  <si>
    <t>ADMX9534</t>
  </si>
  <si>
    <t>DLNA9339</t>
  </si>
  <si>
    <t>DLNA9312</t>
  </si>
  <si>
    <t>DLNA9364</t>
  </si>
  <si>
    <t>ADMX9455</t>
  </si>
  <si>
    <t>ADMX9460</t>
  </si>
  <si>
    <t>ADMX9510</t>
  </si>
  <si>
    <t>DLNA9278</t>
  </si>
  <si>
    <t>DLNA9280</t>
  </si>
  <si>
    <t>DLNA9259</t>
  </si>
  <si>
    <t>DLNA9152</t>
  </si>
  <si>
    <t>DLNA9155</t>
  </si>
  <si>
    <t>DLNA9168</t>
  </si>
  <si>
    <t>DLNA9159</t>
  </si>
  <si>
    <t>DLNA9160</t>
  </si>
  <si>
    <t>DLNA9193</t>
  </si>
  <si>
    <t>DLNA9198</t>
  </si>
  <si>
    <t>ADMX9398</t>
  </si>
  <si>
    <t>ADMX9400</t>
  </si>
  <si>
    <t>ADMX9401</t>
  </si>
  <si>
    <t>ADMX9410</t>
  </si>
  <si>
    <t>DLNA9102</t>
  </si>
  <si>
    <t>DLNA9075</t>
  </si>
  <si>
    <t>ADMX9351</t>
  </si>
  <si>
    <t>DLNA9039</t>
  </si>
  <si>
    <t>DLNA9040</t>
  </si>
  <si>
    <t>DLNA9046</t>
  </si>
  <si>
    <t>DLNA9031</t>
  </si>
  <si>
    <t>ADMX9289</t>
  </si>
  <si>
    <t>ADMX9329</t>
  </si>
  <si>
    <t>DLNA8934</t>
  </si>
  <si>
    <t>DLNA8915</t>
  </si>
  <si>
    <t>ADMX9208</t>
  </si>
  <si>
    <t>ADMX9213</t>
  </si>
  <si>
    <t>ADMX9238</t>
  </si>
  <si>
    <t>DLNA8856</t>
  </si>
  <si>
    <t>DLNA8859</t>
  </si>
  <si>
    <t>DLNA8891</t>
  </si>
  <si>
    <t>ADMX9178</t>
  </si>
  <si>
    <t>ADMX9143</t>
  </si>
  <si>
    <t>ADMX9145</t>
  </si>
  <si>
    <t>DLNA8810</t>
  </si>
  <si>
    <t>DLNA8811</t>
  </si>
  <si>
    <t>DLNA8815</t>
  </si>
  <si>
    <t>DLNA8784</t>
  </si>
  <si>
    <t>DLNA8791</t>
  </si>
  <si>
    <t>ADMX9106</t>
  </si>
  <si>
    <t>ADMX9108</t>
  </si>
  <si>
    <t>ADMX9119</t>
  </si>
  <si>
    <t>ADMX9032</t>
  </si>
  <si>
    <t>ADMX9092</t>
  </si>
  <si>
    <t>DLNA8685</t>
  </si>
  <si>
    <t>DLNA8687</t>
  </si>
  <si>
    <t>ADMX8916</t>
  </si>
  <si>
    <t>ADMX8931</t>
  </si>
  <si>
    <t>ADMX8970</t>
  </si>
  <si>
    <t>DLNA8623</t>
  </si>
  <si>
    <t>DLNA8597</t>
  </si>
  <si>
    <t>ADMX8813</t>
  </si>
  <si>
    <t>ADMX8817</t>
  </si>
  <si>
    <t>ADMX8827</t>
  </si>
  <si>
    <t>ADMX8841</t>
  </si>
  <si>
    <t>ADMX8844</t>
  </si>
  <si>
    <t>ADMX8845</t>
  </si>
  <si>
    <t>ADMX8862</t>
  </si>
  <si>
    <t>DLNA8482</t>
  </si>
  <si>
    <t>DLNA8480</t>
  </si>
  <si>
    <t>DLNA8497</t>
  </si>
  <si>
    <t>DLNA8518</t>
  </si>
  <si>
    <t>ADMX8772</t>
  </si>
  <si>
    <t>ADMX8788</t>
  </si>
  <si>
    <t>DLNA8435</t>
  </si>
  <si>
    <t>DLNA8442</t>
  </si>
  <si>
    <t>DLNB0344</t>
  </si>
  <si>
    <t>DLNB0299</t>
  </si>
  <si>
    <t>DLNB0302</t>
  </si>
  <si>
    <t>DLNB0312</t>
  </si>
  <si>
    <t>DLNB0281</t>
  </si>
  <si>
    <t>DLNB0211</t>
  </si>
  <si>
    <t>DLNB0229</t>
  </si>
  <si>
    <t>DLNB0232</t>
  </si>
  <si>
    <t>DLNB0235</t>
  </si>
  <si>
    <t>DLNB0263</t>
  </si>
  <si>
    <t>DLNB0264</t>
  </si>
  <si>
    <t>DLNB0123</t>
  </si>
  <si>
    <t>DLNB0125</t>
  </si>
  <si>
    <t>DLNB0128</t>
  </si>
  <si>
    <t>DLNB0159</t>
  </si>
  <si>
    <t>DLNB0162</t>
  </si>
  <si>
    <t>DLNB0163</t>
  </si>
  <si>
    <t>DLNB0136</t>
  </si>
  <si>
    <t>DLNB0139</t>
  </si>
  <si>
    <t>DLNB0168</t>
  </si>
  <si>
    <t>DLNB0169</t>
  </si>
  <si>
    <t>DLNB0181</t>
  </si>
  <si>
    <t>DLNB0183</t>
  </si>
  <si>
    <t>DLNB0184</t>
  </si>
  <si>
    <t>DLNB0057</t>
  </si>
  <si>
    <t>DLNB0060</t>
  </si>
  <si>
    <t>DLNB0061</t>
  </si>
  <si>
    <t>DLNB0064</t>
  </si>
  <si>
    <t>DLNB0072</t>
  </si>
  <si>
    <t>DLNB0081</t>
  </si>
  <si>
    <t>DLNB0082</t>
  </si>
  <si>
    <t>DLNB0083</t>
  </si>
  <si>
    <t>DLNB0086</t>
  </si>
  <si>
    <t>DLNB0088</t>
  </si>
  <si>
    <t>DLNB0050</t>
  </si>
  <si>
    <t>DLNB0040</t>
  </si>
  <si>
    <t>ADMY2109</t>
  </si>
  <si>
    <t>ADMY2125</t>
  </si>
  <si>
    <t>DLNB1915</t>
  </si>
  <si>
    <t>DLNB1916</t>
  </si>
  <si>
    <t>ADMY2063</t>
  </si>
  <si>
    <t>ADMY2064</t>
  </si>
  <si>
    <t>ADMY2079</t>
  </si>
  <si>
    <t>DLNB1866</t>
  </si>
  <si>
    <t>ADMY2002</t>
  </si>
  <si>
    <t>ADMY2009</t>
  </si>
  <si>
    <t>ADMY2028</t>
  </si>
  <si>
    <t>ADMY2045</t>
  </si>
  <si>
    <t>ADMY2046</t>
  </si>
  <si>
    <t>DLNB1821</t>
  </si>
  <si>
    <t>DLNB1853</t>
  </si>
  <si>
    <t>ADMY1947</t>
  </si>
  <si>
    <t>ADMY1952</t>
  </si>
  <si>
    <t>ADMY1953</t>
  </si>
  <si>
    <t>ADMY1971</t>
  </si>
  <si>
    <t>ADMY1980</t>
  </si>
  <si>
    <t>ADMY1994</t>
  </si>
  <si>
    <t>ADMY1995</t>
  </si>
  <si>
    <t>DLNB1776</t>
  </si>
  <si>
    <t>ADMY1918</t>
  </si>
  <si>
    <t>ADMY1932</t>
  </si>
  <si>
    <t>ADMY1933</t>
  </si>
  <si>
    <t>ADMY1885</t>
  </si>
  <si>
    <t>ADMY1913</t>
  </si>
  <si>
    <t>DLNB1714</t>
  </si>
  <si>
    <t>DLNB1657</t>
  </si>
  <si>
    <t>DLNB1642</t>
  </si>
  <si>
    <t>ADMY1758</t>
  </si>
  <si>
    <t>ADMY1759</t>
  </si>
  <si>
    <t>ADMY1768</t>
  </si>
  <si>
    <t>ADMY1800</t>
  </si>
  <si>
    <t>ADMY1802</t>
  </si>
  <si>
    <t>ADMY1819</t>
  </si>
  <si>
    <t>DLNB1611</t>
  </si>
  <si>
    <t>DLNB1525</t>
  </si>
  <si>
    <t>DLNB1526</t>
  </si>
  <si>
    <t>DLNB1531</t>
  </si>
  <si>
    <t>DLNB1621</t>
  </si>
  <si>
    <t>DLNB1625</t>
  </si>
  <si>
    <t>DLNB1612</t>
  </si>
  <si>
    <t>ADMY1684</t>
  </si>
  <si>
    <t>ADMY1718</t>
  </si>
  <si>
    <t>DLNB1468</t>
  </si>
  <si>
    <t>DLNB1475</t>
  </si>
  <si>
    <t>DLNB1492</t>
  </si>
  <si>
    <t>ADMY1664</t>
  </si>
  <si>
    <t>ADMY1681</t>
  </si>
  <si>
    <t>ADMY1627</t>
  </si>
  <si>
    <t>ADMY1639</t>
  </si>
  <si>
    <t>DLNB1393</t>
  </si>
  <si>
    <t>ADMY1622</t>
  </si>
  <si>
    <t>DLNB1370</t>
  </si>
  <si>
    <t>DLNB1273</t>
  </si>
  <si>
    <t>DLNB1260</t>
  </si>
  <si>
    <t>DLNB1245</t>
  </si>
  <si>
    <t>DLNB1286</t>
  </si>
  <si>
    <t>ADMY1524</t>
  </si>
  <si>
    <t>DLNB1186</t>
  </si>
  <si>
    <t>DLNB1168</t>
  </si>
  <si>
    <t>DLNB1172</t>
  </si>
  <si>
    <t>DLNB1211</t>
  </si>
  <si>
    <t>DLNB1205</t>
  </si>
  <si>
    <t>ADMY1425</t>
  </si>
  <si>
    <t>ADMY1431</t>
  </si>
  <si>
    <t>ADMY1434</t>
  </si>
  <si>
    <t>ADMY1453</t>
  </si>
  <si>
    <t>ADMY1502</t>
  </si>
  <si>
    <t>DLNB1097</t>
  </si>
  <si>
    <t>DLNB1113</t>
  </si>
  <si>
    <t>DLNB1105</t>
  </si>
  <si>
    <t>ADMY1336</t>
  </si>
  <si>
    <t>ADMY1339</t>
  </si>
  <si>
    <t>ADMY1351</t>
  </si>
  <si>
    <t>ADMY1356</t>
  </si>
  <si>
    <t>ADMY1370</t>
  </si>
  <si>
    <t>DLNB1086</t>
  </si>
  <si>
    <t>DLNB1067</t>
  </si>
  <si>
    <t>ADMY1299</t>
  </si>
  <si>
    <t>DLNB1054</t>
  </si>
  <si>
    <t>DLNB1011</t>
  </si>
  <si>
    <t>DLNB1008</t>
  </si>
  <si>
    <t>DLNB0961</t>
  </si>
  <si>
    <t>DLNB1003</t>
  </si>
  <si>
    <t>DLNB0977</t>
  </si>
  <si>
    <t>ADMY1207</t>
  </si>
  <si>
    <t>ADMY1246</t>
  </si>
  <si>
    <t>DLNB0867</t>
  </si>
  <si>
    <t>DLNB0872</t>
  </si>
  <si>
    <t>DLNB0858</t>
  </si>
  <si>
    <t>ADMY1089</t>
  </si>
  <si>
    <t>ADMY1099</t>
  </si>
  <si>
    <t>ADMY1145</t>
  </si>
  <si>
    <t>ADMY1158</t>
  </si>
  <si>
    <t>ADMY1160</t>
  </si>
  <si>
    <t>DLNB0842</t>
  </si>
  <si>
    <t>DLNB0802</t>
  </si>
  <si>
    <t>DLNB0803</t>
  </si>
  <si>
    <t>ADMY0991</t>
  </si>
  <si>
    <t>ADMY0999</t>
  </si>
  <si>
    <t>ADMY1020</t>
  </si>
  <si>
    <t>ADMY1024</t>
  </si>
  <si>
    <t>ADMY1041</t>
  </si>
  <si>
    <t>ADMY1057</t>
  </si>
  <si>
    <t>ADMY1079</t>
  </si>
  <si>
    <t>ADMY1080</t>
  </si>
  <si>
    <t>ADMY0984</t>
  </si>
  <si>
    <t>ADMY0973</t>
  </si>
  <si>
    <t>DLNB0660</t>
  </si>
  <si>
    <t>ADMY0915</t>
  </si>
  <si>
    <t>DLNB0619</t>
  </si>
  <si>
    <t>DLNB0621</t>
  </si>
  <si>
    <t>DLNB0623</t>
  </si>
  <si>
    <t>ADMY0896</t>
  </si>
  <si>
    <t>DLNB0486</t>
  </si>
  <si>
    <t>DLNB0564</t>
  </si>
  <si>
    <t>DLNB0555</t>
  </si>
  <si>
    <t>DLNB0558</t>
  </si>
  <si>
    <t>ADMY0801</t>
  </si>
  <si>
    <t>ADMY0812</t>
  </si>
  <si>
    <t>DLNB0435</t>
  </si>
  <si>
    <t>ADMY0700</t>
  </si>
  <si>
    <t>ADMY0702</t>
  </si>
  <si>
    <t>ADMY0706</t>
  </si>
  <si>
    <t>ADMY0762</t>
  </si>
  <si>
    <t>ADMY0771</t>
  </si>
  <si>
    <t>DLNB0380</t>
  </si>
  <si>
    <t>DLNB0385</t>
  </si>
  <si>
    <t>DLNB0393</t>
  </si>
  <si>
    <t>DLNB0396</t>
  </si>
  <si>
    <t>DLNB0399</t>
  </si>
  <si>
    <t>DLNB0355</t>
  </si>
  <si>
    <t>DLNB1995</t>
  </si>
  <si>
    <t>DLNB1998</t>
  </si>
  <si>
    <t>DLNB1990</t>
  </si>
  <si>
    <t>DLNB2040</t>
  </si>
  <si>
    <t>DLNB2076</t>
  </si>
  <si>
    <t>DLNB2058</t>
  </si>
  <si>
    <t>DLNB2061</t>
  </si>
  <si>
    <t>DLNB2253</t>
  </si>
  <si>
    <t>DLNB2168</t>
  </si>
  <si>
    <t>DLNB2198</t>
  </si>
  <si>
    <t>DLNB2201</t>
  </si>
  <si>
    <t>DLNB2128</t>
  </si>
  <si>
    <t>DLNB2064</t>
  </si>
  <si>
    <t>DLNB2311</t>
  </si>
  <si>
    <t>DLNB2302</t>
  </si>
  <si>
    <t>DLNB2388</t>
  </si>
  <si>
    <t>DLNB2344</t>
  </si>
  <si>
    <t>DLNB2352</t>
  </si>
  <si>
    <t>DLNB2409</t>
  </si>
  <si>
    <t>DLNB2324</t>
  </si>
  <si>
    <t>DLNB2326</t>
  </si>
  <si>
    <t>DLNB2329</t>
  </si>
  <si>
    <t>DLNB2332</t>
  </si>
  <si>
    <t>DLNB2356</t>
  </si>
  <si>
    <t>DLNB2304</t>
  </si>
  <si>
    <t>DLNB2305</t>
  </si>
  <si>
    <t>DLNB2403</t>
  </si>
  <si>
    <t>DLNB2397</t>
  </si>
  <si>
    <t>DLNB2460</t>
  </si>
  <si>
    <t>DLNB2470</t>
  </si>
  <si>
    <t>DLNB2526</t>
  </si>
  <si>
    <t>DLNB2536</t>
  </si>
  <si>
    <t>DLNB2644</t>
  </si>
  <si>
    <t>DLNB2646</t>
  </si>
  <si>
    <t>DLNB2685</t>
  </si>
  <si>
    <t>DLNB2717</t>
  </si>
  <si>
    <t>DLNB2840</t>
  </si>
  <si>
    <t>DLNB2679</t>
  </si>
  <si>
    <t>DLNB2683</t>
  </si>
  <si>
    <t>DLNB3138</t>
  </si>
  <si>
    <t>DLNB3081</t>
  </si>
  <si>
    <t>DLNB3086</t>
  </si>
  <si>
    <t>DLNB3058</t>
  </si>
  <si>
    <t>DLNB3016</t>
  </si>
  <si>
    <t>DLNB3072</t>
  </si>
  <si>
    <t>DLNB3074</t>
  </si>
  <si>
    <t>DLNB2998</t>
  </si>
  <si>
    <t>DLNB2986</t>
  </si>
  <si>
    <t>DLNB3104</t>
  </si>
  <si>
    <t>DLNB3108</t>
  </si>
  <si>
    <t>DLNB3157</t>
  </si>
  <si>
    <t>DLNB3153</t>
  </si>
  <si>
    <t>DLNB3037</t>
  </si>
  <si>
    <t>DLNB3123</t>
  </si>
  <si>
    <t>DLNB3229</t>
  </si>
  <si>
    <t>DLNB3244</t>
  </si>
  <si>
    <t>DLNB3249</t>
  </si>
  <si>
    <t>DLNB3262</t>
  </si>
  <si>
    <t>DLNB3331</t>
  </si>
  <si>
    <t>DLNB3305</t>
  </si>
  <si>
    <t>DLNB3315</t>
  </si>
  <si>
    <t>DLNB3362</t>
  </si>
  <si>
    <t>DLNB3428</t>
  </si>
  <si>
    <t>DLNB3429</t>
  </si>
  <si>
    <t>DLNB3427</t>
  </si>
  <si>
    <t>DLNB3450</t>
  </si>
  <si>
    <t>DLNB3341</t>
  </si>
  <si>
    <t>DLNB3382</t>
  </si>
  <si>
    <t>DLNB3356</t>
  </si>
  <si>
    <t>DLNB3471</t>
  </si>
  <si>
    <t>DLNB3349</t>
  </si>
  <si>
    <t>DLNB3351</t>
  </si>
  <si>
    <t>DLNB3523</t>
  </si>
  <si>
    <t>DLNB3515</t>
  </si>
  <si>
    <t>DLNB3569</t>
  </si>
  <si>
    <t>DLNB3579</t>
  </si>
  <si>
    <t>DLNB3580</t>
  </si>
  <si>
    <t>DLNB3600</t>
  </si>
  <si>
    <t>ADMY2207</t>
  </si>
  <si>
    <t>ADMY2220</t>
  </si>
  <si>
    <t>ADMY2363</t>
  </si>
  <si>
    <t>ADMY2437</t>
  </si>
  <si>
    <t>ADMY2498</t>
  </si>
  <si>
    <t>ADMY2517</t>
  </si>
  <si>
    <t>ADMY2525</t>
  </si>
  <si>
    <t>ADMY2537</t>
  </si>
  <si>
    <t>ADMY2589</t>
  </si>
  <si>
    <t>ADMY2610</t>
  </si>
  <si>
    <t>ADMY2653</t>
  </si>
  <si>
    <t>ADMY2655</t>
  </si>
  <si>
    <t>ADMY2721</t>
  </si>
  <si>
    <t>ADMY2742</t>
  </si>
  <si>
    <t>ADMY2767</t>
  </si>
  <si>
    <t>ADMY2797</t>
  </si>
  <si>
    <t>ADMY2810</t>
  </si>
  <si>
    <t>ADMY2826</t>
  </si>
  <si>
    <t>ADMY2839</t>
  </si>
  <si>
    <t>ADMY2844</t>
  </si>
  <si>
    <t>ADMY2858</t>
  </si>
  <si>
    <t>ADMY2862</t>
  </si>
  <si>
    <t>ADMY2889</t>
  </si>
  <si>
    <t>ADMY2907</t>
  </si>
  <si>
    <t>ADMY2977</t>
  </si>
  <si>
    <t>ADMY2980</t>
  </si>
  <si>
    <t>ADMY2982</t>
  </si>
  <si>
    <t>ADMY2985</t>
  </si>
  <si>
    <t>ADMY2990</t>
  </si>
  <si>
    <t>ADMY2997</t>
  </si>
  <si>
    <t>ADMY3037</t>
  </si>
  <si>
    <t>ADMY3047</t>
  </si>
  <si>
    <t>ADMY3156</t>
  </si>
  <si>
    <t>ADMY3201</t>
  </si>
  <si>
    <t>ADMY3215</t>
  </si>
  <si>
    <t>ADMY3224</t>
  </si>
  <si>
    <t>ADMY3230</t>
  </si>
  <si>
    <t>ADMY3234</t>
  </si>
  <si>
    <t>ADMY3236</t>
  </si>
  <si>
    <t>ADMY3264</t>
  </si>
  <si>
    <t>ADMY3265</t>
  </si>
  <si>
    <t>ADMY3274</t>
  </si>
  <si>
    <t>ADMY3288</t>
  </si>
  <si>
    <t>ADMY3353</t>
  </si>
  <si>
    <t>ADMY3462</t>
  </si>
  <si>
    <t>ADMY3476</t>
  </si>
  <si>
    <t>ADMY3478</t>
  </si>
  <si>
    <t>ADMY3481</t>
  </si>
  <si>
    <t>ADMY3507</t>
  </si>
  <si>
    <t>ADMY3509</t>
  </si>
  <si>
    <t>ADMY3532</t>
  </si>
  <si>
    <t>ADMY3534</t>
  </si>
  <si>
    <t>ADMY3564</t>
  </si>
  <si>
    <t>ADMY3572</t>
  </si>
  <si>
    <t>ADMY3591</t>
  </si>
  <si>
    <t>ADMY3614</t>
  </si>
  <si>
    <t>ADMY3683</t>
  </si>
  <si>
    <t>ADMY3684</t>
  </si>
  <si>
    <t>Imported Pigs at Porta</t>
  </si>
  <si>
    <t>CH3040</t>
  </si>
  <si>
    <t>BLXB1147</t>
  </si>
  <si>
    <t>Quarantine/Multiplier</t>
  </si>
  <si>
    <t>BLXB1184</t>
  </si>
  <si>
    <t>BLXB1201</t>
  </si>
  <si>
    <t>BLXB1303</t>
  </si>
  <si>
    <t>BLXB1393</t>
  </si>
  <si>
    <t>BLXB1396</t>
  </si>
  <si>
    <t>BLXB1402</t>
  </si>
  <si>
    <t>BLXB1451</t>
  </si>
  <si>
    <t>BLXB1512</t>
  </si>
  <si>
    <t>BLXB1610</t>
  </si>
  <si>
    <t>BLXB1611</t>
  </si>
  <si>
    <t>BLXB1612</t>
  </si>
  <si>
    <t>BLXB1701</t>
  </si>
  <si>
    <t>SY2681</t>
  </si>
  <si>
    <t>BLXB1705</t>
  </si>
  <si>
    <t>SZ 0549</t>
  </si>
  <si>
    <t>BLXB1770</t>
  </si>
  <si>
    <t>BLXB1771</t>
  </si>
  <si>
    <t>BLXB1913</t>
  </si>
  <si>
    <t>BLXB1947</t>
  </si>
  <si>
    <t>BLXB1991</t>
  </si>
  <si>
    <t>BLXB2086</t>
  </si>
  <si>
    <t>BLXB2168</t>
  </si>
  <si>
    <t>BLXB2170</t>
  </si>
  <si>
    <t>BLXB2191</t>
  </si>
  <si>
    <t>BLXB2298</t>
  </si>
  <si>
    <t>BLXB2445</t>
  </si>
  <si>
    <t>BLXB2447</t>
  </si>
  <si>
    <t>BLXB2470</t>
  </si>
  <si>
    <t>BLXB2475</t>
  </si>
  <si>
    <t>BLXB2546</t>
  </si>
  <si>
    <t>BLXB2547</t>
  </si>
  <si>
    <t>BLXB2550</t>
  </si>
  <si>
    <t>BLXB2567</t>
  </si>
  <si>
    <t>BLXB2682</t>
  </si>
  <si>
    <t>BLXB2725</t>
  </si>
  <si>
    <t>BLXB2727</t>
  </si>
  <si>
    <t>BLXB2805</t>
  </si>
  <si>
    <t>BLXB2962</t>
  </si>
  <si>
    <t>BLXB2993</t>
  </si>
  <si>
    <t>BLXB2997</t>
  </si>
  <si>
    <t>BLXB3011</t>
  </si>
  <si>
    <t>BLXB3114</t>
  </si>
  <si>
    <t>BLXB3128</t>
  </si>
  <si>
    <t>BLXB3134</t>
  </si>
  <si>
    <t>BLXB3152</t>
  </si>
  <si>
    <t>BLXB3227</t>
  </si>
  <si>
    <t>BLXB3276</t>
  </si>
  <si>
    <t>BLXB3292</t>
  </si>
  <si>
    <t>BLXB3337</t>
  </si>
  <si>
    <t>BLXB3378</t>
  </si>
  <si>
    <t>BLXB3476</t>
  </si>
  <si>
    <t>BLXB3478</t>
  </si>
  <si>
    <t>BLXB3524</t>
  </si>
  <si>
    <t>BLXB3640</t>
  </si>
  <si>
    <t>BLXB3642</t>
  </si>
  <si>
    <t>BLXB3668</t>
  </si>
  <si>
    <t>BLXB3672</t>
  </si>
  <si>
    <t>BLXB3686</t>
  </si>
  <si>
    <t>BLXB3690</t>
  </si>
  <si>
    <t>BLXB3752</t>
  </si>
  <si>
    <t>BLXB3862</t>
  </si>
  <si>
    <t>BLXB4033</t>
  </si>
  <si>
    <t>BLXB4044</t>
  </si>
  <si>
    <t>BLXB4045</t>
  </si>
  <si>
    <t>BLXB4048</t>
  </si>
  <si>
    <t>BLXB4084</t>
  </si>
  <si>
    <t>BLXB4086</t>
  </si>
  <si>
    <t>BLXB4202</t>
  </si>
  <si>
    <t>BLXB4204</t>
  </si>
  <si>
    <t>BLXB4319</t>
  </si>
  <si>
    <t>BLXB4333</t>
  </si>
  <si>
    <t>BLXB4382</t>
  </si>
  <si>
    <t>BLXB4395</t>
  </si>
  <si>
    <t>BLXB4423</t>
  </si>
  <si>
    <t>BLXB4449</t>
  </si>
  <si>
    <t>BLXB4452</t>
  </si>
  <si>
    <t>BLXB4509</t>
  </si>
  <si>
    <t>BLXB4559</t>
  </si>
  <si>
    <t>BLXB4585</t>
  </si>
  <si>
    <t>BLXB4586</t>
  </si>
  <si>
    <t>BLXB4697</t>
  </si>
  <si>
    <t>BLXB4748</t>
  </si>
  <si>
    <t>BLXB4877</t>
  </si>
  <si>
    <t>BLXB4880</t>
  </si>
  <si>
    <t>BLXB4883</t>
  </si>
  <si>
    <t>Boar NO.</t>
  </si>
  <si>
    <t>REDA4146</t>
  </si>
  <si>
    <t>REDA4147</t>
  </si>
  <si>
    <t>REDA4244</t>
  </si>
  <si>
    <t>REDA4287</t>
  </si>
  <si>
    <t>REDA4288</t>
  </si>
  <si>
    <t>YELA1342</t>
  </si>
  <si>
    <t>DLNB6964</t>
  </si>
  <si>
    <t>DLNB6998</t>
  </si>
  <si>
    <t>PW 3559</t>
  </si>
  <si>
    <t>DLNB6814</t>
  </si>
  <si>
    <t>PX1122</t>
  </si>
  <si>
    <t>PX1167</t>
  </si>
  <si>
    <t>PX1463</t>
  </si>
  <si>
    <t>SDPX6308</t>
  </si>
  <si>
    <t>SDPX7296</t>
  </si>
  <si>
    <t>SDPX7467</t>
  </si>
  <si>
    <t>SDPX7888</t>
  </si>
  <si>
    <t>SDPX7921</t>
  </si>
  <si>
    <t>SDPX8084</t>
  </si>
  <si>
    <t>SDPX8219</t>
  </si>
  <si>
    <t>SDPX8619</t>
  </si>
  <si>
    <t>SDPY0026</t>
  </si>
  <si>
    <t>SDPY1604</t>
  </si>
  <si>
    <t>SDPY1642</t>
  </si>
  <si>
    <t>PY2699</t>
  </si>
  <si>
    <t>PY2930</t>
  </si>
  <si>
    <t>PY3061</t>
  </si>
  <si>
    <t>PY3839</t>
  </si>
  <si>
    <t>PY4054</t>
  </si>
  <si>
    <t>PY4678</t>
  </si>
  <si>
    <t>PY5003</t>
  </si>
  <si>
    <t>PY5042</t>
  </si>
  <si>
    <t>PY5207</t>
  </si>
  <si>
    <t>PY5308</t>
  </si>
  <si>
    <t>PY6473</t>
  </si>
  <si>
    <t>PY9222</t>
  </si>
  <si>
    <t>PZ1904</t>
  </si>
  <si>
    <t>SDPY9864</t>
  </si>
  <si>
    <t>SDPZ0138</t>
  </si>
  <si>
    <t>SDPZ0228</t>
  </si>
  <si>
    <t>SDPZ0908</t>
  </si>
  <si>
    <t>SDPZ0909</t>
  </si>
  <si>
    <t>SDPZ8371</t>
  </si>
  <si>
    <t>NC3859</t>
  </si>
  <si>
    <t>SDPZ1594</t>
  </si>
  <si>
    <t>SDPZ1906</t>
  </si>
  <si>
    <t>SDPZ2198</t>
  </si>
  <si>
    <t>SDPZ2704</t>
  </si>
  <si>
    <t>SDPZ2778</t>
  </si>
  <si>
    <t>SDPZ3300</t>
  </si>
  <si>
    <t>SDPZ5354</t>
  </si>
  <si>
    <t>SDPZ6165</t>
  </si>
  <si>
    <t>SDPZ7383</t>
  </si>
  <si>
    <t>DLNA0736</t>
  </si>
  <si>
    <t>DLNA2829</t>
  </si>
  <si>
    <t>DLNA3052</t>
  </si>
  <si>
    <t>SDPZ6274</t>
  </si>
  <si>
    <t>SDPZ6451</t>
  </si>
  <si>
    <t>SDPZ6453</t>
  </si>
  <si>
    <t>SDPZ6555</t>
  </si>
  <si>
    <t>SDPZ6603</t>
  </si>
  <si>
    <t>SDPZ6779</t>
  </si>
  <si>
    <t>SDPZ6979</t>
  </si>
  <si>
    <t>SDPZ7464</t>
  </si>
  <si>
    <t>SDPZ7779</t>
  </si>
  <si>
    <t>SDPZ7804</t>
  </si>
  <si>
    <t>SDPZ8079</t>
  </si>
  <si>
    <t>SDPZ8404</t>
  </si>
  <si>
    <t>SDPZ8702</t>
  </si>
  <si>
    <t>SDPZ9398</t>
  </si>
  <si>
    <t>DLNA3545</t>
  </si>
  <si>
    <t>DLNA4179</t>
  </si>
  <si>
    <t>DLNA4181</t>
  </si>
  <si>
    <t>DLNA4472</t>
  </si>
  <si>
    <t>DLNA4538</t>
  </si>
  <si>
    <t>DLNA5111</t>
  </si>
  <si>
    <t>DLNA5455</t>
  </si>
  <si>
    <t>DLNA5780</t>
  </si>
  <si>
    <t>DLNA5867</t>
  </si>
  <si>
    <t>DLNA5993</t>
  </si>
  <si>
    <t>DLNA6074</t>
  </si>
  <si>
    <t>DLNA6193</t>
  </si>
  <si>
    <t>DLNA6216</t>
  </si>
  <si>
    <t>DLNA6471</t>
  </si>
  <si>
    <t>DLNA6630</t>
  </si>
  <si>
    <t>DLNA7357</t>
  </si>
  <si>
    <t>DLNA7710</t>
  </si>
  <si>
    <t>DLNA7946</t>
  </si>
  <si>
    <t>DLNA9777</t>
  </si>
  <si>
    <t>DLNB0192</t>
  </si>
  <si>
    <t>DLNB0307</t>
  </si>
  <si>
    <t>DLNB0310</t>
  </si>
  <si>
    <t>DLNB0456</t>
  </si>
  <si>
    <t>DLNB0703</t>
  </si>
  <si>
    <t>DLNB1037</t>
  </si>
  <si>
    <t>DLNB1195</t>
  </si>
  <si>
    <t>DLNB1362</t>
  </si>
  <si>
    <t>DLNB1412</t>
  </si>
  <si>
    <t>DLNB1552</t>
  </si>
  <si>
    <t>DLNB1693</t>
  </si>
  <si>
    <t>DLNB1740</t>
  </si>
  <si>
    <t>DLNB1902</t>
  </si>
  <si>
    <t>DLNB1983</t>
  </si>
  <si>
    <t>DLNB1984</t>
  </si>
  <si>
    <t>DLNB2180</t>
  </si>
  <si>
    <t>DLNB2366</t>
  </si>
  <si>
    <t>DLNB2889</t>
  </si>
  <si>
    <t>DLNB2969</t>
  </si>
  <si>
    <t>DLNB2972</t>
  </si>
  <si>
    <t>DLNB3388</t>
  </si>
  <si>
    <t>DLNB3617</t>
  </si>
  <si>
    <t>DLNB3847</t>
  </si>
  <si>
    <t>DLNB3999</t>
  </si>
  <si>
    <t>DLNB4050</t>
  </si>
  <si>
    <t>DLNB7550</t>
  </si>
  <si>
    <t>DLNB7890</t>
  </si>
  <si>
    <t>DLNB7928</t>
  </si>
  <si>
    <t>DLNB7937</t>
  </si>
  <si>
    <t>DLNB7939</t>
  </si>
  <si>
    <t>DLNB8347</t>
  </si>
  <si>
    <t>DLNB8663</t>
  </si>
  <si>
    <t>DLNB8818</t>
  </si>
  <si>
    <t>DLNB8884</t>
  </si>
  <si>
    <t>DLNB8945</t>
  </si>
  <si>
    <t>DLNB9032</t>
  </si>
  <si>
    <t>DLNB9034</t>
  </si>
  <si>
    <t>DLNB9035</t>
  </si>
  <si>
    <t>DLNB9405</t>
  </si>
  <si>
    <t>DLNB9490</t>
  </si>
  <si>
    <t>DLNB9507</t>
  </si>
  <si>
    <t>DLNB9568</t>
  </si>
  <si>
    <t>DLNB9759</t>
  </si>
  <si>
    <t>DLNB9789</t>
  </si>
  <si>
    <t>DLNB9861</t>
  </si>
  <si>
    <t>DLNC0065</t>
  </si>
  <si>
    <t>DLNC0096</t>
  </si>
  <si>
    <t>DLNC0148</t>
  </si>
  <si>
    <t>DLNC0416</t>
  </si>
  <si>
    <t>DLNC0419</t>
  </si>
  <si>
    <t>DLNC0469</t>
  </si>
  <si>
    <t>DLNC0472</t>
  </si>
  <si>
    <t>DLNC0697</t>
  </si>
  <si>
    <t>DLNC0708</t>
  </si>
  <si>
    <t>DLNC0988</t>
  </si>
  <si>
    <t>DLNC0999</t>
  </si>
  <si>
    <t>DLNC1009</t>
  </si>
  <si>
    <t>DLNC1044</t>
  </si>
  <si>
    <t>DLNC1272</t>
  </si>
  <si>
    <t>DLNC1287</t>
  </si>
  <si>
    <t>DLNC1432</t>
  </si>
  <si>
    <t>DLNC1742</t>
  </si>
  <si>
    <t>DLNC1753</t>
  </si>
  <si>
    <t>DLNC1817</t>
  </si>
  <si>
    <t>DLNC2003</t>
  </si>
  <si>
    <t>DLNC2073</t>
  </si>
  <si>
    <t>DLNC2079</t>
  </si>
  <si>
    <t>DLNC2095</t>
  </si>
  <si>
    <t>DLNC2102</t>
  </si>
  <si>
    <t>TNCU2098</t>
  </si>
  <si>
    <t>TNCU2124</t>
  </si>
  <si>
    <t>TNCU2692</t>
  </si>
  <si>
    <t>TNCU2949</t>
  </si>
  <si>
    <t>TNCU2986</t>
  </si>
  <si>
    <t>TNCU3339</t>
  </si>
  <si>
    <t>TNCU3647</t>
  </si>
  <si>
    <t>TNCU3842</t>
  </si>
  <si>
    <t>TNCU4778</t>
  </si>
  <si>
    <t>TNCU5148</t>
  </si>
  <si>
    <t>TNCU5149</t>
  </si>
  <si>
    <t>TNCU5554</t>
  </si>
  <si>
    <t>TNCU5556</t>
  </si>
  <si>
    <t>TNCU5558</t>
  </si>
  <si>
    <t>TNCU5559</t>
  </si>
  <si>
    <t>TNCU6791</t>
  </si>
  <si>
    <t>TNCU6792</t>
  </si>
  <si>
    <t>TNCU6796</t>
  </si>
  <si>
    <t>TNCU6797</t>
  </si>
  <si>
    <t>TNCU7987</t>
  </si>
  <si>
    <t>TNCU8011</t>
  </si>
  <si>
    <t>TNCU8016</t>
  </si>
  <si>
    <t>TNCU8018</t>
  </si>
  <si>
    <t>TNCU8630</t>
  </si>
  <si>
    <t>TNCU8778</t>
  </si>
  <si>
    <t>TNCU8946</t>
  </si>
  <si>
    <t>TNCU9625</t>
  </si>
  <si>
    <t>TNCU9941</t>
  </si>
  <si>
    <t>TNCU9949</t>
  </si>
  <si>
    <t>TNCU9986</t>
  </si>
  <si>
    <t>TNCV0536</t>
  </si>
  <si>
    <t>TNCV0538</t>
  </si>
  <si>
    <t>TNCV0556</t>
  </si>
  <si>
    <t>TNCV1327</t>
  </si>
  <si>
    <t>TNCV1964</t>
  </si>
  <si>
    <t>DLNB4519</t>
  </si>
  <si>
    <t>TNCV1966</t>
  </si>
  <si>
    <t>TNCV1970</t>
  </si>
  <si>
    <t>TNCV2136</t>
  </si>
  <si>
    <t>TNCV2138</t>
  </si>
  <si>
    <t>TNCV2140</t>
  </si>
  <si>
    <t>TNCV3004</t>
  </si>
  <si>
    <t>TNCV3190</t>
  </si>
  <si>
    <t>TNCV3192</t>
  </si>
  <si>
    <t>TNCV3204</t>
  </si>
  <si>
    <t>TNCV3834</t>
  </si>
  <si>
    <t>TNCV4041</t>
  </si>
  <si>
    <t>TNCV4289</t>
  </si>
  <si>
    <t>TNCV4698</t>
  </si>
  <si>
    <t>TNCV4812</t>
  </si>
  <si>
    <t>TNCV4934</t>
  </si>
  <si>
    <t>TNCV4935</t>
  </si>
  <si>
    <t>TNCV6232</t>
  </si>
  <si>
    <t>TNCV6233</t>
  </si>
  <si>
    <t>TNCV6263</t>
  </si>
  <si>
    <t>TNCV6264</t>
  </si>
  <si>
    <t>TNCV6764</t>
  </si>
  <si>
    <t>TNCV6798</t>
  </si>
  <si>
    <t>TNCV6805</t>
  </si>
  <si>
    <t>TNCV6806</t>
  </si>
  <si>
    <t>TNCV7828</t>
  </si>
  <si>
    <t>TNCV8135</t>
  </si>
  <si>
    <t>TNCV8136</t>
  </si>
  <si>
    <t>TNCV8654</t>
  </si>
  <si>
    <t>TNCV8656</t>
  </si>
  <si>
    <t>TNCV9111</t>
  </si>
  <si>
    <t>TNCV9112</t>
  </si>
  <si>
    <t>TNCV9374</t>
  </si>
  <si>
    <t>TNCV9723</t>
  </si>
  <si>
    <t>TNCV9944</t>
  </si>
  <si>
    <t>TNCW0457</t>
  </si>
  <si>
    <t>TNCW0800</t>
  </si>
  <si>
    <t>TNCW0807</t>
  </si>
  <si>
    <t>TNCW0813</t>
  </si>
  <si>
    <t>TNCY1637</t>
  </si>
  <si>
    <t>TNCY1639</t>
  </si>
  <si>
    <t>TNCY1398</t>
  </si>
  <si>
    <t>TNCY0820</t>
  </si>
  <si>
    <t>TNCY0565</t>
  </si>
  <si>
    <t>TNCY0566</t>
  </si>
  <si>
    <t>TNCX9771</t>
  </si>
  <si>
    <t>TNCX9775</t>
  </si>
  <si>
    <t>TNCY0108</t>
  </si>
  <si>
    <t>TNCX8911</t>
  </si>
  <si>
    <t>TNCX8429</t>
  </si>
  <si>
    <t>TNCX8434</t>
  </si>
  <si>
    <t>TNCX8255</t>
  </si>
  <si>
    <t>TNCX7640</t>
  </si>
  <si>
    <t>TNCX7377</t>
  </si>
  <si>
    <t>TNCX6332</t>
  </si>
  <si>
    <t>TNCX6337</t>
  </si>
  <si>
    <t>TNCX6338</t>
  </si>
  <si>
    <t>TNCX5805</t>
  </si>
  <si>
    <t>TNCX5821</t>
  </si>
  <si>
    <t>TNCX5613</t>
  </si>
  <si>
    <t>TNCX4568</t>
  </si>
  <si>
    <t>TNCX4575</t>
  </si>
  <si>
    <t>TNCX4687</t>
  </si>
  <si>
    <t>TNCX4118</t>
  </si>
  <si>
    <t>TNCX3574</t>
  </si>
  <si>
    <t>TNCX3576</t>
  </si>
  <si>
    <t>TNCX3194</t>
  </si>
  <si>
    <t>TNCX3195</t>
  </si>
  <si>
    <t>TNCX2947</t>
  </si>
  <si>
    <t>TNCX2143</t>
  </si>
  <si>
    <t>TNCX1880</t>
  </si>
  <si>
    <t>TNCX1887</t>
  </si>
  <si>
    <t>TNCX1342</t>
  </si>
  <si>
    <t>TNCX1345</t>
  </si>
  <si>
    <t>TNCX1351</t>
  </si>
  <si>
    <t>TNCW9806</t>
  </si>
  <si>
    <t>TNCW9809</t>
  </si>
  <si>
    <t>TNCW9747</t>
  </si>
  <si>
    <t>TNCW8636</t>
  </si>
  <si>
    <t>TNCW8619</t>
  </si>
  <si>
    <t>TNCW8386</t>
  </si>
  <si>
    <t>TNCW7853</t>
  </si>
  <si>
    <t>TNCW7859</t>
  </si>
  <si>
    <t>TNCW7432</t>
  </si>
  <si>
    <t>TNCW7164</t>
  </si>
  <si>
    <t>TNCW7049</t>
  </si>
  <si>
    <t>TNCW5944</t>
  </si>
  <si>
    <t>TNCW5948</t>
  </si>
  <si>
    <t>TNCW5564</t>
  </si>
  <si>
    <t>TNCW4582</t>
  </si>
  <si>
    <t>TNCW4584</t>
  </si>
  <si>
    <t>TNCW4778</t>
  </si>
  <si>
    <t>TNCW3959</t>
  </si>
  <si>
    <t>TNCW4095</t>
  </si>
  <si>
    <t>TNCW4096</t>
  </si>
  <si>
    <t>TNCW2860</t>
  </si>
  <si>
    <t>TNCW2490</t>
  </si>
  <si>
    <t>TNCW2953</t>
  </si>
  <si>
    <t>TNCW2263</t>
  </si>
  <si>
    <t>TNCW1838</t>
  </si>
  <si>
    <t>TNCW1406</t>
  </si>
  <si>
    <t>Death</t>
  </si>
  <si>
    <t>IMPORTED PIGS MOVEMENT</t>
  </si>
  <si>
    <t>Avail. For Amort</t>
  </si>
  <si>
    <t>Months</t>
  </si>
  <si>
    <t>Quantity</t>
  </si>
  <si>
    <t>Unit Cost</t>
  </si>
  <si>
    <t>Total Cost</t>
  </si>
  <si>
    <t>Purchases</t>
  </si>
  <si>
    <t>Sows Available for Amortisation</t>
  </si>
  <si>
    <t>Residual Value KGs</t>
  </si>
  <si>
    <t>Depreciable Amount</t>
  </si>
  <si>
    <t>Monthly Amortisation</t>
  </si>
  <si>
    <t xml:space="preserve">Cummulative Amortisation </t>
  </si>
  <si>
    <t>Cost (Unit)</t>
  </si>
  <si>
    <t>Boars Available for Amortisation</t>
  </si>
  <si>
    <t>Total Cost Boars &amp; Sows</t>
  </si>
  <si>
    <t>Cummulative Amortisation</t>
  </si>
  <si>
    <t>Death Cost</t>
  </si>
  <si>
    <t>Ledger Cost</t>
  </si>
  <si>
    <t>Diff with computation</t>
  </si>
  <si>
    <t>A LINE SOWS</t>
  </si>
  <si>
    <t>TN60</t>
  </si>
  <si>
    <t>Total Cost for Sows</t>
  </si>
  <si>
    <t>Total Cost for Boars</t>
  </si>
  <si>
    <t>Non Current Biological Summary</t>
  </si>
  <si>
    <t xml:space="preserve">                  Movement</t>
  </si>
  <si>
    <t>Farm</t>
  </si>
  <si>
    <t>Closing Value</t>
  </si>
  <si>
    <t>Lionshead Extension</t>
  </si>
  <si>
    <t>Totals</t>
  </si>
  <si>
    <t>Pack</t>
  </si>
  <si>
    <t>Current Biologal Summary</t>
  </si>
  <si>
    <t>Adjustment</t>
  </si>
  <si>
    <t>Total Current assets</t>
  </si>
  <si>
    <t>IAS 41 Adjustments</t>
  </si>
  <si>
    <t>Fair Value</t>
  </si>
  <si>
    <t>IAS 41 (Gain)/Loss</t>
  </si>
  <si>
    <t>Lion Head</t>
  </si>
  <si>
    <t xml:space="preserve">Learig </t>
  </si>
  <si>
    <t>Summary</t>
  </si>
  <si>
    <t>Livestock Amortisation June 2014</t>
  </si>
  <si>
    <t>Livestock Amortisation April 2018</t>
  </si>
  <si>
    <t>Livestock Amortistion May 2015</t>
  </si>
  <si>
    <t>Livestock Amortisation June 2015</t>
  </si>
  <si>
    <t>Livestock Amortisation November 2015</t>
  </si>
  <si>
    <t>Livestock Amortisation June 2016</t>
  </si>
  <si>
    <t>Livestock Amortisation November 2016</t>
  </si>
  <si>
    <t>Livestock Amortiation April 2017</t>
  </si>
  <si>
    <t>Richlands Livestock Amortiation September 2017</t>
  </si>
  <si>
    <t>Richlands Livestock Amortiation October 2017</t>
  </si>
  <si>
    <t>Richlands Livestock Amortiation November 2017</t>
  </si>
  <si>
    <t>Richlands Livestock Amortiation December 2017</t>
  </si>
  <si>
    <t>Richlands Livestock Amortiation March 2018</t>
  </si>
  <si>
    <t>Richlands Livestock Amortiation April 2018</t>
  </si>
  <si>
    <t>Richlands Livestock Amortiation October 2018</t>
  </si>
  <si>
    <t>Richlands Livestock Amortiation July 2018</t>
  </si>
  <si>
    <t>Richlands Livestock Amortiation December 2020</t>
  </si>
  <si>
    <t>Livestock Amortisation March 2018</t>
  </si>
  <si>
    <t>Amortisation 4 boars Sept 2017</t>
  </si>
  <si>
    <t>Amortisation July 2018</t>
  </si>
  <si>
    <t>Amortisation Oct 2018</t>
  </si>
  <si>
    <t>Amortisation May 2019</t>
  </si>
  <si>
    <t>Amortisation Oct 2019</t>
  </si>
  <si>
    <t>Amortisation July 2020</t>
  </si>
  <si>
    <t>Amortisation December 2020</t>
  </si>
  <si>
    <t>Grasmere Amortisation  May  2021</t>
  </si>
  <si>
    <t xml:space="preserve"> Lionheads Amortisation  October 2017</t>
  </si>
  <si>
    <t xml:space="preserve"> Lionheads Amortisation  November 2017</t>
  </si>
  <si>
    <t xml:space="preserve"> Lionheads Amortisation  March 2018</t>
  </si>
  <si>
    <t xml:space="preserve"> Lionheads Amortisation  July 2018</t>
  </si>
  <si>
    <t xml:space="preserve"> Lionheads Amortisation  April  2018</t>
  </si>
  <si>
    <t>Grasmere Amortisation October 2021</t>
  </si>
  <si>
    <t>Grasmere Amortisation March 2022</t>
  </si>
  <si>
    <t>Grasmere Amortisation July 2022</t>
  </si>
  <si>
    <t>Grasmere Amortisation September 2022</t>
  </si>
  <si>
    <t>Grasmere Amortisation November 2022</t>
  </si>
  <si>
    <t>Grasmere Amortisation April 2023</t>
  </si>
  <si>
    <t>Pigs Valuation</t>
  </si>
  <si>
    <t>H.1.1</t>
  </si>
  <si>
    <t>Type Of Pig</t>
  </si>
  <si>
    <t>Age in</t>
  </si>
  <si>
    <t>Present Ave</t>
  </si>
  <si>
    <t>Anticipated</t>
  </si>
  <si>
    <t xml:space="preserve">Number Of </t>
  </si>
  <si>
    <t>Total CDM</t>
  </si>
  <si>
    <t>Unit Price</t>
  </si>
  <si>
    <t>Value Of Pigs</t>
  </si>
  <si>
    <t>Weeks</t>
  </si>
  <si>
    <t>Live Weight</t>
  </si>
  <si>
    <t>Pigs</t>
  </si>
  <si>
    <t>Per Pig/Kg CDM</t>
  </si>
  <si>
    <t>Per Kg CDM</t>
  </si>
  <si>
    <t>Gilts @ Grower</t>
  </si>
  <si>
    <t>Sows (June 2014)</t>
  </si>
  <si>
    <t>Sows (July 2018)</t>
  </si>
  <si>
    <t>Sows (May 2015)</t>
  </si>
  <si>
    <t>Sows (June 2015)</t>
  </si>
  <si>
    <t>Sows (June 2016)</t>
  </si>
  <si>
    <t>Sows (Nov 2016)</t>
  </si>
  <si>
    <t>Sows (Apr 2017)</t>
  </si>
  <si>
    <t>Sows (March 2018)</t>
  </si>
  <si>
    <t>Sows (Oct 2018)</t>
  </si>
  <si>
    <t>Sows (May 2019)</t>
  </si>
  <si>
    <t>Sows (July 2020)</t>
  </si>
  <si>
    <t>Sows (December 2020)</t>
  </si>
  <si>
    <t>Sows ( May 2021)</t>
  </si>
  <si>
    <t>Sows (October 2021)</t>
  </si>
  <si>
    <t>Sows ( March 2022)</t>
  </si>
  <si>
    <t>Sows ( July 2022)</t>
  </si>
  <si>
    <t>Sows ( November 2022)</t>
  </si>
  <si>
    <t>Sows ( April 2023)</t>
  </si>
  <si>
    <t>Sows (September 2023)</t>
  </si>
  <si>
    <t>Sows (February 2024)</t>
  </si>
  <si>
    <t>Sows (July 2024)</t>
  </si>
  <si>
    <t>Sows (December 2024)</t>
  </si>
  <si>
    <t>Sows (April 2025)</t>
  </si>
  <si>
    <t>Boars (November 2015)</t>
  </si>
  <si>
    <t>Boars (November 2016)</t>
  </si>
  <si>
    <t>Boars (April 2017)</t>
  </si>
  <si>
    <t>Boars (September 2017)</t>
  </si>
  <si>
    <t>Boars (April 2018)</t>
  </si>
  <si>
    <t>Boars (Oct 2018)</t>
  </si>
  <si>
    <t>Boars (May 2019)</t>
  </si>
  <si>
    <t>Boars (Oct 2019)</t>
  </si>
  <si>
    <t>Boars (Jul 2020)</t>
  </si>
  <si>
    <t>Boars (Dec 2020)</t>
  </si>
  <si>
    <t>Boars ( May 2021)</t>
  </si>
  <si>
    <t>Boars ( October 2021)</t>
  </si>
  <si>
    <t>Boars ( March 2022)</t>
  </si>
  <si>
    <t>Boars ( September 2022)</t>
  </si>
  <si>
    <t>Boars ( November 2022)</t>
  </si>
  <si>
    <t>Boars (April 2023)</t>
  </si>
  <si>
    <t>Boars (September 2023)</t>
  </si>
  <si>
    <t>Boars (February 2024)</t>
  </si>
  <si>
    <t>Boars (July 2024)</t>
  </si>
  <si>
    <t>Boars (December 2024)</t>
  </si>
  <si>
    <t>Boars (April 2025)</t>
  </si>
  <si>
    <t>Boars (September 2025)</t>
  </si>
  <si>
    <t>Boars (February 2026)</t>
  </si>
  <si>
    <t>Multiplier imported 118 + boars (1 multip, 4 rich, 1 ports)</t>
  </si>
  <si>
    <t>Current</t>
  </si>
  <si>
    <t>July</t>
  </si>
  <si>
    <t>June</t>
  </si>
  <si>
    <t>Non Current</t>
  </si>
  <si>
    <t>Local Non- Current</t>
  </si>
  <si>
    <t>Imported Non- Current</t>
  </si>
  <si>
    <t>Prefarrowing</t>
  </si>
  <si>
    <t>Total Pigs</t>
  </si>
  <si>
    <t>Fair value</t>
  </si>
  <si>
    <t>Imported</t>
  </si>
  <si>
    <t>Acc. Amort. Cattle</t>
  </si>
  <si>
    <t>Acc. Amort. Imported Pigs</t>
  </si>
  <si>
    <t>H.1.2</t>
  </si>
  <si>
    <t>Per Kg Pig/ CDM</t>
  </si>
  <si>
    <t xml:space="preserve">Current </t>
  </si>
  <si>
    <t>TN60 October 2017</t>
  </si>
  <si>
    <t>TN60  November 2017</t>
  </si>
  <si>
    <t>TN60  March 2018</t>
  </si>
  <si>
    <t>TN60  July 2018</t>
  </si>
  <si>
    <t>TN60  April  2018</t>
  </si>
  <si>
    <t>Non-Current</t>
  </si>
  <si>
    <t>6 Boars  Grasmere</t>
  </si>
  <si>
    <t>Local</t>
  </si>
  <si>
    <t>TN 60</t>
  </si>
  <si>
    <t>Non- Current</t>
  </si>
  <si>
    <t xml:space="preserve"> 0 Boar Grasmere</t>
  </si>
  <si>
    <t>TN70 May 2024</t>
  </si>
  <si>
    <t>TN70 June 2024</t>
  </si>
  <si>
    <t>TN70 Aug 2024</t>
  </si>
  <si>
    <t>Revaluation</t>
  </si>
  <si>
    <t xml:space="preserve">4 Imported Boars Grasmere </t>
  </si>
  <si>
    <t>A Line</t>
  </si>
  <si>
    <t>TN70 July 2024</t>
  </si>
  <si>
    <t>TN70 August 2024</t>
  </si>
  <si>
    <t>TN70 September 2024</t>
  </si>
  <si>
    <t>6 sows of LH,6 Rich, 1 boar at Grams</t>
  </si>
  <si>
    <t xml:space="preserve"> Boars Valued @ Grasmere </t>
  </si>
  <si>
    <t>sentinals</t>
  </si>
  <si>
    <t xml:space="preserve">locals gilts </t>
  </si>
  <si>
    <t>boars</t>
  </si>
  <si>
    <t>Cattle Valuation</t>
  </si>
  <si>
    <t>H.1.10</t>
  </si>
  <si>
    <t>Grasmere Farm</t>
  </si>
  <si>
    <t>Lwt(kg)</t>
  </si>
  <si>
    <t>CDM(kg)</t>
  </si>
  <si>
    <t>No</t>
  </si>
  <si>
    <t>Total weight</t>
  </si>
  <si>
    <t>Price per kg</t>
  </si>
  <si>
    <t>Calves &lt;6mths</t>
  </si>
  <si>
    <t>Weaner Steers</t>
  </si>
  <si>
    <t>Steers-young bulls 1-2 yrs</t>
  </si>
  <si>
    <t xml:space="preserve">Cows &gt; 2yrs </t>
  </si>
  <si>
    <t>Bulls- 2 yrs plus</t>
  </si>
  <si>
    <t>Weaner bulls (6-12mths) (FS)</t>
  </si>
  <si>
    <t>Steers-young bulls 1-2 yrs (FS)</t>
  </si>
  <si>
    <t>CCC Pigs</t>
  </si>
  <si>
    <t>DRY SOW</t>
  </si>
  <si>
    <t>Flush</t>
  </si>
  <si>
    <t>LACTATE</t>
  </si>
  <si>
    <t>Early Wean</t>
  </si>
  <si>
    <t>CREEP</t>
  </si>
  <si>
    <t>GROWER 1</t>
  </si>
  <si>
    <t>GROWER 2</t>
  </si>
  <si>
    <t>GROWER 3</t>
  </si>
  <si>
    <t>FINISHER</t>
  </si>
  <si>
    <t>Calender Week</t>
  </si>
  <si>
    <t>batch Week</t>
  </si>
  <si>
    <t>Sold</t>
  </si>
  <si>
    <t>Total Pig Summary</t>
  </si>
  <si>
    <t>Opening Stock (Pigs)</t>
  </si>
  <si>
    <t>Birth</t>
  </si>
  <si>
    <t>Transfer (Out)</t>
  </si>
  <si>
    <t>Total before Mortality</t>
  </si>
  <si>
    <t>Transfers Lionshead</t>
  </si>
  <si>
    <t>Transfers Lionshead Ext.</t>
  </si>
  <si>
    <t>Transfers  Richlands</t>
  </si>
  <si>
    <t>Transfers Learig</t>
  </si>
  <si>
    <t>Transfers Villa</t>
  </si>
  <si>
    <t>Transfers Porta</t>
  </si>
  <si>
    <t>Transfers Multiplier</t>
  </si>
  <si>
    <t>Transfers  Boars</t>
  </si>
  <si>
    <t>Transfers Grower</t>
  </si>
  <si>
    <t>Transfer to Sick Block</t>
  </si>
  <si>
    <t>Transfers Gilts</t>
  </si>
  <si>
    <t xml:space="preserve"> Colcom Sales</t>
  </si>
  <si>
    <t>Closing Stock (pigs)</t>
  </si>
  <si>
    <t>Opening cost</t>
  </si>
  <si>
    <t>Total before Current month feed</t>
  </si>
  <si>
    <t>Average before Current month feed</t>
  </si>
  <si>
    <t>Total After Transfers</t>
  </si>
  <si>
    <t>Month Feed consumption</t>
  </si>
  <si>
    <t>Total For the Remaining Pigs</t>
  </si>
  <si>
    <t>Average For the Remaining Pigs</t>
  </si>
  <si>
    <t>Balance Feed Cost</t>
  </si>
  <si>
    <t>Sows &amp; Guilts Wk 1-16</t>
  </si>
  <si>
    <t>lactating</t>
  </si>
  <si>
    <t>Flush Feed</t>
  </si>
  <si>
    <t>Dry Gilt</t>
  </si>
  <si>
    <t>Feed</t>
  </si>
  <si>
    <t>Days</t>
  </si>
  <si>
    <t>Kgs/Day</t>
  </si>
  <si>
    <t>Total/No. of Pigs</t>
  </si>
  <si>
    <t>Total/Diet</t>
  </si>
  <si>
    <t>Weight</t>
  </si>
  <si>
    <t>Standard</t>
  </si>
  <si>
    <t>Actual Usage</t>
  </si>
  <si>
    <t>Variance</t>
  </si>
  <si>
    <t>Cost/kg</t>
  </si>
  <si>
    <t>Variance Value</t>
  </si>
  <si>
    <t>FLUSH</t>
  </si>
  <si>
    <t>Total Pigs Summary</t>
  </si>
  <si>
    <t>Transfers Grasmere</t>
  </si>
  <si>
    <t>Dry Guilt</t>
  </si>
  <si>
    <t>Transfers  Grasmere</t>
  </si>
  <si>
    <t>SickBlock</t>
  </si>
  <si>
    <t>Transfer ( Out)</t>
  </si>
  <si>
    <t>Transfer Grasmere</t>
  </si>
  <si>
    <t>Transfers Richlands</t>
  </si>
  <si>
    <t>Transfer Lionshead</t>
  </si>
  <si>
    <t>Opening Stock</t>
  </si>
  <si>
    <t>Transfer to Gilts</t>
  </si>
  <si>
    <t>Sales</t>
  </si>
  <si>
    <t>Per FV</t>
  </si>
  <si>
    <t>Selous</t>
  </si>
  <si>
    <t>COS</t>
  </si>
  <si>
    <t>REVENUE</t>
  </si>
  <si>
    <t>GP</t>
  </si>
  <si>
    <t>GP %ge</t>
  </si>
  <si>
    <t>Budget</t>
  </si>
  <si>
    <t>VS Budget</t>
  </si>
  <si>
    <t>CDM Actual</t>
  </si>
  <si>
    <t>CDM Budget</t>
  </si>
  <si>
    <t>CDM Lost/Gain</t>
  </si>
  <si>
    <t>Revenue Lost/Gain</t>
  </si>
  <si>
    <t xml:space="preserve">PIGS MOVEMENT </t>
  </si>
  <si>
    <t>Non- Current-Local</t>
  </si>
  <si>
    <t>Add: Feed</t>
  </si>
  <si>
    <t>Transfer In Gilts</t>
  </si>
  <si>
    <t>Transfer In Villa</t>
  </si>
  <si>
    <t>Transfer In Richlands</t>
  </si>
  <si>
    <t xml:space="preserve">Transfer in Lionhead </t>
  </si>
  <si>
    <t>Transfer In Lions Head Ext.</t>
  </si>
  <si>
    <t>Transfer In Learig</t>
  </si>
  <si>
    <t>Transfer In Porta</t>
  </si>
  <si>
    <t>Transfer In Multiplier</t>
  </si>
  <si>
    <t>Transfer In Boars</t>
  </si>
  <si>
    <t>Transfer In Grower</t>
  </si>
  <si>
    <t>Less:</t>
  </si>
  <si>
    <t>Transfers out Lionshead</t>
  </si>
  <si>
    <t>Transfers out Lionshead Ext.</t>
  </si>
  <si>
    <t>Transfers out  Richlands</t>
  </si>
  <si>
    <t>Transfers out Learig</t>
  </si>
  <si>
    <t>Transfers out  Villa</t>
  </si>
  <si>
    <t>Transfers out Porta</t>
  </si>
  <si>
    <t>Transfers out Multiplier</t>
  </si>
  <si>
    <t>Transfers out  Boars</t>
  </si>
  <si>
    <t>Transfers out Grower</t>
  </si>
  <si>
    <t>Transfers out Gilts</t>
  </si>
  <si>
    <t>Month Fair Value Adj</t>
  </si>
  <si>
    <t>Closing Stock</t>
  </si>
  <si>
    <t>VILLA FRANCA</t>
  </si>
  <si>
    <t>Transfers In Gilts</t>
  </si>
  <si>
    <t>Transfers In Lionshead</t>
  </si>
  <si>
    <t>Transfers In Lionshead Ext.</t>
  </si>
  <si>
    <t>Transfers In  Richlands</t>
  </si>
  <si>
    <t>Transfers In Learig</t>
  </si>
  <si>
    <t>Transfers In  Grasmere</t>
  </si>
  <si>
    <t>Transfers In  Porta</t>
  </si>
  <si>
    <t>Transfers In  Multiplier</t>
  </si>
  <si>
    <t>Transfers In  Boars</t>
  </si>
  <si>
    <t>Transfers In Grower</t>
  </si>
  <si>
    <t xml:space="preserve">Less: </t>
  </si>
  <si>
    <t>Transfers Out Lionshead</t>
  </si>
  <si>
    <t>Transfers Out Lionshead Ext.</t>
  </si>
  <si>
    <t>Transfers Out  Richlands</t>
  </si>
  <si>
    <t>Transfers Out Learig</t>
  </si>
  <si>
    <t>Transfers Out  Grasmere</t>
  </si>
  <si>
    <t>Transfers Out  Porta</t>
  </si>
  <si>
    <t>Transfers Out  Multiplier</t>
  </si>
  <si>
    <t>Transfers Out  Boars</t>
  </si>
  <si>
    <t>Transfers Out Grower</t>
  </si>
  <si>
    <t>Transfers Out Gilts</t>
  </si>
  <si>
    <t>LION HEAD</t>
  </si>
  <si>
    <t>Add Feed</t>
  </si>
  <si>
    <t>Transfer In Grasmere</t>
  </si>
  <si>
    <t>Transfer In Lionshead Ext.</t>
  </si>
  <si>
    <t>Transfers Out Grasmere</t>
  </si>
  <si>
    <t>Transfers Out Villa</t>
  </si>
  <si>
    <t>Transfers Out Porta</t>
  </si>
  <si>
    <t>Transfers Out Multiplier</t>
  </si>
  <si>
    <t>LION HEAD EXT.</t>
  </si>
  <si>
    <t xml:space="preserve">Transfer In Lionshead </t>
  </si>
  <si>
    <t xml:space="preserve">Transfers Out Lionshead </t>
  </si>
  <si>
    <t>Transfer In Lionhead</t>
  </si>
  <si>
    <t>Transfers Out  Grower</t>
  </si>
  <si>
    <t xml:space="preserve">Transfer In Lions Head </t>
  </si>
  <si>
    <t>Transfers Out Richlands</t>
  </si>
  <si>
    <t>All Farms</t>
  </si>
  <si>
    <t>Transfer In Growers</t>
  </si>
  <si>
    <t>Transfer In Other farms</t>
  </si>
  <si>
    <t>Transfer Out Gilts</t>
  </si>
  <si>
    <t>Transfer Out Boars</t>
  </si>
  <si>
    <t>Transfer Out Growers</t>
  </si>
  <si>
    <t>Transfer Out Other farms</t>
  </si>
  <si>
    <t>CURRENT ASSETS</t>
  </si>
  <si>
    <t>NON CURRENT</t>
  </si>
  <si>
    <t>Valued at Fair Value</t>
  </si>
  <si>
    <t>COS 2055</t>
  </si>
  <si>
    <t>Imported - Cost less Amortisation - Grasmere</t>
  </si>
  <si>
    <t>COS 2058</t>
  </si>
  <si>
    <t>Imported - Cost less Amortisation - Richlands</t>
  </si>
  <si>
    <t>879-639</t>
  </si>
  <si>
    <t>Total Livestock</t>
  </si>
  <si>
    <t>Pig valuation value</t>
  </si>
  <si>
    <t xml:space="preserve">  </t>
  </si>
  <si>
    <t>FV</t>
  </si>
  <si>
    <t xml:space="preserve">Opening </t>
  </si>
  <si>
    <t xml:space="preserve">Previous Month </t>
  </si>
  <si>
    <t>Account Number</t>
  </si>
  <si>
    <t>Adjust./Purchases</t>
  </si>
  <si>
    <t>Ammortisation &amp; Mortality</t>
  </si>
  <si>
    <t>Imported Sales</t>
  </si>
  <si>
    <t>Imported Rations</t>
  </si>
  <si>
    <t>Sage Figure</t>
  </si>
  <si>
    <t>Bio Assets At Cost - Local</t>
  </si>
  <si>
    <t>8194</t>
  </si>
  <si>
    <t>NCA - Local Sows, gilts, boars</t>
  </si>
  <si>
    <t>Bio Assets at Cost-Current</t>
  </si>
  <si>
    <t>8204</t>
  </si>
  <si>
    <t>CA - Growers  (Less than 18 weeks) - are these below 18 or even cost of those above 18 will be included?</t>
  </si>
  <si>
    <t>Bio Assets at Fair Value - Local</t>
  </si>
  <si>
    <t>8196</t>
  </si>
  <si>
    <t>Bio Assets at Fair Value-Current</t>
  </si>
  <si>
    <t>8206</t>
  </si>
  <si>
    <t>CA - Growers (more than 18 weeks)</t>
  </si>
  <si>
    <t>Bio Assets at Cost - Imported</t>
  </si>
  <si>
    <t>8191</t>
  </si>
  <si>
    <t>NCA - Imported Sows, gilts, boars</t>
  </si>
  <si>
    <t>Bio Assets Acc Amortisation - Imported</t>
  </si>
  <si>
    <t>8193</t>
  </si>
  <si>
    <t>RATIONS SPLIT</t>
  </si>
  <si>
    <t>COS Including Rations</t>
  </si>
  <si>
    <t>MORTALITY</t>
  </si>
  <si>
    <t>COS Excluding Rations</t>
  </si>
  <si>
    <t>AMORTISATION</t>
  </si>
  <si>
    <t>DEATH/MORTALITY</t>
  </si>
  <si>
    <t>AMM.</t>
  </si>
  <si>
    <t>NOPMORTALITY</t>
  </si>
  <si>
    <t>NOP AVAILABLE</t>
  </si>
  <si>
    <t>Mortalitty</t>
  </si>
  <si>
    <t>Amm</t>
  </si>
  <si>
    <t xml:space="preserve">Non Current </t>
  </si>
  <si>
    <t>L/Heads</t>
  </si>
  <si>
    <t>Ave Cost</t>
  </si>
  <si>
    <t>Opening stock</t>
  </si>
  <si>
    <t>Transfer in / Birth</t>
  </si>
  <si>
    <t xml:space="preserve">Feed Consumed </t>
  </si>
  <si>
    <t>Less: Mortality</t>
  </si>
  <si>
    <t>Transfers out Grasmere/ Quarantine</t>
  </si>
  <si>
    <t>Transfers out Richlands</t>
  </si>
  <si>
    <t xml:space="preserve">Transfers out Lionshead </t>
  </si>
  <si>
    <t>Transfers out Villa</t>
  </si>
  <si>
    <t>Closing stock</t>
  </si>
  <si>
    <t>FEED000017</t>
  </si>
  <si>
    <t>FEED000026</t>
  </si>
  <si>
    <t>FEED000027</t>
  </si>
  <si>
    <t>FEED000035</t>
  </si>
  <si>
    <t>FEED000039</t>
  </si>
  <si>
    <t>FEED000044</t>
  </si>
  <si>
    <t>FEED000045</t>
  </si>
  <si>
    <t>FEED000046</t>
  </si>
  <si>
    <t>FEED000049</t>
  </si>
  <si>
    <t>FEED000051</t>
  </si>
  <si>
    <t>FEED000052</t>
  </si>
  <si>
    <t>FEED000060</t>
  </si>
  <si>
    <t>FEED000029</t>
  </si>
  <si>
    <t>Cost of Feed Summary</t>
  </si>
  <si>
    <t xml:space="preserve">Weaner </t>
  </si>
  <si>
    <t>Weaner 2</t>
  </si>
  <si>
    <t>Super Flush</t>
  </si>
  <si>
    <t>Grower Finisher</t>
  </si>
  <si>
    <t>Lactate Sow</t>
  </si>
  <si>
    <t>Lactating Gilt</t>
  </si>
  <si>
    <t>Transition</t>
  </si>
  <si>
    <t>Gilt 1</t>
  </si>
  <si>
    <t>Gilt 2</t>
  </si>
  <si>
    <t>Gilt 3</t>
  </si>
  <si>
    <t>Gilt Flush</t>
  </si>
  <si>
    <t>Early Wean Lacto</t>
  </si>
  <si>
    <t>Creep Lacto</t>
  </si>
  <si>
    <t>Gilt 4</t>
  </si>
  <si>
    <t>Gilt 5</t>
  </si>
  <si>
    <t>Creep 1</t>
  </si>
  <si>
    <t>Creep 2</t>
  </si>
  <si>
    <t>Creep P3 Lacto</t>
  </si>
  <si>
    <t>AI Boar</t>
  </si>
  <si>
    <t>Creep 1 Lacto</t>
  </si>
  <si>
    <t>Creep 2 Lacto</t>
  </si>
  <si>
    <t>V 90 PLUS</t>
  </si>
  <si>
    <t>FINISHER PROMOTE</t>
  </si>
  <si>
    <t>CREEP 2 NOSILAC -BACTOFOS</t>
  </si>
  <si>
    <t>Creep 3 Nosilac No S Dry</t>
  </si>
  <si>
    <t>Gilt 2 No S Dry</t>
  </si>
  <si>
    <t>Grower 2 No S Dry</t>
  </si>
  <si>
    <t>Grower 3 No S Dry</t>
  </si>
  <si>
    <t>Grower Finisher No S Dry</t>
  </si>
  <si>
    <t>Weaner Caramel No S Dry</t>
  </si>
  <si>
    <t>Transition No S Dry</t>
  </si>
  <si>
    <t>Transition Medicated &amp; No S Dry</t>
  </si>
  <si>
    <t>Supa Flush Medicated No S Dry</t>
  </si>
  <si>
    <t>FINISHER/AI BOAR</t>
  </si>
  <si>
    <t>Feed Distrubution(Value)</t>
  </si>
  <si>
    <t>1to17</t>
  </si>
  <si>
    <t>Prefarrow</t>
  </si>
  <si>
    <t>18+</t>
  </si>
  <si>
    <t>Feed Consumed(Tons)</t>
  </si>
  <si>
    <t>Total Feed Consumed Vol</t>
  </si>
  <si>
    <t>Feed Consumed Gras</t>
  </si>
  <si>
    <t>Feed Consumed Villa</t>
  </si>
  <si>
    <t>Feed Consumed L/head</t>
  </si>
  <si>
    <t>Feed Consumed Rich</t>
  </si>
  <si>
    <t>Feed Consumed Learig</t>
  </si>
  <si>
    <t>Feed Consumed Selous</t>
  </si>
  <si>
    <t>Feed Consumed Lionshead Ext.</t>
  </si>
  <si>
    <t>Feed Consumed Porta</t>
  </si>
  <si>
    <t>Feed Consumed Multiplier</t>
  </si>
  <si>
    <t>Total Feed Consumed Val</t>
  </si>
  <si>
    <t>Total Cost/kg</t>
  </si>
  <si>
    <t>Feed Consumed Lionhead Ext.</t>
  </si>
  <si>
    <t>Sorghum</t>
  </si>
  <si>
    <t>Extruded Maize</t>
  </si>
  <si>
    <t>TRYTOPHANE</t>
  </si>
  <si>
    <t>Nosilac H.L</t>
  </si>
  <si>
    <t>Mechanical Soya</t>
  </si>
  <si>
    <t>Sunflower Oil Cake</t>
  </si>
  <si>
    <t>Extruded Full Fat Soya</t>
  </si>
  <si>
    <t>Barley</t>
  </si>
  <si>
    <t xml:space="preserve">Wheatbran </t>
  </si>
  <si>
    <t>Zinc oxide</t>
  </si>
  <si>
    <t>BACTOFOS</t>
  </si>
  <si>
    <t>Vigor P</t>
  </si>
  <si>
    <t xml:space="preserve">Calcitic Lime </t>
  </si>
  <si>
    <t>THREONINE</t>
  </si>
  <si>
    <t>BETTAFISH</t>
  </si>
  <si>
    <t>NEMOVIT WS 1KG</t>
  </si>
  <si>
    <t>Grower Top up</t>
  </si>
  <si>
    <t>OTC</t>
  </si>
  <si>
    <t>MHA METHIONINE NOVUS</t>
  </si>
  <si>
    <t>Caramel Flavorant</t>
  </si>
  <si>
    <t>Paylean</t>
  </si>
  <si>
    <t>Cooked  Barley</t>
  </si>
  <si>
    <t>Vevo Vital</t>
  </si>
  <si>
    <t>Valine</t>
  </si>
  <si>
    <t>Salcurb S Dry</t>
  </si>
  <si>
    <t>SOYA HULLS</t>
  </si>
  <si>
    <t>Mycofix Select 5.0</t>
  </si>
  <si>
    <t>Mycofix Plus 5.0</t>
  </si>
  <si>
    <t>Dextrose</t>
  </si>
  <si>
    <t>Tonisity</t>
  </si>
  <si>
    <t>Lysine HCL</t>
  </si>
  <si>
    <t>VALI MP ADDITIVE</t>
  </si>
  <si>
    <t>MANSILAC</t>
  </si>
  <si>
    <t>MCP</t>
  </si>
  <si>
    <t>Premixes</t>
  </si>
  <si>
    <t>P3 Lacto</t>
  </si>
  <si>
    <t>Promote</t>
  </si>
  <si>
    <t xml:space="preserve">Barley </t>
  </si>
  <si>
    <t>Cost of Feed per kg($)</t>
  </si>
  <si>
    <t>Pig Feed Produced(Tonnage)</t>
  </si>
  <si>
    <t>Cost ($)</t>
  </si>
  <si>
    <t>Loss</t>
  </si>
  <si>
    <t>Loss Percentage</t>
  </si>
  <si>
    <t>Feed Distrubution(Tons)</t>
  </si>
  <si>
    <t>Grasmere Farm(GRM)</t>
  </si>
  <si>
    <t>Villa Franca(VF)</t>
  </si>
  <si>
    <t>Lion Head (LH)</t>
  </si>
  <si>
    <t>Richlands (RL)</t>
  </si>
  <si>
    <t>Lionhead Extension (LHE)</t>
  </si>
  <si>
    <t>Total Tons Distrubuted</t>
  </si>
  <si>
    <t>Cost of Feed</t>
  </si>
  <si>
    <t>Lionhead Extension</t>
  </si>
  <si>
    <t>Total Tonnage</t>
  </si>
  <si>
    <t>Add:Opening Villa Feed</t>
  </si>
  <si>
    <t>Add:Opening L/Head Feed</t>
  </si>
  <si>
    <t>Add:Opening Richlands</t>
  </si>
  <si>
    <t>Add:Opening Learig Feed</t>
  </si>
  <si>
    <t>Add:Opening Selous Feed</t>
  </si>
  <si>
    <t>Add:Opening Lionhead Extension</t>
  </si>
  <si>
    <t>Add:Opening Porta</t>
  </si>
  <si>
    <t>Less.Villa Feed in Stock</t>
  </si>
  <si>
    <t>Less:L/ Head Feed in Stock</t>
  </si>
  <si>
    <t>Less:Richlands Stock</t>
  </si>
  <si>
    <t>Less:Learig Stock</t>
  </si>
  <si>
    <t>Less:Selous Stock</t>
  </si>
  <si>
    <t>Less:Lionhead Extension Feed</t>
  </si>
  <si>
    <t>Less:Porta</t>
  </si>
  <si>
    <t>Cattle Feed</t>
  </si>
  <si>
    <t>kg</t>
  </si>
  <si>
    <t>USD/kg</t>
  </si>
  <si>
    <t>Wheatbran</t>
  </si>
  <si>
    <t>Calcitic Lime</t>
  </si>
  <si>
    <t>Mechanical Soya(ME)</t>
  </si>
  <si>
    <t>Salt</t>
  </si>
  <si>
    <t>Closing Stock-Lion Head/Villa/Douglyn(Tonnes)</t>
  </si>
  <si>
    <t>Less:Lion Head Feed in Stock</t>
  </si>
  <si>
    <t>Less:Richlands</t>
  </si>
  <si>
    <t>Less:Learig</t>
  </si>
  <si>
    <t>Less:Selous</t>
  </si>
  <si>
    <t>Less LionHead Extension Feed in stock</t>
  </si>
  <si>
    <t>Less Porta  Feed in stock</t>
  </si>
  <si>
    <t>Less:Lion Head Feed in Stock d</t>
  </si>
  <si>
    <t>Less:Richlands d</t>
  </si>
  <si>
    <t>Less:  Learig d</t>
  </si>
  <si>
    <t>Less: Selous d</t>
  </si>
  <si>
    <t>Less:Lionshead Ext.</t>
  </si>
  <si>
    <t>Prior Month</t>
  </si>
  <si>
    <t>Feed Allocation</t>
  </si>
  <si>
    <t>NOP</t>
  </si>
  <si>
    <t>August Reversal</t>
  </si>
  <si>
    <t>Piglets Recon August</t>
  </si>
  <si>
    <t>Total born</t>
  </si>
  <si>
    <t>Born dead</t>
  </si>
  <si>
    <t>F1 weaner</t>
  </si>
  <si>
    <t>Weaner</t>
  </si>
  <si>
    <t>Pigs out</t>
  </si>
  <si>
    <t>Stocktake</t>
  </si>
  <si>
    <t>Varience</t>
  </si>
  <si>
    <t xml:space="preserve">Sows </t>
  </si>
  <si>
    <t>July stock</t>
  </si>
  <si>
    <t>FH1</t>
  </si>
  <si>
    <t>FH2</t>
  </si>
  <si>
    <t>FH3</t>
  </si>
  <si>
    <t>FH4</t>
  </si>
  <si>
    <t>FH5</t>
  </si>
  <si>
    <t>July variance</t>
  </si>
  <si>
    <t>Piglets Recon September</t>
  </si>
  <si>
    <t>sows</t>
  </si>
  <si>
    <t>Sow</t>
  </si>
  <si>
    <t>DS1</t>
  </si>
  <si>
    <t>DS2</t>
  </si>
  <si>
    <t>F1WE</t>
  </si>
  <si>
    <t>F1G</t>
  </si>
  <si>
    <t>Piglets Recon  December</t>
  </si>
  <si>
    <t>Pigs In</t>
  </si>
  <si>
    <t>Lions Head</t>
  </si>
  <si>
    <t xml:space="preserve"> n</t>
  </si>
  <si>
    <t>Livestock Statistics</t>
  </si>
  <si>
    <t>Opening Balance</t>
  </si>
  <si>
    <t>Transfers In</t>
  </si>
  <si>
    <t>Sales - Colcom</t>
  </si>
  <si>
    <t>Sales Other</t>
  </si>
  <si>
    <t>Transfers Out</t>
  </si>
  <si>
    <t>Closing balance</t>
  </si>
  <si>
    <t>STOCK REGISTER</t>
  </si>
  <si>
    <t>GROWER SITE</t>
  </si>
  <si>
    <t>Date</t>
  </si>
  <si>
    <t>Bal B/F</t>
  </si>
  <si>
    <t>Culls</t>
  </si>
  <si>
    <t>Reason</t>
  </si>
  <si>
    <t>Sign</t>
  </si>
  <si>
    <t>Sales to Colm</t>
  </si>
  <si>
    <t>Bal C/F</t>
  </si>
  <si>
    <t>26/03/08</t>
  </si>
  <si>
    <t>01/04/08</t>
  </si>
  <si>
    <t>02</t>
  </si>
  <si>
    <t>03</t>
  </si>
  <si>
    <t>04</t>
  </si>
  <si>
    <t>05</t>
  </si>
  <si>
    <t>06</t>
  </si>
  <si>
    <t>07</t>
  </si>
  <si>
    <t>08</t>
  </si>
  <si>
    <t>09</t>
  </si>
  <si>
    <t>01/08/08</t>
  </si>
  <si>
    <t>01/12/08</t>
  </si>
  <si>
    <t>Cut Off Adjmnts</t>
  </si>
  <si>
    <t>Died at colcom</t>
  </si>
  <si>
    <t>Stolen</t>
  </si>
  <si>
    <t>01/01/08</t>
  </si>
  <si>
    <t>01/02/09</t>
  </si>
  <si>
    <t>April 2009</t>
  </si>
  <si>
    <t>01/04/09</t>
  </si>
  <si>
    <t>Sept 19</t>
  </si>
  <si>
    <t>s</t>
  </si>
  <si>
    <t>Stock Adjmnt</t>
  </si>
  <si>
    <t>Piglets Recon</t>
  </si>
  <si>
    <t>Sows in</t>
  </si>
  <si>
    <t>DH1</t>
  </si>
  <si>
    <t>DH2</t>
  </si>
  <si>
    <t>DH3</t>
  </si>
  <si>
    <t>DH4</t>
  </si>
  <si>
    <t>DH5</t>
  </si>
  <si>
    <t>Cull hous</t>
  </si>
  <si>
    <t>Pet food</t>
  </si>
  <si>
    <t>Colcon</t>
  </si>
  <si>
    <t>*</t>
  </si>
  <si>
    <t>CCC CATTLE</t>
  </si>
  <si>
    <t>DIRECT COSTS</t>
  </si>
  <si>
    <t>STOCKFEEDS</t>
  </si>
  <si>
    <t>JOURNALS</t>
  </si>
  <si>
    <t>7720/020</t>
  </si>
  <si>
    <t>7720/040</t>
  </si>
  <si>
    <t>7720/050</t>
  </si>
  <si>
    <t>170/055</t>
  </si>
  <si>
    <t>170/065</t>
  </si>
  <si>
    <t>TRIPLE C PIGS - Grasmere Farm</t>
  </si>
  <si>
    <t>JOURNAL  VOUCHER NO ……………….</t>
  </si>
  <si>
    <t>Period ……………………………………………………</t>
  </si>
  <si>
    <t>G\L CODE</t>
  </si>
  <si>
    <t>DEBIT</t>
  </si>
  <si>
    <t>CREDIT</t>
  </si>
  <si>
    <t>5200/002</t>
  </si>
  <si>
    <t>5200/003</t>
  </si>
  <si>
    <t>5200/004</t>
  </si>
  <si>
    <t>5200/005</t>
  </si>
  <si>
    <t>5200/006</t>
  </si>
  <si>
    <t>5200/001</t>
  </si>
  <si>
    <t>5100/004</t>
  </si>
  <si>
    <t>2000/001</t>
  </si>
  <si>
    <t>Feed Ingredients Maize</t>
  </si>
  <si>
    <t>2000/002</t>
  </si>
  <si>
    <t>Feed Ingredients Soya</t>
  </si>
  <si>
    <t>2000/003</t>
  </si>
  <si>
    <t>Feed Ingredients Other</t>
  </si>
  <si>
    <t>5100/007</t>
  </si>
  <si>
    <t>5100/002</t>
  </si>
  <si>
    <t>5100/003</t>
  </si>
  <si>
    <t>5100/005</t>
  </si>
  <si>
    <t>Rogate</t>
  </si>
  <si>
    <t>5100/006</t>
  </si>
  <si>
    <t>5100/019</t>
  </si>
  <si>
    <t>5100/009</t>
  </si>
  <si>
    <t>5100/008</t>
  </si>
  <si>
    <t>5100/010</t>
  </si>
  <si>
    <t>5100/011</t>
  </si>
  <si>
    <t>5100/021</t>
  </si>
  <si>
    <t>5100/022</t>
  </si>
  <si>
    <t>5100/012</t>
  </si>
  <si>
    <t>1100/001</t>
  </si>
  <si>
    <t>Cost of Sales</t>
  </si>
  <si>
    <t>2200/018</t>
  </si>
  <si>
    <t>Staff Welfare</t>
  </si>
  <si>
    <t>TOTALS</t>
  </si>
  <si>
    <t>NARRATION……Being Livestock Movements for the month………………………….</t>
  </si>
  <si>
    <t>………………………………………………………………………………………………..</t>
  </si>
  <si>
    <t>COMPILED BY …………………...….…………...……………………………………..</t>
  </si>
  <si>
    <t>AUTHORISED BY ………………………………………………………………………………</t>
  </si>
  <si>
    <t>5200/008</t>
  </si>
  <si>
    <t>Weaners IAS 41 Value</t>
  </si>
  <si>
    <t>5200/009</t>
  </si>
  <si>
    <t>Growers IAS 41 Value</t>
  </si>
  <si>
    <t>5200/010</t>
  </si>
  <si>
    <t>Gilts IAS 41 Value</t>
  </si>
  <si>
    <t>5200/011</t>
  </si>
  <si>
    <t>Sows IAS 41 Value</t>
  </si>
  <si>
    <t>5200/012</t>
  </si>
  <si>
    <t>Boars IAS 41 Values</t>
  </si>
  <si>
    <t>5200/007</t>
  </si>
  <si>
    <t>Piglets IAS 41 Value</t>
  </si>
  <si>
    <t>1100/002</t>
  </si>
  <si>
    <t>Cost Of Sales  IAS 41 Values</t>
  </si>
  <si>
    <t>1200/001</t>
  </si>
  <si>
    <t>Gain on Livestock Revaluation</t>
  </si>
  <si>
    <t>TRIPLE C PIGS - Tradewinds</t>
  </si>
  <si>
    <t>Seaforth Farm</t>
  </si>
  <si>
    <t>5100/001</t>
  </si>
  <si>
    <t>Cost of Sales / Purchases</t>
  </si>
  <si>
    <t>Cost of Sales IAS 41 Values</t>
  </si>
  <si>
    <t>TRIPLE C PIGS - Zimbo</t>
  </si>
  <si>
    <t>Seaforth farm</t>
  </si>
  <si>
    <t>Gilts IAS 41 Values</t>
  </si>
  <si>
    <t>Sows IAS 41 Values</t>
  </si>
  <si>
    <t>Piglets IAS 41 Values</t>
  </si>
  <si>
    <t>TRIPLE C PIGS - Rogate</t>
  </si>
  <si>
    <t>…………………………………………………………………………………………………….</t>
  </si>
  <si>
    <t>COMPILED BY …………………...….…………...…………………………………………….</t>
  </si>
  <si>
    <t>TRIPLE C PIGS - Quarantine</t>
  </si>
  <si>
    <t>Boars IAS 41 Value</t>
  </si>
  <si>
    <t>Debtors</t>
  </si>
  <si>
    <t>TRIPLE C PIGS - OSWA</t>
  </si>
  <si>
    <t>Welfare General</t>
  </si>
  <si>
    <t>2300/041</t>
  </si>
  <si>
    <t>Other stock gain or loss</t>
  </si>
  <si>
    <t>2300/031</t>
  </si>
  <si>
    <t>Rental Charge</t>
  </si>
  <si>
    <t>2300/056</t>
  </si>
  <si>
    <t>Rental/ Mgmt Fees</t>
  </si>
  <si>
    <t>TRIPLE C PIGS - UMFULI BANKS</t>
  </si>
  <si>
    <t xml:space="preserve">Cost of Sales </t>
  </si>
  <si>
    <t>Growers IAS 41 Values</t>
  </si>
  <si>
    <t>TRIPLE C PIGS - SEAFORTH</t>
  </si>
  <si>
    <t>Weaner IAS 41 Values</t>
  </si>
  <si>
    <t>TRIPLE C PIGS - MOONFARM</t>
  </si>
  <si>
    <t>TRIPLE C PIGS - CATTLE</t>
  </si>
  <si>
    <t>Bulling Heifers IAS 41 Values</t>
  </si>
  <si>
    <t>Weaner Heifers (6-12mths) IAS 41 Values</t>
  </si>
  <si>
    <t>Cost Of Sales</t>
  </si>
  <si>
    <t>Steers IAS 41 Values</t>
  </si>
  <si>
    <t>Cows IAS 41 Values</t>
  </si>
  <si>
    <t>Bulls IAS 41 Values</t>
  </si>
  <si>
    <t>TRIPLE C PIGS - DZUMBUNU</t>
  </si>
  <si>
    <t>TRIPLE C PIGS - CLIFTON</t>
  </si>
  <si>
    <t>Grower</t>
  </si>
  <si>
    <t>Grower IAS 41 Values</t>
  </si>
  <si>
    <t>TRIPLE C PIGS - COLDSTREAM</t>
  </si>
  <si>
    <t>GRASMERE FARM - CATTLE IAS 41 MOVEMENT</t>
  </si>
  <si>
    <t>NARRATION…………………………………………..……….………………………….</t>
  </si>
  <si>
    <t>Growers Analysis</t>
  </si>
  <si>
    <t>Pigs Out</t>
  </si>
  <si>
    <t>Sales To Colcom</t>
  </si>
  <si>
    <t>Service Slaughter</t>
  </si>
  <si>
    <t>Sell Of Gilts</t>
  </si>
  <si>
    <t>Transfers To Outgrowers</t>
  </si>
  <si>
    <t>Staff Rations</t>
  </si>
  <si>
    <t>Grower 11</t>
  </si>
  <si>
    <t>Grower 13</t>
  </si>
  <si>
    <t>Grower 14</t>
  </si>
  <si>
    <t>PIGS TAKEN ON BY LYNIAN</t>
  </si>
  <si>
    <t>LYNIAN - EX ZIMBO</t>
  </si>
  <si>
    <t>Number of Pigs</t>
  </si>
  <si>
    <t>Total LWT</t>
  </si>
  <si>
    <t>Price</t>
  </si>
  <si>
    <t>LYNIAN - EX ROGATE</t>
  </si>
  <si>
    <t>Total Value</t>
  </si>
  <si>
    <t>Total Birth</t>
  </si>
  <si>
    <t>Born Dead Piglets</t>
  </si>
  <si>
    <t>Death Piglets</t>
  </si>
  <si>
    <t>Death - Sows &amp; Gilts</t>
  </si>
  <si>
    <t>Other Sales</t>
  </si>
  <si>
    <t>Transfer to Weaner</t>
  </si>
  <si>
    <t>Transfer to Villa</t>
  </si>
  <si>
    <t>Made Up Of</t>
  </si>
  <si>
    <t>Stock count</t>
  </si>
  <si>
    <t>Opening stock made up of</t>
  </si>
  <si>
    <t>FAH</t>
  </si>
  <si>
    <t xml:space="preserve">Gilts </t>
  </si>
  <si>
    <t>DSH 1</t>
  </si>
  <si>
    <t>DSH 2</t>
  </si>
  <si>
    <t>DSH 3</t>
  </si>
  <si>
    <t>CS</t>
  </si>
  <si>
    <t>DSH 4</t>
  </si>
  <si>
    <t>DSH 5</t>
  </si>
  <si>
    <t>F 1</t>
  </si>
  <si>
    <t>F 2</t>
  </si>
  <si>
    <t>F 3</t>
  </si>
  <si>
    <t>F 4</t>
  </si>
  <si>
    <t>F 5</t>
  </si>
  <si>
    <t>F Acc 6</t>
  </si>
  <si>
    <t>TOT BORN</t>
  </si>
  <si>
    <t>BRN DEAD</t>
  </si>
  <si>
    <t>PIHS OUT</t>
  </si>
  <si>
    <t>SOWS OUT</t>
  </si>
  <si>
    <t>CULL HSE</t>
  </si>
  <si>
    <t>Dry sow 1</t>
  </si>
  <si>
    <t>Dry sow 2</t>
  </si>
  <si>
    <t>Dry sow 3</t>
  </si>
  <si>
    <t>Dry sow 4</t>
  </si>
  <si>
    <t>Dry sow 5</t>
  </si>
  <si>
    <t>F1Gr</t>
  </si>
  <si>
    <t>TOT Born</t>
  </si>
  <si>
    <t>BRn Dead</t>
  </si>
  <si>
    <t>DOAs &amp; DIPs</t>
  </si>
  <si>
    <t>Diffrence</t>
  </si>
  <si>
    <t>FARM SALES</t>
  </si>
  <si>
    <t>RATION</t>
  </si>
  <si>
    <t>STOCK COUNT</t>
  </si>
  <si>
    <t>DIFF</t>
  </si>
  <si>
    <t>p.FOOD</t>
  </si>
  <si>
    <t>L/h</t>
  </si>
  <si>
    <t>-54 Villa Franca</t>
  </si>
  <si>
    <t>-14 Lion Head</t>
  </si>
  <si>
    <t>Lion Head sows</t>
  </si>
  <si>
    <t>RATION &amp; Donations</t>
  </si>
  <si>
    <t>opening</t>
  </si>
  <si>
    <t>tot</t>
  </si>
  <si>
    <t>brn dead</t>
  </si>
  <si>
    <t>death</t>
  </si>
  <si>
    <t>pigs out</t>
  </si>
  <si>
    <t>out</t>
  </si>
  <si>
    <t>Pu=iglets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</si>
</sst>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#,##0.00000_);[Red]\(#,##0.00000\)"/>
    <numFmt numFmtId="167" formatCode="_(&quot;$&quot;* #,##0_);_(&quot;$&quot;* \(#,##0\);_(&quot;$&quot;* &quot;-&quot;??_);_(@_)"/>
    <numFmt numFmtId="168" formatCode="0.000"/>
    <numFmt numFmtId="169" formatCode="[$-409]mmmm/yy;@"/>
    <numFmt numFmtId="170" formatCode="#,##0.0000000000_ ;[Red]\-#,##0.0000000000\ "/>
    <numFmt numFmtId="171" formatCode="#,##0.000000000_);[Red]\(#,##0.000000000\)"/>
    <numFmt numFmtId="172" formatCode="#,##0.00_ ;\-#,##0.00\ "/>
    <numFmt numFmtId="173" formatCode="00,000,000.00"/>
    <numFmt numFmtId="174" formatCode="#,##0.0"/>
    <numFmt numFmtId="175" formatCode="_-* #,##0_-;\-* #,##0_-;_-* &quot;-&quot;??_-;_-@_-"/>
    <numFmt numFmtId="176" formatCode="_(* #,##0.000_);_(* \(#,##0.000\);_(* &quot;-&quot;??_);_(@_)"/>
    <numFmt numFmtId="177" formatCode="_(* #,##0.00000_);_(* \(#,##0.00000\);_(* &quot;-&quot;??_);_(@_)"/>
    <numFmt numFmtId="178" formatCode="_(* #,##0.000000_);_(* \(#,##0.000000\);_(* &quot;-&quot;??_);_(@_)"/>
    <numFmt numFmtId="179" formatCode="_(* #,##0.0_);_(* \(#,##0.0\);_(* &quot;-&quot;??_);_(@_)"/>
    <numFmt numFmtId="180" formatCode="0_);\(0\)"/>
    <numFmt numFmtId="181" formatCode="[$-3009]dd\-mmm\-yy;@"/>
    <numFmt numFmtId="182" formatCode="[$-409]d\-mmm\-yy;@"/>
  </numFmts>
  <fonts count="9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2"/>
      <name val="Tahoma"/>
      <family val="2"/>
    </font>
    <font>
      <sz val="12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10"/>
      <name val="Arial"/>
      <family val="2"/>
    </font>
    <font>
      <sz val="10"/>
      <color indexed="10"/>
      <name val="Times New Roman"/>
      <family val="1"/>
    </font>
    <font>
      <sz val="10"/>
      <color indexed="14"/>
      <name val="Arial"/>
      <family val="2"/>
    </font>
    <font>
      <sz val="10"/>
      <color indexed="53"/>
      <name val="Arial"/>
      <family val="2"/>
    </font>
    <font>
      <sz val="10"/>
      <color indexed="59"/>
      <name val="Arial"/>
      <family val="2"/>
    </font>
    <font>
      <sz val="10"/>
      <color indexed="11"/>
      <name val="Arial"/>
      <family val="2"/>
    </font>
    <font>
      <sz val="10"/>
      <color indexed="42"/>
      <name val="Arial"/>
      <family val="2"/>
    </font>
    <font>
      <sz val="10"/>
      <color indexed="15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2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sz val="14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14"/>
      <name val="Tahoma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Tahoma"/>
      <family val="2"/>
    </font>
    <font>
      <b/>
      <sz val="11"/>
      <name val="Tahoma"/>
      <family val="2"/>
    </font>
    <font>
      <b/>
      <sz val="11"/>
      <color theme="1"/>
      <name val="Arial"/>
      <family val="2"/>
    </font>
    <font>
      <b/>
      <u val="singleAccounting"/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5" tint="-0.249977111117893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u/>
      <sz val="12"/>
      <name val="Arial"/>
      <family val="2"/>
    </font>
    <font>
      <b/>
      <sz val="11"/>
      <color theme="4"/>
      <name val="Calibri"/>
      <family val="2"/>
      <scheme val="minor"/>
    </font>
    <font>
      <sz val="10"/>
      <color rgb="FF00B050"/>
      <name val="Arial"/>
      <family val="2"/>
    </font>
    <font>
      <sz val="9"/>
      <color theme="1"/>
      <name val="Arial Unicode MS"/>
      <family val="2"/>
    </font>
    <font>
      <sz val="9"/>
      <color rgb="FFFF0000"/>
      <name val="Arial Unicode MS"/>
      <family val="2"/>
    </font>
    <font>
      <sz val="10"/>
      <color rgb="FFFF0000"/>
      <name val="Arial Unicode MS"/>
      <family val="2"/>
    </font>
    <font>
      <u/>
      <sz val="10"/>
      <name val="Arial Unicode MS"/>
      <family val="2"/>
    </font>
    <font>
      <sz val="9"/>
      <name val="Arial Unicode MS"/>
      <family val="2"/>
    </font>
    <font>
      <b/>
      <sz val="9"/>
      <color theme="1"/>
      <name val="Arial Unicode MS"/>
      <family val="2"/>
    </font>
    <font>
      <sz val="8.5"/>
      <name val="Arial Unicode MS"/>
      <family val="2"/>
    </font>
    <font>
      <b/>
      <sz val="9"/>
      <name val="Arial Unicode MS"/>
      <family val="2"/>
    </font>
    <font>
      <u/>
      <sz val="9"/>
      <color theme="1"/>
      <name val="Arial Unicode MS"/>
      <family val="2"/>
    </font>
    <font>
      <b/>
      <sz val="9"/>
      <color rgb="FFFF0000"/>
      <name val="Arial Unicode MS"/>
      <family val="2"/>
    </font>
    <font>
      <u/>
      <sz val="9"/>
      <name val="Arial Unicode MS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9"/>
      <color theme="0"/>
      <name val="Arial Unicode MS"/>
      <family val="2"/>
    </font>
    <font>
      <b/>
      <sz val="14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u/>
      <sz val="10"/>
      <color theme="1"/>
      <name val="Arial Unicode MS"/>
      <family val="2"/>
    </font>
    <font>
      <sz val="8"/>
      <color rgb="FF000000"/>
      <name val="Arial"/>
      <family val="2"/>
    </font>
    <font>
      <b/>
      <sz val="9"/>
      <color theme="9" tint="-0.249977111117893"/>
      <name val="Arial Unicode MS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42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43" fillId="0" borderId="0">
      <alignment vertical="top"/>
    </xf>
    <xf numFmtId="43" fontId="53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5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78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165" fontId="0" fillId="0" borderId="5" xfId="1" applyNumberFormat="1" applyFont="1" applyBorder="1"/>
    <xf numFmtId="165" fontId="0" fillId="0" borderId="6" xfId="1" applyNumberFormat="1" applyFont="1" applyBorder="1"/>
    <xf numFmtId="165" fontId="0" fillId="0" borderId="7" xfId="1" applyNumberFormat="1" applyFont="1" applyBorder="1"/>
    <xf numFmtId="165" fontId="3" fillId="0" borderId="13" xfId="1" applyNumberFormat="1" applyFont="1" applyBorder="1"/>
    <xf numFmtId="165" fontId="3" fillId="0" borderId="3" xfId="1" applyNumberFormat="1" applyFont="1" applyBorder="1"/>
    <xf numFmtId="165" fontId="3" fillId="0" borderId="14" xfId="1" applyNumberFormat="1" applyFont="1" applyBorder="1"/>
    <xf numFmtId="0" fontId="3" fillId="0" borderId="1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3" fillId="0" borderId="0" xfId="0" applyFont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5" fillId="0" borderId="0" xfId="0" applyFont="1"/>
    <xf numFmtId="165" fontId="3" fillId="0" borderId="16" xfId="1" applyNumberFormat="1" applyFont="1" applyBorder="1"/>
    <xf numFmtId="0" fontId="3" fillId="0" borderId="16" xfId="0" applyFont="1" applyBorder="1" applyAlignment="1">
      <alignment horizontal="center" wrapText="1"/>
    </xf>
    <xf numFmtId="165" fontId="0" fillId="0" borderId="17" xfId="1" applyNumberFormat="1" applyFont="1" applyBorder="1"/>
    <xf numFmtId="165" fontId="3" fillId="0" borderId="11" xfId="1" applyNumberFormat="1" applyFont="1" applyBorder="1"/>
    <xf numFmtId="165" fontId="0" fillId="0" borderId="0" xfId="0" applyNumberFormat="1"/>
    <xf numFmtId="43" fontId="0" fillId="0" borderId="0" xfId="1" applyFont="1"/>
    <xf numFmtId="43" fontId="0" fillId="0" borderId="0" xfId="0" applyNumberFormat="1"/>
    <xf numFmtId="0" fontId="6" fillId="0" borderId="0" xfId="0" applyFont="1"/>
    <xf numFmtId="165" fontId="0" fillId="0" borderId="6" xfId="1" applyNumberFormat="1" applyFont="1" applyFill="1" applyBorder="1"/>
    <xf numFmtId="165" fontId="3" fillId="0" borderId="6" xfId="1" applyNumberFormat="1" applyFont="1" applyFill="1" applyBorder="1"/>
    <xf numFmtId="165" fontId="0" fillId="0" borderId="7" xfId="1" applyNumberFormat="1" applyFont="1" applyFill="1" applyBorder="1"/>
    <xf numFmtId="0" fontId="3" fillId="0" borderId="19" xfId="0" applyFont="1" applyBorder="1" applyAlignment="1">
      <alignment horizontal="right"/>
    </xf>
    <xf numFmtId="165" fontId="7" fillId="0" borderId="9" xfId="1" applyNumberFormat="1" applyFont="1" applyFill="1" applyBorder="1"/>
    <xf numFmtId="43" fontId="3" fillId="0" borderId="0" xfId="1" applyFont="1"/>
    <xf numFmtId="43" fontId="5" fillId="0" borderId="0" xfId="1" applyFont="1"/>
    <xf numFmtId="43" fontId="6" fillId="0" borderId="20" xfId="1" applyFont="1" applyFill="1" applyBorder="1"/>
    <xf numFmtId="43" fontId="0" fillId="0" borderId="21" xfId="1" applyFont="1" applyBorder="1"/>
    <xf numFmtId="43" fontId="0" fillId="0" borderId="21" xfId="0" applyNumberFormat="1" applyBorder="1"/>
    <xf numFmtId="165" fontId="3" fillId="0" borderId="16" xfId="1" applyNumberFormat="1" applyFont="1" applyFill="1" applyBorder="1"/>
    <xf numFmtId="43" fontId="9" fillId="0" borderId="0" xfId="1" applyFont="1" applyFill="1"/>
    <xf numFmtId="13" fontId="9" fillId="0" borderId="0" xfId="1" quotePrefix="1" applyNumberFormat="1" applyFont="1" applyFill="1"/>
    <xf numFmtId="43" fontId="9" fillId="0" borderId="0" xfId="1" applyFont="1"/>
    <xf numFmtId="43" fontId="0" fillId="0" borderId="22" xfId="1" applyFont="1" applyBorder="1"/>
    <xf numFmtId="43" fontId="0" fillId="0" borderId="22" xfId="0" applyNumberFormat="1" applyBorder="1"/>
    <xf numFmtId="43" fontId="0" fillId="0" borderId="0" xfId="1" applyFont="1" applyBorder="1"/>
    <xf numFmtId="43" fontId="11" fillId="0" borderId="0" xfId="1" applyFont="1" applyFill="1"/>
    <xf numFmtId="0" fontId="0" fillId="0" borderId="0" xfId="0" quotePrefix="1"/>
    <xf numFmtId="165" fontId="3" fillId="0" borderId="0" xfId="1" applyNumberFormat="1" applyFont="1" applyFill="1" applyBorder="1"/>
    <xf numFmtId="43" fontId="18" fillId="0" borderId="0" xfId="0" applyNumberFormat="1" applyFont="1"/>
    <xf numFmtId="165" fontId="0" fillId="0" borderId="17" xfId="1" applyNumberFormat="1" applyFont="1" applyFill="1" applyBorder="1"/>
    <xf numFmtId="165" fontId="3" fillId="0" borderId="0" xfId="0" applyNumberFormat="1" applyFont="1"/>
    <xf numFmtId="165" fontId="5" fillId="0" borderId="0" xfId="0" applyNumberFormat="1" applyFont="1"/>
    <xf numFmtId="43" fontId="3" fillId="0" borderId="0" xfId="0" applyNumberFormat="1" applyFont="1"/>
    <xf numFmtId="43" fontId="3" fillId="0" borderId="0" xfId="1" applyFont="1" applyFill="1"/>
    <xf numFmtId="0" fontId="3" fillId="0" borderId="23" xfId="0" applyFont="1" applyBorder="1"/>
    <xf numFmtId="0" fontId="0" fillId="0" borderId="24" xfId="0" applyBorder="1"/>
    <xf numFmtId="0" fontId="0" fillId="0" borderId="25" xfId="0" applyBorder="1"/>
    <xf numFmtId="0" fontId="3" fillId="0" borderId="13" xfId="0" applyFont="1" applyBorder="1"/>
    <xf numFmtId="165" fontId="3" fillId="0" borderId="13" xfId="1" applyNumberFormat="1" applyFont="1" applyFill="1" applyBorder="1"/>
    <xf numFmtId="3" fontId="0" fillId="0" borderId="0" xfId="0" applyNumberFormat="1"/>
    <xf numFmtId="43" fontId="0" fillId="0" borderId="17" xfId="1" applyFont="1" applyFill="1" applyBorder="1"/>
    <xf numFmtId="0" fontId="3" fillId="0" borderId="0" xfId="1" applyNumberFormat="1" applyFont="1" applyFill="1" applyBorder="1"/>
    <xf numFmtId="0" fontId="0" fillId="0" borderId="6" xfId="1" applyNumberFormat="1" applyFont="1" applyFill="1" applyBorder="1"/>
    <xf numFmtId="43" fontId="3" fillId="0" borderId="0" xfId="1" applyFont="1" applyFill="1" applyBorder="1"/>
    <xf numFmtId="43" fontId="8" fillId="0" borderId="22" xfId="0" applyNumberFormat="1" applyFont="1" applyBorder="1"/>
    <xf numFmtId="41" fontId="0" fillId="0" borderId="0" xfId="0" applyNumberFormat="1"/>
    <xf numFmtId="0" fontId="10" fillId="0" borderId="0" xfId="0" applyFont="1"/>
    <xf numFmtId="43" fontId="10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43" fontId="15" fillId="0" borderId="0" xfId="0" applyNumberFormat="1" applyFont="1"/>
    <xf numFmtId="0" fontId="16" fillId="0" borderId="0" xfId="0" applyFont="1"/>
    <xf numFmtId="0" fontId="17" fillId="0" borderId="0" xfId="0" applyFont="1"/>
    <xf numFmtId="0" fontId="8" fillId="0" borderId="0" xfId="0" applyFont="1"/>
    <xf numFmtId="43" fontId="0" fillId="0" borderId="0" xfId="1" applyFont="1" applyFill="1"/>
    <xf numFmtId="165" fontId="0" fillId="0" borderId="22" xfId="0" applyNumberFormat="1" applyBorder="1"/>
    <xf numFmtId="166" fontId="0" fillId="0" borderId="0" xfId="0" applyNumberFormat="1"/>
    <xf numFmtId="165" fontId="0" fillId="0" borderId="0" xfId="1" applyNumberFormat="1" applyFont="1" applyFill="1"/>
    <xf numFmtId="40" fontId="0" fillId="0" borderId="0" xfId="1" applyNumberFormat="1" applyFont="1"/>
    <xf numFmtId="40" fontId="0" fillId="0" borderId="0" xfId="0" applyNumberFormat="1"/>
    <xf numFmtId="0" fontId="20" fillId="0" borderId="0" xfId="0" applyFont="1"/>
    <xf numFmtId="38" fontId="3" fillId="0" borderId="0" xfId="0" applyNumberFormat="1" applyFont="1" applyAlignment="1">
      <alignment horizontal="center"/>
    </xf>
    <xf numFmtId="38" fontId="0" fillId="0" borderId="0" xfId="0" applyNumberFormat="1" applyAlignment="1">
      <alignment horizontal="center"/>
    </xf>
    <xf numFmtId="0" fontId="3" fillId="0" borderId="16" xfId="0" applyFont="1" applyBorder="1" applyAlignment="1">
      <alignment horizontal="right"/>
    </xf>
    <xf numFmtId="38" fontId="0" fillId="0" borderId="9" xfId="0" applyNumberFormat="1" applyBorder="1" applyAlignment="1">
      <alignment horizontal="center"/>
    </xf>
    <xf numFmtId="38" fontId="3" fillId="0" borderId="3" xfId="0" applyNumberFormat="1" applyFont="1" applyBorder="1" applyAlignment="1">
      <alignment horizontal="center"/>
    </xf>
    <xf numFmtId="43" fontId="8" fillId="0" borderId="0" xfId="0" applyNumberFormat="1" applyFont="1"/>
    <xf numFmtId="165" fontId="0" fillId="0" borderId="0" xfId="1" applyNumberFormat="1" applyFont="1"/>
    <xf numFmtId="0" fontId="3" fillId="0" borderId="0" xfId="0" applyFont="1" applyAlignment="1">
      <alignment horizontal="right"/>
    </xf>
    <xf numFmtId="38" fontId="3" fillId="0" borderId="16" xfId="0" applyNumberFormat="1" applyFont="1" applyBorder="1" applyAlignment="1">
      <alignment horizontal="center"/>
    </xf>
    <xf numFmtId="43" fontId="0" fillId="0" borderId="0" xfId="1" applyFont="1" applyAlignment="1">
      <alignment horizontal="center"/>
    </xf>
    <xf numFmtId="0" fontId="3" fillId="0" borderId="20" xfId="0" applyFont="1" applyBorder="1"/>
    <xf numFmtId="38" fontId="3" fillId="0" borderId="4" xfId="0" applyNumberFormat="1" applyFont="1" applyBorder="1" applyAlignment="1">
      <alignment horizontal="center" wrapText="1"/>
    </xf>
    <xf numFmtId="38" fontId="3" fillId="0" borderId="1" xfId="0" applyNumberFormat="1" applyFont="1" applyBorder="1" applyAlignment="1">
      <alignment wrapText="1"/>
    </xf>
    <xf numFmtId="38" fontId="0" fillId="0" borderId="0" xfId="0" applyNumberFormat="1"/>
    <xf numFmtId="38" fontId="3" fillId="0" borderId="0" xfId="0" applyNumberFormat="1" applyFont="1"/>
    <xf numFmtId="38" fontId="3" fillId="0" borderId="4" xfId="0" applyNumberFormat="1" applyFont="1" applyBorder="1" applyAlignment="1">
      <alignment horizontal="right" wrapText="1"/>
    </xf>
    <xf numFmtId="38" fontId="5" fillId="0" borderId="0" xfId="0" applyNumberFormat="1" applyFont="1" applyAlignment="1">
      <alignment horizontal="center"/>
    </xf>
    <xf numFmtId="38" fontId="3" fillId="0" borderId="1" xfId="0" applyNumberFormat="1" applyFont="1" applyBorder="1"/>
    <xf numFmtId="38" fontId="5" fillId="0" borderId="0" xfId="1" applyNumberFormat="1" applyFont="1" applyAlignment="1">
      <alignment horizontal="center"/>
    </xf>
    <xf numFmtId="38" fontId="3" fillId="0" borderId="3" xfId="0" applyNumberFormat="1" applyFont="1" applyBorder="1" applyAlignment="1">
      <alignment horizontal="center" wrapText="1"/>
    </xf>
    <xf numFmtId="38" fontId="3" fillId="0" borderId="15" xfId="0" applyNumberFormat="1" applyFont="1" applyBorder="1" applyAlignment="1">
      <alignment horizontal="center" wrapText="1"/>
    </xf>
    <xf numFmtId="38" fontId="3" fillId="0" borderId="16" xfId="0" applyNumberFormat="1" applyFont="1" applyBorder="1" applyAlignment="1">
      <alignment horizontal="center" wrapText="1"/>
    </xf>
    <xf numFmtId="38" fontId="3" fillId="0" borderId="13" xfId="0" applyNumberFormat="1" applyFont="1" applyBorder="1" applyAlignment="1">
      <alignment horizontal="center" wrapText="1"/>
    </xf>
    <xf numFmtId="38" fontId="3" fillId="0" borderId="0" xfId="0" applyNumberFormat="1" applyFont="1" applyAlignment="1">
      <alignment wrapText="1"/>
    </xf>
    <xf numFmtId="38" fontId="3" fillId="0" borderId="13" xfId="1" applyNumberFormat="1" applyFont="1" applyBorder="1" applyAlignment="1">
      <alignment horizontal="center"/>
    </xf>
    <xf numFmtId="38" fontId="0" fillId="0" borderId="0" xfId="1" applyNumberFormat="1" applyFont="1"/>
    <xf numFmtId="38" fontId="0" fillId="0" borderId="0" xfId="2" applyNumberFormat="1" applyFont="1"/>
    <xf numFmtId="38" fontId="0" fillId="0" borderId="0" xfId="1" applyNumberFormat="1" applyFont="1" applyAlignment="1">
      <alignment horizontal="center"/>
    </xf>
    <xf numFmtId="38" fontId="6" fillId="0" borderId="0" xfId="0" applyNumberFormat="1" applyFont="1" applyAlignment="1">
      <alignment horizontal="center"/>
    </xf>
    <xf numFmtId="0" fontId="9" fillId="0" borderId="0" xfId="0" applyFont="1"/>
    <xf numFmtId="43" fontId="6" fillId="0" borderId="0" xfId="1" applyFont="1" applyFill="1" applyBorder="1"/>
    <xf numFmtId="38" fontId="6" fillId="0" borderId="0" xfId="1" applyNumberFormat="1" applyFont="1" applyFill="1" applyBorder="1" applyAlignment="1">
      <alignment horizontal="center"/>
    </xf>
    <xf numFmtId="38" fontId="0" fillId="0" borderId="6" xfId="0" applyNumberFormat="1" applyBorder="1" applyAlignment="1">
      <alignment horizontal="right"/>
    </xf>
    <xf numFmtId="38" fontId="0" fillId="0" borderId="0" xfId="1" applyNumberFormat="1" applyFont="1" applyFill="1" applyBorder="1" applyAlignment="1">
      <alignment horizontal="right"/>
    </xf>
    <xf numFmtId="38" fontId="3" fillId="0" borderId="13" xfId="1" applyNumberFormat="1" applyFont="1" applyBorder="1" applyAlignment="1">
      <alignment horizontal="right"/>
    </xf>
    <xf numFmtId="38" fontId="6" fillId="0" borderId="0" xfId="1" applyNumberFormat="1" applyFont="1" applyFill="1" applyBorder="1" applyAlignment="1">
      <alignment horizontal="right"/>
    </xf>
    <xf numFmtId="38" fontId="6" fillId="0" borderId="0" xfId="0" applyNumberFormat="1" applyFont="1" applyAlignment="1">
      <alignment horizontal="right"/>
    </xf>
    <xf numFmtId="0" fontId="9" fillId="0" borderId="31" xfId="0" applyFont="1" applyBorder="1"/>
    <xf numFmtId="38" fontId="2" fillId="0" borderId="32" xfId="1" applyNumberFormat="1" applyFont="1" applyFill="1" applyBorder="1" applyAlignment="1">
      <alignment horizontal="right"/>
    </xf>
    <xf numFmtId="0" fontId="9" fillId="0" borderId="34" xfId="0" applyFont="1" applyBorder="1"/>
    <xf numFmtId="38" fontId="3" fillId="0" borderId="0" xfId="0" applyNumberFormat="1" applyFont="1" applyAlignment="1">
      <alignment horizontal="right"/>
    </xf>
    <xf numFmtId="38" fontId="3" fillId="0" borderId="0" xfId="1" applyNumberFormat="1" applyFont="1" applyFill="1" applyAlignment="1">
      <alignment horizontal="left"/>
    </xf>
    <xf numFmtId="0" fontId="3" fillId="0" borderId="35" xfId="0" applyFont="1" applyBorder="1"/>
    <xf numFmtId="38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38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26" fillId="0" borderId="35" xfId="0" applyFont="1" applyBorder="1"/>
    <xf numFmtId="38" fontId="26" fillId="0" borderId="0" xfId="0" applyNumberFormat="1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0" xfId="0" applyFont="1"/>
    <xf numFmtId="38" fontId="3" fillId="0" borderId="3" xfId="0" applyNumberFormat="1" applyFont="1" applyBorder="1" applyAlignment="1">
      <alignment horizontal="right" wrapText="1"/>
    </xf>
    <xf numFmtId="38" fontId="3" fillId="0" borderId="15" xfId="0" applyNumberFormat="1" applyFont="1" applyBorder="1" applyAlignment="1">
      <alignment horizontal="right" wrapText="1"/>
    </xf>
    <xf numFmtId="38" fontId="3" fillId="0" borderId="16" xfId="0" applyNumberFormat="1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38" fontId="0" fillId="0" borderId="7" xfId="1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38" fontId="3" fillId="0" borderId="16" xfId="1" applyNumberFormat="1" applyFont="1" applyFill="1" applyBorder="1" applyAlignment="1">
      <alignment horizontal="right"/>
    </xf>
    <xf numFmtId="38" fontId="0" fillId="0" borderId="0" xfId="1" applyNumberFormat="1" applyFont="1" applyFill="1" applyAlignment="1">
      <alignment horizontal="right"/>
    </xf>
    <xf numFmtId="38" fontId="0" fillId="0" borderId="5" xfId="0" applyNumberFormat="1" applyBorder="1" applyAlignment="1">
      <alignment horizontal="right"/>
    </xf>
    <xf numFmtId="0" fontId="7" fillId="0" borderId="0" xfId="0" quotePrefix="1" applyFont="1"/>
    <xf numFmtId="0" fontId="7" fillId="0" borderId="0" xfId="0" applyFont="1"/>
    <xf numFmtId="0" fontId="3" fillId="0" borderId="20" xfId="0" applyFont="1" applyBorder="1" applyAlignment="1">
      <alignment wrapText="1"/>
    </xf>
    <xf numFmtId="0" fontId="23" fillId="0" borderId="0" xfId="0" applyFont="1"/>
    <xf numFmtId="0" fontId="24" fillId="0" borderId="0" xfId="0" applyFont="1"/>
    <xf numFmtId="0" fontId="25" fillId="0" borderId="41" xfId="0" applyFont="1" applyBorder="1"/>
    <xf numFmtId="0" fontId="3" fillId="0" borderId="42" xfId="0" applyFont="1" applyBorder="1"/>
    <xf numFmtId="0" fontId="26" fillId="0" borderId="43" xfId="0" applyFont="1" applyBorder="1"/>
    <xf numFmtId="0" fontId="7" fillId="0" borderId="45" xfId="0" quotePrefix="1" applyFont="1" applyBorder="1"/>
    <xf numFmtId="0" fontId="7" fillId="0" borderId="46" xfId="0" quotePrefix="1" applyFont="1" applyBorder="1"/>
    <xf numFmtId="0" fontId="7" fillId="0" borderId="26" xfId="0" applyFont="1" applyBorder="1"/>
    <xf numFmtId="0" fontId="7" fillId="0" borderId="47" xfId="0" quotePrefix="1" applyFont="1" applyBorder="1"/>
    <xf numFmtId="0" fontId="7" fillId="0" borderId="39" xfId="0" quotePrefix="1" applyFont="1" applyBorder="1"/>
    <xf numFmtId="0" fontId="7" fillId="0" borderId="26" xfId="0" quotePrefix="1" applyFont="1" applyBorder="1"/>
    <xf numFmtId="37" fontId="3" fillId="0" borderId="0" xfId="0" applyNumberFormat="1" applyFont="1"/>
    <xf numFmtId="37" fontId="3" fillId="0" borderId="0" xfId="0" applyNumberFormat="1" applyFont="1" applyAlignment="1">
      <alignment horizontal="right"/>
    </xf>
    <xf numFmtId="37" fontId="3" fillId="0" borderId="13" xfId="1" applyNumberFormat="1" applyFont="1" applyFill="1" applyBorder="1"/>
    <xf numFmtId="37" fontId="3" fillId="0" borderId="1" xfId="0" applyNumberFormat="1" applyFont="1" applyBorder="1" applyAlignment="1">
      <alignment wrapText="1"/>
    </xf>
    <xf numFmtId="37" fontId="0" fillId="0" borderId="36" xfId="0" applyNumberFormat="1" applyBorder="1"/>
    <xf numFmtId="37" fontId="0" fillId="0" borderId="0" xfId="0" applyNumberFormat="1"/>
    <xf numFmtId="37" fontId="3" fillId="0" borderId="1" xfId="0" applyNumberFormat="1" applyFont="1" applyBorder="1"/>
    <xf numFmtId="37" fontId="10" fillId="0" borderId="0" xfId="0" applyNumberFormat="1" applyFont="1"/>
    <xf numFmtId="37" fontId="12" fillId="0" borderId="0" xfId="0" applyNumberFormat="1" applyFont="1"/>
    <xf numFmtId="37" fontId="13" fillId="0" borderId="0" xfId="0" applyNumberFormat="1" applyFont="1"/>
    <xf numFmtId="37" fontId="14" fillId="0" borderId="0" xfId="0" applyNumberFormat="1" applyFont="1"/>
    <xf numFmtId="37" fontId="15" fillId="0" borderId="0" xfId="0" applyNumberFormat="1" applyFont="1"/>
    <xf numFmtId="37" fontId="16" fillId="0" borderId="0" xfId="0" applyNumberFormat="1" applyFont="1"/>
    <xf numFmtId="37" fontId="17" fillId="0" borderId="0" xfId="0" applyNumberFormat="1" applyFont="1"/>
    <xf numFmtId="37" fontId="3" fillId="0" borderId="0" xfId="0" applyNumberFormat="1" applyFont="1" applyAlignment="1">
      <alignment horizontal="center"/>
    </xf>
    <xf numFmtId="37" fontId="0" fillId="0" borderId="0" xfId="0" applyNumberFormat="1" applyAlignment="1">
      <alignment horizontal="right"/>
    </xf>
    <xf numFmtId="37" fontId="26" fillId="0" borderId="0" xfId="0" applyNumberFormat="1" applyFont="1" applyAlignment="1">
      <alignment horizontal="right"/>
    </xf>
    <xf numFmtId="37" fontId="3" fillId="0" borderId="16" xfId="0" applyNumberFormat="1" applyFont="1" applyBorder="1" applyAlignment="1">
      <alignment horizontal="right" wrapText="1"/>
    </xf>
    <xf numFmtId="37" fontId="0" fillId="0" borderId="0" xfId="1" applyNumberFormat="1" applyFont="1" applyFill="1" applyAlignment="1">
      <alignment horizontal="right"/>
    </xf>
    <xf numFmtId="37" fontId="3" fillId="0" borderId="16" xfId="0" applyNumberFormat="1" applyFont="1" applyBorder="1" applyAlignment="1">
      <alignment horizontal="center" wrapText="1"/>
    </xf>
    <xf numFmtId="37" fontId="3" fillId="0" borderId="13" xfId="1" applyNumberFormat="1" applyFont="1" applyBorder="1" applyAlignment="1">
      <alignment horizontal="center"/>
    </xf>
    <xf numFmtId="0" fontId="3" fillId="0" borderId="48" xfId="0" applyFont="1" applyBorder="1"/>
    <xf numFmtId="0" fontId="3" fillId="0" borderId="19" xfId="0" applyFont="1" applyBorder="1"/>
    <xf numFmtId="0" fontId="3" fillId="0" borderId="49" xfId="0" applyFont="1" applyBorder="1"/>
    <xf numFmtId="0" fontId="3" fillId="0" borderId="9" xfId="0" applyFont="1" applyBorder="1"/>
    <xf numFmtId="38" fontId="3" fillId="0" borderId="9" xfId="0" applyNumberFormat="1" applyFont="1" applyBorder="1"/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9" xfId="0" applyBorder="1"/>
    <xf numFmtId="39" fontId="3" fillId="0" borderId="0" xfId="0" applyNumberFormat="1" applyFont="1"/>
    <xf numFmtId="39" fontId="3" fillId="0" borderId="0" xfId="0" applyNumberFormat="1" applyFont="1" applyAlignment="1">
      <alignment horizontal="right"/>
    </xf>
    <xf numFmtId="39" fontId="3" fillId="0" borderId="0" xfId="1" applyNumberFormat="1" applyFont="1" applyFill="1"/>
    <xf numFmtId="39" fontId="5" fillId="0" borderId="0" xfId="0" applyNumberFormat="1" applyFont="1"/>
    <xf numFmtId="39" fontId="4" fillId="0" borderId="0" xfId="0" applyNumberFormat="1" applyFont="1"/>
    <xf numFmtId="39" fontId="3" fillId="0" borderId="23" xfId="0" applyNumberFormat="1" applyFont="1" applyBorder="1"/>
    <xf numFmtId="39" fontId="3" fillId="0" borderId="3" xfId="0" applyNumberFormat="1" applyFont="1" applyBorder="1" applyAlignment="1">
      <alignment horizontal="center" wrapText="1"/>
    </xf>
    <xf numFmtId="39" fontId="3" fillId="0" borderId="15" xfId="0" applyNumberFormat="1" applyFont="1" applyBorder="1" applyAlignment="1">
      <alignment horizontal="center" wrapText="1"/>
    </xf>
    <xf numFmtId="39" fontId="3" fillId="0" borderId="16" xfId="0" applyNumberFormat="1" applyFont="1" applyBorder="1" applyAlignment="1">
      <alignment horizontal="center" wrapText="1"/>
    </xf>
    <xf numFmtId="39" fontId="3" fillId="0" borderId="16" xfId="0" applyNumberFormat="1" applyFont="1" applyBorder="1" applyAlignment="1">
      <alignment horizontal="center"/>
    </xf>
    <xf numFmtId="39" fontId="3" fillId="0" borderId="16" xfId="0" applyNumberFormat="1" applyFont="1" applyBorder="1" applyAlignment="1">
      <alignment horizontal="right"/>
    </xf>
    <xf numFmtId="39" fontId="3" fillId="0" borderId="4" xfId="0" applyNumberFormat="1" applyFont="1" applyBorder="1" applyAlignment="1">
      <alignment horizontal="right" wrapText="1"/>
    </xf>
    <xf numFmtId="39" fontId="3" fillId="0" borderId="0" xfId="0" applyNumberFormat="1" applyFont="1" applyAlignment="1">
      <alignment wrapText="1"/>
    </xf>
    <xf numFmtId="39" fontId="0" fillId="0" borderId="25" xfId="0" applyNumberFormat="1" applyBorder="1"/>
    <xf numFmtId="39" fontId="20" fillId="0" borderId="0" xfId="0" applyNumberFormat="1" applyFont="1"/>
    <xf numFmtId="39" fontId="3" fillId="0" borderId="13" xfId="0" applyNumberFormat="1" applyFont="1" applyBorder="1"/>
    <xf numFmtId="39" fontId="3" fillId="0" borderId="16" xfId="1" applyNumberFormat="1" applyFont="1" applyFill="1" applyBorder="1"/>
    <xf numFmtId="39" fontId="3" fillId="0" borderId="13" xfId="1" applyNumberFormat="1" applyFont="1" applyFill="1" applyBorder="1"/>
    <xf numFmtId="39" fontId="3" fillId="0" borderId="0" xfId="1" applyNumberFormat="1" applyFont="1" applyFill="1" applyBorder="1"/>
    <xf numFmtId="39" fontId="3" fillId="0" borderId="20" xfId="0" applyNumberFormat="1" applyFont="1" applyBorder="1"/>
    <xf numFmtId="39" fontId="30" fillId="0" borderId="0" xfId="0" applyNumberFormat="1" applyFont="1"/>
    <xf numFmtId="39" fontId="2" fillId="0" borderId="0" xfId="0" applyNumberFormat="1" applyFont="1"/>
    <xf numFmtId="39" fontId="18" fillId="0" borderId="0" xfId="0" applyNumberFormat="1" applyFont="1"/>
    <xf numFmtId="39" fontId="8" fillId="0" borderId="0" xfId="1" applyNumberFormat="1" applyFont="1" applyFill="1"/>
    <xf numFmtId="39" fontId="8" fillId="0" borderId="0" xfId="0" applyNumberFormat="1" applyFont="1"/>
    <xf numFmtId="39" fontId="8" fillId="0" borderId="22" xfId="0" applyNumberFormat="1" applyFont="1" applyBorder="1"/>
    <xf numFmtId="39" fontId="9" fillId="0" borderId="0" xfId="1" applyNumberFormat="1" applyFont="1" applyFill="1"/>
    <xf numFmtId="39" fontId="9" fillId="0" borderId="0" xfId="1" quotePrefix="1" applyNumberFormat="1" applyFont="1" applyFill="1"/>
    <xf numFmtId="39" fontId="3" fillId="0" borderId="4" xfId="0" applyNumberFormat="1" applyFont="1" applyBorder="1" applyAlignment="1">
      <alignment horizontal="center" wrapText="1"/>
    </xf>
    <xf numFmtId="39" fontId="3" fillId="0" borderId="1" xfId="0" applyNumberFormat="1" applyFont="1" applyBorder="1" applyAlignment="1">
      <alignment wrapText="1"/>
    </xf>
    <xf numFmtId="39" fontId="0" fillId="0" borderId="6" xfId="1" applyNumberFormat="1" applyFont="1" applyFill="1" applyBorder="1"/>
    <xf numFmtId="39" fontId="0" fillId="0" borderId="17" xfId="1" applyNumberFormat="1" applyFont="1" applyFill="1" applyBorder="1"/>
    <xf numFmtId="39" fontId="0" fillId="0" borderId="7" xfId="1" applyNumberFormat="1" applyFont="1" applyFill="1" applyBorder="1"/>
    <xf numFmtId="39" fontId="0" fillId="0" borderId="36" xfId="0" applyNumberFormat="1" applyBorder="1"/>
    <xf numFmtId="39" fontId="3" fillId="0" borderId="1" xfId="0" applyNumberFormat="1" applyFont="1" applyBorder="1"/>
    <xf numFmtId="39" fontId="0" fillId="0" borderId="0" xfId="0" applyNumberFormat="1"/>
    <xf numFmtId="39" fontId="0" fillId="0" borderId="0" xfId="1" applyNumberFormat="1" applyFont="1" applyFill="1" applyBorder="1"/>
    <xf numFmtId="39" fontId="0" fillId="0" borderId="32" xfId="1" applyNumberFormat="1" applyFont="1" applyFill="1" applyBorder="1"/>
    <xf numFmtId="39" fontId="0" fillId="0" borderId="25" xfId="1" applyNumberFormat="1" applyFont="1" applyFill="1" applyBorder="1"/>
    <xf numFmtId="39" fontId="0" fillId="0" borderId="51" xfId="1" applyNumberFormat="1" applyFont="1" applyFill="1" applyBorder="1"/>
    <xf numFmtId="39" fontId="10" fillId="0" borderId="0" xfId="0" applyNumberFormat="1" applyFont="1"/>
    <xf numFmtId="39" fontId="11" fillId="0" borderId="0" xfId="1" applyNumberFormat="1" applyFont="1" applyFill="1"/>
    <xf numFmtId="39" fontId="12" fillId="0" borderId="0" xfId="0" applyNumberFormat="1" applyFont="1"/>
    <xf numFmtId="39" fontId="13" fillId="0" borderId="0" xfId="0" applyNumberFormat="1" applyFont="1"/>
    <xf numFmtId="39" fontId="14" fillId="0" borderId="0" xfId="0" applyNumberFormat="1" applyFont="1"/>
    <xf numFmtId="39" fontId="15" fillId="0" borderId="0" xfId="0" applyNumberFormat="1" applyFont="1"/>
    <xf numFmtId="39" fontId="16" fillId="0" borderId="0" xfId="0" applyNumberFormat="1" applyFont="1"/>
    <xf numFmtId="39" fontId="17" fillId="0" borderId="0" xfId="0" applyNumberFormat="1" applyFont="1"/>
    <xf numFmtId="39" fontId="0" fillId="0" borderId="0" xfId="1" applyNumberFormat="1" applyFont="1" applyFill="1"/>
    <xf numFmtId="39" fontId="0" fillId="0" borderId="22" xfId="0" applyNumberFormat="1" applyBorder="1"/>
    <xf numFmtId="44" fontId="27" fillId="0" borderId="0" xfId="2" applyFont="1" applyFill="1"/>
    <xf numFmtId="44" fontId="4" fillId="0" borderId="0" xfId="2" applyFont="1" applyFill="1"/>
    <xf numFmtId="44" fontId="3" fillId="0" borderId="42" xfId="2" applyFont="1" applyFill="1" applyBorder="1" applyAlignment="1">
      <alignment horizontal="center"/>
    </xf>
    <xf numFmtId="38" fontId="3" fillId="0" borderId="19" xfId="0" applyNumberFormat="1" applyFont="1" applyBorder="1" applyAlignment="1">
      <alignment horizontal="center"/>
    </xf>
    <xf numFmtId="38" fontId="3" fillId="0" borderId="49" xfId="0" applyNumberFormat="1" applyFont="1" applyBorder="1" applyAlignment="1">
      <alignment horizontal="center"/>
    </xf>
    <xf numFmtId="39" fontId="0" fillId="0" borderId="5" xfId="1" applyNumberFormat="1" applyFont="1" applyBorder="1" applyAlignment="1">
      <alignment horizontal="center"/>
    </xf>
    <xf numFmtId="39" fontId="0" fillId="0" borderId="5" xfId="1" applyNumberFormat="1" applyFont="1" applyBorder="1"/>
    <xf numFmtId="39" fontId="0" fillId="0" borderId="6" xfId="1" applyNumberFormat="1" applyFont="1" applyBorder="1"/>
    <xf numFmtId="39" fontId="0" fillId="0" borderId="6" xfId="1" applyNumberFormat="1" applyFont="1" applyBorder="1" applyAlignment="1">
      <alignment horizontal="center"/>
    </xf>
    <xf numFmtId="39" fontId="0" fillId="0" borderId="17" xfId="1" applyNumberFormat="1" applyFont="1" applyBorder="1"/>
    <xf numFmtId="39" fontId="0" fillId="0" borderId="6" xfId="0" applyNumberFormat="1" applyBorder="1"/>
    <xf numFmtId="39" fontId="0" fillId="0" borderId="6" xfId="0" applyNumberFormat="1" applyBorder="1" applyAlignment="1">
      <alignment horizontal="right"/>
    </xf>
    <xf numFmtId="39" fontId="0" fillId="0" borderId="9" xfId="1" applyNumberFormat="1" applyFont="1" applyBorder="1"/>
    <xf numFmtId="39" fontId="0" fillId="0" borderId="5" xfId="0" applyNumberFormat="1" applyBorder="1" applyAlignment="1">
      <alignment horizontal="right"/>
    </xf>
    <xf numFmtId="39" fontId="0" fillId="0" borderId="11" xfId="1" applyNumberFormat="1" applyFont="1" applyBorder="1"/>
    <xf numFmtId="39" fontId="0" fillId="0" borderId="5" xfId="1" applyNumberFormat="1" applyFont="1" applyFill="1" applyBorder="1" applyAlignment="1">
      <alignment horizontal="right"/>
    </xf>
    <xf numFmtId="39" fontId="0" fillId="0" borderId="6" xfId="1" applyNumberFormat="1" applyFont="1" applyFill="1" applyBorder="1" applyAlignment="1">
      <alignment horizontal="right"/>
    </xf>
    <xf numFmtId="39" fontId="0" fillId="0" borderId="17" xfId="1" applyNumberFormat="1" applyFont="1" applyFill="1" applyBorder="1" applyAlignment="1">
      <alignment horizontal="right"/>
    </xf>
    <xf numFmtId="39" fontId="0" fillId="0" borderId="7" xfId="1" applyNumberFormat="1" applyFont="1" applyFill="1" applyBorder="1" applyAlignment="1">
      <alignment horizontal="right"/>
    </xf>
    <xf numFmtId="39" fontId="0" fillId="0" borderId="0" xfId="1" applyNumberFormat="1" applyFont="1" applyFill="1" applyBorder="1" applyAlignment="1">
      <alignment horizontal="right"/>
    </xf>
    <xf numFmtId="39" fontId="3" fillId="0" borderId="16" xfId="1" applyNumberFormat="1" applyFont="1" applyFill="1" applyBorder="1" applyAlignment="1">
      <alignment horizontal="right"/>
    </xf>
    <xf numFmtId="3" fontId="9" fillId="0" borderId="0" xfId="0" applyNumberFormat="1" applyFont="1"/>
    <xf numFmtId="0" fontId="7" fillId="0" borderId="27" xfId="0" applyFont="1" applyBorder="1"/>
    <xf numFmtId="39" fontId="7" fillId="0" borderId="27" xfId="0" applyNumberFormat="1" applyFont="1" applyBorder="1"/>
    <xf numFmtId="0" fontId="7" fillId="0" borderId="34" xfId="0" applyFont="1" applyBorder="1"/>
    <xf numFmtId="44" fontId="7" fillId="0" borderId="0" xfId="0" quotePrefix="1" applyNumberFormat="1" applyFont="1"/>
    <xf numFmtId="43" fontId="3" fillId="0" borderId="13" xfId="1" applyFont="1" applyBorder="1" applyAlignment="1">
      <alignment horizontal="right"/>
    </xf>
    <xf numFmtId="39" fontId="0" fillId="0" borderId="0" xfId="0" applyNumberFormat="1" applyAlignment="1">
      <alignment horizontal="right"/>
    </xf>
    <xf numFmtId="0" fontId="7" fillId="0" borderId="27" xfId="0" applyFont="1" applyBorder="1" applyAlignment="1">
      <alignment horizontal="left"/>
    </xf>
    <xf numFmtId="44" fontId="0" fillId="0" borderId="0" xfId="0" applyNumberFormat="1"/>
    <xf numFmtId="43" fontId="0" fillId="0" borderId="0" xfId="1" applyFont="1" applyFill="1" applyAlignment="1">
      <alignment horizontal="right"/>
    </xf>
    <xf numFmtId="44" fontId="7" fillId="0" borderId="52" xfId="2" applyFont="1" applyFill="1" applyBorder="1"/>
    <xf numFmtId="0" fontId="32" fillId="0" borderId="0" xfId="0" applyFont="1"/>
    <xf numFmtId="44" fontId="3" fillId="0" borderId="34" xfId="2" applyFont="1" applyFill="1" applyBorder="1" applyAlignment="1">
      <alignment horizontal="center"/>
    </xf>
    <xf numFmtId="0" fontId="7" fillId="0" borderId="40" xfId="0" applyFont="1" applyBorder="1"/>
    <xf numFmtId="38" fontId="2" fillId="0" borderId="9" xfId="1" applyNumberFormat="1" applyFont="1" applyFill="1" applyBorder="1" applyAlignment="1">
      <alignment horizontal="right"/>
    </xf>
    <xf numFmtId="0" fontId="0" fillId="0" borderId="29" xfId="0" applyBorder="1" applyAlignment="1">
      <alignment horizontal="center"/>
    </xf>
    <xf numFmtId="0" fontId="2" fillId="0" borderId="29" xfId="0" applyFont="1" applyBorder="1" applyAlignment="1">
      <alignment horizontal="center"/>
    </xf>
    <xf numFmtId="165" fontId="9" fillId="0" borderId="0" xfId="1" applyNumberFormat="1" applyFont="1" applyFill="1" applyBorder="1"/>
    <xf numFmtId="165" fontId="9" fillId="0" borderId="0" xfId="1" applyNumberFormat="1" applyFont="1" applyFill="1" applyBorder="1" applyAlignment="1">
      <alignment horizontal="center"/>
    </xf>
    <xf numFmtId="17" fontId="0" fillId="0" borderId="0" xfId="0" applyNumberFormat="1"/>
    <xf numFmtId="38" fontId="0" fillId="0" borderId="9" xfId="0" applyNumberFormat="1" applyBorder="1"/>
    <xf numFmtId="0" fontId="0" fillId="0" borderId="9" xfId="0" applyBorder="1"/>
    <xf numFmtId="0" fontId="0" fillId="0" borderId="9" xfId="0" quotePrefix="1" applyBorder="1"/>
    <xf numFmtId="0" fontId="0" fillId="0" borderId="9" xfId="0" quotePrefix="1" applyBorder="1" applyAlignment="1">
      <alignment horizontal="center"/>
    </xf>
    <xf numFmtId="38" fontId="3" fillId="0" borderId="62" xfId="0" applyNumberFormat="1" applyFont="1" applyBorder="1" applyAlignment="1">
      <alignment horizontal="center"/>
    </xf>
    <xf numFmtId="14" fontId="0" fillId="0" borderId="9" xfId="0" applyNumberFormat="1" applyBorder="1"/>
    <xf numFmtId="0" fontId="3" fillId="0" borderId="19" xfId="0" applyFont="1" applyBorder="1" applyAlignment="1">
      <alignment horizontal="center"/>
    </xf>
    <xf numFmtId="40" fontId="3" fillId="0" borderId="62" xfId="0" applyNumberFormat="1" applyFont="1" applyBorder="1"/>
    <xf numFmtId="0" fontId="2" fillId="0" borderId="0" xfId="0" applyFont="1" applyAlignment="1">
      <alignment horizontal="center"/>
    </xf>
    <xf numFmtId="40" fontId="0" fillId="0" borderId="0" xfId="0" applyNumberFormat="1" applyAlignment="1">
      <alignment horizontal="center"/>
    </xf>
    <xf numFmtId="40" fontId="3" fillId="0" borderId="62" xfId="0" applyNumberFormat="1" applyFont="1" applyBorder="1" applyAlignment="1">
      <alignment horizontal="center"/>
    </xf>
    <xf numFmtId="40" fontId="26" fillId="0" borderId="62" xfId="0" applyNumberFormat="1" applyFont="1" applyBorder="1"/>
    <xf numFmtId="38" fontId="26" fillId="0" borderId="0" xfId="0" applyNumberFormat="1" applyFont="1"/>
    <xf numFmtId="0" fontId="33" fillId="0" borderId="0" xfId="0" applyFont="1"/>
    <xf numFmtId="165" fontId="2" fillId="0" borderId="9" xfId="1" applyNumberFormat="1" applyFill="1" applyBorder="1"/>
    <xf numFmtId="165" fontId="2" fillId="0" borderId="0" xfId="1" applyNumberFormat="1" applyFont="1" applyFill="1"/>
    <xf numFmtId="38" fontId="3" fillId="0" borderId="0" xfId="0" quotePrefix="1" applyNumberFormat="1" applyFont="1" applyAlignment="1">
      <alignment horizontal="center"/>
    </xf>
    <xf numFmtId="165" fontId="3" fillId="0" borderId="0" xfId="1" applyNumberFormat="1" applyFont="1" applyFill="1" applyBorder="1" applyAlignment="1">
      <alignment horizontal="right"/>
    </xf>
    <xf numFmtId="17" fontId="3" fillId="0" borderId="0" xfId="0" quotePrefix="1" applyNumberFormat="1" applyFont="1" applyAlignment="1">
      <alignment horizontal="right"/>
    </xf>
    <xf numFmtId="168" fontId="3" fillId="0" borderId="0" xfId="0" applyNumberFormat="1" applyFont="1"/>
    <xf numFmtId="169" fontId="3" fillId="0" borderId="0" xfId="0" quotePrefix="1" applyNumberFormat="1" applyFont="1"/>
    <xf numFmtId="165" fontId="2" fillId="0" borderId="0" xfId="1" applyNumberFormat="1" applyFont="1" applyFill="1" applyBorder="1"/>
    <xf numFmtId="165" fontId="2" fillId="0" borderId="0" xfId="1" applyNumberFormat="1" applyFont="1" applyFill="1" applyBorder="1" applyAlignment="1">
      <alignment horizontal="right"/>
    </xf>
    <xf numFmtId="38" fontId="3" fillId="0" borderId="29" xfId="0" applyNumberFormat="1" applyFont="1" applyBorder="1" applyAlignment="1">
      <alignment horizontal="center"/>
    </xf>
    <xf numFmtId="165" fontId="3" fillId="0" borderId="0" xfId="1" applyNumberFormat="1" applyFont="1" applyFill="1" applyBorder="1" applyAlignment="1">
      <alignment horizontal="center"/>
    </xf>
    <xf numFmtId="0" fontId="2" fillId="0" borderId="0" xfId="0" applyFont="1"/>
    <xf numFmtId="165" fontId="2" fillId="0" borderId="0" xfId="1" applyNumberFormat="1" applyFont="1" applyFill="1" applyBorder="1" applyAlignment="1">
      <alignment horizontal="center"/>
    </xf>
    <xf numFmtId="165" fontId="2" fillId="5" borderId="0" xfId="1" applyNumberFormat="1" applyFont="1" applyFill="1" applyBorder="1"/>
    <xf numFmtId="165" fontId="2" fillId="0" borderId="0" xfId="0" applyNumberFormat="1" applyFont="1"/>
    <xf numFmtId="3" fontId="2" fillId="0" borderId="0" xfId="0" applyNumberFormat="1" applyFont="1"/>
    <xf numFmtId="38" fontId="2" fillId="0" borderId="0" xfId="0" applyNumberFormat="1" applyFont="1"/>
    <xf numFmtId="38" fontId="2" fillId="0" borderId="0" xfId="0" applyNumberFormat="1" applyFont="1" applyAlignment="1">
      <alignment horizontal="center"/>
    </xf>
    <xf numFmtId="165" fontId="2" fillId="0" borderId="0" xfId="1" applyNumberFormat="1" applyFont="1" applyFill="1" applyAlignment="1">
      <alignment horizontal="center"/>
    </xf>
    <xf numFmtId="43" fontId="2" fillId="0" borderId="0" xfId="1" applyFont="1" applyFill="1"/>
    <xf numFmtId="3" fontId="9" fillId="0" borderId="0" xfId="0" applyNumberFormat="1" applyFont="1" applyAlignment="1">
      <alignment horizontal="center"/>
    </xf>
    <xf numFmtId="165" fontId="9" fillId="0" borderId="0" xfId="1" applyNumberFormat="1" applyFont="1" applyFill="1" applyBorder="1" applyAlignment="1"/>
    <xf numFmtId="165" fontId="3" fillId="6" borderId="0" xfId="0" applyNumberFormat="1" applyFont="1" applyFill="1"/>
    <xf numFmtId="165" fontId="25" fillId="0" borderId="0" xfId="1" applyNumberFormat="1" applyFont="1" applyFill="1" applyAlignment="1">
      <alignment horizontal="center"/>
    </xf>
    <xf numFmtId="165" fontId="3" fillId="5" borderId="0" xfId="1" applyNumberFormat="1" applyFont="1" applyFill="1"/>
    <xf numFmtId="165" fontId="3" fillId="0" borderId="0" xfId="1" applyNumberFormat="1" applyFont="1" applyFill="1"/>
    <xf numFmtId="165" fontId="24" fillId="0" borderId="0" xfId="1" applyNumberFormat="1" applyFont="1" applyFill="1" applyBorder="1"/>
    <xf numFmtId="165" fontId="36" fillId="0" borderId="0" xfId="0" applyNumberFormat="1" applyFont="1"/>
    <xf numFmtId="0" fontId="36" fillId="0" borderId="0" xfId="0" applyFont="1"/>
    <xf numFmtId="0" fontId="36" fillId="0" borderId="24" xfId="0" applyFont="1" applyBorder="1"/>
    <xf numFmtId="0" fontId="36" fillId="0" borderId="25" xfId="0" applyFont="1" applyBorder="1"/>
    <xf numFmtId="38" fontId="36" fillId="0" borderId="6" xfId="0" applyNumberFormat="1" applyFont="1" applyBorder="1" applyAlignment="1">
      <alignment horizontal="right"/>
    </xf>
    <xf numFmtId="165" fontId="36" fillId="0" borderId="6" xfId="1" applyNumberFormat="1" applyFont="1" applyFill="1" applyBorder="1"/>
    <xf numFmtId="165" fontId="36" fillId="11" borderId="6" xfId="1" applyNumberFormat="1" applyFont="1" applyFill="1" applyBorder="1"/>
    <xf numFmtId="165" fontId="24" fillId="0" borderId="6" xfId="1" applyNumberFormat="1" applyFont="1" applyFill="1" applyBorder="1"/>
    <xf numFmtId="165" fontId="36" fillId="5" borderId="6" xfId="1" applyNumberFormat="1" applyFont="1" applyFill="1" applyBorder="1"/>
    <xf numFmtId="165" fontId="36" fillId="0" borderId="17" xfId="1" applyNumberFormat="1" applyFont="1" applyFill="1" applyBorder="1"/>
    <xf numFmtId="38" fontId="36" fillId="0" borderId="6" xfId="0" applyNumberFormat="1" applyFont="1" applyBorder="1" applyAlignment="1">
      <alignment horizontal="center"/>
    </xf>
    <xf numFmtId="165" fontId="36" fillId="0" borderId="17" xfId="1" applyNumberFormat="1" applyFont="1" applyFill="1" applyBorder="1" applyAlignment="1">
      <alignment horizontal="center"/>
    </xf>
    <xf numFmtId="0" fontId="36" fillId="0" borderId="26" xfId="0" applyFont="1" applyBorder="1"/>
    <xf numFmtId="0" fontId="36" fillId="0" borderId="27" xfId="0" applyFont="1" applyBorder="1"/>
    <xf numFmtId="38" fontId="36" fillId="0" borderId="9" xfId="0" applyNumberFormat="1" applyFont="1" applyBorder="1" applyAlignment="1">
      <alignment horizontal="right"/>
    </xf>
    <xf numFmtId="165" fontId="36" fillId="5" borderId="9" xfId="1" applyNumberFormat="1" applyFont="1" applyFill="1" applyBorder="1"/>
    <xf numFmtId="165" fontId="36" fillId="0" borderId="9" xfId="1" applyNumberFormat="1" applyFont="1" applyFill="1" applyBorder="1"/>
    <xf numFmtId="165" fontId="36" fillId="6" borderId="9" xfId="1" applyNumberFormat="1" applyFont="1" applyFill="1" applyBorder="1"/>
    <xf numFmtId="38" fontId="36" fillId="0" borderId="9" xfId="0" applyNumberFormat="1" applyFont="1" applyBorder="1" applyAlignment="1">
      <alignment horizontal="center"/>
    </xf>
    <xf numFmtId="165" fontId="36" fillId="0" borderId="61" xfId="1" applyNumberFormat="1" applyFont="1" applyFill="1" applyBorder="1" applyAlignment="1">
      <alignment horizontal="center"/>
    </xf>
    <xf numFmtId="165" fontId="36" fillId="10" borderId="9" xfId="1" applyNumberFormat="1" applyFont="1" applyFill="1" applyBorder="1"/>
    <xf numFmtId="165" fontId="36" fillId="11" borderId="9" xfId="1" applyNumberFormat="1" applyFont="1" applyFill="1" applyBorder="1"/>
    <xf numFmtId="0" fontId="36" fillId="0" borderId="2" xfId="0" applyFont="1" applyBorder="1"/>
    <xf numFmtId="0" fontId="36" fillId="0" borderId="28" xfId="0" applyFont="1" applyBorder="1"/>
    <xf numFmtId="38" fontId="36" fillId="0" borderId="57" xfId="0" applyNumberFormat="1" applyFont="1" applyBorder="1" applyAlignment="1">
      <alignment horizontal="right"/>
    </xf>
    <xf numFmtId="165" fontId="36" fillId="0" borderId="11" xfId="1" applyNumberFormat="1" applyFont="1" applyFill="1" applyBorder="1"/>
    <xf numFmtId="165" fontId="36" fillId="0" borderId="29" xfId="1" applyNumberFormat="1" applyFont="1" applyFill="1" applyBorder="1"/>
    <xf numFmtId="38" fontId="36" fillId="0" borderId="57" xfId="0" applyNumberFormat="1" applyFont="1" applyBorder="1" applyAlignment="1">
      <alignment horizontal="center"/>
    </xf>
    <xf numFmtId="165" fontId="36" fillId="0" borderId="67" xfId="1" applyNumberFormat="1" applyFont="1" applyFill="1" applyBorder="1" applyAlignment="1">
      <alignment horizontal="center"/>
    </xf>
    <xf numFmtId="0" fontId="24" fillId="0" borderId="1" xfId="0" applyFont="1" applyBorder="1"/>
    <xf numFmtId="0" fontId="24" fillId="0" borderId="13" xfId="0" applyFont="1" applyBorder="1"/>
    <xf numFmtId="165" fontId="24" fillId="0" borderId="16" xfId="1" applyNumberFormat="1" applyFont="1" applyFill="1" applyBorder="1"/>
    <xf numFmtId="165" fontId="24" fillId="0" borderId="3" xfId="1" applyNumberFormat="1" applyFont="1" applyFill="1" applyBorder="1"/>
    <xf numFmtId="165" fontId="24" fillId="0" borderId="23" xfId="1" applyNumberFormat="1" applyFont="1" applyFill="1" applyBorder="1"/>
    <xf numFmtId="165" fontId="24" fillId="0" borderId="16" xfId="1" applyNumberFormat="1" applyFont="1" applyFill="1" applyBorder="1" applyAlignment="1">
      <alignment horizontal="center"/>
    </xf>
    <xf numFmtId="0" fontId="36" fillId="0" borderId="0" xfId="0" quotePrefix="1" applyFont="1"/>
    <xf numFmtId="3" fontId="36" fillId="0" borderId="0" xfId="0" applyNumberFormat="1" applyFont="1"/>
    <xf numFmtId="38" fontId="36" fillId="0" borderId="0" xfId="0" applyNumberFormat="1" applyFont="1"/>
    <xf numFmtId="38" fontId="36" fillId="0" borderId="0" xfId="0" applyNumberFormat="1" applyFont="1" applyAlignment="1">
      <alignment horizontal="center"/>
    </xf>
    <xf numFmtId="38" fontId="36" fillId="0" borderId="63" xfId="0" applyNumberFormat="1" applyFont="1" applyBorder="1" applyAlignment="1">
      <alignment horizontal="center"/>
    </xf>
    <xf numFmtId="165" fontId="36" fillId="0" borderId="0" xfId="0" quotePrefix="1" applyNumberFormat="1" applyFont="1"/>
    <xf numFmtId="38" fontId="36" fillId="0" borderId="0" xfId="0" applyNumberFormat="1" applyFont="1" applyAlignment="1">
      <alignment horizontal="left"/>
    </xf>
    <xf numFmtId="165" fontId="36" fillId="0" borderId="0" xfId="1" applyNumberFormat="1" applyFont="1" applyFill="1" applyBorder="1"/>
    <xf numFmtId="165" fontId="24" fillId="0" borderId="0" xfId="0" applyNumberFormat="1" applyFont="1"/>
    <xf numFmtId="0" fontId="24" fillId="0" borderId="23" xfId="0" applyFont="1" applyBorder="1"/>
    <xf numFmtId="0" fontId="24" fillId="0" borderId="3" xfId="0" applyFont="1" applyBorder="1" applyAlignment="1">
      <alignment horizontal="right"/>
    </xf>
    <xf numFmtId="0" fontId="24" fillId="0" borderId="16" xfId="0" applyFont="1" applyBorder="1" applyAlignment="1">
      <alignment horizontal="right"/>
    </xf>
    <xf numFmtId="38" fontId="24" fillId="0" borderId="3" xfId="0" applyNumberFormat="1" applyFont="1" applyBorder="1" applyAlignment="1">
      <alignment horizontal="center"/>
    </xf>
    <xf numFmtId="165" fontId="36" fillId="6" borderId="6" xfId="1" applyNumberFormat="1" applyFont="1" applyFill="1" applyBorder="1"/>
    <xf numFmtId="165" fontId="36" fillId="0" borderId="9" xfId="1" applyNumberFormat="1" applyFont="1" applyFill="1" applyBorder="1" applyAlignment="1">
      <alignment horizontal="center"/>
    </xf>
    <xf numFmtId="165" fontId="36" fillId="7" borderId="9" xfId="1" applyNumberFormat="1" applyFont="1" applyFill="1" applyBorder="1"/>
    <xf numFmtId="165" fontId="36" fillId="8" borderId="9" xfId="1" applyNumberFormat="1" applyFont="1" applyFill="1" applyBorder="1"/>
    <xf numFmtId="165" fontId="36" fillId="9" borderId="9" xfId="1" applyNumberFormat="1" applyFont="1" applyFill="1" applyBorder="1"/>
    <xf numFmtId="38" fontId="36" fillId="0" borderId="11" xfId="0" applyNumberFormat="1" applyFont="1" applyBorder="1" applyAlignment="1">
      <alignment horizontal="center"/>
    </xf>
    <xf numFmtId="165" fontId="36" fillId="0" borderId="11" xfId="1" applyNumberFormat="1" applyFont="1" applyFill="1" applyBorder="1" applyAlignment="1">
      <alignment horizontal="center"/>
    </xf>
    <xf numFmtId="38" fontId="36" fillId="0" borderId="35" xfId="0" applyNumberFormat="1" applyFont="1" applyBorder="1" applyAlignment="1">
      <alignment horizontal="center"/>
    </xf>
    <xf numFmtId="165" fontId="36" fillId="0" borderId="4" xfId="1" applyNumberFormat="1" applyFont="1" applyFill="1" applyBorder="1" applyAlignment="1">
      <alignment horizontal="center"/>
    </xf>
    <xf numFmtId="165" fontId="36" fillId="0" borderId="30" xfId="1" applyNumberFormat="1" applyFont="1" applyFill="1" applyBorder="1"/>
    <xf numFmtId="165" fontId="36" fillId="0" borderId="0" xfId="1" applyNumberFormat="1" applyFont="1" applyFill="1" applyAlignment="1">
      <alignment horizontal="center"/>
    </xf>
    <xf numFmtId="0" fontId="37" fillId="0" borderId="0" xfId="0" applyFont="1"/>
    <xf numFmtId="165" fontId="24" fillId="0" borderId="3" xfId="1" applyNumberFormat="1" applyFont="1" applyFill="1" applyBorder="1" applyAlignment="1">
      <alignment horizontal="center"/>
    </xf>
    <xf numFmtId="165" fontId="36" fillId="0" borderId="0" xfId="1" applyNumberFormat="1" applyFont="1" applyFill="1"/>
    <xf numFmtId="165" fontId="37" fillId="0" borderId="0" xfId="0" applyNumberFormat="1" applyFont="1"/>
    <xf numFmtId="165" fontId="24" fillId="0" borderId="29" xfId="1" applyNumberFormat="1" applyFont="1" applyFill="1" applyBorder="1"/>
    <xf numFmtId="43" fontId="36" fillId="0" borderId="0" xfId="1" applyFont="1" applyFill="1"/>
    <xf numFmtId="43" fontId="36" fillId="0" borderId="0" xfId="0" applyNumberFormat="1" applyFont="1"/>
    <xf numFmtId="165" fontId="2" fillId="0" borderId="0" xfId="1" applyNumberFormat="1" applyFont="1" applyFill="1" applyBorder="1" applyAlignment="1">
      <alignment horizontal="left"/>
    </xf>
    <xf numFmtId="165" fontId="2" fillId="0" borderId="0" xfId="1" applyNumberFormat="1" applyFont="1" applyFill="1" applyBorder="1" applyAlignment="1"/>
    <xf numFmtId="165" fontId="35" fillId="0" borderId="0" xfId="1" applyNumberFormat="1" applyFont="1" applyFill="1" applyBorder="1" applyAlignment="1"/>
    <xf numFmtId="43" fontId="2" fillId="0" borderId="0" xfId="1" applyFont="1" applyFill="1" applyBorder="1"/>
    <xf numFmtId="43" fontId="2" fillId="0" borderId="0" xfId="1" applyFont="1" applyFill="1" applyBorder="1" applyAlignment="1">
      <alignment horizontal="center"/>
    </xf>
    <xf numFmtId="165" fontId="38" fillId="0" borderId="0" xfId="1" applyNumberFormat="1" applyFont="1" applyFill="1" applyBorder="1"/>
    <xf numFmtId="38" fontId="3" fillId="0" borderId="0" xfId="0" applyNumberFormat="1" applyFont="1" applyAlignment="1">
      <alignment horizontal="left"/>
    </xf>
    <xf numFmtId="165" fontId="36" fillId="0" borderId="0" xfId="1" applyNumberFormat="1" applyFont="1" applyFill="1" applyBorder="1" applyAlignment="1">
      <alignment horizontal="center"/>
    </xf>
    <xf numFmtId="43" fontId="36" fillId="0" borderId="0" xfId="1" applyFont="1" applyFill="1" applyBorder="1" applyAlignment="1">
      <alignment horizontal="center"/>
    </xf>
    <xf numFmtId="17" fontId="24" fillId="0" borderId="0" xfId="0" quotePrefix="1" applyNumberFormat="1" applyFont="1" applyAlignment="1">
      <alignment horizontal="right"/>
    </xf>
    <xf numFmtId="165" fontId="2" fillId="0" borderId="9" xfId="1" applyNumberFormat="1" applyFont="1" applyFill="1" applyBorder="1" applyAlignment="1">
      <alignment horizontal="center"/>
    </xf>
    <xf numFmtId="165" fontId="24" fillId="0" borderId="9" xfId="1" applyNumberFormat="1" applyFont="1" applyFill="1" applyBorder="1" applyAlignment="1">
      <alignment horizontal="center"/>
    </xf>
    <xf numFmtId="165" fontId="3" fillId="0" borderId="9" xfId="1" applyNumberFormat="1" applyFont="1" applyFill="1" applyBorder="1" applyAlignment="1">
      <alignment horizontal="center"/>
    </xf>
    <xf numFmtId="165" fontId="36" fillId="0" borderId="18" xfId="1" applyNumberFormat="1" applyFont="1" applyFill="1" applyBorder="1" applyAlignment="1">
      <alignment horizontal="center"/>
    </xf>
    <xf numFmtId="165" fontId="36" fillId="0" borderId="28" xfId="1" applyNumberFormat="1" applyFont="1" applyFill="1" applyBorder="1" applyAlignment="1">
      <alignment horizontal="center"/>
    </xf>
    <xf numFmtId="165" fontId="2" fillId="0" borderId="28" xfId="1" applyNumberFormat="1" applyFont="1" applyFill="1" applyBorder="1" applyAlignment="1">
      <alignment horizontal="center"/>
    </xf>
    <xf numFmtId="165" fontId="2" fillId="0" borderId="10" xfId="1" applyNumberFormat="1" applyFont="1" applyFill="1" applyBorder="1" applyAlignment="1">
      <alignment horizontal="center"/>
    </xf>
    <xf numFmtId="165" fontId="2" fillId="0" borderId="11" xfId="1" applyNumberFormat="1" applyFont="1" applyFill="1" applyBorder="1" applyAlignment="1">
      <alignment horizontal="center"/>
    </xf>
    <xf numFmtId="165" fontId="24" fillId="0" borderId="17" xfId="1" applyNumberFormat="1" applyFont="1" applyFill="1" applyBorder="1" applyAlignment="1">
      <alignment horizontal="center"/>
    </xf>
    <xf numFmtId="165" fontId="24" fillId="0" borderId="6" xfId="1" applyNumberFormat="1" applyFont="1" applyFill="1" applyBorder="1" applyAlignment="1">
      <alignment horizontal="center"/>
    </xf>
    <xf numFmtId="165" fontId="24" fillId="0" borderId="25" xfId="1" applyNumberFormat="1" applyFont="1" applyFill="1" applyBorder="1" applyAlignment="1">
      <alignment horizontal="center"/>
    </xf>
    <xf numFmtId="165" fontId="3" fillId="0" borderId="25" xfId="1" applyNumberFormat="1" applyFont="1" applyFill="1" applyBorder="1" applyAlignment="1">
      <alignment horizontal="center"/>
    </xf>
    <xf numFmtId="165" fontId="3" fillId="0" borderId="6" xfId="1" applyNumberFormat="1" applyFont="1" applyFill="1" applyBorder="1" applyAlignment="1">
      <alignment horizontal="center"/>
    </xf>
    <xf numFmtId="165" fontId="3" fillId="0" borderId="5" xfId="1" applyNumberFormat="1" applyFont="1" applyFill="1" applyBorder="1" applyAlignment="1">
      <alignment horizontal="center"/>
    </xf>
    <xf numFmtId="0" fontId="0" fillId="0" borderId="18" xfId="0" applyBorder="1"/>
    <xf numFmtId="0" fontId="0" fillId="0" borderId="28" xfId="0" applyBorder="1"/>
    <xf numFmtId="0" fontId="0" fillId="0" borderId="10" xfId="0" applyBorder="1"/>
    <xf numFmtId="0" fontId="3" fillId="0" borderId="17" xfId="0" applyFont="1" applyBorder="1"/>
    <xf numFmtId="0" fontId="3" fillId="0" borderId="25" xfId="0" applyFont="1" applyBorder="1"/>
    <xf numFmtId="0" fontId="3" fillId="0" borderId="5" xfId="0" applyFont="1" applyBorder="1"/>
    <xf numFmtId="0" fontId="0" fillId="0" borderId="11" xfId="0" applyBorder="1"/>
    <xf numFmtId="0" fontId="3" fillId="0" borderId="6" xfId="0" applyFont="1" applyBorder="1"/>
    <xf numFmtId="0" fontId="3" fillId="0" borderId="28" xfId="0" applyFont="1" applyBorder="1"/>
    <xf numFmtId="0" fontId="0" fillId="0" borderId="17" xfId="0" applyBorder="1"/>
    <xf numFmtId="0" fontId="3" fillId="0" borderId="11" xfId="0" applyFont="1" applyBorder="1"/>
    <xf numFmtId="165" fontId="3" fillId="0" borderId="6" xfId="1" applyNumberFormat="1" applyFont="1" applyBorder="1"/>
    <xf numFmtId="165" fontId="3" fillId="0" borderId="25" xfId="1" applyNumberFormat="1" applyFont="1" applyBorder="1"/>
    <xf numFmtId="165" fontId="3" fillId="0" borderId="6" xfId="0" applyNumberFormat="1" applyFont="1" applyBorder="1"/>
    <xf numFmtId="165" fontId="39" fillId="0" borderId="6" xfId="0" applyNumberFormat="1" applyFont="1" applyBorder="1"/>
    <xf numFmtId="0" fontId="40" fillId="0" borderId="0" xfId="0" applyFont="1"/>
    <xf numFmtId="165" fontId="39" fillId="0" borderId="25" xfId="1" applyNumberFormat="1" applyFont="1" applyFill="1" applyBorder="1"/>
    <xf numFmtId="0" fontId="0" fillId="5" borderId="0" xfId="0" applyFill="1"/>
    <xf numFmtId="165" fontId="36" fillId="0" borderId="0" xfId="1" applyNumberFormat="1" applyFont="1" applyFill="1" applyBorder="1" applyAlignment="1"/>
    <xf numFmtId="38" fontId="0" fillId="0" borderId="61" xfId="0" applyNumberFormat="1" applyBorder="1"/>
    <xf numFmtId="38" fontId="0" fillId="0" borderId="8" xfId="0" applyNumberFormat="1" applyBorder="1"/>
    <xf numFmtId="38" fontId="40" fillId="0" borderId="9" xfId="0" applyNumberFormat="1" applyFont="1" applyBorder="1"/>
    <xf numFmtId="0" fontId="40" fillId="0" borderId="11" xfId="0" applyFont="1" applyBorder="1"/>
    <xf numFmtId="0" fontId="40" fillId="0" borderId="18" xfId="0" applyFont="1" applyBorder="1"/>
    <xf numFmtId="165" fontId="3" fillId="0" borderId="17" xfId="1" applyNumberFormat="1" applyFont="1" applyFill="1" applyBorder="1"/>
    <xf numFmtId="165" fontId="3" fillId="0" borderId="5" xfId="1" applyNumberFormat="1" applyFont="1" applyFill="1" applyBorder="1"/>
    <xf numFmtId="38" fontId="0" fillId="11" borderId="9" xfId="0" applyNumberFormat="1" applyFill="1" applyBorder="1"/>
    <xf numFmtId="38" fontId="36" fillId="5" borderId="0" xfId="0" applyNumberFormat="1" applyFont="1" applyFill="1" applyAlignment="1">
      <alignment horizontal="center"/>
    </xf>
    <xf numFmtId="169" fontId="3" fillId="0" borderId="0" xfId="0" quotePrefix="1" applyNumberFormat="1" applyFont="1" applyAlignment="1">
      <alignment horizontal="right"/>
    </xf>
    <xf numFmtId="0" fontId="42" fillId="0" borderId="9" xfId="0" applyFont="1" applyBorder="1"/>
    <xf numFmtId="0" fontId="42" fillId="0" borderId="57" xfId="0" applyFont="1" applyBorder="1"/>
    <xf numFmtId="0" fontId="25" fillId="0" borderId="68" xfId="0" applyFont="1" applyBorder="1"/>
    <xf numFmtId="38" fontId="3" fillId="0" borderId="15" xfId="0" applyNumberFormat="1" applyFont="1" applyBorder="1" applyAlignment="1">
      <alignment horizontal="center"/>
    </xf>
    <xf numFmtId="38" fontId="3" fillId="0" borderId="1" xfId="0" applyNumberFormat="1" applyFont="1" applyBorder="1" applyAlignment="1">
      <alignment horizontal="center"/>
    </xf>
    <xf numFmtId="38" fontId="24" fillId="0" borderId="0" xfId="0" applyNumberFormat="1" applyFont="1" applyAlignment="1">
      <alignment horizontal="center"/>
    </xf>
    <xf numFmtId="38" fontId="24" fillId="0" borderId="31" xfId="0" applyNumberFormat="1" applyFont="1" applyBorder="1" applyAlignment="1">
      <alignment horizontal="left"/>
    </xf>
    <xf numFmtId="38" fontId="24" fillId="0" borderId="63" xfId="0" applyNumberFormat="1" applyFont="1" applyBorder="1" applyAlignment="1">
      <alignment horizontal="center"/>
    </xf>
    <xf numFmtId="38" fontId="24" fillId="0" borderId="64" xfId="0" applyNumberFormat="1" applyFont="1" applyBorder="1" applyAlignment="1">
      <alignment horizontal="center"/>
    </xf>
    <xf numFmtId="38" fontId="24" fillId="0" borderId="63" xfId="0" applyNumberFormat="1" applyFont="1" applyBorder="1" applyAlignment="1">
      <alignment horizontal="left"/>
    </xf>
    <xf numFmtId="38" fontId="36" fillId="0" borderId="34" xfId="0" applyNumberFormat="1" applyFont="1" applyBorder="1" applyAlignment="1">
      <alignment horizontal="center"/>
    </xf>
    <xf numFmtId="38" fontId="36" fillId="0" borderId="0" xfId="0" applyNumberFormat="1" applyFont="1" applyAlignment="1">
      <alignment horizontal="center" wrapText="1"/>
    </xf>
    <xf numFmtId="38" fontId="36" fillId="0" borderId="37" xfId="0" applyNumberFormat="1" applyFont="1" applyBorder="1" applyAlignment="1">
      <alignment horizontal="center"/>
    </xf>
    <xf numFmtId="38" fontId="36" fillId="0" borderId="0" xfId="1" applyNumberFormat="1" applyFont="1" applyBorder="1" applyAlignment="1">
      <alignment horizontal="center"/>
    </xf>
    <xf numFmtId="38" fontId="36" fillId="11" borderId="0" xfId="0" applyNumberFormat="1" applyFont="1" applyFill="1" applyAlignment="1">
      <alignment horizontal="center"/>
    </xf>
    <xf numFmtId="43" fontId="36" fillId="0" borderId="0" xfId="1" applyFont="1" applyAlignment="1">
      <alignment horizontal="center"/>
    </xf>
    <xf numFmtId="38" fontId="36" fillId="0" borderId="0" xfId="1" applyNumberFormat="1" applyFont="1" applyFill="1" applyBorder="1" applyAlignment="1">
      <alignment horizontal="center"/>
    </xf>
    <xf numFmtId="38" fontId="36" fillId="0" borderId="0" xfId="1" applyNumberFormat="1" applyFont="1" applyAlignment="1">
      <alignment horizontal="center"/>
    </xf>
    <xf numFmtId="38" fontId="24" fillId="0" borderId="0" xfId="0" applyNumberFormat="1" applyFont="1" applyAlignment="1">
      <alignment horizontal="left"/>
    </xf>
    <xf numFmtId="38" fontId="24" fillId="11" borderId="0" xfId="0" applyNumberFormat="1" applyFont="1" applyFill="1" applyAlignment="1">
      <alignment horizontal="center"/>
    </xf>
    <xf numFmtId="38" fontId="24" fillId="11" borderId="0" xfId="1" applyNumberFormat="1" applyFont="1" applyFill="1" applyAlignment="1">
      <alignment horizontal="center"/>
    </xf>
    <xf numFmtId="38" fontId="24" fillId="6" borderId="0" xfId="0" applyNumberFormat="1" applyFont="1" applyFill="1" applyAlignment="1">
      <alignment horizontal="center"/>
    </xf>
    <xf numFmtId="38" fontId="36" fillId="0" borderId="0" xfId="1" applyNumberFormat="1" applyFont="1" applyFill="1" applyAlignment="1">
      <alignment horizontal="center"/>
    </xf>
    <xf numFmtId="38" fontId="24" fillId="0" borderId="62" xfId="1" applyNumberFormat="1" applyFont="1" applyBorder="1" applyAlignment="1">
      <alignment horizontal="center"/>
    </xf>
    <xf numFmtId="38" fontId="36" fillId="13" borderId="0" xfId="1" applyNumberFormat="1" applyFont="1" applyFill="1" applyAlignment="1">
      <alignment horizontal="center"/>
    </xf>
    <xf numFmtId="38" fontId="24" fillId="0" borderId="0" xfId="1" applyNumberFormat="1" applyFont="1" applyAlignment="1">
      <alignment horizontal="center"/>
    </xf>
    <xf numFmtId="38" fontId="24" fillId="0" borderId="62" xfId="0" applyNumberFormat="1" applyFont="1" applyBorder="1" applyAlignment="1">
      <alignment horizontal="center"/>
    </xf>
    <xf numFmtId="38" fontId="45" fillId="0" borderId="0" xfId="0" applyNumberFormat="1" applyFont="1" applyAlignment="1">
      <alignment horizontal="center"/>
    </xf>
    <xf numFmtId="0" fontId="47" fillId="0" borderId="0" xfId="0" applyFont="1"/>
    <xf numFmtId="165" fontId="47" fillId="0" borderId="0" xfId="0" applyNumberFormat="1" applyFont="1"/>
    <xf numFmtId="38" fontId="47" fillId="0" borderId="0" xfId="0" applyNumberFormat="1" applyFont="1"/>
    <xf numFmtId="38" fontId="47" fillId="0" borderId="0" xfId="0" applyNumberFormat="1" applyFont="1" applyAlignment="1">
      <alignment horizontal="center"/>
    </xf>
    <xf numFmtId="38" fontId="48" fillId="0" borderId="0" xfId="0" applyNumberFormat="1" applyFont="1" applyAlignment="1">
      <alignment horizontal="center"/>
    </xf>
    <xf numFmtId="165" fontId="48" fillId="0" borderId="0" xfId="1" applyNumberFormat="1" applyFont="1" applyFill="1"/>
    <xf numFmtId="0" fontId="48" fillId="0" borderId="0" xfId="0" applyFont="1"/>
    <xf numFmtId="38" fontId="47" fillId="0" borderId="0" xfId="0" applyNumberFormat="1" applyFont="1" applyAlignment="1">
      <alignment horizontal="left"/>
    </xf>
    <xf numFmtId="165" fontId="48" fillId="0" borderId="0" xfId="1" applyNumberFormat="1" applyFont="1" applyFill="1" applyBorder="1" applyAlignment="1">
      <alignment horizontal="center"/>
    </xf>
    <xf numFmtId="17" fontId="47" fillId="0" borderId="0" xfId="0" quotePrefix="1" applyNumberFormat="1" applyFont="1" applyAlignment="1">
      <alignment horizontal="right"/>
    </xf>
    <xf numFmtId="43" fontId="47" fillId="0" borderId="0" xfId="1" applyFont="1" applyFill="1"/>
    <xf numFmtId="165" fontId="47" fillId="0" borderId="0" xfId="1" applyNumberFormat="1" applyFont="1" applyFill="1"/>
    <xf numFmtId="38" fontId="48" fillId="0" borderId="0" xfId="0" applyNumberFormat="1" applyFont="1" applyAlignment="1">
      <alignment horizontal="right"/>
    </xf>
    <xf numFmtId="38" fontId="47" fillId="0" borderId="0" xfId="0" applyNumberFormat="1" applyFont="1" applyAlignment="1">
      <alignment horizontal="right"/>
    </xf>
    <xf numFmtId="165" fontId="47" fillId="0" borderId="0" xfId="1" applyNumberFormat="1" applyFont="1" applyFill="1" applyBorder="1" applyAlignment="1">
      <alignment horizontal="center"/>
    </xf>
    <xf numFmtId="165" fontId="48" fillId="0" borderId="0" xfId="1" applyNumberFormat="1" applyFont="1" applyFill="1" applyBorder="1" applyAlignment="1">
      <alignment horizontal="right"/>
    </xf>
    <xf numFmtId="38" fontId="48" fillId="0" borderId="0" xfId="1" applyNumberFormat="1" applyFont="1" applyFill="1" applyBorder="1" applyAlignment="1">
      <alignment horizontal="right"/>
    </xf>
    <xf numFmtId="165" fontId="47" fillId="0" borderId="0" xfId="1" applyNumberFormat="1" applyFont="1" applyFill="1" applyAlignment="1">
      <alignment horizontal="right"/>
    </xf>
    <xf numFmtId="165" fontId="47" fillId="0" borderId="0" xfId="1" applyNumberFormat="1" applyFont="1" applyFill="1" applyAlignment="1">
      <alignment horizontal="center"/>
    </xf>
    <xf numFmtId="165" fontId="48" fillId="0" borderId="0" xfId="1" applyNumberFormat="1" applyFont="1" applyFill="1" applyBorder="1"/>
    <xf numFmtId="43" fontId="47" fillId="0" borderId="0" xfId="0" applyNumberFormat="1" applyFont="1"/>
    <xf numFmtId="43" fontId="47" fillId="0" borderId="0" xfId="1" applyFont="1" applyFill="1" applyAlignment="1">
      <alignment vertical="top"/>
    </xf>
    <xf numFmtId="43" fontId="47" fillId="0" borderId="0" xfId="1" applyFont="1" applyFill="1" applyAlignment="1">
      <alignment horizontal="center"/>
    </xf>
    <xf numFmtId="43" fontId="48" fillId="0" borderId="0" xfId="1" applyFont="1" applyFill="1" applyAlignment="1">
      <alignment horizontal="center"/>
    </xf>
    <xf numFmtId="0" fontId="49" fillId="0" borderId="0" xfId="0" applyFont="1"/>
    <xf numFmtId="165" fontId="47" fillId="0" borderId="0" xfId="0" applyNumberFormat="1" applyFont="1" applyAlignment="1">
      <alignment wrapText="1"/>
    </xf>
    <xf numFmtId="165" fontId="50" fillId="0" borderId="0" xfId="0" applyNumberFormat="1" applyFont="1"/>
    <xf numFmtId="165" fontId="47" fillId="0" borderId="0" xfId="1" applyNumberFormat="1" applyFont="1" applyFill="1" applyBorder="1" applyAlignment="1">
      <alignment horizontal="right"/>
    </xf>
    <xf numFmtId="165" fontId="48" fillId="0" borderId="0" xfId="0" applyNumberFormat="1" applyFont="1"/>
    <xf numFmtId="0" fontId="47" fillId="12" borderId="68" xfId="0" applyFont="1" applyFill="1" applyBorder="1" applyAlignment="1">
      <alignment horizontal="left"/>
    </xf>
    <xf numFmtId="0" fontId="47" fillId="12" borderId="51" xfId="0" applyFont="1" applyFill="1" applyBorder="1" applyAlignment="1">
      <alignment horizontal="left"/>
    </xf>
    <xf numFmtId="0" fontId="47" fillId="12" borderId="54" xfId="0" applyFont="1" applyFill="1" applyBorder="1" applyAlignment="1">
      <alignment horizontal="left"/>
    </xf>
    <xf numFmtId="0" fontId="47" fillId="12" borderId="66" xfId="0" applyFont="1" applyFill="1" applyBorder="1" applyAlignment="1">
      <alignment horizontal="left"/>
    </xf>
    <xf numFmtId="0" fontId="47" fillId="12" borderId="23" xfId="0" applyFont="1" applyFill="1" applyBorder="1" applyAlignment="1">
      <alignment horizontal="left"/>
    </xf>
    <xf numFmtId="0" fontId="47" fillId="12" borderId="76" xfId="0" applyFont="1" applyFill="1" applyBorder="1" applyAlignment="1">
      <alignment horizontal="right"/>
    </xf>
    <xf numFmtId="0" fontId="47" fillId="12" borderId="51" xfId="0" applyFont="1" applyFill="1" applyBorder="1" applyAlignment="1">
      <alignment horizontal="right"/>
    </xf>
    <xf numFmtId="0" fontId="47" fillId="12" borderId="76" xfId="0" applyFont="1" applyFill="1" applyBorder="1" applyAlignment="1">
      <alignment horizontal="left"/>
    </xf>
    <xf numFmtId="165" fontId="47" fillId="12" borderId="4" xfId="1" applyNumberFormat="1" applyFont="1" applyFill="1" applyBorder="1" applyAlignment="1">
      <alignment horizontal="center"/>
    </xf>
    <xf numFmtId="43" fontId="48" fillId="0" borderId="0" xfId="1" applyFont="1" applyFill="1" applyBorder="1" applyAlignment="1">
      <alignment horizontal="center"/>
    </xf>
    <xf numFmtId="38" fontId="48" fillId="0" borderId="0" xfId="1" applyNumberFormat="1" applyFont="1" applyFill="1" applyBorder="1" applyAlignment="1">
      <alignment horizontal="center"/>
    </xf>
    <xf numFmtId="43" fontId="47" fillId="0" borderId="0" xfId="1" applyFont="1" applyFill="1" applyBorder="1" applyAlignment="1">
      <alignment horizontal="center"/>
    </xf>
    <xf numFmtId="165" fontId="48" fillId="0" borderId="0" xfId="1" applyNumberFormat="1" applyFont="1" applyFill="1" applyBorder="1" applyAlignment="1">
      <alignment horizontal="left"/>
    </xf>
    <xf numFmtId="0" fontId="48" fillId="0" borderId="9" xfId="0" applyFont="1" applyBorder="1"/>
    <xf numFmtId="165" fontId="47" fillId="0" borderId="9" xfId="1" applyNumberFormat="1" applyFont="1" applyFill="1" applyBorder="1"/>
    <xf numFmtId="165" fontId="48" fillId="0" borderId="6" xfId="1" applyNumberFormat="1" applyFont="1" applyFill="1" applyBorder="1"/>
    <xf numFmtId="165" fontId="48" fillId="0" borderId="33" xfId="1" applyNumberFormat="1" applyFont="1" applyFill="1" applyBorder="1"/>
    <xf numFmtId="165" fontId="48" fillId="0" borderId="0" xfId="1" applyNumberFormat="1" applyFont="1" applyFill="1" applyBorder="1" applyAlignment="1"/>
    <xf numFmtId="3" fontId="48" fillId="0" borderId="0" xfId="0" applyNumberFormat="1" applyFont="1"/>
    <xf numFmtId="165" fontId="48" fillId="0" borderId="17" xfId="1" applyNumberFormat="1" applyFont="1" applyFill="1" applyBorder="1"/>
    <xf numFmtId="165" fontId="48" fillId="0" borderId="29" xfId="1" applyNumberFormat="1" applyFont="1" applyFill="1" applyBorder="1"/>
    <xf numFmtId="165" fontId="47" fillId="0" borderId="11" xfId="1" applyNumberFormat="1" applyFont="1" applyFill="1" applyBorder="1"/>
    <xf numFmtId="165" fontId="47" fillId="0" borderId="29" xfId="1" applyNumberFormat="1" applyFont="1" applyFill="1" applyBorder="1"/>
    <xf numFmtId="165" fontId="47" fillId="0" borderId="0" xfId="1" applyNumberFormat="1" applyFont="1" applyFill="1" applyBorder="1"/>
    <xf numFmtId="165" fontId="47" fillId="0" borderId="58" xfId="1" applyNumberFormat="1" applyFont="1" applyFill="1" applyBorder="1"/>
    <xf numFmtId="165" fontId="47" fillId="0" borderId="23" xfId="1" applyNumberFormat="1" applyFont="1" applyFill="1" applyBorder="1"/>
    <xf numFmtId="165" fontId="47" fillId="0" borderId="13" xfId="1" applyNumberFormat="1" applyFont="1" applyFill="1" applyBorder="1"/>
    <xf numFmtId="165" fontId="47" fillId="0" borderId="1" xfId="1" applyNumberFormat="1" applyFont="1" applyFill="1" applyBorder="1"/>
    <xf numFmtId="38" fontId="48" fillId="0" borderId="0" xfId="0" applyNumberFormat="1" applyFont="1"/>
    <xf numFmtId="165" fontId="48" fillId="0" borderId="0" xfId="1" quotePrefix="1" applyNumberFormat="1" applyFont="1" applyFill="1"/>
    <xf numFmtId="165" fontId="48" fillId="13" borderId="0" xfId="0" applyNumberFormat="1" applyFont="1" applyFill="1"/>
    <xf numFmtId="165" fontId="48" fillId="0" borderId="0" xfId="0" quotePrefix="1" applyNumberFormat="1" applyFont="1"/>
    <xf numFmtId="3" fontId="46" fillId="0" borderId="0" xfId="0" applyNumberFormat="1" applyFont="1"/>
    <xf numFmtId="165" fontId="47" fillId="13" borderId="0" xfId="1" applyNumberFormat="1" applyFont="1" applyFill="1" applyBorder="1"/>
    <xf numFmtId="43" fontId="48" fillId="0" borderId="0" xfId="1" applyFont="1" applyFill="1" applyBorder="1" applyAlignment="1">
      <alignment horizontal="left"/>
    </xf>
    <xf numFmtId="43" fontId="48" fillId="0" borderId="0" xfId="1" applyFont="1" applyFill="1" applyBorder="1" applyAlignment="1"/>
    <xf numFmtId="0" fontId="47" fillId="12" borderId="23" xfId="0" applyFont="1" applyFill="1" applyBorder="1"/>
    <xf numFmtId="0" fontId="47" fillId="12" borderId="16" xfId="0" applyFont="1" applyFill="1" applyBorder="1" applyAlignment="1">
      <alignment horizontal="right"/>
    </xf>
    <xf numFmtId="0" fontId="47" fillId="12" borderId="35" xfId="0" applyFont="1" applyFill="1" applyBorder="1" applyAlignment="1">
      <alignment horizontal="left"/>
    </xf>
    <xf numFmtId="0" fontId="47" fillId="12" borderId="3" xfId="0" applyFont="1" applyFill="1" applyBorder="1" applyAlignment="1">
      <alignment horizontal="left"/>
    </xf>
    <xf numFmtId="0" fontId="47" fillId="12" borderId="4" xfId="0" applyFont="1" applyFill="1" applyBorder="1" applyAlignment="1">
      <alignment horizontal="left"/>
    </xf>
    <xf numFmtId="0" fontId="47" fillId="12" borderId="3" xfId="0" applyFont="1" applyFill="1" applyBorder="1" applyAlignment="1">
      <alignment horizontal="right"/>
    </xf>
    <xf numFmtId="0" fontId="47" fillId="12" borderId="16" xfId="0" applyFont="1" applyFill="1" applyBorder="1" applyAlignment="1">
      <alignment horizontal="left" wrapText="1"/>
    </xf>
    <xf numFmtId="0" fontId="47" fillId="12" borderId="23" xfId="0" applyFont="1" applyFill="1" applyBorder="1" applyAlignment="1">
      <alignment horizontal="right"/>
    </xf>
    <xf numFmtId="38" fontId="47" fillId="12" borderId="3" xfId="0" applyNumberFormat="1" applyFont="1" applyFill="1" applyBorder="1" applyAlignment="1">
      <alignment horizontal="center" wrapText="1"/>
    </xf>
    <xf numFmtId="38" fontId="47" fillId="0" borderId="0" xfId="1" applyNumberFormat="1" applyFont="1" applyFill="1" applyBorder="1" applyAlignment="1">
      <alignment horizontal="center"/>
    </xf>
    <xf numFmtId="0" fontId="48" fillId="0" borderId="26" xfId="0" applyFont="1" applyBorder="1"/>
    <xf numFmtId="0" fontId="48" fillId="0" borderId="25" xfId="0" applyFont="1" applyBorder="1"/>
    <xf numFmtId="43" fontId="48" fillId="0" borderId="0" xfId="1" applyFont="1" applyFill="1" applyBorder="1"/>
    <xf numFmtId="0" fontId="47" fillId="0" borderId="1" xfId="0" applyFont="1" applyBorder="1"/>
    <xf numFmtId="0" fontId="47" fillId="0" borderId="13" xfId="0" applyFont="1" applyBorder="1"/>
    <xf numFmtId="165" fontId="48" fillId="0" borderId="0" xfId="1" applyNumberFormat="1" applyFont="1" applyFill="1" applyAlignment="1">
      <alignment horizontal="center"/>
    </xf>
    <xf numFmtId="4" fontId="48" fillId="0" borderId="0" xfId="0" applyNumberFormat="1" applyFont="1"/>
    <xf numFmtId="38" fontId="48" fillId="0" borderId="0" xfId="1" applyNumberFormat="1" applyFont="1" applyFill="1" applyAlignment="1">
      <alignment horizontal="center"/>
    </xf>
    <xf numFmtId="0" fontId="48" fillId="0" borderId="24" xfId="0" applyFont="1" applyBorder="1"/>
    <xf numFmtId="165" fontId="48" fillId="0" borderId="72" xfId="1" applyNumberFormat="1" applyFont="1" applyFill="1" applyBorder="1"/>
    <xf numFmtId="0" fontId="48" fillId="0" borderId="2" xfId="0" applyFont="1" applyBorder="1"/>
    <xf numFmtId="165" fontId="47" fillId="0" borderId="16" xfId="1" applyNumberFormat="1" applyFont="1" applyFill="1" applyBorder="1"/>
    <xf numFmtId="0" fontId="47" fillId="0" borderId="0" xfId="0" applyFont="1" applyAlignment="1">
      <alignment horizontal="center"/>
    </xf>
    <xf numFmtId="0" fontId="47" fillId="12" borderId="19" xfId="0" applyFont="1" applyFill="1" applyBorder="1" applyAlignment="1">
      <alignment horizontal="left"/>
    </xf>
    <xf numFmtId="0" fontId="47" fillId="12" borderId="49" xfId="0" applyFont="1" applyFill="1" applyBorder="1" applyAlignment="1">
      <alignment horizontal="left"/>
    </xf>
    <xf numFmtId="0" fontId="47" fillId="12" borderId="73" xfId="0" applyFont="1" applyFill="1" applyBorder="1" applyAlignment="1">
      <alignment horizontal="left" wrapText="1"/>
    </xf>
    <xf numFmtId="0" fontId="47" fillId="12" borderId="73" xfId="0" applyFont="1" applyFill="1" applyBorder="1" applyAlignment="1">
      <alignment horizontal="right"/>
    </xf>
    <xf numFmtId="38" fontId="47" fillId="12" borderId="19" xfId="0" applyNumberFormat="1" applyFont="1" applyFill="1" applyBorder="1" applyAlignment="1">
      <alignment horizontal="center" wrapText="1"/>
    </xf>
    <xf numFmtId="165" fontId="47" fillId="12" borderId="49" xfId="1" applyNumberFormat="1" applyFont="1" applyFill="1" applyBorder="1" applyAlignment="1">
      <alignment horizontal="center"/>
    </xf>
    <xf numFmtId="165" fontId="47" fillId="0" borderId="20" xfId="1" applyNumberFormat="1" applyFont="1" applyFill="1" applyBorder="1"/>
    <xf numFmtId="165" fontId="47" fillId="0" borderId="4" xfId="1" applyNumberFormat="1" applyFont="1" applyFill="1" applyBorder="1"/>
    <xf numFmtId="165" fontId="47" fillId="0" borderId="0" xfId="1" quotePrefix="1" applyNumberFormat="1" applyFont="1" applyFill="1" applyBorder="1"/>
    <xf numFmtId="0" fontId="47" fillId="12" borderId="16" xfId="0" applyFont="1" applyFill="1" applyBorder="1" applyAlignment="1">
      <alignment horizontal="left"/>
    </xf>
    <xf numFmtId="0" fontId="47" fillId="12" borderId="15" xfId="0" applyFont="1" applyFill="1" applyBorder="1" applyAlignment="1">
      <alignment horizontal="right"/>
    </xf>
    <xf numFmtId="165" fontId="48" fillId="13" borderId="0" xfId="1" applyNumberFormat="1" applyFont="1" applyFill="1" applyBorder="1"/>
    <xf numFmtId="0" fontId="47" fillId="12" borderId="1" xfId="0" applyFont="1" applyFill="1" applyBorder="1" applyAlignment="1">
      <alignment horizontal="left"/>
    </xf>
    <xf numFmtId="0" fontId="50" fillId="0" borderId="0" xfId="0" applyFont="1"/>
    <xf numFmtId="0" fontId="47" fillId="12" borderId="65" xfId="0" applyFont="1" applyFill="1" applyBorder="1" applyAlignment="1">
      <alignment horizontal="right"/>
    </xf>
    <xf numFmtId="0" fontId="47" fillId="12" borderId="58" xfId="0" applyFont="1" applyFill="1" applyBorder="1" applyAlignment="1">
      <alignment horizontal="left"/>
    </xf>
    <xf numFmtId="38" fontId="48" fillId="0" borderId="0" xfId="1" applyNumberFormat="1" applyFont="1" applyFill="1" applyBorder="1"/>
    <xf numFmtId="38" fontId="47" fillId="0" borderId="0" xfId="1" applyNumberFormat="1" applyFont="1" applyFill="1" applyBorder="1"/>
    <xf numFmtId="43" fontId="48" fillId="0" borderId="0" xfId="1" applyFont="1" applyFill="1"/>
    <xf numFmtId="43" fontId="48" fillId="0" borderId="0" xfId="0" applyNumberFormat="1" applyFont="1"/>
    <xf numFmtId="3" fontId="47" fillId="0" borderId="0" xfId="0" applyNumberFormat="1" applyFont="1"/>
    <xf numFmtId="40" fontId="48" fillId="0" borderId="0" xfId="0" applyNumberFormat="1" applyFont="1"/>
    <xf numFmtId="0" fontId="48" fillId="0" borderId="57" xfId="0" applyFont="1" applyBorder="1"/>
    <xf numFmtId="165" fontId="47" fillId="0" borderId="57" xfId="1" applyNumberFormat="1" applyFont="1" applyFill="1" applyBorder="1"/>
    <xf numFmtId="38" fontId="24" fillId="0" borderId="9" xfId="0" applyNumberFormat="1" applyFont="1" applyBorder="1" applyAlignment="1">
      <alignment horizontal="center"/>
    </xf>
    <xf numFmtId="38" fontId="36" fillId="0" borderId="62" xfId="0" applyNumberFormat="1" applyFont="1" applyBorder="1"/>
    <xf numFmtId="38" fontId="36" fillId="0" borderId="62" xfId="0" applyNumberFormat="1" applyFont="1" applyBorder="1" applyAlignment="1">
      <alignment horizontal="center"/>
    </xf>
    <xf numFmtId="38" fontId="36" fillId="11" borderId="9" xfId="0" applyNumberFormat="1" applyFont="1" applyFill="1" applyBorder="1" applyAlignment="1">
      <alignment horizontal="center"/>
    </xf>
    <xf numFmtId="38" fontId="36" fillId="5" borderId="9" xfId="0" applyNumberFormat="1" applyFont="1" applyFill="1" applyBorder="1" applyAlignment="1">
      <alignment horizontal="center"/>
    </xf>
    <xf numFmtId="38" fontId="36" fillId="14" borderId="0" xfId="0" applyNumberFormat="1" applyFont="1" applyFill="1" applyAlignment="1">
      <alignment horizontal="center"/>
    </xf>
    <xf numFmtId="0" fontId="47" fillId="12" borderId="63" xfId="0" applyFont="1" applyFill="1" applyBorder="1" applyAlignment="1">
      <alignment horizontal="left"/>
    </xf>
    <xf numFmtId="38" fontId="36" fillId="0" borderId="13" xfId="1" applyNumberFormat="1" applyFont="1" applyBorder="1" applyAlignment="1">
      <alignment horizontal="center"/>
    </xf>
    <xf numFmtId="38" fontId="36" fillId="0" borderId="1" xfId="1" applyNumberFormat="1" applyFont="1" applyBorder="1" applyAlignment="1">
      <alignment horizontal="center"/>
    </xf>
    <xf numFmtId="38" fontId="41" fillId="11" borderId="9" xfId="0" applyNumberFormat="1" applyFont="1" applyFill="1" applyBorder="1" applyAlignment="1">
      <alignment horizontal="center"/>
    </xf>
    <xf numFmtId="38" fontId="36" fillId="11" borderId="9" xfId="1" applyNumberFormat="1" applyFont="1" applyFill="1" applyBorder="1" applyAlignment="1">
      <alignment horizontal="center"/>
    </xf>
    <xf numFmtId="38" fontId="36" fillId="11" borderId="11" xfId="0" applyNumberFormat="1" applyFont="1" applyFill="1" applyBorder="1" applyAlignment="1">
      <alignment horizontal="center"/>
    </xf>
    <xf numFmtId="38" fontId="41" fillId="11" borderId="11" xfId="0" applyNumberFormat="1" applyFont="1" applyFill="1" applyBorder="1" applyAlignment="1">
      <alignment horizontal="center"/>
    </xf>
    <xf numFmtId="38" fontId="36" fillId="11" borderId="11" xfId="1" applyNumberFormat="1" applyFont="1" applyFill="1" applyBorder="1" applyAlignment="1">
      <alignment horizontal="center"/>
    </xf>
    <xf numFmtId="38" fontId="36" fillId="11" borderId="61" xfId="0" applyNumberFormat="1" applyFont="1" applyFill="1" applyBorder="1" applyAlignment="1">
      <alignment horizontal="center"/>
    </xf>
    <xf numFmtId="38" fontId="36" fillId="11" borderId="18" xfId="0" applyNumberFormat="1" applyFont="1" applyFill="1" applyBorder="1" applyAlignment="1">
      <alignment horizontal="center"/>
    </xf>
    <xf numFmtId="38" fontId="36" fillId="11" borderId="52" xfId="0" applyNumberFormat="1" applyFont="1" applyFill="1" applyBorder="1" applyAlignment="1">
      <alignment horizontal="center"/>
    </xf>
    <xf numFmtId="38" fontId="36" fillId="11" borderId="39" xfId="0" applyNumberFormat="1" applyFont="1" applyFill="1" applyBorder="1" applyAlignment="1">
      <alignment horizontal="center"/>
    </xf>
    <xf numFmtId="38" fontId="36" fillId="11" borderId="56" xfId="0" applyNumberFormat="1" applyFont="1" applyFill="1" applyBorder="1" applyAlignment="1">
      <alignment horizontal="center"/>
    </xf>
    <xf numFmtId="38" fontId="36" fillId="11" borderId="57" xfId="0" applyNumberFormat="1" applyFont="1" applyFill="1" applyBorder="1" applyAlignment="1">
      <alignment horizontal="center"/>
    </xf>
    <xf numFmtId="38" fontId="36" fillId="11" borderId="75" xfId="0" applyNumberFormat="1" applyFont="1" applyFill="1" applyBorder="1" applyAlignment="1">
      <alignment horizontal="center"/>
    </xf>
    <xf numFmtId="38" fontId="41" fillId="11" borderId="57" xfId="0" applyNumberFormat="1" applyFont="1" applyFill="1" applyBorder="1" applyAlignment="1">
      <alignment horizontal="center"/>
    </xf>
    <xf numFmtId="38" fontId="44" fillId="11" borderId="57" xfId="0" applyNumberFormat="1" applyFont="1" applyFill="1" applyBorder="1" applyAlignment="1">
      <alignment horizontal="center"/>
    </xf>
    <xf numFmtId="38" fontId="36" fillId="11" borderId="8" xfId="0" applyNumberFormat="1" applyFont="1" applyFill="1" applyBorder="1" applyAlignment="1">
      <alignment horizontal="center"/>
    </xf>
    <xf numFmtId="38" fontId="36" fillId="11" borderId="10" xfId="0" applyNumberFormat="1" applyFont="1" applyFill="1" applyBorder="1" applyAlignment="1">
      <alignment horizontal="center"/>
    </xf>
    <xf numFmtId="38" fontId="24" fillId="0" borderId="0" xfId="0" applyNumberFormat="1" applyFont="1" applyAlignment="1">
      <alignment horizontal="center" vertical="center"/>
    </xf>
    <xf numFmtId="17" fontId="3" fillId="0" borderId="23" xfId="0" applyNumberFormat="1" applyFont="1" applyBorder="1"/>
    <xf numFmtId="0" fontId="3" fillId="0" borderId="14" xfId="0" applyFont="1" applyBorder="1"/>
    <xf numFmtId="0" fontId="3" fillId="0" borderId="50" xfId="0" applyFont="1" applyBorder="1"/>
    <xf numFmtId="0" fontId="3" fillId="0" borderId="80" xfId="0" applyFont="1" applyBorder="1"/>
    <xf numFmtId="0" fontId="3" fillId="0" borderId="55" xfId="0" applyFont="1" applyBorder="1"/>
    <xf numFmtId="0" fontId="3" fillId="0" borderId="69" xfId="0" applyFont="1" applyBorder="1"/>
    <xf numFmtId="0" fontId="3" fillId="0" borderId="78" xfId="0" applyFont="1" applyBorder="1"/>
    <xf numFmtId="0" fontId="3" fillId="0" borderId="34" xfId="0" applyFont="1" applyBorder="1"/>
    <xf numFmtId="0" fontId="0" fillId="0" borderId="30" xfId="0" applyBorder="1"/>
    <xf numFmtId="0" fontId="0" fillId="0" borderId="81" xfId="0" applyBorder="1"/>
    <xf numFmtId="0" fontId="0" fillId="0" borderId="37" xfId="0" applyBorder="1"/>
    <xf numFmtId="0" fontId="0" fillId="0" borderId="60" xfId="0" applyBorder="1"/>
    <xf numFmtId="165" fontId="0" fillId="0" borderId="5" xfId="1" applyNumberFormat="1" applyFont="1" applyFill="1" applyBorder="1"/>
    <xf numFmtId="165" fontId="0" fillId="0" borderId="80" xfId="1" applyNumberFormat="1" applyFont="1" applyFill="1" applyBorder="1"/>
    <xf numFmtId="43" fontId="0" fillId="0" borderId="5" xfId="1" applyFont="1" applyBorder="1"/>
    <xf numFmtId="43" fontId="0" fillId="0" borderId="5" xfId="1" applyFont="1" applyFill="1" applyBorder="1"/>
    <xf numFmtId="43" fontId="0" fillId="0" borderId="25" xfId="1" applyFont="1" applyFill="1" applyBorder="1"/>
    <xf numFmtId="165" fontId="0" fillId="0" borderId="72" xfId="0" applyNumberFormat="1" applyBorder="1"/>
    <xf numFmtId="165" fontId="0" fillId="0" borderId="5" xfId="0" applyNumberFormat="1" applyBorder="1"/>
    <xf numFmtId="165" fontId="0" fillId="0" borderId="80" xfId="0" applyNumberFormat="1" applyBorder="1"/>
    <xf numFmtId="164" fontId="0" fillId="0" borderId="0" xfId="0" applyNumberFormat="1"/>
    <xf numFmtId="165" fontId="0" fillId="0" borderId="30" xfId="1" applyNumberFormat="1" applyFont="1" applyBorder="1"/>
    <xf numFmtId="165" fontId="0" fillId="0" borderId="81" xfId="1" applyNumberFormat="1" applyFont="1" applyBorder="1"/>
    <xf numFmtId="165" fontId="0" fillId="0" borderId="37" xfId="1" applyNumberFormat="1" applyFont="1" applyBorder="1"/>
    <xf numFmtId="43" fontId="0" fillId="0" borderId="81" xfId="1" applyFont="1" applyBorder="1"/>
    <xf numFmtId="165" fontId="0" fillId="0" borderId="60" xfId="0" applyNumberFormat="1" applyBorder="1"/>
    <xf numFmtId="165" fontId="0" fillId="0" borderId="81" xfId="0" applyNumberFormat="1" applyBorder="1"/>
    <xf numFmtId="165" fontId="0" fillId="0" borderId="37" xfId="0" applyNumberFormat="1" applyBorder="1"/>
    <xf numFmtId="165" fontId="0" fillId="0" borderId="80" xfId="1" applyNumberFormat="1" applyFont="1" applyBorder="1"/>
    <xf numFmtId="43" fontId="0" fillId="0" borderId="25" xfId="1" applyFont="1" applyBorder="1"/>
    <xf numFmtId="0" fontId="3" fillId="0" borderId="40" xfId="0" applyFont="1" applyBorder="1"/>
    <xf numFmtId="165" fontId="3" fillId="0" borderId="10" xfId="1" applyNumberFormat="1" applyFont="1" applyBorder="1"/>
    <xf numFmtId="165" fontId="3" fillId="0" borderId="79" xfId="1" applyNumberFormat="1" applyFont="1" applyBorder="1"/>
    <xf numFmtId="0" fontId="3" fillId="0" borderId="10" xfId="0" applyFont="1" applyBorder="1"/>
    <xf numFmtId="43" fontId="3" fillId="0" borderId="10" xfId="1" applyFont="1" applyBorder="1"/>
    <xf numFmtId="43" fontId="3" fillId="0" borderId="28" xfId="1" applyFont="1" applyBorder="1"/>
    <xf numFmtId="165" fontId="3" fillId="0" borderId="53" xfId="0" applyNumberFormat="1" applyFont="1" applyBorder="1"/>
    <xf numFmtId="165" fontId="3" fillId="0" borderId="10" xfId="0" applyNumberFormat="1" applyFont="1" applyBorder="1"/>
    <xf numFmtId="165" fontId="3" fillId="0" borderId="79" xfId="0" applyNumberFormat="1" applyFont="1" applyBorder="1"/>
    <xf numFmtId="0" fontId="3" fillId="0" borderId="82" xfId="0" applyFont="1" applyBorder="1"/>
    <xf numFmtId="165" fontId="3" fillId="0" borderId="83" xfId="0" applyNumberFormat="1" applyFont="1" applyBorder="1"/>
    <xf numFmtId="165" fontId="3" fillId="0" borderId="84" xfId="0" applyNumberFormat="1" applyFont="1" applyBorder="1"/>
    <xf numFmtId="165" fontId="3" fillId="0" borderId="85" xfId="0" applyNumberFormat="1" applyFont="1" applyBorder="1"/>
    <xf numFmtId="43" fontId="3" fillId="0" borderId="84" xfId="1" applyFont="1" applyBorder="1"/>
    <xf numFmtId="43" fontId="3" fillId="0" borderId="41" xfId="1" applyFont="1" applyBorder="1"/>
    <xf numFmtId="165" fontId="3" fillId="0" borderId="86" xfId="0" applyNumberFormat="1" applyFont="1" applyBorder="1"/>
    <xf numFmtId="0" fontId="0" fillId="0" borderId="65" xfId="0" applyBorder="1"/>
    <xf numFmtId="0" fontId="0" fillId="0" borderId="51" xfId="0" applyBorder="1"/>
    <xf numFmtId="0" fontId="0" fillId="0" borderId="70" xfId="0" applyBorder="1"/>
    <xf numFmtId="0" fontId="0" fillId="0" borderId="66" xfId="0" applyBorder="1"/>
    <xf numFmtId="0" fontId="0" fillId="0" borderId="20" xfId="0" applyBorder="1"/>
    <xf numFmtId="0" fontId="0" fillId="0" borderId="68" xfId="0" applyBorder="1"/>
    <xf numFmtId="165" fontId="0" fillId="0" borderId="25" xfId="1" applyNumberFormat="1" applyFont="1" applyFill="1" applyBorder="1"/>
    <xf numFmtId="165" fontId="0" fillId="0" borderId="0" xfId="1" applyNumberFormat="1" applyFont="1" applyBorder="1"/>
    <xf numFmtId="165" fontId="0" fillId="0" borderId="25" xfId="1" applyNumberFormat="1" applyFont="1" applyBorder="1"/>
    <xf numFmtId="165" fontId="3" fillId="0" borderId="28" xfId="1" applyNumberFormat="1" applyFont="1" applyBorder="1"/>
    <xf numFmtId="165" fontId="3" fillId="0" borderId="5" xfId="0" applyNumberFormat="1" applyFont="1" applyBorder="1"/>
    <xf numFmtId="165" fontId="3" fillId="0" borderId="80" xfId="0" applyNumberFormat="1" applyFont="1" applyBorder="1"/>
    <xf numFmtId="165" fontId="3" fillId="0" borderId="5" xfId="1" applyNumberFormat="1" applyFont="1" applyBorder="1"/>
    <xf numFmtId="165" fontId="3" fillId="0" borderId="72" xfId="0" applyNumberFormat="1" applyFont="1" applyBorder="1"/>
    <xf numFmtId="0" fontId="0" fillId="0" borderId="34" xfId="0" applyBorder="1"/>
    <xf numFmtId="0" fontId="0" fillId="0" borderId="31" xfId="0" applyBorder="1"/>
    <xf numFmtId="0" fontId="0" fillId="0" borderId="19" xfId="0" applyBorder="1"/>
    <xf numFmtId="0" fontId="0" fillId="0" borderId="87" xfId="0" applyBorder="1"/>
    <xf numFmtId="165" fontId="0" fillId="0" borderId="87" xfId="1" applyNumberFormat="1" applyFont="1" applyBorder="1"/>
    <xf numFmtId="0" fontId="0" fillId="0" borderId="64" xfId="0" applyBorder="1"/>
    <xf numFmtId="165" fontId="0" fillId="0" borderId="51" xfId="1" applyNumberFormat="1" applyFont="1" applyBorder="1"/>
    <xf numFmtId="165" fontId="0" fillId="0" borderId="70" xfId="1" applyNumberFormat="1" applyFont="1" applyBorder="1"/>
    <xf numFmtId="165" fontId="0" fillId="0" borderId="70" xfId="0" applyNumberFormat="1" applyBorder="1"/>
    <xf numFmtId="165" fontId="0" fillId="0" borderId="66" xfId="0" applyNumberFormat="1" applyBorder="1"/>
    <xf numFmtId="0" fontId="3" fillId="0" borderId="41" xfId="0" applyFont="1" applyBorder="1"/>
    <xf numFmtId="165" fontId="3" fillId="0" borderId="41" xfId="0" applyNumberFormat="1" applyFont="1" applyBorder="1"/>
    <xf numFmtId="43" fontId="3" fillId="0" borderId="0" xfId="0" applyNumberFormat="1" applyFont="1" applyAlignment="1">
      <alignment horizontal="right"/>
    </xf>
    <xf numFmtId="40" fontId="3" fillId="0" borderId="0" xfId="0" applyNumberFormat="1" applyFont="1" applyAlignment="1">
      <alignment horizontal="right"/>
    </xf>
    <xf numFmtId="17" fontId="3" fillId="0" borderId="0" xfId="0" applyNumberFormat="1" applyFont="1" applyAlignment="1">
      <alignment horizontal="center"/>
    </xf>
    <xf numFmtId="43" fontId="3" fillId="0" borderId="62" xfId="1" applyFont="1" applyFill="1" applyBorder="1"/>
    <xf numFmtId="40" fontId="3" fillId="0" borderId="0" xfId="0" applyNumberFormat="1" applyFont="1"/>
    <xf numFmtId="43" fontId="0" fillId="0" borderId="62" xfId="0" applyNumberFormat="1" applyBorder="1"/>
    <xf numFmtId="40" fontId="0" fillId="0" borderId="62" xfId="0" applyNumberFormat="1" applyBorder="1"/>
    <xf numFmtId="0" fontId="0" fillId="11" borderId="0" xfId="0" applyFill="1"/>
    <xf numFmtId="43" fontId="0" fillId="11" borderId="0" xfId="1" applyFont="1" applyFill="1"/>
    <xf numFmtId="40" fontId="0" fillId="11" borderId="0" xfId="0" applyNumberFormat="1" applyFill="1"/>
    <xf numFmtId="43" fontId="3" fillId="0" borderId="62" xfId="0" applyNumberFormat="1" applyFont="1" applyBorder="1"/>
    <xf numFmtId="170" fontId="0" fillId="0" borderId="0" xfId="0" applyNumberFormat="1"/>
    <xf numFmtId="171" fontId="0" fillId="0" borderId="0" xfId="0" applyNumberFormat="1"/>
    <xf numFmtId="43" fontId="3" fillId="0" borderId="18" xfId="1" applyFont="1" applyBorder="1"/>
    <xf numFmtId="43" fontId="0" fillId="0" borderId="28" xfId="1" applyFont="1" applyBorder="1"/>
    <xf numFmtId="43" fontId="0" fillId="0" borderId="28" xfId="1" applyFont="1" applyBorder="1" applyAlignment="1">
      <alignment horizontal="center"/>
    </xf>
    <xf numFmtId="43" fontId="0" fillId="0" borderId="10" xfId="1" applyFont="1" applyBorder="1"/>
    <xf numFmtId="17" fontId="3" fillId="0" borderId="28" xfId="1" applyNumberFormat="1" applyFont="1" applyBorder="1"/>
    <xf numFmtId="43" fontId="0" fillId="0" borderId="18" xfId="1" applyFont="1" applyBorder="1"/>
    <xf numFmtId="43" fontId="0" fillId="0" borderId="29" xfId="1" applyFont="1" applyBorder="1"/>
    <xf numFmtId="43" fontId="0" fillId="0" borderId="0" xfId="1" applyFont="1" applyBorder="1" applyAlignment="1">
      <alignment horizontal="center"/>
    </xf>
    <xf numFmtId="43" fontId="3" fillId="0" borderId="29" xfId="1" applyFont="1" applyBorder="1"/>
    <xf numFmtId="43" fontId="3" fillId="0" borderId="0" xfId="1" applyFont="1" applyBorder="1"/>
    <xf numFmtId="43" fontId="3" fillId="0" borderId="0" xfId="1" applyFont="1" applyBorder="1" applyAlignment="1">
      <alignment horizontal="center"/>
    </xf>
    <xf numFmtId="43" fontId="3" fillId="0" borderId="81" xfId="1" applyFont="1" applyBorder="1"/>
    <xf numFmtId="38" fontId="3" fillId="0" borderId="29" xfId="1" applyNumberFormat="1" applyFont="1" applyBorder="1" applyAlignment="1">
      <alignment horizontal="center"/>
    </xf>
    <xf numFmtId="43" fontId="3" fillId="0" borderId="17" xfId="1" applyFont="1" applyBorder="1"/>
    <xf numFmtId="43" fontId="3" fillId="0" borderId="25" xfId="1" applyFont="1" applyBorder="1"/>
    <xf numFmtId="43" fontId="3" fillId="0" borderId="25" xfId="1" applyFont="1" applyBorder="1" applyAlignment="1">
      <alignment horizontal="center"/>
    </xf>
    <xf numFmtId="43" fontId="3" fillId="0" borderId="5" xfId="1" applyFont="1" applyBorder="1"/>
    <xf numFmtId="38" fontId="3" fillId="0" borderId="17" xfId="1" applyNumberFormat="1" applyFont="1" applyBorder="1" applyAlignment="1">
      <alignment horizontal="center"/>
    </xf>
    <xf numFmtId="43" fontId="0" fillId="0" borderId="81" xfId="1" applyFont="1" applyFill="1" applyBorder="1"/>
    <xf numFmtId="43" fontId="0" fillId="0" borderId="0" xfId="1" applyFont="1" applyFill="1" applyBorder="1"/>
    <xf numFmtId="38" fontId="0" fillId="0" borderId="0" xfId="1" applyNumberFormat="1" applyFont="1" applyBorder="1" applyAlignment="1">
      <alignment horizontal="center"/>
    </xf>
    <xf numFmtId="38" fontId="2" fillId="0" borderId="0" xfId="1" applyNumberFormat="1" applyFont="1" applyFill="1" applyBorder="1" applyAlignment="1">
      <alignment horizontal="right"/>
    </xf>
    <xf numFmtId="38" fontId="0" fillId="0" borderId="25" xfId="1" applyNumberFormat="1" applyFont="1" applyBorder="1" applyAlignment="1">
      <alignment horizontal="center"/>
    </xf>
    <xf numFmtId="43" fontId="0" fillId="0" borderId="25" xfId="1" applyFont="1" applyBorder="1" applyAlignment="1">
      <alignment horizontal="center"/>
    </xf>
    <xf numFmtId="38" fontId="0" fillId="0" borderId="28" xfId="1" applyNumberFormat="1" applyFont="1" applyBorder="1" applyAlignment="1">
      <alignment horizontal="center"/>
    </xf>
    <xf numFmtId="43" fontId="0" fillId="0" borderId="0" xfId="4" applyFont="1"/>
    <xf numFmtId="38" fontId="2" fillId="0" borderId="0" xfId="1" applyNumberFormat="1" applyFont="1" applyBorder="1" applyAlignment="1">
      <alignment horizontal="right"/>
    </xf>
    <xf numFmtId="38" fontId="0" fillId="0" borderId="0" xfId="1" applyNumberFormat="1" applyFont="1" applyFill="1" applyBorder="1" applyAlignment="1">
      <alignment horizontal="center"/>
    </xf>
    <xf numFmtId="38" fontId="3" fillId="0" borderId="25" xfId="1" applyNumberFormat="1" applyFont="1" applyFill="1" applyBorder="1" applyAlignment="1">
      <alignment horizontal="center"/>
    </xf>
    <xf numFmtId="43" fontId="3" fillId="0" borderId="5" xfId="1" applyFont="1" applyFill="1" applyBorder="1"/>
    <xf numFmtId="43" fontId="3" fillId="0" borderId="9" xfId="1" applyFont="1" applyBorder="1"/>
    <xf numFmtId="43" fontId="3" fillId="6" borderId="29" xfId="1" applyFont="1" applyFill="1" applyBorder="1"/>
    <xf numFmtId="38" fontId="0" fillId="6" borderId="0" xfId="1" applyNumberFormat="1" applyFont="1" applyFill="1" applyBorder="1" applyAlignment="1">
      <alignment horizontal="center"/>
    </xf>
    <xf numFmtId="43" fontId="3" fillId="0" borderId="29" xfId="1" applyFont="1" applyFill="1" applyBorder="1"/>
    <xf numFmtId="38" fontId="2" fillId="0" borderId="0" xfId="1" applyNumberFormat="1" applyFont="1" applyFill="1" applyBorder="1" applyAlignment="1">
      <alignment horizontal="center"/>
    </xf>
    <xf numFmtId="43" fontId="2" fillId="0" borderId="81" xfId="1" applyFont="1" applyFill="1" applyBorder="1"/>
    <xf numFmtId="38" fontId="52" fillId="0" borderId="0" xfId="1" applyNumberFormat="1" applyFont="1" applyBorder="1" applyAlignment="1">
      <alignment horizontal="right"/>
    </xf>
    <xf numFmtId="43" fontId="0" fillId="0" borderId="29" xfId="1" applyFont="1" applyFill="1" applyBorder="1"/>
    <xf numFmtId="43" fontId="2" fillId="15" borderId="0" xfId="1" applyFont="1" applyFill="1" applyBorder="1" applyAlignment="1">
      <alignment horizontal="center"/>
    </xf>
    <xf numFmtId="43" fontId="0" fillId="0" borderId="81" xfId="0" applyNumberFormat="1" applyBorder="1"/>
    <xf numFmtId="43" fontId="0" fillId="0" borderId="0" xfId="1" applyFont="1" applyFill="1" applyBorder="1" applyAlignment="1">
      <alignment horizontal="center"/>
    </xf>
    <xf numFmtId="43" fontId="3" fillId="0" borderId="88" xfId="1" applyFont="1" applyBorder="1"/>
    <xf numFmtId="165" fontId="0" fillId="11" borderId="29" xfId="1" applyNumberFormat="1" applyFont="1" applyFill="1" applyBorder="1"/>
    <xf numFmtId="165" fontId="0" fillId="0" borderId="29" xfId="1" applyNumberFormat="1" applyFont="1" applyBorder="1"/>
    <xf numFmtId="43" fontId="0" fillId="0" borderId="17" xfId="1" applyFont="1" applyBorder="1"/>
    <xf numFmtId="43" fontId="40" fillId="11" borderId="25" xfId="1" applyFont="1" applyFill="1" applyBorder="1"/>
    <xf numFmtId="43" fontId="0" fillId="11" borderId="25" xfId="1" applyFont="1" applyFill="1" applyBorder="1" applyAlignment="1">
      <alignment horizontal="center"/>
    </xf>
    <xf numFmtId="43" fontId="0" fillId="14" borderId="17" xfId="1" applyFont="1" applyFill="1" applyBorder="1"/>
    <xf numFmtId="43" fontId="2" fillId="0" borderId="0" xfId="1" applyFont="1" applyBorder="1"/>
    <xf numFmtId="165" fontId="3" fillId="6" borderId="0" xfId="1" applyNumberFormat="1" applyFont="1" applyFill="1" applyBorder="1"/>
    <xf numFmtId="43" fontId="2" fillId="0" borderId="0" xfId="1" applyFont="1" applyBorder="1" applyAlignment="1">
      <alignment horizontal="center"/>
    </xf>
    <xf numFmtId="165" fontId="3" fillId="0" borderId="0" xfId="1" applyNumberFormat="1" applyFont="1" applyBorder="1"/>
    <xf numFmtId="165" fontId="0" fillId="0" borderId="0" xfId="1" applyNumberFormat="1" applyFont="1" applyFill="1" applyBorder="1"/>
    <xf numFmtId="43" fontId="2" fillId="0" borderId="0" xfId="1" applyFont="1"/>
    <xf numFmtId="43" fontId="2" fillId="0" borderId="0" xfId="1" applyFont="1" applyAlignment="1">
      <alignment horizontal="center"/>
    </xf>
    <xf numFmtId="38" fontId="2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center" vertical="center"/>
    </xf>
    <xf numFmtId="43" fontId="3" fillId="0" borderId="0" xfId="1" applyFont="1" applyAlignment="1">
      <alignment horizontal="center"/>
    </xf>
    <xf numFmtId="43" fontId="2" fillId="0" borderId="28" xfId="1" applyFont="1" applyBorder="1"/>
    <xf numFmtId="43" fontId="2" fillId="0" borderId="28" xfId="1" applyFont="1" applyBorder="1" applyAlignment="1">
      <alignment horizontal="center"/>
    </xf>
    <xf numFmtId="38" fontId="2" fillId="0" borderId="18" xfId="1" applyNumberFormat="1" applyFont="1" applyBorder="1" applyAlignment="1">
      <alignment horizontal="center"/>
    </xf>
    <xf numFmtId="43" fontId="2" fillId="0" borderId="10" xfId="1" applyFont="1" applyBorder="1"/>
    <xf numFmtId="165" fontId="2" fillId="0" borderId="18" xfId="1" applyNumberFormat="1" applyFont="1" applyBorder="1" applyAlignment="1">
      <alignment horizontal="center" vertical="center"/>
    </xf>
    <xf numFmtId="43" fontId="2" fillId="0" borderId="29" xfId="1" applyFont="1" applyBorder="1"/>
    <xf numFmtId="38" fontId="2" fillId="0" borderId="29" xfId="1" applyNumberFormat="1" applyFont="1" applyBorder="1" applyAlignment="1">
      <alignment horizontal="center"/>
    </xf>
    <xf numFmtId="43" fontId="2" fillId="0" borderId="81" xfId="1" applyFont="1" applyBorder="1"/>
    <xf numFmtId="165" fontId="2" fillId="0" borderId="29" xfId="1" applyNumberFormat="1" applyFont="1" applyBorder="1" applyAlignment="1">
      <alignment horizontal="center" vertical="center"/>
    </xf>
    <xf numFmtId="165" fontId="3" fillId="0" borderId="29" xfId="1" applyNumberFormat="1" applyFont="1" applyBorder="1" applyAlignment="1">
      <alignment horizontal="center" vertical="center"/>
    </xf>
    <xf numFmtId="165" fontId="3" fillId="0" borderId="17" xfId="1" applyNumberFormat="1" applyFont="1" applyBorder="1" applyAlignment="1">
      <alignment horizontal="center" vertical="center"/>
    </xf>
    <xf numFmtId="38" fontId="2" fillId="0" borderId="29" xfId="1" applyNumberFormat="1" applyFont="1" applyBorder="1" applyAlignment="1"/>
    <xf numFmtId="43" fontId="2" fillId="11" borderId="81" xfId="1" applyFont="1" applyFill="1" applyBorder="1"/>
    <xf numFmtId="38" fontId="2" fillId="0" borderId="25" xfId="1" applyNumberFormat="1" applyFont="1" applyBorder="1" applyAlignment="1">
      <alignment horizontal="center"/>
    </xf>
    <xf numFmtId="38" fontId="2" fillId="0" borderId="17" xfId="1" applyNumberFormat="1" applyFont="1" applyBorder="1" applyAlignment="1"/>
    <xf numFmtId="43" fontId="2" fillId="0" borderId="25" xfId="1" applyFont="1" applyBorder="1"/>
    <xf numFmtId="43" fontId="2" fillId="0" borderId="25" xfId="1" applyFont="1" applyBorder="1" applyAlignment="1">
      <alignment horizontal="center"/>
    </xf>
    <xf numFmtId="43" fontId="2" fillId="0" borderId="5" xfId="1" applyFont="1" applyBorder="1"/>
    <xf numFmtId="38" fontId="2" fillId="5" borderId="29" xfId="1" applyNumberFormat="1" applyFont="1" applyFill="1" applyBorder="1" applyAlignment="1"/>
    <xf numFmtId="38" fontId="2" fillId="5" borderId="17" xfId="1" applyNumberFormat="1" applyFont="1" applyFill="1" applyBorder="1" applyAlignment="1"/>
    <xf numFmtId="38" fontId="2" fillId="0" borderId="0" xfId="1" applyNumberFormat="1" applyFont="1" applyBorder="1" applyAlignment="1">
      <alignment horizontal="center"/>
    </xf>
    <xf numFmtId="165" fontId="2" fillId="0" borderId="0" xfId="1" applyNumberFormat="1" applyFont="1" applyBorder="1" applyAlignment="1">
      <alignment horizontal="center" vertical="center"/>
    </xf>
    <xf numFmtId="38" fontId="3" fillId="0" borderId="25" xfId="1" applyNumberFormat="1" applyFont="1" applyBorder="1" applyAlignment="1">
      <alignment horizontal="center"/>
    </xf>
    <xf numFmtId="43" fontId="3" fillId="0" borderId="9" xfId="1" applyFont="1" applyBorder="1" applyAlignment="1">
      <alignment horizontal="left"/>
    </xf>
    <xf numFmtId="43" fontId="3" fillId="6" borderId="28" xfId="1" applyFont="1" applyFill="1" applyBorder="1"/>
    <xf numFmtId="165" fontId="2" fillId="0" borderId="29" xfId="1" applyNumberFormat="1" applyFont="1" applyBorder="1" applyAlignment="1">
      <alignment horizontal="left"/>
    </xf>
    <xf numFmtId="165" fontId="2" fillId="6" borderId="29" xfId="1" applyNumberFormat="1" applyFont="1" applyFill="1" applyBorder="1" applyAlignment="1">
      <alignment horizontal="left"/>
    </xf>
    <xf numFmtId="165" fontId="3" fillId="17" borderId="89" xfId="1" applyNumberFormat="1" applyFont="1" applyFill="1" applyBorder="1" applyAlignment="1">
      <alignment horizontal="left"/>
    </xf>
    <xf numFmtId="38" fontId="3" fillId="0" borderId="89" xfId="1" applyNumberFormat="1" applyFont="1" applyFill="1" applyBorder="1" applyAlignment="1">
      <alignment horizontal="center"/>
    </xf>
    <xf numFmtId="165" fontId="2" fillId="13" borderId="17" xfId="1" applyNumberFormat="1" applyFont="1" applyFill="1" applyBorder="1" applyAlignment="1">
      <alignment horizontal="left"/>
    </xf>
    <xf numFmtId="165" fontId="2" fillId="13" borderId="17" xfId="1" applyNumberFormat="1" applyFont="1" applyFill="1" applyBorder="1" applyAlignment="1">
      <alignment horizontal="center" vertical="center"/>
    </xf>
    <xf numFmtId="38" fontId="2" fillId="0" borderId="29" xfId="1" applyNumberFormat="1" applyFont="1" applyFill="1" applyBorder="1" applyAlignment="1"/>
    <xf numFmtId="38" fontId="2" fillId="0" borderId="17" xfId="1" applyNumberFormat="1" applyFont="1" applyFill="1" applyBorder="1" applyAlignment="1"/>
    <xf numFmtId="38" fontId="2" fillId="0" borderId="0" xfId="1" applyNumberFormat="1" applyFont="1" applyBorder="1" applyAlignment="1"/>
    <xf numFmtId="38" fontId="3" fillId="0" borderId="61" xfId="1" applyNumberFormat="1" applyFont="1" applyBorder="1" applyAlignment="1">
      <alignment horizontal="center"/>
    </xf>
    <xf numFmtId="38" fontId="3" fillId="0" borderId="21" xfId="1" applyNumberFormat="1" applyFont="1" applyBorder="1" applyAlignment="1">
      <alignment horizontal="center"/>
    </xf>
    <xf numFmtId="43" fontId="3" fillId="0" borderId="8" xfId="1" applyFont="1" applyFill="1" applyBorder="1"/>
    <xf numFmtId="43" fontId="3" fillId="0" borderId="21" xfId="1" applyFont="1" applyBorder="1" applyAlignment="1">
      <alignment horizontal="left"/>
    </xf>
    <xf numFmtId="43" fontId="3" fillId="0" borderId="8" xfId="1" applyFont="1" applyBorder="1" applyAlignment="1">
      <alignment horizontal="left"/>
    </xf>
    <xf numFmtId="165" fontId="3" fillId="0" borderId="89" xfId="1" applyNumberFormat="1" applyFont="1" applyFill="1" applyBorder="1" applyAlignment="1">
      <alignment horizontal="left"/>
    </xf>
    <xf numFmtId="43" fontId="2" fillId="14" borderId="5" xfId="1" applyFont="1" applyFill="1" applyBorder="1"/>
    <xf numFmtId="38" fontId="2" fillId="0" borderId="28" xfId="1" applyNumberFormat="1" applyFont="1" applyBorder="1" applyAlignment="1">
      <alignment horizontal="center"/>
    </xf>
    <xf numFmtId="38" fontId="3" fillId="0" borderId="0" xfId="1" applyNumberFormat="1" applyFont="1" applyBorder="1" applyAlignment="1">
      <alignment horizontal="center"/>
    </xf>
    <xf numFmtId="43" fontId="3" fillId="0" borderId="8" xfId="1" applyFont="1" applyBorder="1"/>
    <xf numFmtId="38" fontId="2" fillId="6" borderId="29" xfId="1" applyNumberFormat="1" applyFont="1" applyFill="1" applyBorder="1" applyAlignment="1"/>
    <xf numFmtId="38" fontId="3" fillId="0" borderId="0" xfId="1" applyNumberFormat="1" applyFont="1" applyAlignment="1">
      <alignment horizontal="center"/>
    </xf>
    <xf numFmtId="43" fontId="40" fillId="0" borderId="25" xfId="1" applyFont="1" applyBorder="1"/>
    <xf numFmtId="43" fontId="2" fillId="13" borderId="5" xfId="1" applyFont="1" applyFill="1" applyBorder="1"/>
    <xf numFmtId="43" fontId="0" fillId="0" borderId="0" xfId="4" applyFont="1" applyBorder="1"/>
    <xf numFmtId="38" fontId="2" fillId="0" borderId="0" xfId="1" applyNumberFormat="1" applyFont="1" applyFill="1" applyBorder="1" applyAlignment="1"/>
    <xf numFmtId="165" fontId="2" fillId="0" borderId="29" xfId="1" applyNumberFormat="1" applyFont="1" applyFill="1" applyBorder="1" applyAlignment="1">
      <alignment horizontal="left"/>
    </xf>
    <xf numFmtId="165" fontId="2" fillId="0" borderId="18" xfId="1" applyNumberFormat="1" applyFont="1" applyBorder="1" applyAlignment="1">
      <alignment horizontal="left"/>
    </xf>
    <xf numFmtId="43" fontId="2" fillId="0" borderId="28" xfId="1" applyFont="1" applyFill="1" applyBorder="1"/>
    <xf numFmtId="43" fontId="2" fillId="15" borderId="28" xfId="1" applyFont="1" applyFill="1" applyBorder="1" applyAlignment="1">
      <alignment horizontal="center"/>
    </xf>
    <xf numFmtId="165" fontId="2" fillId="11" borderId="17" xfId="1" applyNumberFormat="1" applyFont="1" applyFill="1" applyBorder="1" applyAlignment="1">
      <alignment horizontal="left"/>
    </xf>
    <xf numFmtId="165" fontId="40" fillId="0" borderId="0" xfId="1" applyNumberFormat="1" applyFont="1" applyFill="1" applyBorder="1" applyAlignment="1">
      <alignment horizontal="left"/>
    </xf>
    <xf numFmtId="38" fontId="39" fillId="0" borderId="0" xfId="1" applyNumberFormat="1" applyFont="1" applyAlignment="1">
      <alignment horizontal="center"/>
    </xf>
    <xf numFmtId="43" fontId="39" fillId="0" borderId="0" xfId="1" applyFont="1"/>
    <xf numFmtId="43" fontId="39" fillId="0" borderId="0" xfId="1" applyFont="1" applyAlignment="1">
      <alignment horizontal="center"/>
    </xf>
    <xf numFmtId="0" fontId="26" fillId="0" borderId="0" xfId="0" applyFont="1" applyAlignment="1">
      <alignment horizontal="center"/>
    </xf>
    <xf numFmtId="43" fontId="3" fillId="0" borderId="0" xfId="1" applyFont="1" applyFill="1" applyAlignment="1">
      <alignment horizontal="center"/>
    </xf>
    <xf numFmtId="43" fontId="7" fillId="0" borderId="0" xfId="1" applyFont="1" applyFill="1"/>
    <xf numFmtId="37" fontId="7" fillId="0" borderId="0" xfId="1" applyNumberFormat="1" applyFont="1" applyFill="1" applyAlignment="1">
      <alignment horizontal="center"/>
    </xf>
    <xf numFmtId="165" fontId="7" fillId="0" borderId="0" xfId="1" applyNumberFormat="1" applyFont="1" applyFill="1"/>
    <xf numFmtId="39" fontId="7" fillId="0" borderId="0" xfId="1" applyNumberFormat="1" applyFont="1" applyFill="1" applyAlignment="1">
      <alignment horizontal="center"/>
    </xf>
    <xf numFmtId="39" fontId="7" fillId="0" borderId="0" xfId="1" applyNumberFormat="1" applyFont="1" applyFill="1"/>
    <xf numFmtId="37" fontId="7" fillId="0" borderId="0" xfId="0" applyNumberFormat="1" applyFont="1"/>
    <xf numFmtId="172" fontId="7" fillId="0" borderId="0" xfId="0" applyNumberFormat="1" applyFont="1"/>
    <xf numFmtId="39" fontId="7" fillId="0" borderId="0" xfId="0" applyNumberFormat="1" applyFont="1"/>
    <xf numFmtId="0" fontId="26" fillId="0" borderId="62" xfId="0" applyFont="1" applyBorder="1" applyAlignment="1">
      <alignment horizontal="center"/>
    </xf>
    <xf numFmtId="0" fontId="26" fillId="0" borderId="62" xfId="0" applyFont="1" applyBorder="1"/>
    <xf numFmtId="37" fontId="26" fillId="0" borderId="62" xfId="1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/>
    <xf numFmtId="43" fontId="7" fillId="0" borderId="0" xfId="0" applyNumberFormat="1" applyFont="1"/>
    <xf numFmtId="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43" fontId="7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38" fontId="3" fillId="0" borderId="21" xfId="1" applyNumberFormat="1" applyFont="1" applyFill="1" applyBorder="1" applyAlignment="1">
      <alignment horizontal="center"/>
    </xf>
    <xf numFmtId="43" fontId="3" fillId="0" borderId="21" xfId="1" applyFont="1" applyBorder="1"/>
    <xf numFmtId="43" fontId="3" fillId="0" borderId="21" xfId="1" applyFont="1" applyBorder="1" applyAlignment="1">
      <alignment horizontal="center"/>
    </xf>
    <xf numFmtId="38" fontId="3" fillId="14" borderId="21" xfId="1" applyNumberFormat="1" applyFont="1" applyFill="1" applyBorder="1" applyAlignment="1">
      <alignment horizontal="center"/>
    </xf>
    <xf numFmtId="0" fontId="51" fillId="0" borderId="0" xfId="0" applyFont="1"/>
    <xf numFmtId="0" fontId="51" fillId="0" borderId="9" xfId="0" applyFont="1" applyBorder="1"/>
    <xf numFmtId="38" fontId="24" fillId="0" borderId="0" xfId="0" applyNumberFormat="1" applyFont="1" applyAlignment="1">
      <alignment horizontal="right"/>
    </xf>
    <xf numFmtId="37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38" fontId="36" fillId="0" borderId="0" xfId="0" applyNumberFormat="1" applyFont="1" applyAlignment="1">
      <alignment horizontal="right"/>
    </xf>
    <xf numFmtId="37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37" fontId="36" fillId="0" borderId="0" xfId="0" applyNumberFormat="1" applyFont="1" applyAlignment="1">
      <alignment horizontal="right"/>
    </xf>
    <xf numFmtId="165" fontId="36" fillId="0" borderId="0" xfId="0" applyNumberFormat="1" applyFont="1" applyAlignment="1">
      <alignment horizontal="right"/>
    </xf>
    <xf numFmtId="0" fontId="36" fillId="0" borderId="0" xfId="0" applyFont="1" applyAlignment="1">
      <alignment horizontal="right"/>
    </xf>
    <xf numFmtId="0" fontId="24" fillId="0" borderId="1" xfId="0" applyFont="1" applyBorder="1" applyAlignment="1">
      <alignment wrapText="1"/>
    </xf>
    <xf numFmtId="38" fontId="24" fillId="0" borderId="3" xfId="0" applyNumberFormat="1" applyFont="1" applyBorder="1" applyAlignment="1">
      <alignment horizontal="right" wrapText="1"/>
    </xf>
    <xf numFmtId="38" fontId="24" fillId="0" borderId="15" xfId="0" applyNumberFormat="1" applyFont="1" applyBorder="1" applyAlignment="1">
      <alignment horizontal="right" wrapText="1"/>
    </xf>
    <xf numFmtId="38" fontId="24" fillId="0" borderId="16" xfId="0" applyNumberFormat="1" applyFont="1" applyBorder="1" applyAlignment="1">
      <alignment horizontal="right" wrapText="1"/>
    </xf>
    <xf numFmtId="37" fontId="24" fillId="0" borderId="16" xfId="0" applyNumberFormat="1" applyFont="1" applyBorder="1" applyAlignment="1">
      <alignment horizontal="right" wrapText="1"/>
    </xf>
    <xf numFmtId="38" fontId="24" fillId="0" borderId="4" xfId="0" applyNumberFormat="1" applyFont="1" applyBorder="1" applyAlignment="1">
      <alignment horizontal="right" wrapText="1"/>
    </xf>
    <xf numFmtId="0" fontId="24" fillId="0" borderId="0" xfId="0" applyFont="1" applyAlignment="1">
      <alignment horizontal="right" wrapText="1"/>
    </xf>
    <xf numFmtId="0" fontId="24" fillId="0" borderId="0" xfId="0" applyFont="1" applyAlignment="1">
      <alignment wrapText="1"/>
    </xf>
    <xf numFmtId="0" fontId="54" fillId="0" borderId="0" xfId="0" applyFont="1"/>
    <xf numFmtId="39" fontId="36" fillId="0" borderId="9" xfId="1" applyNumberFormat="1" applyFont="1" applyFill="1" applyBorder="1" applyAlignment="1">
      <alignment horizontal="right"/>
    </xf>
    <xf numFmtId="39" fontId="36" fillId="0" borderId="5" xfId="1" applyNumberFormat="1" applyFont="1" applyFill="1" applyBorder="1" applyAlignment="1">
      <alignment horizontal="right"/>
    </xf>
    <xf numFmtId="39" fontId="36" fillId="0" borderId="6" xfId="1" applyNumberFormat="1" applyFont="1" applyFill="1" applyBorder="1" applyAlignment="1">
      <alignment horizontal="right"/>
    </xf>
    <xf numFmtId="39" fontId="36" fillId="0" borderId="17" xfId="1" applyNumberFormat="1" applyFont="1" applyFill="1" applyBorder="1" applyAlignment="1">
      <alignment horizontal="right"/>
    </xf>
    <xf numFmtId="39" fontId="36" fillId="0" borderId="7" xfId="1" applyNumberFormat="1" applyFont="1" applyFill="1" applyBorder="1" applyAlignment="1">
      <alignment horizontal="right"/>
    </xf>
    <xf numFmtId="38" fontId="36" fillId="0" borderId="7" xfId="1" applyNumberFormat="1" applyFont="1" applyFill="1" applyBorder="1" applyAlignment="1">
      <alignment horizontal="right"/>
    </xf>
    <xf numFmtId="39" fontId="36" fillId="0" borderId="8" xfId="1" applyNumberFormat="1" applyFont="1" applyFill="1" applyBorder="1" applyAlignment="1">
      <alignment horizontal="right"/>
    </xf>
    <xf numFmtId="39" fontId="36" fillId="0" borderId="9" xfId="0" applyNumberFormat="1" applyFont="1" applyBorder="1"/>
    <xf numFmtId="39" fontId="36" fillId="0" borderId="11" xfId="1" applyNumberFormat="1" applyFont="1" applyFill="1" applyBorder="1" applyAlignment="1">
      <alignment horizontal="right"/>
    </xf>
    <xf numFmtId="39" fontId="36" fillId="0" borderId="51" xfId="1" applyNumberFormat="1" applyFont="1" applyFill="1" applyBorder="1" applyAlignment="1">
      <alignment horizontal="right"/>
    </xf>
    <xf numFmtId="39" fontId="36" fillId="0" borderId="57" xfId="1" applyNumberFormat="1" applyFont="1" applyFill="1" applyBorder="1" applyAlignment="1">
      <alignment horizontal="right"/>
    </xf>
    <xf numFmtId="39" fontId="36" fillId="0" borderId="59" xfId="1" applyNumberFormat="1" applyFont="1" applyFill="1" applyBorder="1" applyAlignment="1">
      <alignment horizontal="right"/>
    </xf>
    <xf numFmtId="39" fontId="36" fillId="0" borderId="0" xfId="1" applyNumberFormat="1" applyFont="1" applyFill="1" applyBorder="1" applyAlignment="1">
      <alignment horizontal="right"/>
    </xf>
    <xf numFmtId="39" fontId="24" fillId="0" borderId="16" xfId="1" applyNumberFormat="1" applyFont="1" applyFill="1" applyBorder="1" applyAlignment="1">
      <alignment horizontal="right"/>
    </xf>
    <xf numFmtId="38" fontId="24" fillId="0" borderId="16" xfId="1" applyNumberFormat="1" applyFont="1" applyFill="1" applyBorder="1" applyAlignment="1">
      <alignment horizontal="right"/>
    </xf>
    <xf numFmtId="43" fontId="36" fillId="0" borderId="0" xfId="1" applyFont="1" applyFill="1" applyAlignment="1">
      <alignment horizontal="right"/>
    </xf>
    <xf numFmtId="38" fontId="36" fillId="0" borderId="0" xfId="1" applyNumberFormat="1" applyFont="1" applyFill="1" applyAlignment="1">
      <alignment horizontal="right"/>
    </xf>
    <xf numFmtId="39" fontId="36" fillId="0" borderId="0" xfId="0" applyNumberFormat="1" applyFont="1" applyAlignment="1">
      <alignment horizontal="right"/>
    </xf>
    <xf numFmtId="41" fontId="36" fillId="0" borderId="0" xfId="0" applyNumberFormat="1" applyFont="1"/>
    <xf numFmtId="37" fontId="36" fillId="0" borderId="0" xfId="1" applyNumberFormat="1" applyFont="1" applyFill="1" applyAlignment="1">
      <alignment horizontal="right"/>
    </xf>
    <xf numFmtId="38" fontId="36" fillId="0" borderId="0" xfId="1" applyNumberFormat="1" applyFont="1" applyFill="1" applyBorder="1" applyAlignment="1">
      <alignment horizontal="right"/>
    </xf>
    <xf numFmtId="43" fontId="55" fillId="0" borderId="0" xfId="1" applyFont="1" applyFill="1" applyBorder="1"/>
    <xf numFmtId="38" fontId="55" fillId="0" borderId="0" xfId="1" applyNumberFormat="1" applyFont="1" applyFill="1" applyBorder="1" applyAlignment="1">
      <alignment horizontal="right"/>
    </xf>
    <xf numFmtId="0" fontId="55" fillId="0" borderId="0" xfId="0" applyFont="1"/>
    <xf numFmtId="38" fontId="55" fillId="0" borderId="0" xfId="0" applyNumberFormat="1" applyFont="1" applyAlignment="1">
      <alignment horizontal="right"/>
    </xf>
    <xf numFmtId="43" fontId="56" fillId="0" borderId="0" xfId="1" applyFont="1"/>
    <xf numFmtId="43" fontId="44" fillId="0" borderId="0" xfId="1" applyFont="1"/>
    <xf numFmtId="0" fontId="44" fillId="0" borderId="0" xfId="0" applyFont="1"/>
    <xf numFmtId="15" fontId="56" fillId="0" borderId="0" xfId="1" applyNumberFormat="1" applyFont="1"/>
    <xf numFmtId="43" fontId="56" fillId="0" borderId="25" xfId="1" applyFont="1" applyBorder="1"/>
    <xf numFmtId="4" fontId="44" fillId="0" borderId="0" xfId="0" applyNumberFormat="1" applyFont="1"/>
    <xf numFmtId="174" fontId="44" fillId="0" borderId="0" xfId="0" applyNumberFormat="1" applyFont="1"/>
    <xf numFmtId="165" fontId="44" fillId="0" borderId="9" xfId="1" applyNumberFormat="1" applyFont="1" applyBorder="1" applyAlignment="1">
      <alignment horizontal="center" vertical="top"/>
    </xf>
    <xf numFmtId="43" fontId="44" fillId="0" borderId="9" xfId="1" applyFont="1" applyBorder="1"/>
    <xf numFmtId="164" fontId="44" fillId="0" borderId="0" xfId="0" applyNumberFormat="1" applyFont="1"/>
    <xf numFmtId="43" fontId="44" fillId="0" borderId="0" xfId="1" applyFont="1" applyFill="1"/>
    <xf numFmtId="165" fontId="56" fillId="0" borderId="9" xfId="1" applyNumberFormat="1" applyFont="1" applyBorder="1" applyAlignment="1">
      <alignment horizontal="center" vertical="top"/>
    </xf>
    <xf numFmtId="0" fontId="56" fillId="0" borderId="0" xfId="0" applyFont="1"/>
    <xf numFmtId="165" fontId="56" fillId="0" borderId="0" xfId="0" applyNumberFormat="1" applyFont="1"/>
    <xf numFmtId="43" fontId="57" fillId="0" borderId="0" xfId="1" applyFont="1"/>
    <xf numFmtId="0" fontId="56" fillId="0" borderId="9" xfId="0" applyFont="1" applyBorder="1"/>
    <xf numFmtId="165" fontId="44" fillId="0" borderId="9" xfId="1" applyNumberFormat="1" applyFont="1" applyFill="1" applyBorder="1"/>
    <xf numFmtId="43" fontId="44" fillId="0" borderId="0" xfId="1" applyFont="1" applyFill="1" applyBorder="1"/>
    <xf numFmtId="43" fontId="44" fillId="0" borderId="0" xfId="1" applyFont="1" applyBorder="1"/>
    <xf numFmtId="43" fontId="56" fillId="0" borderId="9" xfId="1" applyFont="1" applyFill="1" applyBorder="1"/>
    <xf numFmtId="165" fontId="56" fillId="0" borderId="9" xfId="1" applyNumberFormat="1" applyFont="1" applyFill="1" applyBorder="1"/>
    <xf numFmtId="15" fontId="56" fillId="0" borderId="9" xfId="1" quotePrefix="1" applyNumberFormat="1" applyFont="1" applyFill="1" applyBorder="1"/>
    <xf numFmtId="0" fontId="36" fillId="0" borderId="9" xfId="0" applyFont="1" applyBorder="1"/>
    <xf numFmtId="43" fontId="36" fillId="0" borderId="9" xfId="0" applyNumberFormat="1" applyFont="1" applyBorder="1"/>
    <xf numFmtId="43" fontId="36" fillId="0" borderId="9" xfId="1" applyFont="1" applyBorder="1"/>
    <xf numFmtId="43" fontId="36" fillId="0" borderId="0" xfId="1" applyFont="1" applyFill="1" applyBorder="1"/>
    <xf numFmtId="0" fontId="58" fillId="0" borderId="0" xfId="0" applyFont="1"/>
    <xf numFmtId="0" fontId="36" fillId="11" borderId="9" xfId="0" applyFont="1" applyFill="1" applyBorder="1"/>
    <xf numFmtId="17" fontId="36" fillId="11" borderId="9" xfId="0" applyNumberFormat="1" applyFont="1" applyFill="1" applyBorder="1"/>
    <xf numFmtId="17" fontId="56" fillId="0" borderId="0" xfId="0" applyNumberFormat="1" applyFont="1" applyAlignment="1">
      <alignment horizontal="left"/>
    </xf>
    <xf numFmtId="0" fontId="59" fillId="0" borderId="0" xfId="0" applyFont="1" applyAlignment="1">
      <alignment horizontal="left"/>
    </xf>
    <xf numFmtId="43" fontId="2" fillId="0" borderId="0" xfId="0" applyNumberFormat="1" applyFont="1"/>
    <xf numFmtId="0" fontId="2" fillId="0" borderId="0" xfId="0" applyFont="1" applyAlignment="1">
      <alignment horizontal="left"/>
    </xf>
    <xf numFmtId="0" fontId="2" fillId="23" borderId="0" xfId="0" applyFont="1" applyFill="1"/>
    <xf numFmtId="165" fontId="2" fillId="23" borderId="0" xfId="1" applyNumberFormat="1" applyFont="1" applyFill="1" applyBorder="1"/>
    <xf numFmtId="43" fontId="44" fillId="23" borderId="0" xfId="1" applyFont="1" applyFill="1" applyBorder="1" applyAlignment="1">
      <alignment horizontal="center"/>
    </xf>
    <xf numFmtId="43" fontId="2" fillId="23" borderId="0" xfId="1" applyFont="1" applyFill="1" applyAlignment="1">
      <alignment horizontal="center"/>
    </xf>
    <xf numFmtId="43" fontId="2" fillId="23" borderId="0" xfId="1" applyFont="1" applyFill="1"/>
    <xf numFmtId="43" fontId="2" fillId="23" borderId="0" xfId="0" applyNumberFormat="1" applyFont="1" applyFill="1"/>
    <xf numFmtId="0" fontId="59" fillId="0" borderId="28" xfId="0" applyFont="1" applyBorder="1" applyAlignment="1">
      <alignment horizontal="left"/>
    </xf>
    <xf numFmtId="17" fontId="56" fillId="23" borderId="18" xfId="0" quotePrefix="1" applyNumberFormat="1" applyFont="1" applyFill="1" applyBorder="1"/>
    <xf numFmtId="165" fontId="56" fillId="23" borderId="28" xfId="1" applyNumberFormat="1" applyFont="1" applyFill="1" applyBorder="1"/>
    <xf numFmtId="0" fontId="56" fillId="23" borderId="10" xfId="0" applyFont="1" applyFill="1" applyBorder="1" applyAlignment="1">
      <alignment horizontal="center"/>
    </xf>
    <xf numFmtId="0" fontId="59" fillId="0" borderId="0" xfId="0" applyFont="1"/>
    <xf numFmtId="0" fontId="56" fillId="23" borderId="28" xfId="0" applyFont="1" applyFill="1" applyBorder="1" applyAlignment="1">
      <alignment wrapText="1"/>
    </xf>
    <xf numFmtId="0" fontId="56" fillId="23" borderId="10" xfId="0" applyFont="1" applyFill="1" applyBorder="1" applyAlignment="1">
      <alignment horizontal="center" wrapText="1"/>
    </xf>
    <xf numFmtId="0" fontId="56" fillId="23" borderId="10" xfId="0" applyFont="1" applyFill="1" applyBorder="1" applyAlignment="1">
      <alignment wrapText="1"/>
    </xf>
    <xf numFmtId="17" fontId="56" fillId="0" borderId="0" xfId="0" applyNumberFormat="1" applyFont="1" applyAlignment="1">
      <alignment horizontal="center" wrapText="1"/>
    </xf>
    <xf numFmtId="0" fontId="56" fillId="0" borderId="0" xfId="0" applyFont="1" applyAlignment="1">
      <alignment horizontal="left"/>
    </xf>
    <xf numFmtId="0" fontId="59" fillId="23" borderId="29" xfId="0" applyFont="1" applyFill="1" applyBorder="1"/>
    <xf numFmtId="0" fontId="59" fillId="23" borderId="0" xfId="0" applyFont="1" applyFill="1"/>
    <xf numFmtId="43" fontId="59" fillId="23" borderId="81" xfId="1" applyFont="1" applyFill="1" applyBorder="1"/>
    <xf numFmtId="0" fontId="59" fillId="23" borderId="81" xfId="0" applyFont="1" applyFill="1" applyBorder="1"/>
    <xf numFmtId="43" fontId="2" fillId="0" borderId="0" xfId="1" applyFont="1" applyAlignment="1">
      <alignment horizontal="left"/>
    </xf>
    <xf numFmtId="43" fontId="2" fillId="23" borderId="29" xfId="1" applyFont="1" applyFill="1" applyBorder="1"/>
    <xf numFmtId="43" fontId="2" fillId="23" borderId="0" xfId="1" applyFont="1" applyFill="1" applyBorder="1"/>
    <xf numFmtId="43" fontId="2" fillId="23" borderId="81" xfId="1" applyFont="1" applyFill="1" applyBorder="1"/>
    <xf numFmtId="43" fontId="56" fillId="0" borderId="29" xfId="1" applyFont="1" applyBorder="1" applyAlignment="1">
      <alignment horizontal="left"/>
    </xf>
    <xf numFmtId="43" fontId="45" fillId="23" borderId="29" xfId="1" applyFont="1" applyFill="1" applyBorder="1"/>
    <xf numFmtId="43" fontId="56" fillId="23" borderId="0" xfId="1" applyFont="1" applyFill="1" applyBorder="1"/>
    <xf numFmtId="43" fontId="56" fillId="23" borderId="81" xfId="1" applyFont="1" applyFill="1" applyBorder="1"/>
    <xf numFmtId="43" fontId="56" fillId="23" borderId="29" xfId="1" applyFont="1" applyFill="1" applyBorder="1"/>
    <xf numFmtId="43" fontId="56" fillId="0" borderId="0" xfId="1" applyFont="1" applyFill="1"/>
    <xf numFmtId="43" fontId="2" fillId="0" borderId="29" xfId="1" applyFont="1" applyBorder="1" applyAlignment="1">
      <alignment horizontal="left"/>
    </xf>
    <xf numFmtId="43" fontId="44" fillId="23" borderId="81" xfId="1" applyFont="1" applyFill="1" applyBorder="1"/>
    <xf numFmtId="0" fontId="2" fillId="0" borderId="29" xfId="0" applyFont="1" applyBorder="1"/>
    <xf numFmtId="0" fontId="2" fillId="0" borderId="81" xfId="0" applyFont="1" applyBorder="1"/>
    <xf numFmtId="17" fontId="44" fillId="23" borderId="29" xfId="0" applyNumberFormat="1" applyFont="1" applyFill="1" applyBorder="1" applyAlignment="1">
      <alignment wrapText="1"/>
    </xf>
    <xf numFmtId="0" fontId="56" fillId="23" borderId="0" xfId="0" applyFont="1" applyFill="1" applyAlignment="1">
      <alignment wrapText="1"/>
    </xf>
    <xf numFmtId="0" fontId="44" fillId="23" borderId="81" xfId="0" applyFont="1" applyFill="1" applyBorder="1" applyAlignment="1">
      <alignment horizontal="center" wrapText="1"/>
    </xf>
    <xf numFmtId="17" fontId="2" fillId="23" borderId="29" xfId="0" applyNumberFormat="1" applyFont="1" applyFill="1" applyBorder="1"/>
    <xf numFmtId="43" fontId="2" fillId="23" borderId="81" xfId="1" applyFont="1" applyFill="1" applyBorder="1" applyAlignment="1">
      <alignment horizontal="center"/>
    </xf>
    <xf numFmtId="164" fontId="2" fillId="0" borderId="0" xfId="0" applyNumberFormat="1" applyFont="1"/>
    <xf numFmtId="17" fontId="56" fillId="23" borderId="29" xfId="0" applyNumberFormat="1" applyFont="1" applyFill="1" applyBorder="1" applyAlignment="1">
      <alignment wrapText="1"/>
    </xf>
    <xf numFmtId="0" fontId="56" fillId="23" borderId="81" xfId="0" applyFont="1" applyFill="1" applyBorder="1" applyAlignment="1">
      <alignment horizontal="center" wrapText="1"/>
    </xf>
    <xf numFmtId="0" fontId="2" fillId="23" borderId="29" xfId="0" applyFont="1" applyFill="1" applyBorder="1"/>
    <xf numFmtId="164" fontId="2" fillId="23" borderId="0" xfId="0" applyNumberFormat="1" applyFont="1" applyFill="1"/>
    <xf numFmtId="0" fontId="2" fillId="23" borderId="81" xfId="0" applyFont="1" applyFill="1" applyBorder="1"/>
    <xf numFmtId="43" fontId="56" fillId="0" borderId="0" xfId="0" applyNumberFormat="1" applyFont="1" applyAlignment="1">
      <alignment horizontal="left"/>
    </xf>
    <xf numFmtId="0" fontId="45" fillId="23" borderId="29" xfId="0" applyFont="1" applyFill="1" applyBorder="1"/>
    <xf numFmtId="164" fontId="56" fillId="23" borderId="0" xfId="0" applyNumberFormat="1" applyFont="1" applyFill="1"/>
    <xf numFmtId="0" fontId="56" fillId="23" borderId="29" xfId="0" applyFont="1" applyFill="1" applyBorder="1"/>
    <xf numFmtId="0" fontId="56" fillId="23" borderId="0" xfId="0" applyFont="1" applyFill="1"/>
    <xf numFmtId="0" fontId="56" fillId="23" borderId="81" xfId="0" applyFont="1" applyFill="1" applyBorder="1"/>
    <xf numFmtId="43" fontId="2" fillId="0" borderId="0" xfId="0" applyNumberFormat="1" applyFont="1" applyAlignment="1">
      <alignment horizontal="left"/>
    </xf>
    <xf numFmtId="164" fontId="2" fillId="23" borderId="81" xfId="0" applyNumberFormat="1" applyFont="1" applyFill="1" applyBorder="1"/>
    <xf numFmtId="43" fontId="44" fillId="0" borderId="0" xfId="1" applyFont="1" applyAlignment="1">
      <alignment horizontal="left"/>
    </xf>
    <xf numFmtId="43" fontId="44" fillId="23" borderId="0" xfId="1" applyFont="1" applyFill="1" applyBorder="1"/>
    <xf numFmtId="43" fontId="44" fillId="23" borderId="29" xfId="1" applyFont="1" applyFill="1" applyBorder="1"/>
    <xf numFmtId="43" fontId="44" fillId="0" borderId="0" xfId="1" applyFont="1" applyFill="1" applyAlignment="1">
      <alignment horizontal="left"/>
    </xf>
    <xf numFmtId="43" fontId="56" fillId="0" borderId="17" xfId="1" applyFont="1" applyFill="1" applyBorder="1"/>
    <xf numFmtId="43" fontId="44" fillId="0" borderId="25" xfId="1" applyFont="1" applyFill="1" applyBorder="1"/>
    <xf numFmtId="43" fontId="44" fillId="0" borderId="5" xfId="1" applyFont="1" applyFill="1" applyBorder="1"/>
    <xf numFmtId="43" fontId="44" fillId="0" borderId="17" xfId="1" applyFont="1" applyFill="1" applyBorder="1"/>
    <xf numFmtId="43" fontId="44" fillId="0" borderId="29" xfId="1" applyFont="1" applyFill="1" applyBorder="1"/>
    <xf numFmtId="43" fontId="44" fillId="0" borderId="81" xfId="1" applyFont="1" applyFill="1" applyBorder="1"/>
    <xf numFmtId="43" fontId="56" fillId="0" borderId="25" xfId="1" applyFont="1" applyFill="1" applyBorder="1"/>
    <xf numFmtId="43" fontId="2" fillId="0" borderId="5" xfId="1" applyFont="1" applyFill="1" applyBorder="1"/>
    <xf numFmtId="0" fontId="2" fillId="0" borderId="18" xfId="0" applyFont="1" applyBorder="1"/>
    <xf numFmtId="0" fontId="2" fillId="0" borderId="28" xfId="0" applyFont="1" applyBorder="1"/>
    <xf numFmtId="0" fontId="2" fillId="24" borderId="0" xfId="0" applyFont="1" applyFill="1" applyAlignment="1">
      <alignment horizontal="left"/>
    </xf>
    <xf numFmtId="0" fontId="2" fillId="24" borderId="29" xfId="0" applyFont="1" applyFill="1" applyBorder="1"/>
    <xf numFmtId="0" fontId="2" fillId="24" borderId="0" xfId="0" applyFont="1" applyFill="1"/>
    <xf numFmtId="43" fontId="2" fillId="24" borderId="81" xfId="1" applyFont="1" applyFill="1" applyBorder="1"/>
    <xf numFmtId="0" fontId="56" fillId="0" borderId="17" xfId="0" applyFont="1" applyBorder="1"/>
    <xf numFmtId="0" fontId="56" fillId="0" borderId="25" xfId="0" applyFont="1" applyBorder="1"/>
    <xf numFmtId="43" fontId="56" fillId="0" borderId="5" xfId="1" applyFont="1" applyBorder="1"/>
    <xf numFmtId="164" fontId="56" fillId="0" borderId="0" xfId="0" applyNumberFormat="1" applyFont="1"/>
    <xf numFmtId="17" fontId="59" fillId="0" borderId="0" xfId="0" quotePrefix="1" applyNumberFormat="1" applyFont="1"/>
    <xf numFmtId="43" fontId="44" fillId="23" borderId="0" xfId="1" applyFont="1" applyFill="1"/>
    <xf numFmtId="165" fontId="44" fillId="23" borderId="0" xfId="1" applyNumberFormat="1" applyFont="1" applyFill="1"/>
    <xf numFmtId="0" fontId="56" fillId="0" borderId="18" xfId="0" applyFont="1" applyBorder="1"/>
    <xf numFmtId="43" fontId="56" fillId="23" borderId="10" xfId="1" applyFont="1" applyFill="1" applyBorder="1"/>
    <xf numFmtId="43" fontId="56" fillId="23" borderId="28" xfId="1" quotePrefix="1" applyFont="1" applyFill="1" applyBorder="1"/>
    <xf numFmtId="165" fontId="56" fillId="23" borderId="28" xfId="1" quotePrefix="1" applyNumberFormat="1" applyFont="1" applyFill="1" applyBorder="1"/>
    <xf numFmtId="43" fontId="56" fillId="0" borderId="28" xfId="1" applyFont="1" applyFill="1" applyBorder="1"/>
    <xf numFmtId="17" fontId="56" fillId="23" borderId="18" xfId="1" applyNumberFormat="1" applyFont="1" applyFill="1" applyBorder="1"/>
    <xf numFmtId="0" fontId="59" fillId="0" borderId="6" xfId="0" applyFont="1" applyBorder="1"/>
    <xf numFmtId="43" fontId="59" fillId="23" borderId="5" xfId="1" applyFont="1" applyFill="1" applyBorder="1"/>
    <xf numFmtId="43" fontId="59" fillId="0" borderId="25" xfId="1" applyFont="1" applyFill="1" applyBorder="1"/>
    <xf numFmtId="43" fontId="59" fillId="23" borderId="17" xfId="1" applyFont="1" applyFill="1" applyBorder="1"/>
    <xf numFmtId="43" fontId="59" fillId="23" borderId="25" xfId="1" applyFont="1" applyFill="1" applyBorder="1"/>
    <xf numFmtId="43" fontId="59" fillId="23" borderId="29" xfId="1" applyFont="1" applyFill="1" applyBorder="1"/>
    <xf numFmtId="43" fontId="56" fillId="23" borderId="17" xfId="1" applyFont="1" applyFill="1" applyBorder="1"/>
    <xf numFmtId="43" fontId="56" fillId="23" borderId="25" xfId="1" applyFont="1" applyFill="1" applyBorder="1"/>
    <xf numFmtId="43" fontId="56" fillId="23" borderId="5" xfId="1" applyFont="1" applyFill="1" applyBorder="1"/>
    <xf numFmtId="43" fontId="56" fillId="0" borderId="30" xfId="1" applyFont="1" applyBorder="1"/>
    <xf numFmtId="43" fontId="56" fillId="0" borderId="0" xfId="1" applyFont="1" applyFill="1" applyBorder="1"/>
    <xf numFmtId="43" fontId="44" fillId="0" borderId="81" xfId="1" applyFont="1" applyBorder="1"/>
    <xf numFmtId="43" fontId="44" fillId="0" borderId="29" xfId="1" applyFont="1" applyBorder="1"/>
    <xf numFmtId="165" fontId="44" fillId="23" borderId="0" xfId="1" applyNumberFormat="1" applyFont="1" applyFill="1" applyBorder="1"/>
    <xf numFmtId="0" fontId="59" fillId="0" borderId="30" xfId="0" applyFont="1" applyBorder="1"/>
    <xf numFmtId="165" fontId="56" fillId="23" borderId="0" xfId="1" applyNumberFormat="1" applyFont="1" applyFill="1" applyBorder="1"/>
    <xf numFmtId="17" fontId="56" fillId="23" borderId="29" xfId="1" applyNumberFormat="1" applyFont="1" applyFill="1" applyBorder="1"/>
    <xf numFmtId="43" fontId="44" fillId="0" borderId="10" xfId="1" applyFont="1" applyBorder="1"/>
    <xf numFmtId="43" fontId="44" fillId="0" borderId="10" xfId="1" applyFont="1" applyFill="1" applyBorder="1"/>
    <xf numFmtId="43" fontId="44" fillId="0" borderId="18" xfId="1" applyFont="1" applyBorder="1"/>
    <xf numFmtId="43" fontId="44" fillId="0" borderId="28" xfId="1" applyFont="1" applyBorder="1"/>
    <xf numFmtId="43" fontId="44" fillId="0" borderId="28" xfId="1" applyFont="1" applyFill="1" applyBorder="1"/>
    <xf numFmtId="43" fontId="44" fillId="24" borderId="29" xfId="1" applyFont="1" applyFill="1" applyBorder="1"/>
    <xf numFmtId="43" fontId="44" fillId="24" borderId="0" xfId="1" applyFont="1" applyFill="1" applyBorder="1"/>
    <xf numFmtId="43" fontId="56" fillId="0" borderId="6" xfId="1" applyFont="1" applyBorder="1"/>
    <xf numFmtId="43" fontId="56" fillId="0" borderId="17" xfId="1" applyFont="1" applyBorder="1"/>
    <xf numFmtId="43" fontId="44" fillId="0" borderId="17" xfId="1" applyFont="1" applyBorder="1"/>
    <xf numFmtId="43" fontId="44" fillId="0" borderId="25" xfId="1" applyFont="1" applyBorder="1"/>
    <xf numFmtId="17" fontId="56" fillId="23" borderId="29" xfId="0" quotePrefix="1" applyNumberFormat="1" applyFont="1" applyFill="1" applyBorder="1"/>
    <xf numFmtId="43" fontId="44" fillId="25" borderId="9" xfId="1" applyFont="1" applyFill="1" applyBorder="1"/>
    <xf numFmtId="165" fontId="44" fillId="25" borderId="9" xfId="1" applyNumberFormat="1" applyFont="1" applyFill="1" applyBorder="1"/>
    <xf numFmtId="17" fontId="44" fillId="25" borderId="9" xfId="1" quotePrefix="1" applyNumberFormat="1" applyFont="1" applyFill="1" applyBorder="1"/>
    <xf numFmtId="43" fontId="36" fillId="0" borderId="0" xfId="1" applyFont="1"/>
    <xf numFmtId="0" fontId="36" fillId="23" borderId="0" xfId="0" applyFont="1" applyFill="1"/>
    <xf numFmtId="43" fontId="36" fillId="0" borderId="30" xfId="1" applyFont="1" applyBorder="1"/>
    <xf numFmtId="43" fontId="36" fillId="23" borderId="29" xfId="1" applyFont="1" applyFill="1" applyBorder="1"/>
    <xf numFmtId="43" fontId="36" fillId="23" borderId="0" xfId="1" applyFont="1" applyFill="1" applyBorder="1"/>
    <xf numFmtId="43" fontId="36" fillId="23" borderId="0" xfId="1" applyFont="1" applyFill="1" applyBorder="1" applyAlignment="1">
      <alignment horizontal="center"/>
    </xf>
    <xf numFmtId="0" fontId="36" fillId="0" borderId="30" xfId="0" applyFont="1" applyBorder="1"/>
    <xf numFmtId="0" fontId="36" fillId="0" borderId="29" xfId="0" applyFont="1" applyBorder="1"/>
    <xf numFmtId="0" fontId="36" fillId="23" borderId="29" xfId="0" applyFont="1" applyFill="1" applyBorder="1"/>
    <xf numFmtId="165" fontId="36" fillId="23" borderId="0" xfId="0" quotePrefix="1" applyNumberFormat="1" applyFont="1" applyFill="1"/>
    <xf numFmtId="43" fontId="36" fillId="0" borderId="29" xfId="1" applyFont="1" applyBorder="1"/>
    <xf numFmtId="43" fontId="36" fillId="0" borderId="0" xfId="1" applyFont="1" applyBorder="1"/>
    <xf numFmtId="43" fontId="36" fillId="0" borderId="11" xfId="1" applyFont="1" applyBorder="1"/>
    <xf numFmtId="43" fontId="36" fillId="0" borderId="18" xfId="1" applyFont="1" applyBorder="1"/>
    <xf numFmtId="43" fontId="36" fillId="0" borderId="28" xfId="1" applyFont="1" applyBorder="1"/>
    <xf numFmtId="43" fontId="36" fillId="24" borderId="30" xfId="1" applyFont="1" applyFill="1" applyBorder="1"/>
    <xf numFmtId="43" fontId="36" fillId="24" borderId="0" xfId="1" applyFont="1" applyFill="1"/>
    <xf numFmtId="43" fontId="36" fillId="0" borderId="17" xfId="1" applyFont="1" applyBorder="1"/>
    <xf numFmtId="43" fontId="36" fillId="0" borderId="25" xfId="1" applyFont="1" applyBorder="1"/>
    <xf numFmtId="43" fontId="36" fillId="0" borderId="6" xfId="1" applyFont="1" applyBorder="1"/>
    <xf numFmtId="17" fontId="56" fillId="23" borderId="29" xfId="1" quotePrefix="1" applyNumberFormat="1" applyFont="1" applyFill="1" applyBorder="1"/>
    <xf numFmtId="17" fontId="56" fillId="0" borderId="0" xfId="0" applyNumberFormat="1" applyFont="1"/>
    <xf numFmtId="0" fontId="59" fillId="0" borderId="9" xfId="0" applyFont="1" applyBorder="1"/>
    <xf numFmtId="43" fontId="56" fillId="0" borderId="9" xfId="0" applyNumberFormat="1" applyFont="1" applyBorder="1"/>
    <xf numFmtId="40" fontId="36" fillId="0" borderId="0" xfId="0" applyNumberFormat="1" applyFont="1"/>
    <xf numFmtId="164" fontId="36" fillId="0" borderId="0" xfId="0" applyNumberFormat="1" applyFont="1"/>
    <xf numFmtId="164" fontId="36" fillId="0" borderId="9" xfId="0" applyNumberFormat="1" applyFont="1" applyBorder="1"/>
    <xf numFmtId="17" fontId="56" fillId="23" borderId="18" xfId="0" applyNumberFormat="1" applyFont="1" applyFill="1" applyBorder="1" applyAlignment="1">
      <alignment wrapText="1"/>
    </xf>
    <xf numFmtId="17" fontId="56" fillId="23" borderId="29" xfId="0" applyNumberFormat="1" applyFont="1" applyFill="1" applyBorder="1"/>
    <xf numFmtId="38" fontId="0" fillId="0" borderId="25" xfId="1" applyNumberFormat="1" applyFont="1" applyFill="1" applyBorder="1" applyAlignment="1">
      <alignment horizontal="center"/>
    </xf>
    <xf numFmtId="38" fontId="0" fillId="0" borderId="21" xfId="1" applyNumberFormat="1" applyFont="1" applyFill="1" applyBorder="1" applyAlignment="1">
      <alignment horizontal="center"/>
    </xf>
    <xf numFmtId="43" fontId="0" fillId="0" borderId="8" xfId="1" applyFont="1" applyFill="1" applyBorder="1"/>
    <xf numFmtId="43" fontId="0" fillId="0" borderId="21" xfId="1" applyFont="1" applyBorder="1" applyAlignment="1">
      <alignment horizontal="center"/>
    </xf>
    <xf numFmtId="43" fontId="0" fillId="0" borderId="8" xfId="1" applyFont="1" applyBorder="1"/>
    <xf numFmtId="38" fontId="2" fillId="0" borderId="21" xfId="1" applyNumberFormat="1" applyFont="1" applyFill="1" applyBorder="1" applyAlignment="1">
      <alignment horizontal="right"/>
    </xf>
    <xf numFmtId="38" fontId="3" fillId="14" borderId="0" xfId="1" applyNumberFormat="1" applyFont="1" applyFill="1" applyBorder="1" applyAlignment="1">
      <alignment horizontal="center"/>
    </xf>
    <xf numFmtId="165" fontId="7" fillId="0" borderId="0" xfId="1" applyNumberFormat="1" applyFont="1"/>
    <xf numFmtId="38" fontId="7" fillId="0" borderId="0" xfId="0" applyNumberFormat="1" applyFont="1"/>
    <xf numFmtId="43" fontId="7" fillId="0" borderId="0" xfId="1" applyFont="1"/>
    <xf numFmtId="43" fontId="7" fillId="11" borderId="0" xfId="0" applyNumberFormat="1" applyFont="1" applyFill="1"/>
    <xf numFmtId="0" fontId="7" fillId="27" borderId="0" xfId="0" applyFont="1" applyFill="1"/>
    <xf numFmtId="165" fontId="7" fillId="27" borderId="0" xfId="1" applyNumberFormat="1" applyFont="1" applyFill="1"/>
    <xf numFmtId="43" fontId="7" fillId="27" borderId="0" xfId="1" applyFont="1" applyFill="1"/>
    <xf numFmtId="43" fontId="7" fillId="27" borderId="0" xfId="0" applyNumberFormat="1" applyFont="1" applyFill="1"/>
    <xf numFmtId="0" fontId="7" fillId="28" borderId="0" xfId="0" applyFont="1" applyFill="1"/>
    <xf numFmtId="0" fontId="61" fillId="0" borderId="0" xfId="0" applyFont="1"/>
    <xf numFmtId="0" fontId="61" fillId="5" borderId="0" xfId="0" applyFont="1" applyFill="1"/>
    <xf numFmtId="165" fontId="61" fillId="0" borderId="0" xfId="1" applyNumberFormat="1" applyFont="1"/>
    <xf numFmtId="165" fontId="61" fillId="0" borderId="0" xfId="1" applyNumberFormat="1" applyFont="1" applyAlignment="1">
      <alignment horizontal="right"/>
    </xf>
    <xf numFmtId="0" fontId="61" fillId="0" borderId="13" xfId="0" applyFont="1" applyBorder="1"/>
    <xf numFmtId="165" fontId="61" fillId="0" borderId="23" xfId="1" applyNumberFormat="1" applyFont="1" applyBorder="1"/>
    <xf numFmtId="165" fontId="61" fillId="0" borderId="14" xfId="1" applyNumberFormat="1" applyFont="1" applyBorder="1"/>
    <xf numFmtId="43" fontId="61" fillId="0" borderId="0" xfId="0" applyNumberFormat="1" applyFont="1"/>
    <xf numFmtId="43" fontId="61" fillId="0" borderId="0" xfId="1" applyFont="1"/>
    <xf numFmtId="0" fontId="61" fillId="27" borderId="0" xfId="0" applyFont="1" applyFill="1"/>
    <xf numFmtId="43" fontId="61" fillId="27" borderId="0" xfId="0" applyNumberFormat="1" applyFont="1" applyFill="1"/>
    <xf numFmtId="0" fontId="61" fillId="28" borderId="0" xfId="0" applyFont="1" applyFill="1"/>
    <xf numFmtId="0" fontId="61" fillId="28" borderId="0" xfId="0" applyFont="1" applyFill="1" applyAlignment="1">
      <alignment horizontal="right"/>
    </xf>
    <xf numFmtId="0" fontId="61" fillId="0" borderId="0" xfId="0" applyFont="1" applyAlignment="1">
      <alignment horizontal="right"/>
    </xf>
    <xf numFmtId="43" fontId="61" fillId="28" borderId="0" xfId="0" applyNumberFormat="1" applyFont="1" applyFill="1"/>
    <xf numFmtId="165" fontId="61" fillId="28" borderId="0" xfId="1" applyNumberFormat="1" applyFont="1" applyFill="1"/>
    <xf numFmtId="10" fontId="61" fillId="28" borderId="0" xfId="5" applyNumberFormat="1" applyFont="1" applyFill="1"/>
    <xf numFmtId="43" fontId="61" fillId="28" borderId="0" xfId="1" applyFont="1" applyFill="1"/>
    <xf numFmtId="165" fontId="61" fillId="0" borderId="0" xfId="0" applyNumberFormat="1" applyFont="1"/>
    <xf numFmtId="165" fontId="26" fillId="0" borderId="0" xfId="0" applyNumberFormat="1" applyFont="1"/>
    <xf numFmtId="165" fontId="26" fillId="0" borderId="0" xfId="1" applyNumberFormat="1" applyFont="1"/>
    <xf numFmtId="43" fontId="7" fillId="11" borderId="0" xfId="1" applyFont="1" applyFill="1"/>
    <xf numFmtId="43" fontId="26" fillId="0" borderId="0" xfId="0" applyNumberFormat="1" applyFont="1"/>
    <xf numFmtId="0" fontId="26" fillId="27" borderId="0" xfId="0" applyFont="1" applyFill="1"/>
    <xf numFmtId="0" fontId="63" fillId="0" borderId="0" xfId="0" applyFont="1"/>
    <xf numFmtId="164" fontId="7" fillId="0" borderId="0" xfId="0" applyNumberFormat="1" applyFont="1"/>
    <xf numFmtId="17" fontId="61" fillId="0" borderId="0" xfId="0" quotePrefix="1" applyNumberFormat="1" applyFont="1"/>
    <xf numFmtId="43" fontId="7" fillId="0" borderId="63" xfId="1" applyFont="1" applyFill="1" applyBorder="1"/>
    <xf numFmtId="43" fontId="61" fillId="0" borderId="0" xfId="1" applyFont="1" applyFill="1" applyBorder="1"/>
    <xf numFmtId="43" fontId="7" fillId="0" borderId="0" xfId="1" applyFont="1" applyFill="1" applyBorder="1"/>
    <xf numFmtId="43" fontId="61" fillId="0" borderId="22" xfId="1" applyFont="1" applyFill="1" applyBorder="1"/>
    <xf numFmtId="43" fontId="61" fillId="0" borderId="0" xfId="1" applyFont="1" applyFill="1"/>
    <xf numFmtId="43" fontId="64" fillId="0" borderId="0" xfId="1" applyFont="1" applyFill="1" applyBorder="1"/>
    <xf numFmtId="43" fontId="62" fillId="0" borderId="0" xfId="1" applyFont="1" applyFill="1" applyBorder="1"/>
    <xf numFmtId="0" fontId="62" fillId="0" borderId="0" xfId="0" applyFont="1"/>
    <xf numFmtId="43" fontId="62" fillId="0" borderId="0" xfId="1" applyFont="1" applyFill="1"/>
    <xf numFmtId="43" fontId="26" fillId="0" borderId="0" xfId="1" applyFont="1" applyFill="1"/>
    <xf numFmtId="43" fontId="61" fillId="0" borderId="20" xfId="1" applyFont="1" applyFill="1" applyBorder="1"/>
    <xf numFmtId="43" fontId="61" fillId="16" borderId="0" xfId="1" applyFont="1" applyFill="1"/>
    <xf numFmtId="43" fontId="62" fillId="16" borderId="0" xfId="1" applyFont="1" applyFill="1" applyBorder="1"/>
    <xf numFmtId="43" fontId="62" fillId="16" borderId="0" xfId="1" applyFont="1" applyFill="1"/>
    <xf numFmtId="43" fontId="7" fillId="16" borderId="0" xfId="1" applyFont="1" applyFill="1" applyBorder="1"/>
    <xf numFmtId="43" fontId="7" fillId="16" borderId="0" xfId="1" applyFont="1" applyFill="1"/>
    <xf numFmtId="43" fontId="61" fillId="16" borderId="0" xfId="1" applyFont="1" applyFill="1" applyBorder="1"/>
    <xf numFmtId="43" fontId="66" fillId="16" borderId="0" xfId="1" applyFont="1" applyFill="1" applyBorder="1"/>
    <xf numFmtId="43" fontId="61" fillId="16" borderId="0" xfId="0" applyNumberFormat="1" applyFont="1" applyFill="1"/>
    <xf numFmtId="178" fontId="62" fillId="16" borderId="0" xfId="1" applyNumberFormat="1" applyFont="1" applyFill="1" applyBorder="1"/>
    <xf numFmtId="0" fontId="7" fillId="16" borderId="0" xfId="0" applyFont="1" applyFill="1"/>
    <xf numFmtId="43" fontId="65" fillId="16" borderId="0" xfId="1" applyFont="1" applyFill="1" applyBorder="1" applyAlignment="1">
      <alignment horizontal="center"/>
    </xf>
    <xf numFmtId="43" fontId="7" fillId="0" borderId="0" xfId="1" applyFont="1" applyBorder="1"/>
    <xf numFmtId="43" fontId="7" fillId="0" borderId="20" xfId="1" applyFont="1" applyBorder="1"/>
    <xf numFmtId="0" fontId="7" fillId="0" borderId="0" xfId="6" applyFont="1"/>
    <xf numFmtId="0" fontId="65" fillId="0" borderId="0" xfId="6" applyFont="1"/>
    <xf numFmtId="0" fontId="7" fillId="0" borderId="0" xfId="7" applyFont="1"/>
    <xf numFmtId="0" fontId="26" fillId="0" borderId="0" xfId="7" applyFont="1"/>
    <xf numFmtId="43" fontId="62" fillId="0" borderId="0" xfId="0" applyNumberFormat="1" applyFont="1"/>
    <xf numFmtId="0" fontId="66" fillId="0" borderId="20" xfId="0" applyFont="1" applyBorder="1"/>
    <xf numFmtId="43" fontId="67" fillId="30" borderId="20" xfId="1" applyFont="1" applyFill="1" applyBorder="1" applyAlignment="1">
      <alignment horizontal="center" vertical="center"/>
    </xf>
    <xf numFmtId="43" fontId="67" fillId="30" borderId="20" xfId="1" applyFont="1" applyFill="1" applyBorder="1" applyAlignment="1">
      <alignment horizontal="center" vertical="center" wrapText="1"/>
    </xf>
    <xf numFmtId="43" fontId="26" fillId="0" borderId="0" xfId="1" applyFont="1"/>
    <xf numFmtId="0" fontId="67" fillId="0" borderId="0" xfId="7" applyFont="1"/>
    <xf numFmtId="43" fontId="7" fillId="0" borderId="31" xfId="1" applyFont="1" applyBorder="1"/>
    <xf numFmtId="43" fontId="7" fillId="0" borderId="63" xfId="1" applyFont="1" applyBorder="1"/>
    <xf numFmtId="43" fontId="7" fillId="0" borderId="64" xfId="1" applyFont="1" applyBorder="1"/>
    <xf numFmtId="43" fontId="7" fillId="0" borderId="34" xfId="1" applyFont="1" applyBorder="1"/>
    <xf numFmtId="43" fontId="7" fillId="0" borderId="37" xfId="1" applyFont="1" applyBorder="1"/>
    <xf numFmtId="43" fontId="7" fillId="0" borderId="65" xfId="1" applyFont="1" applyBorder="1"/>
    <xf numFmtId="43" fontId="7" fillId="0" borderId="66" xfId="1" applyFont="1" applyBorder="1"/>
    <xf numFmtId="0" fontId="44" fillId="31" borderId="9" xfId="0" applyFont="1" applyFill="1" applyBorder="1"/>
    <xf numFmtId="38" fontId="36" fillId="31" borderId="9" xfId="0" applyNumberFormat="1" applyFont="1" applyFill="1" applyBorder="1" applyAlignment="1">
      <alignment horizontal="center"/>
    </xf>
    <xf numFmtId="38" fontId="36" fillId="29" borderId="9" xfId="0" applyNumberFormat="1" applyFont="1" applyFill="1" applyBorder="1" applyAlignment="1">
      <alignment horizontal="center"/>
    </xf>
    <xf numFmtId="165" fontId="47" fillId="0" borderId="9" xfId="1" applyNumberFormat="1" applyFont="1" applyFill="1" applyBorder="1" applyAlignment="1">
      <alignment horizontal="center"/>
    </xf>
    <xf numFmtId="165" fontId="47" fillId="0" borderId="76" xfId="1" applyNumberFormat="1" applyFont="1" applyFill="1" applyBorder="1"/>
    <xf numFmtId="0" fontId="47" fillId="12" borderId="1" xfId="0" applyFont="1" applyFill="1" applyBorder="1" applyAlignment="1">
      <alignment horizontal="right"/>
    </xf>
    <xf numFmtId="0" fontId="47" fillId="12" borderId="14" xfId="0" applyFont="1" applyFill="1" applyBorder="1" applyAlignment="1">
      <alignment horizontal="left"/>
    </xf>
    <xf numFmtId="0" fontId="47" fillId="12" borderId="4" xfId="0" applyFont="1" applyFill="1" applyBorder="1" applyAlignment="1">
      <alignment horizontal="left" wrapText="1"/>
    </xf>
    <xf numFmtId="165" fontId="47" fillId="0" borderId="35" xfId="1" applyNumberFormat="1" applyFont="1" applyFill="1" applyBorder="1"/>
    <xf numFmtId="165" fontId="47" fillId="0" borderId="3" xfId="1" applyNumberFormat="1" applyFont="1" applyFill="1" applyBorder="1"/>
    <xf numFmtId="165" fontId="47" fillId="0" borderId="4" xfId="1" applyNumberFormat="1" applyFont="1" applyFill="1" applyBorder="1" applyAlignment="1">
      <alignment horizontal="center"/>
    </xf>
    <xf numFmtId="17" fontId="24" fillId="0" borderId="0" xfId="0" applyNumberFormat="1" applyFont="1"/>
    <xf numFmtId="43" fontId="3" fillId="0" borderId="21" xfId="1" applyFont="1" applyFill="1" applyBorder="1"/>
    <xf numFmtId="165" fontId="3" fillId="0" borderId="21" xfId="1" applyNumberFormat="1" applyFont="1" applyBorder="1"/>
    <xf numFmtId="43" fontId="36" fillId="6" borderId="9" xfId="0" applyNumberFormat="1" applyFont="1" applyFill="1" applyBorder="1"/>
    <xf numFmtId="38" fontId="36" fillId="11" borderId="9" xfId="0" applyNumberFormat="1" applyFont="1" applyFill="1" applyBorder="1" applyAlignment="1">
      <alignment horizontal="center" wrapText="1"/>
    </xf>
    <xf numFmtId="38" fontId="36" fillId="11" borderId="61" xfId="0" applyNumberFormat="1" applyFont="1" applyFill="1" applyBorder="1" applyAlignment="1">
      <alignment horizontal="center" wrapText="1"/>
    </xf>
    <xf numFmtId="43" fontId="0" fillId="0" borderId="10" xfId="1" applyFont="1" applyFill="1" applyBorder="1"/>
    <xf numFmtId="38" fontId="2" fillId="11" borderId="29" xfId="1" applyNumberFormat="1" applyFont="1" applyFill="1" applyBorder="1" applyAlignment="1">
      <alignment horizontal="right"/>
    </xf>
    <xf numFmtId="38" fontId="2" fillId="11" borderId="17" xfId="1" applyNumberFormat="1" applyFont="1" applyFill="1" applyBorder="1" applyAlignment="1">
      <alignment horizontal="right"/>
    </xf>
    <xf numFmtId="38" fontId="2" fillId="29" borderId="18" xfId="1" applyNumberFormat="1" applyFont="1" applyFill="1" applyBorder="1" applyAlignment="1">
      <alignment horizontal="right"/>
    </xf>
    <xf numFmtId="38" fontId="2" fillId="29" borderId="0" xfId="1" applyNumberFormat="1" applyFont="1" applyFill="1" applyBorder="1" applyAlignment="1">
      <alignment horizontal="right"/>
    </xf>
    <xf numFmtId="38" fontId="2" fillId="5" borderId="0" xfId="1" applyNumberFormat="1" applyFont="1" applyFill="1" applyBorder="1" applyAlignment="1">
      <alignment horizontal="right"/>
    </xf>
    <xf numFmtId="38" fontId="3" fillId="0" borderId="18" xfId="1" applyNumberFormat="1" applyFont="1" applyBorder="1" applyAlignment="1">
      <alignment horizontal="center"/>
    </xf>
    <xf numFmtId="43" fontId="3" fillId="0" borderId="28" xfId="1" applyFont="1" applyBorder="1" applyAlignment="1">
      <alignment horizontal="center"/>
    </xf>
    <xf numFmtId="38" fontId="2" fillId="0" borderId="18" xfId="1" applyNumberFormat="1" applyFont="1" applyBorder="1" applyAlignment="1"/>
    <xf numFmtId="43" fontId="0" fillId="6" borderId="0" xfId="1" applyFont="1" applyFill="1" applyBorder="1"/>
    <xf numFmtId="43" fontId="0" fillId="6" borderId="0" xfId="1" applyFont="1" applyFill="1" applyBorder="1" applyAlignment="1">
      <alignment horizontal="center"/>
    </xf>
    <xf numFmtId="43" fontId="2" fillId="31" borderId="0" xfId="1" applyFont="1" applyFill="1" applyBorder="1" applyAlignment="1">
      <alignment horizontal="center"/>
    </xf>
    <xf numFmtId="43" fontId="2" fillId="31" borderId="28" xfId="1" applyFont="1" applyFill="1" applyBorder="1" applyAlignment="1">
      <alignment horizontal="center"/>
    </xf>
    <xf numFmtId="43" fontId="3" fillId="11" borderId="0" xfId="0" applyNumberFormat="1" applyFont="1" applyFill="1"/>
    <xf numFmtId="0" fontId="47" fillId="12" borderId="20" xfId="0" applyFont="1" applyFill="1" applyBorder="1" applyAlignment="1">
      <alignment horizontal="left"/>
    </xf>
    <xf numFmtId="0" fontId="47" fillId="0" borderId="31" xfId="0" applyFont="1" applyBorder="1"/>
    <xf numFmtId="0" fontId="49" fillId="0" borderId="63" xfId="0" applyFont="1" applyBorder="1"/>
    <xf numFmtId="0" fontId="47" fillId="12" borderId="13" xfId="0" applyFont="1" applyFill="1" applyBorder="1"/>
    <xf numFmtId="0" fontId="49" fillId="0" borderId="23" xfId="0" applyFont="1" applyBorder="1"/>
    <xf numFmtId="43" fontId="7" fillId="13" borderId="0" xfId="0" applyNumberFormat="1" applyFont="1" applyFill="1"/>
    <xf numFmtId="43" fontId="51" fillId="0" borderId="0" xfId="1" applyFont="1"/>
    <xf numFmtId="0" fontId="51" fillId="27" borderId="0" xfId="0" applyFont="1" applyFill="1"/>
    <xf numFmtId="0" fontId="0" fillId="27" borderId="0" xfId="0" applyFill="1"/>
    <xf numFmtId="165" fontId="0" fillId="27" borderId="0" xfId="1" applyNumberFormat="1" applyFont="1" applyFill="1"/>
    <xf numFmtId="165" fontId="51" fillId="27" borderId="0" xfId="1" applyNumberFormat="1" applyFont="1" applyFill="1"/>
    <xf numFmtId="43" fontId="0" fillId="27" borderId="0" xfId="1" applyFont="1" applyFill="1"/>
    <xf numFmtId="17" fontId="51" fillId="0" borderId="0" xfId="0" quotePrefix="1" applyNumberFormat="1" applyFont="1"/>
    <xf numFmtId="0" fontId="68" fillId="0" borderId="0" xfId="0" applyFont="1"/>
    <xf numFmtId="43" fontId="68" fillId="0" borderId="0" xfId="1" applyFont="1"/>
    <xf numFmtId="43" fontId="40" fillId="0" borderId="25" xfId="1" applyFont="1" applyFill="1" applyBorder="1"/>
    <xf numFmtId="43" fontId="51" fillId="27" borderId="0" xfId="1" applyFont="1" applyFill="1"/>
    <xf numFmtId="164" fontId="51" fillId="27" borderId="0" xfId="0" applyNumberFormat="1" applyFont="1" applyFill="1"/>
    <xf numFmtId="43" fontId="51" fillId="0" borderId="0" xfId="1" applyFont="1" applyFill="1"/>
    <xf numFmtId="38" fontId="0" fillId="27" borderId="0" xfId="0" applyNumberFormat="1" applyFill="1"/>
    <xf numFmtId="0" fontId="48" fillId="27" borderId="0" xfId="0" applyFont="1" applyFill="1"/>
    <xf numFmtId="164" fontId="48" fillId="27" borderId="0" xfId="0" applyNumberFormat="1" applyFont="1" applyFill="1"/>
    <xf numFmtId="43" fontId="48" fillId="27" borderId="0" xfId="1" applyFont="1" applyFill="1"/>
    <xf numFmtId="9" fontId="0" fillId="0" borderId="0" xfId="5" applyFont="1"/>
    <xf numFmtId="0" fontId="48" fillId="13" borderId="26" xfId="0" applyFont="1" applyFill="1" applyBorder="1"/>
    <xf numFmtId="0" fontId="48" fillId="13" borderId="25" xfId="0" applyFont="1" applyFill="1" applyBorder="1"/>
    <xf numFmtId="165" fontId="47" fillId="13" borderId="17" xfId="1" applyNumberFormat="1" applyFont="1" applyFill="1" applyBorder="1"/>
    <xf numFmtId="165" fontId="48" fillId="13" borderId="9" xfId="1" applyNumberFormat="1" applyFont="1" applyFill="1" applyBorder="1"/>
    <xf numFmtId="165" fontId="47" fillId="13" borderId="9" xfId="1" applyNumberFormat="1" applyFont="1" applyFill="1" applyBorder="1"/>
    <xf numFmtId="165" fontId="48" fillId="13" borderId="6" xfId="1" applyNumberFormat="1" applyFont="1" applyFill="1" applyBorder="1"/>
    <xf numFmtId="165" fontId="48" fillId="13" borderId="17" xfId="1" applyNumberFormat="1" applyFont="1" applyFill="1" applyBorder="1"/>
    <xf numFmtId="165" fontId="47" fillId="13" borderId="29" xfId="1" applyNumberFormat="1" applyFont="1" applyFill="1" applyBorder="1"/>
    <xf numFmtId="165" fontId="48" fillId="13" borderId="30" xfId="1" applyNumberFormat="1" applyFont="1" applyFill="1" applyBorder="1"/>
    <xf numFmtId="165" fontId="48" fillId="13" borderId="29" xfId="1" applyNumberFormat="1" applyFont="1" applyFill="1" applyBorder="1"/>
    <xf numFmtId="165" fontId="7" fillId="11" borderId="0" xfId="0" applyNumberFormat="1" applyFont="1" applyFill="1"/>
    <xf numFmtId="38" fontId="3" fillId="0" borderId="32" xfId="0" applyNumberFormat="1" applyFont="1" applyBorder="1" applyAlignment="1">
      <alignment horizontal="center"/>
    </xf>
    <xf numFmtId="38" fontId="3" fillId="0" borderId="36" xfId="0" applyNumberFormat="1" applyFont="1" applyBorder="1" applyAlignment="1">
      <alignment horizontal="center"/>
    </xf>
    <xf numFmtId="38" fontId="2" fillId="0" borderId="6" xfId="0" applyNumberFormat="1" applyFont="1" applyBorder="1" applyAlignment="1">
      <alignment horizontal="right"/>
    </xf>
    <xf numFmtId="38" fontId="2" fillId="0" borderId="6" xfId="1" applyNumberFormat="1" applyFont="1" applyFill="1" applyBorder="1" applyAlignment="1">
      <alignment horizontal="right"/>
    </xf>
    <xf numFmtId="38" fontId="3" fillId="0" borderId="6" xfId="1" applyNumberFormat="1" applyFont="1" applyFill="1" applyBorder="1" applyAlignment="1">
      <alignment horizontal="right"/>
    </xf>
    <xf numFmtId="38" fontId="2" fillId="0" borderId="7" xfId="0" applyNumberFormat="1" applyFont="1" applyBorder="1" applyAlignment="1">
      <alignment horizontal="right"/>
    </xf>
    <xf numFmtId="38" fontId="2" fillId="0" borderId="17" xfId="1" applyNumberFormat="1" applyFont="1" applyFill="1" applyBorder="1" applyAlignment="1">
      <alignment horizontal="right"/>
    </xf>
    <xf numFmtId="0" fontId="9" fillId="0" borderId="52" xfId="0" applyFont="1" applyBorder="1"/>
    <xf numFmtId="38" fontId="2" fillId="0" borderId="9" xfId="0" applyNumberFormat="1" applyFont="1" applyBorder="1" applyAlignment="1">
      <alignment horizontal="right"/>
    </xf>
    <xf numFmtId="38" fontId="3" fillId="0" borderId="3" xfId="1" applyNumberFormat="1" applyFont="1" applyFill="1" applyBorder="1" applyAlignment="1">
      <alignment horizontal="right"/>
    </xf>
    <xf numFmtId="38" fontId="3" fillId="0" borderId="4" xfId="1" applyNumberFormat="1" applyFont="1" applyFill="1" applyBorder="1" applyAlignment="1">
      <alignment horizontal="right"/>
    </xf>
    <xf numFmtId="43" fontId="26" fillId="0" borderId="20" xfId="1" applyFont="1" applyFill="1" applyBorder="1"/>
    <xf numFmtId="43" fontId="7" fillId="0" borderId="9" xfId="1" applyFont="1" applyFill="1" applyBorder="1"/>
    <xf numFmtId="43" fontId="26" fillId="0" borderId="0" xfId="1" applyFont="1" applyFill="1" applyBorder="1"/>
    <xf numFmtId="43" fontId="61" fillId="0" borderId="63" xfId="1" applyFont="1" applyFill="1" applyBorder="1"/>
    <xf numFmtId="43" fontId="26" fillId="0" borderId="63" xfId="1" applyFont="1" applyFill="1" applyBorder="1"/>
    <xf numFmtId="43" fontId="7" fillId="0" borderId="34" xfId="1" applyFont="1" applyFill="1" applyBorder="1"/>
    <xf numFmtId="0" fontId="44" fillId="0" borderId="9" xfId="0" applyFont="1" applyBorder="1"/>
    <xf numFmtId="38" fontId="2" fillId="0" borderId="18" xfId="1" applyNumberFormat="1" applyFont="1" applyBorder="1" applyAlignment="1">
      <alignment horizontal="right"/>
    </xf>
    <xf numFmtId="38" fontId="52" fillId="0" borderId="29" xfId="1" applyNumberFormat="1" applyFont="1" applyBorder="1" applyAlignment="1">
      <alignment horizontal="right"/>
    </xf>
    <xf numFmtId="38" fontId="2" fillId="0" borderId="29" xfId="1" applyNumberFormat="1" applyFont="1" applyBorder="1" applyAlignment="1">
      <alignment horizontal="right"/>
    </xf>
    <xf numFmtId="38" fontId="2" fillId="0" borderId="29" xfId="1" applyNumberFormat="1" applyFont="1" applyFill="1" applyBorder="1" applyAlignment="1">
      <alignment horizontal="right"/>
    </xf>
    <xf numFmtId="43" fontId="3" fillId="0" borderId="0" xfId="1" applyFont="1" applyBorder="1" applyAlignment="1">
      <alignment horizontal="left"/>
    </xf>
    <xf numFmtId="43" fontId="3" fillId="0" borderId="61" xfId="1" applyFont="1" applyBorder="1" applyAlignment="1">
      <alignment horizontal="left"/>
    </xf>
    <xf numFmtId="165" fontId="2" fillId="14" borderId="17" xfId="1" applyNumberFormat="1" applyFont="1" applyFill="1" applyBorder="1" applyAlignment="1">
      <alignment horizontal="center" vertical="center"/>
    </xf>
    <xf numFmtId="43" fontId="2" fillId="14" borderId="0" xfId="1" applyFont="1" applyFill="1" applyBorder="1"/>
    <xf numFmtId="165" fontId="48" fillId="13" borderId="39" xfId="1" applyNumberFormat="1" applyFont="1" applyFill="1" applyBorder="1" applyAlignment="1">
      <alignment horizontal="center"/>
    </xf>
    <xf numFmtId="165" fontId="48" fillId="13" borderId="57" xfId="1" applyNumberFormat="1" applyFont="1" applyFill="1" applyBorder="1"/>
    <xf numFmtId="165" fontId="48" fillId="13" borderId="58" xfId="1" applyNumberFormat="1" applyFont="1" applyFill="1" applyBorder="1"/>
    <xf numFmtId="165" fontId="48" fillId="13" borderId="75" xfId="1" applyNumberFormat="1" applyFont="1" applyFill="1" applyBorder="1" applyAlignment="1">
      <alignment horizontal="center"/>
    </xf>
    <xf numFmtId="165" fontId="48" fillId="13" borderId="52" xfId="1" applyNumberFormat="1" applyFont="1" applyFill="1" applyBorder="1"/>
    <xf numFmtId="165" fontId="48" fillId="13" borderId="39" xfId="1" applyNumberFormat="1" applyFont="1" applyFill="1" applyBorder="1"/>
    <xf numFmtId="165" fontId="48" fillId="13" borderId="11" xfId="1" applyNumberFormat="1" applyFont="1" applyFill="1" applyBorder="1"/>
    <xf numFmtId="165" fontId="47" fillId="13" borderId="11" xfId="1" applyNumberFormat="1" applyFont="1" applyFill="1" applyBorder="1"/>
    <xf numFmtId="165" fontId="3" fillId="0" borderId="0" xfId="1" applyNumberFormat="1" applyFont="1" applyAlignment="1">
      <alignment horizontal="center" vertical="center"/>
    </xf>
    <xf numFmtId="165" fontId="39" fillId="0" borderId="0" xfId="1" applyNumberFormat="1" applyFont="1" applyAlignment="1">
      <alignment horizontal="center" vertical="center"/>
    </xf>
    <xf numFmtId="43" fontId="3" fillId="0" borderId="0" xfId="1" applyFont="1" applyFill="1" applyBorder="1" applyAlignment="1">
      <alignment horizontal="center"/>
    </xf>
    <xf numFmtId="43" fontId="2" fillId="0" borderId="0" xfId="1" applyFont="1" applyFill="1" applyBorder="1" applyAlignment="1">
      <alignment horizontal="left"/>
    </xf>
    <xf numFmtId="165" fontId="3" fillId="0" borderId="0" xfId="1" applyNumberFormat="1" applyFont="1"/>
    <xf numFmtId="43" fontId="0" fillId="14" borderId="0" xfId="1" applyFont="1" applyFill="1" applyBorder="1"/>
    <xf numFmtId="43" fontId="3" fillId="0" borderId="0" xfId="1" applyFont="1" applyAlignment="1">
      <alignment horizontal="center" wrapText="1"/>
    </xf>
    <xf numFmtId="39" fontId="26" fillId="0" borderId="62" xfId="1" applyNumberFormat="1" applyFont="1" applyFill="1" applyBorder="1" applyAlignment="1">
      <alignment horizontal="center"/>
    </xf>
    <xf numFmtId="17" fontId="7" fillId="0" borderId="0" xfId="0" applyNumberFormat="1" applyFont="1"/>
    <xf numFmtId="43" fontId="24" fillId="0" borderId="9" xfId="0" applyNumberFormat="1" applyFont="1" applyBorder="1"/>
    <xf numFmtId="164" fontId="7" fillId="27" borderId="0" xfId="0" applyNumberFormat="1" applyFont="1" applyFill="1"/>
    <xf numFmtId="0" fontId="48" fillId="13" borderId="9" xfId="0" applyFont="1" applyFill="1" applyBorder="1"/>
    <xf numFmtId="165" fontId="47" fillId="13" borderId="9" xfId="1" applyNumberFormat="1" applyFont="1" applyFill="1" applyBorder="1" applyAlignment="1">
      <alignment horizontal="center"/>
    </xf>
    <xf numFmtId="0" fontId="48" fillId="13" borderId="11" xfId="0" applyFont="1" applyFill="1" applyBorder="1"/>
    <xf numFmtId="165" fontId="47" fillId="13" borderId="8" xfId="1" applyNumberFormat="1" applyFont="1" applyFill="1" applyBorder="1"/>
    <xf numFmtId="165" fontId="47" fillId="0" borderId="59" xfId="1" applyNumberFormat="1" applyFont="1" applyFill="1" applyBorder="1"/>
    <xf numFmtId="0" fontId="48" fillId="13" borderId="52" xfId="0" applyFont="1" applyFill="1" applyBorder="1"/>
    <xf numFmtId="0" fontId="48" fillId="13" borderId="53" xfId="0" applyFont="1" applyFill="1" applyBorder="1"/>
    <xf numFmtId="0" fontId="48" fillId="0" borderId="56" xfId="0" applyFont="1" applyBorder="1"/>
    <xf numFmtId="165" fontId="47" fillId="13" borderId="21" xfId="1" applyNumberFormat="1" applyFont="1" applyFill="1" applyBorder="1"/>
    <xf numFmtId="165" fontId="47" fillId="0" borderId="51" xfId="1" applyNumberFormat="1" applyFont="1" applyFill="1" applyBorder="1"/>
    <xf numFmtId="165" fontId="48" fillId="13" borderId="56" xfId="1" applyNumberFormat="1" applyFont="1" applyFill="1" applyBorder="1"/>
    <xf numFmtId="165" fontId="48" fillId="13" borderId="75" xfId="1" applyNumberFormat="1" applyFont="1" applyFill="1" applyBorder="1"/>
    <xf numFmtId="0" fontId="47" fillId="12" borderId="14" xfId="0" applyFont="1" applyFill="1" applyBorder="1" applyAlignment="1">
      <alignment horizontal="left" wrapText="1"/>
    </xf>
    <xf numFmtId="0" fontId="47" fillId="12" borderId="14" xfId="0" applyFont="1" applyFill="1" applyBorder="1" applyAlignment="1">
      <alignment horizontal="right"/>
    </xf>
    <xf numFmtId="38" fontId="47" fillId="12" borderId="15" xfId="0" applyNumberFormat="1" applyFont="1" applyFill="1" applyBorder="1" applyAlignment="1">
      <alignment horizontal="center" wrapText="1"/>
    </xf>
    <xf numFmtId="165" fontId="47" fillId="13" borderId="39" xfId="1" applyNumberFormat="1" applyFont="1" applyFill="1" applyBorder="1" applyAlignment="1">
      <alignment horizontal="center"/>
    </xf>
    <xf numFmtId="165" fontId="47" fillId="13" borderId="12" xfId="1" applyNumberFormat="1" applyFont="1" applyFill="1" applyBorder="1" applyAlignment="1">
      <alignment horizontal="center"/>
    </xf>
    <xf numFmtId="0" fontId="47" fillId="12" borderId="66" xfId="0" applyFont="1" applyFill="1" applyBorder="1" applyAlignment="1">
      <alignment horizontal="left" wrapText="1"/>
    </xf>
    <xf numFmtId="0" fontId="47" fillId="12" borderId="1" xfId="0" applyFont="1" applyFill="1" applyBorder="1" applyAlignment="1">
      <alignment horizontal="left" wrapText="1"/>
    </xf>
    <xf numFmtId="165" fontId="48" fillId="13" borderId="45" xfId="1" applyNumberFormat="1" applyFont="1" applyFill="1" applyBorder="1"/>
    <xf numFmtId="165" fontId="48" fillId="13" borderId="8" xfId="1" applyNumberFormat="1" applyFont="1" applyFill="1" applyBorder="1"/>
    <xf numFmtId="0" fontId="48" fillId="13" borderId="77" xfId="0" applyFont="1" applyFill="1" applyBorder="1"/>
    <xf numFmtId="165" fontId="48" fillId="13" borderId="59" xfId="1" applyNumberFormat="1" applyFont="1" applyFill="1" applyBorder="1"/>
    <xf numFmtId="0" fontId="47" fillId="12" borderId="76" xfId="0" applyFont="1" applyFill="1" applyBorder="1" applyAlignment="1">
      <alignment horizontal="left" wrapText="1"/>
    </xf>
    <xf numFmtId="165" fontId="44" fillId="0" borderId="9" xfId="1" applyNumberFormat="1" applyFont="1" applyFill="1" applyBorder="1" applyAlignment="1">
      <alignment horizontal="center" vertical="top"/>
    </xf>
    <xf numFmtId="43" fontId="2" fillId="23" borderId="81" xfId="0" applyNumberFormat="1" applyFont="1" applyFill="1" applyBorder="1"/>
    <xf numFmtId="165" fontId="7" fillId="0" borderId="0" xfId="0" applyNumberFormat="1" applyFont="1" applyAlignment="1">
      <alignment horizontal="right"/>
    </xf>
    <xf numFmtId="175" fontId="51" fillId="27" borderId="0" xfId="0" applyNumberFormat="1" applyFont="1" applyFill="1" applyAlignment="1">
      <alignment vertical="top"/>
    </xf>
    <xf numFmtId="175" fontId="0" fillId="27" borderId="0" xfId="0" applyNumberFormat="1" applyFill="1" applyAlignment="1">
      <alignment vertical="top"/>
    </xf>
    <xf numFmtId="175" fontId="51" fillId="27" borderId="0" xfId="1" applyNumberFormat="1" applyFont="1" applyFill="1" applyAlignment="1">
      <alignment vertical="top"/>
    </xf>
    <xf numFmtId="175" fontId="0" fillId="0" borderId="0" xfId="0" applyNumberFormat="1" applyAlignment="1">
      <alignment vertical="top"/>
    </xf>
    <xf numFmtId="43" fontId="0" fillId="11" borderId="0" xfId="0" applyNumberFormat="1" applyFill="1"/>
    <xf numFmtId="165" fontId="2" fillId="0" borderId="0" xfId="1" applyNumberFormat="1" applyFont="1"/>
    <xf numFmtId="165" fontId="3" fillId="0" borderId="0" xfId="1" applyNumberFormat="1" applyFont="1" applyAlignment="1">
      <alignment horizontal="center"/>
    </xf>
    <xf numFmtId="165" fontId="39" fillId="0" borderId="0" xfId="1" applyNumberFormat="1" applyFont="1"/>
    <xf numFmtId="165" fontId="2" fillId="0" borderId="0" xfId="1" applyNumberFormat="1" applyFont="1" applyAlignment="1">
      <alignment horizontal="center"/>
    </xf>
    <xf numFmtId="43" fontId="3" fillId="6" borderId="0" xfId="1" applyFont="1" applyFill="1" applyAlignment="1">
      <alignment horizontal="center" wrapText="1"/>
    </xf>
    <xf numFmtId="165" fontId="61" fillId="0" borderId="0" xfId="1" applyNumberFormat="1" applyFont="1" applyFill="1"/>
    <xf numFmtId="165" fontId="62" fillId="0" borderId="0" xfId="1" applyNumberFormat="1" applyFont="1" applyFill="1"/>
    <xf numFmtId="43" fontId="51" fillId="13" borderId="0" xfId="1" applyFont="1" applyFill="1"/>
    <xf numFmtId="165" fontId="52" fillId="27" borderId="0" xfId="1" applyNumberFormat="1" applyFont="1" applyFill="1"/>
    <xf numFmtId="43" fontId="61" fillId="0" borderId="28" xfId="1" applyFont="1" applyFill="1" applyBorder="1"/>
    <xf numFmtId="43" fontId="26" fillId="0" borderId="28" xfId="1" applyFont="1" applyFill="1" applyBorder="1"/>
    <xf numFmtId="43" fontId="26" fillId="0" borderId="40" xfId="1" applyFont="1" applyFill="1" applyBorder="1"/>
    <xf numFmtId="43" fontId="26" fillId="0" borderId="79" xfId="1" applyFont="1" applyFill="1" applyBorder="1"/>
    <xf numFmtId="43" fontId="7" fillId="0" borderId="37" xfId="1" applyFont="1" applyFill="1" applyBorder="1"/>
    <xf numFmtId="43" fontId="61" fillId="0" borderId="79" xfId="1" applyFont="1" applyFill="1" applyBorder="1"/>
    <xf numFmtId="43" fontId="61" fillId="0" borderId="40" xfId="1" applyFont="1" applyFill="1" applyBorder="1"/>
    <xf numFmtId="0" fontId="56" fillId="0" borderId="0" xfId="0" applyFont="1" applyAlignment="1">
      <alignment horizontal="center"/>
    </xf>
    <xf numFmtId="43" fontId="36" fillId="6" borderId="0" xfId="0" applyNumberFormat="1" applyFont="1" applyFill="1"/>
    <xf numFmtId="43" fontId="56" fillId="0" borderId="0" xfId="0" applyNumberFormat="1" applyFont="1" applyAlignment="1">
      <alignment horizontal="center"/>
    </xf>
    <xf numFmtId="43" fontId="36" fillId="6" borderId="0" xfId="1" applyFont="1" applyFill="1" applyBorder="1"/>
    <xf numFmtId="43" fontId="56" fillId="0" borderId="0" xfId="0" applyNumberFormat="1" applyFont="1"/>
    <xf numFmtId="43" fontId="24" fillId="0" borderId="0" xfId="0" applyNumberFormat="1" applyFont="1"/>
    <xf numFmtId="43" fontId="56" fillId="0" borderId="0" xfId="1" applyFont="1" applyBorder="1"/>
    <xf numFmtId="43" fontId="44" fillId="0" borderId="0" xfId="0" applyNumberFormat="1" applyFont="1" applyAlignment="1">
      <alignment horizontal="center"/>
    </xf>
    <xf numFmtId="3" fontId="7" fillId="0" borderId="0" xfId="0" applyNumberFormat="1" applyFont="1"/>
    <xf numFmtId="0" fontId="0" fillId="21" borderId="9" xfId="0" applyFill="1" applyBorder="1"/>
    <xf numFmtId="0" fontId="0" fillId="32" borderId="9" xfId="0" applyFill="1" applyBorder="1"/>
    <xf numFmtId="38" fontId="2" fillId="0" borderId="18" xfId="1" applyNumberFormat="1" applyFont="1" applyFill="1" applyBorder="1" applyAlignment="1">
      <alignment horizontal="right"/>
    </xf>
    <xf numFmtId="43" fontId="0" fillId="0" borderId="28" xfId="4" applyFont="1" applyBorder="1"/>
    <xf numFmtId="38" fontId="2" fillId="0" borderId="61" xfId="1" applyNumberFormat="1" applyFont="1" applyBorder="1" applyAlignment="1">
      <alignment horizontal="right"/>
    </xf>
    <xf numFmtId="165" fontId="0" fillId="0" borderId="18" xfId="1" applyNumberFormat="1" applyFont="1" applyBorder="1"/>
    <xf numFmtId="38" fontId="2" fillId="0" borderId="18" xfId="1" applyNumberFormat="1" applyFont="1" applyFill="1" applyBorder="1" applyAlignment="1"/>
    <xf numFmtId="175" fontId="0" fillId="13" borderId="0" xfId="0" applyNumberFormat="1" applyFill="1" applyAlignment="1">
      <alignment vertical="top"/>
    </xf>
    <xf numFmtId="175" fontId="0" fillId="13" borderId="0" xfId="0" applyNumberFormat="1" applyFill="1"/>
    <xf numFmtId="165" fontId="48" fillId="13" borderId="61" xfId="1" applyNumberFormat="1" applyFont="1" applyFill="1" applyBorder="1"/>
    <xf numFmtId="165" fontId="48" fillId="13" borderId="67" xfId="1" applyNumberFormat="1" applyFont="1" applyFill="1" applyBorder="1"/>
    <xf numFmtId="0" fontId="47" fillId="12" borderId="73" xfId="0" applyFont="1" applyFill="1" applyBorder="1" applyAlignment="1">
      <alignment horizontal="left"/>
    </xf>
    <xf numFmtId="38" fontId="2" fillId="29" borderId="25" xfId="1" applyNumberFormat="1" applyFont="1" applyFill="1" applyBorder="1" applyAlignment="1">
      <alignment horizontal="right"/>
    </xf>
    <xf numFmtId="38" fontId="2" fillId="29" borderId="28" xfId="1" applyNumberFormat="1" applyFont="1" applyFill="1" applyBorder="1" applyAlignment="1">
      <alignment horizontal="right"/>
    </xf>
    <xf numFmtId="0" fontId="69" fillId="0" borderId="0" xfId="0" applyFont="1"/>
    <xf numFmtId="43" fontId="7" fillId="20" borderId="0" xfId="0" applyNumberFormat="1" applyFont="1" applyFill="1"/>
    <xf numFmtId="43" fontId="7" fillId="22" borderId="0" xfId="0" applyNumberFormat="1" applyFont="1" applyFill="1"/>
    <xf numFmtId="43" fontId="7" fillId="33" borderId="0" xfId="0" applyNumberFormat="1" applyFont="1" applyFill="1"/>
    <xf numFmtId="43" fontId="7" fillId="18" borderId="0" xfId="0" applyNumberFormat="1" applyFont="1" applyFill="1"/>
    <xf numFmtId="17" fontId="36" fillId="34" borderId="9" xfId="0" applyNumberFormat="1" applyFont="1" applyFill="1" applyBorder="1"/>
    <xf numFmtId="17" fontId="0" fillId="21" borderId="9" xfId="0" applyNumberFormat="1" applyFill="1" applyBorder="1"/>
    <xf numFmtId="43" fontId="44" fillId="21" borderId="9" xfId="1" applyFont="1" applyFill="1" applyBorder="1"/>
    <xf numFmtId="43" fontId="2" fillId="23" borderId="29" xfId="0" applyNumberFormat="1" applyFont="1" applyFill="1" applyBorder="1"/>
    <xf numFmtId="0" fontId="36" fillId="34" borderId="9" xfId="0" applyFont="1" applyFill="1" applyBorder="1"/>
    <xf numFmtId="38" fontId="2" fillId="14" borderId="0" xfId="1" applyNumberFormat="1" applyFont="1" applyFill="1" applyAlignment="1">
      <alignment horizontal="center"/>
    </xf>
    <xf numFmtId="0" fontId="0" fillId="24" borderId="0" xfId="0" applyFill="1"/>
    <xf numFmtId="43" fontId="0" fillId="24" borderId="0" xfId="0" applyNumberFormat="1" applyFill="1"/>
    <xf numFmtId="0" fontId="0" fillId="35" borderId="0" xfId="0" applyFill="1"/>
    <xf numFmtId="43" fontId="0" fillId="35" borderId="0" xfId="0" applyNumberFormat="1" applyFill="1"/>
    <xf numFmtId="40" fontId="0" fillId="35" borderId="0" xfId="0" applyNumberFormat="1" applyFill="1"/>
    <xf numFmtId="0" fontId="62" fillId="27" borderId="0" xfId="0" applyFont="1" applyFill="1"/>
    <xf numFmtId="38" fontId="3" fillId="0" borderId="0" xfId="1" applyNumberFormat="1" applyFont="1" applyFill="1" applyBorder="1" applyAlignment="1">
      <alignment horizontal="center"/>
    </xf>
    <xf numFmtId="43" fontId="3" fillId="0" borderId="29" xfId="1" applyFont="1" applyBorder="1" applyAlignment="1">
      <alignment horizontal="left"/>
    </xf>
    <xf numFmtId="43" fontId="2" fillId="0" borderId="0" xfId="1" applyFont="1" applyBorder="1" applyAlignment="1">
      <alignment horizontal="left"/>
    </xf>
    <xf numFmtId="43" fontId="2" fillId="0" borderId="81" xfId="1" applyFont="1" applyBorder="1" applyAlignment="1">
      <alignment horizontal="left"/>
    </xf>
    <xf numFmtId="43" fontId="3" fillId="6" borderId="0" xfId="1" applyFont="1" applyFill="1" applyBorder="1"/>
    <xf numFmtId="43" fontId="3" fillId="0" borderId="81" xfId="1" applyFont="1" applyFill="1" applyBorder="1"/>
    <xf numFmtId="43" fontId="3" fillId="0" borderId="11" xfId="1" applyFont="1" applyBorder="1" applyAlignment="1">
      <alignment horizontal="left"/>
    </xf>
    <xf numFmtId="38" fontId="3" fillId="0" borderId="28" xfId="1" applyNumberFormat="1" applyFont="1" applyBorder="1" applyAlignment="1">
      <alignment horizontal="center"/>
    </xf>
    <xf numFmtId="38" fontId="3" fillId="0" borderId="28" xfId="1" applyNumberFormat="1" applyFont="1" applyFill="1" applyBorder="1" applyAlignment="1">
      <alignment horizontal="center"/>
    </xf>
    <xf numFmtId="43" fontId="3" fillId="0" borderId="28" xfId="1" applyFont="1" applyFill="1" applyBorder="1"/>
    <xf numFmtId="43" fontId="3" fillId="0" borderId="18" xfId="1" applyFont="1" applyBorder="1" applyAlignment="1">
      <alignment horizontal="left"/>
    </xf>
    <xf numFmtId="43" fontId="3" fillId="0" borderId="28" xfId="1" applyFont="1" applyBorder="1" applyAlignment="1">
      <alignment horizontal="left"/>
    </xf>
    <xf numFmtId="43" fontId="3" fillId="0" borderId="10" xfId="1" applyFont="1" applyBorder="1" applyAlignment="1">
      <alignment horizontal="left"/>
    </xf>
    <xf numFmtId="43" fontId="3" fillId="0" borderId="17" xfId="1" applyFont="1" applyBorder="1" applyAlignment="1">
      <alignment horizontal="left"/>
    </xf>
    <xf numFmtId="43" fontId="3" fillId="0" borderId="25" xfId="1" applyFont="1" applyBorder="1" applyAlignment="1">
      <alignment horizontal="left"/>
    </xf>
    <xf numFmtId="43" fontId="3" fillId="0" borderId="5" xfId="1" applyFont="1" applyBorder="1" applyAlignment="1">
      <alignment horizontal="left"/>
    </xf>
    <xf numFmtId="165" fontId="48" fillId="11" borderId="9" xfId="1" applyNumberFormat="1" applyFont="1" applyFill="1" applyBorder="1"/>
    <xf numFmtId="165" fontId="48" fillId="11" borderId="17" xfId="1" applyNumberFormat="1" applyFont="1" applyFill="1" applyBorder="1"/>
    <xf numFmtId="165" fontId="48" fillId="11" borderId="33" xfId="1" applyNumberFormat="1" applyFont="1" applyFill="1" applyBorder="1"/>
    <xf numFmtId="165" fontId="48" fillId="11" borderId="32" xfId="1" applyNumberFormat="1" applyFont="1" applyFill="1" applyBorder="1"/>
    <xf numFmtId="43" fontId="61" fillId="0" borderId="34" xfId="1" applyFont="1" applyFill="1" applyBorder="1"/>
    <xf numFmtId="0" fontId="48" fillId="11" borderId="52" xfId="0" applyFont="1" applyFill="1" applyBorder="1"/>
    <xf numFmtId="0" fontId="48" fillId="11" borderId="9" xfId="0" applyFont="1" applyFill="1" applyBorder="1"/>
    <xf numFmtId="165" fontId="47" fillId="11" borderId="9" xfId="1" applyNumberFormat="1" applyFont="1" applyFill="1" applyBorder="1"/>
    <xf numFmtId="165" fontId="48" fillId="11" borderId="39" xfId="1" applyNumberFormat="1" applyFont="1" applyFill="1" applyBorder="1"/>
    <xf numFmtId="165" fontId="47" fillId="11" borderId="21" xfId="1" applyNumberFormat="1" applyFont="1" applyFill="1" applyBorder="1"/>
    <xf numFmtId="165" fontId="48" fillId="11" borderId="52" xfId="1" applyNumberFormat="1" applyFont="1" applyFill="1" applyBorder="1"/>
    <xf numFmtId="165" fontId="47" fillId="11" borderId="8" xfId="1" applyNumberFormat="1" applyFont="1" applyFill="1" applyBorder="1"/>
    <xf numFmtId="165" fontId="47" fillId="11" borderId="6" xfId="1" applyNumberFormat="1" applyFont="1" applyFill="1" applyBorder="1" applyAlignment="1">
      <alignment horizontal="center"/>
    </xf>
    <xf numFmtId="165" fontId="48" fillId="11" borderId="0" xfId="1" applyNumberFormat="1" applyFont="1" applyFill="1" applyBorder="1" applyAlignment="1">
      <alignment horizontal="center"/>
    </xf>
    <xf numFmtId="43" fontId="48" fillId="11" borderId="0" xfId="1" applyFont="1" applyFill="1" applyBorder="1" applyAlignment="1">
      <alignment horizontal="center"/>
    </xf>
    <xf numFmtId="38" fontId="48" fillId="11" borderId="0" xfId="1" applyNumberFormat="1" applyFont="1" applyFill="1" applyBorder="1" applyAlignment="1">
      <alignment horizontal="center"/>
    </xf>
    <xf numFmtId="165" fontId="48" fillId="11" borderId="0" xfId="1" applyNumberFormat="1" applyFont="1" applyFill="1" applyBorder="1" applyAlignment="1"/>
    <xf numFmtId="38" fontId="48" fillId="11" borderId="0" xfId="0" applyNumberFormat="1" applyFont="1" applyFill="1" applyAlignment="1">
      <alignment horizontal="center"/>
    </xf>
    <xf numFmtId="165" fontId="48" fillId="11" borderId="0" xfId="1" applyNumberFormat="1" applyFont="1" applyFill="1" applyBorder="1"/>
    <xf numFmtId="0" fontId="47" fillId="11" borderId="0" xfId="0" applyFont="1" applyFill="1"/>
    <xf numFmtId="3" fontId="48" fillId="11" borderId="0" xfId="0" applyNumberFormat="1" applyFont="1" applyFill="1"/>
    <xf numFmtId="165" fontId="48" fillId="11" borderId="0" xfId="1" applyNumberFormat="1" applyFont="1" applyFill="1"/>
    <xf numFmtId="165" fontId="48" fillId="11" borderId="0" xfId="0" applyNumberFormat="1" applyFont="1" applyFill="1"/>
    <xf numFmtId="0" fontId="48" fillId="11" borderId="0" xfId="0" applyFont="1" applyFill="1"/>
    <xf numFmtId="165" fontId="47" fillId="11" borderId="9" xfId="1" applyNumberFormat="1" applyFont="1" applyFill="1" applyBorder="1" applyAlignment="1">
      <alignment horizontal="center"/>
    </xf>
    <xf numFmtId="0" fontId="48" fillId="11" borderId="24" xfId="0" applyFont="1" applyFill="1" applyBorder="1"/>
    <xf numFmtId="0" fontId="48" fillId="11" borderId="25" xfId="0" applyFont="1" applyFill="1" applyBorder="1"/>
    <xf numFmtId="165" fontId="47" fillId="11" borderId="33" xfId="1" applyNumberFormat="1" applyFont="1" applyFill="1" applyBorder="1"/>
    <xf numFmtId="165" fontId="48" fillId="11" borderId="6" xfId="1" applyNumberFormat="1" applyFont="1" applyFill="1" applyBorder="1"/>
    <xf numFmtId="165" fontId="48" fillId="11" borderId="36" xfId="1" applyNumberFormat="1" applyFont="1" applyFill="1" applyBorder="1" applyAlignment="1">
      <alignment horizontal="center"/>
    </xf>
    <xf numFmtId="165" fontId="48" fillId="11" borderId="0" xfId="1" applyNumberFormat="1" applyFont="1" applyFill="1" applyAlignment="1">
      <alignment horizontal="center"/>
    </xf>
    <xf numFmtId="0" fontId="48" fillId="11" borderId="26" xfId="0" applyFont="1" applyFill="1" applyBorder="1"/>
    <xf numFmtId="0" fontId="48" fillId="11" borderId="27" xfId="0" applyFont="1" applyFill="1" applyBorder="1"/>
    <xf numFmtId="165" fontId="47" fillId="11" borderId="17" xfId="1" applyNumberFormat="1" applyFont="1" applyFill="1" applyBorder="1"/>
    <xf numFmtId="165" fontId="48" fillId="11" borderId="39" xfId="1" applyNumberFormat="1" applyFont="1" applyFill="1" applyBorder="1" applyAlignment="1">
      <alignment horizontal="center"/>
    </xf>
    <xf numFmtId="0" fontId="48" fillId="11" borderId="72" xfId="0" applyFont="1" applyFill="1" applyBorder="1"/>
    <xf numFmtId="0" fontId="48" fillId="11" borderId="6" xfId="0" applyFont="1" applyFill="1" applyBorder="1"/>
    <xf numFmtId="165" fontId="47" fillId="11" borderId="6" xfId="1" applyNumberFormat="1" applyFont="1" applyFill="1" applyBorder="1"/>
    <xf numFmtId="165" fontId="48" fillId="11" borderId="7" xfId="1" applyNumberFormat="1" applyFont="1" applyFill="1" applyBorder="1"/>
    <xf numFmtId="165" fontId="48" fillId="11" borderId="72" xfId="1" applyNumberFormat="1" applyFont="1" applyFill="1" applyBorder="1"/>
    <xf numFmtId="165" fontId="47" fillId="11" borderId="5" xfId="1" applyNumberFormat="1" applyFont="1" applyFill="1" applyBorder="1"/>
    <xf numFmtId="0" fontId="48" fillId="11" borderId="71" xfId="0" applyFont="1" applyFill="1" applyBorder="1"/>
    <xf numFmtId="0" fontId="48" fillId="11" borderId="74" xfId="0" applyFont="1" applyFill="1" applyBorder="1"/>
    <xf numFmtId="165" fontId="48" fillId="11" borderId="19" xfId="1" applyNumberFormat="1" applyFont="1" applyFill="1" applyBorder="1"/>
    <xf numFmtId="165" fontId="47" fillId="11" borderId="39" xfId="1" applyNumberFormat="1" applyFont="1" applyFill="1" applyBorder="1" applyAlignment="1">
      <alignment horizontal="center"/>
    </xf>
    <xf numFmtId="165" fontId="48" fillId="11" borderId="80" xfId="1" applyNumberFormat="1" applyFont="1" applyFill="1" applyBorder="1"/>
    <xf numFmtId="165" fontId="48" fillId="11" borderId="55" xfId="1" applyNumberFormat="1" applyFont="1" applyFill="1" applyBorder="1"/>
    <xf numFmtId="165" fontId="47" fillId="11" borderId="73" xfId="1" applyNumberFormat="1" applyFont="1" applyFill="1" applyBorder="1"/>
    <xf numFmtId="165" fontId="48" fillId="11" borderId="0" xfId="0" quotePrefix="1" applyNumberFormat="1" applyFont="1" applyFill="1"/>
    <xf numFmtId="38" fontId="48" fillId="11" borderId="0" xfId="0" applyNumberFormat="1" applyFont="1" applyFill="1"/>
    <xf numFmtId="0" fontId="48" fillId="11" borderId="0" xfId="0" applyFont="1" applyFill="1" applyAlignment="1">
      <alignment horizontal="center"/>
    </xf>
    <xf numFmtId="3" fontId="48" fillId="11" borderId="0" xfId="0" applyNumberFormat="1" applyFont="1" applyFill="1" applyAlignment="1">
      <alignment horizontal="center"/>
    </xf>
    <xf numFmtId="165" fontId="48" fillId="11" borderId="61" xfId="1" applyNumberFormat="1" applyFont="1" applyFill="1" applyBorder="1"/>
    <xf numFmtId="165" fontId="48" fillId="11" borderId="45" xfId="1" applyNumberFormat="1" applyFont="1" applyFill="1" applyBorder="1"/>
    <xf numFmtId="165" fontId="48" fillId="11" borderId="8" xfId="1" applyNumberFormat="1" applyFont="1" applyFill="1" applyBorder="1"/>
    <xf numFmtId="38" fontId="48" fillId="11" borderId="0" xfId="1" applyNumberFormat="1" applyFont="1" applyFill="1" applyAlignment="1">
      <alignment horizontal="center"/>
    </xf>
    <xf numFmtId="165" fontId="47" fillId="11" borderId="0" xfId="0" applyNumberFormat="1" applyFont="1" applyFill="1"/>
    <xf numFmtId="43" fontId="2" fillId="0" borderId="0" xfId="1" applyFont="1" applyFill="1" applyBorder="1" applyAlignment="1">
      <alignment horizontal="right"/>
    </xf>
    <xf numFmtId="43" fontId="2" fillId="0" borderId="25" xfId="1" applyFont="1" applyFill="1" applyBorder="1" applyAlignment="1">
      <alignment horizontal="right"/>
    </xf>
    <xf numFmtId="43" fontId="2" fillId="0" borderId="18" xfId="1" applyFont="1" applyFill="1" applyBorder="1" applyAlignment="1">
      <alignment horizontal="right"/>
    </xf>
    <xf numFmtId="43" fontId="2" fillId="0" borderId="29" xfId="1" applyFont="1" applyFill="1" applyBorder="1" applyAlignment="1">
      <alignment horizontal="right"/>
    </xf>
    <xf numFmtId="43" fontId="2" fillId="0" borderId="17" xfId="1" applyFont="1" applyFill="1" applyBorder="1" applyAlignment="1">
      <alignment horizontal="right"/>
    </xf>
    <xf numFmtId="43" fontId="2" fillId="0" borderId="61" xfId="1" applyFont="1" applyBorder="1" applyAlignment="1">
      <alignment horizontal="right"/>
    </xf>
    <xf numFmtId="0" fontId="40" fillId="21" borderId="9" xfId="0" applyFont="1" applyFill="1" applyBorder="1"/>
    <xf numFmtId="0" fontId="70" fillId="16" borderId="0" xfId="0" applyFont="1" applyFill="1"/>
    <xf numFmtId="165" fontId="71" fillId="16" borderId="0" xfId="0" applyNumberFormat="1" applyFont="1" applyFill="1" applyAlignment="1">
      <alignment horizontal="center"/>
    </xf>
    <xf numFmtId="0" fontId="72" fillId="16" borderId="20" xfId="0" applyFont="1" applyFill="1" applyBorder="1"/>
    <xf numFmtId="0" fontId="73" fillId="30" borderId="20" xfId="0" applyFont="1" applyFill="1" applyBorder="1" applyAlignment="1">
      <alignment horizontal="center" vertical="center"/>
    </xf>
    <xf numFmtId="0" fontId="73" fillId="30" borderId="20" xfId="0" applyFont="1" applyFill="1" applyBorder="1" applyAlignment="1">
      <alignment horizontal="center" vertical="center" wrapText="1"/>
    </xf>
    <xf numFmtId="0" fontId="74" fillId="16" borderId="0" xfId="3" applyFont="1" applyFill="1" applyAlignment="1"/>
    <xf numFmtId="43" fontId="70" fillId="16" borderId="0" xfId="0" applyNumberFormat="1" applyFont="1" applyFill="1"/>
    <xf numFmtId="43" fontId="75" fillId="23" borderId="0" xfId="0" applyNumberFormat="1" applyFont="1" applyFill="1"/>
    <xf numFmtId="0" fontId="76" fillId="16" borderId="0" xfId="3" applyFont="1" applyFill="1" applyAlignment="1"/>
    <xf numFmtId="0" fontId="70" fillId="16" borderId="20" xfId="0" applyFont="1" applyFill="1" applyBorder="1"/>
    <xf numFmtId="43" fontId="70" fillId="26" borderId="21" xfId="1" applyFont="1" applyFill="1" applyBorder="1"/>
    <xf numFmtId="43" fontId="70" fillId="23" borderId="21" xfId="1" applyFont="1" applyFill="1" applyBorder="1"/>
    <xf numFmtId="43" fontId="70" fillId="16" borderId="0" xfId="1" applyFont="1" applyFill="1" applyBorder="1"/>
    <xf numFmtId="43" fontId="75" fillId="23" borderId="0" xfId="1" applyFont="1" applyFill="1" applyBorder="1"/>
    <xf numFmtId="43" fontId="74" fillId="16" borderId="0" xfId="0" applyNumberFormat="1" applyFont="1" applyFill="1"/>
    <xf numFmtId="0" fontId="74" fillId="16" borderId="0" xfId="0" applyFont="1" applyFill="1"/>
    <xf numFmtId="43" fontId="70" fillId="26" borderId="21" xfId="0" applyNumberFormat="1" applyFont="1" applyFill="1" applyBorder="1"/>
    <xf numFmtId="0" fontId="75" fillId="16" borderId="0" xfId="0" applyFont="1" applyFill="1"/>
    <xf numFmtId="43" fontId="75" fillId="16" borderId="0" xfId="1" applyFont="1" applyFill="1" applyBorder="1"/>
    <xf numFmtId="9" fontId="74" fillId="16" borderId="0" xfId="5" applyFont="1" applyFill="1" applyBorder="1"/>
    <xf numFmtId="0" fontId="78" fillId="16" borderId="0" xfId="0" applyFont="1" applyFill="1"/>
    <xf numFmtId="43" fontId="74" fillId="16" borderId="0" xfId="1" applyFont="1" applyFill="1" applyBorder="1"/>
    <xf numFmtId="43" fontId="71" fillId="16" borderId="0" xfId="1" applyFont="1" applyFill="1" applyBorder="1"/>
    <xf numFmtId="0" fontId="79" fillId="16" borderId="0" xfId="0" applyFont="1" applyFill="1"/>
    <xf numFmtId="43" fontId="79" fillId="16" borderId="0" xfId="1" applyFont="1" applyFill="1" applyBorder="1"/>
    <xf numFmtId="0" fontId="74" fillId="16" borderId="0" xfId="6" applyFont="1" applyFill="1"/>
    <xf numFmtId="43" fontId="75" fillId="16" borderId="20" xfId="1" applyFont="1" applyFill="1" applyBorder="1"/>
    <xf numFmtId="0" fontId="71" fillId="16" borderId="0" xfId="6" applyFont="1" applyFill="1"/>
    <xf numFmtId="43" fontId="70" fillId="16" borderId="0" xfId="1" applyFont="1" applyFill="1"/>
    <xf numFmtId="43" fontId="75" fillId="16" borderId="0" xfId="0" applyNumberFormat="1" applyFont="1" applyFill="1"/>
    <xf numFmtId="0" fontId="80" fillId="16" borderId="0" xfId="7" applyFont="1" applyFill="1"/>
    <xf numFmtId="0" fontId="75" fillId="16" borderId="63" xfId="0" applyFont="1" applyFill="1" applyBorder="1"/>
    <xf numFmtId="0" fontId="75" fillId="16" borderId="64" xfId="0" applyFont="1" applyFill="1" applyBorder="1"/>
    <xf numFmtId="0" fontId="74" fillId="16" borderId="0" xfId="7" applyFont="1" applyFill="1"/>
    <xf numFmtId="177" fontId="70" fillId="16" borderId="0" xfId="0" applyNumberFormat="1" applyFont="1" applyFill="1"/>
    <xf numFmtId="43" fontId="70" fillId="16" borderId="37" xfId="1" applyFont="1" applyFill="1" applyBorder="1"/>
    <xf numFmtId="165" fontId="70" fillId="16" borderId="0" xfId="1" applyNumberFormat="1" applyFont="1" applyFill="1"/>
    <xf numFmtId="0" fontId="77" fillId="16" borderId="0" xfId="7" applyFont="1" applyFill="1"/>
    <xf numFmtId="43" fontId="75" fillId="16" borderId="66" xfId="1" applyFont="1" applyFill="1" applyBorder="1"/>
    <xf numFmtId="43" fontId="26" fillId="0" borderId="28" xfId="1" applyFont="1" applyBorder="1"/>
    <xf numFmtId="0" fontId="47" fillId="12" borderId="66" xfId="0" applyFont="1" applyFill="1" applyBorder="1" applyAlignment="1">
      <alignment horizontal="right"/>
    </xf>
    <xf numFmtId="165" fontId="47" fillId="0" borderId="9" xfId="0" applyNumberFormat="1" applyFont="1" applyBorder="1"/>
    <xf numFmtId="165" fontId="47" fillId="0" borderId="9" xfId="0" applyNumberFormat="1" applyFont="1" applyBorder="1" applyAlignment="1">
      <alignment horizontal="right"/>
    </xf>
    <xf numFmtId="165" fontId="48" fillId="0" borderId="9" xfId="0" applyNumberFormat="1" applyFont="1" applyBorder="1"/>
    <xf numFmtId="0" fontId="47" fillId="0" borderId="9" xfId="0" applyFont="1" applyBorder="1"/>
    <xf numFmtId="165" fontId="81" fillId="0" borderId="9" xfId="0" applyNumberFormat="1" applyFont="1" applyBorder="1"/>
    <xf numFmtId="43" fontId="3" fillId="0" borderId="9" xfId="1" applyFont="1" applyFill="1" applyBorder="1"/>
    <xf numFmtId="43" fontId="0" fillId="0" borderId="9" xfId="1" applyFont="1" applyFill="1" applyBorder="1"/>
    <xf numFmtId="43" fontId="0" fillId="11" borderId="9" xfId="1" applyFont="1" applyFill="1" applyBorder="1"/>
    <xf numFmtId="43" fontId="0" fillId="0" borderId="22" xfId="1" applyFont="1" applyFill="1" applyBorder="1"/>
    <xf numFmtId="43" fontId="5" fillId="0" borderId="0" xfId="1" applyFont="1" applyFill="1"/>
    <xf numFmtId="43" fontId="0" fillId="0" borderId="18" xfId="1" applyFont="1" applyFill="1" applyBorder="1"/>
    <xf numFmtId="43" fontId="3" fillId="0" borderId="22" xfId="1" applyFont="1" applyFill="1" applyBorder="1"/>
    <xf numFmtId="43" fontId="0" fillId="0" borderId="20" xfId="1" applyFont="1" applyFill="1" applyBorder="1"/>
    <xf numFmtId="43" fontId="0" fillId="14" borderId="9" xfId="1" applyFont="1" applyFill="1" applyBorder="1"/>
    <xf numFmtId="43" fontId="3" fillId="0" borderId="25" xfId="1" applyFont="1" applyFill="1" applyBorder="1" applyAlignment="1"/>
    <xf numFmtId="43" fontId="3" fillId="0" borderId="0" xfId="1" applyFont="1" applyFill="1" applyBorder="1" applyAlignment="1"/>
    <xf numFmtId="43" fontId="40" fillId="0" borderId="9" xfId="1" applyFont="1" applyFill="1" applyBorder="1"/>
    <xf numFmtId="43" fontId="2" fillId="11" borderId="61" xfId="1" applyFont="1" applyFill="1" applyBorder="1"/>
    <xf numFmtId="43" fontId="2" fillId="14" borderId="61" xfId="1" applyFont="1" applyFill="1" applyBorder="1"/>
    <xf numFmtId="43" fontId="5" fillId="0" borderId="0" xfId="1" applyFont="1" applyFill="1" applyBorder="1"/>
    <xf numFmtId="17" fontId="44" fillId="23" borderId="18" xfId="0" applyNumberFormat="1" applyFont="1" applyFill="1" applyBorder="1" applyAlignment="1">
      <alignment wrapText="1"/>
    </xf>
    <xf numFmtId="0" fontId="2" fillId="23" borderId="28" xfId="0" applyFont="1" applyFill="1" applyBorder="1"/>
    <xf numFmtId="0" fontId="44" fillId="23" borderId="10" xfId="0" applyFont="1" applyFill="1" applyBorder="1" applyAlignment="1">
      <alignment horizontal="center" wrapText="1"/>
    </xf>
    <xf numFmtId="38" fontId="2" fillId="0" borderId="17" xfId="0" applyNumberFormat="1" applyFont="1" applyBorder="1" applyAlignment="1">
      <alignment horizontal="right"/>
    </xf>
    <xf numFmtId="0" fontId="9" fillId="0" borderId="53" xfId="0" applyFont="1" applyBorder="1"/>
    <xf numFmtId="38" fontId="2" fillId="0" borderId="11" xfId="0" applyNumberFormat="1" applyFont="1" applyBorder="1" applyAlignment="1">
      <alignment horizontal="right"/>
    </xf>
    <xf numFmtId="38" fontId="2" fillId="0" borderId="11" xfId="1" applyNumberFormat="1" applyFont="1" applyFill="1" applyBorder="1" applyAlignment="1">
      <alignment horizontal="right"/>
    </xf>
    <xf numFmtId="38" fontId="2" fillId="0" borderId="30" xfId="1" applyNumberFormat="1" applyFont="1" applyFill="1" applyBorder="1" applyAlignment="1">
      <alignment horizontal="right"/>
    </xf>
    <xf numFmtId="38" fontId="2" fillId="0" borderId="0" xfId="0" applyNumberFormat="1" applyFont="1" applyAlignment="1">
      <alignment horizontal="right"/>
    </xf>
    <xf numFmtId="43" fontId="44" fillId="16" borderId="0" xfId="1" applyFont="1" applyFill="1"/>
    <xf numFmtId="43" fontId="36" fillId="16" borderId="0" xfId="1" applyFont="1" applyFill="1"/>
    <xf numFmtId="43" fontId="56" fillId="16" borderId="28" xfId="1" applyFont="1" applyFill="1" applyBorder="1"/>
    <xf numFmtId="43" fontId="56" fillId="16" borderId="25" xfId="1" applyFont="1" applyFill="1" applyBorder="1"/>
    <xf numFmtId="43" fontId="44" fillId="16" borderId="0" xfId="1" applyFont="1" applyFill="1" applyBorder="1"/>
    <xf numFmtId="43" fontId="56" fillId="16" borderId="0" xfId="1" applyFont="1" applyFill="1" applyBorder="1"/>
    <xf numFmtId="43" fontId="44" fillId="16" borderId="28" xfId="1" applyFont="1" applyFill="1" applyBorder="1"/>
    <xf numFmtId="43" fontId="44" fillId="16" borderId="25" xfId="1" applyFont="1" applyFill="1" applyBorder="1"/>
    <xf numFmtId="43" fontId="0" fillId="16" borderId="0" xfId="1" applyFont="1" applyFill="1" applyBorder="1"/>
    <xf numFmtId="43" fontId="0" fillId="16" borderId="0" xfId="1" applyFont="1" applyFill="1"/>
    <xf numFmtId="165" fontId="3" fillId="0" borderId="11" xfId="1" applyNumberFormat="1" applyFont="1" applyBorder="1" applyAlignment="1">
      <alignment horizontal="left"/>
    </xf>
    <xf numFmtId="0" fontId="66" fillId="0" borderId="0" xfId="6" applyFont="1"/>
    <xf numFmtId="165" fontId="0" fillId="14" borderId="5" xfId="1" applyNumberFormat="1" applyFont="1" applyFill="1" applyBorder="1"/>
    <xf numFmtId="43" fontId="3" fillId="0" borderId="30" xfId="1" applyFont="1" applyBorder="1" applyAlignment="1">
      <alignment horizontal="left"/>
    </xf>
    <xf numFmtId="165" fontId="2" fillId="0" borderId="17" xfId="1" applyNumberFormat="1" applyFont="1" applyBorder="1" applyAlignment="1">
      <alignment horizontal="center" vertical="center"/>
    </xf>
    <xf numFmtId="43" fontId="26" fillId="27" borderId="0" xfId="0" applyNumberFormat="1" applyFont="1" applyFill="1"/>
    <xf numFmtId="164" fontId="26" fillId="0" borderId="0" xfId="0" applyNumberFormat="1" applyFont="1"/>
    <xf numFmtId="175" fontId="48" fillId="27" borderId="0" xfId="0" applyNumberFormat="1" applyFont="1" applyFill="1"/>
    <xf numFmtId="17" fontId="3" fillId="0" borderId="0" xfId="0" quotePrefix="1" applyNumberFormat="1" applyFont="1" applyAlignment="1">
      <alignment horizontal="left"/>
    </xf>
    <xf numFmtId="164" fontId="0" fillId="14" borderId="0" xfId="0" applyNumberFormat="1" applyFill="1"/>
    <xf numFmtId="165" fontId="0" fillId="14" borderId="0" xfId="0" applyNumberFormat="1" applyFill="1"/>
    <xf numFmtId="38" fontId="36" fillId="36" borderId="0" xfId="0" applyNumberFormat="1" applyFont="1" applyFill="1" applyAlignment="1">
      <alignment horizontal="center"/>
    </xf>
    <xf numFmtId="0" fontId="39" fillId="23" borderId="29" xfId="0" applyFont="1" applyFill="1" applyBorder="1"/>
    <xf numFmtId="0" fontId="44" fillId="0" borderId="28" xfId="0" applyFont="1" applyBorder="1" applyAlignment="1">
      <alignment horizontal="center" wrapText="1"/>
    </xf>
    <xf numFmtId="0" fontId="56" fillId="0" borderId="0" xfId="0" applyFont="1" applyAlignment="1">
      <alignment horizontal="center" wrapText="1"/>
    </xf>
    <xf numFmtId="0" fontId="9" fillId="0" borderId="72" xfId="0" applyFont="1" applyBorder="1"/>
    <xf numFmtId="43" fontId="62" fillId="11" borderId="0" xfId="0" applyNumberFormat="1" applyFont="1" applyFill="1"/>
    <xf numFmtId="43" fontId="7" fillId="11" borderId="0" xfId="1" applyFont="1" applyFill="1" applyBorder="1"/>
    <xf numFmtId="43" fontId="62" fillId="11" borderId="0" xfId="1" applyFont="1" applyFill="1"/>
    <xf numFmtId="0" fontId="48" fillId="0" borderId="35" xfId="0" applyFont="1" applyBorder="1"/>
    <xf numFmtId="0" fontId="48" fillId="0" borderId="3" xfId="0" applyFont="1" applyBorder="1"/>
    <xf numFmtId="165" fontId="48" fillId="0" borderId="3" xfId="1" applyNumberFormat="1" applyFont="1" applyFill="1" applyBorder="1"/>
    <xf numFmtId="165" fontId="47" fillId="0" borderId="11" xfId="1" applyNumberFormat="1" applyFont="1" applyFill="1" applyBorder="1" applyAlignment="1">
      <alignment horizontal="center"/>
    </xf>
    <xf numFmtId="0" fontId="47" fillId="12" borderId="23" xfId="0" applyFont="1" applyFill="1" applyBorder="1" applyAlignment="1">
      <alignment horizontal="left" wrapText="1"/>
    </xf>
    <xf numFmtId="0" fontId="47" fillId="12" borderId="13" xfId="0" applyFont="1" applyFill="1" applyBorder="1" applyAlignment="1">
      <alignment horizontal="left" wrapText="1"/>
    </xf>
    <xf numFmtId="0" fontId="47" fillId="12" borderId="3" xfId="0" applyFont="1" applyFill="1" applyBorder="1" applyAlignment="1">
      <alignment horizontal="left" wrapText="1"/>
    </xf>
    <xf numFmtId="0" fontId="47" fillId="12" borderId="20" xfId="0" applyFont="1" applyFill="1" applyBorder="1" applyAlignment="1">
      <alignment horizontal="left" wrapText="1"/>
    </xf>
    <xf numFmtId="165" fontId="81" fillId="0" borderId="0" xfId="0" applyNumberFormat="1" applyFont="1"/>
    <xf numFmtId="165" fontId="47" fillId="0" borderId="90" xfId="1" applyNumberFormat="1" applyFont="1" applyFill="1" applyBorder="1"/>
    <xf numFmtId="165" fontId="47" fillId="11" borderId="25" xfId="1" applyNumberFormat="1" applyFont="1" applyFill="1" applyBorder="1"/>
    <xf numFmtId="0" fontId="47" fillId="12" borderId="13" xfId="0" applyFont="1" applyFill="1" applyBorder="1" applyAlignment="1">
      <alignment horizontal="left"/>
    </xf>
    <xf numFmtId="0" fontId="48" fillId="13" borderId="20" xfId="0" applyFont="1" applyFill="1" applyBorder="1"/>
    <xf numFmtId="165" fontId="47" fillId="13" borderId="58" xfId="1" applyNumberFormat="1" applyFont="1" applyFill="1" applyBorder="1"/>
    <xf numFmtId="0" fontId="47" fillId="12" borderId="92" xfId="0" applyFont="1" applyFill="1" applyBorder="1" applyAlignment="1">
      <alignment horizontal="left" wrapText="1"/>
    </xf>
    <xf numFmtId="0" fontId="47" fillId="12" borderId="64" xfId="0" applyFont="1" applyFill="1" applyBorder="1" applyAlignment="1">
      <alignment horizontal="left" wrapText="1"/>
    </xf>
    <xf numFmtId="165" fontId="48" fillId="11" borderId="36" xfId="1" applyNumberFormat="1" applyFont="1" applyFill="1" applyBorder="1"/>
    <xf numFmtId="0" fontId="47" fillId="12" borderId="1" xfId="0" applyFont="1" applyFill="1" applyBorder="1"/>
    <xf numFmtId="0" fontId="47" fillId="0" borderId="76" xfId="0" applyFont="1" applyBorder="1"/>
    <xf numFmtId="0" fontId="47" fillId="0" borderId="65" xfId="0" applyFont="1" applyBorder="1"/>
    <xf numFmtId="165" fontId="47" fillId="0" borderId="66" xfId="1" applyNumberFormat="1" applyFont="1" applyFill="1" applyBorder="1"/>
    <xf numFmtId="0" fontId="47" fillId="12" borderId="55" xfId="0" applyFont="1" applyFill="1" applyBorder="1"/>
    <xf numFmtId="0" fontId="47" fillId="12" borderId="32" xfId="0" applyFont="1" applyFill="1" applyBorder="1"/>
    <xf numFmtId="0" fontId="47" fillId="12" borderId="32" xfId="0" applyFont="1" applyFill="1" applyBorder="1" applyAlignment="1">
      <alignment horizontal="right"/>
    </xf>
    <xf numFmtId="0" fontId="47" fillId="12" borderId="32" xfId="0" applyFont="1" applyFill="1" applyBorder="1" applyAlignment="1">
      <alignment horizontal="left"/>
    </xf>
    <xf numFmtId="0" fontId="47" fillId="12" borderId="32" xfId="0" applyFont="1" applyFill="1" applyBorder="1" applyAlignment="1">
      <alignment horizontal="left" wrapText="1"/>
    </xf>
    <xf numFmtId="0" fontId="47" fillId="12" borderId="36" xfId="0" applyFont="1" applyFill="1" applyBorder="1" applyAlignment="1">
      <alignment horizontal="left" wrapText="1"/>
    </xf>
    <xf numFmtId="0" fontId="48" fillId="13" borderId="56" xfId="0" applyFont="1" applyFill="1" applyBorder="1"/>
    <xf numFmtId="0" fontId="48" fillId="13" borderId="57" xfId="0" applyFont="1" applyFill="1" applyBorder="1"/>
    <xf numFmtId="0" fontId="47" fillId="12" borderId="63" xfId="0" applyFont="1" applyFill="1" applyBorder="1" applyAlignment="1">
      <alignment horizontal="left" wrapText="1"/>
    </xf>
    <xf numFmtId="0" fontId="47" fillId="12" borderId="13" xfId="0" applyFont="1" applyFill="1" applyBorder="1" applyAlignment="1">
      <alignment horizontal="right"/>
    </xf>
    <xf numFmtId="165" fontId="48" fillId="11" borderId="38" xfId="1" applyNumberFormat="1" applyFont="1" applyFill="1" applyBorder="1"/>
    <xf numFmtId="165" fontId="48" fillId="0" borderId="5" xfId="1" applyNumberFormat="1" applyFont="1" applyFill="1" applyBorder="1"/>
    <xf numFmtId="38" fontId="56" fillId="0" borderId="0" xfId="0" applyNumberFormat="1" applyFont="1" applyAlignment="1">
      <alignment horizontal="center"/>
    </xf>
    <xf numFmtId="0" fontId="48" fillId="11" borderId="55" xfId="0" applyFont="1" applyFill="1" applyBorder="1"/>
    <xf numFmtId="0" fontId="48" fillId="11" borderId="32" xfId="0" applyFont="1" applyFill="1" applyBorder="1"/>
    <xf numFmtId="165" fontId="48" fillId="11" borderId="78" xfId="1" applyNumberFormat="1" applyFont="1" applyFill="1" applyBorder="1"/>
    <xf numFmtId="175" fontId="52" fillId="27" borderId="0" xfId="0" applyNumberFormat="1" applyFont="1" applyFill="1" applyAlignment="1">
      <alignment vertical="top"/>
    </xf>
    <xf numFmtId="43" fontId="75" fillId="16" borderId="22" xfId="1" applyFont="1" applyFill="1" applyBorder="1"/>
    <xf numFmtId="43" fontId="7" fillId="6" borderId="0" xfId="0" applyNumberFormat="1" applyFont="1" applyFill="1"/>
    <xf numFmtId="43" fontId="7" fillId="37" borderId="0" xfId="0" applyNumberFormat="1" applyFont="1" applyFill="1"/>
    <xf numFmtId="43" fontId="7" fillId="25" borderId="0" xfId="1" applyFont="1" applyFill="1"/>
    <xf numFmtId="43" fontId="7" fillId="21" borderId="0" xfId="1" applyFont="1" applyFill="1"/>
    <xf numFmtId="43" fontId="26" fillId="22" borderId="13" xfId="0" applyNumberFormat="1" applyFont="1" applyFill="1" applyBorder="1"/>
    <xf numFmtId="43" fontId="26" fillId="0" borderId="23" xfId="0" applyNumberFormat="1" applyFont="1" applyBorder="1"/>
    <xf numFmtId="165" fontId="61" fillId="0" borderId="0" xfId="1" applyNumberFormat="1" applyFont="1" applyBorder="1"/>
    <xf numFmtId="165" fontId="26" fillId="0" borderId="14" xfId="1" applyNumberFormat="1" applyFont="1" applyFill="1" applyBorder="1"/>
    <xf numFmtId="0" fontId="82" fillId="0" borderId="0" xfId="0" applyFont="1"/>
    <xf numFmtId="0" fontId="83" fillId="0" borderId="0" xfId="0" applyFont="1"/>
    <xf numFmtId="165" fontId="82" fillId="13" borderId="0" xfId="1" applyNumberFormat="1" applyFont="1" applyFill="1" applyBorder="1"/>
    <xf numFmtId="43" fontId="82" fillId="0" borderId="0" xfId="0" applyNumberFormat="1" applyFont="1"/>
    <xf numFmtId="0" fontId="82" fillId="27" borderId="0" xfId="0" applyFont="1" applyFill="1"/>
    <xf numFmtId="165" fontId="7" fillId="27" borderId="0" xfId="0" applyNumberFormat="1" applyFont="1" applyFill="1"/>
    <xf numFmtId="43" fontId="82" fillId="27" borderId="0" xfId="0" applyNumberFormat="1" applyFont="1" applyFill="1"/>
    <xf numFmtId="165" fontId="82" fillId="27" borderId="0" xfId="1" applyNumberFormat="1" applyFont="1" applyFill="1"/>
    <xf numFmtId="0" fontId="82" fillId="28" borderId="0" xfId="0" applyFont="1" applyFill="1"/>
    <xf numFmtId="0" fontId="82" fillId="28" borderId="0" xfId="0" applyFont="1" applyFill="1" applyAlignment="1">
      <alignment horizontal="right"/>
    </xf>
    <xf numFmtId="0" fontId="82" fillId="0" borderId="0" xfId="0" applyFont="1" applyAlignment="1">
      <alignment horizontal="right"/>
    </xf>
    <xf numFmtId="165" fontId="82" fillId="0" borderId="0" xfId="1" applyNumberFormat="1" applyFont="1"/>
    <xf numFmtId="43" fontId="82" fillId="28" borderId="0" xfId="0" applyNumberFormat="1" applyFont="1" applyFill="1"/>
    <xf numFmtId="165" fontId="82" fillId="28" borderId="0" xfId="1" applyNumberFormat="1" applyFont="1" applyFill="1"/>
    <xf numFmtId="10" fontId="82" fillId="28" borderId="0" xfId="5" applyNumberFormat="1" applyFont="1" applyFill="1"/>
    <xf numFmtId="43" fontId="82" fillId="28" borderId="0" xfId="1" applyFont="1" applyFill="1"/>
    <xf numFmtId="165" fontId="82" fillId="0" borderId="0" xfId="0" applyNumberFormat="1" applyFont="1"/>
    <xf numFmtId="43" fontId="26" fillId="13" borderId="0" xfId="0" applyNumberFormat="1" applyFont="1" applyFill="1"/>
    <xf numFmtId="0" fontId="77" fillId="16" borderId="0" xfId="6" applyFont="1" applyFill="1"/>
    <xf numFmtId="165" fontId="82" fillId="0" borderId="0" xfId="1" applyNumberFormat="1" applyFont="1" applyFill="1" applyBorder="1"/>
    <xf numFmtId="165" fontId="26" fillId="0" borderId="0" xfId="1" applyNumberFormat="1" applyFont="1" applyFill="1"/>
    <xf numFmtId="43" fontId="7" fillId="0" borderId="31" xfId="1" applyFont="1" applyFill="1" applyBorder="1"/>
    <xf numFmtId="43" fontId="7" fillId="0" borderId="64" xfId="1" applyFont="1" applyFill="1" applyBorder="1"/>
    <xf numFmtId="43" fontId="61" fillId="0" borderId="37" xfId="1" applyFont="1" applyFill="1" applyBorder="1"/>
    <xf numFmtId="43" fontId="63" fillId="0" borderId="34" xfId="1" applyFont="1" applyFill="1" applyBorder="1"/>
    <xf numFmtId="43" fontId="26" fillId="0" borderId="37" xfId="1" applyFont="1" applyFill="1" applyBorder="1"/>
    <xf numFmtId="43" fontId="64" fillId="0" borderId="34" xfId="1" applyFont="1" applyFill="1" applyBorder="1"/>
    <xf numFmtId="43" fontId="61" fillId="0" borderId="65" xfId="1" applyFont="1" applyFill="1" applyBorder="1"/>
    <xf numFmtId="43" fontId="61" fillId="0" borderId="90" xfId="1" applyFont="1" applyFill="1" applyBorder="1"/>
    <xf numFmtId="43" fontId="61" fillId="0" borderId="91" xfId="1" applyFont="1" applyFill="1" applyBorder="1"/>
    <xf numFmtId="43" fontId="63" fillId="0" borderId="31" xfId="1" applyFont="1" applyFill="1" applyBorder="1"/>
    <xf numFmtId="43" fontId="61" fillId="0" borderId="64" xfId="1" applyFont="1" applyFill="1" applyBorder="1"/>
    <xf numFmtId="43" fontId="61" fillId="0" borderId="31" xfId="1" applyFont="1" applyFill="1" applyBorder="1"/>
    <xf numFmtId="43" fontId="26" fillId="0" borderId="64" xfId="1" applyFont="1" applyFill="1" applyBorder="1"/>
    <xf numFmtId="43" fontId="7" fillId="0" borderId="50" xfId="1" applyFont="1" applyFill="1" applyBorder="1"/>
    <xf numFmtId="43" fontId="7" fillId="0" borderId="25" xfId="1" applyFont="1" applyFill="1" applyBorder="1"/>
    <xf numFmtId="43" fontId="26" fillId="0" borderId="34" xfId="1" applyFont="1" applyFill="1" applyBorder="1"/>
    <xf numFmtId="43" fontId="26" fillId="0" borderId="2" xfId="1" applyFont="1" applyFill="1" applyBorder="1"/>
    <xf numFmtId="43" fontId="61" fillId="0" borderId="66" xfId="1" applyFont="1" applyFill="1" applyBorder="1"/>
    <xf numFmtId="43" fontId="26" fillId="0" borderId="65" xfId="1" applyFont="1" applyFill="1" applyBorder="1"/>
    <xf numFmtId="165" fontId="51" fillId="0" borderId="0" xfId="1" applyNumberFormat="1" applyFont="1" applyFill="1"/>
    <xf numFmtId="165" fontId="62" fillId="0" borderId="0" xfId="1" applyNumberFormat="1" applyFont="1" applyFill="1" applyBorder="1"/>
    <xf numFmtId="0" fontId="26" fillId="0" borderId="0" xfId="0" applyFont="1" applyAlignment="1">
      <alignment wrapText="1"/>
    </xf>
    <xf numFmtId="165" fontId="61" fillId="0" borderId="0" xfId="1" applyNumberFormat="1" applyFont="1" applyAlignment="1">
      <alignment horizontal="right" wrapText="1"/>
    </xf>
    <xf numFmtId="164" fontId="62" fillId="0" borderId="0" xfId="0" applyNumberFormat="1" applyFont="1"/>
    <xf numFmtId="165" fontId="82" fillId="0" borderId="0" xfId="1" applyNumberFormat="1" applyFont="1" applyFill="1"/>
    <xf numFmtId="43" fontId="62" fillId="0" borderId="0" xfId="1" applyFont="1"/>
    <xf numFmtId="165" fontId="36" fillId="23" borderId="29" xfId="1" applyNumberFormat="1" applyFont="1" applyFill="1" applyBorder="1" applyAlignment="1">
      <alignment horizontal="right"/>
    </xf>
    <xf numFmtId="165" fontId="36" fillId="23" borderId="0" xfId="1" applyNumberFormat="1" applyFont="1" applyFill="1" applyBorder="1" applyAlignment="1">
      <alignment horizontal="right"/>
    </xf>
    <xf numFmtId="165" fontId="45" fillId="23" borderId="29" xfId="1" applyNumberFormat="1" applyFont="1" applyFill="1" applyBorder="1" applyAlignment="1">
      <alignment horizontal="right"/>
    </xf>
    <xf numFmtId="165" fontId="56" fillId="23" borderId="0" xfId="1" applyNumberFormat="1" applyFont="1" applyFill="1" applyBorder="1" applyAlignment="1">
      <alignment horizontal="right"/>
    </xf>
    <xf numFmtId="165" fontId="44" fillId="23" borderId="81" xfId="1" applyNumberFormat="1" applyFont="1" applyFill="1" applyBorder="1" applyAlignment="1">
      <alignment horizontal="right"/>
    </xf>
    <xf numFmtId="165" fontId="44" fillId="23" borderId="0" xfId="1" applyNumberFormat="1" applyFont="1" applyFill="1" applyBorder="1" applyAlignment="1">
      <alignment horizontal="right"/>
    </xf>
    <xf numFmtId="165" fontId="56" fillId="23" borderId="18" xfId="1" applyNumberFormat="1" applyFont="1" applyFill="1" applyBorder="1"/>
    <xf numFmtId="165" fontId="56" fillId="23" borderId="10" xfId="1" applyNumberFormat="1" applyFont="1" applyFill="1" applyBorder="1"/>
    <xf numFmtId="165" fontId="59" fillId="23" borderId="17" xfId="1" applyNumberFormat="1" applyFont="1" applyFill="1" applyBorder="1" applyAlignment="1">
      <alignment horizontal="right"/>
    </xf>
    <xf numFmtId="165" fontId="59" fillId="23" borderId="0" xfId="1" applyNumberFormat="1" applyFont="1" applyFill="1" applyBorder="1" applyAlignment="1">
      <alignment horizontal="right"/>
    </xf>
    <xf numFmtId="165" fontId="59" fillId="23" borderId="81" xfId="1" applyNumberFormat="1" applyFont="1" applyFill="1" applyBorder="1" applyAlignment="1">
      <alignment horizontal="right"/>
    </xf>
    <xf numFmtId="165" fontId="36" fillId="0" borderId="29" xfId="1" applyNumberFormat="1" applyFont="1" applyFill="1" applyBorder="1" applyAlignment="1">
      <alignment horizontal="right"/>
    </xf>
    <xf numFmtId="165" fontId="44" fillId="0" borderId="0" xfId="1" applyNumberFormat="1" applyFont="1" applyFill="1" applyBorder="1" applyAlignment="1">
      <alignment horizontal="right"/>
    </xf>
    <xf numFmtId="165" fontId="44" fillId="0" borderId="81" xfId="1" applyNumberFormat="1" applyFont="1" applyFill="1" applyBorder="1" applyAlignment="1">
      <alignment horizontal="right"/>
    </xf>
    <xf numFmtId="165" fontId="56" fillId="23" borderId="81" xfId="1" applyNumberFormat="1" applyFont="1" applyFill="1" applyBorder="1" applyAlignment="1">
      <alignment horizontal="right"/>
    </xf>
    <xf numFmtId="165" fontId="44" fillId="0" borderId="18" xfId="1" applyNumberFormat="1" applyFont="1" applyBorder="1" applyAlignment="1">
      <alignment horizontal="right"/>
    </xf>
    <xf numFmtId="165" fontId="44" fillId="0" borderId="28" xfId="1" applyNumberFormat="1" applyFont="1" applyBorder="1" applyAlignment="1">
      <alignment horizontal="right"/>
    </xf>
    <xf numFmtId="165" fontId="44" fillId="0" borderId="10" xfId="1" applyNumberFormat="1" applyFont="1" applyBorder="1" applyAlignment="1">
      <alignment horizontal="right"/>
    </xf>
    <xf numFmtId="165" fontId="44" fillId="0" borderId="0" xfId="1" applyNumberFormat="1" applyFont="1" applyBorder="1" applyAlignment="1">
      <alignment horizontal="right"/>
    </xf>
    <xf numFmtId="165" fontId="44" fillId="0" borderId="81" xfId="1" applyNumberFormat="1" applyFont="1" applyBorder="1" applyAlignment="1">
      <alignment horizontal="right"/>
    </xf>
    <xf numFmtId="165" fontId="44" fillId="24" borderId="0" xfId="1" applyNumberFormat="1" applyFont="1" applyFill="1" applyBorder="1" applyAlignment="1">
      <alignment horizontal="right"/>
    </xf>
    <xf numFmtId="165" fontId="56" fillId="0" borderId="5" xfId="1" applyNumberFormat="1" applyFont="1" applyBorder="1" applyAlignment="1">
      <alignment horizontal="right"/>
    </xf>
    <xf numFmtId="165" fontId="44" fillId="0" borderId="5" xfId="1" applyNumberFormat="1" applyFont="1" applyFill="1" applyBorder="1" applyAlignment="1">
      <alignment horizontal="right"/>
    </xf>
    <xf numFmtId="38" fontId="24" fillId="5" borderId="9" xfId="0" applyNumberFormat="1" applyFont="1" applyFill="1" applyBorder="1" applyAlignment="1">
      <alignment horizontal="center"/>
    </xf>
    <xf numFmtId="38" fontId="52" fillId="0" borderId="9" xfId="0" applyNumberFormat="1" applyFont="1" applyBorder="1" applyAlignment="1">
      <alignment horizontal="right"/>
    </xf>
    <xf numFmtId="165" fontId="26" fillId="36" borderId="0" xfId="1" applyNumberFormat="1" applyFont="1" applyFill="1"/>
    <xf numFmtId="165" fontId="26" fillId="11" borderId="0" xfId="1" applyNumberFormat="1" applyFont="1" applyFill="1"/>
    <xf numFmtId="165" fontId="26" fillId="6" borderId="0" xfId="1" applyNumberFormat="1" applyFont="1" applyFill="1"/>
    <xf numFmtId="43" fontId="26" fillId="0" borderId="22" xfId="1" applyFont="1" applyFill="1" applyBorder="1"/>
    <xf numFmtId="43" fontId="26" fillId="0" borderId="90" xfId="1" applyFont="1" applyFill="1" applyBorder="1"/>
    <xf numFmtId="43" fontId="26" fillId="0" borderId="77" xfId="1" applyFont="1" applyFill="1" applyBorder="1"/>
    <xf numFmtId="164" fontId="2" fillId="24" borderId="0" xfId="0" applyNumberFormat="1" applyFont="1" applyFill="1"/>
    <xf numFmtId="43" fontId="61" fillId="0" borderId="2" xfId="1" applyFont="1" applyFill="1" applyBorder="1"/>
    <xf numFmtId="165" fontId="56" fillId="0" borderId="9" xfId="1" applyNumberFormat="1" applyFont="1" applyBorder="1"/>
    <xf numFmtId="165" fontId="3" fillId="0" borderId="25" xfId="1" applyNumberFormat="1" applyFont="1" applyFill="1" applyBorder="1"/>
    <xf numFmtId="0" fontId="26" fillId="0" borderId="0" xfId="1" applyNumberFormat="1" applyFont="1" applyFill="1" applyBorder="1"/>
    <xf numFmtId="38" fontId="3" fillId="0" borderId="81" xfId="1" applyNumberFormat="1" applyFont="1" applyBorder="1" applyAlignment="1">
      <alignment horizontal="right"/>
    </xf>
    <xf numFmtId="165" fontId="44" fillId="0" borderId="81" xfId="1" applyNumberFormat="1" applyFont="1" applyBorder="1"/>
    <xf numFmtId="165" fontId="44" fillId="24" borderId="81" xfId="1" applyNumberFormat="1" applyFont="1" applyFill="1" applyBorder="1"/>
    <xf numFmtId="165" fontId="56" fillId="0" borderId="5" xfId="1" applyNumberFormat="1" applyFont="1" applyBorder="1"/>
    <xf numFmtId="165" fontId="44" fillId="0" borderId="5" xfId="1" applyNumberFormat="1" applyFont="1" applyBorder="1"/>
    <xf numFmtId="165" fontId="44" fillId="0" borderId="10" xfId="1" applyNumberFormat="1" applyFont="1" applyBorder="1"/>
    <xf numFmtId="165" fontId="44" fillId="0" borderId="0" xfId="1" applyNumberFormat="1" applyFont="1" applyFill="1"/>
    <xf numFmtId="0" fontId="2" fillId="0" borderId="11" xfId="0" applyFont="1" applyBorder="1" applyAlignment="1">
      <alignment horizontal="left"/>
    </xf>
    <xf numFmtId="0" fontId="2" fillId="24" borderId="30" xfId="0" applyFont="1" applyFill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56" fillId="0" borderId="6" xfId="0" applyFont="1" applyBorder="1" applyAlignment="1">
      <alignment horizontal="left"/>
    </xf>
    <xf numFmtId="165" fontId="2" fillId="0" borderId="10" xfId="1" applyNumberFormat="1" applyFont="1" applyBorder="1"/>
    <xf numFmtId="165" fontId="2" fillId="24" borderId="81" xfId="1" applyNumberFormat="1" applyFont="1" applyFill="1" applyBorder="1"/>
    <xf numFmtId="165" fontId="2" fillId="0" borderId="81" xfId="1" applyNumberFormat="1" applyFont="1" applyBorder="1"/>
    <xf numFmtId="0" fontId="2" fillId="0" borderId="17" xfId="0" applyFont="1" applyBorder="1"/>
    <xf numFmtId="0" fontId="2" fillId="0" borderId="25" xfId="0" applyFont="1" applyBorder="1"/>
    <xf numFmtId="165" fontId="2" fillId="0" borderId="5" xfId="1" applyNumberFormat="1" applyFont="1" applyBorder="1"/>
    <xf numFmtId="0" fontId="2" fillId="0" borderId="10" xfId="0" applyFont="1" applyBorder="1"/>
    <xf numFmtId="0" fontId="2" fillId="0" borderId="5" xfId="0" applyFont="1" applyBorder="1"/>
    <xf numFmtId="165" fontId="65" fillId="0" borderId="0" xfId="1" applyNumberFormat="1" applyFont="1" applyFill="1"/>
    <xf numFmtId="165" fontId="44" fillId="0" borderId="0" xfId="1" applyNumberFormat="1" applyFont="1" applyBorder="1"/>
    <xf numFmtId="165" fontId="44" fillId="24" borderId="0" xfId="1" applyNumberFormat="1" applyFont="1" applyFill="1" applyBorder="1"/>
    <xf numFmtId="165" fontId="56" fillId="0" borderId="25" xfId="1" applyNumberFormat="1" applyFont="1" applyBorder="1"/>
    <xf numFmtId="165" fontId="44" fillId="0" borderId="25" xfId="1" applyNumberFormat="1" applyFont="1" applyBorder="1"/>
    <xf numFmtId="165" fontId="44" fillId="0" borderId="28" xfId="1" applyNumberFormat="1" applyFont="1" applyBorder="1"/>
    <xf numFmtId="165" fontId="44" fillId="0" borderId="0" xfId="1" applyNumberFormat="1" applyFont="1" applyFill="1" applyBorder="1"/>
    <xf numFmtId="165" fontId="56" fillId="0" borderId="25" xfId="1" applyNumberFormat="1" applyFont="1" applyFill="1" applyBorder="1"/>
    <xf numFmtId="165" fontId="44" fillId="0" borderId="25" xfId="1" applyNumberFormat="1" applyFont="1" applyFill="1" applyBorder="1"/>
    <xf numFmtId="165" fontId="44" fillId="0" borderId="28" xfId="1" applyNumberFormat="1" applyFont="1" applyFill="1" applyBorder="1"/>
    <xf numFmtId="165" fontId="62" fillId="11" borderId="0" xfId="0" applyNumberFormat="1" applyFont="1" applyFill="1"/>
    <xf numFmtId="38" fontId="3" fillId="0" borderId="29" xfId="1" applyNumberFormat="1" applyFont="1" applyBorder="1" applyAlignment="1">
      <alignment horizontal="right"/>
    </xf>
    <xf numFmtId="43" fontId="0" fillId="11" borderId="81" xfId="1" applyFont="1" applyFill="1" applyBorder="1"/>
    <xf numFmtId="43" fontId="0" fillId="11" borderId="81" xfId="0" applyNumberFormat="1" applyFill="1" applyBorder="1"/>
    <xf numFmtId="38" fontId="2" fillId="0" borderId="28" xfId="1" applyNumberFormat="1" applyFont="1" applyBorder="1" applyAlignment="1">
      <alignment horizontal="right"/>
    </xf>
    <xf numFmtId="38" fontId="56" fillId="11" borderId="0" xfId="0" applyNumberFormat="1" applyFont="1" applyFill="1" applyAlignment="1">
      <alignment horizontal="center"/>
    </xf>
    <xf numFmtId="43" fontId="62" fillId="6" borderId="0" xfId="0" applyNumberFormat="1" applyFont="1" applyFill="1"/>
    <xf numFmtId="43" fontId="62" fillId="18" borderId="0" xfId="0" applyNumberFormat="1" applyFont="1" applyFill="1"/>
    <xf numFmtId="43" fontId="62" fillId="25" borderId="0" xfId="1" applyFont="1" applyFill="1"/>
    <xf numFmtId="43" fontId="62" fillId="21" borderId="0" xfId="1" applyFont="1" applyFill="1"/>
    <xf numFmtId="43" fontId="62" fillId="37" borderId="0" xfId="0" applyNumberFormat="1" applyFont="1" applyFill="1"/>
    <xf numFmtId="43" fontId="62" fillId="22" borderId="0" xfId="0" applyNumberFormat="1" applyFont="1" applyFill="1"/>
    <xf numFmtId="43" fontId="62" fillId="20" borderId="0" xfId="0" applyNumberFormat="1" applyFont="1" applyFill="1"/>
    <xf numFmtId="43" fontId="82" fillId="13" borderId="0" xfId="1" applyFont="1" applyFill="1" applyBorder="1"/>
    <xf numFmtId="38" fontId="52" fillId="0" borderId="6" xfId="0" applyNumberFormat="1" applyFont="1" applyBorder="1" applyAlignment="1">
      <alignment horizontal="right"/>
    </xf>
    <xf numFmtId="164" fontId="26" fillId="11" borderId="0" xfId="1" applyNumberFormat="1" applyFont="1" applyFill="1"/>
    <xf numFmtId="0" fontId="26" fillId="11" borderId="0" xfId="0" applyFont="1" applyFill="1"/>
    <xf numFmtId="165" fontId="46" fillId="13" borderId="61" xfId="1" applyNumberFormat="1" applyFont="1" applyFill="1" applyBorder="1"/>
    <xf numFmtId="179" fontId="62" fillId="0" borderId="0" xfId="1" applyNumberFormat="1" applyFont="1" applyFill="1"/>
    <xf numFmtId="179" fontId="62" fillId="0" borderId="0" xfId="0" applyNumberFormat="1" applyFont="1"/>
    <xf numFmtId="43" fontId="7" fillId="13" borderId="0" xfId="1" applyFont="1" applyFill="1" applyBorder="1"/>
    <xf numFmtId="165" fontId="61" fillId="0" borderId="65" xfId="1" applyNumberFormat="1" applyFont="1" applyFill="1" applyBorder="1"/>
    <xf numFmtId="165" fontId="7" fillId="0" borderId="0" xfId="1" applyNumberFormat="1" applyFont="1" applyFill="1" applyBorder="1"/>
    <xf numFmtId="165" fontId="61" fillId="0" borderId="22" xfId="1" applyNumberFormat="1" applyFont="1" applyFill="1" applyBorder="1"/>
    <xf numFmtId="165" fontId="61" fillId="0" borderId="0" xfId="1" applyNumberFormat="1" applyFont="1" applyFill="1" applyBorder="1"/>
    <xf numFmtId="165" fontId="61" fillId="0" borderId="20" xfId="1" applyNumberFormat="1" applyFont="1" applyFill="1" applyBorder="1"/>
    <xf numFmtId="165" fontId="2" fillId="13" borderId="17" xfId="1" applyNumberFormat="1" applyFont="1" applyFill="1" applyBorder="1" applyAlignment="1">
      <alignment horizontal="center"/>
    </xf>
    <xf numFmtId="176" fontId="7" fillId="20" borderId="57" xfId="0" applyNumberFormat="1" applyFont="1" applyFill="1" applyBorder="1"/>
    <xf numFmtId="43" fontId="7" fillId="20" borderId="57" xfId="0" applyNumberFormat="1" applyFont="1" applyFill="1" applyBorder="1"/>
    <xf numFmtId="179" fontId="7" fillId="20" borderId="57" xfId="0" applyNumberFormat="1" applyFont="1" applyFill="1" applyBorder="1"/>
    <xf numFmtId="43" fontId="7" fillId="33" borderId="57" xfId="0" applyNumberFormat="1" applyFont="1" applyFill="1" applyBorder="1"/>
    <xf numFmtId="43" fontId="7" fillId="11" borderId="57" xfId="0" applyNumberFormat="1" applyFont="1" applyFill="1" applyBorder="1"/>
    <xf numFmtId="43" fontId="7" fillId="6" borderId="57" xfId="0" applyNumberFormat="1" applyFont="1" applyFill="1" applyBorder="1"/>
    <xf numFmtId="43" fontId="7" fillId="18" borderId="57" xfId="0" applyNumberFormat="1" applyFont="1" applyFill="1" applyBorder="1"/>
    <xf numFmtId="43" fontId="7" fillId="25" borderId="57" xfId="1" applyFont="1" applyFill="1" applyBorder="1"/>
    <xf numFmtId="43" fontId="7" fillId="21" borderId="57" xfId="1" applyFont="1" applyFill="1" applyBorder="1"/>
    <xf numFmtId="43" fontId="7" fillId="37" borderId="57" xfId="0" applyNumberFormat="1" applyFont="1" applyFill="1" applyBorder="1"/>
    <xf numFmtId="43" fontId="7" fillId="37" borderId="75" xfId="0" applyNumberFormat="1" applyFont="1" applyFill="1" applyBorder="1"/>
    <xf numFmtId="165" fontId="61" fillId="0" borderId="9" xfId="1" applyNumberFormat="1" applyFont="1" applyFill="1" applyBorder="1"/>
    <xf numFmtId="165" fontId="61" fillId="0" borderId="9" xfId="0" applyNumberFormat="1" applyFont="1" applyBorder="1"/>
    <xf numFmtId="0" fontId="7" fillId="0" borderId="9" xfId="0" applyFont="1" applyBorder="1"/>
    <xf numFmtId="176" fontId="7" fillId="0" borderId="0" xfId="1" applyNumberFormat="1" applyFont="1"/>
    <xf numFmtId="43" fontId="7" fillId="0" borderId="80" xfId="1" applyFont="1" applyFill="1" applyBorder="1"/>
    <xf numFmtId="43" fontId="61" fillId="0" borderId="76" xfId="1" applyFont="1" applyFill="1" applyBorder="1"/>
    <xf numFmtId="10" fontId="61" fillId="0" borderId="0" xfId="5" applyNumberFormat="1" applyFont="1" applyFill="1"/>
    <xf numFmtId="1" fontId="61" fillId="0" borderId="9" xfId="0" applyNumberFormat="1" applyFont="1" applyBorder="1"/>
    <xf numFmtId="1" fontId="61" fillId="0" borderId="9" xfId="1" applyNumberFormat="1" applyFont="1" applyFill="1" applyBorder="1"/>
    <xf numFmtId="43" fontId="7" fillId="22" borderId="22" xfId="0" applyNumberFormat="1" applyFont="1" applyFill="1" applyBorder="1"/>
    <xf numFmtId="43" fontId="47" fillId="0" borderId="0" xfId="1" applyFont="1" applyFill="1" applyBorder="1" applyAlignment="1"/>
    <xf numFmtId="43" fontId="48" fillId="11" borderId="0" xfId="1" applyFont="1" applyFill="1" applyBorder="1" applyAlignment="1"/>
    <xf numFmtId="43" fontId="48" fillId="11" borderId="0" xfId="1" applyFont="1" applyFill="1" applyAlignment="1">
      <alignment horizontal="center"/>
    </xf>
    <xf numFmtId="43" fontId="47" fillId="0" borderId="0" xfId="1" applyFont="1" applyFill="1" applyBorder="1"/>
    <xf numFmtId="0" fontId="9" fillId="0" borderId="60" xfId="0" applyFont="1" applyBorder="1"/>
    <xf numFmtId="38" fontId="2" fillId="0" borderId="30" xfId="0" applyNumberFormat="1" applyFont="1" applyBorder="1" applyAlignment="1">
      <alignment horizontal="right"/>
    </xf>
    <xf numFmtId="38" fontId="3" fillId="0" borderId="30" xfId="1" applyNumberFormat="1" applyFont="1" applyFill="1" applyBorder="1" applyAlignment="1">
      <alignment horizontal="right"/>
    </xf>
    <xf numFmtId="165" fontId="61" fillId="0" borderId="61" xfId="1" applyNumberFormat="1" applyFont="1" applyFill="1" applyBorder="1"/>
    <xf numFmtId="0" fontId="7" fillId="0" borderId="61" xfId="0" applyFont="1" applyBorder="1"/>
    <xf numFmtId="0" fontId="0" fillId="0" borderId="61" xfId="0" applyBorder="1"/>
    <xf numFmtId="43" fontId="7" fillId="37" borderId="67" xfId="0" applyNumberFormat="1" applyFont="1" applyFill="1" applyBorder="1"/>
    <xf numFmtId="0" fontId="26" fillId="0" borderId="9" xfId="0" applyFont="1" applyBorder="1"/>
    <xf numFmtId="0" fontId="26" fillId="0" borderId="61" xfId="0" applyFont="1" applyBorder="1"/>
    <xf numFmtId="43" fontId="62" fillId="33" borderId="0" xfId="0" applyNumberFormat="1" applyFont="1" applyFill="1"/>
    <xf numFmtId="165" fontId="36" fillId="0" borderId="0" xfId="1" applyNumberFormat="1" applyFont="1" applyFill="1" applyBorder="1" applyAlignment="1">
      <alignment horizontal="right"/>
    </xf>
    <xf numFmtId="43" fontId="0" fillId="6" borderId="81" xfId="1" applyFont="1" applyFill="1" applyBorder="1"/>
    <xf numFmtId="165" fontId="3" fillId="0" borderId="8" xfId="1" applyNumberFormat="1" applyFont="1" applyBorder="1"/>
    <xf numFmtId="17" fontId="2" fillId="0" borderId="0" xfId="0" applyNumberFormat="1" applyFont="1"/>
    <xf numFmtId="43" fontId="3" fillId="0" borderId="21" xfId="1" applyFont="1" applyFill="1" applyBorder="1" applyAlignment="1">
      <alignment horizontal="center"/>
    </xf>
    <xf numFmtId="43" fontId="7" fillId="13" borderId="0" xfId="1" applyFont="1" applyFill="1"/>
    <xf numFmtId="165" fontId="7" fillId="11" borderId="0" xfId="1" applyNumberFormat="1" applyFont="1" applyFill="1"/>
    <xf numFmtId="165" fontId="7" fillId="16" borderId="0" xfId="1" applyNumberFormat="1" applyFont="1" applyFill="1"/>
    <xf numFmtId="165" fontId="61" fillId="16" borderId="23" xfId="1" applyNumberFormat="1" applyFont="1" applyFill="1" applyBorder="1"/>
    <xf numFmtId="0" fontId="61" fillId="16" borderId="0" xfId="0" applyFont="1" applyFill="1" applyAlignment="1">
      <alignment horizontal="right"/>
    </xf>
    <xf numFmtId="165" fontId="61" fillId="16" borderId="0" xfId="1" applyNumberFormat="1" applyFont="1" applyFill="1"/>
    <xf numFmtId="165" fontId="7" fillId="16" borderId="0" xfId="0" applyNumberFormat="1" applyFont="1" applyFill="1"/>
    <xf numFmtId="165" fontId="62" fillId="16" borderId="0" xfId="1" applyNumberFormat="1" applyFont="1" applyFill="1"/>
    <xf numFmtId="165" fontId="7" fillId="16" borderId="0" xfId="1" applyNumberFormat="1" applyFont="1" applyFill="1" applyBorder="1"/>
    <xf numFmtId="165" fontId="61" fillId="16" borderId="0" xfId="1" applyNumberFormat="1" applyFont="1" applyFill="1" applyBorder="1"/>
    <xf numFmtId="165" fontId="7" fillId="0" borderId="0" xfId="1" applyNumberFormat="1" applyFont="1" applyBorder="1"/>
    <xf numFmtId="38" fontId="7" fillId="11" borderId="0" xfId="0" applyNumberFormat="1" applyFont="1" applyFill="1"/>
    <xf numFmtId="165" fontId="61" fillId="11" borderId="0" xfId="1" applyNumberFormat="1" applyFont="1" applyFill="1"/>
    <xf numFmtId="165" fontId="62" fillId="11" borderId="0" xfId="1" applyNumberFormat="1" applyFont="1" applyFill="1"/>
    <xf numFmtId="38" fontId="7" fillId="16" borderId="0" xfId="0" applyNumberFormat="1" applyFont="1" applyFill="1"/>
    <xf numFmtId="165" fontId="48" fillId="16" borderId="0" xfId="0" applyNumberFormat="1" applyFont="1" applyFill="1"/>
    <xf numFmtId="165" fontId="46" fillId="11" borderId="9" xfId="1" applyNumberFormat="1" applyFont="1" applyFill="1" applyBorder="1"/>
    <xf numFmtId="165" fontId="46" fillId="11" borderId="52" xfId="1" applyNumberFormat="1" applyFont="1" applyFill="1" applyBorder="1"/>
    <xf numFmtId="165" fontId="46" fillId="13" borderId="9" xfId="1" applyNumberFormat="1" applyFont="1" applyFill="1" applyBorder="1"/>
    <xf numFmtId="165" fontId="46" fillId="11" borderId="72" xfId="1" applyNumberFormat="1" applyFont="1" applyFill="1" applyBorder="1"/>
    <xf numFmtId="43" fontId="45" fillId="23" borderId="0" xfId="1" applyFont="1" applyFill="1" applyBorder="1"/>
    <xf numFmtId="17" fontId="56" fillId="11" borderId="18" xfId="1" applyNumberFormat="1" applyFont="1" applyFill="1" applyBorder="1"/>
    <xf numFmtId="164" fontId="7" fillId="0" borderId="0" xfId="1" applyNumberFormat="1" applyFont="1" applyFill="1"/>
    <xf numFmtId="165" fontId="7" fillId="11" borderId="0" xfId="1" applyNumberFormat="1" applyFont="1" applyFill="1" applyBorder="1"/>
    <xf numFmtId="0" fontId="65" fillId="11" borderId="0" xfId="6" applyFont="1" applyFill="1"/>
    <xf numFmtId="43" fontId="65" fillId="11" borderId="0" xfId="0" applyNumberFormat="1" applyFont="1" applyFill="1"/>
    <xf numFmtId="43" fontId="62" fillId="6" borderId="0" xfId="1" applyFont="1" applyFill="1"/>
    <xf numFmtId="43" fontId="62" fillId="18" borderId="0" xfId="1" applyFont="1" applyFill="1"/>
    <xf numFmtId="43" fontId="62" fillId="37" borderId="0" xfId="1" applyFont="1" applyFill="1"/>
    <xf numFmtId="43" fontId="26" fillId="22" borderId="13" xfId="1" applyFont="1" applyFill="1" applyBorder="1"/>
    <xf numFmtId="43" fontId="26" fillId="0" borderId="14" xfId="1" applyFont="1" applyFill="1" applyBorder="1"/>
    <xf numFmtId="0" fontId="7" fillId="11" borderId="0" xfId="0" applyFont="1" applyFill="1"/>
    <xf numFmtId="0" fontId="65" fillId="11" borderId="0" xfId="0" applyFont="1" applyFill="1"/>
    <xf numFmtId="0" fontId="61" fillId="11" borderId="13" xfId="0" applyFont="1" applyFill="1" applyBorder="1"/>
    <xf numFmtId="43" fontId="66" fillId="13" borderId="0" xfId="0" applyNumberFormat="1" applyFont="1" applyFill="1"/>
    <xf numFmtId="0" fontId="45" fillId="11" borderId="29" xfId="0" applyFont="1" applyFill="1" applyBorder="1"/>
    <xf numFmtId="165" fontId="56" fillId="19" borderId="9" xfId="1" applyNumberFormat="1" applyFont="1" applyFill="1" applyBorder="1" applyAlignment="1">
      <alignment horizontal="center" vertical="top"/>
    </xf>
    <xf numFmtId="165" fontId="56" fillId="26" borderId="9" xfId="1" applyNumberFormat="1" applyFont="1" applyFill="1" applyBorder="1" applyAlignment="1">
      <alignment horizontal="center" vertical="top"/>
    </xf>
    <xf numFmtId="0" fontId="24" fillId="26" borderId="9" xfId="0" applyFont="1" applyFill="1" applyBorder="1"/>
    <xf numFmtId="17" fontId="24" fillId="26" borderId="9" xfId="0" applyNumberFormat="1" applyFont="1" applyFill="1" applyBorder="1"/>
    <xf numFmtId="165" fontId="7" fillId="13" borderId="0" xfId="1" applyNumberFormat="1" applyFont="1" applyFill="1"/>
    <xf numFmtId="165" fontId="7" fillId="22" borderId="0" xfId="1" applyNumberFormat="1" applyFont="1" applyFill="1"/>
    <xf numFmtId="165" fontId="7" fillId="20" borderId="0" xfId="1" applyNumberFormat="1" applyFont="1" applyFill="1"/>
    <xf numFmtId="165" fontId="7" fillId="33" borderId="0" xfId="1" applyNumberFormat="1" applyFont="1" applyFill="1"/>
    <xf numFmtId="165" fontId="7" fillId="6" borderId="0" xfId="1" applyNumberFormat="1" applyFont="1" applyFill="1"/>
    <xf numFmtId="165" fontId="7" fillId="18" borderId="0" xfId="1" applyNumberFormat="1" applyFont="1" applyFill="1"/>
    <xf numFmtId="165" fontId="7" fillId="25" borderId="0" xfId="1" applyNumberFormat="1" applyFont="1" applyFill="1"/>
    <xf numFmtId="165" fontId="7" fillId="21" borderId="0" xfId="1" applyNumberFormat="1" applyFont="1" applyFill="1"/>
    <xf numFmtId="165" fontId="7" fillId="37" borderId="0" xfId="1" applyNumberFormat="1" applyFont="1" applyFill="1"/>
    <xf numFmtId="165" fontId="26" fillId="22" borderId="13" xfId="1" applyNumberFormat="1" applyFont="1" applyFill="1" applyBorder="1"/>
    <xf numFmtId="43" fontId="66" fillId="11" borderId="13" xfId="0" applyNumberFormat="1" applyFont="1" applyFill="1" applyBorder="1"/>
    <xf numFmtId="43" fontId="66" fillId="11" borderId="13" xfId="1" applyFont="1" applyFill="1" applyBorder="1"/>
    <xf numFmtId="0" fontId="66" fillId="0" borderId="0" xfId="0" applyFont="1"/>
    <xf numFmtId="38" fontId="41" fillId="0" borderId="0" xfId="0" applyNumberFormat="1" applyFont="1" applyAlignment="1">
      <alignment horizontal="center"/>
    </xf>
    <xf numFmtId="165" fontId="61" fillId="0" borderId="23" xfId="1" applyNumberFormat="1" applyFont="1" applyFill="1" applyBorder="1"/>
    <xf numFmtId="38" fontId="45" fillId="11" borderId="0" xfId="0" applyNumberFormat="1" applyFont="1" applyFill="1" applyAlignment="1">
      <alignment horizontal="center"/>
    </xf>
    <xf numFmtId="38" fontId="45" fillId="6" borderId="0" xfId="0" applyNumberFormat="1" applyFont="1" applyFill="1" applyAlignment="1">
      <alignment horizontal="center"/>
    </xf>
    <xf numFmtId="165" fontId="65" fillId="0" borderId="0" xfId="1" applyNumberFormat="1" applyFont="1" applyFill="1" applyBorder="1"/>
    <xf numFmtId="165" fontId="66" fillId="0" borderId="0" xfId="1" applyNumberFormat="1" applyFont="1" applyFill="1"/>
    <xf numFmtId="0" fontId="66" fillId="11" borderId="0" xfId="0" applyFont="1" applyFill="1"/>
    <xf numFmtId="43" fontId="2" fillId="11" borderId="0" xfId="1" applyFont="1" applyFill="1"/>
    <xf numFmtId="43" fontId="7" fillId="16" borderId="0" xfId="0" applyNumberFormat="1" applyFont="1" applyFill="1"/>
    <xf numFmtId="43" fontId="66" fillId="0" borderId="65" xfId="1" applyFont="1" applyFill="1" applyBorder="1"/>
    <xf numFmtId="43" fontId="86" fillId="16" borderId="0" xfId="0" applyNumberFormat="1" applyFont="1" applyFill="1"/>
    <xf numFmtId="43" fontId="75" fillId="16" borderId="28" xfId="1" applyFont="1" applyFill="1" applyBorder="1"/>
    <xf numFmtId="17" fontId="56" fillId="11" borderId="18" xfId="0" applyNumberFormat="1" applyFont="1" applyFill="1" applyBorder="1" applyAlignment="1">
      <alignment wrapText="1"/>
    </xf>
    <xf numFmtId="38" fontId="41" fillId="5" borderId="9" xfId="0" applyNumberFormat="1" applyFont="1" applyFill="1" applyBorder="1" applyAlignment="1">
      <alignment horizontal="center"/>
    </xf>
    <xf numFmtId="38" fontId="41" fillId="31" borderId="9" xfId="0" applyNumberFormat="1" applyFont="1" applyFill="1" applyBorder="1" applyAlignment="1">
      <alignment horizontal="center"/>
    </xf>
    <xf numFmtId="165" fontId="46" fillId="0" borderId="0" xfId="0" applyNumberFormat="1" applyFont="1"/>
    <xf numFmtId="175" fontId="0" fillId="11" borderId="0" xfId="0" applyNumberFormat="1" applyFill="1" applyAlignment="1">
      <alignment vertical="top"/>
    </xf>
    <xf numFmtId="38" fontId="2" fillId="16" borderId="29" xfId="1" applyNumberFormat="1" applyFont="1" applyFill="1" applyBorder="1" applyAlignment="1"/>
    <xf numFmtId="38" fontId="2" fillId="16" borderId="18" xfId="1" applyNumberFormat="1" applyFont="1" applyFill="1" applyBorder="1" applyAlignment="1"/>
    <xf numFmtId="164" fontId="66" fillId="11" borderId="0" xfId="1" applyNumberFormat="1" applyFont="1" applyFill="1"/>
    <xf numFmtId="180" fontId="62" fillId="0" borderId="0" xfId="0" applyNumberFormat="1" applyFont="1"/>
    <xf numFmtId="180" fontId="7" fillId="0" borderId="0" xfId="0" applyNumberFormat="1" applyFont="1"/>
    <xf numFmtId="180" fontId="61" fillId="0" borderId="0" xfId="0" applyNumberFormat="1" applyFont="1"/>
    <xf numFmtId="165" fontId="46" fillId="13" borderId="52" xfId="1" applyNumberFormat="1" applyFont="1" applyFill="1" applyBorder="1"/>
    <xf numFmtId="43" fontId="40" fillId="23" borderId="81" xfId="1" applyFont="1" applyFill="1" applyBorder="1"/>
    <xf numFmtId="164" fontId="40" fillId="11" borderId="0" xfId="0" applyNumberFormat="1" applyFont="1" applyFill="1"/>
    <xf numFmtId="43" fontId="66" fillId="0" borderId="0" xfId="1" applyFont="1" applyFill="1" applyAlignment="1">
      <alignment horizontal="center"/>
    </xf>
    <xf numFmtId="43" fontId="41" fillId="23" borderId="0" xfId="1" applyFont="1" applyFill="1" applyBorder="1"/>
    <xf numFmtId="43" fontId="56" fillId="11" borderId="0" xfId="1" applyFont="1" applyFill="1" applyBorder="1"/>
    <xf numFmtId="43" fontId="44" fillId="11" borderId="0" xfId="1" applyFont="1" applyFill="1" applyBorder="1"/>
    <xf numFmtId="43" fontId="41" fillId="11" borderId="0" xfId="1" applyFont="1" applyFill="1" applyBorder="1"/>
    <xf numFmtId="43" fontId="56" fillId="23" borderId="0" xfId="1" applyFont="1" applyFill="1" applyBorder="1" applyAlignment="1">
      <alignment horizontal="right"/>
    </xf>
    <xf numFmtId="165" fontId="56" fillId="0" borderId="0" xfId="1" applyNumberFormat="1" applyFont="1" applyBorder="1"/>
    <xf numFmtId="165" fontId="56" fillId="0" borderId="0" xfId="1" applyNumberFormat="1" applyFont="1" applyBorder="1" applyAlignment="1">
      <alignment horizontal="right"/>
    </xf>
    <xf numFmtId="43" fontId="40" fillId="31" borderId="0" xfId="1" applyFont="1" applyFill="1" applyBorder="1" applyAlignment="1">
      <alignment horizontal="center"/>
    </xf>
    <xf numFmtId="43" fontId="0" fillId="0" borderId="28" xfId="4" applyFont="1" applyFill="1" applyBorder="1"/>
    <xf numFmtId="43" fontId="0" fillId="0" borderId="0" xfId="4" applyFont="1" applyFill="1"/>
    <xf numFmtId="43" fontId="0" fillId="0" borderId="0" xfId="4" applyFont="1" applyFill="1" applyBorder="1"/>
    <xf numFmtId="165" fontId="46" fillId="11" borderId="36" xfId="1" applyNumberFormat="1" applyFont="1" applyFill="1" applyBorder="1" applyAlignment="1">
      <alignment horizontal="center"/>
    </xf>
    <xf numFmtId="38" fontId="61" fillId="0" borderId="0" xfId="0" applyNumberFormat="1" applyFont="1"/>
    <xf numFmtId="38" fontId="62" fillId="0" borderId="0" xfId="0" applyNumberFormat="1" applyFont="1"/>
    <xf numFmtId="9" fontId="47" fillId="0" borderId="9" xfId="5" applyFont="1" applyBorder="1"/>
    <xf numFmtId="9" fontId="48" fillId="0" borderId="9" xfId="5" applyFont="1" applyBorder="1"/>
    <xf numFmtId="38" fontId="2" fillId="6" borderId="0" xfId="1" applyNumberFormat="1" applyFont="1" applyFill="1" applyBorder="1" applyAlignment="1">
      <alignment horizontal="right"/>
    </xf>
    <xf numFmtId="38" fontId="2" fillId="6" borderId="29" xfId="1" applyNumberFormat="1" applyFont="1" applyFill="1" applyBorder="1" applyAlignment="1">
      <alignment horizontal="right"/>
    </xf>
    <xf numFmtId="43" fontId="0" fillId="6" borderId="0" xfId="1" applyFont="1" applyFill="1"/>
    <xf numFmtId="43" fontId="2" fillId="6" borderId="29" xfId="1" applyFont="1" applyFill="1" applyBorder="1" applyAlignment="1">
      <alignment horizontal="right"/>
    </xf>
    <xf numFmtId="0" fontId="0" fillId="6" borderId="0" xfId="0" applyFill="1"/>
    <xf numFmtId="43" fontId="0" fillId="0" borderId="28" xfId="1" applyFont="1" applyFill="1" applyBorder="1"/>
    <xf numFmtId="43" fontId="3" fillId="6" borderId="0" xfId="1" applyFont="1" applyFill="1"/>
    <xf numFmtId="38" fontId="2" fillId="6" borderId="0" xfId="1" applyNumberFormat="1" applyFont="1" applyFill="1" applyAlignment="1">
      <alignment horizontal="center"/>
    </xf>
    <xf numFmtId="43" fontId="2" fillId="6" borderId="0" xfId="1" applyFont="1" applyFill="1" applyBorder="1"/>
    <xf numFmtId="43" fontId="2" fillId="6" borderId="0" xfId="1" applyFont="1" applyFill="1"/>
    <xf numFmtId="43" fontId="0" fillId="6" borderId="0" xfId="4" applyFont="1" applyFill="1"/>
    <xf numFmtId="181" fontId="56" fillId="23" borderId="29" xfId="1" applyNumberFormat="1" applyFont="1" applyFill="1" applyBorder="1"/>
    <xf numFmtId="43" fontId="0" fillId="11" borderId="28" xfId="4" applyFont="1" applyFill="1" applyBorder="1"/>
    <xf numFmtId="43" fontId="0" fillId="11" borderId="0" xfId="4" applyFont="1" applyFill="1"/>
    <xf numFmtId="43" fontId="0" fillId="11" borderId="0" xfId="4" applyFont="1" applyFill="1" applyBorder="1"/>
    <xf numFmtId="43" fontId="52" fillId="0" borderId="0" xfId="1" applyFont="1" applyBorder="1" applyAlignment="1">
      <alignment horizontal="center"/>
    </xf>
    <xf numFmtId="43" fontId="0" fillId="0" borderId="9" xfId="1" applyFont="1" applyBorder="1"/>
    <xf numFmtId="43" fontId="0" fillId="0" borderId="9" xfId="1" applyFont="1" applyBorder="1" applyAlignment="1">
      <alignment horizontal="center"/>
    </xf>
    <xf numFmtId="43" fontId="0" fillId="6" borderId="28" xfId="1" applyFont="1" applyFill="1" applyBorder="1"/>
    <xf numFmtId="43" fontId="7" fillId="6" borderId="0" xfId="1" applyFont="1" applyFill="1"/>
    <xf numFmtId="43" fontId="2" fillId="0" borderId="10" xfId="1" applyFont="1" applyFill="1" applyBorder="1"/>
    <xf numFmtId="43" fontId="0" fillId="11" borderId="8" xfId="1" applyFont="1" applyFill="1" applyBorder="1"/>
    <xf numFmtId="43" fontId="0" fillId="11" borderId="0" xfId="1" applyFont="1" applyFill="1" applyBorder="1"/>
    <xf numFmtId="38" fontId="2" fillId="11" borderId="0" xfId="1" applyNumberFormat="1" applyFont="1" applyFill="1" applyBorder="1" applyAlignment="1">
      <alignment horizontal="right"/>
    </xf>
    <xf numFmtId="0" fontId="87" fillId="39" borderId="9" xfId="0" applyFont="1" applyFill="1" applyBorder="1"/>
    <xf numFmtId="43" fontId="87" fillId="39" borderId="9" xfId="0" applyNumberFormat="1" applyFont="1" applyFill="1" applyBorder="1"/>
    <xf numFmtId="43" fontId="7" fillId="11" borderId="34" xfId="1" applyFont="1" applyFill="1" applyBorder="1"/>
    <xf numFmtId="43" fontId="62" fillId="16" borderId="0" xfId="0" applyNumberFormat="1" applyFont="1" applyFill="1"/>
    <xf numFmtId="0" fontId="62" fillId="16" borderId="0" xfId="0" applyFont="1" applyFill="1"/>
    <xf numFmtId="0" fontId="61" fillId="16" borderId="0" xfId="0" applyFont="1" applyFill="1"/>
    <xf numFmtId="13" fontId="7" fillId="0" borderId="0" xfId="0" applyNumberFormat="1" applyFont="1"/>
    <xf numFmtId="10" fontId="0" fillId="0" borderId="0" xfId="0" applyNumberFormat="1"/>
    <xf numFmtId="43" fontId="0" fillId="6" borderId="0" xfId="0" applyNumberFormat="1" applyFill="1"/>
    <xf numFmtId="0" fontId="0" fillId="19" borderId="0" xfId="0" applyFill="1"/>
    <xf numFmtId="43" fontId="0" fillId="19" borderId="0" xfId="0" applyNumberFormat="1" applyFill="1"/>
    <xf numFmtId="43" fontId="0" fillId="13" borderId="0" xfId="0" applyNumberFormat="1" applyFill="1"/>
    <xf numFmtId="43" fontId="0" fillId="13" borderId="0" xfId="1" applyFont="1" applyFill="1"/>
    <xf numFmtId="0" fontId="0" fillId="13" borderId="0" xfId="0" applyFill="1"/>
    <xf numFmtId="43" fontId="3" fillId="20" borderId="0" xfId="1" applyFont="1" applyFill="1"/>
    <xf numFmtId="43" fontId="3" fillId="38" borderId="0" xfId="1" applyFont="1" applyFill="1"/>
    <xf numFmtId="43" fontId="3" fillId="5" borderId="0" xfId="1" applyFont="1" applyFill="1"/>
    <xf numFmtId="43" fontId="3" fillId="12" borderId="0" xfId="1" applyFont="1" applyFill="1"/>
    <xf numFmtId="43" fontId="44" fillId="40" borderId="0" xfId="1" applyFont="1" applyFill="1" applyBorder="1"/>
    <xf numFmtId="165" fontId="65" fillId="11" borderId="0" xfId="1" applyNumberFormat="1" applyFont="1" applyFill="1"/>
    <xf numFmtId="165" fontId="7" fillId="19" borderId="0" xfId="1" applyNumberFormat="1" applyFont="1" applyFill="1"/>
    <xf numFmtId="10" fontId="87" fillId="39" borderId="9" xfId="5" applyNumberFormat="1" applyFont="1" applyFill="1" applyBorder="1"/>
    <xf numFmtId="165" fontId="62" fillId="31" borderId="0" xfId="1" applyNumberFormat="1" applyFont="1" applyFill="1"/>
    <xf numFmtId="165" fontId="62" fillId="9" borderId="0" xfId="1" applyNumberFormat="1" applyFont="1" applyFill="1"/>
    <xf numFmtId="165" fontId="62" fillId="15" borderId="0" xfId="1" applyNumberFormat="1" applyFont="1" applyFill="1"/>
    <xf numFmtId="165" fontId="62" fillId="21" borderId="0" xfId="1" applyNumberFormat="1" applyFont="1" applyFill="1"/>
    <xf numFmtId="4" fontId="7" fillId="0" borderId="0" xfId="0" applyNumberFormat="1" applyFont="1"/>
    <xf numFmtId="43" fontId="7" fillId="0" borderId="0" xfId="1" quotePrefix="1" applyFont="1" applyFill="1"/>
    <xf numFmtId="38" fontId="65" fillId="11" borderId="0" xfId="0" applyNumberFormat="1" applyFont="1" applyFill="1"/>
    <xf numFmtId="165" fontId="7" fillId="9" borderId="0" xfId="1" applyNumberFormat="1" applyFont="1" applyFill="1"/>
    <xf numFmtId="165" fontId="7" fillId="12" borderId="0" xfId="1" applyNumberFormat="1" applyFont="1" applyFill="1"/>
    <xf numFmtId="165" fontId="7" fillId="36" borderId="0" xfId="1" applyNumberFormat="1" applyFont="1" applyFill="1"/>
    <xf numFmtId="165" fontId="2" fillId="11" borderId="29" xfId="1" applyNumberFormat="1" applyFont="1" applyFill="1" applyBorder="1" applyAlignment="1">
      <alignment horizontal="right"/>
    </xf>
    <xf numFmtId="165" fontId="7" fillId="0" borderId="0" xfId="1" quotePrefix="1" applyNumberFormat="1" applyFont="1" applyFill="1"/>
    <xf numFmtId="165" fontId="7" fillId="40" borderId="0" xfId="1" applyNumberFormat="1" applyFont="1" applyFill="1"/>
    <xf numFmtId="43" fontId="82" fillId="0" borderId="0" xfId="1" applyFont="1"/>
    <xf numFmtId="10" fontId="65" fillId="0" borderId="0" xfId="0" applyNumberFormat="1" applyFont="1"/>
    <xf numFmtId="9" fontId="82" fillId="0" borderId="0" xfId="5" applyFont="1"/>
    <xf numFmtId="38" fontId="65" fillId="0" borderId="0" xfId="0" applyNumberFormat="1" applyFont="1"/>
    <xf numFmtId="43" fontId="7" fillId="0" borderId="0" xfId="1" applyFont="1" applyAlignment="1"/>
    <xf numFmtId="165" fontId="66" fillId="0" borderId="0" xfId="1" applyNumberFormat="1" applyFont="1"/>
    <xf numFmtId="43" fontId="66" fillId="0" borderId="0" xfId="0" applyNumberFormat="1" applyFont="1"/>
    <xf numFmtId="38" fontId="45" fillId="5" borderId="0" xfId="0" applyNumberFormat="1" applyFont="1" applyFill="1" applyAlignment="1">
      <alignment horizontal="center"/>
    </xf>
    <xf numFmtId="165" fontId="0" fillId="11" borderId="0" xfId="1" applyNumberFormat="1" applyFont="1" applyFill="1"/>
    <xf numFmtId="10" fontId="82" fillId="0" borderId="0" xfId="5" applyNumberFormat="1" applyFont="1"/>
    <xf numFmtId="165" fontId="48" fillId="27" borderId="0" xfId="0" applyNumberFormat="1" applyFont="1" applyFill="1"/>
    <xf numFmtId="0" fontId="63" fillId="5" borderId="0" xfId="0" applyFont="1" applyFill="1"/>
    <xf numFmtId="43" fontId="26" fillId="5" borderId="0" xfId="1" applyFont="1" applyFill="1"/>
    <xf numFmtId="0" fontId="26" fillId="5" borderId="0" xfId="0" applyFont="1" applyFill="1"/>
    <xf numFmtId="43" fontId="61" fillId="5" borderId="0" xfId="1" applyFont="1" applyFill="1" applyAlignment="1">
      <alignment horizontal="center"/>
    </xf>
    <xf numFmtId="43" fontId="62" fillId="5" borderId="0" xfId="1" applyFont="1" applyFill="1"/>
    <xf numFmtId="0" fontId="62" fillId="6" borderId="0" xfId="0" applyFont="1" applyFill="1"/>
    <xf numFmtId="0" fontId="7" fillId="6" borderId="0" xfId="0" applyFont="1" applyFill="1"/>
    <xf numFmtId="0" fontId="26" fillId="6" borderId="0" xfId="0" applyFont="1" applyFill="1"/>
    <xf numFmtId="43" fontId="62" fillId="6" borderId="0" xfId="1" applyFont="1" applyFill="1" applyBorder="1"/>
    <xf numFmtId="0" fontId="7" fillId="11" borderId="0" xfId="6" applyFont="1" applyFill="1"/>
    <xf numFmtId="43" fontId="70" fillId="11" borderId="0" xfId="1" applyFont="1" applyFill="1" applyBorder="1"/>
    <xf numFmtId="43" fontId="61" fillId="11" borderId="0" xfId="1" applyFont="1" applyFill="1"/>
    <xf numFmtId="0" fontId="62" fillId="9" borderId="0" xfId="0" applyFont="1" applyFill="1"/>
    <xf numFmtId="43" fontId="7" fillId="9" borderId="0" xfId="1" applyFont="1" applyFill="1" applyBorder="1"/>
    <xf numFmtId="0" fontId="7" fillId="9" borderId="0" xfId="0" applyFont="1" applyFill="1"/>
    <xf numFmtId="0" fontId="26" fillId="9" borderId="0" xfId="0" applyFont="1" applyFill="1"/>
    <xf numFmtId="43" fontId="62" fillId="9" borderId="0" xfId="1" applyFont="1" applyFill="1"/>
    <xf numFmtId="0" fontId="0" fillId="9" borderId="0" xfId="0" applyFill="1"/>
    <xf numFmtId="0" fontId="62" fillId="12" borderId="0" xfId="0" applyFont="1" applyFill="1"/>
    <xf numFmtId="43" fontId="7" fillId="12" borderId="0" xfId="1" applyFont="1" applyFill="1"/>
    <xf numFmtId="0" fontId="7" fillId="12" borderId="0" xfId="0" applyFont="1" applyFill="1"/>
    <xf numFmtId="0" fontId="26" fillId="12" borderId="0" xfId="0" applyFont="1" applyFill="1"/>
    <xf numFmtId="43" fontId="62" fillId="12" borderId="0" xfId="1" applyFont="1" applyFill="1" applyBorder="1"/>
    <xf numFmtId="0" fontId="0" fillId="12" borderId="0" xfId="0" applyFill="1"/>
    <xf numFmtId="43" fontId="62" fillId="41" borderId="0" xfId="1" applyFont="1" applyFill="1"/>
    <xf numFmtId="43" fontId="7" fillId="41" borderId="0" xfId="1" applyFont="1" applyFill="1"/>
    <xf numFmtId="0" fontId="7" fillId="41" borderId="0" xfId="0" applyFont="1" applyFill="1"/>
    <xf numFmtId="0" fontId="26" fillId="41" borderId="0" xfId="0" applyFont="1" applyFill="1"/>
    <xf numFmtId="0" fontId="0" fillId="41" borderId="0" xfId="0" applyFill="1"/>
    <xf numFmtId="43" fontId="40" fillId="11" borderId="81" xfId="1" applyFont="1" applyFill="1" applyBorder="1"/>
    <xf numFmtId="165" fontId="51" fillId="13" borderId="17" xfId="1" applyNumberFormat="1" applyFont="1" applyFill="1" applyBorder="1"/>
    <xf numFmtId="43" fontId="2" fillId="11" borderId="0" xfId="1" applyFont="1" applyFill="1" applyBorder="1"/>
    <xf numFmtId="43" fontId="3" fillId="0" borderId="9" xfId="1" applyFont="1" applyBorder="1" applyAlignment="1">
      <alignment horizontal="center"/>
    </xf>
    <xf numFmtId="43" fontId="2" fillId="0" borderId="9" xfId="1" applyFont="1" applyBorder="1" applyAlignment="1">
      <alignment horizontal="center"/>
    </xf>
    <xf numFmtId="165" fontId="2" fillId="0" borderId="9" xfId="1" applyNumberFormat="1" applyFont="1" applyBorder="1" applyAlignment="1">
      <alignment horizontal="center"/>
    </xf>
    <xf numFmtId="165" fontId="0" fillId="0" borderId="9" xfId="1" applyNumberFormat="1" applyFont="1" applyBorder="1"/>
    <xf numFmtId="43" fontId="2" fillId="0" borderId="9" xfId="1" applyFont="1" applyFill="1" applyBorder="1" applyAlignment="1">
      <alignment horizontal="center"/>
    </xf>
    <xf numFmtId="43" fontId="3" fillId="0" borderId="9" xfId="1" applyFont="1" applyFill="1" applyBorder="1" applyAlignment="1">
      <alignment horizontal="center"/>
    </xf>
    <xf numFmtId="165" fontId="3" fillId="0" borderId="9" xfId="1" applyNumberFormat="1" applyFont="1" applyBorder="1"/>
    <xf numFmtId="165" fontId="2" fillId="0" borderId="9" xfId="1" applyNumberFormat="1" applyFont="1" applyBorder="1"/>
    <xf numFmtId="165" fontId="0" fillId="0" borderId="9" xfId="1" applyNumberFormat="1" applyFont="1" applyBorder="1" applyAlignment="1">
      <alignment horizontal="center"/>
    </xf>
    <xf numFmtId="43" fontId="3" fillId="6" borderId="9" xfId="1" applyFont="1" applyFill="1" applyBorder="1" applyAlignment="1">
      <alignment horizontal="center"/>
    </xf>
    <xf numFmtId="165" fontId="0" fillId="0" borderId="9" xfId="0" applyNumberFormat="1" applyBorder="1"/>
    <xf numFmtId="43" fontId="52" fillId="0" borderId="9" xfId="1" applyFont="1" applyFill="1" applyBorder="1"/>
    <xf numFmtId="17" fontId="52" fillId="0" borderId="9" xfId="1" quotePrefix="1" applyNumberFormat="1" applyFont="1" applyFill="1" applyBorder="1" applyAlignment="1">
      <alignment horizontal="right" vertical="top"/>
    </xf>
    <xf numFmtId="17" fontId="36" fillId="0" borderId="9" xfId="0" applyNumberFormat="1" applyFont="1" applyBorder="1"/>
    <xf numFmtId="38" fontId="45" fillId="32" borderId="0" xfId="0" applyNumberFormat="1" applyFont="1" applyFill="1" applyAlignment="1">
      <alignment horizontal="center"/>
    </xf>
    <xf numFmtId="165" fontId="56" fillId="0" borderId="0" xfId="1" applyNumberFormat="1" applyFont="1" applyFill="1" applyBorder="1"/>
    <xf numFmtId="0" fontId="56" fillId="0" borderId="0" xfId="0" applyFont="1" applyAlignment="1">
      <alignment wrapText="1"/>
    </xf>
    <xf numFmtId="43" fontId="7" fillId="0" borderId="20" xfId="1" applyFont="1" applyFill="1" applyBorder="1"/>
    <xf numFmtId="43" fontId="7" fillId="0" borderId="65" xfId="1" applyFont="1" applyFill="1" applyBorder="1"/>
    <xf numFmtId="43" fontId="7" fillId="0" borderId="66" xfId="1" applyFont="1" applyFill="1" applyBorder="1"/>
    <xf numFmtId="165" fontId="71" fillId="0" borderId="0" xfId="0" applyNumberFormat="1" applyFont="1" applyAlignment="1">
      <alignment horizontal="center"/>
    </xf>
    <xf numFmtId="0" fontId="73" fillId="0" borderId="20" xfId="0" applyFont="1" applyBorder="1" applyAlignment="1">
      <alignment horizontal="center" vertical="center"/>
    </xf>
    <xf numFmtId="0" fontId="73" fillId="0" borderId="20" xfId="0" applyFont="1" applyBorder="1" applyAlignment="1">
      <alignment horizontal="center" vertical="center" wrapText="1"/>
    </xf>
    <xf numFmtId="182" fontId="92" fillId="30" borderId="20" xfId="0" applyNumberFormat="1" applyFont="1" applyFill="1" applyBorder="1" applyAlignment="1">
      <alignment vertical="center"/>
    </xf>
    <xf numFmtId="43" fontId="70" fillId="0" borderId="0" xfId="0" applyNumberFormat="1" applyFont="1"/>
    <xf numFmtId="0" fontId="76" fillId="0" borderId="0" xfId="3" applyFont="1" applyAlignment="1"/>
    <xf numFmtId="0" fontId="93" fillId="0" borderId="0" xfId="0" applyFont="1"/>
    <xf numFmtId="0" fontId="74" fillId="0" borderId="0" xfId="3" applyFont="1" applyAlignment="1"/>
    <xf numFmtId="43" fontId="70" fillId="0" borderId="21" xfId="1" applyFont="1" applyFill="1" applyBorder="1"/>
    <xf numFmtId="43" fontId="70" fillId="0" borderId="0" xfId="1" applyFont="1" applyFill="1" applyBorder="1"/>
    <xf numFmtId="43" fontId="74" fillId="0" borderId="0" xfId="0" applyNumberFormat="1" applyFont="1"/>
    <xf numFmtId="43" fontId="77" fillId="11" borderId="0" xfId="0" applyNumberFormat="1" applyFont="1" applyFill="1"/>
    <xf numFmtId="43" fontId="70" fillId="0" borderId="21" xfId="0" applyNumberFormat="1" applyFont="1" applyBorder="1"/>
    <xf numFmtId="0" fontId="70" fillId="0" borderId="0" xfId="0" applyFont="1"/>
    <xf numFmtId="176" fontId="75" fillId="16" borderId="0" xfId="1" applyNumberFormat="1" applyFont="1" applyFill="1" applyBorder="1"/>
    <xf numFmtId="9" fontId="74" fillId="0" borderId="0" xfId="5" applyFont="1" applyFill="1" applyBorder="1"/>
    <xf numFmtId="9" fontId="70" fillId="0" borderId="0" xfId="5" applyFont="1" applyFill="1" applyBorder="1"/>
    <xf numFmtId="9" fontId="70" fillId="16" borderId="0" xfId="5" applyFont="1" applyFill="1" applyBorder="1"/>
    <xf numFmtId="9" fontId="77" fillId="16" borderId="0" xfId="5" applyFont="1" applyFill="1" applyBorder="1"/>
    <xf numFmtId="43" fontId="74" fillId="0" borderId="0" xfId="1" applyFont="1" applyFill="1" applyBorder="1"/>
    <xf numFmtId="43" fontId="71" fillId="0" borderId="0" xfId="1" applyFont="1" applyFill="1" applyBorder="1"/>
    <xf numFmtId="164" fontId="75" fillId="16" borderId="0" xfId="0" applyNumberFormat="1" applyFont="1" applyFill="1" applyAlignment="1">
      <alignment horizontal="center"/>
    </xf>
    <xf numFmtId="43" fontId="75" fillId="0" borderId="22" xfId="1" applyFont="1" applyFill="1" applyBorder="1"/>
    <xf numFmtId="43" fontId="70" fillId="16" borderId="28" xfId="1" applyFont="1" applyFill="1" applyBorder="1"/>
    <xf numFmtId="43" fontId="70" fillId="0" borderId="28" xfId="1" applyFont="1" applyFill="1" applyBorder="1"/>
    <xf numFmtId="43" fontId="75" fillId="0" borderId="28" xfId="1" applyFont="1" applyFill="1" applyBorder="1"/>
    <xf numFmtId="0" fontId="70" fillId="11" borderId="0" xfId="0" applyFont="1" applyFill="1"/>
    <xf numFmtId="43" fontId="70" fillId="11" borderId="0" xfId="1" applyFont="1" applyFill="1"/>
    <xf numFmtId="43" fontId="70" fillId="11" borderId="0" xfId="0" applyNumberFormat="1" applyFont="1" applyFill="1"/>
    <xf numFmtId="43" fontId="94" fillId="11" borderId="0" xfId="0" applyNumberFormat="1" applyFont="1" applyFill="1"/>
    <xf numFmtId="43" fontId="75" fillId="16" borderId="21" xfId="0" applyNumberFormat="1" applyFont="1" applyFill="1" applyBorder="1"/>
    <xf numFmtId="43" fontId="75" fillId="0" borderId="21" xfId="0" applyNumberFormat="1" applyFont="1" applyBorder="1"/>
    <xf numFmtId="43" fontId="90" fillId="11" borderId="0" xfId="1" applyFont="1" applyFill="1"/>
    <xf numFmtId="43" fontId="65" fillId="0" borderId="0" xfId="1" applyFont="1" applyBorder="1"/>
    <xf numFmtId="43" fontId="65" fillId="0" borderId="0" xfId="0" applyNumberFormat="1" applyFont="1"/>
    <xf numFmtId="165" fontId="62" fillId="16" borderId="0" xfId="1" applyNumberFormat="1" applyFont="1" applyFill="1" applyBorder="1"/>
    <xf numFmtId="9" fontId="7" fillId="0" borderId="0" xfId="5" applyFont="1"/>
    <xf numFmtId="0" fontId="56" fillId="23" borderId="0" xfId="0" applyFont="1" applyFill="1" applyAlignment="1">
      <alignment horizontal="center" wrapText="1"/>
    </xf>
    <xf numFmtId="165" fontId="44" fillId="11" borderId="9" xfId="1" applyNumberFormat="1" applyFont="1" applyFill="1" applyBorder="1" applyAlignment="1">
      <alignment horizontal="center" vertical="top"/>
    </xf>
    <xf numFmtId="165" fontId="44" fillId="28" borderId="9" xfId="1" applyNumberFormat="1" applyFont="1" applyFill="1" applyBorder="1" applyAlignment="1">
      <alignment horizontal="center" vertical="top"/>
    </xf>
    <xf numFmtId="43" fontId="44" fillId="28" borderId="9" xfId="1" applyFont="1" applyFill="1" applyBorder="1"/>
    <xf numFmtId="165" fontId="44" fillId="28" borderId="9" xfId="1" applyNumberFormat="1" applyFont="1" applyFill="1" applyBorder="1"/>
    <xf numFmtId="17" fontId="44" fillId="28" borderId="9" xfId="1" quotePrefix="1" applyNumberFormat="1" applyFont="1" applyFill="1" applyBorder="1"/>
    <xf numFmtId="165" fontId="44" fillId="6" borderId="9" xfId="1" applyNumberFormat="1" applyFont="1" applyFill="1" applyBorder="1" applyAlignment="1">
      <alignment horizontal="center" vertical="top"/>
    </xf>
    <xf numFmtId="43" fontId="66" fillId="0" borderId="66" xfId="1" applyFont="1" applyFill="1" applyBorder="1"/>
    <xf numFmtId="10" fontId="7" fillId="0" borderId="0" xfId="0" applyNumberFormat="1" applyFont="1"/>
    <xf numFmtId="43" fontId="7" fillId="11" borderId="37" xfId="1" applyFont="1" applyFill="1" applyBorder="1"/>
    <xf numFmtId="43" fontId="7" fillId="32" borderId="0" xfId="1" applyFont="1" applyFill="1" applyBorder="1"/>
    <xf numFmtId="43" fontId="65" fillId="0" borderId="0" xfId="1" applyFont="1"/>
    <xf numFmtId="0" fontId="65" fillId="0" borderId="0" xfId="0" applyFont="1"/>
    <xf numFmtId="43" fontId="90" fillId="0" borderId="0" xfId="1" applyFont="1" applyFill="1"/>
    <xf numFmtId="43" fontId="52" fillId="0" borderId="0" xfId="1" applyFont="1" applyFill="1"/>
    <xf numFmtId="173" fontId="43" fillId="0" borderId="0" xfId="3" applyNumberFormat="1" applyAlignment="1" applyProtection="1">
      <alignment horizontal="right" vertical="top"/>
      <protection locked="0"/>
    </xf>
    <xf numFmtId="15" fontId="90" fillId="0" borderId="0" xfId="1" applyNumberFormat="1" applyFont="1" applyFill="1"/>
    <xf numFmtId="43" fontId="90" fillId="0" borderId="25" xfId="1" applyFont="1" applyFill="1" applyBorder="1"/>
    <xf numFmtId="165" fontId="52" fillId="0" borderId="9" xfId="1" applyNumberFormat="1" applyFont="1" applyFill="1" applyBorder="1" applyAlignment="1">
      <alignment horizontal="center" vertical="top"/>
    </xf>
    <xf numFmtId="165" fontId="52" fillId="0" borderId="9" xfId="1" applyNumberFormat="1" applyFont="1" applyFill="1" applyBorder="1"/>
    <xf numFmtId="165" fontId="52" fillId="0" borderId="9" xfId="1" applyNumberFormat="1" applyFont="1" applyFill="1" applyBorder="1" applyAlignment="1">
      <alignment horizontal="left" vertical="top"/>
    </xf>
    <xf numFmtId="0" fontId="52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91" fillId="0" borderId="9" xfId="0" applyFont="1" applyBorder="1" applyAlignment="1">
      <alignment horizontal="center"/>
    </xf>
    <xf numFmtId="0" fontId="89" fillId="0" borderId="9" xfId="0" applyFont="1" applyBorder="1"/>
    <xf numFmtId="17" fontId="44" fillId="0" borderId="9" xfId="0" applyNumberFormat="1" applyFont="1" applyBorder="1"/>
    <xf numFmtId="0" fontId="89" fillId="0" borderId="0" xfId="0" applyFont="1"/>
    <xf numFmtId="0" fontId="44" fillId="0" borderId="11" xfId="0" applyFont="1" applyBorder="1"/>
    <xf numFmtId="165" fontId="52" fillId="0" borderId="11" xfId="1" applyNumberFormat="1" applyFont="1" applyFill="1" applyBorder="1" applyAlignment="1">
      <alignment horizontal="center" vertical="top"/>
    </xf>
    <xf numFmtId="165" fontId="52" fillId="0" borderId="0" xfId="1" applyNumberFormat="1" applyFont="1" applyFill="1" applyBorder="1" applyAlignment="1">
      <alignment horizontal="center" vertical="top"/>
    </xf>
    <xf numFmtId="165" fontId="44" fillId="0" borderId="0" xfId="0" applyNumberFormat="1" applyFont="1"/>
    <xf numFmtId="165" fontId="44" fillId="0" borderId="0" xfId="1" applyNumberFormat="1" applyFont="1" applyFill="1" applyBorder="1" applyAlignment="1">
      <alignment horizontal="center" vertical="top"/>
    </xf>
    <xf numFmtId="165" fontId="44" fillId="0" borderId="6" xfId="1" applyNumberFormat="1" applyFont="1" applyFill="1" applyBorder="1" applyAlignment="1">
      <alignment horizontal="center" vertical="top"/>
    </xf>
    <xf numFmtId="165" fontId="44" fillId="0" borderId="0" xfId="1" applyNumberFormat="1" applyFont="1" applyFill="1" applyAlignment="1">
      <alignment horizontal="center" vertical="top"/>
    </xf>
    <xf numFmtId="15" fontId="56" fillId="0" borderId="0" xfId="1" applyNumberFormat="1" applyFont="1" applyFill="1"/>
    <xf numFmtId="17" fontId="36" fillId="0" borderId="9" xfId="0" quotePrefix="1" applyNumberFormat="1" applyFont="1" applyBorder="1"/>
    <xf numFmtId="17" fontId="44" fillId="0" borderId="9" xfId="1" quotePrefix="1" applyNumberFormat="1" applyFont="1" applyFill="1" applyBorder="1" applyAlignment="1">
      <alignment horizontal="right" vertical="top"/>
    </xf>
    <xf numFmtId="43" fontId="36" fillId="0" borderId="9" xfId="1" applyFont="1" applyFill="1" applyBorder="1"/>
    <xf numFmtId="0" fontId="0" fillId="0" borderId="9" xfId="0" applyBorder="1" applyAlignment="1">
      <alignment horizontal="center" vertical="center"/>
    </xf>
    <xf numFmtId="165" fontId="44" fillId="0" borderId="30" xfId="1" applyNumberFormat="1" applyFont="1" applyFill="1" applyBorder="1" applyAlignment="1">
      <alignment horizontal="center" vertical="top"/>
    </xf>
    <xf numFmtId="165" fontId="36" fillId="0" borderId="9" xfId="1" applyNumberFormat="1" applyFont="1" applyFill="1" applyBorder="1" applyAlignment="1">
      <alignment horizontal="right"/>
    </xf>
    <xf numFmtId="165" fontId="56" fillId="0" borderId="9" xfId="0" applyNumberFormat="1" applyFont="1" applyBorder="1"/>
    <xf numFmtId="165" fontId="56" fillId="0" borderId="9" xfId="1" applyNumberFormat="1" applyFont="1" applyFill="1" applyBorder="1" applyAlignment="1">
      <alignment horizontal="right"/>
    </xf>
    <xf numFmtId="165" fontId="36" fillId="0" borderId="9" xfId="0" applyNumberFormat="1" applyFont="1" applyBorder="1"/>
    <xf numFmtId="0" fontId="24" fillId="0" borderId="9" xfId="0" applyFont="1" applyBorder="1"/>
    <xf numFmtId="165" fontId="24" fillId="0" borderId="9" xfId="1" applyNumberFormat="1" applyFont="1" applyFill="1" applyBorder="1"/>
    <xf numFmtId="43" fontId="26" fillId="0" borderId="0" xfId="1" applyFont="1" applyBorder="1"/>
    <xf numFmtId="43" fontId="38" fillId="0" borderId="31" xfId="1" applyFont="1" applyFill="1" applyBorder="1"/>
    <xf numFmtId="43" fontId="25" fillId="0" borderId="63" xfId="1" applyFont="1" applyFill="1" applyBorder="1"/>
    <xf numFmtId="43" fontId="25" fillId="0" borderId="63" xfId="1" applyFont="1" applyFill="1" applyBorder="1" applyAlignment="1">
      <alignment wrapText="1"/>
    </xf>
    <xf numFmtId="43" fontId="38" fillId="0" borderId="64" xfId="1" applyFont="1" applyFill="1" applyBorder="1"/>
    <xf numFmtId="43" fontId="38" fillId="0" borderId="52" xfId="1" applyFont="1" applyFill="1" applyBorder="1"/>
    <xf numFmtId="0" fontId="38" fillId="0" borderId="9" xfId="1" applyNumberFormat="1" applyFont="1" applyFill="1" applyBorder="1"/>
    <xf numFmtId="43" fontId="95" fillId="0" borderId="9" xfId="1" applyFont="1" applyFill="1" applyBorder="1"/>
    <xf numFmtId="43" fontId="95" fillId="0" borderId="61" xfId="1" applyFont="1" applyFill="1" applyBorder="1"/>
    <xf numFmtId="43" fontId="25" fillId="0" borderId="65" xfId="1" applyFont="1" applyFill="1" applyBorder="1"/>
    <xf numFmtId="43" fontId="25" fillId="0" borderId="20" xfId="1" applyFont="1" applyFill="1" applyBorder="1"/>
    <xf numFmtId="43" fontId="25" fillId="0" borderId="9" xfId="1" applyFont="1" applyFill="1" applyBorder="1"/>
    <xf numFmtId="43" fontId="65" fillId="18" borderId="0" xfId="0" applyNumberFormat="1" applyFont="1" applyFill="1"/>
    <xf numFmtId="43" fontId="65" fillId="25" borderId="0" xfId="1" applyFont="1" applyFill="1"/>
    <xf numFmtId="43" fontId="65" fillId="21" borderId="0" xfId="1" applyFont="1" applyFill="1"/>
    <xf numFmtId="164" fontId="51" fillId="0" borderId="0" xfId="0" applyNumberFormat="1" applyFont="1"/>
    <xf numFmtId="165" fontId="89" fillId="0" borderId="0" xfId="0" applyNumberFormat="1" applyFont="1"/>
    <xf numFmtId="165" fontId="40" fillId="6" borderId="29" xfId="1" applyNumberFormat="1" applyFont="1" applyFill="1" applyBorder="1" applyAlignment="1">
      <alignment horizontal="left"/>
    </xf>
    <xf numFmtId="0" fontId="41" fillId="0" borderId="9" xfId="0" applyFont="1" applyBorder="1"/>
    <xf numFmtId="43" fontId="41" fillId="0" borderId="9" xfId="0" applyNumberFormat="1" applyFont="1" applyBorder="1"/>
    <xf numFmtId="165" fontId="41" fillId="23" borderId="28" xfId="1" quotePrefix="1" applyNumberFormat="1" applyFont="1" applyFill="1" applyBorder="1"/>
    <xf numFmtId="17" fontId="90" fillId="0" borderId="9" xfId="1" quotePrefix="1" applyNumberFormat="1" applyFont="1" applyFill="1" applyBorder="1" applyAlignment="1">
      <alignment horizontal="right" vertical="top"/>
    </xf>
    <xf numFmtId="38" fontId="0" fillId="23" borderId="9" xfId="0" applyNumberFormat="1" applyFill="1" applyBorder="1"/>
    <xf numFmtId="165" fontId="0" fillId="23" borderId="9" xfId="1" applyNumberFormat="1" applyFont="1" applyFill="1" applyBorder="1"/>
    <xf numFmtId="0" fontId="0" fillId="23" borderId="9" xfId="0" applyFill="1" applyBorder="1"/>
    <xf numFmtId="9" fontId="7" fillId="0" borderId="0" xfId="5" applyFont="1" applyFill="1"/>
    <xf numFmtId="165" fontId="66" fillId="11" borderId="0" xfId="1" applyNumberFormat="1" applyFont="1" applyFill="1"/>
    <xf numFmtId="165" fontId="52" fillId="0" borderId="6" xfId="1" applyNumberFormat="1" applyFont="1" applyFill="1" applyBorder="1" applyAlignment="1">
      <alignment horizontal="center" vertical="top"/>
    </xf>
    <xf numFmtId="0" fontId="52" fillId="0" borderId="9" xfId="0" applyFont="1" applyBorder="1"/>
    <xf numFmtId="165" fontId="44" fillId="0" borderId="9" xfId="0" applyNumberFormat="1" applyFont="1" applyBorder="1"/>
    <xf numFmtId="165" fontId="0" fillId="27" borderId="0" xfId="1" applyNumberFormat="1" applyFont="1" applyFill="1" applyAlignment="1">
      <alignment vertical="top"/>
    </xf>
    <xf numFmtId="0" fontId="2" fillId="0" borderId="9" xfId="0" applyFont="1" applyBorder="1" applyAlignment="1">
      <alignment horizontal="left" vertical="center"/>
    </xf>
    <xf numFmtId="17" fontId="52" fillId="0" borderId="9" xfId="1" quotePrefix="1" applyNumberFormat="1" applyFont="1" applyFill="1" applyBorder="1" applyAlignment="1">
      <alignment horizontal="left" vertical="top"/>
    </xf>
    <xf numFmtId="0" fontId="52" fillId="0" borderId="9" xfId="0" applyFont="1" applyBorder="1" applyAlignment="1">
      <alignment horizontal="left"/>
    </xf>
    <xf numFmtId="49" fontId="52" fillId="0" borderId="9" xfId="0" applyNumberFormat="1" applyFont="1" applyBorder="1" applyAlignment="1">
      <alignment horizontal="left"/>
    </xf>
    <xf numFmtId="179" fontId="7" fillId="0" borderId="0" xfId="1" applyNumberFormat="1" applyFont="1" applyFill="1"/>
    <xf numFmtId="179" fontId="7" fillId="0" borderId="0" xfId="1" applyNumberFormat="1" applyFont="1"/>
    <xf numFmtId="17" fontId="44" fillId="0" borderId="0" xfId="0" applyNumberFormat="1" applyFont="1"/>
    <xf numFmtId="17" fontId="52" fillId="0" borderId="11" xfId="1" quotePrefix="1" applyNumberFormat="1" applyFont="1" applyFill="1" applyBorder="1" applyAlignment="1">
      <alignment horizontal="left" vertical="top"/>
    </xf>
    <xf numFmtId="43" fontId="52" fillId="0" borderId="11" xfId="1" applyFont="1" applyFill="1" applyBorder="1"/>
    <xf numFmtId="17" fontId="52" fillId="0" borderId="11" xfId="1" quotePrefix="1" applyNumberFormat="1" applyFont="1" applyFill="1" applyBorder="1" applyAlignment="1">
      <alignment horizontal="right" vertical="top"/>
    </xf>
    <xf numFmtId="0" fontId="2" fillId="0" borderId="9" xfId="0" applyFont="1" applyBorder="1" applyAlignment="1">
      <alignment horizontal="left"/>
    </xf>
    <xf numFmtId="165" fontId="47" fillId="11" borderId="0" xfId="1" applyNumberFormat="1" applyFont="1" applyFill="1" applyBorder="1"/>
    <xf numFmtId="43" fontId="56" fillId="23" borderId="28" xfId="1" applyFont="1" applyFill="1" applyBorder="1"/>
    <xf numFmtId="165" fontId="47" fillId="11" borderId="16" xfId="1" applyNumberFormat="1" applyFont="1" applyFill="1" applyBorder="1"/>
    <xf numFmtId="0" fontId="58" fillId="0" borderId="9" xfId="0" applyFont="1" applyBorder="1"/>
    <xf numFmtId="17" fontId="24" fillId="0" borderId="9" xfId="0" applyNumberFormat="1" applyFont="1" applyBorder="1"/>
    <xf numFmtId="43" fontId="44" fillId="0" borderId="9" xfId="1" applyFont="1" applyFill="1" applyBorder="1"/>
    <xf numFmtId="17" fontId="44" fillId="0" borderId="9" xfId="1" quotePrefix="1" applyNumberFormat="1" applyFont="1" applyFill="1" applyBorder="1" applyAlignment="1">
      <alignment horizontal="left"/>
    </xf>
    <xf numFmtId="43" fontId="56" fillId="0" borderId="9" xfId="1" applyFont="1" applyBorder="1"/>
    <xf numFmtId="43" fontId="2" fillId="27" borderId="0" xfId="1" applyFont="1" applyFill="1"/>
    <xf numFmtId="43" fontId="1" fillId="27" borderId="0" xfId="1" applyFont="1" applyFill="1"/>
    <xf numFmtId="165" fontId="1" fillId="27" borderId="0" xfId="1" applyNumberFormat="1" applyFont="1" applyFill="1"/>
    <xf numFmtId="175" fontId="1" fillId="27" borderId="0" xfId="0" applyNumberFormat="1" applyFont="1" applyFill="1" applyAlignment="1">
      <alignment vertical="top"/>
    </xf>
    <xf numFmtId="0" fontId="36" fillId="0" borderId="6" xfId="0" applyFont="1" applyBorder="1"/>
    <xf numFmtId="0" fontId="44" fillId="0" borderId="6" xfId="0" applyFont="1" applyBorder="1"/>
    <xf numFmtId="43" fontId="95" fillId="0" borderId="0" xfId="1" applyFont="1" applyFill="1"/>
    <xf numFmtId="43" fontId="96" fillId="0" borderId="20" xfId="1" applyFont="1" applyFill="1" applyBorder="1"/>
    <xf numFmtId="43" fontId="38" fillId="0" borderId="39" xfId="1" applyFont="1" applyFill="1" applyBorder="1"/>
    <xf numFmtId="43" fontId="38" fillId="0" borderId="9" xfId="1" applyFont="1" applyFill="1" applyBorder="1"/>
    <xf numFmtId="165" fontId="95" fillId="0" borderId="9" xfId="1" applyNumberFormat="1" applyFont="1" applyFill="1" applyBorder="1"/>
    <xf numFmtId="43" fontId="7" fillId="0" borderId="0" xfId="1" applyFont="1" applyFill="1" applyAlignment="1">
      <alignment horizontal="left"/>
    </xf>
    <xf numFmtId="0" fontId="52" fillId="11" borderId="0" xfId="0" applyFont="1" applyFill="1"/>
    <xf numFmtId="165" fontId="0" fillId="0" borderId="9" xfId="1" applyNumberFormat="1" applyFont="1" applyFill="1" applyBorder="1"/>
    <xf numFmtId="17" fontId="44" fillId="5" borderId="0" xfId="0" applyNumberFormat="1" applyFont="1" applyFill="1"/>
    <xf numFmtId="0" fontId="44" fillId="5" borderId="11" xfId="0" applyFont="1" applyFill="1" applyBorder="1"/>
    <xf numFmtId="0" fontId="44" fillId="5" borderId="0" xfId="0" applyFont="1" applyFill="1"/>
    <xf numFmtId="17" fontId="36" fillId="5" borderId="9" xfId="0" applyNumberFormat="1" applyFont="1" applyFill="1" applyBorder="1"/>
    <xf numFmtId="43" fontId="36" fillId="5" borderId="9" xfId="0" applyNumberFormat="1" applyFont="1" applyFill="1" applyBorder="1"/>
    <xf numFmtId="0" fontId="36" fillId="5" borderId="9" xfId="0" applyFont="1" applyFill="1" applyBorder="1"/>
    <xf numFmtId="165" fontId="66" fillId="0" borderId="23" xfId="1" applyNumberFormat="1" applyFont="1" applyBorder="1"/>
    <xf numFmtId="43" fontId="95" fillId="11" borderId="9" xfId="1" applyFont="1" applyFill="1" applyBorder="1"/>
    <xf numFmtId="165" fontId="46" fillId="11" borderId="0" xfId="1" applyNumberFormat="1" applyFont="1" applyFill="1"/>
    <xf numFmtId="43" fontId="95" fillId="42" borderId="9" xfId="1" applyFont="1" applyFill="1" applyBorder="1"/>
    <xf numFmtId="43" fontId="95" fillId="42" borderId="61" xfId="1" applyFont="1" applyFill="1" applyBorder="1"/>
    <xf numFmtId="43" fontId="95" fillId="43" borderId="9" xfId="1" applyFont="1" applyFill="1" applyBorder="1"/>
    <xf numFmtId="43" fontId="95" fillId="43" borderId="61" xfId="1" applyFont="1" applyFill="1" applyBorder="1"/>
    <xf numFmtId="43" fontId="96" fillId="43" borderId="61" xfId="1" applyFont="1" applyFill="1" applyBorder="1"/>
    <xf numFmtId="38" fontId="24" fillId="0" borderId="0" xfId="0" applyNumberFormat="1" applyFont="1"/>
    <xf numFmtId="38" fontId="24" fillId="44" borderId="25" xfId="0" applyNumberFormat="1" applyFont="1" applyFill="1" applyBorder="1" applyAlignment="1">
      <alignment horizontal="center"/>
    </xf>
    <xf numFmtId="38" fontId="56" fillId="44" borderId="25" xfId="0" applyNumberFormat="1" applyFont="1" applyFill="1" applyBorder="1" applyAlignment="1">
      <alignment horizontal="center"/>
    </xf>
    <xf numFmtId="38" fontId="41" fillId="44" borderId="25" xfId="0" applyNumberFormat="1" applyFont="1" applyFill="1" applyBorder="1" applyAlignment="1">
      <alignment horizontal="center"/>
    </xf>
    <xf numFmtId="38" fontId="36" fillId="44" borderId="25" xfId="0" applyNumberFormat="1" applyFont="1" applyFill="1" applyBorder="1" applyAlignment="1">
      <alignment horizontal="center"/>
    </xf>
    <xf numFmtId="175" fontId="0" fillId="0" borderId="0" xfId="0" applyNumberFormat="1"/>
    <xf numFmtId="43" fontId="3" fillId="0" borderId="0" xfId="1" applyFont="1" applyFill="1" applyAlignment="1">
      <alignment horizontal="center"/>
    </xf>
    <xf numFmtId="43" fontId="3" fillId="0" borderId="25" xfId="1" applyFont="1" applyFill="1" applyBorder="1" applyAlignment="1">
      <alignment horizontal="center"/>
    </xf>
    <xf numFmtId="0" fontId="47" fillId="0" borderId="31" xfId="0" applyFont="1" applyBorder="1" applyAlignment="1">
      <alignment horizontal="center"/>
    </xf>
    <xf numFmtId="0" fontId="47" fillId="0" borderId="63" xfId="0" applyFont="1" applyBorder="1" applyAlignment="1">
      <alignment horizontal="center"/>
    </xf>
    <xf numFmtId="165" fontId="47" fillId="0" borderId="31" xfId="0" applyNumberFormat="1" applyFont="1" applyBorder="1" applyAlignment="1">
      <alignment horizontal="center" wrapText="1"/>
    </xf>
    <xf numFmtId="165" fontId="47" fillId="0" borderId="63" xfId="0" applyNumberFormat="1" applyFont="1" applyBorder="1" applyAlignment="1">
      <alignment horizontal="center" wrapText="1"/>
    </xf>
    <xf numFmtId="165" fontId="47" fillId="0" borderId="64" xfId="0" applyNumberFormat="1" applyFont="1" applyBorder="1" applyAlignment="1">
      <alignment horizontal="center" wrapText="1"/>
    </xf>
    <xf numFmtId="0" fontId="47" fillId="0" borderId="13" xfId="0" applyFont="1" applyBorder="1" applyAlignment="1">
      <alignment horizontal="center"/>
    </xf>
    <xf numFmtId="0" fontId="47" fillId="0" borderId="23" xfId="0" applyFont="1" applyBorder="1" applyAlignment="1">
      <alignment horizontal="center"/>
    </xf>
    <xf numFmtId="165" fontId="47" fillId="0" borderId="13" xfId="0" applyNumberFormat="1" applyFont="1" applyBorder="1" applyAlignment="1">
      <alignment horizontal="center" wrapText="1"/>
    </xf>
    <xf numFmtId="165" fontId="47" fillId="0" borderId="23" xfId="0" applyNumberFormat="1" applyFont="1" applyBorder="1" applyAlignment="1">
      <alignment horizontal="center" wrapText="1"/>
    </xf>
    <xf numFmtId="165" fontId="47" fillId="0" borderId="14" xfId="0" applyNumberFormat="1" applyFont="1" applyBorder="1" applyAlignment="1">
      <alignment horizontal="center" wrapText="1"/>
    </xf>
    <xf numFmtId="0" fontId="47" fillId="0" borderId="64" xfId="0" applyFont="1" applyBorder="1" applyAlignment="1">
      <alignment horizontal="center"/>
    </xf>
    <xf numFmtId="0" fontId="47" fillId="0" borderId="14" xfId="0" applyFont="1" applyBorder="1" applyAlignment="1">
      <alignment horizontal="center"/>
    </xf>
    <xf numFmtId="165" fontId="47" fillId="0" borderId="9" xfId="0" applyNumberFormat="1" applyFont="1" applyBorder="1" applyAlignment="1">
      <alignment horizontal="center"/>
    </xf>
    <xf numFmtId="38" fontId="36" fillId="11" borderId="11" xfId="0" applyNumberFormat="1" applyFont="1" applyFill="1" applyBorder="1" applyAlignment="1">
      <alignment horizontal="center" vertical="center"/>
    </xf>
    <xf numFmtId="38" fontId="36" fillId="11" borderId="30" xfId="0" applyNumberFormat="1" applyFont="1" applyFill="1" applyBorder="1" applyAlignment="1">
      <alignment horizontal="center" vertical="center"/>
    </xf>
    <xf numFmtId="38" fontId="36" fillId="11" borderId="6" xfId="0" applyNumberFormat="1" applyFont="1" applyFill="1" applyBorder="1" applyAlignment="1">
      <alignment horizontal="center" vertical="center"/>
    </xf>
    <xf numFmtId="38" fontId="36" fillId="29" borderId="11" xfId="0" applyNumberFormat="1" applyFont="1" applyFill="1" applyBorder="1" applyAlignment="1">
      <alignment horizontal="center" vertical="center" wrapText="1"/>
    </xf>
    <xf numFmtId="38" fontId="36" fillId="29" borderId="30" xfId="0" applyNumberFormat="1" applyFont="1" applyFill="1" applyBorder="1" applyAlignment="1">
      <alignment horizontal="center" vertical="center" wrapText="1"/>
    </xf>
    <xf numFmtId="38" fontId="36" fillId="29" borderId="6" xfId="0" applyNumberFormat="1" applyFont="1" applyFill="1" applyBorder="1" applyAlignment="1">
      <alignment horizontal="center" vertical="center" wrapText="1"/>
    </xf>
    <xf numFmtId="38" fontId="36" fillId="5" borderId="11" xfId="0" applyNumberFormat="1" applyFont="1" applyFill="1" applyBorder="1" applyAlignment="1">
      <alignment horizontal="center" vertical="center" wrapText="1"/>
    </xf>
    <xf numFmtId="38" fontId="36" fillId="5" borderId="30" xfId="0" applyNumberFormat="1" applyFont="1" applyFill="1" applyBorder="1" applyAlignment="1">
      <alignment horizontal="center" vertical="center" wrapText="1"/>
    </xf>
    <xf numFmtId="38" fontId="36" fillId="5" borderId="6" xfId="0" applyNumberFormat="1" applyFont="1" applyFill="1" applyBorder="1" applyAlignment="1">
      <alignment horizontal="center" vertical="center" wrapText="1"/>
    </xf>
    <xf numFmtId="38" fontId="24" fillId="11" borderId="11" xfId="0" applyNumberFormat="1" applyFont="1" applyFill="1" applyBorder="1" applyAlignment="1">
      <alignment horizontal="center" vertical="center" wrapText="1"/>
    </xf>
    <xf numFmtId="38" fontId="24" fillId="11" borderId="30" xfId="0" applyNumberFormat="1" applyFont="1" applyFill="1" applyBorder="1" applyAlignment="1">
      <alignment horizontal="center" vertical="center" wrapText="1"/>
    </xf>
    <xf numFmtId="38" fontId="24" fillId="11" borderId="6" xfId="0" applyNumberFormat="1" applyFont="1" applyFill="1" applyBorder="1" applyAlignment="1">
      <alignment horizontal="center" vertical="center" wrapText="1"/>
    </xf>
    <xf numFmtId="38" fontId="24" fillId="29" borderId="11" xfId="0" applyNumberFormat="1" applyFont="1" applyFill="1" applyBorder="1" applyAlignment="1">
      <alignment horizontal="center" vertical="center" wrapText="1"/>
    </xf>
    <xf numFmtId="38" fontId="24" fillId="29" borderId="30" xfId="0" applyNumberFormat="1" applyFont="1" applyFill="1" applyBorder="1" applyAlignment="1">
      <alignment horizontal="center" vertical="center" wrapText="1"/>
    </xf>
    <xf numFmtId="38" fontId="24" fillId="29" borderId="6" xfId="0" applyNumberFormat="1" applyFont="1" applyFill="1" applyBorder="1" applyAlignment="1">
      <alignment horizontal="center" vertical="center" wrapText="1"/>
    </xf>
    <xf numFmtId="38" fontId="24" fillId="5" borderId="11" xfId="0" applyNumberFormat="1" applyFont="1" applyFill="1" applyBorder="1" applyAlignment="1">
      <alignment horizontal="center" vertical="center"/>
    </xf>
    <xf numFmtId="38" fontId="24" fillId="5" borderId="30" xfId="0" applyNumberFormat="1" applyFont="1" applyFill="1" applyBorder="1" applyAlignment="1">
      <alignment horizontal="center" vertical="center"/>
    </xf>
    <xf numFmtId="38" fontId="24" fillId="5" borderId="6" xfId="0" applyNumberFormat="1" applyFont="1" applyFill="1" applyBorder="1" applyAlignment="1">
      <alignment horizontal="center" vertical="center"/>
    </xf>
    <xf numFmtId="38" fontId="24" fillId="29" borderId="11" xfId="0" applyNumberFormat="1" applyFont="1" applyFill="1" applyBorder="1" applyAlignment="1">
      <alignment horizontal="center" vertical="center"/>
    </xf>
    <xf numFmtId="38" fontId="24" fillId="29" borderId="30" xfId="0" applyNumberFormat="1" applyFont="1" applyFill="1" applyBorder="1" applyAlignment="1">
      <alignment horizontal="center" vertical="center"/>
    </xf>
    <xf numFmtId="38" fontId="24" fillId="29" borderId="6" xfId="0" applyNumberFormat="1" applyFont="1" applyFill="1" applyBorder="1" applyAlignment="1">
      <alignment horizontal="center" vertical="center"/>
    </xf>
    <xf numFmtId="0" fontId="56" fillId="0" borderId="9" xfId="0" applyFont="1" applyBorder="1" applyAlignment="1">
      <alignment horizontal="center"/>
    </xf>
    <xf numFmtId="43" fontId="56" fillId="0" borderId="9" xfId="0" applyNumberFormat="1" applyFont="1" applyBorder="1" applyAlignment="1">
      <alignment horizontal="center"/>
    </xf>
    <xf numFmtId="17" fontId="56" fillId="23" borderId="29" xfId="0" applyNumberFormat="1" applyFont="1" applyFill="1" applyBorder="1" applyAlignment="1">
      <alignment horizontal="center" wrapText="1"/>
    </xf>
    <xf numFmtId="0" fontId="56" fillId="23" borderId="0" xfId="0" applyFont="1" applyFill="1" applyAlignment="1">
      <alignment horizontal="center" wrapText="1"/>
    </xf>
    <xf numFmtId="0" fontId="56" fillId="23" borderId="81" xfId="0" applyFont="1" applyFill="1" applyBorder="1" applyAlignment="1">
      <alignment horizontal="center" wrapText="1"/>
    </xf>
    <xf numFmtId="17" fontId="56" fillId="23" borderId="0" xfId="0" applyNumberFormat="1" applyFont="1" applyFill="1" applyAlignment="1">
      <alignment horizontal="center" wrapText="1"/>
    </xf>
    <xf numFmtId="17" fontId="56" fillId="23" borderId="81" xfId="0" applyNumberFormat="1" applyFont="1" applyFill="1" applyBorder="1" applyAlignment="1">
      <alignment horizontal="center" wrapText="1"/>
    </xf>
    <xf numFmtId="17" fontId="59" fillId="23" borderId="18" xfId="0" applyNumberFormat="1" applyFont="1" applyFill="1" applyBorder="1" applyAlignment="1">
      <alignment horizontal="center" wrapText="1"/>
    </xf>
    <xf numFmtId="17" fontId="59" fillId="23" borderId="28" xfId="0" applyNumberFormat="1" applyFont="1" applyFill="1" applyBorder="1" applyAlignment="1">
      <alignment horizontal="center" wrapText="1"/>
    </xf>
    <xf numFmtId="17" fontId="59" fillId="23" borderId="10" xfId="0" applyNumberFormat="1" applyFont="1" applyFill="1" applyBorder="1" applyAlignment="1">
      <alignment horizontal="center" wrapText="1"/>
    </xf>
    <xf numFmtId="0" fontId="23" fillId="0" borderId="0" xfId="0" applyFont="1" applyAlignment="1">
      <alignment horizontal="left"/>
    </xf>
    <xf numFmtId="0" fontId="2" fillId="0" borderId="24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" xfId="0" applyFont="1" applyBorder="1"/>
    <xf numFmtId="165" fontId="2" fillId="0" borderId="12" xfId="1" applyNumberFormat="1" applyFont="1" applyFill="1" applyBorder="1"/>
    <xf numFmtId="39" fontId="2" fillId="0" borderId="0" xfId="1" applyNumberFormat="1" applyFont="1" applyFill="1"/>
    <xf numFmtId="39" fontId="2" fillId="0" borderId="6" xfId="1" applyNumberFormat="1" applyFont="1" applyFill="1" applyBorder="1"/>
    <xf numFmtId="39" fontId="2" fillId="0" borderId="5" xfId="1" applyNumberFormat="1" applyFont="1" applyFill="1" applyBorder="1"/>
    <xf numFmtId="39" fontId="2" fillId="0" borderId="17" xfId="1" applyNumberFormat="1" applyFont="1" applyFill="1" applyBorder="1"/>
    <xf numFmtId="39" fontId="2" fillId="0" borderId="7" xfId="1" applyNumberFormat="1" applyFont="1" applyFill="1" applyBorder="1"/>
    <xf numFmtId="39" fontId="2" fillId="0" borderId="27" xfId="0" applyNumberFormat="1" applyFont="1" applyBorder="1"/>
    <xf numFmtId="39" fontId="2" fillId="0" borderId="8" xfId="1" applyNumberFormat="1" applyFont="1" applyFill="1" applyBorder="1"/>
    <xf numFmtId="39" fontId="2" fillId="0" borderId="9" xfId="1" applyNumberFormat="1" applyFont="1" applyFill="1" applyBorder="1"/>
    <xf numFmtId="39" fontId="2" fillId="0" borderId="25" xfId="0" applyNumberFormat="1" applyFont="1" applyBorder="1"/>
    <xf numFmtId="39" fontId="2" fillId="0" borderId="28" xfId="0" applyNumberFormat="1" applyFont="1" applyBorder="1"/>
    <xf numFmtId="39" fontId="2" fillId="0" borderId="10" xfId="1" applyNumberFormat="1" applyFont="1" applyFill="1" applyBorder="1"/>
    <xf numFmtId="39" fontId="2" fillId="0" borderId="11" xfId="1" applyNumberFormat="1" applyFont="1" applyFill="1" applyBorder="1"/>
    <xf numFmtId="39" fontId="2" fillId="3" borderId="5" xfId="1" applyNumberFormat="1" applyFont="1" applyFill="1" applyBorder="1"/>
    <xf numFmtId="39" fontId="2" fillId="0" borderId="18" xfId="1" applyNumberFormat="1" applyFont="1" applyFill="1" applyBorder="1"/>
    <xf numFmtId="39" fontId="2" fillId="0" borderId="0" xfId="1" applyNumberFormat="1" applyFont="1" applyFill="1" applyBorder="1"/>
    <xf numFmtId="41" fontId="2" fillId="0" borderId="0" xfId="0" applyNumberFormat="1" applyFont="1"/>
    <xf numFmtId="39" fontId="2" fillId="3" borderId="17" xfId="1" applyNumberFormat="1" applyFont="1" applyFill="1" applyBorder="1"/>
    <xf numFmtId="39" fontId="2" fillId="3" borderId="8" xfId="1" applyNumberFormat="1" applyFont="1" applyFill="1" applyBorder="1"/>
    <xf numFmtId="39" fontId="2" fillId="3" borderId="0" xfId="1" applyNumberFormat="1" applyFont="1" applyFill="1"/>
    <xf numFmtId="39" fontId="2" fillId="2" borderId="17" xfId="1" applyNumberFormat="1" applyFont="1" applyFill="1" applyBorder="1"/>
    <xf numFmtId="39" fontId="2" fillId="2" borderId="8" xfId="1" applyNumberFormat="1" applyFont="1" applyFill="1" applyBorder="1"/>
    <xf numFmtId="39" fontId="2" fillId="0" borderId="29" xfId="0" applyNumberFormat="1" applyFont="1" applyBorder="1"/>
    <xf numFmtId="0" fontId="2" fillId="0" borderId="1" xfId="0" applyFont="1" applyBorder="1"/>
    <xf numFmtId="39" fontId="2" fillId="0" borderId="1" xfId="0" applyNumberFormat="1" applyFont="1" applyBorder="1"/>
    <xf numFmtId="39" fontId="2" fillId="0" borderId="50" xfId="0" applyNumberFormat="1" applyFont="1" applyBorder="1"/>
    <xf numFmtId="37" fontId="2" fillId="0" borderId="0" xfId="0" applyNumberFormat="1" applyFont="1"/>
    <xf numFmtId="39" fontId="2" fillId="0" borderId="22" xfId="0" applyNumberFormat="1" applyFont="1" applyBorder="1"/>
    <xf numFmtId="39" fontId="2" fillId="4" borderId="17" xfId="1" applyNumberFormat="1" applyFont="1" applyFill="1" applyBorder="1"/>
    <xf numFmtId="39" fontId="2" fillId="0" borderId="50" xfId="1" quotePrefix="1" applyNumberFormat="1" applyFont="1" applyFill="1" applyBorder="1"/>
    <xf numFmtId="39" fontId="2" fillId="4" borderId="8" xfId="1" applyNumberFormat="1" applyFont="1" applyFill="1" applyBorder="1"/>
    <xf numFmtId="39" fontId="2" fillId="0" borderId="39" xfId="0" applyNumberFormat="1" applyFont="1" applyBorder="1"/>
    <xf numFmtId="37" fontId="2" fillId="0" borderId="39" xfId="0" applyNumberFormat="1" applyFont="1" applyBorder="1"/>
    <xf numFmtId="39" fontId="2" fillId="0" borderId="12" xfId="0" applyNumberFormat="1" applyFont="1" applyBorder="1"/>
    <xf numFmtId="37" fontId="2" fillId="0" borderId="1" xfId="0" applyNumberFormat="1" applyFont="1" applyBorder="1"/>
    <xf numFmtId="165" fontId="1" fillId="11" borderId="9" xfId="1" applyNumberFormat="1" applyFont="1" applyFill="1" applyBorder="1"/>
    <xf numFmtId="165" fontId="1" fillId="11" borderId="8" xfId="1" applyNumberFormat="1" applyFont="1" applyFill="1" applyBorder="1"/>
    <xf numFmtId="37" fontId="1" fillId="13" borderId="17" xfId="1" applyNumberFormat="1" applyFont="1" applyFill="1" applyBorder="1"/>
    <xf numFmtId="164" fontId="1" fillId="11" borderId="0" xfId="1" applyNumberFormat="1" applyFont="1" applyFill="1" applyAlignment="1">
      <alignment vertical="top"/>
    </xf>
    <xf numFmtId="164" fontId="1" fillId="27" borderId="0" xfId="1" applyNumberFormat="1" applyFont="1" applyFill="1" applyAlignment="1">
      <alignment vertical="top"/>
    </xf>
    <xf numFmtId="38" fontId="2" fillId="0" borderId="32" xfId="0" applyNumberFormat="1" applyFont="1" applyBorder="1" applyAlignment="1">
      <alignment horizontal="right"/>
    </xf>
    <xf numFmtId="38" fontId="2" fillId="0" borderId="57" xfId="0" applyNumberFormat="1" applyFont="1" applyBorder="1" applyAlignment="1">
      <alignment horizontal="right"/>
    </xf>
    <xf numFmtId="38" fontId="3" fillId="0" borderId="32" xfId="1" applyNumberFormat="1" applyFont="1" applyFill="1" applyBorder="1" applyAlignment="1">
      <alignment horizontal="right"/>
    </xf>
    <xf numFmtId="38" fontId="2" fillId="0" borderId="33" xfId="0" applyNumberFormat="1" applyFont="1" applyBorder="1" applyAlignment="1">
      <alignment horizontal="right"/>
    </xf>
    <xf numFmtId="38" fontId="2" fillId="0" borderId="71" xfId="1" applyNumberFormat="1" applyFont="1" applyFill="1" applyBorder="1" applyAlignment="1">
      <alignment horizontal="right"/>
    </xf>
    <xf numFmtId="38" fontId="2" fillId="0" borderId="69" xfId="0" applyNumberFormat="1" applyFont="1" applyBorder="1" applyAlignment="1">
      <alignment horizontal="right"/>
    </xf>
    <xf numFmtId="38" fontId="2" fillId="0" borderId="36" xfId="0" applyNumberFormat="1" applyFont="1" applyBorder="1" applyAlignment="1">
      <alignment horizontal="right"/>
    </xf>
    <xf numFmtId="38" fontId="2" fillId="0" borderId="24" xfId="1" applyNumberFormat="1" applyFont="1" applyFill="1" applyBorder="1" applyAlignment="1">
      <alignment horizontal="right"/>
    </xf>
    <xf numFmtId="38" fontId="2" fillId="0" borderId="8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38" fontId="2" fillId="0" borderId="57" xfId="1" applyNumberFormat="1" applyFont="1" applyFill="1" applyBorder="1" applyAlignment="1">
      <alignment horizontal="right"/>
    </xf>
    <xf numFmtId="38" fontId="2" fillId="0" borderId="46" xfId="1" applyNumberFormat="1" applyFont="1" applyFill="1" applyBorder="1" applyAlignment="1">
      <alignment horizontal="right"/>
    </xf>
    <xf numFmtId="38" fontId="2" fillId="0" borderId="59" xfId="0" applyNumberFormat="1" applyFont="1" applyBorder="1" applyAlignment="1">
      <alignment horizontal="right"/>
    </xf>
    <xf numFmtId="38" fontId="2" fillId="0" borderId="38" xfId="0" applyNumberFormat="1" applyFont="1" applyBorder="1" applyAlignment="1">
      <alignment horizontal="right"/>
    </xf>
    <xf numFmtId="38" fontId="3" fillId="0" borderId="1" xfId="1" applyNumberFormat="1" applyFont="1" applyFill="1" applyBorder="1" applyAlignment="1">
      <alignment horizontal="right"/>
    </xf>
    <xf numFmtId="38" fontId="3" fillId="0" borderId="70" xfId="1" applyNumberFormat="1" applyFont="1" applyFill="1" applyBorder="1" applyAlignment="1">
      <alignment horizontal="right"/>
    </xf>
    <xf numFmtId="37" fontId="2" fillId="0" borderId="0" xfId="0" applyNumberFormat="1" applyFont="1" applyAlignment="1">
      <alignment horizontal="right"/>
    </xf>
    <xf numFmtId="39" fontId="2" fillId="0" borderId="9" xfId="1" applyNumberFormat="1" applyFont="1" applyFill="1" applyBorder="1" applyAlignment="1">
      <alignment horizontal="right"/>
    </xf>
    <xf numFmtId="39" fontId="2" fillId="0" borderId="8" xfId="1" applyNumberFormat="1" applyFont="1" applyFill="1" applyBorder="1" applyAlignment="1">
      <alignment horizontal="right"/>
    </xf>
    <xf numFmtId="39" fontId="2" fillId="0" borderId="9" xfId="0" applyNumberFormat="1" applyFont="1" applyBorder="1"/>
    <xf numFmtId="39" fontId="2" fillId="0" borderId="11" xfId="1" applyNumberFormat="1" applyFont="1" applyFill="1" applyBorder="1" applyAlignment="1">
      <alignment horizontal="right"/>
    </xf>
    <xf numFmtId="39" fontId="2" fillId="0" borderId="51" xfId="1" applyNumberFormat="1" applyFont="1" applyFill="1" applyBorder="1" applyAlignment="1">
      <alignment horizontal="right"/>
    </xf>
    <xf numFmtId="39" fontId="2" fillId="0" borderId="57" xfId="1" applyNumberFormat="1" applyFont="1" applyFill="1" applyBorder="1" applyAlignment="1">
      <alignment horizontal="right"/>
    </xf>
    <xf numFmtId="39" fontId="2" fillId="0" borderId="59" xfId="1" applyNumberFormat="1" applyFont="1" applyFill="1" applyBorder="1" applyAlignment="1">
      <alignment horizontal="right"/>
    </xf>
    <xf numFmtId="39" fontId="2" fillId="0" borderId="0" xfId="1" applyNumberFormat="1" applyFont="1" applyFill="1" applyBorder="1" applyAlignment="1">
      <alignment horizontal="right"/>
    </xf>
    <xf numFmtId="165" fontId="2" fillId="0" borderId="9" xfId="1" applyNumberFormat="1" applyFont="1" applyFill="1" applyBorder="1"/>
    <xf numFmtId="165" fontId="2" fillId="0" borderId="11" xfId="1" applyNumberFormat="1" applyFont="1" applyBorder="1"/>
    <xf numFmtId="165" fontId="2" fillId="0" borderId="12" xfId="1" applyNumberFormat="1" applyFont="1" applyBorder="1"/>
    <xf numFmtId="165" fontId="2" fillId="0" borderId="8" xfId="1" applyNumberFormat="1" applyFont="1" applyBorder="1"/>
    <xf numFmtId="165" fontId="2" fillId="0" borderId="18" xfId="1" applyNumberFormat="1" applyFont="1" applyBorder="1"/>
    <xf numFmtId="44" fontId="2" fillId="0" borderId="0" xfId="2" applyFont="1" applyFill="1"/>
    <xf numFmtId="0" fontId="2" fillId="0" borderId="41" xfId="0" applyFont="1" applyBorder="1"/>
    <xf numFmtId="44" fontId="2" fillId="0" borderId="41" xfId="2" applyFont="1" applyFill="1" applyBorder="1"/>
    <xf numFmtId="44" fontId="2" fillId="0" borderId="42" xfId="2" applyFont="1" applyFill="1" applyBorder="1"/>
    <xf numFmtId="44" fontId="7" fillId="0" borderId="39" xfId="2" applyFont="1" applyFill="1" applyBorder="1"/>
    <xf numFmtId="44" fontId="2" fillId="0" borderId="0" xfId="0" applyNumberFormat="1" applyFont="1"/>
    <xf numFmtId="167" fontId="2" fillId="0" borderId="0" xfId="0" applyNumberFormat="1" applyFont="1"/>
    <xf numFmtId="44" fontId="7" fillId="0" borderId="53" xfId="2" applyFont="1" applyFill="1" applyBorder="1"/>
    <xf numFmtId="44" fontId="7" fillId="0" borderId="12" xfId="2" applyFont="1" applyFill="1" applyBorder="1"/>
    <xf numFmtId="44" fontId="7" fillId="0" borderId="18" xfId="2" applyFont="1" applyFill="1" applyBorder="1"/>
    <xf numFmtId="44" fontId="7" fillId="0" borderId="60" xfId="2" applyFont="1" applyFill="1" applyBorder="1"/>
    <xf numFmtId="44" fontId="7" fillId="0" borderId="0" xfId="2" applyFont="1" applyFill="1" applyBorder="1"/>
    <xf numFmtId="0" fontId="7" fillId="0" borderId="43" xfId="0" applyFont="1" applyBorder="1"/>
    <xf numFmtId="44" fontId="7" fillId="0" borderId="44" xfId="2" applyFont="1" applyFill="1" applyBorder="1"/>
    <xf numFmtId="44" fontId="2" fillId="0" borderId="0" xfId="2" applyFont="1" applyFill="1" applyBorder="1"/>
    <xf numFmtId="38" fontId="7" fillId="0" borderId="27" xfId="0" applyNumberFormat="1" applyFont="1" applyBorder="1"/>
    <xf numFmtId="44" fontId="7" fillId="0" borderId="8" xfId="2" applyFont="1" applyFill="1" applyBorder="1"/>
    <xf numFmtId="44" fontId="2" fillId="0" borderId="37" xfId="2" applyFont="1" applyFill="1" applyBorder="1"/>
    <xf numFmtId="44" fontId="7" fillId="0" borderId="61" xfId="2" applyFont="1" applyFill="1" applyBorder="1"/>
    <xf numFmtId="38" fontId="2" fillId="0" borderId="55" xfId="0" applyNumberFormat="1" applyFont="1" applyBorder="1" applyAlignment="1">
      <alignment horizontal="right"/>
    </xf>
    <xf numFmtId="38" fontId="2" fillId="0" borderId="33" xfId="1" applyNumberFormat="1" applyFont="1" applyFill="1" applyBorder="1" applyAlignment="1">
      <alignment horizontal="right"/>
    </xf>
    <xf numFmtId="38" fontId="2" fillId="0" borderId="52" xfId="0" applyNumberFormat="1" applyFont="1" applyBorder="1" applyAlignment="1">
      <alignment horizontal="right"/>
    </xf>
    <xf numFmtId="38" fontId="2" fillId="0" borderId="56" xfId="0" applyNumberFormat="1" applyFont="1" applyBorder="1" applyAlignment="1">
      <alignment horizontal="right"/>
    </xf>
    <xf numFmtId="38" fontId="3" fillId="0" borderId="51" xfId="1" applyNumberFormat="1" applyFont="1" applyFill="1" applyBorder="1" applyAlignment="1">
      <alignment horizontal="right"/>
    </xf>
    <xf numFmtId="38" fontId="2" fillId="0" borderId="58" xfId="1" applyNumberFormat="1" applyFont="1" applyFill="1" applyBorder="1" applyAlignment="1">
      <alignment horizontal="right"/>
    </xf>
    <xf numFmtId="38" fontId="2" fillId="0" borderId="54" xfId="0" applyNumberFormat="1" applyFont="1" applyBorder="1" applyAlignment="1">
      <alignment horizontal="right"/>
    </xf>
    <xf numFmtId="38" fontId="3" fillId="0" borderId="54" xfId="1" applyNumberFormat="1" applyFont="1" applyFill="1" applyBorder="1" applyAlignment="1">
      <alignment horizontal="right"/>
    </xf>
    <xf numFmtId="43" fontId="2" fillId="0" borderId="9" xfId="1" applyFont="1" applyBorder="1" applyAlignment="1">
      <alignment horizontal="right"/>
    </xf>
    <xf numFmtId="39" fontId="2" fillId="0" borderId="8" xfId="1" applyNumberFormat="1" applyFont="1" applyBorder="1" applyAlignment="1">
      <alignment horizontal="center"/>
    </xf>
    <xf numFmtId="39" fontId="2" fillId="0" borderId="9" xfId="1" applyNumberFormat="1" applyFont="1" applyBorder="1"/>
    <xf numFmtId="39" fontId="2" fillId="0" borderId="9" xfId="1" applyNumberFormat="1" applyFont="1" applyBorder="1" applyAlignment="1">
      <alignment horizontal="center"/>
    </xf>
    <xf numFmtId="39" fontId="2" fillId="0" borderId="11" xfId="1" applyNumberFormat="1" applyFont="1" applyBorder="1" applyAlignment="1">
      <alignment horizontal="center"/>
    </xf>
    <xf numFmtId="39" fontId="2" fillId="0" borderId="11" xfId="1" applyNumberFormat="1" applyFont="1" applyBorder="1"/>
  </cellXfs>
  <cellStyles count="11">
    <cellStyle name="Comma" xfId="1" builtinId="3"/>
    <cellStyle name="Comma 2" xfId="8" xr:uid="{00000000-0005-0000-0000-000001000000}"/>
    <cellStyle name="Comma 3" xfId="4" xr:uid="{00000000-0005-0000-0000-000002000000}"/>
    <cellStyle name="Comma 3 2" xfId="9" xr:uid="{00000000-0005-0000-0000-000003000000}"/>
    <cellStyle name="Currency" xfId="2" builtinId="4"/>
    <cellStyle name="Normal" xfId="0" builtinId="0"/>
    <cellStyle name="Normal 2" xfId="3" xr:uid="{00000000-0005-0000-0000-000006000000}"/>
    <cellStyle name="Normal 5" xfId="6" xr:uid="{00000000-0005-0000-0000-000007000000}"/>
    <cellStyle name="Normal 6" xfId="7" xr:uid="{00000000-0005-0000-0000-000008000000}"/>
    <cellStyle name="Percent" xfId="5" builtinId="5"/>
    <cellStyle name="Percent 2" xfId="10" xr:uid="{00000000-0005-0000-0000-00000A000000}"/>
  </cellStyles>
  <dxfs count="0"/>
  <tableStyles count="0" defaultTableStyle="TableStyleMedium9" defaultPivotStyle="PivotStyleLight16"/>
  <colors>
    <mruColors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externalLink" Target="externalLinks/externalLink22.xml"/><Relationship Id="rId159" Type="http://schemas.openxmlformats.org/officeDocument/2006/relationships/externalLink" Target="externalLinks/externalLink43.xml"/><Relationship Id="rId170" Type="http://schemas.openxmlformats.org/officeDocument/2006/relationships/externalLink" Target="externalLinks/externalLink54.xml"/><Relationship Id="rId191" Type="http://schemas.openxmlformats.org/officeDocument/2006/relationships/externalLink" Target="externalLinks/externalLink75.xml"/><Relationship Id="rId205" Type="http://schemas.openxmlformats.org/officeDocument/2006/relationships/externalLink" Target="externalLinks/externalLink89.xml"/><Relationship Id="rId226" Type="http://schemas.openxmlformats.org/officeDocument/2006/relationships/externalLink" Target="externalLinks/externalLink11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externalLink" Target="externalLinks/externalLink12.xml"/><Relationship Id="rId149" Type="http://schemas.openxmlformats.org/officeDocument/2006/relationships/externalLink" Target="externalLinks/externalLink33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externalLink" Target="externalLinks/externalLink44.xml"/><Relationship Id="rId181" Type="http://schemas.openxmlformats.org/officeDocument/2006/relationships/externalLink" Target="externalLinks/externalLink65.xml"/><Relationship Id="rId216" Type="http://schemas.openxmlformats.org/officeDocument/2006/relationships/externalLink" Target="externalLinks/externalLink100.xml"/><Relationship Id="rId237" Type="http://schemas.microsoft.com/office/2017/10/relationships/person" Target="persons/perso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externalLink" Target="externalLinks/externalLink2.xml"/><Relationship Id="rId139" Type="http://schemas.openxmlformats.org/officeDocument/2006/relationships/externalLink" Target="externalLinks/externalLink23.xml"/><Relationship Id="rId85" Type="http://schemas.openxmlformats.org/officeDocument/2006/relationships/worksheet" Target="worksheets/sheet85.xml"/><Relationship Id="rId150" Type="http://schemas.openxmlformats.org/officeDocument/2006/relationships/externalLink" Target="externalLinks/externalLink34.xml"/><Relationship Id="rId171" Type="http://schemas.openxmlformats.org/officeDocument/2006/relationships/externalLink" Target="externalLinks/externalLink55.xml"/><Relationship Id="rId192" Type="http://schemas.openxmlformats.org/officeDocument/2006/relationships/externalLink" Target="externalLinks/externalLink76.xml"/><Relationship Id="rId206" Type="http://schemas.openxmlformats.org/officeDocument/2006/relationships/externalLink" Target="externalLinks/externalLink90.xml"/><Relationship Id="rId227" Type="http://schemas.openxmlformats.org/officeDocument/2006/relationships/externalLink" Target="externalLinks/externalLink11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externalLink" Target="externalLinks/externalLink13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externalLink" Target="externalLinks/externalLink24.xml"/><Relationship Id="rId161" Type="http://schemas.openxmlformats.org/officeDocument/2006/relationships/externalLink" Target="externalLinks/externalLink45.xml"/><Relationship Id="rId182" Type="http://schemas.openxmlformats.org/officeDocument/2006/relationships/externalLink" Target="externalLinks/externalLink66.xml"/><Relationship Id="rId217" Type="http://schemas.openxmlformats.org/officeDocument/2006/relationships/externalLink" Target="externalLinks/externalLink101.xml"/><Relationship Id="rId6" Type="http://schemas.openxmlformats.org/officeDocument/2006/relationships/worksheet" Target="worksheets/sheet6.xml"/><Relationship Id="rId238" Type="http://schemas.openxmlformats.org/officeDocument/2006/relationships/calcChain" Target="calcChain.xml"/><Relationship Id="rId23" Type="http://schemas.openxmlformats.org/officeDocument/2006/relationships/worksheet" Target="worksheets/sheet23.xml"/><Relationship Id="rId119" Type="http://schemas.openxmlformats.org/officeDocument/2006/relationships/externalLink" Target="externalLinks/externalLink3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externalLink" Target="externalLinks/externalLink14.xml"/><Relationship Id="rId151" Type="http://schemas.openxmlformats.org/officeDocument/2006/relationships/externalLink" Target="externalLinks/externalLink35.xml"/><Relationship Id="rId172" Type="http://schemas.openxmlformats.org/officeDocument/2006/relationships/externalLink" Target="externalLinks/externalLink56.xml"/><Relationship Id="rId193" Type="http://schemas.openxmlformats.org/officeDocument/2006/relationships/externalLink" Target="externalLinks/externalLink77.xml"/><Relationship Id="rId207" Type="http://schemas.openxmlformats.org/officeDocument/2006/relationships/externalLink" Target="externalLinks/externalLink91.xml"/><Relationship Id="rId228" Type="http://schemas.openxmlformats.org/officeDocument/2006/relationships/externalLink" Target="externalLinks/externalLink112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externalLink" Target="externalLinks/externalLink4.xml"/><Relationship Id="rId141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46.xml"/><Relationship Id="rId183" Type="http://schemas.openxmlformats.org/officeDocument/2006/relationships/externalLink" Target="externalLinks/externalLink67.xml"/><Relationship Id="rId218" Type="http://schemas.openxmlformats.org/officeDocument/2006/relationships/externalLink" Target="externalLinks/externalLink102.xml"/><Relationship Id="rId239" Type="http://schemas.openxmlformats.org/officeDocument/2006/relationships/customXml" Target="../customXml/item1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externalLink" Target="externalLinks/externalLink15.xml"/><Relationship Id="rId152" Type="http://schemas.openxmlformats.org/officeDocument/2006/relationships/externalLink" Target="externalLinks/externalLink36.xml"/><Relationship Id="rId173" Type="http://schemas.openxmlformats.org/officeDocument/2006/relationships/externalLink" Target="externalLinks/externalLink57.xml"/><Relationship Id="rId194" Type="http://schemas.openxmlformats.org/officeDocument/2006/relationships/externalLink" Target="externalLinks/externalLink78.xml"/><Relationship Id="rId208" Type="http://schemas.openxmlformats.org/officeDocument/2006/relationships/externalLink" Target="externalLinks/externalLink92.xml"/><Relationship Id="rId229" Type="http://schemas.openxmlformats.org/officeDocument/2006/relationships/externalLink" Target="externalLinks/externalLink113.xml"/><Relationship Id="rId240" Type="http://schemas.openxmlformats.org/officeDocument/2006/relationships/customXml" Target="../customXml/item2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externalLink" Target="externalLinks/externalLink5.xml"/><Relationship Id="rId142" Type="http://schemas.openxmlformats.org/officeDocument/2006/relationships/externalLink" Target="externalLinks/externalLink26.xml"/><Relationship Id="rId163" Type="http://schemas.openxmlformats.org/officeDocument/2006/relationships/externalLink" Target="externalLinks/externalLink47.xml"/><Relationship Id="rId184" Type="http://schemas.openxmlformats.org/officeDocument/2006/relationships/externalLink" Target="externalLinks/externalLink68.xml"/><Relationship Id="rId219" Type="http://schemas.openxmlformats.org/officeDocument/2006/relationships/externalLink" Target="externalLinks/externalLink103.xml"/><Relationship Id="rId230" Type="http://schemas.openxmlformats.org/officeDocument/2006/relationships/externalLink" Target="externalLinks/externalLink114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externalLink" Target="externalLinks/externalLink16.xml"/><Relationship Id="rId153" Type="http://schemas.openxmlformats.org/officeDocument/2006/relationships/externalLink" Target="externalLinks/externalLink37.xml"/><Relationship Id="rId174" Type="http://schemas.openxmlformats.org/officeDocument/2006/relationships/externalLink" Target="externalLinks/externalLink58.xml"/><Relationship Id="rId195" Type="http://schemas.openxmlformats.org/officeDocument/2006/relationships/externalLink" Target="externalLinks/externalLink79.xml"/><Relationship Id="rId209" Type="http://schemas.openxmlformats.org/officeDocument/2006/relationships/externalLink" Target="externalLinks/externalLink93.xml"/><Relationship Id="rId220" Type="http://schemas.openxmlformats.org/officeDocument/2006/relationships/externalLink" Target="externalLinks/externalLink104.xml"/><Relationship Id="rId241" Type="http://schemas.openxmlformats.org/officeDocument/2006/relationships/customXml" Target="../customXml/item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externalLink" Target="externalLinks/externalLink1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externalLink" Target="externalLinks/externalLink6.xml"/><Relationship Id="rId143" Type="http://schemas.openxmlformats.org/officeDocument/2006/relationships/externalLink" Target="externalLinks/externalLink27.xml"/><Relationship Id="rId148" Type="http://schemas.openxmlformats.org/officeDocument/2006/relationships/externalLink" Target="externalLinks/externalLink32.xml"/><Relationship Id="rId164" Type="http://schemas.openxmlformats.org/officeDocument/2006/relationships/externalLink" Target="externalLinks/externalLink48.xml"/><Relationship Id="rId169" Type="http://schemas.openxmlformats.org/officeDocument/2006/relationships/externalLink" Target="externalLinks/externalLink53.xml"/><Relationship Id="rId185" Type="http://schemas.openxmlformats.org/officeDocument/2006/relationships/externalLink" Target="externalLinks/externalLink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64.xml"/><Relationship Id="rId210" Type="http://schemas.openxmlformats.org/officeDocument/2006/relationships/externalLink" Target="externalLinks/externalLink94.xml"/><Relationship Id="rId215" Type="http://schemas.openxmlformats.org/officeDocument/2006/relationships/externalLink" Target="externalLinks/externalLink99.xml"/><Relationship Id="rId236" Type="http://schemas.openxmlformats.org/officeDocument/2006/relationships/sheetMetadata" Target="metadata.xml"/><Relationship Id="rId26" Type="http://schemas.openxmlformats.org/officeDocument/2006/relationships/worksheet" Target="worksheets/sheet26.xml"/><Relationship Id="rId231" Type="http://schemas.openxmlformats.org/officeDocument/2006/relationships/externalLink" Target="externalLinks/externalLink115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externalLink" Target="externalLinks/externalLink17.xml"/><Relationship Id="rId154" Type="http://schemas.openxmlformats.org/officeDocument/2006/relationships/externalLink" Target="externalLinks/externalLink38.xml"/><Relationship Id="rId175" Type="http://schemas.openxmlformats.org/officeDocument/2006/relationships/externalLink" Target="externalLinks/externalLink59.xml"/><Relationship Id="rId196" Type="http://schemas.openxmlformats.org/officeDocument/2006/relationships/externalLink" Target="externalLinks/externalLink80.xml"/><Relationship Id="rId200" Type="http://schemas.openxmlformats.org/officeDocument/2006/relationships/externalLink" Target="externalLinks/externalLink84.xml"/><Relationship Id="rId16" Type="http://schemas.openxmlformats.org/officeDocument/2006/relationships/worksheet" Target="worksheets/sheet16.xml"/><Relationship Id="rId221" Type="http://schemas.openxmlformats.org/officeDocument/2006/relationships/externalLink" Target="externalLinks/externalLink105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externalLink" Target="externalLinks/externalLink7.xml"/><Relationship Id="rId144" Type="http://schemas.openxmlformats.org/officeDocument/2006/relationships/externalLink" Target="externalLinks/externalLink28.xml"/><Relationship Id="rId90" Type="http://schemas.openxmlformats.org/officeDocument/2006/relationships/worksheet" Target="worksheets/sheet90.xml"/><Relationship Id="rId165" Type="http://schemas.openxmlformats.org/officeDocument/2006/relationships/externalLink" Target="externalLinks/externalLink49.xml"/><Relationship Id="rId186" Type="http://schemas.openxmlformats.org/officeDocument/2006/relationships/externalLink" Target="externalLinks/externalLink70.xml"/><Relationship Id="rId211" Type="http://schemas.openxmlformats.org/officeDocument/2006/relationships/externalLink" Target="externalLinks/externalLink95.xml"/><Relationship Id="rId232" Type="http://schemas.openxmlformats.org/officeDocument/2006/relationships/externalLink" Target="externalLinks/externalLink11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externalLink" Target="externalLinks/externalLink18.xml"/><Relationship Id="rId80" Type="http://schemas.openxmlformats.org/officeDocument/2006/relationships/worksheet" Target="worksheets/sheet80.xml"/><Relationship Id="rId155" Type="http://schemas.openxmlformats.org/officeDocument/2006/relationships/externalLink" Target="externalLinks/externalLink39.xml"/><Relationship Id="rId176" Type="http://schemas.openxmlformats.org/officeDocument/2006/relationships/externalLink" Target="externalLinks/externalLink60.xml"/><Relationship Id="rId197" Type="http://schemas.openxmlformats.org/officeDocument/2006/relationships/externalLink" Target="externalLinks/externalLink81.xml"/><Relationship Id="rId201" Type="http://schemas.openxmlformats.org/officeDocument/2006/relationships/externalLink" Target="externalLinks/externalLink85.xml"/><Relationship Id="rId222" Type="http://schemas.openxmlformats.org/officeDocument/2006/relationships/externalLink" Target="externalLinks/externalLink10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externalLink" Target="externalLinks/externalLink8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externalLink" Target="externalLinks/externalLink29.xml"/><Relationship Id="rId166" Type="http://schemas.openxmlformats.org/officeDocument/2006/relationships/externalLink" Target="externalLinks/externalLink50.xml"/><Relationship Id="rId187" Type="http://schemas.openxmlformats.org/officeDocument/2006/relationships/externalLink" Target="externalLinks/externalLink71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96.xml"/><Relationship Id="rId233" Type="http://schemas.openxmlformats.org/officeDocument/2006/relationships/theme" Target="theme/theme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externalLink" Target="externalLinks/externalLink19.xml"/><Relationship Id="rId156" Type="http://schemas.openxmlformats.org/officeDocument/2006/relationships/externalLink" Target="externalLinks/externalLink40.xml"/><Relationship Id="rId177" Type="http://schemas.openxmlformats.org/officeDocument/2006/relationships/externalLink" Target="externalLinks/externalLink61.xml"/><Relationship Id="rId198" Type="http://schemas.openxmlformats.org/officeDocument/2006/relationships/externalLink" Target="externalLinks/externalLink82.xml"/><Relationship Id="rId202" Type="http://schemas.openxmlformats.org/officeDocument/2006/relationships/externalLink" Target="externalLinks/externalLink86.xml"/><Relationship Id="rId223" Type="http://schemas.openxmlformats.org/officeDocument/2006/relationships/externalLink" Target="externalLinks/externalLink107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externalLink" Target="externalLinks/externalLink9.xml"/><Relationship Id="rId146" Type="http://schemas.openxmlformats.org/officeDocument/2006/relationships/externalLink" Target="externalLinks/externalLink30.xml"/><Relationship Id="rId167" Type="http://schemas.openxmlformats.org/officeDocument/2006/relationships/externalLink" Target="externalLinks/externalLink51.xml"/><Relationship Id="rId188" Type="http://schemas.openxmlformats.org/officeDocument/2006/relationships/externalLink" Target="externalLinks/externalLink72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externalLink" Target="externalLinks/externalLink97.xml"/><Relationship Id="rId234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externalLink" Target="externalLinks/externalLink20.xml"/><Relationship Id="rId157" Type="http://schemas.openxmlformats.org/officeDocument/2006/relationships/externalLink" Target="externalLinks/externalLink41.xml"/><Relationship Id="rId178" Type="http://schemas.openxmlformats.org/officeDocument/2006/relationships/externalLink" Target="externalLinks/externalLink62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externalLink" Target="externalLinks/externalLink83.xml"/><Relationship Id="rId203" Type="http://schemas.openxmlformats.org/officeDocument/2006/relationships/externalLink" Target="externalLinks/externalLink87.xml"/><Relationship Id="rId19" Type="http://schemas.openxmlformats.org/officeDocument/2006/relationships/worksheet" Target="worksheets/sheet19.xml"/><Relationship Id="rId224" Type="http://schemas.openxmlformats.org/officeDocument/2006/relationships/externalLink" Target="externalLinks/externalLink108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externalLink" Target="externalLinks/externalLink10.xml"/><Relationship Id="rId147" Type="http://schemas.openxmlformats.org/officeDocument/2006/relationships/externalLink" Target="externalLinks/externalLink31.xml"/><Relationship Id="rId168" Type="http://schemas.openxmlformats.org/officeDocument/2006/relationships/externalLink" Target="externalLinks/externalLink52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externalLink" Target="externalLinks/externalLink73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98.xml"/><Relationship Id="rId235" Type="http://schemas.openxmlformats.org/officeDocument/2006/relationships/sharedStrings" Target="sharedStrings.xml"/><Relationship Id="rId116" Type="http://schemas.openxmlformats.org/officeDocument/2006/relationships/worksheet" Target="worksheets/sheet116.xml"/><Relationship Id="rId137" Type="http://schemas.openxmlformats.org/officeDocument/2006/relationships/externalLink" Target="externalLinks/externalLink21.xml"/><Relationship Id="rId158" Type="http://schemas.openxmlformats.org/officeDocument/2006/relationships/externalLink" Target="externalLinks/externalLink4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externalLink" Target="externalLinks/externalLink63.xml"/><Relationship Id="rId190" Type="http://schemas.openxmlformats.org/officeDocument/2006/relationships/externalLink" Target="externalLinks/externalLink74.xml"/><Relationship Id="rId204" Type="http://schemas.openxmlformats.org/officeDocument/2006/relationships/externalLink" Target="externalLinks/externalLink88.xml"/><Relationship Id="rId225" Type="http://schemas.openxmlformats.org/officeDocument/2006/relationships/externalLink" Target="externalLinks/externalLink10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Pig%20Costing%20ZWD/COS%20Calculation%201220%20Z$%20December%202020.xlsx" TargetMode="External"/><Relationship Id="rId1" Type="http://schemas.openxmlformats.org/officeDocument/2006/relationships/externalLinkPath" Target="/Users/user/Documents/Mill%20Triple%20C%20Reports/Livestock%20Reports/Pig%20Costing%20ZWD/COS%20Calculation%201220%20Z$%20December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%202026/Feed%20Consumed%20FY2026/June%202026%20Feed%20Consumed.xlsx" TargetMode="External"/><Relationship Id="rId2" Type="http://schemas.openxmlformats.org/officeDocument/2006/relationships/externalLinkPath" Target="https://triplecpigs.sharepoint.com/sites/TripleCPigsFinance/Shared%20Documents/Management%20Accounting%20Section/Livestock%20Reports/FY%202026/Feed%20Consumed%20FY2026/June%202026%20Feed%20Consumed.xlsx" TargetMode="External"/><Relationship Id="rId1" Type="http://schemas.openxmlformats.org/officeDocument/2006/relationships/externalLinkPath" Target="/sites/TripleCPigsFinance/Shared%20Documents/Management%20Accounting%20Section/Livestock%20Reports/FY%202026/Feed%20Consumed%20FY2026/June%202026%20Feed%20Consumed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2027/July%202026/Slaughter%20Summary/July%202026%20Slaughter%20Summary.xlsx" TargetMode="External"/><Relationship Id="rId2" Type="http://schemas.openxmlformats.org/officeDocument/2006/relationships/externalLinkPath" Target="https://triplecpigs.sharepoint.com/sites/TripleCPigsFinance/Shared%20Documents/Management%20Accounting%20Section/Livestock%20Reports/FY2027/July%202026/Slaughter%20Summary/July%202026%20Slaughter%20Summary.xlsx" TargetMode="External"/><Relationship Id="rId1" Type="http://schemas.openxmlformats.org/officeDocument/2006/relationships/externalLinkPath" Target="/sites/TripleCPigsFinance/Shared%20Documents/Management%20Accounting%20Section/Livestock%20Reports/FY2027/July%202026/Slaughter%20Summary/July%202026%20Slaughter%20Summar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hn/Documents/CCC/Packs%202021/September%202020/Z$%20Acc/COS%20Calculation%200920%20Z$.xlsx" TargetMode="External"/><Relationship Id="rId1" Type="http://schemas.openxmlformats.org/officeDocument/2006/relationships/externalLinkPath" Target="/Users/john/Documents/CCC/Packs%202021/September%202020/Z$%20Acc/COS%20Calculation%200920%20Z$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lexios.TRIPLECPIGS/Documents/REPORTING%202008/April%202008/April%20%202008%20Workings/December%20%202007%20Livestock%20Valuation%20IAS%2041%20Actual.xls" TargetMode="External"/><Relationship Id="rId1" Type="http://schemas.openxmlformats.org/officeDocument/2006/relationships/externalLinkPath" Target="/Users/Alexios.TRIPLECPIGS/Documents/REPORTING%202008/April%202008/April%20%202008%20Workings/December%20%202007%20Livestock%20Valuation%20IAS%2041%20Actual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lexios.TRIPLECPIGS/Documents/REPORTING%202008/April%202008/April%20%202008%20Workings/December%20%202007%20Livestock%20Valuation%20IAS%2041.xls" TargetMode="External"/><Relationship Id="rId1" Type="http://schemas.openxmlformats.org/officeDocument/2006/relationships/externalLinkPath" Target="/Users/Alexios.TRIPLECPIGS/Documents/REPORTING%202008/April%202008/April%20%202008%20Workings/December%20%202007%20Livestock%20Valuation%20IAS%2041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JuLY%202007%20Finals/Trial%20Balance%20June%202007-Trade%20Winds.xls" TargetMode="External"/><Relationship Id="rId1" Type="http://schemas.openxmlformats.org/officeDocument/2006/relationships/externalLinkPath" Target="/JuLY%202007%20Finals/Trial%20Balance%20June%202007-Trade%20Winds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JuLY%202007%20Finals/Trial%20Balance%20June%202007-Zimbo.xls" TargetMode="External"/><Relationship Id="rId1" Type="http://schemas.openxmlformats.org/officeDocument/2006/relationships/externalLinkPath" Target="/JuLY%202007%20Finals/Trial%20Balance%20June%202007-Zimbo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JuLY%202007%20Finals/Trial%20Balance%20JUNE%202007-quarantine.xls" TargetMode="External"/><Relationship Id="rId1" Type="http://schemas.openxmlformats.org/officeDocument/2006/relationships/externalLinkPath" Target="/JuLY%202007%20Finals/Trial%20Balance%20JUNE%202007-quarant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SER\My%20Documents\2007-8%20Folders\Financial%20Statments\September%2007\September%202007%20Flash\Other%20Sept%2007%20Reports\Trial%20Balance%20September%202007%20CCC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JuLY%202007%20Finals/Trial%20Balance%20June%202007-rotgat.xls" TargetMode="External"/><Relationship Id="rId1" Type="http://schemas.openxmlformats.org/officeDocument/2006/relationships/externalLinkPath" Target="/JuLY%202007%20Finals/Trial%20Balance%20June%202007-rotgat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cuthy/Desktop/CCC%20Accounts%20May%202007/CCC%20May%202007/May%202007%20Accounts/Trial%20Balance%20May%202007-Oswa.xls" TargetMode="External"/><Relationship Id="rId1" Type="http://schemas.openxmlformats.org/officeDocument/2006/relationships/externalLinkPath" Target="/Documents%20and%20Settings/cuthy/Desktop/CCC%20Accounts%20May%202007/CCC%20May%202007/May%202007%20Accounts/Trial%20Balance%20May%202007-Osw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ctober%202007%20Workings\October%20%202007%20OUTGROWER%20FEE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ial%20Balance%20JULY%202007%20CCC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USER/My%20Documents/2007-8%20Folders/Financial%20Statments/December%2007/December%2007%20Actuals/Green%20Packs/December%20%202007%20GRASSMERE%20Green%20Pack.xls" TargetMode="External"/><Relationship Id="rId1" Type="http://schemas.openxmlformats.org/officeDocument/2006/relationships/externalLinkPath" Target="/Documents%20and%20Settings/USER/My%20Documents/2007-8%20Folders/Financial%20Statments/December%2007/December%2007%20Actuals/Green%20Packs/December%20%202007%20GRASSMERE%20Green%20Pack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October%20%202008/October%202008%20Workings/October%20%202008%20LIVESTOCK%20ANALYSIS%20PIGS.xls" TargetMode="External"/><Relationship Id="rId1" Type="http://schemas.openxmlformats.org/officeDocument/2006/relationships/externalLinkPath" Target="/Users/job/Documents/2008-9%20Folders/Financial%20Reports/October%20%202008/October%202008%20Workings/October%20%202008%20LIVESTOCK%20ANALYSIS%20PIGS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September%202008/September%202008%20Reports/September%20%202008%20Consolidated%20TB%20Actual.xls" TargetMode="External"/><Relationship Id="rId1" Type="http://schemas.openxmlformats.org/officeDocument/2006/relationships/externalLinkPath" Target="/Users/job/Documents/2008-9%20Folders/Financial%20Reports/September%202008/September%202008%20Reports/September%20%202008%20Consolidated%20TB%20Actual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lexios.TRIPLECPIGS/AppData/Local/Microsoft/Windows/Temporary%20Internet%20Files/OLKC9B5/FEED%20ISSUES-Nov%2008.xlsx" TargetMode="External"/><Relationship Id="rId1" Type="http://schemas.openxmlformats.org/officeDocument/2006/relationships/externalLinkPath" Target="/Users/Alexios.TRIPLECPIGS/AppData/Local/Microsoft/Windows/Temporary%20Internet%20Files/OLKC9B5/FEED%20ISSUES-Nov%2008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November%20%202008/November%202008%20Workings/November%20%202008%20OUTGROWER%20FEED.xlsx" TargetMode="External"/><Relationship Id="rId1" Type="http://schemas.openxmlformats.org/officeDocument/2006/relationships/externalLinkPath" Target="/Users/job/Documents/2008-9%20Folders/Financial%20Reports/November%20%202008/November%202008%20Workings/November%20%202008%20OUTGROWER%20FEE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7-8%20Folders/Financial%20Statments/June%2008/June%20%202008%20Workings/June%20%202008%20LIVESTOCK%20ANALYSIS%20PIGS%20Ammended.xls" TargetMode="External"/><Relationship Id="rId1" Type="http://schemas.openxmlformats.org/officeDocument/2006/relationships/externalLinkPath" Target="/Users/job/Documents/2007-8%20Folders/Financial%20Statments/June%2008/June%20%202008%20Workings/June%20%202008%20LIVESTOCK%20ANALYSIS%20PIGS%20Ammended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July%202008/July%202008%20Reports/CCC%20Pigs%20July%2008%20Actuals.xls" TargetMode="External"/><Relationship Id="rId1" Type="http://schemas.openxmlformats.org/officeDocument/2006/relationships/externalLinkPath" Target="/Users/job/Documents/2008-9%20Folders/Financial%20Reports/July%202008/July%202008%20Reports/CCC%20Pigs%20July%2008%20Actuals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esktop/Book1.xlsx" TargetMode="External"/><Relationship Id="rId1" Type="http://schemas.openxmlformats.org/officeDocument/2006/relationships/externalLinkPath" Target="/Users/job/Desktop/Book1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July%202008/July%20%202008%20Workings/July%20%202008%20LIVESTOCK%20ANALYSIS%20PIGS.xls" TargetMode="External"/><Relationship Id="rId1" Type="http://schemas.openxmlformats.org/officeDocument/2006/relationships/externalLinkPath" Target="/Users/job/Documents/2008-9%20Folders/Financial%20Reports/July%202008/July%20%202008%20Workings/July%20%202008%20LIVESTOCK%20ANALYSIS%20PIGS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November%20%202008/November%202008%20Reports/November%20%202008%20CCC%20USD%20Report.xls" TargetMode="External"/><Relationship Id="rId1" Type="http://schemas.openxmlformats.org/officeDocument/2006/relationships/externalLinkPath" Target="/Users/job/Documents/2008-9%20Folders/Financial%20Reports/November%20%202008/November%202008%20Reports/November%20%202008%20CCC%20USD%20Report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October%20%202008/October%202008%20Workings/August%20%202008%20OUTGROWER%20FEED.xls" TargetMode="External"/><Relationship Id="rId1" Type="http://schemas.openxmlformats.org/officeDocument/2006/relationships/externalLinkPath" Target="/Users/job/Documents/2008-9%20Folders/Financial%20Reports/October%20%202008/October%202008%20Workings/August%20%202008%20OUTGROWER%20FEED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February%202024/February%2024%20Selling%20Price%20Working.xlsx" TargetMode="External"/><Relationship Id="rId1" Type="http://schemas.openxmlformats.org/officeDocument/2006/relationships/externalLinkPath" Target="/Users/obey/Documents/Mill%20Triple%20C%20Reports/Livestock%20Reports/FY%202024/February%202024/February%2024%20Selling%20Price%20Working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February%202024/Fair%20Value%20%20Cost%20Calculation%200224.xlsx" TargetMode="External"/><Relationship Id="rId1" Type="http://schemas.openxmlformats.org/officeDocument/2006/relationships/externalLinkPath" Target="/Users/obey/Documents/Mill%20Triple%20C%20Reports/Livestock%20Reports/FY%202024/February%202024/Fair%20Value%20%20Cost%20Calculation%200224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3/March%202023/March%202023%20LIVESTOCK%20ANALYSIS.xlsx" TargetMode="External"/><Relationship Id="rId1" Type="http://schemas.openxmlformats.org/officeDocument/2006/relationships/externalLinkPath" Target="/Users/obey/Documents/Mill%20Triple%20C%20Reports/Livestock%20Reports/FY%202023/March%202023/March%202023%20LIVESTOCK%20ANALYSIS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2027/July%202026/Fair%20Value%20%20Cost%20Calculation%200726.xlsx" TargetMode="External"/><Relationship Id="rId2" Type="http://schemas.openxmlformats.org/officeDocument/2006/relationships/externalLinkPath" Target="https://triplecpigs.sharepoint.com/sites/TripleCPigsFinance/Shared%20Documents/Management%20Accounting%20Section/Livestock%20Reports/FY2027/July%202026/Fair%20Value%20%20Cost%20Calculation%200726.xlsx" TargetMode="External"/><Relationship Id="rId1" Type="http://schemas.openxmlformats.org/officeDocument/2006/relationships/externalLinkPath" Target="/sites/TripleCPigsFinance/Shared%20Documents/Management%20Accounting%20Section/Livestock%20Reports/FY2027/July%202026/Fair%20Value%20%20Cost%20Calculation%200726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2027/July%202026/Stocktake/Total%20Pigs%20per%20farm%20July%202026.xlsx" TargetMode="External"/><Relationship Id="rId2" Type="http://schemas.openxmlformats.org/officeDocument/2006/relationships/externalLinkPath" Target="https://triplecpigs.sharepoint.com/sites/TripleCPigsFinance/Shared%20Documents/Management%20Accounting%20Section/Livestock%20Reports/FY2027/July%202026/Stocktake/Total%20Pigs%20per%20farm%20July%202026.xlsx" TargetMode="External"/><Relationship Id="rId1" Type="http://schemas.openxmlformats.org/officeDocument/2006/relationships/externalLinkPath" Target="/sites/TripleCPigsFinance/Shared%20Documents/Management%20Accounting%20Section/Livestock%20Reports/FY2027/July%202026/Stocktake/Total%20Pigs%20per%20farm%20July%202026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%202026/June%202026/Slaughter%20Summary/June%202026%20Slaughter%20Summary.xlsx" TargetMode="External"/><Relationship Id="rId2" Type="http://schemas.openxmlformats.org/officeDocument/2006/relationships/externalLinkPath" Target="file:///C:\Users\tgonamombe\Desktop\Obey%2012052026\mr%20mhenyu\Livestock%20Reports\FY%202026\June%202026\Slaughter%20Summary\June%202026%20Slaughter%20Summary.xlsx" TargetMode="External"/><Relationship Id="rId1" Type="http://schemas.openxmlformats.org/officeDocument/2006/relationships/externalLinkPath" Target="/sites/TripleCPigsFinance/Shared%20Documents/Management%20Accounting%20Section/Livestock%20Reports/FY%202026/June%202026/Slaughter%20Summary/June%202026%20Slaughter%20Summar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September%202008/September%202008%20Workings/September%20%202008%20LIVESTOCK%20ANALYSIS%20PIGS.xls" TargetMode="External"/><Relationship Id="rId1" Type="http://schemas.openxmlformats.org/officeDocument/2006/relationships/externalLinkPath" Target="/Users/job/Documents/2008-9%20Folders/Financial%20Reports/September%202008/September%202008%20Workings/September%20%202008%20LIVESTOCK%20ANALYSIS%20PIGS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October%20%202008/October%202008%20Workings/September%20%202008%20Livestock%20Valuation%20IAS%2041.xls" TargetMode="External"/><Relationship Id="rId1" Type="http://schemas.openxmlformats.org/officeDocument/2006/relationships/externalLinkPath" Target="/Users/job/Documents/2008-9%20Folders/Financial%20Reports/October%20%202008/October%202008%20Workings/September%20%202008%20Livestock%20Valuation%20IAS%2041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USER/My%20Documents/2007-8%20Folders/Financial%20Statments/February%2008/February%20%202008%20Actuals/CCC%20Consolidated/SECTOR%20CONSOLIDATION.xls" TargetMode="External"/><Relationship Id="rId1" Type="http://schemas.openxmlformats.org/officeDocument/2006/relationships/externalLinkPath" Target="/Documents%20and%20Settings/USER/My%20Documents/2007-8%20Folders/Financial%20Statments/February%2008/February%20%202008%20Actuals/CCC%20Consolidated/SECTOR%20CONSOLIDATION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3/May%202023/May%202023%20LIVESTOCK%20ANALYSIS.xlsx" TargetMode="External"/><Relationship Id="rId1" Type="http://schemas.openxmlformats.org/officeDocument/2006/relationships/externalLinkPath" Target="/Users/obey/Documents/Mill%20Triple%20C%20Reports/Livestock%20Reports/FY%202023/May%202023/May%202023%20LIVESTOCK%20ANALYSIS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gonamombe\AppData\Local\Microsoft\Windows\INetCache\Content.Outlook\CBUCQ2KS\Imported%20Pigs%20-%20Porta%20Sows.xlsx" TargetMode="External"/><Relationship Id="rId1" Type="http://schemas.openxmlformats.org/officeDocument/2006/relationships/externalLinkPath" Target="file:///C:\Users\tgonamombe\AppData\Local\Microsoft\Windows\INetCache\Content.Outlook\CBUCQ2KS\Imported%20Pigs%20-%20Porta%20Sows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lex/AppData/Local/Microsoft/Windows/Temporary%20Internet%20Files/Content.Outlook/H2LFQFFM/July%202014%20Livestock%20Valuation.xls" TargetMode="External"/><Relationship Id="rId1" Type="http://schemas.openxmlformats.org/officeDocument/2006/relationships/externalLinkPath" Target="/Users/Alex/AppData/Local/Microsoft/Windows/Temporary%20Internet%20Files/Content.Outlook/H2LFQFFM/July%202014%20Livestock%20Valuation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rippleC/AppData/Local/Microsoft/Windows/Temporary%20Internet%20Files/Content.Outlook/KSWNLTRX/June%202016%20Livestock%20Valuation.xlsx" TargetMode="External"/><Relationship Id="rId1" Type="http://schemas.openxmlformats.org/officeDocument/2006/relationships/externalLinkPath" Target="/Users/TrippleC/AppData/Local/Microsoft/Windows/Temporary%20Internet%20Files/Content.Outlook/KSWNLTRX/June%202016%20Livestock%20Valuation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19/Oct%202018/Oct%20%20pigs%20costs%20imported.xlsx" TargetMode="External"/><Relationship Id="rId1" Type="http://schemas.openxmlformats.org/officeDocument/2006/relationships/externalLinkPath" Target="/Users/Ruvimbo/Documents/Financial%20Statements%202019/Oct%202018/Oct%20%20pigs%20costs%20imported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19/June%202019/Importerd%20Pigs%20Valuation%20June%20%202019%20original.xlsx" TargetMode="External"/><Relationship Id="rId1" Type="http://schemas.openxmlformats.org/officeDocument/2006/relationships/externalLinkPath" Target="/Users/Ruvimbo/Documents/Financial%20Statements%202019/June%202019/Importerd%20Pigs%20Valuation%20June%20%202019%20original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Imported%20Pigs%20Valuation/Imported%20Pigs%20Gilts%20Costs%20January%202021%20Adjusted..xlsx" TargetMode="External"/><Relationship Id="rId1" Type="http://schemas.openxmlformats.org/officeDocument/2006/relationships/externalLinkPath" Target="/Users/user/Documents/Mill%20Triple%20C%20Reports/Livestock%20Reports/Imported%20Pigs%20Valuation/Imported%20Pigs%20Gilts%20Costs%20January%202021%20Adjusted.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2/October%2021/Imported%20Pigs%20Gilts%20Costs%20October%202021.xlsx" TargetMode="External"/><Relationship Id="rId1" Type="http://schemas.openxmlformats.org/officeDocument/2006/relationships/externalLinkPath" Target="/Users/user/Documents/Mill%20Triple%20C%20Reports/Livestock%20Reports/FY%202022/October%2021/Imported%20Pigs%20Gilts%20Costs%20October%202021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2/March%2022/Imported%20Pigs%20Gilts%20Costs%20March%202022.xlsx" TargetMode="External"/><Relationship Id="rId1" Type="http://schemas.openxmlformats.org/officeDocument/2006/relationships/externalLinkPath" Target="/Users/user/Documents/Mill%20Triple%20C%20Reports/Livestock%20Reports/FY%202022/March%2022/Imported%20Pigs%20Gilts%20Costs%20March%202022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July%202022/Imported%20Pigs%20Gilts%20Costs%20July%202022.xlsx" TargetMode="External"/><Relationship Id="rId1" Type="http://schemas.openxmlformats.org/officeDocument/2006/relationships/externalLinkPath" Target="/Users/user/Documents/Mill%20Triple%20C%20Reports/Livestock%20Reports/FY%202023/July%202022/Imported%20Pigs%20Gilts%20Costs%20July%202022.xlsx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November%202022/Imported%20Pigs%20Gilts%20Costs%20November%202022.xlsx" TargetMode="External"/><Relationship Id="rId1" Type="http://schemas.openxmlformats.org/officeDocument/2006/relationships/externalLinkPath" Target="/Users/user/Documents/Mill%20Triple%20C%20Reports/Livestock%20Reports/FY%202023/November%202022/Imported%20Pigs%20Gilts%20Costs%20November%202022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3/April%202023/Imported%20Pigs%20Gilts%20Costs%20April%202023.xlsx" TargetMode="External"/><Relationship Id="rId1" Type="http://schemas.openxmlformats.org/officeDocument/2006/relationships/externalLinkPath" Target="/Users/obey/Documents/Mill%20Triple%20C%20Reports/Livestock%20Reports/FY%202023/April%202023/Imported%20Pigs%20Gilts%20Costs%20April%202023.xlsx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February%202024/Imported%20Pigs%20Gilts%20Costs%20February%202024.xlsx" TargetMode="External"/><Relationship Id="rId1" Type="http://schemas.openxmlformats.org/officeDocument/2006/relationships/externalLinkPath" Target="/Users/obey/Documents/Mill%20Triple%20C%20Reports/Livestock%20Reports/FY%202024/February%202024/Imported%20Pigs%20Gilts%20Costs%20February%202024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July%202024/Imported%20Pigs%20Gilts%20Costs%20July%202024.xlsx" TargetMode="External"/><Relationship Id="rId1" Type="http://schemas.openxmlformats.org/officeDocument/2006/relationships/externalLinkPath" Target="/Users/obey/Documents/Mill%20Triple%20C%20Reports/Livestock%20Reports/FY%202025/July%202024/Imported%20Pigs%20Gilts%20Costs%20July%202024.xlsx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2/October%2021/Slaughter%20Summary/Pig%20Kill%20%20October%20%20%202021.xls" TargetMode="External"/><Relationship Id="rId1" Type="http://schemas.openxmlformats.org/officeDocument/2006/relationships/externalLinkPath" Target="/Users/user/Documents/Mill%20Triple%20C%20Reports/Livestock%20Reports/FY%202022/October%2021/Slaughter%20Summary/Pig%20Kill%20%20October%20%20%202021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2/March%2022/Slaughter%20Summary%20March%2022/Pig%20Kill%20%20March%202022%20LADDERS.xls" TargetMode="External"/><Relationship Id="rId1" Type="http://schemas.openxmlformats.org/officeDocument/2006/relationships/externalLinkPath" Target="/Users/user/Documents/Mill%20Triple%20C%20Reports/Livestock%20Reports/FY%202022/March%2022/Slaughter%20Summary%20March%2022/Pig%20Kill%20%20March%202022%20LADDERS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November%202022/Slaughter%20Summary%20November%202022/Pig%20Kill%20%20November%202022.xls" TargetMode="External"/><Relationship Id="rId1" Type="http://schemas.openxmlformats.org/officeDocument/2006/relationships/externalLinkPath" Target="/Users/user/Documents/Mill%20Triple%20C%20Reports/Livestock%20Reports/FY%202023/November%202022/Slaughter%20Summary%20November%202022/Pig%20Kill%20%20November%202022.xls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3/April%202023/Slaughter%20Summary%20April%202023/Pig%20Kill%20%20April%202023.xls" TargetMode="External"/><Relationship Id="rId1" Type="http://schemas.openxmlformats.org/officeDocument/2006/relationships/externalLinkPath" Target="/Users/obey/Documents/Mill%20Triple%20C%20Reports/Livestock%20Reports/FY%202023/April%202023/Slaughter%20Summary%20April%202023/Pig%20Kill%20%20April%202023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September%202022/265%20Topigs%20Boars%20IN55684.xlsx" TargetMode="External"/><Relationship Id="rId1" Type="http://schemas.openxmlformats.org/officeDocument/2006/relationships/externalLinkPath" Target="/Users/user/Documents/Mill%20Triple%20C%20Reports/Livestock%20Reports/FY%202023/September%202022/265%20Topigs%20Boars%20IN55684.xlsx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September%202022/Slaughter%20Summary%20September%202022/Pig%20Kill%20%20September%202022.xls" TargetMode="External"/><Relationship Id="rId1" Type="http://schemas.openxmlformats.org/officeDocument/2006/relationships/externalLinkPath" Target="/Users/user/Documents/Mill%20Triple%20C%20Reports/Livestock%20Reports/FY%202023/September%202022/Slaughter%20Summary%20September%202022/Pig%20Kill%20%20September%202022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Imported%20Pigs%20Valuation/Importerd%20Pigs%20Valuation%20November%202020%20Aspa.xlsx" TargetMode="External"/><Relationship Id="rId1" Type="http://schemas.openxmlformats.org/officeDocument/2006/relationships/externalLinkPath" Target="/Users/user/Documents/Mill%20Triple%20C%20Reports/Livestock%20Reports/Imported%20Pigs%20Valuation/Importerd%20Pigs%20Valuation%20November%202020%20Aspa.xlsx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Livestock%20Valuation/November%202020%20Livestock%20Valuation-Aspa.xlsx" TargetMode="External"/><Relationship Id="rId1" Type="http://schemas.openxmlformats.org/officeDocument/2006/relationships/externalLinkPath" Target="/Users/user/Documents/Mill%20Triple%20C%20Reports/Livestock%20Reports/Livestock%20Valuation/November%202020%20Livestock%20Valuation-Aspa.xlsx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21/July%202020/July%202020%20Livestock%20Valuation.xlsx" TargetMode="External"/><Relationship Id="rId1" Type="http://schemas.openxmlformats.org/officeDocument/2006/relationships/externalLinkPath" Target="/Users/Ruvimbo/Documents/Financial%20Statements%202021/July%202020/July%202020%20Livestock%20Valuation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21/September%202020/IAL%20CCC%20Pack%20September%202020%20New%20Pack.xlsx" TargetMode="External"/><Relationship Id="rId1" Type="http://schemas.openxmlformats.org/officeDocument/2006/relationships/externalLinkPath" Target="/Users/Ruvimbo/Documents/Financial%20Statements%202021/September%202020/IAL%20CCC%20Pack%20September%202020%20New%20Pack.xlsx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21/August%202020/IAL%20CCC%20Pack%20August%202020%20New%20Pack.xlsx" TargetMode="External"/><Relationship Id="rId1" Type="http://schemas.openxmlformats.org/officeDocument/2006/relationships/externalLinkPath" Target="/Users/Ruvimbo/Documents/Financial%20Statements%202021/August%202020/IAL%20CCC%20Pack%20August%202020%20New%20Pack.xlsx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21/September%202020/CCC%20Green%20Pack%20Template.xlsx" TargetMode="External"/><Relationship Id="rId1" Type="http://schemas.openxmlformats.org/officeDocument/2006/relationships/externalLinkPath" Target="/Users/Ruvimbo/Documents/Financial%20Statements%202021/September%202020/CCC%20Green%20Pack%20Template.xlsx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June%202024/Imported%20Pigs%20Gilts%20Costs%20June%202024.xlsx" TargetMode="External"/><Relationship Id="rId1" Type="http://schemas.openxmlformats.org/officeDocument/2006/relationships/externalLinkPath" Target="/Users/obey/Documents/Mill%20Triple%20C%20Reports/Livestock%20Reports/FY%202024/June%202024/Imported%20Pigs%20Gilts%20Costs%20June%202024.xlsx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August%202024/Imported%20Pigs%20Gilts%20Costs%20August%202024.xlsx" TargetMode="External"/><Relationship Id="rId1" Type="http://schemas.openxmlformats.org/officeDocument/2006/relationships/externalLinkPath" Target="/Users/obey/Documents/Mill%20Triple%20C%20Reports/Livestock%20Reports/FY%202025/August%202024/Imported%20Pigs%20Gilts%20Costs%20August%202024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September%202023/Fair%20Value%20%20Cost%20Calculation%200923.xlsx" TargetMode="External"/><Relationship Id="rId1" Type="http://schemas.openxmlformats.org/officeDocument/2006/relationships/externalLinkPath" Target="/Users/obey/Documents/Mill%20Triple%20C%20Reports/Livestock%20Reports/FY%202024/September%202023/Fair%20Value%20%20Cost%20Calculation%200923.xlsx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%202020/May%202020/May%202020%20Livestock%20Valuation.xlsx" TargetMode="External"/><Relationship Id="rId1" Type="http://schemas.openxmlformats.org/officeDocument/2006/relationships/externalLinkPath" Target="/Users/Ruvimbo/Documents/Financial%20Statement%202020/May%202020/May%202020%20Livestock%20Valuation.xlsx" TargetMode="External"/></Relationships>
</file>

<file path=xl/externalLinks/_rels/externalLink6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%202026/June%202026/Kill%20%25%200626.xlsx" TargetMode="External"/><Relationship Id="rId2" Type="http://schemas.openxmlformats.org/officeDocument/2006/relationships/externalLinkPath" Target="file:///C:\Users\tgonamombe\Desktop\Obey%2012052026\mr%20mhenyu\Livestock%20Reports\FY%202026\June%202026\Kill%20%25%200626.xlsx" TargetMode="External"/><Relationship Id="rId1" Type="http://schemas.openxmlformats.org/officeDocument/2006/relationships/externalLinkPath" Target="/sites/TripleCPigsFinance/Shared%20Documents/Management%20Accounting%20Section/Livestock%20Reports/FY%202026/June%202026/Kill%20%25%200626.xlsx" TargetMode="External"/></Relationships>
</file>

<file path=xl/externalLinks/_rels/externalLink6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%202026/June%202026/June%2026%20Selling%20Price%20Working.xlsx" TargetMode="External"/><Relationship Id="rId2" Type="http://schemas.openxmlformats.org/officeDocument/2006/relationships/externalLinkPath" Target="file:///C:\Users\tgonamombe\Desktop\Obey%2012052026\mr%20mhenyu\Livestock%20Reports\FY%202026\June%202026\June%2026%20Selling%20Price%20Working.xlsx" TargetMode="External"/><Relationship Id="rId1" Type="http://schemas.openxmlformats.org/officeDocument/2006/relationships/externalLinkPath" Target="/sites/TripleCPigsFinance/Shared%20Documents/Management%20Accounting%20Section/Livestock%20Reports/FY%202026/June%202026/June%2026%20Selling%20Price%20Working.xlsx" TargetMode="External"/></Relationships>
</file>

<file path=xl/externalLinks/_rels/externalLink6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%202026/June%202026/Slaughter%20Summary/Pig%20prices%20from%20Edson%20$2.54.xls" TargetMode="External"/><Relationship Id="rId2" Type="http://schemas.openxmlformats.org/officeDocument/2006/relationships/externalLinkPath" Target="file:///C:\Users\tgonamombe\Desktop\Obey%2012052026\mr%20mhenyu\Livestock%20Reports\FY%202026\June%202026\Slaughter%20Summary\Pig%20prices%20from%20Edson%20$2.54.xls" TargetMode="External"/><Relationship Id="rId1" Type="http://schemas.openxmlformats.org/officeDocument/2006/relationships/externalLinkPath" Target="/sites/TripleCPigsFinance/Shared%20Documents/Management%20Accounting%20Section/Livestock%20Reports/FY%202026/June%202026/Slaughter%20Summary/Pig%20prices%20from%20Edson%20$2.54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21/September%202020/Pigs%20Costing%20CCC%20September%202020.xlsx" TargetMode="External"/><Relationship Id="rId1" Type="http://schemas.openxmlformats.org/officeDocument/2006/relationships/externalLinkPath" Target="/Users/Ruvimbo/Documents/Financial%20Statements%202021/September%202020/Pigs%20Costing%20CCC%20September%202020.xlsx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6/August%202025/August%202025%20LIVESTOCK%20ANALYSIS.xlsx" TargetMode="External"/><Relationship Id="rId1" Type="http://schemas.openxmlformats.org/officeDocument/2006/relationships/externalLinkPath" Target="/Users/obey/Documents/Mill%20Triple%20C%20Reports/Livestock%20Reports/FY%202026/August%202025/August%202025%20LIVESTOCK%20ANALYSIS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November%202024/November%202024%20LIVESTOCK%20ANALYSIS.xlsx" TargetMode="External"/><Relationship Id="rId1" Type="http://schemas.openxmlformats.org/officeDocument/2006/relationships/externalLinkPath" Target="/Users/obey/Documents/Mill%20Triple%20C%20Reports/Livestock%20Reports/FY%202025/November%202024/November%202024%20LIVESTOCK%20ANALYSIS.xlsx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1/June%2021/June%20%202021%20LIVESTOCK%20ANALYSIS.xlsx" TargetMode="External"/><Relationship Id="rId1" Type="http://schemas.openxmlformats.org/officeDocument/2006/relationships/externalLinkPath" Target="/Users/user/Documents/Mill%20Triple%20C%20Reports/Livestock%20Reports/FY%202021/June%2021/June%20%202021%20LIVESTOCK%20ANALYSIS.xlsx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AppData/Local/Microsoft/Windows/INetCache/Content.Outlook/RRYEYX0D/COS%20Calculation%200920%20Z$%20F.xlsx" TargetMode="External"/><Relationship Id="rId1" Type="http://schemas.openxmlformats.org/officeDocument/2006/relationships/externalLinkPath" Target="/Users/user/AppData/Local/Microsoft/Windows/INetCache/Content.Outlook/RRYEYX0D/COS%20Calculation%200920%20Z$%20F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3/June%202023/June%2023%20Selling%20Price%20Working.xlsx" TargetMode="External"/><Relationship Id="rId1" Type="http://schemas.openxmlformats.org/officeDocument/2006/relationships/externalLinkPath" Target="/Users/obey/Documents/Mill%20Triple%20C%20Reports/Livestock%20Reports/FY%202023/June%202023/June%2023%20Selling%20Price%20Working.xlsx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Walter/AppData/Local/Microsoft/Windows/Temporary%20Internet%20Files/Content.Outlook/NJ0Y76UI/June%202014%20Livestock%20Valuation.xls" TargetMode="External"/><Relationship Id="rId1" Type="http://schemas.openxmlformats.org/officeDocument/2006/relationships/externalLinkPath" Target="/Users/Walter/AppData/Local/Microsoft/Windows/Temporary%20Internet%20Files/Content.Outlook/NJ0Y76UI/June%202014%20Livestock%20Valuation.xls" TargetMode="External"/></Relationships>
</file>

<file path=xl/externalLinks/_rels/externalLink7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2027/July%202026/Cattle%20Valuation%20July%202026.xlsx" TargetMode="External"/><Relationship Id="rId2" Type="http://schemas.openxmlformats.org/officeDocument/2006/relationships/externalLinkPath" Target="https://triplecpigs.sharepoint.com/sites/TripleCPigsFinance/Shared%20Documents/Management%20Accounting%20Section/Livestock%20Reports/FY2027/July%202026/Cattle%20Valuation%20July%202026.xlsx" TargetMode="External"/><Relationship Id="rId1" Type="http://schemas.openxmlformats.org/officeDocument/2006/relationships/externalLinkPath" Target="/sites/TripleCPigsFinance/Shared%20Documents/Management%20Accounting%20Section/Livestock%20Reports/FY2027/July%202026/Cattle%20Valuation%20July%202026.xlsx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October%202022/October%202022%20LIVESTOCK%20ANALYSIS.xlsx" TargetMode="External"/><Relationship Id="rId1" Type="http://schemas.openxmlformats.org/officeDocument/2006/relationships/externalLinkPath" Target="/Users/user/Documents/Mill%20Triple%20C%20Reports/Livestock%20Reports/FY%202023/October%202022/October%202022%20LIVESTOCK%20ANALYSIS.xlsx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November%202022/November%202022%20LIVESTOCK%20ANALYSIS.xlsx" TargetMode="External"/><Relationship Id="rId1" Type="http://schemas.openxmlformats.org/officeDocument/2006/relationships/externalLinkPath" Target="/Users/user/Documents/Mill%20Triple%20C%20Reports/Livestock%20Reports/FY%202023/November%202022/November%202022%20LIVESTOCK%20ANALYSIS.xlsx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December%202022/Slaughter%20Summary%20December%202022/December%20%202022%20SLAUGHTER%20SUMMARY.xlsx" TargetMode="External"/><Relationship Id="rId1" Type="http://schemas.openxmlformats.org/officeDocument/2006/relationships/externalLinkPath" Target="/Users/user/Documents/Mill%20Triple%20C%20Reports/Livestock%20Reports/FY%202023/December%202022/Slaughter%20Summary%20December%202022/December%20%202022%20SLAUGHTER%20SUMMARY.xlsx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September%202024/Fair%20Value%20%20Cost%20Calculation%200924.xlsx" TargetMode="External"/><Relationship Id="rId1" Type="http://schemas.openxmlformats.org/officeDocument/2006/relationships/externalLinkPath" Target="/Users/obey/Documents/Mill%20Triple%20C%20Reports/Livestock%20Reports/FY%202025/September%202024/Fair%20Value%20%20Cost%20Calculation%200924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3/June%202023/Slaughter%20Summary%20June%202023/June%20%202023%20SLAUGHTER%20SUMMARY.xlsx" TargetMode="External"/><Relationship Id="rId1" Type="http://schemas.openxmlformats.org/officeDocument/2006/relationships/externalLinkPath" Target="/Users/obey/Documents/Mill%20Triple%20C%20Reports/Livestock%20Reports/FY%202023/June%202023/Slaughter%20Summary%20June%202023/June%20%202023%20SLAUGHTER%20SUMMARY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may%202024/Slaughter%20Summary%20may%202024/May%202024%20Slaughter%20Summary.xlsx" TargetMode="External"/><Relationship Id="rId1" Type="http://schemas.openxmlformats.org/officeDocument/2006/relationships/externalLinkPath" Target="/Users/obey/Documents/Mill%20Triple%20C%20Reports/Livestock%20Reports/FY%202024/may%202024/Slaughter%20Summary%20may%202024/May%202024%20Slaughter%20Summary.xlsx" TargetMode="External"/></Relationships>
</file>

<file path=xl/externalLinks/_rels/externalLink8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tgonamombe/Grasmere/mr%20mhenyu/Livestock%20Reports/FY%202026/FY2026%20Budgets%20Final/Consolidated%20Budgets/TRIPLE%20C%20PIGS%20FY2026%20Consolidated%20Budget.xlsx" TargetMode="External"/><Relationship Id="rId2" Type="http://schemas.openxmlformats.org/officeDocument/2006/relationships/externalLinkPath" Target="file:///C:\Users\tgonamombe\Grasmere\mr%20mhenyu\Livestock%20Reports\FY%202026\FY2026%20Budgets%20Final\Consolidated%20Budgets\TRIPLE%20C%20PIGS%20FY2026%20Consolidated%20Budget.xlsx" TargetMode="External"/><Relationship Id="rId1" Type="http://schemas.openxmlformats.org/officeDocument/2006/relationships/externalLinkPath" Target="/Users/tgonamombe/Grasmere/mr%20mhenyu/Livestock%20Reports/FY%202026/FY2026%20Budgets%20Final/Consolidated%20Budgets/TRIPLE%20C%20PIGS%20FY2026%20Consolidated%20Budget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January%202025/Slaughter%20Summary/January%202025%20Slaughter%20Summary.xlsx" TargetMode="External"/><Relationship Id="rId1" Type="http://schemas.openxmlformats.org/officeDocument/2006/relationships/externalLinkPath" Target="/Users/obey/Documents/Mill%20Triple%20C%20Reports/Livestock%20Reports/FY%202025/January%202025/Slaughter%20Summary/January%202025%20Slaughter%20Summary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FY%202025%20Budgets%20Final/TRIPLE%20C%20PIGS%20FY2025%20Budget%20Consolidated.xlsx" TargetMode="External"/><Relationship Id="rId1" Type="http://schemas.openxmlformats.org/officeDocument/2006/relationships/externalLinkPath" Target="/Users/obey/Documents/Mill%20Triple%20C%20Reports/Livestock%20Reports/FY%202025/FY%202025%20Budgets%20Final/TRIPLE%20C%20PIGS%20FY2025%20Budget%20Consolidated.xlsx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MAY%202025/Slaughter%20Summary/May%202025%20Slaughter%20Summary.xlsx" TargetMode="External"/><Relationship Id="rId1" Type="http://schemas.openxmlformats.org/officeDocument/2006/relationships/externalLinkPath" Target="/Users/obey/Documents/Mill%20Triple%20C%20Reports/Livestock%20Reports/FY%202025/MAY%202025/Slaughter%20Summary/May%202025%20Slaughter%20Summary.xlsx" TargetMode="External"/></Relationships>
</file>

<file path=xl/externalLinks/_rels/externalLink8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tgonamombe/Desktop/Obey%2012052026/mr%20mhenyu/Livestock%20Reports/FY%202026/April%202026/April%202026%20LIVESTOCK%20ANALYSIS.xlsx" TargetMode="External"/><Relationship Id="rId2" Type="http://schemas.openxmlformats.org/officeDocument/2006/relationships/externalLinkPath" Target="file:///C:\Users\tgonamombe\Desktop\Obey%2012052026\mr%20mhenyu\Livestock%20Reports\FY%202026\April%202026\April%202026%20LIVESTOCK%20ANALYSIS.xlsx" TargetMode="External"/><Relationship Id="rId1" Type="http://schemas.openxmlformats.org/officeDocument/2006/relationships/externalLinkPath" Target="/Users/tgonamombe/Desktop/Obey%2012052026/mr%20mhenyu/Livestock%20Reports/FY%202026/April%202026/April%202026%20LIVESTOCK%20ANALYSIS.xlsx" TargetMode="External"/></Relationships>
</file>

<file path=xl/externalLinks/_rels/externalLink8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tgonamombe/Desktop/Obey%2012052026/mr%20mhenyu/Livestock%20Reports/FY%202026/April%202026/Fair%20Value%20%20Cost%20Calculation%200426.xlsx" TargetMode="External"/><Relationship Id="rId2" Type="http://schemas.openxmlformats.org/officeDocument/2006/relationships/externalLinkPath" Target="file:///C:\Users\tgonamombe\Desktop\Obey%2012052026\mr%20mhenyu\Livestock%20Reports\FY%202026\April%202026\Fair%20Value%20%20Cost%20Calculation%200426.xlsx" TargetMode="External"/><Relationship Id="rId1" Type="http://schemas.openxmlformats.org/officeDocument/2006/relationships/externalLinkPath" Target="/Users/tgonamombe/Desktop/Obey%2012052026/mr%20mhenyu/Livestock%20Reports/FY%202026/April%202026/Fair%20Value%20%20Cost%20Calculation%200426.xlsx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July%202023/July%202023%20LIVESTOCK%20ANALYSIS.xlsx" TargetMode="External"/><Relationship Id="rId1" Type="http://schemas.openxmlformats.org/officeDocument/2006/relationships/externalLinkPath" Target="/Users/obey/Documents/Mill%20Triple%20C%20Reports/Livestock%20Reports/FY%202024/July%202023/July%202023%20LIVESTOCK%20ANALYSIS.xlsx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August%202023/August%202023%20LIVESTOCK%20ANALYSIS.xlsx" TargetMode="External"/><Relationship Id="rId1" Type="http://schemas.openxmlformats.org/officeDocument/2006/relationships/externalLinkPath" Target="/Users/obey/Documents/Mill%20Triple%20C%20Reports/Livestock%20Reports/FY%202024/August%202023/August%202023%20LIVESTOCK%20ANALYSIS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General%20Ledger%20Account%20Transactions_20250107_143340.xlsx" TargetMode="External"/><Relationship Id="rId1" Type="http://schemas.openxmlformats.org/officeDocument/2006/relationships/externalLinkPath" Target="/Users/obey/Documents/General%20Ledger%20Account%20Transactions_20250107_143340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February%202024/Non%20Current%20Costing%200224.xlsx" TargetMode="External"/><Relationship Id="rId1" Type="http://schemas.openxmlformats.org/officeDocument/2006/relationships/externalLinkPath" Target="/Users/obey/Documents/Mill%20Triple%20C%20Reports/Livestock%20Reports/FY%202024/February%202024/Non%20Current%20Costing%200224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AppData/Local/Microsoft/Windows/INetCache/Content.Outlook/B5T6WKPN/Fair%20Value%20%20Cost%20Calculation%200624.xlsx" TargetMode="External"/><Relationship Id="rId1" Type="http://schemas.openxmlformats.org/officeDocument/2006/relationships/externalLinkPath" Target="/Users/obey/AppData/Local/Microsoft/Windows/INetCache/Content.Outlook/B5T6WKPN/Fair%20Value%20%20Cost%20Calculation%200624.xlsx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6/July%202025/Fair%20Value%20%20Cost%20Calculation%200725.xlsx" TargetMode="External"/><Relationship Id="rId1" Type="http://schemas.openxmlformats.org/officeDocument/2006/relationships/externalLinkPath" Target="/Users/obey/Documents/Mill%20Triple%20C%20Reports/Livestock%20Reports/FY%202026/July%202025/Fair%20Value%20%20Cost%20Calculation%200725.xlsx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April%202024/Non%20Current%20Costing%200424.xlsx" TargetMode="External"/><Relationship Id="rId1" Type="http://schemas.openxmlformats.org/officeDocument/2006/relationships/externalLinkPath" Target="/Users/obey/Documents/Mill%20Triple%20C%20Reports/Livestock%20Reports/FY%202024/April%202024/Non%20Current%20Costing%200424.xlsx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mhenyu/Documents/Mill%20Triple%20C%20Reports/Livestock%20Reports/FY%202026/February%202026/Fair%20Value%20%20Cost%20Calculation%200226.xlsx" TargetMode="External"/><Relationship Id="rId1" Type="http://schemas.openxmlformats.org/officeDocument/2006/relationships/externalLinkPath" Target="/Users/omhenyu/Documents/Mill%20Triple%20C%20Reports/Livestock%20Reports/FY%202026/February%202026/Fair%20Value%20%20Cost%20Calculation%200226.xlsx" TargetMode="External"/></Relationships>
</file>

<file path=xl/externalLinks/_rels/externalLink9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General%20Ledger%20Account%20Transactions_20231101_214705.xlsx" TargetMode="External"/><Relationship Id="rId1" Type="http://schemas.openxmlformats.org/officeDocument/2006/relationships/externalLinkPath" Target="/Users/obey/Documents/General%20Ledger%20Account%20Transactions_20231101_214705.xlsx" TargetMode="External"/></Relationships>
</file>

<file path=xl/externalLinks/_rels/externalLink9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December%202022/December%202022%20LIVESTOCK%20ANALYSIS.xlsx" TargetMode="External"/><Relationship Id="rId1" Type="http://schemas.openxmlformats.org/officeDocument/2006/relationships/externalLinkPath" Target="/Users/user/Documents/Mill%20Triple%20C%20Reports/Livestock%20Reports/FY%202023/December%202022/December%202022%20LIVESTOCK%20ANALYSIS.xlsx" TargetMode="External"/></Relationships>
</file>

<file path=xl/externalLinks/_rels/externalLink9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tgonamombe/Desktop/Obey%2012052026/mr%20mhenyu/Livestock%20Reports/FY%202026/May%202026/Non%20Current%20Costing%200526.xlsx" TargetMode="External"/><Relationship Id="rId2" Type="http://schemas.openxmlformats.org/officeDocument/2006/relationships/externalLinkPath" Target="file:///C:\Users\tgonamombe\Desktop\Obey%2012052026\mr%20mhenyu\Livestock%20Reports\FY%202026\May%202026\Non%20Current%20Costing%200526.xlsx" TargetMode="External"/><Relationship Id="rId1" Type="http://schemas.openxmlformats.org/officeDocument/2006/relationships/externalLinkPath" Target="/Users/tgonamombe/Desktop/Obey%2012052026/mr%20mhenyu/Livestock%20Reports/FY%202026/May%202026/Non%20Current%20Costing%200526.xlsx" TargetMode="External"/></Relationships>
</file>

<file path=xl/externalLinks/_rels/externalLink9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2027/July%202026/Non%20Current%20Costing%200726.xlsx" TargetMode="External"/><Relationship Id="rId2" Type="http://schemas.openxmlformats.org/officeDocument/2006/relationships/externalLinkPath" Target="https://triplecpigs.sharepoint.com/sites/TripleCPigsFinance/Shared%20Documents/Management%20Accounting%20Section/Livestock%20Reports/FY2027/July%202026/Non%20Current%20Costing%200726.xlsx" TargetMode="External"/><Relationship Id="rId1" Type="http://schemas.openxmlformats.org/officeDocument/2006/relationships/externalLinkPath" Target="/sites/TripleCPigsFinance/Shared%20Documents/Management%20Accounting%20Section/Livestock%20Reports/FY2027/July%202026/Non%20Current%20Costing%200726.xlsx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shingirai/Downloads/Items.xlsx" TargetMode="External"/><Relationship Id="rId1" Type="http://schemas.openxmlformats.org/officeDocument/2006/relationships/externalLinkPath" Target="/Users/shingirai/Downloads/Items.xlsx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January%202025/FEED%20COST%20AND%20ALLOCATIONS.xlsx" TargetMode="External"/><Relationship Id="rId1" Type="http://schemas.openxmlformats.org/officeDocument/2006/relationships/externalLinkPath" Target="/Users/obey/Documents/Mill%20Triple%20C%20Reports/Livestock%20Reports/FY%202025/January%202025/FEED%20COST%20AND%20ALLOCATIONS.xlsx" TargetMode="External"/></Relationships>
</file>

<file path=xl/externalLinks/_rels/externalLink10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January%202025/Feed%20Allaocation%20January%202025%20Updated.xlsx" TargetMode="External"/><Relationship Id="rId1" Type="http://schemas.openxmlformats.org/officeDocument/2006/relationships/externalLinkPath" Target="/Users/obey/Documents/Mill%20Triple%20C%20Reports/Livestock%20Reports/FY%202025/January%202025/Feed%20Allaocation%20January%202025%20Updated.xlsx" TargetMode="External"/></Relationships>
</file>

<file path=xl/externalLinks/_rels/externalLink10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2027/July%202026/Feed%20Consumed%20June%202026%20with%20Mate%20Vari.xlsx" TargetMode="External"/><Relationship Id="rId2" Type="http://schemas.openxmlformats.org/officeDocument/2006/relationships/externalLinkPath" Target="https://triplecpigs.sharepoint.com/sites/TripleCPigsFinance/Shared%20Documents/Management%20Accounting%20Section/Livestock%20Reports/FY2027/July%202026/Feed%20Consumed%20June%202026%20with%20Mate%20Vari.xlsx" TargetMode="External"/><Relationship Id="rId1" Type="http://schemas.openxmlformats.org/officeDocument/2006/relationships/externalLinkPath" Target="/sites/TripleCPigsFinance/Shared%20Documents/Management%20Accounting%20Section/Livestock%20Reports/FY2027/July%202026/Feed%20Consumed%20June%202026%20with%20Mate%20Vari.xlsx" TargetMode="External"/></Relationships>
</file>

<file path=xl/externalLinks/_rels/externalLink10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wnloads/Item%20Ledger%20Entries%20(90).xlsx" TargetMode="External"/><Relationship Id="rId1" Type="http://schemas.openxmlformats.org/officeDocument/2006/relationships/externalLinkPath" Target="/Users/obey/Downloads/Item%20Ledger%20Entries%20(90).xlsx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mhenyu/Documents/Mill%20Triple%20C%20Reports/Livestock%20Reports/FY%202026/December%202025/Item%20Charges%20charged%20to%20Sold%20Batches.xlsx" TargetMode="External"/><Relationship Id="rId1" Type="http://schemas.openxmlformats.org/officeDocument/2006/relationships/externalLinkPath" Target="/Users/omhenyu/Documents/Mill%20Triple%20C%20Reports/Livestock%20Reports/FY%202026/December%202025/Item%20Charges%20charged%20to%20Sold%20Batches.xlsx" TargetMode="External"/></Relationships>
</file>

<file path=xl/externalLinks/_rels/externalLink10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July%202023/COS%20Calculation%200723%20WFV.xlsx" TargetMode="External"/><Relationship Id="rId1" Type="http://schemas.openxmlformats.org/officeDocument/2006/relationships/externalLinkPath" Target="/Users/obey/Documents/Mill%20Triple%20C%20Reports/Livestock%20Reports/FY%202024/July%202023/COS%20Calculation%200723%20WFV.xlsx" TargetMode="External"/></Relationships>
</file>

<file path=xl/externalLinks/_rels/externalLink10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August%202023/Triple%20C%20Macropack%20Undercharge%20(003).xlsx" TargetMode="External"/><Relationship Id="rId1" Type="http://schemas.openxmlformats.org/officeDocument/2006/relationships/externalLinkPath" Target="/Users/obey/Documents/Mill%20Triple%20C%20Reports/Livestock%20Reports/FY%202024/August%202023/Triple%20C%20Macropack%20Undercharge%20(003).xlsx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19/January%202019/Jan%202019%20LIVESTOCK%20ANALYSIS.xlsx" TargetMode="External"/><Relationship Id="rId1" Type="http://schemas.openxmlformats.org/officeDocument/2006/relationships/externalLinkPath" Target="/Users/Ruvimbo/Documents/Financial%20Statements%202019/January%202019/Jan%202019%20LIVESTOCK%20ANALYSIS.xlsx" TargetMode="External"/></Relationships>
</file>

<file path=xl/externalLinks/_rels/externalLink10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19/August%202018/August%202018%20LIVESTOCK%20ANALYSIS.xlsx" TargetMode="External"/><Relationship Id="rId1" Type="http://schemas.openxmlformats.org/officeDocument/2006/relationships/externalLinkPath" Target="/Users/Ruvimbo/Documents/Financial%20Statements%202019/August%202018/August%202018%20LIVESTOCK%20ANALYSIS.xlsx" TargetMode="External"/></Relationships>
</file>

<file path=xl/externalLinks/_rels/externalLink1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7-8%20Folders/Stocks/Grasmere%20Farm%20Stock%20Register.xls" TargetMode="External"/><Relationship Id="rId1" Type="http://schemas.openxmlformats.org/officeDocument/2006/relationships/externalLinkPath" Target="/Users/job/Documents/2007-8%20Folders/Stocks/Grasmere%20Farm%20Stock%20Register.xls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January%202009/January%202009%20Workings/January%20%202008%20LIVESTOCK%20ANALYSIS.xlsx" TargetMode="External"/><Relationship Id="rId1" Type="http://schemas.openxmlformats.org/officeDocument/2006/relationships/externalLinkPath" Target="/Users/job/Documents/2008-9%20Folders/Financial%20Reports/January%202009/January%202009%20Workings/January%20%202008%20LIVESTOCK%20ANALYSIS.xlsx" TargetMode="External"/></Relationships>
</file>

<file path=xl/externalLinks/_rels/externalLink1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USER/My%20Documents/2007-8%20Folders/Financial%20Statments/November%2007/November%202007%20Workings/November%20%202007%20LIVESTOCK%20ANALYSIS%20PIG.xls" TargetMode="External"/><Relationship Id="rId1" Type="http://schemas.openxmlformats.org/officeDocument/2006/relationships/externalLinkPath" Target="/Documents%20and%20Settings/USER/My%20Documents/2007-8%20Folders/Financial%20Statments/November%2007/November%202007%20Workings/November%20%202007%20LIVESTOCK%20ANALYSIS%20PIG.xls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USER/My%20Documents/2007-8%20Folders/Financial%20Statments/January%2008/January%2008%20Workings/January%20%202008%20LIVESTOCK%20ANALYSIS%20PIGS.xls" TargetMode="External"/><Relationship Id="rId1" Type="http://schemas.openxmlformats.org/officeDocument/2006/relationships/externalLinkPath" Target="/Documents%20and%20Settings/USER/My%20Documents/2007-8%20Folders/Financial%20Statments/January%2008/January%2008%20Workings/January%20%202008%20LIVESTOCK%20ANALYSIS%20PIGS.xls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January%202009/January%202009%20Reports/January%202009%20Balance%20Sheet%20Schedule.xls" TargetMode="External"/><Relationship Id="rId1" Type="http://schemas.openxmlformats.org/officeDocument/2006/relationships/externalLinkPath" Target="/Users/job/Documents/2008-9%20Folders/Financial%20Reports/January%202009/January%202009%20Reports/January%202009%20Balance%20Sheet%20Schedule.xls" TargetMode="External"/></Relationships>
</file>

<file path=xl/externalLinks/_rels/externalLink1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rippleC/Documents/Financial%20Statement%202017/REPORTING%202017/January%202017/Slaughter%20Summary%20January%202017/Slaughter%20summary%20January%202017.xlsx" TargetMode="External"/><Relationship Id="rId1" Type="http://schemas.openxmlformats.org/officeDocument/2006/relationships/externalLinkPath" Target="/Users/TrippleC/Documents/Financial%20Statement%202017/REPORTING%202017/January%202017/Slaughter%20Summary%20January%202017/Slaughter%20summary%20January%202017.xlsx" TargetMode="External"/></Relationships>
</file>

<file path=xl/externalLinks/_rels/externalLink1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rippleC/Documents/Financial%20Statements%202016/Reporting%20FY2016/September%202015/Slaughter%20summaries/Slaughter%20summary%20September%202015.xlsx" TargetMode="External"/><Relationship Id="rId1" Type="http://schemas.openxmlformats.org/officeDocument/2006/relationships/externalLinkPath" Target="/Users/TrippleC/Documents/Financial%20Statements%202016/Reporting%20FY2016/September%202015/Slaughter%20summaries/Slaughter%20summary%20September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rasmere"/>
      <sheetName val="Villa"/>
      <sheetName val="Richlands"/>
      <sheetName val="Lionshead"/>
      <sheetName val="CCC"/>
      <sheetName val="Total Pigs"/>
      <sheetName val="Feed Consumed"/>
      <sheetName val="Feed costing &amp; Allocation"/>
      <sheetName val="FCA RData"/>
      <sheetName val="non current"/>
    </sheetNames>
    <sheetDataSet>
      <sheetData sheetId="0" refreshError="1">
        <row r="2">
          <cell r="B2">
            <v>1</v>
          </cell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  <cell r="N2">
            <v>13</v>
          </cell>
          <cell r="O2">
            <v>14</v>
          </cell>
          <cell r="P2">
            <v>15</v>
          </cell>
          <cell r="Q2">
            <v>16</v>
          </cell>
          <cell r="R2">
            <v>17</v>
          </cell>
          <cell r="S2">
            <v>18</v>
          </cell>
          <cell r="T2">
            <v>19</v>
          </cell>
          <cell r="U2">
            <v>20</v>
          </cell>
          <cell r="V2">
            <v>21</v>
          </cell>
          <cell r="W2">
            <v>22</v>
          </cell>
          <cell r="X2">
            <v>23</v>
          </cell>
          <cell r="Y2">
            <v>24</v>
          </cell>
          <cell r="Z2">
            <v>25</v>
          </cell>
          <cell r="AA2">
            <v>26</v>
          </cell>
          <cell r="AB2">
            <v>27</v>
          </cell>
          <cell r="AC2">
            <v>28</v>
          </cell>
          <cell r="AD2">
            <v>29</v>
          </cell>
          <cell r="AE2">
            <v>30</v>
          </cell>
          <cell r="AF2">
            <v>31</v>
          </cell>
          <cell r="AG2">
            <v>32</v>
          </cell>
          <cell r="AH2">
            <v>33</v>
          </cell>
          <cell r="AI2">
            <v>34</v>
          </cell>
          <cell r="AJ2">
            <v>35</v>
          </cell>
          <cell r="AK2">
            <v>36</v>
          </cell>
          <cell r="AL2">
            <v>37</v>
          </cell>
          <cell r="AM2">
            <v>38</v>
          </cell>
          <cell r="AN2">
            <v>39</v>
          </cell>
        </row>
        <row r="4">
          <cell r="B4">
            <v>23</v>
          </cell>
          <cell r="C4">
            <v>24</v>
          </cell>
          <cell r="D4">
            <v>25</v>
          </cell>
          <cell r="E4">
            <v>26</v>
          </cell>
          <cell r="F4">
            <v>27</v>
          </cell>
          <cell r="G4">
            <v>28</v>
          </cell>
          <cell r="H4">
            <v>29</v>
          </cell>
          <cell r="I4">
            <v>30</v>
          </cell>
          <cell r="J4">
            <v>31</v>
          </cell>
          <cell r="K4">
            <v>32</v>
          </cell>
          <cell r="L4">
            <v>33</v>
          </cell>
          <cell r="M4">
            <v>34</v>
          </cell>
          <cell r="N4">
            <v>35</v>
          </cell>
          <cell r="O4">
            <v>36</v>
          </cell>
          <cell r="P4">
            <v>37</v>
          </cell>
          <cell r="Q4">
            <v>38</v>
          </cell>
          <cell r="R4">
            <v>39</v>
          </cell>
          <cell r="S4">
            <v>40</v>
          </cell>
          <cell r="T4">
            <v>41</v>
          </cell>
          <cell r="U4">
            <v>42</v>
          </cell>
          <cell r="V4">
            <v>43</v>
          </cell>
          <cell r="W4">
            <v>44</v>
          </cell>
          <cell r="X4">
            <v>45</v>
          </cell>
          <cell r="Y4">
            <v>46</v>
          </cell>
          <cell r="Z4">
            <v>47</v>
          </cell>
          <cell r="AA4">
            <v>48</v>
          </cell>
          <cell r="AB4">
            <v>49</v>
          </cell>
          <cell r="AC4">
            <v>50</v>
          </cell>
          <cell r="AD4">
            <v>51</v>
          </cell>
          <cell r="AE4">
            <v>52</v>
          </cell>
          <cell r="AF4">
            <v>1</v>
          </cell>
          <cell r="AG4">
            <v>2</v>
          </cell>
          <cell r="AH4">
            <v>3</v>
          </cell>
          <cell r="AI4">
            <v>4</v>
          </cell>
          <cell r="AJ4">
            <v>5</v>
          </cell>
          <cell r="AK4">
            <v>6</v>
          </cell>
          <cell r="AL4">
            <v>7</v>
          </cell>
          <cell r="AM4">
            <v>8</v>
          </cell>
          <cell r="AN4">
            <v>9</v>
          </cell>
        </row>
        <row r="5">
          <cell r="B5">
            <v>-16</v>
          </cell>
          <cell r="C5">
            <v>-15</v>
          </cell>
          <cell r="D5">
            <v>-14</v>
          </cell>
          <cell r="E5">
            <v>-13</v>
          </cell>
          <cell r="F5">
            <v>-12</v>
          </cell>
          <cell r="G5">
            <v>-11</v>
          </cell>
          <cell r="H5">
            <v>-10</v>
          </cell>
          <cell r="I5">
            <v>-9</v>
          </cell>
          <cell r="J5">
            <v>-8</v>
          </cell>
          <cell r="K5">
            <v>-7</v>
          </cell>
          <cell r="L5">
            <v>-6</v>
          </cell>
          <cell r="M5">
            <v>-5</v>
          </cell>
          <cell r="N5">
            <v>-4</v>
          </cell>
          <cell r="O5">
            <v>-3</v>
          </cell>
          <cell r="P5">
            <v>-2</v>
          </cell>
          <cell r="Q5">
            <v>-1</v>
          </cell>
          <cell r="R5">
            <v>0</v>
          </cell>
          <cell r="S5">
            <v>1</v>
          </cell>
          <cell r="T5">
            <v>2</v>
          </cell>
          <cell r="U5">
            <v>3</v>
          </cell>
          <cell r="V5">
            <v>4</v>
          </cell>
          <cell r="W5">
            <v>5</v>
          </cell>
          <cell r="X5">
            <v>6</v>
          </cell>
          <cell r="Y5">
            <v>7</v>
          </cell>
          <cell r="Z5">
            <v>8</v>
          </cell>
          <cell r="AA5">
            <v>9</v>
          </cell>
          <cell r="AB5">
            <v>10</v>
          </cell>
          <cell r="AC5">
            <v>11</v>
          </cell>
          <cell r="AD5">
            <v>12</v>
          </cell>
          <cell r="AE5">
            <v>13</v>
          </cell>
          <cell r="AF5">
            <v>14</v>
          </cell>
          <cell r="AG5">
            <v>15</v>
          </cell>
          <cell r="AH5">
            <v>16</v>
          </cell>
          <cell r="AI5">
            <v>17</v>
          </cell>
          <cell r="AJ5">
            <v>18</v>
          </cell>
          <cell r="AK5">
            <v>19</v>
          </cell>
          <cell r="AL5">
            <v>20</v>
          </cell>
          <cell r="AM5">
            <v>21</v>
          </cell>
          <cell r="AN5">
            <v>22</v>
          </cell>
          <cell r="AO5" t="str">
            <v>Sold</v>
          </cell>
          <cell r="AP5" t="str">
            <v>Sold</v>
          </cell>
          <cell r="AQ5" t="str">
            <v>Sold</v>
          </cell>
          <cell r="AR5" t="str">
            <v>Sold</v>
          </cell>
          <cell r="AS5" t="str">
            <v>Sold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Sheet31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Porta Batch Mvnt"/>
      <sheetName val="Multiplier Batch Mvnt"/>
      <sheetName val="Cattle Mvnt"/>
      <sheetName val="Grasmere Imported Sows"/>
      <sheetName val="Grasmere Imported Boars"/>
      <sheetName val="Lionhead TN 60"/>
      <sheetName val="Lionhead Imported Boars"/>
      <sheetName val="Lionshead TN 70"/>
      <sheetName val="Villa Imported Boars"/>
      <sheetName val="Richlands Imported Boars"/>
      <sheetName val="Richlands A LINE"/>
      <sheetName val="Richlands TN60"/>
      <sheetName val="Summary Imported Valuation"/>
      <sheetName val="Porta TN70"/>
      <sheetName val="Porta Imported Boars"/>
      <sheetName val="Multiplier Imported Sows"/>
      <sheetName val="Multiplier Imported Boars "/>
      <sheetName val="Grasmere Imported Valuation"/>
      <sheetName val="Richlands Imported Valuation"/>
      <sheetName val="Summary Splits"/>
      <sheetName val="Lionhead Imported Valuation"/>
      <sheetName val="Porta Imported Valuation"/>
      <sheetName val="Multiplier Imported Valuation"/>
      <sheetName val="Mult Imported Valuation Summary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Porta Valuation"/>
      <sheetName val="Multiplier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Sheet30"/>
      <sheetName val="Richlands Pig Cost (2)"/>
      <sheetName val="Porta Pig Cost"/>
      <sheetName val="Multiplier Pig Cost "/>
      <sheetName val="CCC (2)"/>
      <sheetName val="Triple C Pigs"/>
      <sheetName val="Total Pigs"/>
      <sheetName val="Sheet28"/>
      <sheetName val="Non Current"/>
      <sheetName val="Feed Cost &amp; Allocation"/>
      <sheetName val="FCA RData"/>
      <sheetName val="Feed Consumed"/>
      <sheetName val="Sheet27"/>
      <sheetName val="Micro Packs Undercharge"/>
      <sheetName val="Sheet29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21">
          <cell r="G21">
            <v>48511.464</v>
          </cell>
        </row>
      </sheetData>
      <sheetData sheetId="54">
        <row r="29">
          <cell r="S29">
            <v>1022</v>
          </cell>
          <cell r="T29">
            <v>1483</v>
          </cell>
          <cell r="U29">
            <v>1359</v>
          </cell>
          <cell r="V29">
            <v>1396</v>
          </cell>
          <cell r="W29">
            <v>1085</v>
          </cell>
          <cell r="X29">
            <v>1059</v>
          </cell>
          <cell r="Y29">
            <v>1130</v>
          </cell>
          <cell r="Z29">
            <v>1063</v>
          </cell>
          <cell r="AA29">
            <v>998</v>
          </cell>
          <cell r="AB29">
            <v>1045</v>
          </cell>
          <cell r="AC29">
            <v>1039</v>
          </cell>
          <cell r="AD29">
            <v>991</v>
          </cell>
          <cell r="AE29">
            <v>983</v>
          </cell>
          <cell r="AF29">
            <v>1015</v>
          </cell>
          <cell r="AG29">
            <v>985</v>
          </cell>
          <cell r="AH29">
            <v>977</v>
          </cell>
          <cell r="AI29">
            <v>1051</v>
          </cell>
          <cell r="AJ29">
            <v>971</v>
          </cell>
          <cell r="AK29">
            <v>1027</v>
          </cell>
          <cell r="AL29">
            <v>1045</v>
          </cell>
          <cell r="AM29">
            <v>1031</v>
          </cell>
          <cell r="AN29">
            <v>947</v>
          </cell>
          <cell r="AO29">
            <v>967</v>
          </cell>
          <cell r="AP29">
            <v>0</v>
          </cell>
          <cell r="AU29">
            <v>24669</v>
          </cell>
        </row>
        <row r="62">
          <cell r="B62">
            <v>13243.318385650224</v>
          </cell>
          <cell r="C62">
            <v>13243.318385650224</v>
          </cell>
          <cell r="D62">
            <v>13243.318385650224</v>
          </cell>
          <cell r="E62">
            <v>13243.318385650224</v>
          </cell>
          <cell r="F62">
            <v>12183.852914798206</v>
          </cell>
          <cell r="G62">
            <v>21998.651121076229</v>
          </cell>
          <cell r="H62">
            <v>21998.651121076229</v>
          </cell>
          <cell r="I62">
            <v>21998.651121076229</v>
          </cell>
          <cell r="J62">
            <v>21998.651121076229</v>
          </cell>
          <cell r="K62">
            <v>31134.039013452915</v>
          </cell>
          <cell r="L62">
            <v>31134.039013452915</v>
          </cell>
          <cell r="M62">
            <v>31134.039013452915</v>
          </cell>
          <cell r="N62">
            <v>33782.702690582963</v>
          </cell>
          <cell r="O62">
            <v>44518.148878923763</v>
          </cell>
          <cell r="P62">
            <v>44518.148878923763</v>
          </cell>
          <cell r="Q62">
            <v>44518.148878923763</v>
          </cell>
          <cell r="R62">
            <v>56172.269058295962</v>
          </cell>
          <cell r="S62">
            <v>49359.802418847867</v>
          </cell>
          <cell r="T62">
            <v>73565.515797334549</v>
          </cell>
          <cell r="U62">
            <v>77365.766946042437</v>
          </cell>
          <cell r="V62">
            <v>64581.99628629419</v>
          </cell>
          <cell r="W62">
            <v>45084.531168574613</v>
          </cell>
          <cell r="X62">
            <v>54594.335809928823</v>
          </cell>
          <cell r="Y62">
            <v>81070.547557494312</v>
          </cell>
          <cell r="Z62">
            <v>112820.22141870076</v>
          </cell>
          <cell r="AA62">
            <v>104654.90820554663</v>
          </cell>
          <cell r="AB62">
            <v>90314.288392053437</v>
          </cell>
          <cell r="AC62">
            <v>111859.52429763724</v>
          </cell>
          <cell r="AD62">
            <v>151126.80988308456</v>
          </cell>
          <cell r="AE62">
            <v>186330.14965525831</v>
          </cell>
          <cell r="AF62">
            <v>174927.82151932191</v>
          </cell>
          <cell r="AG62">
            <v>191374.57598545516</v>
          </cell>
          <cell r="AH62">
            <v>210021.08824809693</v>
          </cell>
          <cell r="AI62">
            <v>290773.27683515527</v>
          </cell>
          <cell r="AJ62">
            <v>252535.04954581874</v>
          </cell>
          <cell r="AK62">
            <v>244780.00428946494</v>
          </cell>
          <cell r="AL62">
            <v>261649.54039104198</v>
          </cell>
          <cell r="AM62">
            <v>332034.40881627233</v>
          </cell>
          <cell r="AN62">
            <v>313011.43963597197</v>
          </cell>
          <cell r="AO62">
            <v>309590.51891822577</v>
          </cell>
          <cell r="AP62">
            <v>0</v>
          </cell>
          <cell r="AU62">
            <v>4253489.3883893359</v>
          </cell>
        </row>
      </sheetData>
      <sheetData sheetId="55"/>
      <sheetData sheetId="56">
        <row r="29"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425</v>
          </cell>
          <cell r="X29">
            <v>359</v>
          </cell>
          <cell r="Y29">
            <v>340</v>
          </cell>
          <cell r="Z29">
            <v>403</v>
          </cell>
          <cell r="AA29">
            <v>412</v>
          </cell>
          <cell r="AB29">
            <v>356</v>
          </cell>
          <cell r="AC29">
            <v>417</v>
          </cell>
          <cell r="AD29">
            <v>411</v>
          </cell>
          <cell r="AE29">
            <v>421</v>
          </cell>
          <cell r="AF29">
            <v>419</v>
          </cell>
          <cell r="AG29">
            <v>401</v>
          </cell>
          <cell r="AH29">
            <v>330</v>
          </cell>
          <cell r="AI29">
            <v>325</v>
          </cell>
          <cell r="AJ29">
            <v>408</v>
          </cell>
          <cell r="AK29">
            <v>368</v>
          </cell>
          <cell r="AL29">
            <v>346</v>
          </cell>
          <cell r="AM29">
            <v>363</v>
          </cell>
          <cell r="AN29">
            <v>398</v>
          </cell>
          <cell r="AO29">
            <v>413</v>
          </cell>
          <cell r="AP29">
            <v>0</v>
          </cell>
          <cell r="AU29">
            <v>7315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20717.376150601285</v>
          </cell>
          <cell r="X62">
            <v>28350.524256106055</v>
          </cell>
          <cell r="Y62">
            <v>35964.593331697062</v>
          </cell>
          <cell r="Z62">
            <v>35704.594456268831</v>
          </cell>
          <cell r="AA62">
            <v>39232.523542033647</v>
          </cell>
          <cell r="AB62">
            <v>40044.079452592348</v>
          </cell>
          <cell r="AC62">
            <v>56546.490850901791</v>
          </cell>
          <cell r="AD62">
            <v>66523.207490817964</v>
          </cell>
          <cell r="AE62">
            <v>65941.65860276969</v>
          </cell>
          <cell r="AF62">
            <v>70424.588628810117</v>
          </cell>
          <cell r="AG62">
            <v>81357.634307193643</v>
          </cell>
          <cell r="AH62">
            <v>110423.11068994246</v>
          </cell>
          <cell r="AI62">
            <v>108477.26714852818</v>
          </cell>
          <cell r="AJ62">
            <v>102176.72018541936</v>
          </cell>
          <cell r="AK62">
            <v>100152.27348336639</v>
          </cell>
          <cell r="AL62">
            <v>102281.97009406786</v>
          </cell>
          <cell r="AM62">
            <v>144193.37104089884</v>
          </cell>
          <cell r="AN62">
            <v>162116.99463299467</v>
          </cell>
          <cell r="AO62">
            <v>97555.418827264744</v>
          </cell>
          <cell r="AP62">
            <v>0</v>
          </cell>
          <cell r="AU62">
            <v>1468184.3971722752</v>
          </cell>
        </row>
      </sheetData>
      <sheetData sheetId="57"/>
      <sheetData sheetId="58">
        <row r="29">
          <cell r="S29">
            <v>388</v>
          </cell>
          <cell r="T29">
            <v>701</v>
          </cell>
          <cell r="U29">
            <v>651</v>
          </cell>
          <cell r="V29">
            <v>647</v>
          </cell>
          <cell r="W29">
            <v>648</v>
          </cell>
          <cell r="X29">
            <v>648</v>
          </cell>
          <cell r="Y29">
            <v>647</v>
          </cell>
          <cell r="Z29">
            <v>644</v>
          </cell>
          <cell r="AA29">
            <v>643</v>
          </cell>
          <cell r="AB29">
            <v>619</v>
          </cell>
          <cell r="AC29">
            <v>578</v>
          </cell>
          <cell r="AD29">
            <v>588</v>
          </cell>
          <cell r="AE29">
            <v>597</v>
          </cell>
          <cell r="AF29">
            <v>640</v>
          </cell>
          <cell r="AG29">
            <v>642</v>
          </cell>
          <cell r="AH29">
            <v>639</v>
          </cell>
          <cell r="AI29">
            <v>618</v>
          </cell>
          <cell r="AJ29">
            <v>577</v>
          </cell>
          <cell r="AK29">
            <v>624</v>
          </cell>
          <cell r="AL29">
            <v>625</v>
          </cell>
          <cell r="AM29">
            <v>623</v>
          </cell>
          <cell r="AN29">
            <v>578</v>
          </cell>
          <cell r="AO29">
            <v>7</v>
          </cell>
          <cell r="AP29">
            <v>1</v>
          </cell>
          <cell r="AU29">
            <v>13573</v>
          </cell>
        </row>
        <row r="62">
          <cell r="B62">
            <v>6226.513452914799</v>
          </cell>
          <cell r="C62">
            <v>6226.513452914799</v>
          </cell>
          <cell r="D62">
            <v>6226.513452914799</v>
          </cell>
          <cell r="E62">
            <v>6226.513452914799</v>
          </cell>
          <cell r="F62">
            <v>5728.3923766816151</v>
          </cell>
          <cell r="G62">
            <v>10494.838565022421</v>
          </cell>
          <cell r="H62">
            <v>10494.838565022421</v>
          </cell>
          <cell r="I62">
            <v>10494.838565022421</v>
          </cell>
          <cell r="J62">
            <v>10494.838565022421</v>
          </cell>
          <cell r="K62">
            <v>14730.849103139013</v>
          </cell>
          <cell r="L62">
            <v>14730.849103139013</v>
          </cell>
          <cell r="M62">
            <v>14730.849103139013</v>
          </cell>
          <cell r="N62">
            <v>15976.151793721972</v>
          </cell>
          <cell r="O62">
            <v>21555.566143497759</v>
          </cell>
          <cell r="P62">
            <v>21555.566143497759</v>
          </cell>
          <cell r="Q62">
            <v>21555.566143497759</v>
          </cell>
          <cell r="R62">
            <v>27034.897982062779</v>
          </cell>
          <cell r="S62">
            <v>20956.606890230865</v>
          </cell>
          <cell r="T62">
            <v>30694.929010317628</v>
          </cell>
          <cell r="U62">
            <v>30841.476909444365</v>
          </cell>
          <cell r="V62">
            <v>34888.197569743876</v>
          </cell>
          <cell r="W62">
            <v>26405.919852863284</v>
          </cell>
          <cell r="X62">
            <v>37339.43407039639</v>
          </cell>
          <cell r="Y62">
            <v>52689.572766949204</v>
          </cell>
          <cell r="Z62">
            <v>64856.511478656183</v>
          </cell>
          <cell r="AA62">
            <v>59660.83207603007</v>
          </cell>
          <cell r="AB62">
            <v>58961.057075354882</v>
          </cell>
          <cell r="AC62">
            <v>77593.090548232954</v>
          </cell>
          <cell r="AD62">
            <v>99914.36717109126</v>
          </cell>
          <cell r="AE62">
            <v>107097.09372835318</v>
          </cell>
          <cell r="AF62">
            <v>95955.143718703097</v>
          </cell>
          <cell r="AG62">
            <v>118095.77220837252</v>
          </cell>
          <cell r="AH62">
            <v>136863.31211652415</v>
          </cell>
          <cell r="AI62">
            <v>156012.24613015639</v>
          </cell>
          <cell r="AJ62">
            <v>151695.6529831464</v>
          </cell>
          <cell r="AK62">
            <v>182172.9835702581</v>
          </cell>
          <cell r="AL62">
            <v>193939.16033163029</v>
          </cell>
          <cell r="AM62">
            <v>241954.06474609996</v>
          </cell>
          <cell r="AN62">
            <v>225095.8455695562</v>
          </cell>
          <cell r="AO62">
            <v>1869.3402760362078</v>
          </cell>
          <cell r="AP62">
            <v>304.77308172933408</v>
          </cell>
          <cell r="AU62">
            <v>2430341.4798440025</v>
          </cell>
        </row>
      </sheetData>
      <sheetData sheetId="59"/>
      <sheetData sheetId="60">
        <row r="29"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106</v>
          </cell>
          <cell r="X29">
            <v>175</v>
          </cell>
          <cell r="Y29">
            <v>101</v>
          </cell>
          <cell r="Z29">
            <v>111</v>
          </cell>
          <cell r="AA29">
            <v>40</v>
          </cell>
          <cell r="AB29">
            <v>190</v>
          </cell>
          <cell r="AC29">
            <v>182</v>
          </cell>
          <cell r="AD29">
            <v>182</v>
          </cell>
          <cell r="AE29">
            <v>177</v>
          </cell>
          <cell r="AF29">
            <v>238</v>
          </cell>
          <cell r="AG29">
            <v>268</v>
          </cell>
          <cell r="AH29">
            <v>222</v>
          </cell>
          <cell r="AI29">
            <v>214</v>
          </cell>
          <cell r="AJ29">
            <v>193</v>
          </cell>
          <cell r="AK29">
            <v>211</v>
          </cell>
          <cell r="AL29">
            <v>157</v>
          </cell>
          <cell r="AM29">
            <v>238</v>
          </cell>
          <cell r="AN29">
            <v>186</v>
          </cell>
          <cell r="AO29">
            <v>0</v>
          </cell>
          <cell r="AP29">
            <v>0</v>
          </cell>
          <cell r="AU29">
            <v>3191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5668.4852430220726</v>
          </cell>
          <cell r="X62">
            <v>7763.7111386916895</v>
          </cell>
          <cell r="Y62">
            <v>6964.7886083626308</v>
          </cell>
          <cell r="Z62">
            <v>12286.081899592058</v>
          </cell>
          <cell r="AA62">
            <v>4282.563027581813</v>
          </cell>
          <cell r="AB62">
            <v>20430.89756213392</v>
          </cell>
          <cell r="AC62">
            <v>25050.521114715382</v>
          </cell>
          <cell r="AD62">
            <v>31963.724944349553</v>
          </cell>
          <cell r="AE62">
            <v>29880.363261537052</v>
          </cell>
          <cell r="AF62">
            <v>32429.873090025314</v>
          </cell>
          <cell r="AG62">
            <v>53500.173811254695</v>
          </cell>
          <cell r="AH62">
            <v>44130.069622258423</v>
          </cell>
          <cell r="AI62">
            <v>47167.219921550815</v>
          </cell>
          <cell r="AJ62">
            <v>45554.525751417532</v>
          </cell>
          <cell r="AK62">
            <v>56493.179764876942</v>
          </cell>
          <cell r="AL62">
            <v>49058.827712842569</v>
          </cell>
          <cell r="AM62">
            <v>74063.844213070755</v>
          </cell>
          <cell r="AN62">
            <v>60595.386555386678</v>
          </cell>
          <cell r="AO62">
            <v>0</v>
          </cell>
          <cell r="AP62">
            <v>0</v>
          </cell>
          <cell r="AU62">
            <v>607284.23724266991</v>
          </cell>
        </row>
      </sheetData>
      <sheetData sheetId="61"/>
      <sheetData sheetId="62">
        <row r="29">
          <cell r="S29">
            <v>144</v>
          </cell>
          <cell r="T29">
            <v>288</v>
          </cell>
          <cell r="U29">
            <v>278</v>
          </cell>
          <cell r="V29">
            <v>293</v>
          </cell>
          <cell r="W29">
            <v>179</v>
          </cell>
          <cell r="X29">
            <v>155</v>
          </cell>
          <cell r="Y29">
            <v>193</v>
          </cell>
          <cell r="Z29">
            <v>196</v>
          </cell>
          <cell r="AA29">
            <v>185</v>
          </cell>
          <cell r="AB29">
            <v>181</v>
          </cell>
          <cell r="AC29">
            <v>175</v>
          </cell>
          <cell r="AD29">
            <v>174</v>
          </cell>
          <cell r="AE29">
            <v>172</v>
          </cell>
          <cell r="AF29">
            <v>182</v>
          </cell>
          <cell r="AG29">
            <v>163</v>
          </cell>
          <cell r="AH29">
            <v>183</v>
          </cell>
          <cell r="AI29">
            <v>182</v>
          </cell>
          <cell r="AJ29">
            <v>150</v>
          </cell>
          <cell r="AK29">
            <v>174</v>
          </cell>
          <cell r="AL29">
            <v>192</v>
          </cell>
          <cell r="AM29">
            <v>186</v>
          </cell>
          <cell r="AN29">
            <v>172</v>
          </cell>
          <cell r="AO29">
            <v>165</v>
          </cell>
          <cell r="AP29">
            <v>14</v>
          </cell>
          <cell r="AU29">
            <v>4376</v>
          </cell>
        </row>
        <row r="62">
          <cell r="B62">
            <v>2232.7354260089683</v>
          </cell>
          <cell r="C62">
            <v>2232.7354260089683</v>
          </cell>
          <cell r="D62">
            <v>2232.7354260089683</v>
          </cell>
          <cell r="E62">
            <v>2232.7354260089683</v>
          </cell>
          <cell r="F62">
            <v>2054.1165919282507</v>
          </cell>
          <cell r="G62">
            <v>3796.941704035874</v>
          </cell>
          <cell r="H62">
            <v>3796.941704035874</v>
          </cell>
          <cell r="I62">
            <v>3796.941704035874</v>
          </cell>
          <cell r="J62">
            <v>3796.941704035874</v>
          </cell>
          <cell r="K62">
            <v>5297.7623318385649</v>
          </cell>
          <cell r="L62">
            <v>5297.7623318385649</v>
          </cell>
          <cell r="M62">
            <v>5297.7623318385649</v>
          </cell>
          <cell r="N62">
            <v>5744.3094170403583</v>
          </cell>
          <cell r="O62">
            <v>7705.5784753363223</v>
          </cell>
          <cell r="P62">
            <v>7705.5784753363223</v>
          </cell>
          <cell r="Q62">
            <v>7705.5784753363223</v>
          </cell>
          <cell r="R62">
            <v>9670.3856502242161</v>
          </cell>
          <cell r="S62">
            <v>8664.2349995261302</v>
          </cell>
          <cell r="T62">
            <v>12727.093958760704</v>
          </cell>
          <cell r="U62">
            <v>14524.685806288622</v>
          </cell>
          <cell r="V62">
            <v>7346.2398966682103</v>
          </cell>
          <cell r="W62">
            <v>5877.1335924407504</v>
          </cell>
          <cell r="X62">
            <v>11883.648073656477</v>
          </cell>
          <cell r="Y62">
            <v>17893.477643473921</v>
          </cell>
          <cell r="Z62">
            <v>19015.522580923622</v>
          </cell>
          <cell r="AA62">
            <v>16448.240269012451</v>
          </cell>
          <cell r="AB62">
            <v>13110.052557278563</v>
          </cell>
          <cell r="AC62">
            <v>17940.9176727997</v>
          </cell>
          <cell r="AD62">
            <v>31156.382108887919</v>
          </cell>
          <cell r="AE62">
            <v>31084.044715062144</v>
          </cell>
          <cell r="AF62">
            <v>33304.512418390761</v>
          </cell>
          <cell r="AG62">
            <v>36474.984852637812</v>
          </cell>
          <cell r="AH62">
            <v>38833.822557355787</v>
          </cell>
          <cell r="AI62">
            <v>46243.070424345024</v>
          </cell>
          <cell r="AJ62">
            <v>36288.057477391769</v>
          </cell>
          <cell r="AK62">
            <v>50619.792227298261</v>
          </cell>
          <cell r="AL62">
            <v>57291.956766210693</v>
          </cell>
          <cell r="AM62">
            <v>68090.44583340922</v>
          </cell>
          <cell r="AN62">
            <v>60960.982440773252</v>
          </cell>
          <cell r="AO62">
            <v>36216.434917285733</v>
          </cell>
          <cell r="AP62">
            <v>3713.8168374756278</v>
          </cell>
          <cell r="AU62">
            <v>756307.09322825016</v>
          </cell>
        </row>
      </sheetData>
      <sheetData sheetId="63"/>
      <sheetData sheetId="64">
        <row r="29">
          <cell r="S29">
            <v>345</v>
          </cell>
          <cell r="T29">
            <v>678</v>
          </cell>
          <cell r="U29">
            <v>636</v>
          </cell>
          <cell r="V29">
            <v>634</v>
          </cell>
          <cell r="W29">
            <v>674</v>
          </cell>
          <cell r="X29">
            <v>676</v>
          </cell>
          <cell r="Y29">
            <v>663</v>
          </cell>
          <cell r="Z29">
            <v>661</v>
          </cell>
          <cell r="AA29">
            <v>664</v>
          </cell>
          <cell r="AB29">
            <v>553</v>
          </cell>
          <cell r="AC29">
            <v>531</v>
          </cell>
          <cell r="AD29">
            <v>497</v>
          </cell>
          <cell r="AE29">
            <v>529</v>
          </cell>
          <cell r="AF29">
            <v>518</v>
          </cell>
          <cell r="AG29">
            <v>513</v>
          </cell>
          <cell r="AH29">
            <v>531</v>
          </cell>
          <cell r="AI29">
            <v>603</v>
          </cell>
          <cell r="AJ29">
            <v>617</v>
          </cell>
          <cell r="AK29">
            <v>518</v>
          </cell>
          <cell r="AL29">
            <v>545</v>
          </cell>
          <cell r="AM29">
            <v>556</v>
          </cell>
          <cell r="AN29">
            <v>15</v>
          </cell>
          <cell r="AO29">
            <v>0</v>
          </cell>
          <cell r="AP29">
            <v>0</v>
          </cell>
          <cell r="AU29">
            <v>12157</v>
          </cell>
        </row>
        <row r="62">
          <cell r="B62">
            <v>5039.3497757847535</v>
          </cell>
          <cell r="C62">
            <v>5039.3497757847535</v>
          </cell>
          <cell r="D62">
            <v>5039.3497757847535</v>
          </cell>
          <cell r="E62">
            <v>5039.3497757847535</v>
          </cell>
          <cell r="F62">
            <v>4636.2017937219734</v>
          </cell>
          <cell r="G62">
            <v>9699.6547085201819</v>
          </cell>
          <cell r="H62">
            <v>9699.6547085201819</v>
          </cell>
          <cell r="I62">
            <v>9699.6547085201819</v>
          </cell>
          <cell r="J62">
            <v>9699.6547085201819</v>
          </cell>
          <cell r="K62">
            <v>13927.762331838567</v>
          </cell>
          <cell r="L62">
            <v>13927.762331838567</v>
          </cell>
          <cell r="M62">
            <v>13927.762331838567</v>
          </cell>
          <cell r="N62">
            <v>14935.632286995518</v>
          </cell>
          <cell r="O62">
            <v>19564.97757847534</v>
          </cell>
          <cell r="P62">
            <v>19564.97757847534</v>
          </cell>
          <cell r="Q62">
            <v>19564.97757847534</v>
          </cell>
          <cell r="R62">
            <v>23999.605381165922</v>
          </cell>
          <cell r="S62">
            <v>25058.770494161203</v>
          </cell>
          <cell r="T62">
            <v>36230.018729131021</v>
          </cell>
          <cell r="U62">
            <v>39534.140218234003</v>
          </cell>
          <cell r="V62">
            <v>27597.945032630956</v>
          </cell>
          <cell r="W62">
            <v>26302.674166906545</v>
          </cell>
          <cell r="X62">
            <v>35810.747892366606</v>
          </cell>
          <cell r="Y62">
            <v>46856.773855366977</v>
          </cell>
          <cell r="Z62">
            <v>58747.230762179221</v>
          </cell>
          <cell r="AA62">
            <v>81001.680225650314</v>
          </cell>
          <cell r="AB62">
            <v>71637.522477687002</v>
          </cell>
          <cell r="AC62">
            <v>82136.370421822838</v>
          </cell>
          <cell r="AD62">
            <v>67385.621061993661</v>
          </cell>
          <cell r="AE62">
            <v>72845.759597978191</v>
          </cell>
          <cell r="AF62">
            <v>101702.50684399251</v>
          </cell>
          <cell r="AG62">
            <v>110613.71186075013</v>
          </cell>
          <cell r="AH62">
            <v>157594.56294394442</v>
          </cell>
          <cell r="AI62">
            <v>132533.49225977238</v>
          </cell>
          <cell r="AJ62">
            <v>151191.69231159752</v>
          </cell>
          <cell r="AK62">
            <v>151196.47666449947</v>
          </cell>
          <cell r="AL62">
            <v>163810.66319629271</v>
          </cell>
          <cell r="AM62">
            <v>178446.5612536569</v>
          </cell>
          <cell r="AN62">
            <v>3742.339597338665</v>
          </cell>
          <cell r="AO62">
            <v>2.9103830456733704E-11</v>
          </cell>
          <cell r="AP62">
            <v>0</v>
          </cell>
          <cell r="AU62">
            <v>2024982.9389979979</v>
          </cell>
        </row>
      </sheetData>
      <sheetData sheetId="65"/>
      <sheetData sheetId="66"/>
      <sheetData sheetId="67">
        <row r="29">
          <cell r="S29">
            <v>544</v>
          </cell>
          <cell r="T29">
            <v>704</v>
          </cell>
          <cell r="U29">
            <v>764</v>
          </cell>
          <cell r="V29">
            <v>737</v>
          </cell>
          <cell r="W29">
            <v>619</v>
          </cell>
          <cell r="X29">
            <v>649</v>
          </cell>
          <cell r="Y29">
            <v>663</v>
          </cell>
          <cell r="Z29">
            <v>666</v>
          </cell>
          <cell r="AA29">
            <v>622</v>
          </cell>
          <cell r="AB29">
            <v>642</v>
          </cell>
          <cell r="AC29">
            <v>670</v>
          </cell>
          <cell r="AD29">
            <v>608</v>
          </cell>
          <cell r="AE29">
            <v>636</v>
          </cell>
          <cell r="AF29">
            <v>656</v>
          </cell>
          <cell r="AG29">
            <v>640</v>
          </cell>
          <cell r="AH29">
            <v>653</v>
          </cell>
          <cell r="AI29">
            <v>658</v>
          </cell>
          <cell r="AJ29">
            <v>610</v>
          </cell>
          <cell r="AK29">
            <v>630</v>
          </cell>
          <cell r="AL29">
            <v>668</v>
          </cell>
          <cell r="AM29">
            <v>677</v>
          </cell>
          <cell r="AN29">
            <v>641</v>
          </cell>
          <cell r="AO29">
            <v>670</v>
          </cell>
          <cell r="AP29">
            <v>0</v>
          </cell>
          <cell r="AU29">
            <v>15027</v>
          </cell>
        </row>
        <row r="62">
          <cell r="B62">
            <v>4583.5762331838569</v>
          </cell>
          <cell r="C62">
            <v>4583.5762331838569</v>
          </cell>
          <cell r="D62">
            <v>4583.5762331838569</v>
          </cell>
          <cell r="E62">
            <v>4583.5762331838569</v>
          </cell>
          <cell r="F62">
            <v>4216.8901345291479</v>
          </cell>
          <cell r="G62">
            <v>8393.9080717488796</v>
          </cell>
          <cell r="H62">
            <v>8393.9080717488796</v>
          </cell>
          <cell r="I62">
            <v>8393.9080717488796</v>
          </cell>
          <cell r="J62">
            <v>8393.9080717488796</v>
          </cell>
          <cell r="K62">
            <v>12568.670403587446</v>
          </cell>
          <cell r="L62">
            <v>12568.670403587446</v>
          </cell>
          <cell r="M62">
            <v>12568.670403587446</v>
          </cell>
          <cell r="N62">
            <v>13485.385650224216</v>
          </cell>
          <cell r="O62">
            <v>18492.49686098655</v>
          </cell>
          <cell r="P62">
            <v>18492.49686098655</v>
          </cell>
          <cell r="Q62">
            <v>18492.49686098655</v>
          </cell>
          <cell r="R62">
            <v>22526.043946188343</v>
          </cell>
          <cell r="S62">
            <v>25056.325144293325</v>
          </cell>
          <cell r="T62">
            <v>31689.089088700253</v>
          </cell>
          <cell r="U62">
            <v>32962.654748013272</v>
          </cell>
          <cell r="V62">
            <v>43565.685707057237</v>
          </cell>
          <cell r="W62">
            <v>43871.640820978275</v>
          </cell>
          <cell r="X62">
            <v>27811.930165754944</v>
          </cell>
          <cell r="Y62">
            <v>36001.14949636026</v>
          </cell>
          <cell r="Z62">
            <v>38061.62191314192</v>
          </cell>
          <cell r="AA62">
            <v>69585.040958110592</v>
          </cell>
          <cell r="AB62">
            <v>79918.628715572675</v>
          </cell>
          <cell r="AC62">
            <v>81144.207289872298</v>
          </cell>
          <cell r="AD62">
            <v>85031.12870573267</v>
          </cell>
          <cell r="AE62">
            <v>92807.403801830165</v>
          </cell>
          <cell r="AF62">
            <v>129874.08757022703</v>
          </cell>
          <cell r="AG62">
            <v>124138.86834935205</v>
          </cell>
          <cell r="AH62">
            <v>148563.36459074172</v>
          </cell>
          <cell r="AI62">
            <v>156812.50200992342</v>
          </cell>
          <cell r="AJ62">
            <v>182174.50179897141</v>
          </cell>
          <cell r="AK62">
            <v>177863.29335979198</v>
          </cell>
          <cell r="AL62">
            <v>194265.10692258007</v>
          </cell>
          <cell r="AM62">
            <v>217550.21562349188</v>
          </cell>
          <cell r="AN62">
            <v>170792.49801598492</v>
          </cell>
          <cell r="AO62">
            <v>182934.31273425921</v>
          </cell>
          <cell r="AP62">
            <v>2.9103830456733704E-11</v>
          </cell>
          <cell r="AU62">
            <v>2557797.0162751358</v>
          </cell>
        </row>
      </sheetData>
      <sheetData sheetId="68">
        <row r="29">
          <cell r="S29">
            <v>264</v>
          </cell>
          <cell r="T29">
            <v>261</v>
          </cell>
          <cell r="U29">
            <v>215</v>
          </cell>
          <cell r="V29">
            <v>288</v>
          </cell>
          <cell r="W29">
            <v>195</v>
          </cell>
          <cell r="X29">
            <v>173</v>
          </cell>
          <cell r="Y29">
            <v>206</v>
          </cell>
          <cell r="Z29">
            <v>201</v>
          </cell>
          <cell r="AA29">
            <v>188</v>
          </cell>
          <cell r="AB29">
            <v>225</v>
          </cell>
          <cell r="AC29">
            <v>232</v>
          </cell>
          <cell r="AD29">
            <v>227</v>
          </cell>
          <cell r="AE29">
            <v>226</v>
          </cell>
          <cell r="AF29">
            <v>234</v>
          </cell>
          <cell r="AG29">
            <v>237</v>
          </cell>
          <cell r="AH29">
            <v>199</v>
          </cell>
          <cell r="AI29">
            <v>207</v>
          </cell>
          <cell r="AJ29">
            <v>234</v>
          </cell>
          <cell r="AK29">
            <v>222</v>
          </cell>
          <cell r="AL29">
            <v>226</v>
          </cell>
          <cell r="AM29">
            <v>235</v>
          </cell>
          <cell r="AN29">
            <v>238</v>
          </cell>
          <cell r="AO29">
            <v>0</v>
          </cell>
          <cell r="AP29">
            <v>0</v>
          </cell>
          <cell r="AU29">
            <v>4933</v>
          </cell>
        </row>
        <row r="62">
          <cell r="B62">
            <v>2339.6860986547085</v>
          </cell>
          <cell r="C62">
            <v>2339.6860986547085</v>
          </cell>
          <cell r="D62">
            <v>2339.6860986547085</v>
          </cell>
          <cell r="E62">
            <v>2339.6860986547085</v>
          </cell>
          <cell r="F62">
            <v>2152.5112107623313</v>
          </cell>
          <cell r="G62">
            <v>4064.8991031390128</v>
          </cell>
          <cell r="H62">
            <v>4064.8991031390128</v>
          </cell>
          <cell r="I62">
            <v>4064.8991031390128</v>
          </cell>
          <cell r="J62">
            <v>4064.8991031390128</v>
          </cell>
          <cell r="K62">
            <v>6467.961883408072</v>
          </cell>
          <cell r="L62">
            <v>6467.961883408072</v>
          </cell>
          <cell r="M62">
            <v>6467.961883408072</v>
          </cell>
          <cell r="N62">
            <v>6935.8991031390133</v>
          </cell>
          <cell r="O62">
            <v>8710.3946188340815</v>
          </cell>
          <cell r="P62">
            <v>8710.3946188340815</v>
          </cell>
          <cell r="Q62">
            <v>8710.3946188340815</v>
          </cell>
          <cell r="R62">
            <v>10769.318385650226</v>
          </cell>
          <cell r="S62">
            <v>9762.6085132610879</v>
          </cell>
          <cell r="T62">
            <v>13789.962057932104</v>
          </cell>
          <cell r="U62">
            <v>15943.681266562227</v>
          </cell>
          <cell r="V62">
            <v>11006.298515322034</v>
          </cell>
          <cell r="W62">
            <v>8062.079150163976</v>
          </cell>
          <cell r="X62">
            <v>13630.735807204252</v>
          </cell>
          <cell r="Y62">
            <v>18339.083238815798</v>
          </cell>
          <cell r="Z62">
            <v>26601.620602548832</v>
          </cell>
          <cell r="AA62">
            <v>24718.02980194864</v>
          </cell>
          <cell r="AB62">
            <v>21741.118703304306</v>
          </cell>
          <cell r="AC62">
            <v>28594.114276911863</v>
          </cell>
          <cell r="AD62">
            <v>32290.418149810386</v>
          </cell>
          <cell r="AE62">
            <v>36319.727362421159</v>
          </cell>
          <cell r="AF62">
            <v>33557.98028701458</v>
          </cell>
          <cell r="AG62">
            <v>39672.605716493177</v>
          </cell>
          <cell r="AH62">
            <v>36696.877789643702</v>
          </cell>
          <cell r="AI62">
            <v>49439.204861527003</v>
          </cell>
          <cell r="AJ62">
            <v>51093.861443200374</v>
          </cell>
          <cell r="AK62">
            <v>58347.795051657209</v>
          </cell>
          <cell r="AL62">
            <v>62862.166779361491</v>
          </cell>
          <cell r="AM62">
            <v>75509.589519880174</v>
          </cell>
          <cell r="AN62">
            <v>74486.976403711218</v>
          </cell>
          <cell r="AO62">
            <v>0</v>
          </cell>
          <cell r="AP62">
            <v>0</v>
          </cell>
          <cell r="AU62">
            <v>833477.67431214848</v>
          </cell>
        </row>
      </sheetData>
      <sheetData sheetId="69"/>
      <sheetData sheetId="70">
        <row r="63">
          <cell r="AV63">
            <v>14931864.225461815</v>
          </cell>
        </row>
      </sheetData>
      <sheetData sheetId="71">
        <row r="37">
          <cell r="B37">
            <v>2009906.6592337792</v>
          </cell>
          <cell r="C37">
            <v>488562.45131405513</v>
          </cell>
          <cell r="G37">
            <v>325363.58463262027</v>
          </cell>
          <cell r="H37">
            <v>593658.56637388456</v>
          </cell>
        </row>
        <row r="72">
          <cell r="B72">
            <v>374641.85727085965</v>
          </cell>
          <cell r="C72">
            <v>91470.270352513544</v>
          </cell>
          <cell r="G72">
            <v>181219.41506708908</v>
          </cell>
          <cell r="H72">
            <v>14225.029177382819</v>
          </cell>
        </row>
        <row r="106">
          <cell r="B106">
            <v>1085063.9394922606</v>
          </cell>
          <cell r="C106">
            <v>134624.85994656073</v>
          </cell>
          <cell r="G106">
            <v>429595.9454268993</v>
          </cell>
          <cell r="H106">
            <v>42672.816995909365</v>
          </cell>
        </row>
        <row r="140">
          <cell r="B140">
            <v>313198.2100370886</v>
          </cell>
          <cell r="C140">
            <v>59329.994204227754</v>
          </cell>
        </row>
        <row r="174">
          <cell r="B174">
            <v>977675.63191671413</v>
          </cell>
          <cell r="C174">
            <v>158295.93410864638</v>
          </cell>
          <cell r="G174">
            <v>201276.07944454812</v>
          </cell>
          <cell r="H174">
            <v>229403.12080387506</v>
          </cell>
        </row>
        <row r="208">
          <cell r="B208">
            <v>756677.74408125784</v>
          </cell>
          <cell r="C208">
            <v>168069.68952532057</v>
          </cell>
        </row>
        <row r="242">
          <cell r="B242">
            <v>1231937.2685195424</v>
          </cell>
          <cell r="C242">
            <v>345981.32389260008</v>
          </cell>
          <cell r="G242">
            <v>179293.53430008059</v>
          </cell>
          <cell r="H242">
            <v>83036.553089402616</v>
          </cell>
        </row>
        <row r="276">
          <cell r="B276">
            <v>462393.5416247687</v>
          </cell>
          <cell r="C276">
            <v>104578.48127036617</v>
          </cell>
          <cell r="G276">
            <v>15302.462272956593</v>
          </cell>
          <cell r="H276">
            <v>53861.534179764778</v>
          </cell>
        </row>
        <row r="329">
          <cell r="R329">
            <v>1322364.4393770508</v>
          </cell>
        </row>
        <row r="330">
          <cell r="R330">
            <v>7226176.1366326548</v>
          </cell>
        </row>
        <row r="331">
          <cell r="R331">
            <v>1031695.0800598543</v>
          </cell>
        </row>
        <row r="332">
          <cell r="R332">
            <v>1602225.4097909678</v>
          </cell>
        </row>
        <row r="333">
          <cell r="R333">
            <v>2123955.9842699929</v>
          </cell>
        </row>
        <row r="334">
          <cell r="R334">
            <v>-1154154.2702272711</v>
          </cell>
        </row>
      </sheetData>
      <sheetData sheetId="72"/>
      <sheetData sheetId="73">
        <row r="32">
          <cell r="C32">
            <v>316527.21672184131</v>
          </cell>
          <cell r="F32">
            <v>585</v>
          </cell>
          <cell r="G32">
            <v>181219.41506708908</v>
          </cell>
          <cell r="J32">
            <v>1262</v>
          </cell>
          <cell r="K32">
            <v>201276.07764538229</v>
          </cell>
          <cell r="N32">
            <v>1421</v>
          </cell>
          <cell r="O32">
            <v>429595.94218253106</v>
          </cell>
          <cell r="R32">
            <v>747</v>
          </cell>
          <cell r="S32">
            <v>181751.9089625715</v>
          </cell>
          <cell r="V32">
            <v>175</v>
          </cell>
          <cell r="W32">
            <v>29862.942653578684</v>
          </cell>
        </row>
        <row r="33">
          <cell r="B33">
            <v>2791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les"/>
      <sheetName val="Sales USD"/>
      <sheetName val="Rental"/>
      <sheetName val="Rations &amp; lunches"/>
      <sheetName val="Extension Deliveries"/>
      <sheetName val="Extension Deliveries usd"/>
      <sheetName val="Sheet1"/>
      <sheetName val="Pig levy"/>
      <sheetName val="PIG LEVY AMMENDED"/>
      <sheetName val="Payroll Numbers"/>
      <sheetName val="Average Prices"/>
      <sheetName val="PIGLETS SALES"/>
      <sheetName val="Sheet4"/>
      <sheetName val="Provision Christmas Hampe Pork"/>
      <sheetName val="Overscalded Pigs"/>
      <sheetName val="Sheet2"/>
      <sheetName val="Sheet6"/>
      <sheetName val="DOAs Week 47-Email"/>
      <sheetName val="July 2026 Slaughter Summary"/>
    </sheetNames>
    <sheetDataSet>
      <sheetData sheetId="0"/>
      <sheetData sheetId="1">
        <row r="4">
          <cell r="AY4">
            <v>1</v>
          </cell>
          <cell r="BD4">
            <v>1</v>
          </cell>
        </row>
        <row r="5">
          <cell r="AY5">
            <v>2</v>
          </cell>
          <cell r="AZ5">
            <v>4</v>
          </cell>
          <cell r="BD5">
            <v>6</v>
          </cell>
        </row>
        <row r="6">
          <cell r="AY6">
            <v>2</v>
          </cell>
          <cell r="BD6">
            <v>2</v>
          </cell>
        </row>
        <row r="7">
          <cell r="AY7">
            <v>2</v>
          </cell>
          <cell r="BA7">
            <v>3</v>
          </cell>
          <cell r="BD7">
            <v>5</v>
          </cell>
        </row>
        <row r="8">
          <cell r="AZ8">
            <v>2</v>
          </cell>
          <cell r="BA8">
            <v>1</v>
          </cell>
          <cell r="BD8">
            <v>3</v>
          </cell>
        </row>
        <row r="9">
          <cell r="BA9">
            <v>1</v>
          </cell>
          <cell r="BD9">
            <v>1</v>
          </cell>
        </row>
        <row r="10">
          <cell r="AZ10">
            <v>4</v>
          </cell>
          <cell r="BB10">
            <v>2</v>
          </cell>
          <cell r="BD10">
            <v>6</v>
          </cell>
        </row>
        <row r="11">
          <cell r="AY11">
            <v>1</v>
          </cell>
          <cell r="BD11">
            <v>1</v>
          </cell>
        </row>
        <row r="12">
          <cell r="T12">
            <v>15922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IS 2021"/>
      <sheetName val="Grasmere"/>
      <sheetName val="Villa"/>
      <sheetName val="Richlands"/>
      <sheetName val="Lionhead"/>
      <sheetName val="Prior Month"/>
      <sheetName val="August 2020"/>
      <sheetName val="Feed Costing &amp; Appotionment 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22">
          <cell r="B122">
            <v>29254.2</v>
          </cell>
          <cell r="C122">
            <v>126974</v>
          </cell>
          <cell r="D122">
            <v>243037.40000000002</v>
          </cell>
          <cell r="E122">
            <v>0</v>
          </cell>
          <cell r="F122">
            <v>176588.4</v>
          </cell>
          <cell r="G122">
            <v>59290</v>
          </cell>
          <cell r="H122">
            <v>949048.7</v>
          </cell>
          <cell r="J122">
            <v>710118.55</v>
          </cell>
          <cell r="K122">
            <v>203720.5</v>
          </cell>
          <cell r="L122">
            <v>81004.899999999994</v>
          </cell>
          <cell r="M122">
            <v>36628.1</v>
          </cell>
          <cell r="N122">
            <v>17559.5</v>
          </cell>
          <cell r="O122">
            <v>69672.399999999994</v>
          </cell>
          <cell r="P122">
            <v>22503.5</v>
          </cell>
          <cell r="Q122">
            <v>33448.800000000003</v>
          </cell>
          <cell r="R122">
            <v>30745.5</v>
          </cell>
          <cell r="T122">
            <v>47127.5</v>
          </cell>
          <cell r="U122">
            <v>2836721.95</v>
          </cell>
        </row>
        <row r="123">
          <cell r="K123">
            <v>67333.355969612079</v>
          </cell>
          <cell r="L123">
            <v>31209.225257603801</v>
          </cell>
          <cell r="M123">
            <v>14651.535602692429</v>
          </cell>
          <cell r="O123">
            <v>22947.992197238214</v>
          </cell>
        </row>
        <row r="124">
          <cell r="B124">
            <v>0.70516028376225237</v>
          </cell>
          <cell r="C124">
            <v>0.553048745740369</v>
          </cell>
          <cell r="D124">
            <v>0.45761789674138609</v>
          </cell>
          <cell r="F124">
            <v>0.36072118784213153</v>
          </cell>
          <cell r="G124">
            <v>0.35277419368699731</v>
          </cell>
          <cell r="H124">
            <v>0.32545898419719504</v>
          </cell>
          <cell r="J124">
            <v>0.34727367194923103</v>
          </cell>
          <cell r="N124">
            <v>0.36773334194341661</v>
          </cell>
          <cell r="T124">
            <v>0.37880590011098036</v>
          </cell>
        </row>
      </sheetData>
      <sheetData sheetId="9" refreshError="1">
        <row r="5">
          <cell r="C5">
            <v>7</v>
          </cell>
          <cell r="E5" t="str">
            <v>Flush</v>
          </cell>
        </row>
        <row r="6">
          <cell r="E6" t="str">
            <v>DRY SOW</v>
          </cell>
        </row>
      </sheetData>
      <sheetData sheetId="10" refreshError="1">
        <row r="4">
          <cell r="C4">
            <v>7</v>
          </cell>
          <cell r="E4" t="str">
            <v>PRE-FARROW</v>
          </cell>
        </row>
        <row r="5">
          <cell r="E5" t="str">
            <v>LACTATE</v>
          </cell>
        </row>
      </sheetData>
      <sheetData sheetId="11" refreshError="1"/>
      <sheetData sheetId="12" refreshError="1"/>
      <sheetData sheetId="13" refreshError="1"/>
      <sheetData sheetId="14" refreshError="1">
        <row r="4">
          <cell r="C4">
            <v>7</v>
          </cell>
          <cell r="J4" t="str">
            <v>Early Wean</v>
          </cell>
        </row>
        <row r="5">
          <cell r="E5" t="str">
            <v>CREEP</v>
          </cell>
        </row>
        <row r="7">
          <cell r="E7" t="str">
            <v>WEAN 1</v>
          </cell>
        </row>
      </sheetData>
      <sheetData sheetId="15" refreshError="1">
        <row r="4">
          <cell r="D4">
            <v>1.4</v>
          </cell>
        </row>
        <row r="5">
          <cell r="E5" t="str">
            <v>GROWER 1</v>
          </cell>
        </row>
        <row r="7">
          <cell r="E7" t="str">
            <v>GROWER 2</v>
          </cell>
        </row>
        <row r="9">
          <cell r="E9" t="str">
            <v>GROWER 3</v>
          </cell>
        </row>
        <row r="12">
          <cell r="E12" t="str">
            <v>FINISHER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gsMay 07 "/>
      <sheetName val="Outgrower pigs Sept07 TRADE WIN"/>
      <sheetName val="Outgrower pigs Sept 07 ZIMBO"/>
      <sheetName val="Outgrower pigs Sept 07 ROGATE"/>
      <sheetName val="Outgrower pigs Sept 07 Quaranti"/>
      <sheetName val="Outgrower pigs Sept 07 OSWA"/>
      <sheetName val="Cattle June 07 Revised"/>
      <sheetName val="PigsDec05"/>
      <sheetName val="CattlEJUNE06"/>
      <sheetName val="RECONCILIATION"/>
      <sheetName val="Sheet1"/>
      <sheetName val="CattleDec05"/>
      <sheetName val="OstMar06"/>
      <sheetName val="OstDec05"/>
    </sheetNames>
    <sheetDataSet>
      <sheetData sheetId="0" refreshError="1">
        <row r="34">
          <cell r="H34">
            <v>93648212165.690506</v>
          </cell>
        </row>
        <row r="35">
          <cell r="H35">
            <v>922824362367.44141</v>
          </cell>
        </row>
        <row r="36">
          <cell r="H36">
            <v>3401639670114.6782</v>
          </cell>
        </row>
        <row r="37">
          <cell r="H37">
            <v>115699611827.11624</v>
          </cell>
        </row>
        <row r="38">
          <cell r="H38">
            <v>500448824611.35547</v>
          </cell>
        </row>
        <row r="39">
          <cell r="H39">
            <v>16625727963.723267</v>
          </cell>
        </row>
        <row r="40">
          <cell r="G40">
            <v>5612913749601.666</v>
          </cell>
          <cell r="H40">
            <v>5050886409050.0059</v>
          </cell>
        </row>
      </sheetData>
      <sheetData sheetId="1" refreshError="1">
        <row r="34">
          <cell r="H34">
            <v>0</v>
          </cell>
        </row>
        <row r="35">
          <cell r="H35">
            <v>88755496437.713547</v>
          </cell>
        </row>
        <row r="36">
          <cell r="H36">
            <v>102563052588.38162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G40">
            <v>193708208400</v>
          </cell>
          <cell r="H40">
            <v>191318549026.09515</v>
          </cell>
        </row>
      </sheetData>
      <sheetData sheetId="2" refreshError="1">
        <row r="34">
          <cell r="H34">
            <v>17778681491.382984</v>
          </cell>
        </row>
        <row r="35">
          <cell r="H35">
            <v>34863215328.913727</v>
          </cell>
        </row>
        <row r="36">
          <cell r="H36">
            <v>0</v>
          </cell>
        </row>
        <row r="37">
          <cell r="H37">
            <v>1001399464.6541862</v>
          </cell>
        </row>
        <row r="38">
          <cell r="H38">
            <v>94184318515.258484</v>
          </cell>
        </row>
        <row r="39">
          <cell r="H39">
            <v>1129930082.5813057</v>
          </cell>
        </row>
        <row r="40">
          <cell r="G40">
            <v>154583981125</v>
          </cell>
          <cell r="H40">
            <v>148957544882.79068</v>
          </cell>
        </row>
      </sheetData>
      <sheetData sheetId="3" refreshError="1">
        <row r="34">
          <cell r="H34">
            <v>24606319529.8409</v>
          </cell>
        </row>
        <row r="35">
          <cell r="H35">
            <v>99324082561.588837</v>
          </cell>
        </row>
        <row r="36">
          <cell r="H36">
            <v>214490393074.75269</v>
          </cell>
        </row>
        <row r="37">
          <cell r="H37">
            <v>35610469207.856155</v>
          </cell>
        </row>
        <row r="38">
          <cell r="H38">
            <v>110639532407.43034</v>
          </cell>
        </row>
        <row r="39">
          <cell r="H39">
            <v>1130607307.9432838</v>
          </cell>
        </row>
        <row r="40">
          <cell r="G40">
            <v>497145631383.33331</v>
          </cell>
          <cell r="H40">
            <v>485801404089.41223</v>
          </cell>
        </row>
      </sheetData>
      <sheetData sheetId="4" refreshError="1"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1012533747.7677699</v>
          </cell>
        </row>
        <row r="40">
          <cell r="H40">
            <v>2107801258.4159899</v>
          </cell>
        </row>
        <row r="41">
          <cell r="G41">
            <v>3383035600</v>
          </cell>
          <cell r="H41">
            <v>3120335006.1837597</v>
          </cell>
        </row>
      </sheetData>
      <sheetData sheetId="5" refreshError="1">
        <row r="34">
          <cell r="H34">
            <v>7378483280.465066</v>
          </cell>
        </row>
        <row r="35">
          <cell r="H35">
            <v>101239215509.89384</v>
          </cell>
        </row>
        <row r="36">
          <cell r="H36">
            <v>26053180610.209217</v>
          </cell>
        </row>
        <row r="37">
          <cell r="H37">
            <v>209184929733.46588</v>
          </cell>
        </row>
        <row r="38">
          <cell r="H38">
            <v>50765403189.519875</v>
          </cell>
        </row>
        <row r="39">
          <cell r="H39">
            <v>1129970396.2634718</v>
          </cell>
        </row>
        <row r="40">
          <cell r="G40">
            <v>411608017111.66669</v>
          </cell>
          <cell r="H40">
            <v>395751182719.81738</v>
          </cell>
        </row>
      </sheetData>
      <sheetData sheetId="6" refreshError="1">
        <row r="16">
          <cell r="F16">
            <v>9665669822.3264961</v>
          </cell>
        </row>
        <row r="17">
          <cell r="F17">
            <v>26702682242.216118</v>
          </cell>
        </row>
        <row r="18">
          <cell r="F18">
            <v>196404081444.22833</v>
          </cell>
        </row>
        <row r="19">
          <cell r="F19">
            <v>21589166567.355259</v>
          </cell>
        </row>
        <row r="20">
          <cell r="F20">
            <v>17541197835.601147</v>
          </cell>
        </row>
        <row r="21">
          <cell r="F21">
            <v>5639024850.6966448</v>
          </cell>
        </row>
        <row r="22">
          <cell r="E22">
            <v>285775000000</v>
          </cell>
          <cell r="F22">
            <v>277541822762.42395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gsMay 07 "/>
      <sheetName val="Outgrower pigs Sept07 TRADE WIN"/>
      <sheetName val="Outgrower pigs Sept 07 ZIMBO"/>
      <sheetName val="Outgrower pigs Sept 07 ROGATE"/>
      <sheetName val="Outgrower pigs Sept 07 Quaranti"/>
      <sheetName val="Outgrower pigs Sept 07 OSWA"/>
      <sheetName val="Cattle June 07 Revised"/>
      <sheetName val="PigsDec05"/>
      <sheetName val="CattlEJUNE06"/>
      <sheetName val="RECONCILIATION"/>
      <sheetName val="Sheet1"/>
      <sheetName val="CattleDec05"/>
      <sheetName val="OstMar06"/>
      <sheetName val="OstDec05"/>
    </sheetNames>
    <sheetDataSet>
      <sheetData sheetId="0" refreshError="1">
        <row r="40">
          <cell r="G40">
            <v>5612913749601.666</v>
          </cell>
        </row>
      </sheetData>
      <sheetData sheetId="1" refreshError="1">
        <row r="40">
          <cell r="G40">
            <v>193708208400</v>
          </cell>
        </row>
      </sheetData>
      <sheetData sheetId="2" refreshError="1">
        <row r="40">
          <cell r="G40">
            <v>154583981125</v>
          </cell>
        </row>
      </sheetData>
      <sheetData sheetId="3" refreshError="1">
        <row r="40">
          <cell r="G40">
            <v>497145631383.33331</v>
          </cell>
          <cell r="H40">
            <v>485801404089.41223</v>
          </cell>
        </row>
      </sheetData>
      <sheetData sheetId="4" refreshError="1">
        <row r="41">
          <cell r="G41">
            <v>3383035600</v>
          </cell>
        </row>
      </sheetData>
      <sheetData sheetId="5" refreshError="1">
        <row r="40">
          <cell r="G40">
            <v>411608017111.66669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 - YTD"/>
      <sheetName val="TBs"/>
    </sheetNames>
    <sheetDataSet>
      <sheetData sheetId="0" refreshError="1"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20">
          <cell r="M20">
            <v>0</v>
          </cell>
        </row>
        <row r="21">
          <cell r="M21">
            <v>0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 - YTD"/>
      <sheetName val="TBs"/>
    </sheetNames>
    <sheetDataSet>
      <sheetData sheetId="0" refreshError="1"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20">
          <cell r="M20">
            <v>0</v>
          </cell>
        </row>
        <row r="21">
          <cell r="M21">
            <v>0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 - YTD"/>
      <sheetName val="TBs"/>
    </sheetNames>
    <sheetDataSet>
      <sheetData sheetId="0" refreshError="1">
        <row r="15">
          <cell r="L15">
            <v>0</v>
          </cell>
        </row>
        <row r="16">
          <cell r="L16">
            <v>0</v>
          </cell>
        </row>
        <row r="17">
          <cell r="L17">
            <v>0</v>
          </cell>
        </row>
        <row r="20">
          <cell r="L20">
            <v>0</v>
          </cell>
        </row>
        <row r="21">
          <cell r="L21">
            <v>0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 - YTD (2)"/>
      <sheetName val="TBs (2)"/>
      <sheetName val="TBs"/>
      <sheetName val="IS - YTD"/>
      <sheetName val="Analysis Of Exps "/>
    </sheetNames>
    <sheetDataSet>
      <sheetData sheetId="0" refreshError="1"/>
      <sheetData sheetId="1" refreshError="1"/>
      <sheetData sheetId="2" refreshError="1"/>
      <sheetData sheetId="3" refreshError="1">
        <row r="15">
          <cell r="B15">
            <v>512906500</v>
          </cell>
        </row>
        <row r="16">
          <cell r="B16">
            <v>2992935212.54</v>
          </cell>
        </row>
        <row r="17">
          <cell r="B17">
            <v>179062500</v>
          </cell>
        </row>
        <row r="18">
          <cell r="B18">
            <v>219356282.57999998</v>
          </cell>
        </row>
        <row r="19">
          <cell r="B19">
            <v>32276753207.809998</v>
          </cell>
        </row>
        <row r="20">
          <cell r="B20">
            <v>42540000</v>
          </cell>
        </row>
        <row r="22">
          <cell r="B22">
            <v>1453357483.74</v>
          </cell>
        </row>
      </sheetData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 - YTD"/>
      <sheetName val="TBs"/>
    </sheetNames>
    <sheetDataSet>
      <sheetData sheetId="0" refreshError="1">
        <row r="15">
          <cell r="L15">
            <v>0</v>
          </cell>
        </row>
        <row r="16">
          <cell r="L16">
            <v>0</v>
          </cell>
        </row>
        <row r="17">
          <cell r="L17">
            <v>0</v>
          </cell>
        </row>
        <row r="21">
          <cell r="L21">
            <v>0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 - YTD"/>
      <sheetName val="TBs"/>
    </sheetNames>
    <sheetDataSet>
      <sheetData sheetId="0" refreshError="1"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20">
          <cell r="M20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ed Mvmnt Qty"/>
      <sheetName val="Feed Mvmt Values"/>
      <sheetName val="Sheet3"/>
    </sheetNames>
    <sheetDataSet>
      <sheetData sheetId="0" refreshError="1"/>
      <sheetData sheetId="1" refreshError="1">
        <row r="59">
          <cell r="D59">
            <v>830585</v>
          </cell>
        </row>
        <row r="60">
          <cell r="D60">
            <v>179469491</v>
          </cell>
        </row>
        <row r="61">
          <cell r="D61">
            <v>19487377</v>
          </cell>
        </row>
        <row r="62">
          <cell r="D62">
            <v>132026775</v>
          </cell>
        </row>
        <row r="63">
          <cell r="D63">
            <v>129225729</v>
          </cell>
        </row>
      </sheetData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 - YTD"/>
      <sheetName val="TBs"/>
    </sheetNames>
    <sheetDataSet>
      <sheetData sheetId="0" refreshError="1">
        <row r="23">
          <cell r="B23">
            <v>13834709456.629732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INDEX"/>
      <sheetName val="Pack Completion Checklist"/>
      <sheetName val="Pack Details"/>
      <sheetName val="CEO report"/>
      <sheetName val="Letter of Rep for EY"/>
      <sheetName val="Accounting Policies"/>
      <sheetName val="Income Statement1"/>
      <sheetName val="Balance Sheet2"/>
      <sheetName val="Cash Flow3"/>
      <sheetName val="Turnover4"/>
      <sheetName val="COS4A"/>
      <sheetName val="Royalty return4B"/>
      <sheetName val="Other Inc5"/>
      <sheetName val="Var costs6"/>
      <sheetName val="HO recov7"/>
      <sheetName val="Staff ovhds8"/>
      <sheetName val="FINAL TB"/>
      <sheetName val="Pens &amp; ret8A"/>
      <sheetName val="Other ovhds9"/>
      <sheetName val="Auditors' rem9A"/>
      <sheetName val="Directrs emol9B"/>
      <sheetName val="Donations &amp; Spons9C"/>
      <sheetName val="Operating lease9D"/>
      <sheetName val="Fin inc, Depn &amp; amort10"/>
      <sheetName val="Int Rec intercoy11"/>
      <sheetName val="Int rec 3rd pty11A"/>
      <sheetName val="Int Pay intercoy12"/>
      <sheetName val="Int pay 3rd pty13"/>
      <sheetName val="Assocs coys profits14"/>
      <sheetName val="Min int15"/>
      <sheetName val="Dividends16"/>
      <sheetName val="Share cap17"/>
      <sheetName val="NDR18"/>
      <sheetName val="DR19"/>
      <sheetName val="Min int20"/>
      <sheetName val="Loans pay intercoy21"/>
      <sheetName val="Loans rec intercoy22"/>
      <sheetName val="Local loans 3rd pty23"/>
      <sheetName val="Local loans 3rd pty23A"/>
      <sheetName val="Foreign loans 3rd pty24"/>
      <sheetName val="Foreign loans 3rd pty24A"/>
      <sheetName val="Fix ass25"/>
      <sheetName val="Fix ass recon25A"/>
      <sheetName val="Fix ass notes25B"/>
      <sheetName val="Int assets26"/>
      <sheetName val="Int assets recon26A"/>
      <sheetName val="Inv subs &amp; assocs27"/>
      <sheetName val="Finstats of assocs27A"/>
      <sheetName val="Inv other28"/>
      <sheetName val="Finstats of JV28A"/>
      <sheetName val="Stocks29"/>
      <sheetName val="Stocks ageing29A"/>
      <sheetName val="Bio Assets non-current29B "/>
      <sheetName val="Bio Assets - current29C"/>
      <sheetName val="3rd pty drs30"/>
      <sheetName val="Other drs30A"/>
      <sheetName val="Prepayments30B"/>
      <sheetName val="Intercoy drs30C"/>
      <sheetName val="Drs-provisions30D"/>
      <sheetName val="Bank &amp; cash31"/>
      <sheetName val="Overdrafts31A"/>
      <sheetName val="Call accs with IAL 31B"/>
      <sheetName val="Call accs with divs31C"/>
      <sheetName val="3rd pty crs32"/>
      <sheetName val="Other crs32A"/>
      <sheetName val="Intercoy crs32B"/>
      <sheetName val="Provisions32C"/>
      <sheetName val="Warrany prov32D"/>
      <sheetName val="Leave pay prov32E"/>
      <sheetName val="Inc tax prov33"/>
      <sheetName val="Tax charge33A"/>
      <sheetName val="Tax comp Divs33B"/>
      <sheetName val="Tax comp Subs33C"/>
      <sheetName val="Tax comp assocs33D"/>
      <sheetName val="Assessed losses33E"/>
      <sheetName val="Tax recon33F"/>
      <sheetName val="Def tax prov34"/>
      <sheetName val="Def tax comp Divs34A"/>
      <sheetName val="Def tax Subs34B"/>
      <sheetName val="Shareholders for div35"/>
      <sheetName val="Contingent liabs36"/>
      <sheetName val="Fut Cap Exp-fixed assets37A"/>
      <sheetName val="Fut Cap Exp-biological asset37B"/>
      <sheetName val="3rd pty fut lease comm38"/>
      <sheetName val="detailed_lease comm38A"/>
      <sheetName val="Director loans39"/>
      <sheetName val="Directors loans39A"/>
      <sheetName val="Trading outlets40"/>
      <sheetName val="Intercoy confirms41"/>
      <sheetName val="Fix ass transfers42"/>
      <sheetName val="Intercoy tranx Grp-3rd pty43"/>
      <sheetName val="Intercoy tranx Assoc-3rd pty4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9">
          <cell r="D29">
            <v>5612913749601.4238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umbers"/>
      <sheetName val="April journals"/>
      <sheetName val="Outgrower feed"/>
      <sheetName val="March pigs Journals"/>
      <sheetName val="Pigs Cost after IAS 41"/>
      <sheetName val="Pigs Cost"/>
      <sheetName val="IAS 41 Mvmnt Pigs"/>
      <sheetName val="Sheet1"/>
      <sheetName val="USD"/>
      <sheetName val="Cattle"/>
      <sheetName val="Cattle after IAS 41"/>
      <sheetName val="IAS 41 Mvmnt Cattle"/>
      <sheetName val="Sheet3"/>
      <sheetName val="Weaners"/>
      <sheetName val="Growers"/>
      <sheetName val="Sheet2"/>
      <sheetName val="Journal"/>
    </sheetNames>
    <sheetDataSet>
      <sheetData sheetId="0"/>
      <sheetData sheetId="1"/>
      <sheetData sheetId="2"/>
      <sheetData sheetId="3"/>
      <sheetData sheetId="4"/>
      <sheetData sheetId="5">
        <row r="13">
          <cell r="T13">
            <v>76193292893.302841</v>
          </cell>
        </row>
        <row r="14">
          <cell r="T14">
            <v>104107508765.54976</v>
          </cell>
        </row>
        <row r="15">
          <cell r="T15">
            <v>227025682034.61804</v>
          </cell>
        </row>
        <row r="16">
          <cell r="T16">
            <v>3012465057.3680844</v>
          </cell>
        </row>
        <row r="17">
          <cell r="T17">
            <v>705130890.74762797</v>
          </cell>
        </row>
        <row r="18">
          <cell r="T18">
            <v>109058.54019706693</v>
          </cell>
        </row>
        <row r="25">
          <cell r="T25">
            <v>0</v>
          </cell>
        </row>
        <row r="26">
          <cell r="T26">
            <v>0</v>
          </cell>
        </row>
        <row r="27">
          <cell r="T27">
            <v>14341695586.879185</v>
          </cell>
        </row>
        <row r="28">
          <cell r="T28">
            <v>0</v>
          </cell>
        </row>
        <row r="29">
          <cell r="T29">
            <v>0</v>
          </cell>
        </row>
        <row r="30">
          <cell r="T30">
            <v>0</v>
          </cell>
        </row>
        <row r="37">
          <cell r="T37">
            <v>3105277770.635973</v>
          </cell>
        </row>
        <row r="38">
          <cell r="T38">
            <v>0</v>
          </cell>
        </row>
        <row r="39">
          <cell r="T39">
            <v>-5.9604644775390627E-18</v>
          </cell>
        </row>
        <row r="40">
          <cell r="T40">
            <v>0</v>
          </cell>
        </row>
        <row r="41">
          <cell r="T41">
            <v>146128.32980509955</v>
          </cell>
        </row>
        <row r="42">
          <cell r="T42">
            <v>1.3277874089075804E-2</v>
          </cell>
        </row>
        <row r="52">
          <cell r="T52">
            <v>17388984283.731728</v>
          </cell>
        </row>
        <row r="53">
          <cell r="T53">
            <v>3811887772.659421</v>
          </cell>
        </row>
        <row r="54">
          <cell r="T54">
            <v>12994808431.52869</v>
          </cell>
        </row>
        <row r="55">
          <cell r="T55">
            <v>113972260.50667834</v>
          </cell>
        </row>
        <row r="56">
          <cell r="T56">
            <v>1442987682.1208735</v>
          </cell>
        </row>
        <row r="57">
          <cell r="T57">
            <v>7.4705426124956911E-2</v>
          </cell>
        </row>
        <row r="63">
          <cell r="T63">
            <v>0</v>
          </cell>
        </row>
        <row r="64">
          <cell r="T64">
            <v>0</v>
          </cell>
        </row>
        <row r="65">
          <cell r="T65">
            <v>0</v>
          </cell>
        </row>
        <row r="66">
          <cell r="T66">
            <v>1322329.6485521081</v>
          </cell>
        </row>
        <row r="67">
          <cell r="T67">
            <v>0</v>
          </cell>
        </row>
        <row r="68">
          <cell r="T68">
            <v>0.12848783537222491</v>
          </cell>
        </row>
        <row r="75">
          <cell r="T75">
            <v>32710112702.689857</v>
          </cell>
        </row>
        <row r="76">
          <cell r="T76">
            <v>13394548865.96048</v>
          </cell>
        </row>
        <row r="77">
          <cell r="T77">
            <v>171330344.89405009</v>
          </cell>
        </row>
        <row r="78">
          <cell r="T78">
            <v>0</v>
          </cell>
        </row>
        <row r="79">
          <cell r="T79">
            <v>80.838476654367213</v>
          </cell>
        </row>
        <row r="80">
          <cell r="T80">
            <v>0.40728136549852967</v>
          </cell>
        </row>
        <row r="87">
          <cell r="T87">
            <v>0</v>
          </cell>
        </row>
        <row r="88">
          <cell r="T88">
            <v>0</v>
          </cell>
        </row>
        <row r="89">
          <cell r="T89">
            <v>24631157326.616066</v>
          </cell>
        </row>
        <row r="90">
          <cell r="T90">
            <v>0</v>
          </cell>
        </row>
        <row r="91">
          <cell r="T91">
            <v>0</v>
          </cell>
        </row>
        <row r="92">
          <cell r="T92">
            <v>0</v>
          </cell>
        </row>
        <row r="99">
          <cell r="T99">
            <v>0</v>
          </cell>
        </row>
        <row r="100">
          <cell r="T100">
            <v>24683772044.592155</v>
          </cell>
        </row>
        <row r="101">
          <cell r="T101">
            <v>1322680681.2870636</v>
          </cell>
        </row>
        <row r="102">
          <cell r="T102">
            <v>0</v>
          </cell>
        </row>
        <row r="103">
          <cell r="T103">
            <v>0</v>
          </cell>
        </row>
        <row r="104">
          <cell r="T104">
            <v>0</v>
          </cell>
        </row>
        <row r="111">
          <cell r="T111">
            <v>0</v>
          </cell>
        </row>
        <row r="112">
          <cell r="T112">
            <v>0</v>
          </cell>
        </row>
        <row r="113">
          <cell r="T113">
            <v>17777793619.15361</v>
          </cell>
        </row>
        <row r="114">
          <cell r="T114">
            <v>0</v>
          </cell>
        </row>
        <row r="115">
          <cell r="T115">
            <v>0</v>
          </cell>
        </row>
        <row r="116">
          <cell r="T116">
            <v>0</v>
          </cell>
        </row>
        <row r="123">
          <cell r="T123">
            <v>0</v>
          </cell>
        </row>
        <row r="124">
          <cell r="T124">
            <v>0</v>
          </cell>
        </row>
        <row r="125">
          <cell r="T125">
            <v>9887676100.8797588</v>
          </cell>
        </row>
        <row r="126">
          <cell r="T126">
            <v>0</v>
          </cell>
        </row>
        <row r="127">
          <cell r="T127">
            <v>0</v>
          </cell>
        </row>
        <row r="128">
          <cell r="T128">
            <v>0</v>
          </cell>
        </row>
        <row r="135">
          <cell r="T135">
            <v>0</v>
          </cell>
        </row>
        <row r="136">
          <cell r="T136">
            <v>0</v>
          </cell>
        </row>
        <row r="137">
          <cell r="T137">
            <v>36333275558.589684</v>
          </cell>
        </row>
        <row r="138">
          <cell r="T138">
            <v>0</v>
          </cell>
        </row>
        <row r="139">
          <cell r="T139">
            <v>0</v>
          </cell>
        </row>
        <row r="140">
          <cell r="T140">
            <v>0</v>
          </cell>
        </row>
        <row r="147">
          <cell r="T147">
            <v>0</v>
          </cell>
        </row>
        <row r="148">
          <cell r="T148">
            <v>0</v>
          </cell>
        </row>
        <row r="149">
          <cell r="T149">
            <v>7678578775.9843445</v>
          </cell>
        </row>
        <row r="150">
          <cell r="T150">
            <v>0</v>
          </cell>
        </row>
        <row r="151">
          <cell r="T151">
            <v>0</v>
          </cell>
        </row>
        <row r="152">
          <cell r="T152">
            <v>0</v>
          </cell>
        </row>
        <row r="164">
          <cell r="T164">
            <v>632836197048.27661</v>
          </cell>
        </row>
      </sheetData>
      <sheetData sheetId="6">
        <row r="13">
          <cell r="N13">
            <v>129573173.87927049</v>
          </cell>
        </row>
        <row r="14">
          <cell r="N14">
            <v>2107868412.7812753</v>
          </cell>
        </row>
        <row r="15">
          <cell r="N15">
            <v>8424727501.0860586</v>
          </cell>
        </row>
        <row r="16">
          <cell r="N16">
            <v>934431084.90937507</v>
          </cell>
        </row>
        <row r="17">
          <cell r="N17">
            <v>2024274022.0063608</v>
          </cell>
        </row>
        <row r="18">
          <cell r="N18">
            <v>64762941.459802933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381619857.6671083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7">
          <cell r="N37">
            <v>16928587.688634574</v>
          </cell>
        </row>
        <row r="38">
          <cell r="N38">
            <v>0</v>
          </cell>
        </row>
        <row r="39">
          <cell r="N39">
            <v>5.9604644775390627E-18</v>
          </cell>
        </row>
        <row r="40">
          <cell r="N40">
            <v>0</v>
          </cell>
        </row>
        <row r="41">
          <cell r="N41">
            <v>396906057.67470962</v>
          </cell>
        </row>
        <row r="42">
          <cell r="N42">
            <v>6081749.9867221266</v>
          </cell>
        </row>
        <row r="52">
          <cell r="N52">
            <v>14314484.209072195</v>
          </cell>
        </row>
        <row r="53">
          <cell r="N53">
            <v>181332081.69535086</v>
          </cell>
        </row>
        <row r="54">
          <cell r="N54">
            <v>374818253.77489108</v>
          </cell>
        </row>
        <row r="55">
          <cell r="N55">
            <v>4052510.6523161307</v>
          </cell>
        </row>
        <row r="56">
          <cell r="N56">
            <v>436694122.60970402</v>
          </cell>
        </row>
        <row r="57">
          <cell r="N57">
            <v>6081749.9252945744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184571657.85144788</v>
          </cell>
        </row>
        <row r="67">
          <cell r="N67">
            <v>0</v>
          </cell>
        </row>
        <row r="68">
          <cell r="N68">
            <v>2027249.8715121646</v>
          </cell>
        </row>
        <row r="75">
          <cell r="N75">
            <v>-1415941.4420229411</v>
          </cell>
        </row>
        <row r="76">
          <cell r="N76">
            <v>546343080.33016217</v>
          </cell>
        </row>
        <row r="77">
          <cell r="N77">
            <v>110598406.74247408</v>
          </cell>
        </row>
        <row r="78">
          <cell r="N78">
            <v>0</v>
          </cell>
        </row>
        <row r="79">
          <cell r="N79">
            <v>240399504.08073336</v>
          </cell>
        </row>
        <row r="80">
          <cell r="N80">
            <v>12163499.592718635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654043432.93664718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9">
          <cell r="N99">
            <v>0</v>
          </cell>
        </row>
        <row r="100">
          <cell r="N100">
            <v>692822364.20666194</v>
          </cell>
        </row>
        <row r="101">
          <cell r="N101">
            <v>63912102.174108744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348511908.26521152</v>
          </cell>
        </row>
        <row r="114">
          <cell r="N114">
            <v>0</v>
          </cell>
        </row>
        <row r="115">
          <cell r="N115">
            <v>0</v>
          </cell>
        </row>
        <row r="116">
          <cell r="N116">
            <v>0</v>
          </cell>
        </row>
        <row r="123">
          <cell r="N123">
            <v>0</v>
          </cell>
        </row>
        <row r="124">
          <cell r="N124">
            <v>0</v>
          </cell>
        </row>
        <row r="125">
          <cell r="N125">
            <v>208373962.84009868</v>
          </cell>
        </row>
        <row r="126">
          <cell r="N126">
            <v>0</v>
          </cell>
        </row>
        <row r="127">
          <cell r="N127">
            <v>0</v>
          </cell>
        </row>
        <row r="128">
          <cell r="N128">
            <v>0</v>
          </cell>
        </row>
        <row r="135">
          <cell r="N135">
            <v>0</v>
          </cell>
        </row>
        <row r="136">
          <cell r="N136">
            <v>0</v>
          </cell>
        </row>
        <row r="137">
          <cell r="N137">
            <v>1411173955.2447891</v>
          </cell>
        </row>
        <row r="138">
          <cell r="N138">
            <v>0</v>
          </cell>
        </row>
        <row r="139">
          <cell r="N139">
            <v>0</v>
          </cell>
        </row>
        <row r="140">
          <cell r="N140">
            <v>0</v>
          </cell>
        </row>
        <row r="147">
          <cell r="N147">
            <v>0</v>
          </cell>
        </row>
        <row r="148">
          <cell r="N148">
            <v>0</v>
          </cell>
        </row>
        <row r="149">
          <cell r="N149">
            <v>156372895.96636966</v>
          </cell>
        </row>
        <row r="150">
          <cell r="N150">
            <v>0</v>
          </cell>
        </row>
        <row r="151">
          <cell r="N151">
            <v>0</v>
          </cell>
        </row>
        <row r="152">
          <cell r="N152">
            <v>0</v>
          </cell>
        </row>
        <row r="165">
          <cell r="N165">
            <v>20134364670.666859</v>
          </cell>
        </row>
      </sheetData>
      <sheetData sheetId="7"/>
      <sheetData sheetId="8">
        <row r="13">
          <cell r="T13">
            <v>170498.13886458441</v>
          </cell>
        </row>
        <row r="14">
          <cell r="T14">
            <v>327744.46283310658</v>
          </cell>
        </row>
        <row r="15">
          <cell r="T15">
            <v>1109796.2627127846</v>
          </cell>
        </row>
        <row r="16">
          <cell r="T16">
            <v>56382.006752052264</v>
          </cell>
        </row>
        <row r="17">
          <cell r="T17">
            <v>150254.38608118135</v>
          </cell>
        </row>
        <row r="18">
          <cell r="T18">
            <v>4774.3467862888829</v>
          </cell>
        </row>
        <row r="25">
          <cell r="T25">
            <v>0</v>
          </cell>
        </row>
        <row r="26">
          <cell r="T26">
            <v>0</v>
          </cell>
        </row>
        <row r="27">
          <cell r="T27">
            <v>20589.681754798934</v>
          </cell>
        </row>
        <row r="28">
          <cell r="T28">
            <v>0</v>
          </cell>
        </row>
        <row r="29">
          <cell r="T29">
            <v>0</v>
          </cell>
        </row>
        <row r="30">
          <cell r="T30">
            <v>0</v>
          </cell>
        </row>
        <row r="37">
          <cell r="T37">
            <v>347.53471732136859</v>
          </cell>
        </row>
        <row r="38">
          <cell r="T38">
            <v>-1.1368683772161603E-13</v>
          </cell>
        </row>
        <row r="39">
          <cell r="T39">
            <v>0</v>
          </cell>
        </row>
        <row r="40">
          <cell r="T40">
            <v>1594.9131305208607</v>
          </cell>
        </row>
        <row r="41">
          <cell r="T41">
            <v>28570.93287229913</v>
          </cell>
        </row>
        <row r="42">
          <cell r="T42">
            <v>455.72579999999999</v>
          </cell>
        </row>
        <row r="52">
          <cell r="T52">
            <v>5268.2208091690864</v>
          </cell>
        </row>
        <row r="53">
          <cell r="T53">
            <v>9194.002098104218</v>
          </cell>
        </row>
        <row r="54">
          <cell r="T54">
            <v>18907.91244244422</v>
          </cell>
        </row>
        <row r="55">
          <cell r="T55">
            <v>-370.42678697717565</v>
          </cell>
        </row>
        <row r="56">
          <cell r="T56">
            <v>26248.310380790586</v>
          </cell>
        </row>
        <row r="57">
          <cell r="T57">
            <v>455.72580000000011</v>
          </cell>
        </row>
        <row r="63">
          <cell r="T63">
            <v>0</v>
          </cell>
        </row>
        <row r="64">
          <cell r="T64">
            <v>0</v>
          </cell>
        </row>
        <row r="65">
          <cell r="T65">
            <v>0</v>
          </cell>
        </row>
        <row r="66">
          <cell r="T66">
            <v>13603.670819148516</v>
          </cell>
        </row>
        <row r="67">
          <cell r="T67">
            <v>0</v>
          </cell>
        </row>
        <row r="68">
          <cell r="T68">
            <v>151.90859999999998</v>
          </cell>
        </row>
        <row r="75">
          <cell r="T75">
            <v>8543.703026321662</v>
          </cell>
        </row>
        <row r="76">
          <cell r="T76">
            <v>35951.326366069021</v>
          </cell>
        </row>
        <row r="77">
          <cell r="T77">
            <v>10195.535383081622</v>
          </cell>
        </row>
        <row r="78">
          <cell r="T78">
            <v>0</v>
          </cell>
        </row>
        <row r="79">
          <cell r="T79">
            <v>31106.307730852219</v>
          </cell>
        </row>
        <row r="80">
          <cell r="T80">
            <v>911.45159999999987</v>
          </cell>
        </row>
        <row r="87">
          <cell r="T87">
            <v>0</v>
          </cell>
        </row>
        <row r="88">
          <cell r="T88">
            <v>0</v>
          </cell>
        </row>
        <row r="89">
          <cell r="T89">
            <v>34065.564962069708</v>
          </cell>
        </row>
        <row r="90">
          <cell r="T90">
            <v>0</v>
          </cell>
        </row>
        <row r="91">
          <cell r="T91">
            <v>0</v>
          </cell>
        </row>
        <row r="92">
          <cell r="T92">
            <v>0</v>
          </cell>
        </row>
        <row r="99">
          <cell r="T99">
            <v>0</v>
          </cell>
        </row>
        <row r="100">
          <cell r="T100">
            <v>21769.159767633369</v>
          </cell>
        </row>
        <row r="101">
          <cell r="T101">
            <v>1695.5030677183622</v>
          </cell>
        </row>
        <row r="102">
          <cell r="T102">
            <v>0</v>
          </cell>
        </row>
        <row r="103">
          <cell r="T103">
            <v>0</v>
          </cell>
        </row>
        <row r="104">
          <cell r="T104">
            <v>0</v>
          </cell>
        </row>
        <row r="111">
          <cell r="T111">
            <v>0</v>
          </cell>
        </row>
        <row r="112">
          <cell r="T112">
            <v>0</v>
          </cell>
        </row>
        <row r="113">
          <cell r="T113">
            <v>13120.189485789087</v>
          </cell>
        </row>
        <row r="114">
          <cell r="T114">
            <v>0</v>
          </cell>
        </row>
        <row r="115">
          <cell r="T115">
            <v>0</v>
          </cell>
        </row>
        <row r="116">
          <cell r="T116">
            <v>0</v>
          </cell>
        </row>
        <row r="123">
          <cell r="T123">
            <v>0</v>
          </cell>
        </row>
        <row r="124">
          <cell r="T124">
            <v>0</v>
          </cell>
        </row>
        <row r="125">
          <cell r="T125">
            <v>20295.448850123536</v>
          </cell>
        </row>
        <row r="126">
          <cell r="T126">
            <v>0</v>
          </cell>
        </row>
        <row r="127">
          <cell r="T127">
            <v>0</v>
          </cell>
        </row>
        <row r="128">
          <cell r="T128">
            <v>0</v>
          </cell>
        </row>
        <row r="135">
          <cell r="T135">
            <v>0</v>
          </cell>
        </row>
        <row r="136">
          <cell r="T136">
            <v>0</v>
          </cell>
        </row>
        <row r="137">
          <cell r="T137">
            <v>124804.55208741239</v>
          </cell>
        </row>
        <row r="138">
          <cell r="T138">
            <v>0</v>
          </cell>
        </row>
        <row r="139">
          <cell r="T139">
            <v>0</v>
          </cell>
        </row>
        <row r="140">
          <cell r="T140">
            <v>0</v>
          </cell>
        </row>
        <row r="147">
          <cell r="T147">
            <v>0</v>
          </cell>
        </row>
        <row r="148">
          <cell r="T148">
            <v>0</v>
          </cell>
        </row>
        <row r="149">
          <cell r="T149">
            <v>7565.5788229224345</v>
          </cell>
        </row>
        <row r="150">
          <cell r="T150">
            <v>0</v>
          </cell>
        </row>
        <row r="151">
          <cell r="T151">
            <v>0</v>
          </cell>
        </row>
        <row r="152">
          <cell r="T152">
            <v>0</v>
          </cell>
        </row>
        <row r="164">
          <cell r="T164">
            <v>2254492.0376176108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</sheetNames>
    <sheetDataSet>
      <sheetData sheetId="0">
        <row r="16">
          <cell r="E16">
            <v>-17992163377.010002</v>
          </cell>
          <cell r="F16">
            <v>-730068005.36000001</v>
          </cell>
          <cell r="G16">
            <v>-141950471.88999999</v>
          </cell>
          <cell r="H16">
            <v>-202532987.44999999</v>
          </cell>
          <cell r="J16">
            <v>-389462894.67000002</v>
          </cell>
          <cell r="K16">
            <v>-2827035595.8499999</v>
          </cell>
          <cell r="L16">
            <v>-186545746.05000001</v>
          </cell>
          <cell r="M16">
            <v>-1139447575.73</v>
          </cell>
          <cell r="N16">
            <v>-1336470062.9400001</v>
          </cell>
          <cell r="O16">
            <v>-678272787.24000001</v>
          </cell>
          <cell r="P16">
            <v>-676689444.89999998</v>
          </cell>
          <cell r="Q16">
            <v>-460594704.31999999</v>
          </cell>
        </row>
        <row r="163">
          <cell r="D163">
            <v>396982184.56</v>
          </cell>
          <cell r="E163">
            <v>226689256.83000001</v>
          </cell>
          <cell r="K163">
            <v>67797061.430000007</v>
          </cell>
          <cell r="M163">
            <v>68015894.099999994</v>
          </cell>
          <cell r="N163" t="str">
            <v/>
          </cell>
          <cell r="O163" t="str">
            <v/>
          </cell>
          <cell r="P163" t="str">
            <v/>
          </cell>
          <cell r="Q163">
            <v>34479972.200000003</v>
          </cell>
        </row>
        <row r="164">
          <cell r="D164">
            <v>428496317.88999999</v>
          </cell>
          <cell r="E164">
            <v>260901440.03999999</v>
          </cell>
          <cell r="K164">
            <v>99474250.090000004</v>
          </cell>
          <cell r="M164">
            <v>14548830.689999999</v>
          </cell>
          <cell r="N164">
            <v>53571797.07</v>
          </cell>
          <cell r="P164">
            <v>0</v>
          </cell>
          <cell r="Q164" t="str">
            <v/>
          </cell>
        </row>
        <row r="165">
          <cell r="D165">
            <v>1182675138.26</v>
          </cell>
          <cell r="E165">
            <v>529351443.73000002</v>
          </cell>
          <cell r="F165">
            <v>153947297.87</v>
          </cell>
          <cell r="G165">
            <v>29021721.640000001</v>
          </cell>
          <cell r="H165">
            <v>71900954.040000007</v>
          </cell>
          <cell r="J165">
            <v>42483417.57</v>
          </cell>
          <cell r="K165">
            <v>194803227.43000001</v>
          </cell>
          <cell r="M165">
            <v>30993127.57</v>
          </cell>
          <cell r="N165">
            <v>13997083.310000001</v>
          </cell>
          <cell r="O165">
            <v>35912726.170000002</v>
          </cell>
          <cell r="P165">
            <v>80264138.930000007</v>
          </cell>
          <cell r="Q165" t="str">
            <v/>
          </cell>
        </row>
        <row r="166">
          <cell r="D166">
            <v>14651454.680000002</v>
          </cell>
          <cell r="E166">
            <v>13324897.050000001</v>
          </cell>
          <cell r="K166" t="str">
            <v/>
          </cell>
          <cell r="L166">
            <v>1322329.6499999999</v>
          </cell>
          <cell r="M166">
            <v>4227.9799999999996</v>
          </cell>
          <cell r="N166" t="str">
            <v/>
          </cell>
          <cell r="P166" t="str">
            <v/>
          </cell>
          <cell r="Q166" t="str">
            <v/>
          </cell>
        </row>
        <row r="167">
          <cell r="D167">
            <v>974773.53</v>
          </cell>
          <cell r="E167">
            <v>792833.6</v>
          </cell>
          <cell r="K167">
            <v>178.67000000000002</v>
          </cell>
          <cell r="L167" t="str">
            <v/>
          </cell>
          <cell r="M167">
            <v>26148.639999999999</v>
          </cell>
          <cell r="N167" t="str">
            <v/>
          </cell>
          <cell r="P167" t="str">
            <v/>
          </cell>
          <cell r="Q167">
            <v>155612.62</v>
          </cell>
        </row>
        <row r="168">
          <cell r="D168">
            <v>109059.29</v>
          </cell>
          <cell r="E168">
            <v>109058.54</v>
          </cell>
          <cell r="K168">
            <v>0.54</v>
          </cell>
          <cell r="L168">
            <v>0.13</v>
          </cell>
          <cell r="M168">
            <v>0.08</v>
          </cell>
          <cell r="N168" t="str">
            <v/>
          </cell>
          <cell r="P168" t="str">
            <v/>
          </cell>
          <cell r="Q168" t="str">
            <v/>
          </cell>
        </row>
        <row r="169">
          <cell r="E169">
            <v>287848663.17000002</v>
          </cell>
          <cell r="K169">
            <v>-1415941.44</v>
          </cell>
          <cell r="M169">
            <v>30151785.899999999</v>
          </cell>
          <cell r="P169" t="str">
            <v/>
          </cell>
          <cell r="Q169">
            <v>32013467.809999999</v>
          </cell>
        </row>
        <row r="170">
          <cell r="E170">
            <v>4040957959.9499998</v>
          </cell>
          <cell r="K170">
            <v>624503749.89999998</v>
          </cell>
          <cell r="M170">
            <v>312581969.39999998</v>
          </cell>
          <cell r="N170">
            <v>1033289002.9400001</v>
          </cell>
          <cell r="P170" t="str">
            <v/>
          </cell>
          <cell r="Q170" t="str">
            <v/>
          </cell>
        </row>
        <row r="171">
          <cell r="E171">
            <v>10392148556.280001</v>
          </cell>
          <cell r="F171">
            <v>730302702.13</v>
          </cell>
          <cell r="G171">
            <v>141978278.37</v>
          </cell>
          <cell r="H171">
            <v>202599045.94999999</v>
          </cell>
          <cell r="J171">
            <v>389516582.43000001</v>
          </cell>
          <cell r="K171">
            <v>1656946772.5799999</v>
          </cell>
          <cell r="M171">
            <v>298631872.44999999</v>
          </cell>
          <cell r="N171">
            <v>303252916.68000001</v>
          </cell>
          <cell r="O171">
            <v>678462273.83000004</v>
          </cell>
          <cell r="P171">
            <v>676860861.07000005</v>
          </cell>
          <cell r="Q171" t="str">
            <v/>
          </cell>
        </row>
        <row r="172">
          <cell r="E172">
            <v>1117423357.96</v>
          </cell>
          <cell r="K172" t="str">
            <v/>
          </cell>
          <cell r="L172">
            <v>184571657.84</v>
          </cell>
          <cell r="M172">
            <v>12816047.060000001</v>
          </cell>
          <cell r="P172" t="str">
            <v/>
          </cell>
          <cell r="Q172" t="str">
            <v/>
          </cell>
        </row>
        <row r="173">
          <cell r="E173">
            <v>2092555566.4100001</v>
          </cell>
          <cell r="K173">
            <v>531359221.35000002</v>
          </cell>
          <cell r="M173">
            <v>479424251.37000006</v>
          </cell>
          <cell r="P173" t="str">
            <v/>
          </cell>
          <cell r="Q173">
            <v>422666787.38999999</v>
          </cell>
        </row>
        <row r="174">
          <cell r="E174">
            <v>64762941.460000001</v>
          </cell>
          <cell r="K174">
            <v>16217999.460000001</v>
          </cell>
          <cell r="L174">
            <v>2027249.87</v>
          </cell>
          <cell r="M174">
            <v>6081749.9199999999</v>
          </cell>
          <cell r="P174" t="str">
            <v/>
          </cell>
          <cell r="Q174">
            <v>6081750</v>
          </cell>
        </row>
      </sheetData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7 Oct"/>
      <sheetName val="28 Oct"/>
      <sheetName val="29 Oct"/>
      <sheetName val="30 Oct"/>
      <sheetName val="31 Oct"/>
      <sheetName val="01 Nov"/>
      <sheetName val="03 Nov"/>
      <sheetName val="04 Nov"/>
      <sheetName val="05 Nov"/>
      <sheetName val="06 Nov"/>
      <sheetName val="07 Nov"/>
      <sheetName val="08 Nov"/>
      <sheetName val="10 Nov"/>
      <sheetName val="11 Nov"/>
      <sheetName val="12 Nov"/>
      <sheetName val="13 Nov"/>
      <sheetName val="14 Nov"/>
      <sheetName val="15 Nov"/>
      <sheetName val="16 Nov"/>
      <sheetName val="17 Nov"/>
      <sheetName val="18 Nov"/>
      <sheetName val="19 Nov"/>
      <sheetName val="20 Nov"/>
      <sheetName val="21 Nov"/>
      <sheetName val="22Nov"/>
      <sheetName val="23 Nov"/>
      <sheetName val="24 Nov"/>
      <sheetName val="25 Nov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9">
          <cell r="T9">
            <v>15900000000000</v>
          </cell>
        </row>
        <row r="11">
          <cell r="T11">
            <v>2700000000000</v>
          </cell>
          <cell r="V11">
            <v>4320</v>
          </cell>
        </row>
        <row r="12">
          <cell r="T12">
            <v>5700000000000</v>
          </cell>
          <cell r="V12">
            <v>9120</v>
          </cell>
        </row>
        <row r="13">
          <cell r="T13">
            <v>2100000000000</v>
          </cell>
          <cell r="V13">
            <v>3360</v>
          </cell>
        </row>
        <row r="14">
          <cell r="T14">
            <v>12900000000000</v>
          </cell>
          <cell r="V14">
            <v>20640</v>
          </cell>
        </row>
        <row r="15">
          <cell r="T15">
            <v>5700000000000</v>
          </cell>
          <cell r="V15">
            <v>9120</v>
          </cell>
        </row>
        <row r="16">
          <cell r="T16">
            <v>11100000000000</v>
          </cell>
          <cell r="V16">
            <v>17760</v>
          </cell>
        </row>
        <row r="19">
          <cell r="T19">
            <v>10800000000000</v>
          </cell>
          <cell r="V19">
            <v>17280</v>
          </cell>
        </row>
        <row r="20">
          <cell r="T20">
            <v>9900000000000</v>
          </cell>
          <cell r="V20">
            <v>15840</v>
          </cell>
        </row>
        <row r="21">
          <cell r="T21">
            <v>3300000000000</v>
          </cell>
          <cell r="V21">
            <v>5280</v>
          </cell>
        </row>
        <row r="22">
          <cell r="T22">
            <v>6600000000000</v>
          </cell>
          <cell r="V22">
            <v>10560</v>
          </cell>
        </row>
        <row r="24">
          <cell r="T24">
            <v>300000000000</v>
          </cell>
          <cell r="V24">
            <v>480</v>
          </cell>
        </row>
        <row r="26">
          <cell r="T26">
            <v>87000000000000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ed Mvmnt Qty"/>
      <sheetName val="aug"/>
      <sheetName val="Sept 08"/>
      <sheetName val="Oct"/>
      <sheetName val="Sheet2"/>
    </sheetNames>
    <sheetDataSet>
      <sheetData sheetId="0"/>
      <sheetData sheetId="1"/>
      <sheetData sheetId="2"/>
      <sheetData sheetId="3">
        <row r="36">
          <cell r="AG36">
            <v>0</v>
          </cell>
        </row>
      </sheetData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umbers"/>
      <sheetName val="April journals"/>
      <sheetName val="Outgrower feed"/>
      <sheetName val="March pigs Journals"/>
      <sheetName val="Pigs Cost after IAS 41"/>
      <sheetName val="Pigs Cost"/>
      <sheetName val="IAS 41 Mvmnt Pigs"/>
      <sheetName val="Sheet1"/>
      <sheetName val="Cattle"/>
      <sheetName val="Cattle after IAS 41"/>
      <sheetName val="IAS 41 Mvmnt Cattle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>
        <row r="129">
          <cell r="S129">
            <v>1886827929586177.3</v>
          </cell>
        </row>
      </sheetData>
      <sheetData sheetId="6">
        <row r="129">
          <cell r="M129">
            <v>1.0139242388381384E+17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INDEX"/>
      <sheetName val="Pack Completion Checklist"/>
      <sheetName val="Pack Details"/>
      <sheetName val="CEO report"/>
      <sheetName val="Letter of Rep for EY"/>
      <sheetName val="Accounting Policies"/>
      <sheetName val="Income Statement1"/>
      <sheetName val="Balance Sheet2"/>
      <sheetName val="Cash Flow3"/>
      <sheetName val="Turnover4"/>
      <sheetName val="COS4A"/>
      <sheetName val="Royalty return4B"/>
      <sheetName val="Other Inc5"/>
      <sheetName val="Var costs6"/>
      <sheetName val="HO recov7"/>
      <sheetName val="Staff ovhds8"/>
      <sheetName val="Pens &amp; ret8A"/>
      <sheetName val="Other ovhds9"/>
      <sheetName val="Auditors' rem9A"/>
      <sheetName val="Directrs emol9B"/>
      <sheetName val="Donations &amp; Spons9C"/>
      <sheetName val="Operating lease9D"/>
      <sheetName val="Fin inc, Depn &amp; amort10"/>
      <sheetName val="Profit on listed equities10A"/>
      <sheetName val="Int Rec intercoy11"/>
      <sheetName val="Int rec 3rd pty11A"/>
      <sheetName val="Int Pay intercoy12"/>
      <sheetName val="Int pay 3rd pty13"/>
      <sheetName val="Assocs coys profits14"/>
      <sheetName val="Min int15"/>
      <sheetName val="Dividends16"/>
      <sheetName val="Share cap17"/>
      <sheetName val="NDR18"/>
      <sheetName val="DR19"/>
      <sheetName val="Min int20"/>
      <sheetName val="Loans pay intercoy21"/>
      <sheetName val="Loans rec intercoy22"/>
      <sheetName val="Local loans 3rd pty23"/>
      <sheetName val="Local loans 3rd pty23A"/>
      <sheetName val="Foreign loans 3rd pty24"/>
      <sheetName val="Foreign loans 3rd pty24A"/>
      <sheetName val="Fix ass25"/>
      <sheetName val="Fix ass recon25A"/>
      <sheetName val="Fix ass notes25B"/>
      <sheetName val="Int assets26"/>
      <sheetName val="Int assets recon26A"/>
      <sheetName val="Inv subs &amp; assocs27"/>
      <sheetName val="Finstats of assocs27A"/>
      <sheetName val="Inv other28"/>
      <sheetName val="Finstats of JV28A"/>
      <sheetName val="Stocks29"/>
      <sheetName val="Stocks ageing29A"/>
      <sheetName val="Bio Assets non-current29B "/>
      <sheetName val="Bio Assets - current29C"/>
      <sheetName val="3rd pty drs30"/>
      <sheetName val="Other drs30A"/>
      <sheetName val="Prepayments30B"/>
      <sheetName val="Intercoy drs30C"/>
      <sheetName val="Drs-provisions30D"/>
      <sheetName val="Bank &amp; cash31"/>
      <sheetName val="Overdrafts31A"/>
      <sheetName val="Call accs with IAL 31B"/>
      <sheetName val="Call accs with divs31C"/>
      <sheetName val="3rd pty crs32"/>
      <sheetName val="Other crs32A"/>
      <sheetName val="Intercoy crs32B"/>
      <sheetName val="Provisions32C"/>
      <sheetName val="Warrany prov32D"/>
      <sheetName val="Leave pay prov32E"/>
      <sheetName val="Inc tax prov33"/>
      <sheetName val="Tax charge33A"/>
      <sheetName val="Tax comp Divs33B"/>
      <sheetName val="Tax comp Subs33C"/>
      <sheetName val="Tax comp assocs33D"/>
      <sheetName val="Assessed losses33E"/>
      <sheetName val="Tax recon33F"/>
      <sheetName val="Def tax prov34"/>
      <sheetName val="Def tax comp Divs34A"/>
      <sheetName val="Def tax Subs34B"/>
      <sheetName val="Shareholders for div35"/>
      <sheetName val="Contingent liabs36"/>
      <sheetName val="Fut Cap Exp-fixed assets37A"/>
      <sheetName val="Fut Cap Exp-biological asset37B"/>
      <sheetName val="3rd pty fut lease comm38"/>
      <sheetName val="detailed_lease comm38A"/>
      <sheetName val="Director loans39"/>
      <sheetName val="Directors loans39A"/>
      <sheetName val="Trading outlets40"/>
      <sheetName val="Intercoy confirms41"/>
      <sheetName val="Fix ass transfers42"/>
      <sheetName val="Intercoy tranx Grp-3rd pty43"/>
      <sheetName val="Intercoy tranx Assoc-3rd pty4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9">
          <cell r="J9">
            <v>10327999.625859385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</sheetNames>
    <sheetDataSet>
      <sheetData sheetId="0">
        <row r="29">
          <cell r="O29">
            <v>556230944720</v>
          </cell>
        </row>
        <row r="30">
          <cell r="O30">
            <v>288177111971.19</v>
          </cell>
        </row>
      </sheetData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umbers"/>
      <sheetName val="April journals"/>
      <sheetName val="Outgrower feed"/>
      <sheetName val="March pigs Journals"/>
      <sheetName val="Pigs Cost after IAS 41"/>
      <sheetName val="Pigs Cost"/>
      <sheetName val="IAS 41 Mvmnt Pigs"/>
      <sheetName val="Cattle"/>
      <sheetName val="Cattle after IAS 41"/>
      <sheetName val="IAS 41 Mvmnt Cattle"/>
      <sheetName val="Sheet1"/>
      <sheetName val="Sheet3"/>
      <sheetName val="Weaners"/>
      <sheetName val="Growers"/>
      <sheetName val="U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7">
          <cell r="A7" t="str">
            <v>COST USD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F SUM"/>
      <sheetName val="FF IS REP"/>
      <sheetName val="IS (Actual)"/>
      <sheetName val="BS (Actual)"/>
      <sheetName val="IS (ZWD)"/>
      <sheetName val="BS (ZWD)"/>
      <sheetName val="Fixed Assets Additions"/>
      <sheetName val="FF BS REP"/>
      <sheetName val="FF BS (B)"/>
      <sheetName val="FF BS MOVE"/>
      <sheetName val="FF CF REP"/>
      <sheetName val="FF CF (B)"/>
      <sheetName val="Shares"/>
      <sheetName val="Stock"/>
      <sheetName val="Prepay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2">
          <cell r="N52">
            <v>529326.43954448728</v>
          </cell>
        </row>
      </sheetData>
      <sheetData sheetId="1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ed Mvmnt Qty"/>
      <sheetName val="Feed Mvt 26"/>
      <sheetName val="Feed Mvt 27"/>
      <sheetName val="Feed Mvt 28"/>
      <sheetName val="Feed Mvt 29"/>
      <sheetName val="Feed Mvmt Values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>
        <row r="56">
          <cell r="N56">
            <v>1878319.1415141602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lling price"/>
      <sheetName val="Selling Price Working"/>
      <sheetName val="Sheet1"/>
      <sheetName val="Sheet2"/>
      <sheetName val="Sheet3"/>
      <sheetName val="Transport Diesel"/>
      <sheetName val="Transport Hire"/>
      <sheetName val="Summary"/>
      <sheetName val="Diesel"/>
      <sheetName val="Feed cost Adj"/>
    </sheetNames>
    <sheetDataSet>
      <sheetData sheetId="0" refreshError="1"/>
      <sheetData sheetId="1">
        <row r="6">
          <cell r="K6">
            <v>2.2332694415134848</v>
          </cell>
        </row>
        <row r="19">
          <cell r="K19">
            <v>2.2478369134790346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Pig Costing October 2023"/>
      <sheetName val="Imported Pigs Costing 1023"/>
      <sheetName val="October 2023 USD"/>
      <sheetName val="Pig Costing November 2023"/>
      <sheetName val="Imported Pigs Costing 1123"/>
      <sheetName val="November 2023 USD"/>
      <sheetName val="Pig Costing December 2023"/>
      <sheetName val="Imported Pigs Costing 1223"/>
      <sheetName val="December 2023 USD "/>
      <sheetName val="Pig Costing January 2024"/>
      <sheetName val="Imported Pigs Costing 0124"/>
      <sheetName val="January 2024 USD"/>
      <sheetName val="Pig Costing February 2024"/>
      <sheetName val="Imported Pigs Costing 0224"/>
      <sheetName val="February 2024 USD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9">
          <cell r="Y19">
            <v>15.975926049870949</v>
          </cell>
        </row>
      </sheetData>
      <sheetData sheetId="20"/>
      <sheetData sheetId="21"/>
      <sheetData sheetId="22">
        <row r="19">
          <cell r="AB19">
            <v>24.87124416766482</v>
          </cell>
        </row>
      </sheetData>
      <sheetData sheetId="23"/>
      <sheetData sheetId="24"/>
      <sheetData sheetId="25">
        <row r="19">
          <cell r="AG19">
            <v>45.39913706476873</v>
          </cell>
        </row>
      </sheetData>
      <sheetData sheetId="26"/>
      <sheetData sheetId="27"/>
      <sheetData sheetId="28">
        <row r="20">
          <cell r="AK20">
            <v>68.143108161653188</v>
          </cell>
        </row>
      </sheetData>
      <sheetData sheetId="29"/>
      <sheetData sheetId="30"/>
      <sheetData sheetId="31">
        <row r="20">
          <cell r="AP20">
            <v>100.63136957194433</v>
          </cell>
        </row>
      </sheetData>
      <sheetData sheetId="32">
        <row r="49">
          <cell r="AI49">
            <v>0</v>
          </cell>
        </row>
      </sheetData>
      <sheetData sheetId="33"/>
      <sheetData sheetId="34">
        <row r="20">
          <cell r="AT20">
            <v>127.15807801381764</v>
          </cell>
        </row>
      </sheetData>
      <sheetData sheetId="35"/>
      <sheetData sheetId="36"/>
      <sheetData sheetId="37">
        <row r="20">
          <cell r="Z20">
            <v>18.906701889303882</v>
          </cell>
        </row>
      </sheetData>
      <sheetData sheetId="38"/>
      <sheetData sheetId="39"/>
      <sheetData sheetId="40">
        <row r="20">
          <cell r="AE20">
            <v>35.890453659224065</v>
          </cell>
        </row>
      </sheetData>
      <sheetData sheetId="41"/>
      <sheetData sheetId="42"/>
      <sheetData sheetId="43">
        <row r="20">
          <cell r="AI20">
            <v>72.753863194798825</v>
          </cell>
        </row>
      </sheetData>
      <sheetData sheetId="44"/>
      <sheetData sheetId="45"/>
      <sheetData sheetId="46">
        <row r="20">
          <cell r="AN20">
            <v>110.929932759848</v>
          </cell>
        </row>
      </sheetData>
      <sheetData sheetId="47"/>
      <sheetData sheetId="48"/>
      <sheetData sheetId="49">
        <row r="20">
          <cell r="Z20">
            <v>14.142757818512832</v>
          </cell>
        </row>
      </sheetData>
      <sheetData sheetId="50"/>
      <sheetData sheetId="51"/>
      <sheetData sheetId="52">
        <row r="15">
          <cell r="E15">
            <v>3</v>
          </cell>
        </row>
      </sheetData>
      <sheetData sheetId="53">
        <row r="20">
          <cell r="AE20">
            <v>37.680664673131275</v>
          </cell>
        </row>
      </sheetData>
      <sheetData sheetId="54">
        <row r="20">
          <cell r="AJ20">
            <v>63.639698840844268</v>
          </cell>
        </row>
      </sheetData>
      <sheetData sheetId="55">
        <row r="20">
          <cell r="AA20">
            <v>20.511950797457967</v>
          </cell>
        </row>
      </sheetData>
      <sheetData sheetId="56">
        <row r="360">
          <cell r="AR360">
            <v>35809.542131065056</v>
          </cell>
        </row>
      </sheetData>
      <sheetData sheetId="57"/>
      <sheetData sheetId="58"/>
      <sheetData sheetId="59">
        <row r="6">
          <cell r="I6">
            <v>271.33261802575106</v>
          </cell>
        </row>
      </sheetData>
      <sheetData sheetId="60">
        <row r="356">
          <cell r="BM356">
            <v>54551.284102472157</v>
          </cell>
        </row>
      </sheetData>
      <sheetData sheetId="61"/>
      <sheetData sheetId="62"/>
      <sheetData sheetId="63">
        <row r="360">
          <cell r="AR360">
            <v>37591.666844803753</v>
          </cell>
        </row>
      </sheetData>
      <sheetData sheetId="64"/>
      <sheetData sheetId="65">
        <row r="6">
          <cell r="H6">
            <v>271.33261802575106</v>
          </cell>
        </row>
      </sheetData>
      <sheetData sheetId="66">
        <row r="11">
          <cell r="X11">
            <v>3</v>
          </cell>
        </row>
      </sheetData>
      <sheetData sheetId="67"/>
      <sheetData sheetId="68"/>
      <sheetData sheetId="69">
        <row r="20">
          <cell r="AC20">
            <v>31.491511824126516</v>
          </cell>
        </row>
      </sheetData>
      <sheetData sheetId="70">
        <row r="36">
          <cell r="AU36">
            <v>170.03434320992767</v>
          </cell>
        </row>
      </sheetData>
      <sheetData sheetId="71"/>
      <sheetData sheetId="72">
        <row r="20">
          <cell r="AG20">
            <v>52.347825634068769</v>
          </cell>
        </row>
      </sheetData>
      <sheetData sheetId="73"/>
      <sheetData sheetId="74"/>
      <sheetData sheetId="75">
        <row r="20">
          <cell r="AK20">
            <v>73.264599539252004</v>
          </cell>
        </row>
        <row r="68">
          <cell r="BB68">
            <v>1608714</v>
          </cell>
        </row>
      </sheetData>
      <sheetData sheetId="76"/>
      <sheetData sheetId="77"/>
      <sheetData sheetId="78">
        <row r="20">
          <cell r="AP20">
            <v>98.681623512582888</v>
          </cell>
        </row>
      </sheetData>
      <sheetData sheetId="79">
        <row r="28">
          <cell r="X28">
            <v>3</v>
          </cell>
        </row>
      </sheetData>
      <sheetData sheetId="80"/>
      <sheetData sheetId="81">
        <row r="6">
          <cell r="J6">
            <v>281.48520000000002</v>
          </cell>
        </row>
      </sheetData>
      <sheetData sheetId="82"/>
      <sheetData sheetId="83"/>
      <sheetData sheetId="84">
        <row r="10">
          <cell r="CQ10">
            <v>2355041.0489493539</v>
          </cell>
        </row>
        <row r="16">
          <cell r="CG16">
            <v>1608714</v>
          </cell>
        </row>
      </sheetData>
      <sheetData sheetId="85">
        <row r="7">
          <cell r="J7">
            <v>37059.456901711936</v>
          </cell>
        </row>
        <row r="8">
          <cell r="G8">
            <v>-38252.705505340193</v>
          </cell>
        </row>
        <row r="10">
          <cell r="G10">
            <v>-9756.9592054946934</v>
          </cell>
        </row>
        <row r="20">
          <cell r="H20">
            <v>377.49851870301336</v>
          </cell>
        </row>
        <row r="31">
          <cell r="G31">
            <v>-1070940.9858333596</v>
          </cell>
        </row>
        <row r="33">
          <cell r="G33">
            <v>-20651.629804956934</v>
          </cell>
        </row>
        <row r="45">
          <cell r="G45">
            <v>0</v>
          </cell>
        </row>
        <row r="48">
          <cell r="G48">
            <v>-36837.101117611732</v>
          </cell>
        </row>
        <row r="54">
          <cell r="G54">
            <v>54473.512704746077</v>
          </cell>
        </row>
      </sheetData>
      <sheetData sheetId="86"/>
      <sheetData sheetId="87"/>
      <sheetData sheetId="88">
        <row r="31">
          <cell r="F31">
            <v>-863.73730232558592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Grasmere Imported Valuation"/>
      <sheetName val="Richlands Imported Valuation"/>
      <sheetName val="Summary Splits"/>
      <sheetName val="Lionhead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Richlands Pig Cost (2)"/>
      <sheetName val="CCC"/>
      <sheetName val="CCC (2)"/>
      <sheetName val="Total Pigs"/>
      <sheetName val="Non Current"/>
      <sheetName val="Feed Cost &amp; Allocation"/>
      <sheetName val="FCA RData"/>
      <sheetName val="Feed Consumed"/>
      <sheetName val="Sheet27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">
          <cell r="E3">
            <v>107855370.51088086</v>
          </cell>
        </row>
        <row r="46">
          <cell r="B46">
            <v>420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32">
          <cell r="C32">
            <v>583736870.08937502</v>
          </cell>
        </row>
      </sheetData>
      <sheetData sheetId="56">
        <row r="16">
          <cell r="B16">
            <v>-37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Pig Costing October 2023"/>
      <sheetName val="Imported Pigs Costing 1023"/>
      <sheetName val="October 2023 USD"/>
      <sheetName val="Pig Costing November 2023"/>
      <sheetName val="Imported Pigs Costing 1123"/>
      <sheetName val="November 2023 USD"/>
      <sheetName val="Pig Costing December 2023"/>
      <sheetName val="Imported Pigs Costing 1223"/>
      <sheetName val="December 2023 USD "/>
      <sheetName val="Pig Costing January 2024"/>
      <sheetName val="Imported Pigs Costing 0124"/>
      <sheetName val="January 2024 USD"/>
      <sheetName val="Pig Costing February 2024"/>
      <sheetName val="Imported Pigs Costing 0224"/>
      <sheetName val="February 2024 USD"/>
      <sheetName val="Pig Costing March 2024"/>
      <sheetName val="Imported Pigs Costing 0324 "/>
      <sheetName val="March 2024 USD "/>
      <sheetName val="Pig Costing April 2024 "/>
      <sheetName val="Imported Pigs Costing 0424"/>
      <sheetName val="April 2024 USD "/>
      <sheetName val="Pig Costing May 2024"/>
      <sheetName val="Imported Pigs Costing 0524"/>
      <sheetName val="May 2024 USD  "/>
      <sheetName val="Pig Costing June 2024"/>
      <sheetName val="Imported Pigs Costing 0624"/>
      <sheetName val="June 2024 USD"/>
      <sheetName val="Pig Costing July 2024"/>
      <sheetName val="Imported Pigs Costing 0724"/>
      <sheetName val="July 2024 USD"/>
      <sheetName val="Pig Costing August 2024 "/>
      <sheetName val="Imported Pigs Costing 0824"/>
      <sheetName val="August 2024 USD"/>
      <sheetName val="Pig Costing September 2024 "/>
      <sheetName val="Imported Pigs Costing 0924"/>
      <sheetName val="September 2024 USD"/>
      <sheetName val="Pig Costing October 2024"/>
      <sheetName val="Imported Pigs Costing 1024"/>
      <sheetName val="October 2024 USD"/>
      <sheetName val="Pig Costing November 2024"/>
      <sheetName val="Imported Pigs Costing 1124"/>
      <sheetName val="November 2024 USD"/>
      <sheetName val="Pig Costing December 2024"/>
      <sheetName val="Imported Pigs Costing 1224"/>
      <sheetName val="December 2024 USD "/>
      <sheetName val="Pig Costing January 2025"/>
      <sheetName val="Imported Pigs Costing 0125"/>
      <sheetName val="January 2025 USD  "/>
      <sheetName val="Pig Costing February 2025"/>
      <sheetName val="Imported Pigs Costing 0225"/>
      <sheetName val="February 2025 USD"/>
      <sheetName val="Pig Costing March 2025"/>
      <sheetName val="Imported Pigs Costing 0325"/>
      <sheetName val="March 2025 USD"/>
      <sheetName val="Pig Costing April 2025"/>
      <sheetName val="Imported Pigs Costing 0425 "/>
      <sheetName val="April 2025 USD"/>
      <sheetName val="Pig Costing May 2025"/>
      <sheetName val="Imported Pigs Costing 0525"/>
      <sheetName val="May 2025 USD"/>
      <sheetName val="Pig Costing June 2025"/>
      <sheetName val="Imported Pigs Costing 0625"/>
      <sheetName val="June 2025 USD"/>
      <sheetName val="Imported Pigs Costing 0625 (2)"/>
      <sheetName val="Pig Costing July 2025"/>
      <sheetName val="Imported Pigs Costing 0725"/>
      <sheetName val="July 2025 USD"/>
      <sheetName val="Pig Costing August 2025"/>
      <sheetName val="Imported Pigs Costing 0825"/>
      <sheetName val="August 2025 USD"/>
      <sheetName val="Pig Costing September 2025"/>
      <sheetName val="Imported Pigs Costing 0925"/>
      <sheetName val="September 2025 USD "/>
      <sheetName val="Pig Costing October 2025"/>
      <sheetName val="Imported Pigs Costing 1025"/>
      <sheetName val="October 2025 USD "/>
      <sheetName val="Pig Costing November 2025"/>
      <sheetName val="Imported Pigs Costing 1125"/>
      <sheetName val="November 2025 USD"/>
      <sheetName val="Pig Costing December 2025"/>
      <sheetName val="Imported Pigs Costing 1225"/>
      <sheetName val="December 2025 USD "/>
      <sheetName val="Pig Costing January 2026"/>
      <sheetName val="Imported Pigs Costing 0126"/>
      <sheetName val="January 2026 USD"/>
      <sheetName val="Pig Costing February 2026"/>
      <sheetName val="Imported Pigs Costing 0226"/>
      <sheetName val="February 2026 USD"/>
      <sheetName val="Pig Costing March 2026"/>
      <sheetName val="Imported Pigs Costing 0326"/>
      <sheetName val="March 2026 USD"/>
      <sheetName val="Pig Costing April 2026"/>
      <sheetName val="Imported Pigs Costing 0426"/>
      <sheetName val="April 2026 USD"/>
      <sheetName val="Pig Costing May 2026"/>
      <sheetName val="Imported Pigs Costing 0526"/>
      <sheetName val="Imported Pigs Costing 0626"/>
      <sheetName val="Pig Costing June 2.026"/>
      <sheetName val="Pig Costing June 2026"/>
      <sheetName val="June 2026 USD"/>
      <sheetName val="Imported Pigs Costing 0726"/>
      <sheetName val="July 2026 USD"/>
      <sheetName val="Pig Costing July 2026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>
        <row r="106">
          <cell r="AX106">
            <v>8941.82393522231</v>
          </cell>
        </row>
        <row r="107">
          <cell r="AX107">
            <v>9590.5770058787766</v>
          </cell>
        </row>
        <row r="108">
          <cell r="AX108">
            <v>10253.974774031383</v>
          </cell>
        </row>
        <row r="109">
          <cell r="AX109">
            <v>13733.776033884016</v>
          </cell>
        </row>
        <row r="110">
          <cell r="AX110">
            <v>14009.183414545474</v>
          </cell>
        </row>
        <row r="112">
          <cell r="AX112">
            <v>11399.118768830735</v>
          </cell>
        </row>
        <row r="113">
          <cell r="AX113">
            <v>11290.128957590103</v>
          </cell>
        </row>
        <row r="114">
          <cell r="AX114">
            <v>11357.141131693366</v>
          </cell>
        </row>
        <row r="115">
          <cell r="AX115">
            <v>11438.547433614565</v>
          </cell>
        </row>
        <row r="116">
          <cell r="AX116">
            <v>11508.852792206975</v>
          </cell>
        </row>
        <row r="117">
          <cell r="AX117">
            <v>14267.329829047703</v>
          </cell>
        </row>
        <row r="119">
          <cell r="AX119">
            <v>9864.8986618808649</v>
          </cell>
        </row>
        <row r="120">
          <cell r="AX120">
            <v>10547.867720162056</v>
          </cell>
        </row>
        <row r="121">
          <cell r="AX121">
            <v>8030.7477893868072</v>
          </cell>
        </row>
        <row r="122">
          <cell r="AX122">
            <v>8249.1852617667173</v>
          </cell>
        </row>
        <row r="123">
          <cell r="AX123">
            <v>11202.405564977162</v>
          </cell>
        </row>
        <row r="124">
          <cell r="AX124">
            <v>9441.0079025935593</v>
          </cell>
        </row>
        <row r="125">
          <cell r="AX125">
            <v>8144.4214668208006</v>
          </cell>
        </row>
        <row r="126">
          <cell r="AX126">
            <v>9928.9806695597781</v>
          </cell>
        </row>
        <row r="127">
          <cell r="AX127">
            <v>12346.922672182318</v>
          </cell>
        </row>
        <row r="128">
          <cell r="AX128">
            <v>11998.890607282168</v>
          </cell>
        </row>
        <row r="360">
          <cell r="BN360">
            <v>200322.15170572928</v>
          </cell>
          <cell r="BS360">
            <v>1001751.6077593508</v>
          </cell>
          <cell r="CS360">
            <v>27362.907710340674</v>
          </cell>
        </row>
      </sheetData>
      <sheetData sheetId="170" refreshError="1"/>
      <sheetData sheetId="171" refreshError="1"/>
      <sheetData sheetId="172" refreshError="1"/>
      <sheetData sheetId="173">
        <row r="13">
          <cell r="C13">
            <v>2156497.5</v>
          </cell>
        </row>
        <row r="17">
          <cell r="C17">
            <v>310734.63461186615</v>
          </cell>
        </row>
        <row r="18">
          <cell r="C18">
            <v>-25991.237486057329</v>
          </cell>
        </row>
        <row r="19">
          <cell r="C19">
            <v>-2077.1066257844213</v>
          </cell>
        </row>
        <row r="20">
          <cell r="C20">
            <v>-22854.936783050885</v>
          </cell>
        </row>
        <row r="21">
          <cell r="C21">
            <v>0</v>
          </cell>
        </row>
        <row r="22">
          <cell r="C22">
            <v>1446.4693151411743</v>
          </cell>
        </row>
        <row r="23">
          <cell r="C23">
            <v>1229436.667175421</v>
          </cell>
        </row>
        <row r="38">
          <cell r="C38">
            <v>4132906.9035815326</v>
          </cell>
        </row>
        <row r="45">
          <cell r="M45">
            <v>0</v>
          </cell>
        </row>
        <row r="53">
          <cell r="C53">
            <v>3978962.8149008527</v>
          </cell>
        </row>
        <row r="56">
          <cell r="C56">
            <v>-109421.52194710367</v>
          </cell>
        </row>
        <row r="58">
          <cell r="B58">
            <v>11378180.125466267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>
        <row r="1">
          <cell r="A1" t="str">
            <v>TRIPLE C PIGS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2">
          <cell r="H12">
            <v>92393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les"/>
      <sheetName val="Sales USD"/>
      <sheetName val="Rental"/>
      <sheetName val="Rations &amp; lunches"/>
      <sheetName val="Extension Deliveries"/>
      <sheetName val="Extension Deliveries usd"/>
      <sheetName val="Sheet1"/>
      <sheetName val="Pig levy"/>
      <sheetName val="PIG LEVY AMMENDED"/>
      <sheetName val="Payroll Numbers"/>
      <sheetName val="Average Prices"/>
      <sheetName val="PIGLETS SALES"/>
      <sheetName val="Sheet4"/>
      <sheetName val="Provision Christmas Hampe Pork"/>
      <sheetName val="Overscalded Pigs"/>
      <sheetName val="Sheet2"/>
      <sheetName val="Sheet6"/>
      <sheetName val="DOAs Week 47-Email"/>
    </sheetNames>
    <sheetDataSet>
      <sheetData sheetId="0"/>
      <sheetData sheetId="1">
        <row r="4">
          <cell r="AZ4">
            <v>2</v>
          </cell>
        </row>
        <row r="12">
          <cell r="K12">
            <v>4671800.3289999999</v>
          </cell>
          <cell r="T12">
            <v>19340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umbers"/>
      <sheetName val="April journals"/>
      <sheetName val="Outgrower feed"/>
      <sheetName val="March pigs Journals"/>
      <sheetName val="Pigs Cost after IAS 41"/>
      <sheetName val="Pigs Cost"/>
      <sheetName val="USD"/>
      <sheetName val="Sheet1"/>
      <sheetName val="IAS 41 Mvmnt Pigs"/>
      <sheetName val="Cattle"/>
      <sheetName val="Cattle after IAS 41"/>
      <sheetName val="IAS 41 Mvmnt Cattle"/>
      <sheetName val="Sheet3"/>
      <sheetName val="Weaners"/>
      <sheetName val="Grower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2">
          <cell r="R32">
            <v>12141170.539104469</v>
          </cell>
        </row>
      </sheetData>
      <sheetData sheetId="10"/>
      <sheetData sheetId="11">
        <row r="27">
          <cell r="T27">
            <v>2447162888.4296613</v>
          </cell>
        </row>
        <row r="28">
          <cell r="T28">
            <v>4723390107.8878107</v>
          </cell>
        </row>
        <row r="29">
          <cell r="T29">
            <v>0</v>
          </cell>
        </row>
        <row r="30">
          <cell r="T30">
            <v>2309545569.1806121</v>
          </cell>
        </row>
        <row r="31">
          <cell r="T31">
            <v>3608148936.6119485</v>
          </cell>
        </row>
        <row r="32">
          <cell r="T32">
            <v>15954568175.69375</v>
          </cell>
        </row>
        <row r="33">
          <cell r="T33">
            <v>3919418151.657114</v>
          </cell>
        </row>
        <row r="34">
          <cell r="T34">
            <v>32962233829.460899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Grassmere"/>
      <sheetName val="Outgrower TRADE WIN"/>
      <sheetName val="Outgrower ZIMBO"/>
      <sheetName val="Outgrower ROGATE"/>
      <sheetName val="Outgrower Quaranti"/>
      <sheetName val="Outgrower OSWA"/>
      <sheetName val="Outgrower Bill Nich"/>
      <sheetName val="Outgrower Seaforth"/>
      <sheetName val="Outgrower Moon Farm"/>
      <sheetName val="Dzumbunu"/>
      <sheetName val="Clifton"/>
      <sheetName val="Coldstream"/>
      <sheetName val="Cattle Revised"/>
      <sheetName val="PigsDec05"/>
      <sheetName val="CattlEJUNE06"/>
      <sheetName val="RECONCILIATION"/>
      <sheetName val="Sheet1"/>
      <sheetName val="CattleDec05"/>
      <sheetName val="OstMar06"/>
      <sheetName val="OstDec05"/>
    </sheetNames>
    <sheetDataSet>
      <sheetData sheetId="0">
        <row r="22">
          <cell r="B22">
            <v>12321631.923947752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ROL"/>
      <sheetName val="PR IS by div"/>
      <sheetName val="PR IS"/>
      <sheetName val="PR BS"/>
      <sheetName val="PR CF (old format)"/>
      <sheetName val="PR CF"/>
      <sheetName val="PR FA"/>
      <sheetName val="PR CG"/>
      <sheetName val="PR IA"/>
      <sheetName val="IS ANALYSIS"/>
      <sheetName val="BS ANALYSIS"/>
      <sheetName val="CF ANALYSIS"/>
      <sheetName val="IS Report"/>
      <sheetName val="BS Proof"/>
      <sheetName val="BS Report"/>
      <sheetName val="Min Int"/>
      <sheetName val="WORKING CAPITAL ANALYSIS"/>
      <sheetName val="IS (Actual)"/>
      <sheetName val="IS (Flash)"/>
      <sheetName val="IS (Budget)"/>
      <sheetName val="IS (Prior)"/>
      <sheetName val="BS (Actual)"/>
      <sheetName val="BS (Prior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8">
          <cell r="AH58">
            <v>8521739130.4347801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Grasmere Imported Valuation"/>
      <sheetName val="Richlands Imported Valuation"/>
      <sheetName val="Summary Splits"/>
      <sheetName val="Lionhead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Richlands Pig Cost (2)"/>
      <sheetName val="CCC"/>
      <sheetName val="CCC (2)"/>
      <sheetName val="Total Pigs"/>
      <sheetName val="Non Current"/>
      <sheetName val="Feed Cost &amp; Allocation"/>
      <sheetName val="FCA RData"/>
      <sheetName val="Feed Consumed"/>
      <sheetName val="Sheet27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">
          <cell r="E3">
            <v>145683639.60473189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6">
          <cell r="B6">
            <v>674736708.8056953</v>
          </cell>
          <cell r="C6">
            <v>608420781.24133384</v>
          </cell>
          <cell r="D6">
            <v>-115946303.099915</v>
          </cell>
          <cell r="E6">
            <v>492474478.14141881</v>
          </cell>
        </row>
        <row r="13">
          <cell r="B13">
            <v>16057417.293839572</v>
          </cell>
          <cell r="C13">
            <v>6127121.0419667866</v>
          </cell>
          <cell r="D13">
            <v>-5297654.485113496</v>
          </cell>
          <cell r="E13">
            <v>829466.55685329065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>
        <row r="6">
          <cell r="C6">
            <v>8370710609.4519997</v>
          </cell>
        </row>
        <row r="7">
          <cell r="C7">
            <v>0</v>
          </cell>
        </row>
        <row r="8">
          <cell r="C8">
            <v>1712204018.4749081</v>
          </cell>
        </row>
        <row r="9">
          <cell r="C9">
            <v>3656165300.1040859</v>
          </cell>
        </row>
        <row r="10">
          <cell r="C10">
            <v>3547579778.8078666</v>
          </cell>
        </row>
        <row r="11">
          <cell r="C11">
            <v>1077034705.4428394</v>
          </cell>
        </row>
        <row r="12">
          <cell r="C12">
            <v>1495867130.231271</v>
          </cell>
        </row>
        <row r="21">
          <cell r="C21">
            <v>8566384267.9136276</v>
          </cell>
        </row>
        <row r="22">
          <cell r="C22">
            <v>1712204018.4749081</v>
          </cell>
        </row>
        <row r="23">
          <cell r="C23">
            <v>3656165300.1040859</v>
          </cell>
        </row>
        <row r="24">
          <cell r="C24">
            <v>3547579778.8078666</v>
          </cell>
        </row>
        <row r="25">
          <cell r="C25">
            <v>1077034705.4428394</v>
          </cell>
        </row>
        <row r="26">
          <cell r="C26">
            <v>1495867130.231271</v>
          </cell>
        </row>
        <row r="30">
          <cell r="C30">
            <v>0</v>
          </cell>
        </row>
        <row r="32">
          <cell r="C32">
            <v>0</v>
          </cell>
        </row>
        <row r="34">
          <cell r="C34">
            <v>0</v>
          </cell>
        </row>
        <row r="36">
          <cell r="C36">
            <v>0</v>
          </cell>
        </row>
        <row r="38">
          <cell r="C38">
            <v>0</v>
          </cell>
        </row>
        <row r="40">
          <cell r="C40">
            <v>0</v>
          </cell>
        </row>
        <row r="42">
          <cell r="C42">
            <v>-22625.767848218853</v>
          </cell>
        </row>
        <row r="44">
          <cell r="C44">
            <v>-9539.8719999999994</v>
          </cell>
        </row>
        <row r="46">
          <cell r="C46">
            <v>0</v>
          </cell>
        </row>
        <row r="47">
          <cell r="C47"/>
        </row>
        <row r="48">
          <cell r="C48">
            <v>0</v>
          </cell>
        </row>
        <row r="49">
          <cell r="C49"/>
        </row>
        <row r="50">
          <cell r="C50">
            <v>0</v>
          </cell>
        </row>
        <row r="51">
          <cell r="C51"/>
        </row>
        <row r="52">
          <cell r="C52">
            <v>-16808.303922790688</v>
          </cell>
        </row>
        <row r="53">
          <cell r="C53"/>
        </row>
        <row r="54">
          <cell r="C54">
            <v>0</v>
          </cell>
        </row>
        <row r="55">
          <cell r="C55"/>
        </row>
        <row r="56">
          <cell r="C56">
            <v>0</v>
          </cell>
        </row>
        <row r="57">
          <cell r="C57"/>
        </row>
        <row r="58">
          <cell r="C58">
            <v>0</v>
          </cell>
        </row>
        <row r="59">
          <cell r="C59"/>
        </row>
        <row r="60">
          <cell r="C60">
            <v>-69315.02390123911</v>
          </cell>
        </row>
        <row r="61">
          <cell r="C61"/>
        </row>
        <row r="62">
          <cell r="C62">
            <v>0</v>
          </cell>
        </row>
        <row r="63">
          <cell r="C63"/>
        </row>
        <row r="64">
          <cell r="C64">
            <v>-3937250.1851935065</v>
          </cell>
        </row>
        <row r="66">
          <cell r="C66">
            <v>-1274280.9720959598</v>
          </cell>
        </row>
        <row r="68">
          <cell r="C68">
            <v>-19644.049999999988</v>
          </cell>
        </row>
        <row r="70">
          <cell r="C70">
            <v>0</v>
          </cell>
        </row>
        <row r="72">
          <cell r="C72">
            <v>0</v>
          </cell>
        </row>
        <row r="74">
          <cell r="C74">
            <v>-15287.066116505399</v>
          </cell>
        </row>
        <row r="76">
          <cell r="C76">
            <v>-365337.6202538691</v>
          </cell>
        </row>
        <row r="78">
          <cell r="C78">
            <v>-153191.33333333331</v>
          </cell>
        </row>
        <row r="80">
          <cell r="C80">
            <v>-8011003.1755722845</v>
          </cell>
        </row>
        <row r="82">
          <cell r="C82">
            <v>-3155486.0390548357</v>
          </cell>
        </row>
        <row r="84">
          <cell r="C84">
            <v>-7398149.6259296834</v>
          </cell>
        </row>
        <row r="86">
          <cell r="C86">
            <v>0</v>
          </cell>
        </row>
        <row r="88">
          <cell r="C88">
            <v>0</v>
          </cell>
        </row>
        <row r="90">
          <cell r="C90">
            <v>0</v>
          </cell>
        </row>
        <row r="92">
          <cell r="C92">
            <v>0</v>
          </cell>
        </row>
        <row r="94">
          <cell r="C94">
            <v>0</v>
          </cell>
        </row>
        <row r="96">
          <cell r="C96">
            <v>-9589946.0657480899</v>
          </cell>
        </row>
        <row r="98">
          <cell r="C98">
            <v>-16025082.294666884</v>
          </cell>
        </row>
        <row r="100">
          <cell r="C100">
            <v>-34040088.542863064</v>
          </cell>
        </row>
        <row r="102">
          <cell r="C102">
            <v>-1753256.6743289239</v>
          </cell>
        </row>
        <row r="104">
          <cell r="C104">
            <v>-18422010.215468362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32">
          <cell r="C32">
            <v>1651644615.85516</v>
          </cell>
        </row>
      </sheetData>
      <sheetData sheetId="56">
        <row r="16">
          <cell r="B16">
            <v>-31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 TN70"/>
    </sheetNames>
    <sheetDataSet>
      <sheetData sheetId="0">
        <row r="1">
          <cell r="C1" t="str">
            <v>PORTA TN70 IN STOCK</v>
          </cell>
        </row>
        <row r="2">
          <cell r="G2" t="str">
            <v>July movements</v>
          </cell>
        </row>
        <row r="3">
          <cell r="C3" t="str">
            <v>Tag number</v>
          </cell>
        </row>
        <row r="4">
          <cell r="C4" t="str">
            <v>ADMX8747</v>
          </cell>
          <cell r="G4" t="str">
            <v>Ö</v>
          </cell>
        </row>
        <row r="5">
          <cell r="C5" t="str">
            <v>DLNA8340</v>
          </cell>
          <cell r="G5" t="str">
            <v>Ö</v>
          </cell>
        </row>
        <row r="6">
          <cell r="C6" t="str">
            <v>ADMX8688</v>
          </cell>
          <cell r="G6" t="str">
            <v>Ö</v>
          </cell>
        </row>
        <row r="7">
          <cell r="C7" t="str">
            <v>DLNA8228</v>
          </cell>
          <cell r="G7" t="str">
            <v>Ö</v>
          </cell>
        </row>
        <row r="8">
          <cell r="C8" t="str">
            <v>DLNA8252</v>
          </cell>
          <cell r="G8" t="str">
            <v>Ö</v>
          </cell>
        </row>
        <row r="9">
          <cell r="C9" t="str">
            <v>DLNA8254</v>
          </cell>
          <cell r="G9" t="str">
            <v>Ö</v>
          </cell>
        </row>
        <row r="10">
          <cell r="C10" t="str">
            <v>DLNA8282</v>
          </cell>
          <cell r="G10" t="str">
            <v>Ö</v>
          </cell>
        </row>
        <row r="11">
          <cell r="C11" t="str">
            <v>DLNA8305</v>
          </cell>
          <cell r="G11" t="str">
            <v>To Colcom on 16/07/2026</v>
          </cell>
        </row>
        <row r="12">
          <cell r="C12" t="str">
            <v>DLNA8294</v>
          </cell>
          <cell r="G12" t="str">
            <v>Ö</v>
          </cell>
        </row>
        <row r="13">
          <cell r="C13" t="str">
            <v>DLNA8299</v>
          </cell>
          <cell r="G13" t="str">
            <v>Ö</v>
          </cell>
        </row>
        <row r="14">
          <cell r="C14" t="str">
            <v>ADMX8616</v>
          </cell>
          <cell r="G14" t="str">
            <v>Ö</v>
          </cell>
        </row>
        <row r="15">
          <cell r="C15" t="str">
            <v>ADMX8617</v>
          </cell>
          <cell r="G15" t="str">
            <v>Ö</v>
          </cell>
        </row>
        <row r="16">
          <cell r="C16" t="str">
            <v>ADMX8652</v>
          </cell>
          <cell r="G16" t="str">
            <v>Ö</v>
          </cell>
        </row>
        <row r="17">
          <cell r="C17" t="str">
            <v>ADMX8657</v>
          </cell>
          <cell r="G17" t="str">
            <v>Ö</v>
          </cell>
        </row>
        <row r="18">
          <cell r="C18" t="str">
            <v>ADMX8660</v>
          </cell>
          <cell r="G18" t="str">
            <v>Ö</v>
          </cell>
        </row>
        <row r="19">
          <cell r="C19" t="str">
            <v>DLNA8196</v>
          </cell>
          <cell r="G19" t="str">
            <v>Ö</v>
          </cell>
        </row>
        <row r="20">
          <cell r="C20" t="str">
            <v>ADMX8521</v>
          </cell>
          <cell r="G20" t="str">
            <v>Ö</v>
          </cell>
        </row>
        <row r="21">
          <cell r="C21" t="str">
            <v>ADMX8523</v>
          </cell>
          <cell r="G21" t="str">
            <v>Ö</v>
          </cell>
        </row>
        <row r="22">
          <cell r="C22" t="str">
            <v>DLNA8132</v>
          </cell>
          <cell r="G22" t="str">
            <v>Ö</v>
          </cell>
        </row>
        <row r="23">
          <cell r="C23" t="str">
            <v>DLNA8088</v>
          </cell>
          <cell r="G23" t="str">
            <v>Ö</v>
          </cell>
        </row>
        <row r="24">
          <cell r="C24" t="str">
            <v>DLNA8091</v>
          </cell>
          <cell r="G24" t="str">
            <v>Ö</v>
          </cell>
        </row>
        <row r="25">
          <cell r="C25" t="str">
            <v>DLNA8092</v>
          </cell>
          <cell r="G25" t="str">
            <v>Ö</v>
          </cell>
        </row>
        <row r="26">
          <cell r="C26" t="str">
            <v>DLNA8109</v>
          </cell>
          <cell r="G26" t="str">
            <v>Ö</v>
          </cell>
        </row>
        <row r="27">
          <cell r="C27" t="str">
            <v>ADMX8444</v>
          </cell>
          <cell r="G27" t="str">
            <v>Ö</v>
          </cell>
        </row>
        <row r="28">
          <cell r="C28" t="str">
            <v>DLNA8080</v>
          </cell>
          <cell r="G28" t="str">
            <v>Ö</v>
          </cell>
        </row>
        <row r="29">
          <cell r="C29" t="str">
            <v>ADMX8364</v>
          </cell>
          <cell r="G29" t="str">
            <v>Ö</v>
          </cell>
        </row>
        <row r="30">
          <cell r="C30" t="str">
            <v>DLNA8000</v>
          </cell>
          <cell r="G30" t="str">
            <v>To Colcom on 02/07/2026</v>
          </cell>
        </row>
        <row r="31">
          <cell r="C31" t="str">
            <v>DLNA7985</v>
          </cell>
          <cell r="G31" t="str">
            <v>To Colcom on 02/07/2026</v>
          </cell>
        </row>
        <row r="32">
          <cell r="C32" t="str">
            <v>ADMX8285</v>
          </cell>
          <cell r="G32" t="str">
            <v>Ö</v>
          </cell>
        </row>
        <row r="33">
          <cell r="C33" t="str">
            <v>ADMX8318</v>
          </cell>
          <cell r="G33" t="str">
            <v>Ö</v>
          </cell>
        </row>
        <row r="34">
          <cell r="C34" t="str">
            <v>ADMX8321</v>
          </cell>
          <cell r="G34" t="str">
            <v>Ö</v>
          </cell>
        </row>
        <row r="35">
          <cell r="C35" t="str">
            <v>ADMX8325</v>
          </cell>
          <cell r="G35" t="str">
            <v>Ö</v>
          </cell>
        </row>
        <row r="36">
          <cell r="C36" t="str">
            <v>ADMX8329</v>
          </cell>
          <cell r="G36" t="str">
            <v>Ö</v>
          </cell>
        </row>
        <row r="37">
          <cell r="C37" t="str">
            <v>ADMX8343</v>
          </cell>
          <cell r="G37" t="str">
            <v>Ö</v>
          </cell>
        </row>
        <row r="38">
          <cell r="C38" t="str">
            <v>DLNA7900</v>
          </cell>
          <cell r="G38" t="str">
            <v>Ö</v>
          </cell>
        </row>
        <row r="39">
          <cell r="C39" t="str">
            <v>DLNA7940</v>
          </cell>
          <cell r="G39" t="str">
            <v>Ö</v>
          </cell>
        </row>
        <row r="40">
          <cell r="C40" t="str">
            <v>ADMX8259</v>
          </cell>
          <cell r="G40" t="str">
            <v>Ö</v>
          </cell>
        </row>
        <row r="41">
          <cell r="C41" t="str">
            <v>ADMX8270</v>
          </cell>
          <cell r="G41" t="str">
            <v>Ö</v>
          </cell>
        </row>
        <row r="42">
          <cell r="C42" t="str">
            <v>DLNA7785</v>
          </cell>
          <cell r="G42" t="str">
            <v>Ö</v>
          </cell>
        </row>
        <row r="43">
          <cell r="C43" t="str">
            <v>DLNA7837</v>
          </cell>
          <cell r="G43" t="str">
            <v>Ö</v>
          </cell>
        </row>
        <row r="44">
          <cell r="C44" t="str">
            <v>DLNA7839</v>
          </cell>
          <cell r="G44" t="str">
            <v>Ö</v>
          </cell>
        </row>
        <row r="45">
          <cell r="C45" t="str">
            <v>DLNA7814</v>
          </cell>
          <cell r="G45" t="str">
            <v>Ö</v>
          </cell>
        </row>
        <row r="46">
          <cell r="C46" t="str">
            <v>ADMX8210</v>
          </cell>
          <cell r="G46" t="str">
            <v>Ö</v>
          </cell>
        </row>
        <row r="47">
          <cell r="C47" t="str">
            <v>ADMX8239</v>
          </cell>
          <cell r="G47" t="str">
            <v>Ö</v>
          </cell>
        </row>
        <row r="48">
          <cell r="C48" t="str">
            <v>DLNA7761</v>
          </cell>
          <cell r="G48" t="str">
            <v>Ö</v>
          </cell>
        </row>
        <row r="49">
          <cell r="C49" t="str">
            <v>DLNA7766</v>
          </cell>
          <cell r="G49" t="str">
            <v>To Colcom on 02/07/2026</v>
          </cell>
        </row>
        <row r="50">
          <cell r="C50" t="str">
            <v>ADMX8193</v>
          </cell>
          <cell r="G50" t="str">
            <v>Ö</v>
          </cell>
        </row>
        <row r="51">
          <cell r="C51" t="str">
            <v>ADMX8198</v>
          </cell>
          <cell r="G51" t="str">
            <v>Ö</v>
          </cell>
        </row>
        <row r="52">
          <cell r="C52" t="str">
            <v>DLNA7751</v>
          </cell>
          <cell r="G52" t="str">
            <v>Ö</v>
          </cell>
        </row>
        <row r="53">
          <cell r="C53" t="str">
            <v>DLNA7757</v>
          </cell>
          <cell r="G53" t="str">
            <v>Ö</v>
          </cell>
        </row>
        <row r="54">
          <cell r="C54" t="str">
            <v>ADMX8142</v>
          </cell>
          <cell r="G54" t="str">
            <v>Ö</v>
          </cell>
        </row>
        <row r="55">
          <cell r="C55" t="str">
            <v>ADMX8162</v>
          </cell>
          <cell r="G55" t="str">
            <v>Ö</v>
          </cell>
        </row>
        <row r="56">
          <cell r="C56" t="str">
            <v>ADMX8170</v>
          </cell>
          <cell r="G56" t="str">
            <v>Ö</v>
          </cell>
        </row>
        <row r="57">
          <cell r="C57" t="str">
            <v>ADMX8180</v>
          </cell>
          <cell r="G57" t="str">
            <v>Ö</v>
          </cell>
        </row>
        <row r="58">
          <cell r="C58" t="str">
            <v>ADMX8184</v>
          </cell>
          <cell r="G58" t="str">
            <v>To Colcom on 02/07/2026</v>
          </cell>
        </row>
        <row r="59">
          <cell r="C59" t="str">
            <v>ADMX8115</v>
          </cell>
          <cell r="G59" t="str">
            <v>Ö</v>
          </cell>
        </row>
        <row r="60">
          <cell r="C60" t="str">
            <v>ADMX8121</v>
          </cell>
          <cell r="G60" t="str">
            <v>Ö</v>
          </cell>
        </row>
        <row r="61">
          <cell r="C61" t="str">
            <v>DLNA7687</v>
          </cell>
          <cell r="G61" t="str">
            <v>Ö</v>
          </cell>
        </row>
        <row r="62">
          <cell r="C62" t="str">
            <v>ADMX8063</v>
          </cell>
          <cell r="G62" t="str">
            <v>Ö</v>
          </cell>
        </row>
        <row r="63">
          <cell r="C63" t="str">
            <v>ADMX7988</v>
          </cell>
          <cell r="G63" t="str">
            <v>Ö</v>
          </cell>
        </row>
        <row r="64">
          <cell r="C64" t="str">
            <v>ADMX8013</v>
          </cell>
          <cell r="G64" t="str">
            <v>Ö</v>
          </cell>
        </row>
        <row r="65">
          <cell r="C65" t="str">
            <v>DLNA7576</v>
          </cell>
          <cell r="G65" t="str">
            <v>Ö</v>
          </cell>
        </row>
        <row r="66">
          <cell r="C66" t="str">
            <v>ADMX7964</v>
          </cell>
          <cell r="G66" t="str">
            <v>Ö</v>
          </cell>
        </row>
        <row r="67">
          <cell r="C67" t="str">
            <v>ADMX7973</v>
          </cell>
          <cell r="G67" t="str">
            <v>Ö</v>
          </cell>
        </row>
        <row r="68">
          <cell r="C68" t="str">
            <v>DLNA7482</v>
          </cell>
          <cell r="G68" t="str">
            <v>Ö</v>
          </cell>
        </row>
        <row r="69">
          <cell r="C69" t="str">
            <v>DLNA7470</v>
          </cell>
          <cell r="G69" t="str">
            <v>Ö</v>
          </cell>
        </row>
        <row r="70">
          <cell r="C70" t="str">
            <v>DLNA7510</v>
          </cell>
          <cell r="G70" t="str">
            <v>To Colcom on 02/07/2026</v>
          </cell>
        </row>
        <row r="71">
          <cell r="C71" t="str">
            <v>DLNA7519</v>
          </cell>
          <cell r="G71" t="str">
            <v>Ö</v>
          </cell>
        </row>
        <row r="72">
          <cell r="C72" t="str">
            <v>DLNA7533</v>
          </cell>
          <cell r="G72" t="str">
            <v>Ö</v>
          </cell>
        </row>
        <row r="73">
          <cell r="C73" t="str">
            <v>DLNA7534</v>
          </cell>
          <cell r="G73" t="str">
            <v>Ö</v>
          </cell>
        </row>
        <row r="74">
          <cell r="C74" t="str">
            <v>ADMX7883</v>
          </cell>
          <cell r="G74" t="str">
            <v>Ö</v>
          </cell>
        </row>
        <row r="75">
          <cell r="C75" t="str">
            <v>DLNA7436</v>
          </cell>
          <cell r="G75" t="str">
            <v>Ö</v>
          </cell>
        </row>
        <row r="76">
          <cell r="C76" t="str">
            <v>DLNA7438</v>
          </cell>
          <cell r="G76" t="str">
            <v>Ö</v>
          </cell>
        </row>
        <row r="77">
          <cell r="C77" t="str">
            <v>DLNA7432</v>
          </cell>
          <cell r="G77" t="str">
            <v>Ö</v>
          </cell>
        </row>
        <row r="78">
          <cell r="C78" t="str">
            <v>DLNA7460</v>
          </cell>
          <cell r="G78" t="str">
            <v>Ö</v>
          </cell>
        </row>
        <row r="79">
          <cell r="C79" t="str">
            <v>DLNA7463</v>
          </cell>
          <cell r="G79" t="str">
            <v>Ö</v>
          </cell>
        </row>
        <row r="80">
          <cell r="C80" t="str">
            <v>ADMX7869</v>
          </cell>
          <cell r="G80" t="str">
            <v>Ö</v>
          </cell>
        </row>
        <row r="81">
          <cell r="C81" t="str">
            <v>DLNA7404</v>
          </cell>
          <cell r="G81" t="str">
            <v>Ö</v>
          </cell>
        </row>
        <row r="82">
          <cell r="C82" t="str">
            <v>DLNA7406</v>
          </cell>
          <cell r="G82" t="str">
            <v>To Colcom on 02/07/2026</v>
          </cell>
        </row>
        <row r="83">
          <cell r="C83" t="str">
            <v>DLNA7408</v>
          </cell>
          <cell r="G83" t="str">
            <v>Ö</v>
          </cell>
        </row>
        <row r="84">
          <cell r="C84" t="str">
            <v>DLNA7410</v>
          </cell>
          <cell r="G84" t="str">
            <v>Ö</v>
          </cell>
        </row>
        <row r="85">
          <cell r="C85" t="str">
            <v>DLNA7398</v>
          </cell>
          <cell r="G85" t="str">
            <v>Ö</v>
          </cell>
        </row>
        <row r="86">
          <cell r="C86" t="str">
            <v>DLNA7384</v>
          </cell>
          <cell r="G86" t="str">
            <v>Ö</v>
          </cell>
        </row>
        <row r="87">
          <cell r="C87" t="str">
            <v>ADMX7806</v>
          </cell>
          <cell r="G87" t="str">
            <v>Ö</v>
          </cell>
        </row>
        <row r="88">
          <cell r="C88" t="str">
            <v>DLNA7246</v>
          </cell>
          <cell r="G88" t="str">
            <v>Ö</v>
          </cell>
        </row>
        <row r="89">
          <cell r="C89" t="str">
            <v>ADMX7704</v>
          </cell>
          <cell r="G89" t="str">
            <v>Ö</v>
          </cell>
        </row>
        <row r="90">
          <cell r="C90" t="str">
            <v>ADMX7717</v>
          </cell>
          <cell r="G90" t="str">
            <v>Ö</v>
          </cell>
        </row>
        <row r="91">
          <cell r="C91" t="str">
            <v>ADMX7728</v>
          </cell>
          <cell r="G91" t="str">
            <v>Ö</v>
          </cell>
        </row>
        <row r="92">
          <cell r="C92" t="str">
            <v>ADMX7769</v>
          </cell>
          <cell r="G92" t="str">
            <v>To Colcom on 02/07/2026</v>
          </cell>
        </row>
        <row r="93">
          <cell r="C93" t="str">
            <v>DLNA7208</v>
          </cell>
          <cell r="G93" t="str">
            <v>Ö</v>
          </cell>
        </row>
        <row r="94">
          <cell r="C94" t="str">
            <v>DLNA7210</v>
          </cell>
          <cell r="G94" t="str">
            <v>Ö</v>
          </cell>
        </row>
        <row r="95">
          <cell r="C95" t="str">
            <v>DLNA7224</v>
          </cell>
          <cell r="G95" t="str">
            <v>Ö</v>
          </cell>
        </row>
        <row r="96">
          <cell r="C96" t="str">
            <v>DLNA7232</v>
          </cell>
          <cell r="G96" t="str">
            <v>Ö</v>
          </cell>
        </row>
        <row r="97">
          <cell r="C97" t="str">
            <v>DLNA7213</v>
          </cell>
          <cell r="G97" t="str">
            <v>Ö</v>
          </cell>
        </row>
        <row r="98">
          <cell r="C98" t="str">
            <v>ADMX7646</v>
          </cell>
          <cell r="G98" t="str">
            <v>Ö</v>
          </cell>
        </row>
        <row r="99">
          <cell r="C99" t="str">
            <v>ADMX7664</v>
          </cell>
          <cell r="G99" t="str">
            <v>Ö</v>
          </cell>
        </row>
        <row r="100">
          <cell r="C100" t="str">
            <v>ADMX7672</v>
          </cell>
          <cell r="G100" t="str">
            <v>Ö</v>
          </cell>
        </row>
        <row r="101">
          <cell r="C101" t="str">
            <v>ADMX7582</v>
          </cell>
          <cell r="G101" t="str">
            <v>Ö</v>
          </cell>
        </row>
        <row r="102">
          <cell r="C102" t="str">
            <v>ADMX7635</v>
          </cell>
          <cell r="G102" t="str">
            <v>Ö</v>
          </cell>
        </row>
        <row r="103">
          <cell r="C103" t="str">
            <v>ADMX7556</v>
          </cell>
          <cell r="G103" t="str">
            <v>Ö</v>
          </cell>
        </row>
        <row r="104">
          <cell r="C104" t="str">
            <v>ADMX7560</v>
          </cell>
          <cell r="G104" t="str">
            <v>Ö</v>
          </cell>
        </row>
        <row r="105">
          <cell r="C105" t="str">
            <v>ADMX7572</v>
          </cell>
          <cell r="G105" t="str">
            <v>Ö</v>
          </cell>
        </row>
        <row r="106">
          <cell r="C106" t="str">
            <v>DLNA7156</v>
          </cell>
          <cell r="G106" t="str">
            <v>Ö</v>
          </cell>
        </row>
        <row r="107">
          <cell r="C107" t="str">
            <v>DLNA7159</v>
          </cell>
          <cell r="G107" t="str">
            <v>To Colcom on 02/07/2026</v>
          </cell>
        </row>
        <row r="108">
          <cell r="C108" t="str">
            <v>DLNA7147</v>
          </cell>
          <cell r="G108" t="str">
            <v>Ö</v>
          </cell>
        </row>
        <row r="109">
          <cell r="C109" t="str">
            <v>DLNA7148</v>
          </cell>
          <cell r="G109" t="str">
            <v>Ö</v>
          </cell>
        </row>
        <row r="110">
          <cell r="C110" t="str">
            <v>ADMX7543</v>
          </cell>
          <cell r="G110" t="str">
            <v>Ö</v>
          </cell>
        </row>
        <row r="111">
          <cell r="C111" t="str">
            <v>DLNA7061</v>
          </cell>
          <cell r="G111" t="str">
            <v>Ö</v>
          </cell>
        </row>
        <row r="112">
          <cell r="C112" t="str">
            <v>DLNA7062</v>
          </cell>
          <cell r="G112" t="str">
            <v>Ö</v>
          </cell>
        </row>
        <row r="113">
          <cell r="C113" t="str">
            <v>ADMX7485</v>
          </cell>
          <cell r="G113" t="str">
            <v>Ö</v>
          </cell>
        </row>
        <row r="114">
          <cell r="C114" t="str">
            <v>ADMX7504</v>
          </cell>
          <cell r="G114" t="str">
            <v>Ö</v>
          </cell>
        </row>
        <row r="115">
          <cell r="C115" t="str">
            <v>ADMX7507</v>
          </cell>
          <cell r="G115" t="str">
            <v>Ö</v>
          </cell>
        </row>
        <row r="116">
          <cell r="C116" t="str">
            <v>DLNA6971</v>
          </cell>
          <cell r="G116" t="str">
            <v>Ö</v>
          </cell>
        </row>
        <row r="117">
          <cell r="C117" t="str">
            <v>DLNA7018</v>
          </cell>
          <cell r="G117" t="str">
            <v>Ö</v>
          </cell>
        </row>
        <row r="118">
          <cell r="C118" t="str">
            <v>DLNA7019</v>
          </cell>
          <cell r="G118" t="str">
            <v>Ö</v>
          </cell>
        </row>
        <row r="119">
          <cell r="C119" t="str">
            <v>DLNA7020</v>
          </cell>
          <cell r="G119" t="str">
            <v>Ö</v>
          </cell>
        </row>
        <row r="120">
          <cell r="C120" t="str">
            <v>DLNA7010</v>
          </cell>
          <cell r="G120" t="str">
            <v>Ö</v>
          </cell>
        </row>
        <row r="121">
          <cell r="C121" t="str">
            <v>DLNA7016</v>
          </cell>
          <cell r="G121" t="str">
            <v>Ö</v>
          </cell>
        </row>
        <row r="122">
          <cell r="C122" t="str">
            <v>DLNA6986</v>
          </cell>
          <cell r="G122" t="str">
            <v>Ö</v>
          </cell>
        </row>
        <row r="123">
          <cell r="C123" t="str">
            <v>DLNA6989</v>
          </cell>
          <cell r="G123" t="str">
            <v>Ö</v>
          </cell>
        </row>
        <row r="124">
          <cell r="C124" t="str">
            <v>ADMX7407</v>
          </cell>
          <cell r="G124" t="str">
            <v>Ö</v>
          </cell>
        </row>
        <row r="125">
          <cell r="C125" t="str">
            <v>DLNA6923</v>
          </cell>
          <cell r="G125" t="str">
            <v>Ö</v>
          </cell>
        </row>
        <row r="126">
          <cell r="C126" t="str">
            <v>DLNA6926</v>
          </cell>
          <cell r="G126" t="str">
            <v>Ö</v>
          </cell>
        </row>
        <row r="127">
          <cell r="C127" t="str">
            <v>DLNA6944</v>
          </cell>
          <cell r="G127" t="str">
            <v>Ö</v>
          </cell>
        </row>
        <row r="128">
          <cell r="C128" t="str">
            <v>ADMX7305</v>
          </cell>
          <cell r="G128" t="str">
            <v>Ö</v>
          </cell>
        </row>
        <row r="129">
          <cell r="C129" t="str">
            <v>ADMX7320</v>
          </cell>
          <cell r="G129" t="str">
            <v>Ö</v>
          </cell>
        </row>
        <row r="130">
          <cell r="C130" t="str">
            <v>ADMX7358</v>
          </cell>
          <cell r="G130" t="str">
            <v>Ö</v>
          </cell>
        </row>
        <row r="131">
          <cell r="C131" t="str">
            <v>DLNA6860</v>
          </cell>
          <cell r="G131" t="str">
            <v>Ö</v>
          </cell>
        </row>
        <row r="132">
          <cell r="C132" t="str">
            <v>DLNA6907</v>
          </cell>
          <cell r="G132" t="str">
            <v>Ö</v>
          </cell>
        </row>
        <row r="133">
          <cell r="C133" t="str">
            <v>DLNA6879</v>
          </cell>
          <cell r="G133" t="str">
            <v>Ö</v>
          </cell>
        </row>
        <row r="134">
          <cell r="C134" t="str">
            <v>ADMX7268</v>
          </cell>
          <cell r="G134" t="str">
            <v>Ö</v>
          </cell>
        </row>
        <row r="135">
          <cell r="C135" t="str">
            <v>ADMX7286</v>
          </cell>
          <cell r="G135" t="str">
            <v>Ö</v>
          </cell>
        </row>
        <row r="136">
          <cell r="C136" t="str">
            <v>ADMX7290</v>
          </cell>
          <cell r="G136" t="str">
            <v>Ö</v>
          </cell>
        </row>
        <row r="137">
          <cell r="C137" t="str">
            <v>DLNA6832</v>
          </cell>
          <cell r="G137" t="str">
            <v>Ö</v>
          </cell>
        </row>
        <row r="138">
          <cell r="C138" t="str">
            <v>DLNA6835</v>
          </cell>
          <cell r="G138" t="str">
            <v>Ö</v>
          </cell>
        </row>
        <row r="139">
          <cell r="C139" t="str">
            <v>DLNA6817</v>
          </cell>
          <cell r="G139" t="str">
            <v>Ö</v>
          </cell>
        </row>
        <row r="140">
          <cell r="C140" t="str">
            <v>DLNA6859</v>
          </cell>
          <cell r="G140" t="str">
            <v>Ö</v>
          </cell>
        </row>
        <row r="141">
          <cell r="C141" t="str">
            <v>DLNA6838</v>
          </cell>
          <cell r="G141" t="str">
            <v>Ö</v>
          </cell>
        </row>
        <row r="142">
          <cell r="C142" t="str">
            <v>DLNA6839</v>
          </cell>
          <cell r="G142" t="str">
            <v>Ö</v>
          </cell>
        </row>
        <row r="143">
          <cell r="C143" t="str">
            <v>ADMY0308</v>
          </cell>
          <cell r="G143" t="str">
            <v>Ö</v>
          </cell>
        </row>
        <row r="144">
          <cell r="C144" t="str">
            <v>ADMY0254</v>
          </cell>
          <cell r="G144" t="str">
            <v>Ö</v>
          </cell>
        </row>
        <row r="145">
          <cell r="C145" t="str">
            <v>DLNA9981</v>
          </cell>
          <cell r="G145" t="str">
            <v>Ö</v>
          </cell>
        </row>
        <row r="146">
          <cell r="C146" t="str">
            <v>DLNA9982</v>
          </cell>
          <cell r="G146" t="str">
            <v>Ö</v>
          </cell>
        </row>
        <row r="147">
          <cell r="C147" t="str">
            <v>ADMY0143</v>
          </cell>
          <cell r="G147" t="str">
            <v>Ö</v>
          </cell>
        </row>
        <row r="148">
          <cell r="C148" t="str">
            <v>ADMY0147</v>
          </cell>
          <cell r="G148" t="str">
            <v>Ö</v>
          </cell>
        </row>
        <row r="149">
          <cell r="C149" t="str">
            <v>ADMY0196</v>
          </cell>
          <cell r="G149" t="str">
            <v>Ö</v>
          </cell>
        </row>
        <row r="150">
          <cell r="C150" t="str">
            <v>ADMY0198</v>
          </cell>
          <cell r="G150" t="str">
            <v>Ö</v>
          </cell>
        </row>
        <row r="151">
          <cell r="C151" t="str">
            <v>ADMY0076</v>
          </cell>
          <cell r="G151" t="str">
            <v>Ö</v>
          </cell>
        </row>
        <row r="152">
          <cell r="C152" t="str">
            <v>ADMY0084</v>
          </cell>
          <cell r="G152" t="str">
            <v>Ö</v>
          </cell>
        </row>
        <row r="153">
          <cell r="C153" t="str">
            <v>ADMY0106</v>
          </cell>
          <cell r="G153" t="str">
            <v>Ö</v>
          </cell>
        </row>
        <row r="154">
          <cell r="C154" t="str">
            <v>ADMY0113</v>
          </cell>
          <cell r="G154" t="str">
            <v>Ö</v>
          </cell>
        </row>
        <row r="155">
          <cell r="C155" t="str">
            <v>ADMY0116</v>
          </cell>
          <cell r="G155" t="str">
            <v>To Colcom on 24/07/2026</v>
          </cell>
        </row>
        <row r="156">
          <cell r="C156" t="str">
            <v>ADMY0126</v>
          </cell>
          <cell r="G156" t="str">
            <v>Ö</v>
          </cell>
        </row>
        <row r="157">
          <cell r="C157" t="str">
            <v>DLNA9833</v>
          </cell>
          <cell r="G157" t="str">
            <v>To Colcom on 24/07/2026</v>
          </cell>
        </row>
        <row r="158">
          <cell r="C158" t="str">
            <v>DLNA9797</v>
          </cell>
          <cell r="G158" t="str">
            <v>Ö</v>
          </cell>
        </row>
        <row r="159">
          <cell r="C159" t="str">
            <v>DLNA9844</v>
          </cell>
          <cell r="G159" t="str">
            <v>Ö</v>
          </cell>
        </row>
        <row r="160">
          <cell r="C160" t="str">
            <v>ADMY0055</v>
          </cell>
          <cell r="G160" t="str">
            <v>Ö</v>
          </cell>
        </row>
        <row r="161">
          <cell r="C161" t="str">
            <v>ADMY0064</v>
          </cell>
          <cell r="G161" t="str">
            <v>Ö</v>
          </cell>
        </row>
        <row r="162">
          <cell r="C162" t="str">
            <v>ADMY0019</v>
          </cell>
          <cell r="G162" t="str">
            <v>Ö</v>
          </cell>
        </row>
        <row r="163">
          <cell r="C163" t="str">
            <v>DLNA9720</v>
          </cell>
          <cell r="G163" t="str">
            <v>Ö</v>
          </cell>
        </row>
        <row r="164">
          <cell r="C164" t="str">
            <v>DLNA9721</v>
          </cell>
          <cell r="G164" t="str">
            <v>Ö</v>
          </cell>
        </row>
        <row r="165">
          <cell r="C165" t="str">
            <v>ADMX9973</v>
          </cell>
          <cell r="G165" t="str">
            <v>Ö</v>
          </cell>
        </row>
        <row r="166">
          <cell r="C166" t="str">
            <v>ADMX9992</v>
          </cell>
          <cell r="G166" t="str">
            <v>To Colcom on 24/07/2026</v>
          </cell>
        </row>
        <row r="167">
          <cell r="C167" t="str">
            <v>DLNA9682</v>
          </cell>
          <cell r="G167" t="str">
            <v>Ö</v>
          </cell>
        </row>
        <row r="168">
          <cell r="C168" t="str">
            <v>ADMX9964</v>
          </cell>
          <cell r="G168" t="str">
            <v>Ö</v>
          </cell>
        </row>
        <row r="169">
          <cell r="C169" t="str">
            <v>DLNA9680</v>
          </cell>
          <cell r="G169" t="str">
            <v>To Colcom on 16/07/2026</v>
          </cell>
        </row>
        <row r="170">
          <cell r="C170" t="str">
            <v>DLNA9668</v>
          </cell>
          <cell r="G170" t="str">
            <v>Ö</v>
          </cell>
        </row>
        <row r="171">
          <cell r="C171" t="str">
            <v>DLNA9651</v>
          </cell>
          <cell r="G171" t="str">
            <v>Ö</v>
          </cell>
        </row>
        <row r="172">
          <cell r="C172" t="str">
            <v>ADMX9798</v>
          </cell>
          <cell r="G172" t="str">
            <v>Ö</v>
          </cell>
        </row>
        <row r="173">
          <cell r="C173" t="str">
            <v>ADMX9819</v>
          </cell>
          <cell r="G173" t="str">
            <v>Ö</v>
          </cell>
        </row>
        <row r="174">
          <cell r="C174" t="str">
            <v>ADMX9830</v>
          </cell>
          <cell r="G174" t="str">
            <v>Ö</v>
          </cell>
        </row>
        <row r="175">
          <cell r="C175" t="str">
            <v>ADMX9868</v>
          </cell>
          <cell r="G175" t="str">
            <v>Ö</v>
          </cell>
        </row>
        <row r="176">
          <cell r="C176" t="str">
            <v>ADMX9893</v>
          </cell>
          <cell r="G176" t="str">
            <v>Ö</v>
          </cell>
        </row>
        <row r="177">
          <cell r="C177" t="str">
            <v>ADMX9903</v>
          </cell>
          <cell r="G177" t="str">
            <v>Ö</v>
          </cell>
        </row>
        <row r="178">
          <cell r="C178" t="str">
            <v>ADMX9915</v>
          </cell>
          <cell r="G178" t="str">
            <v>Ö</v>
          </cell>
        </row>
        <row r="179">
          <cell r="C179" t="str">
            <v>ADMX9745</v>
          </cell>
          <cell r="G179" t="str">
            <v>To Colcom on 16/07/2026</v>
          </cell>
        </row>
        <row r="180">
          <cell r="C180" t="str">
            <v>ADMX9776</v>
          </cell>
          <cell r="G180" t="str">
            <v>Ö</v>
          </cell>
        </row>
        <row r="181">
          <cell r="C181" t="str">
            <v>DLNA9552</v>
          </cell>
          <cell r="G181" t="str">
            <v>Ö</v>
          </cell>
        </row>
        <row r="182">
          <cell r="C182" t="str">
            <v>DLNA9573</v>
          </cell>
          <cell r="G182" t="str">
            <v>Ö</v>
          </cell>
        </row>
        <row r="183">
          <cell r="C183" t="str">
            <v>DLNA9562</v>
          </cell>
          <cell r="G183" t="str">
            <v>Ö</v>
          </cell>
        </row>
        <row r="184">
          <cell r="C184" t="str">
            <v>DLNA9523</v>
          </cell>
          <cell r="G184" t="str">
            <v>Ö</v>
          </cell>
        </row>
        <row r="185">
          <cell r="C185" t="str">
            <v>DLNA9499</v>
          </cell>
          <cell r="G185" t="str">
            <v>Ö</v>
          </cell>
        </row>
        <row r="186">
          <cell r="C186" t="str">
            <v>DLNA9559</v>
          </cell>
          <cell r="G186" t="str">
            <v>Ö</v>
          </cell>
        </row>
        <row r="187">
          <cell r="C187" t="str">
            <v>DLNA9454</v>
          </cell>
          <cell r="G187" t="str">
            <v>Ö</v>
          </cell>
        </row>
        <row r="188">
          <cell r="C188" t="str">
            <v>DLNA9476</v>
          </cell>
          <cell r="G188" t="str">
            <v>Ö</v>
          </cell>
        </row>
        <row r="189">
          <cell r="C189" t="str">
            <v>DLNA9435</v>
          </cell>
          <cell r="G189" t="str">
            <v>Ö</v>
          </cell>
        </row>
        <row r="190">
          <cell r="C190" t="str">
            <v>DLNA9438</v>
          </cell>
          <cell r="G190" t="str">
            <v>Ö</v>
          </cell>
        </row>
        <row r="191">
          <cell r="C191" t="str">
            <v>DLNA9439</v>
          </cell>
          <cell r="G191" t="str">
            <v>Ö</v>
          </cell>
        </row>
        <row r="192">
          <cell r="C192" t="str">
            <v>DLNA9417</v>
          </cell>
          <cell r="G192" t="str">
            <v>Ö</v>
          </cell>
        </row>
        <row r="193">
          <cell r="C193" t="str">
            <v>ADMX9624</v>
          </cell>
          <cell r="G193" t="str">
            <v>Ö</v>
          </cell>
        </row>
        <row r="194">
          <cell r="C194" t="str">
            <v>ADMX9534</v>
          </cell>
          <cell r="G194" t="str">
            <v>Ö</v>
          </cell>
        </row>
        <row r="195">
          <cell r="C195" t="str">
            <v>DLNA9339</v>
          </cell>
          <cell r="G195" t="str">
            <v>Ö</v>
          </cell>
        </row>
        <row r="196">
          <cell r="C196" t="str">
            <v>DLNA9312</v>
          </cell>
          <cell r="G196" t="str">
            <v>Ö</v>
          </cell>
        </row>
        <row r="197">
          <cell r="C197" t="str">
            <v>DLNA9364</v>
          </cell>
          <cell r="G197" t="str">
            <v>Ö</v>
          </cell>
        </row>
        <row r="198">
          <cell r="C198" t="str">
            <v>ADMX9455</v>
          </cell>
          <cell r="G198" t="str">
            <v>Ö</v>
          </cell>
        </row>
        <row r="199">
          <cell r="C199" t="str">
            <v>ADMX9460</v>
          </cell>
          <cell r="G199" t="str">
            <v>Ö</v>
          </cell>
        </row>
        <row r="200">
          <cell r="C200" t="str">
            <v>ADMX9510</v>
          </cell>
          <cell r="G200" t="str">
            <v>Ö</v>
          </cell>
        </row>
        <row r="201">
          <cell r="C201" t="str">
            <v>DLNA9278</v>
          </cell>
          <cell r="G201" t="str">
            <v>Ö</v>
          </cell>
        </row>
        <row r="202">
          <cell r="C202" t="str">
            <v>DLNA9280</v>
          </cell>
          <cell r="G202" t="str">
            <v>Ö</v>
          </cell>
        </row>
        <row r="203">
          <cell r="C203" t="str">
            <v>DLNA9259</v>
          </cell>
          <cell r="G203" t="str">
            <v>Ö</v>
          </cell>
        </row>
        <row r="204">
          <cell r="C204" t="str">
            <v>DLNA9152</v>
          </cell>
          <cell r="G204" t="str">
            <v>Ö</v>
          </cell>
        </row>
        <row r="205">
          <cell r="C205" t="str">
            <v>DLNA9155</v>
          </cell>
          <cell r="G205" t="str">
            <v>Ö</v>
          </cell>
        </row>
        <row r="206">
          <cell r="C206" t="str">
            <v>DLNA9168</v>
          </cell>
          <cell r="G206" t="str">
            <v>Ö</v>
          </cell>
        </row>
        <row r="207">
          <cell r="C207" t="str">
            <v>DLNA9159</v>
          </cell>
          <cell r="G207" t="str">
            <v>Ö</v>
          </cell>
        </row>
        <row r="208">
          <cell r="C208" t="str">
            <v>DLNA9160</v>
          </cell>
          <cell r="G208" t="str">
            <v>Ö</v>
          </cell>
        </row>
        <row r="209">
          <cell r="C209" t="str">
            <v>DLNA9193</v>
          </cell>
          <cell r="G209" t="str">
            <v>Ö</v>
          </cell>
        </row>
        <row r="210">
          <cell r="C210" t="str">
            <v>DLNA9198</v>
          </cell>
          <cell r="G210" t="str">
            <v>Ö</v>
          </cell>
        </row>
        <row r="211">
          <cell r="C211" t="str">
            <v>ADMX9398</v>
          </cell>
          <cell r="G211" t="str">
            <v>Ö</v>
          </cell>
        </row>
        <row r="212">
          <cell r="C212" t="str">
            <v>ADMX9400</v>
          </cell>
          <cell r="G212" t="str">
            <v>Ö</v>
          </cell>
        </row>
        <row r="213">
          <cell r="C213" t="str">
            <v>ADMX9401</v>
          </cell>
          <cell r="G213" t="str">
            <v>Ö</v>
          </cell>
        </row>
        <row r="214">
          <cell r="C214" t="str">
            <v>ADMX9408</v>
          </cell>
          <cell r="G214" t="str">
            <v>To Colcom on 02/07/2026</v>
          </cell>
        </row>
        <row r="215">
          <cell r="C215" t="str">
            <v>ADMX9410</v>
          </cell>
          <cell r="G215" t="str">
            <v>Ö</v>
          </cell>
        </row>
        <row r="216">
          <cell r="C216" t="str">
            <v>DLNA9102</v>
          </cell>
          <cell r="G216" t="str">
            <v>Ö</v>
          </cell>
        </row>
        <row r="217">
          <cell r="C217" t="str">
            <v>DLNA9075</v>
          </cell>
          <cell r="G217" t="str">
            <v>Ö</v>
          </cell>
        </row>
        <row r="218">
          <cell r="C218" t="str">
            <v>ADMX9335</v>
          </cell>
          <cell r="G218" t="str">
            <v>To Colcom on 16/07/2026</v>
          </cell>
        </row>
        <row r="219">
          <cell r="C219" t="str">
            <v>ADMX9351</v>
          </cell>
          <cell r="G219" t="str">
            <v>Ö</v>
          </cell>
        </row>
        <row r="220">
          <cell r="C220" t="str">
            <v>DLNA9039</v>
          </cell>
          <cell r="G220" t="str">
            <v>Ö</v>
          </cell>
        </row>
        <row r="221">
          <cell r="C221" t="str">
            <v>DLNA9040</v>
          </cell>
          <cell r="G221" t="str">
            <v>Ö</v>
          </cell>
        </row>
        <row r="222">
          <cell r="C222" t="str">
            <v>DLNA9046</v>
          </cell>
          <cell r="G222" t="str">
            <v>Ö</v>
          </cell>
        </row>
        <row r="223">
          <cell r="C223" t="str">
            <v>DLNA9031</v>
          </cell>
          <cell r="G223" t="str">
            <v>Ö</v>
          </cell>
        </row>
        <row r="224">
          <cell r="C224" t="str">
            <v>ADMX9249</v>
          </cell>
          <cell r="G224" t="str">
            <v>To Colcom on 16/07/2026</v>
          </cell>
        </row>
        <row r="225">
          <cell r="C225" t="str">
            <v>ADMX9289</v>
          </cell>
          <cell r="G225" t="str">
            <v>Ö</v>
          </cell>
        </row>
        <row r="226">
          <cell r="C226" t="str">
            <v>ADMX9310</v>
          </cell>
          <cell r="G226" t="str">
            <v>To Colcom on 16/07/2026</v>
          </cell>
        </row>
        <row r="227">
          <cell r="C227" t="str">
            <v>ADMX9329</v>
          </cell>
          <cell r="G227" t="str">
            <v>Ö</v>
          </cell>
        </row>
        <row r="228">
          <cell r="C228" t="str">
            <v>DLNA8934</v>
          </cell>
          <cell r="G228" t="str">
            <v>Ö</v>
          </cell>
        </row>
        <row r="229">
          <cell r="C229" t="str">
            <v>DLNA8915</v>
          </cell>
          <cell r="G229" t="str">
            <v>Ö</v>
          </cell>
        </row>
        <row r="230">
          <cell r="C230" t="str">
            <v>ADMX9205</v>
          </cell>
          <cell r="G230" t="str">
            <v>To Colcom on 16/07/2026</v>
          </cell>
        </row>
        <row r="231">
          <cell r="C231" t="str">
            <v>ADMX9208</v>
          </cell>
          <cell r="G231" t="str">
            <v>Ö</v>
          </cell>
        </row>
        <row r="232">
          <cell r="C232" t="str">
            <v>ADMX9213</v>
          </cell>
          <cell r="G232" t="str">
            <v>Ö</v>
          </cell>
        </row>
        <row r="233">
          <cell r="C233" t="str">
            <v>ADMX9238</v>
          </cell>
          <cell r="G233" t="str">
            <v>Ö</v>
          </cell>
        </row>
        <row r="234">
          <cell r="C234" t="str">
            <v>DLNA8856</v>
          </cell>
          <cell r="G234" t="str">
            <v>Ö</v>
          </cell>
        </row>
        <row r="235">
          <cell r="C235" t="str">
            <v>DLNA8859</v>
          </cell>
          <cell r="G235" t="str">
            <v>Ö</v>
          </cell>
        </row>
        <row r="236">
          <cell r="C236" t="str">
            <v>DLNA8891</v>
          </cell>
          <cell r="G236" t="str">
            <v>Ö</v>
          </cell>
        </row>
        <row r="237">
          <cell r="C237" t="str">
            <v>ADMX9178</v>
          </cell>
          <cell r="G237" t="str">
            <v>Ö</v>
          </cell>
        </row>
        <row r="238">
          <cell r="C238" t="str">
            <v>ADMX9142</v>
          </cell>
          <cell r="G238" t="str">
            <v>To Colcom on 16/07/2026</v>
          </cell>
        </row>
        <row r="239">
          <cell r="C239" t="str">
            <v>ADMX9143</v>
          </cell>
          <cell r="G239" t="str">
            <v>Ö</v>
          </cell>
        </row>
        <row r="240">
          <cell r="C240" t="str">
            <v>ADMX9145</v>
          </cell>
          <cell r="G240" t="str">
            <v>Ö</v>
          </cell>
        </row>
        <row r="241">
          <cell r="C241" t="str">
            <v>DLNA8810</v>
          </cell>
          <cell r="G241" t="str">
            <v>Ö</v>
          </cell>
        </row>
        <row r="242">
          <cell r="C242" t="str">
            <v>DLNA8811</v>
          </cell>
          <cell r="G242" t="str">
            <v>Ö</v>
          </cell>
        </row>
        <row r="243">
          <cell r="C243" t="str">
            <v>DLNA8815</v>
          </cell>
          <cell r="G243" t="str">
            <v>Ö</v>
          </cell>
        </row>
        <row r="244">
          <cell r="C244" t="str">
            <v>DLNA8784</v>
          </cell>
          <cell r="G244" t="str">
            <v>Ö</v>
          </cell>
        </row>
        <row r="245">
          <cell r="C245" t="str">
            <v>DLNA8791</v>
          </cell>
          <cell r="G245" t="str">
            <v>Ö</v>
          </cell>
        </row>
        <row r="246">
          <cell r="C246" t="str">
            <v>ADMX9106</v>
          </cell>
          <cell r="G246" t="str">
            <v>Ö</v>
          </cell>
        </row>
        <row r="247">
          <cell r="C247" t="str">
            <v>ADMX9108</v>
          </cell>
          <cell r="G247" t="str">
            <v>Ö</v>
          </cell>
        </row>
        <row r="248">
          <cell r="C248" t="str">
            <v>ADMX9119</v>
          </cell>
          <cell r="G248" t="str">
            <v>Ö</v>
          </cell>
        </row>
        <row r="249">
          <cell r="C249" t="str">
            <v>ADMX9032</v>
          </cell>
          <cell r="G249" t="str">
            <v>Ö</v>
          </cell>
        </row>
        <row r="250">
          <cell r="C250" t="str">
            <v>ADMX9092</v>
          </cell>
          <cell r="G250" t="str">
            <v>Ö</v>
          </cell>
        </row>
        <row r="251">
          <cell r="C251" t="str">
            <v>DLNA8685</v>
          </cell>
          <cell r="G251" t="str">
            <v>Ö</v>
          </cell>
        </row>
        <row r="252">
          <cell r="C252" t="str">
            <v>DLNA8687</v>
          </cell>
          <cell r="G252" t="str">
            <v>Ö</v>
          </cell>
        </row>
        <row r="253">
          <cell r="C253" t="str">
            <v>ADMX8916</v>
          </cell>
          <cell r="G253" t="str">
            <v>Ö</v>
          </cell>
        </row>
        <row r="254">
          <cell r="C254" t="str">
            <v>ADMX8931</v>
          </cell>
          <cell r="G254" t="str">
            <v>Ö</v>
          </cell>
        </row>
        <row r="255">
          <cell r="C255" t="str">
            <v>ADMX8970</v>
          </cell>
          <cell r="G255" t="str">
            <v>Ö</v>
          </cell>
        </row>
        <row r="256">
          <cell r="C256" t="str">
            <v>DLNA8623</v>
          </cell>
          <cell r="G256" t="str">
            <v>Ö</v>
          </cell>
        </row>
        <row r="257">
          <cell r="C257" t="str">
            <v>DLNA8597</v>
          </cell>
          <cell r="G257" t="str">
            <v>Ö</v>
          </cell>
        </row>
        <row r="258">
          <cell r="C258" t="str">
            <v>ADMX8813</v>
          </cell>
          <cell r="G258" t="str">
            <v>Ö</v>
          </cell>
        </row>
        <row r="259">
          <cell r="C259" t="str">
            <v>ADMX8817</v>
          </cell>
          <cell r="G259" t="str">
            <v>Ö</v>
          </cell>
        </row>
        <row r="260">
          <cell r="C260" t="str">
            <v>ADMX8827</v>
          </cell>
          <cell r="G260" t="str">
            <v>Ö</v>
          </cell>
        </row>
        <row r="261">
          <cell r="C261" t="str">
            <v>ADMX8841</v>
          </cell>
          <cell r="G261" t="str">
            <v>Ö</v>
          </cell>
        </row>
        <row r="262">
          <cell r="C262" t="str">
            <v>ADMX8844</v>
          </cell>
          <cell r="G262" t="str">
            <v>Ö</v>
          </cell>
        </row>
        <row r="263">
          <cell r="C263" t="str">
            <v>ADMX8845</v>
          </cell>
          <cell r="G263" t="str">
            <v>Ö</v>
          </cell>
        </row>
        <row r="264">
          <cell r="C264" t="str">
            <v>ADMX8862</v>
          </cell>
          <cell r="G264" t="str">
            <v>Ö</v>
          </cell>
        </row>
        <row r="265">
          <cell r="C265" t="str">
            <v>DLNA8482</v>
          </cell>
          <cell r="G265" t="str">
            <v>Ö</v>
          </cell>
        </row>
        <row r="266">
          <cell r="C266" t="str">
            <v>DLNA8480</v>
          </cell>
          <cell r="G266" t="str">
            <v>Ö</v>
          </cell>
        </row>
        <row r="267">
          <cell r="C267" t="str">
            <v>DLNA8497</v>
          </cell>
          <cell r="G267" t="str">
            <v>Ö</v>
          </cell>
        </row>
        <row r="268">
          <cell r="C268" t="str">
            <v>DLNA8518</v>
          </cell>
          <cell r="G268" t="str">
            <v>Ö</v>
          </cell>
        </row>
        <row r="269">
          <cell r="C269" t="str">
            <v>DLNA8457</v>
          </cell>
          <cell r="G269" t="str">
            <v>To Colcom on 02/07/2026</v>
          </cell>
        </row>
        <row r="270">
          <cell r="C270" t="str">
            <v>ADMX8772</v>
          </cell>
          <cell r="G270" t="str">
            <v>Ö</v>
          </cell>
        </row>
        <row r="271">
          <cell r="C271" t="str">
            <v>ADMX8779</v>
          </cell>
          <cell r="G271" t="str">
            <v>To Colcom on 02/07/2026</v>
          </cell>
        </row>
        <row r="272">
          <cell r="C272" t="str">
            <v>ADMX8787</v>
          </cell>
          <cell r="G272" t="str">
            <v>To Colcom on 16/07/2026</v>
          </cell>
        </row>
        <row r="273">
          <cell r="C273" t="str">
            <v>ADMX8788</v>
          </cell>
          <cell r="G273" t="str">
            <v>Ö</v>
          </cell>
        </row>
        <row r="274">
          <cell r="C274" t="str">
            <v>DLNA8435</v>
          </cell>
          <cell r="G274" t="str">
            <v>Ö</v>
          </cell>
        </row>
        <row r="275">
          <cell r="C275" t="str">
            <v>DLNA8442</v>
          </cell>
          <cell r="G275" t="str">
            <v>Ö</v>
          </cell>
        </row>
        <row r="276">
          <cell r="C276" t="str">
            <v>DLNB0344</v>
          </cell>
          <cell r="G276" t="str">
            <v>Ö</v>
          </cell>
        </row>
        <row r="277">
          <cell r="C277" t="str">
            <v>DLNB0299</v>
          </cell>
          <cell r="G277" t="str">
            <v>Ö</v>
          </cell>
        </row>
        <row r="278">
          <cell r="C278" t="str">
            <v>DLNB0302</v>
          </cell>
          <cell r="G278" t="str">
            <v>Ö</v>
          </cell>
        </row>
        <row r="279">
          <cell r="C279" t="str">
            <v>DLNB0312</v>
          </cell>
          <cell r="G279" t="str">
            <v>Ö</v>
          </cell>
        </row>
        <row r="280">
          <cell r="C280" t="str">
            <v>DLNB0281</v>
          </cell>
          <cell r="G280" t="str">
            <v>Ö</v>
          </cell>
        </row>
        <row r="281">
          <cell r="C281" t="str">
            <v>DLNB0211</v>
          </cell>
          <cell r="G281" t="str">
            <v>Ö</v>
          </cell>
        </row>
        <row r="282">
          <cell r="C282" t="str">
            <v>DLNB0229</v>
          </cell>
          <cell r="G282" t="str">
            <v>Ö</v>
          </cell>
        </row>
        <row r="283">
          <cell r="C283" t="str">
            <v>DLNB0232</v>
          </cell>
          <cell r="G283" t="str">
            <v>Ö</v>
          </cell>
        </row>
        <row r="284">
          <cell r="C284" t="str">
            <v>DLNB0235</v>
          </cell>
          <cell r="G284" t="str">
            <v>Ö</v>
          </cell>
        </row>
        <row r="285">
          <cell r="C285" t="str">
            <v>DLNB0263</v>
          </cell>
          <cell r="G285" t="str">
            <v>Ö</v>
          </cell>
        </row>
        <row r="286">
          <cell r="C286" t="str">
            <v>DLNB0264</v>
          </cell>
          <cell r="G286" t="str">
            <v>Ö</v>
          </cell>
        </row>
        <row r="287">
          <cell r="C287" t="str">
            <v>DLNB0123</v>
          </cell>
          <cell r="G287" t="str">
            <v>Ö</v>
          </cell>
        </row>
        <row r="288">
          <cell r="C288" t="str">
            <v>DLNB0125</v>
          </cell>
          <cell r="G288" t="str">
            <v>Ö</v>
          </cell>
        </row>
        <row r="289">
          <cell r="C289" t="str">
            <v>DLNB0128</v>
          </cell>
          <cell r="G289" t="str">
            <v>Ö</v>
          </cell>
        </row>
        <row r="290">
          <cell r="C290" t="str">
            <v>DLNB0159</v>
          </cell>
          <cell r="G290" t="str">
            <v>Ö</v>
          </cell>
        </row>
        <row r="291">
          <cell r="C291" t="str">
            <v>DLNB0162</v>
          </cell>
          <cell r="G291" t="str">
            <v>Ö</v>
          </cell>
        </row>
        <row r="292">
          <cell r="C292" t="str">
            <v>DLNB0163</v>
          </cell>
          <cell r="G292" t="str">
            <v>Ö</v>
          </cell>
        </row>
        <row r="293">
          <cell r="C293" t="str">
            <v>DLNB0136</v>
          </cell>
          <cell r="G293" t="str">
            <v>Ö</v>
          </cell>
        </row>
        <row r="294">
          <cell r="C294" t="str">
            <v>DLNB0139</v>
          </cell>
          <cell r="G294" t="str">
            <v>Ö</v>
          </cell>
        </row>
        <row r="295">
          <cell r="C295" t="str">
            <v>DLNB0168</v>
          </cell>
          <cell r="G295" t="str">
            <v>Ö</v>
          </cell>
        </row>
        <row r="296">
          <cell r="C296" t="str">
            <v>DLNB0169</v>
          </cell>
          <cell r="G296" t="str">
            <v>Ö</v>
          </cell>
        </row>
        <row r="297">
          <cell r="C297" t="str">
            <v>DLNB0181</v>
          </cell>
          <cell r="G297" t="str">
            <v>Ö</v>
          </cell>
        </row>
        <row r="298">
          <cell r="C298" t="str">
            <v>DLNB0183</v>
          </cell>
          <cell r="G298" t="str">
            <v>Ö</v>
          </cell>
        </row>
        <row r="299">
          <cell r="C299" t="str">
            <v>DLNB0184</v>
          </cell>
          <cell r="G299" t="str">
            <v>Ö</v>
          </cell>
        </row>
        <row r="300">
          <cell r="C300" t="str">
            <v>DLNB0057</v>
          </cell>
          <cell r="G300" t="str">
            <v>Ö</v>
          </cell>
        </row>
        <row r="301">
          <cell r="C301" t="str">
            <v>DLNB0060</v>
          </cell>
          <cell r="G301" t="str">
            <v>Ö</v>
          </cell>
        </row>
        <row r="302">
          <cell r="C302" t="str">
            <v>DLNB0061</v>
          </cell>
          <cell r="G302" t="str">
            <v>Ö</v>
          </cell>
        </row>
        <row r="303">
          <cell r="C303" t="str">
            <v>DLNB0064</v>
          </cell>
          <cell r="G303" t="str">
            <v>Ö</v>
          </cell>
        </row>
        <row r="304">
          <cell r="C304" t="str">
            <v>DLNB0072</v>
          </cell>
          <cell r="G304" t="str">
            <v>Ö</v>
          </cell>
        </row>
        <row r="305">
          <cell r="C305" t="str">
            <v>DLNB0081</v>
          </cell>
          <cell r="G305" t="str">
            <v>Ö</v>
          </cell>
        </row>
        <row r="306">
          <cell r="C306" t="str">
            <v>DLNB0082</v>
          </cell>
          <cell r="G306" t="str">
            <v>Ö</v>
          </cell>
        </row>
        <row r="307">
          <cell r="C307" t="str">
            <v>DLNB0083</v>
          </cell>
          <cell r="G307" t="str">
            <v>Ö</v>
          </cell>
        </row>
        <row r="308">
          <cell r="C308" t="str">
            <v>DLNB0086</v>
          </cell>
          <cell r="G308" t="str">
            <v>Ö</v>
          </cell>
        </row>
        <row r="309">
          <cell r="C309" t="str">
            <v>DLNB0088</v>
          </cell>
          <cell r="G309" t="str">
            <v>Ö</v>
          </cell>
        </row>
        <row r="310">
          <cell r="C310" t="str">
            <v>DLNB0050</v>
          </cell>
          <cell r="G310" t="str">
            <v>Ö</v>
          </cell>
        </row>
        <row r="311">
          <cell r="C311" t="str">
            <v>DLNB0040</v>
          </cell>
          <cell r="G311" t="str">
            <v>Ö</v>
          </cell>
        </row>
        <row r="312">
          <cell r="C312" t="str">
            <v>ADMY2109</v>
          </cell>
          <cell r="G312" t="str">
            <v>Ö</v>
          </cell>
        </row>
        <row r="313">
          <cell r="C313" t="str">
            <v>ADMY2125</v>
          </cell>
          <cell r="G313" t="str">
            <v>Ö</v>
          </cell>
        </row>
        <row r="314">
          <cell r="C314" t="str">
            <v>DLNB1915</v>
          </cell>
          <cell r="G314" t="str">
            <v>Ö</v>
          </cell>
        </row>
        <row r="315">
          <cell r="C315" t="str">
            <v>DLNB1916</v>
          </cell>
          <cell r="G315" t="str">
            <v>Ö</v>
          </cell>
        </row>
        <row r="316">
          <cell r="C316" t="str">
            <v>ADMY2063</v>
          </cell>
          <cell r="G316" t="str">
            <v>Ö</v>
          </cell>
        </row>
        <row r="317">
          <cell r="C317" t="str">
            <v>ADMY2064</v>
          </cell>
          <cell r="G317" t="str">
            <v>Ö</v>
          </cell>
        </row>
        <row r="318">
          <cell r="C318" t="str">
            <v>ADMY2079</v>
          </cell>
          <cell r="G318" t="str">
            <v>Ö</v>
          </cell>
        </row>
        <row r="319">
          <cell r="C319" t="str">
            <v>DLNB1866</v>
          </cell>
          <cell r="G319" t="str">
            <v>Ö</v>
          </cell>
        </row>
        <row r="320">
          <cell r="C320" t="str">
            <v>ADMY2002</v>
          </cell>
          <cell r="G320" t="str">
            <v>Ö</v>
          </cell>
        </row>
        <row r="321">
          <cell r="C321" t="str">
            <v>ADMY2009</v>
          </cell>
          <cell r="G321" t="str">
            <v>Ö</v>
          </cell>
        </row>
        <row r="322">
          <cell r="C322" t="str">
            <v>ADMY2028</v>
          </cell>
          <cell r="G322" t="str">
            <v>Ö</v>
          </cell>
        </row>
        <row r="323">
          <cell r="C323" t="str">
            <v>ADMY2045</v>
          </cell>
          <cell r="G323" t="str">
            <v>Ö</v>
          </cell>
        </row>
        <row r="324">
          <cell r="C324" t="str">
            <v>ADMY2046</v>
          </cell>
          <cell r="G324" t="str">
            <v>Ö</v>
          </cell>
        </row>
        <row r="325">
          <cell r="C325" t="str">
            <v>DLNB1821</v>
          </cell>
          <cell r="G325" t="str">
            <v>Ö</v>
          </cell>
        </row>
        <row r="326">
          <cell r="C326" t="str">
            <v>DLNB1853</v>
          </cell>
          <cell r="G326" t="str">
            <v>Ö</v>
          </cell>
        </row>
        <row r="327">
          <cell r="C327" t="str">
            <v>ADMY1947</v>
          </cell>
          <cell r="G327" t="str">
            <v>Ö</v>
          </cell>
        </row>
        <row r="328">
          <cell r="C328" t="str">
            <v>ADMY1952</v>
          </cell>
          <cell r="G328" t="str">
            <v>Ö</v>
          </cell>
        </row>
        <row r="329">
          <cell r="C329" t="str">
            <v>ADMY1953</v>
          </cell>
          <cell r="G329" t="str">
            <v>Ö</v>
          </cell>
        </row>
        <row r="330">
          <cell r="C330" t="str">
            <v>ADMY1971</v>
          </cell>
          <cell r="G330" t="str">
            <v>Ö</v>
          </cell>
        </row>
        <row r="331">
          <cell r="C331" t="str">
            <v>ADMY1980</v>
          </cell>
          <cell r="G331" t="str">
            <v>Ö</v>
          </cell>
        </row>
        <row r="332">
          <cell r="C332" t="str">
            <v>ADMY1994</v>
          </cell>
          <cell r="G332" t="str">
            <v>Ö</v>
          </cell>
        </row>
        <row r="333">
          <cell r="C333" t="str">
            <v>ADMY1995</v>
          </cell>
          <cell r="G333" t="str">
            <v>Ö</v>
          </cell>
        </row>
        <row r="334">
          <cell r="C334" t="str">
            <v>DLNB1776</v>
          </cell>
          <cell r="G334" t="str">
            <v>Ö</v>
          </cell>
        </row>
        <row r="335">
          <cell r="C335" t="str">
            <v>ADMY1918</v>
          </cell>
          <cell r="G335" t="str">
            <v>Ö</v>
          </cell>
        </row>
        <row r="336">
          <cell r="C336" t="str">
            <v>ADMY1932</v>
          </cell>
          <cell r="G336" t="str">
            <v>Ö</v>
          </cell>
        </row>
        <row r="337">
          <cell r="C337" t="str">
            <v>ADMY1933</v>
          </cell>
          <cell r="G337" t="str">
            <v>Ö</v>
          </cell>
        </row>
        <row r="338">
          <cell r="C338" t="str">
            <v>ADMY1885</v>
          </cell>
          <cell r="G338" t="str">
            <v>Ö</v>
          </cell>
        </row>
        <row r="339">
          <cell r="C339" t="str">
            <v>ADMY1913</v>
          </cell>
          <cell r="G339" t="str">
            <v>Ö</v>
          </cell>
        </row>
        <row r="340">
          <cell r="C340" t="str">
            <v>DLNB1714</v>
          </cell>
          <cell r="G340" t="str">
            <v>Ö</v>
          </cell>
        </row>
        <row r="341">
          <cell r="C341" t="str">
            <v>DLNB1657</v>
          </cell>
          <cell r="G341" t="str">
            <v>Ö</v>
          </cell>
        </row>
        <row r="342">
          <cell r="C342" t="str">
            <v>DLNB1642</v>
          </cell>
          <cell r="G342" t="str">
            <v>Ö</v>
          </cell>
        </row>
        <row r="343">
          <cell r="C343" t="str">
            <v>ADMY1758</v>
          </cell>
          <cell r="G343" t="str">
            <v>Ö</v>
          </cell>
        </row>
        <row r="344">
          <cell r="C344" t="str">
            <v>ADMY1759</v>
          </cell>
          <cell r="G344" t="str">
            <v>Ö</v>
          </cell>
        </row>
        <row r="345">
          <cell r="C345" t="str">
            <v>ADMY1768</v>
          </cell>
          <cell r="G345" t="str">
            <v>Ö</v>
          </cell>
        </row>
        <row r="346">
          <cell r="C346" t="str">
            <v>ADMY1800</v>
          </cell>
          <cell r="G346" t="str">
            <v>Ö</v>
          </cell>
        </row>
        <row r="347">
          <cell r="C347" t="str">
            <v>ADMY1802</v>
          </cell>
          <cell r="G347" t="str">
            <v>Ö</v>
          </cell>
        </row>
        <row r="348">
          <cell r="C348" t="str">
            <v>ADMY1819</v>
          </cell>
          <cell r="G348" t="str">
            <v>Ö</v>
          </cell>
        </row>
        <row r="349">
          <cell r="C349" t="str">
            <v>DLNB1611</v>
          </cell>
          <cell r="G349" t="str">
            <v>Ö</v>
          </cell>
        </row>
        <row r="350">
          <cell r="C350" t="str">
            <v>DLNB1525</v>
          </cell>
          <cell r="G350" t="str">
            <v>Ö</v>
          </cell>
        </row>
        <row r="351">
          <cell r="C351" t="str">
            <v>DLNB1526</v>
          </cell>
          <cell r="G351" t="str">
            <v>Ö</v>
          </cell>
        </row>
        <row r="352">
          <cell r="C352" t="str">
            <v>DLNB1531</v>
          </cell>
          <cell r="G352" t="str">
            <v>Ö</v>
          </cell>
        </row>
        <row r="353">
          <cell r="C353" t="str">
            <v>DLNB1621</v>
          </cell>
          <cell r="G353" t="str">
            <v>Ö</v>
          </cell>
        </row>
        <row r="354">
          <cell r="C354" t="str">
            <v>DLNB1625</v>
          </cell>
          <cell r="G354" t="str">
            <v>Ö</v>
          </cell>
        </row>
        <row r="355">
          <cell r="C355" t="str">
            <v>DLNB1612</v>
          </cell>
          <cell r="G355" t="str">
            <v>Ö</v>
          </cell>
        </row>
        <row r="356">
          <cell r="C356" t="str">
            <v>ADMY1684</v>
          </cell>
          <cell r="G356" t="str">
            <v>Ö</v>
          </cell>
        </row>
        <row r="357">
          <cell r="C357" t="str">
            <v>ADMY1718</v>
          </cell>
          <cell r="G357" t="str">
            <v>Ö</v>
          </cell>
        </row>
        <row r="358">
          <cell r="C358" t="str">
            <v>DLNB1468</v>
          </cell>
          <cell r="G358" t="str">
            <v>Ö</v>
          </cell>
        </row>
        <row r="359">
          <cell r="C359" t="str">
            <v>DLNB1475</v>
          </cell>
          <cell r="G359" t="str">
            <v>Ö</v>
          </cell>
        </row>
        <row r="360">
          <cell r="C360" t="str">
            <v>DLNB1492</v>
          </cell>
          <cell r="G360" t="str">
            <v>Ö</v>
          </cell>
        </row>
        <row r="361">
          <cell r="C361" t="str">
            <v>ADMY1664</v>
          </cell>
          <cell r="G361" t="str">
            <v>Ö</v>
          </cell>
        </row>
        <row r="362">
          <cell r="C362" t="str">
            <v>ADMY1681</v>
          </cell>
          <cell r="G362" t="str">
            <v>Ö</v>
          </cell>
        </row>
        <row r="363">
          <cell r="C363" t="str">
            <v>ADMY1627</v>
          </cell>
          <cell r="G363" t="str">
            <v>Ö</v>
          </cell>
        </row>
        <row r="364">
          <cell r="C364" t="str">
            <v>ADMY1639</v>
          </cell>
          <cell r="G364" t="str">
            <v>Ö</v>
          </cell>
        </row>
        <row r="365">
          <cell r="C365" t="str">
            <v>DLNB1393</v>
          </cell>
          <cell r="G365" t="str">
            <v>Ö</v>
          </cell>
        </row>
        <row r="366">
          <cell r="C366" t="str">
            <v>ADMY1622</v>
          </cell>
          <cell r="G366" t="str">
            <v>Ö</v>
          </cell>
        </row>
        <row r="367">
          <cell r="C367" t="str">
            <v>DLNB1370</v>
          </cell>
          <cell r="G367" t="str">
            <v>Ö</v>
          </cell>
        </row>
        <row r="368">
          <cell r="C368" t="str">
            <v>DLNB1273</v>
          </cell>
          <cell r="G368" t="str">
            <v>Ö</v>
          </cell>
        </row>
        <row r="369">
          <cell r="C369" t="str">
            <v>DLNB1260</v>
          </cell>
          <cell r="G369" t="str">
            <v>Ö</v>
          </cell>
        </row>
        <row r="370">
          <cell r="C370" t="str">
            <v>DLNB1245</v>
          </cell>
          <cell r="G370" t="str">
            <v>Ö</v>
          </cell>
        </row>
        <row r="371">
          <cell r="C371" t="str">
            <v>DLNB1286</v>
          </cell>
          <cell r="G371" t="str">
            <v>Ö</v>
          </cell>
        </row>
        <row r="372">
          <cell r="C372" t="str">
            <v>ADMY1524</v>
          </cell>
          <cell r="G372" t="str">
            <v>Ö</v>
          </cell>
        </row>
        <row r="373">
          <cell r="C373" t="str">
            <v>DLNB1186</v>
          </cell>
          <cell r="G373" t="str">
            <v>Ö</v>
          </cell>
        </row>
        <row r="374">
          <cell r="C374" t="str">
            <v>DLNB1168</v>
          </cell>
          <cell r="G374" t="str">
            <v>Ö</v>
          </cell>
        </row>
        <row r="375">
          <cell r="C375" t="str">
            <v>DLNB1172</v>
          </cell>
          <cell r="G375" t="str">
            <v>Ö</v>
          </cell>
        </row>
        <row r="376">
          <cell r="C376" t="str">
            <v>DLNB1211</v>
          </cell>
          <cell r="G376" t="str">
            <v>Ö</v>
          </cell>
        </row>
        <row r="377">
          <cell r="C377" t="str">
            <v>DLNB1205</v>
          </cell>
          <cell r="G377" t="str">
            <v>Ö</v>
          </cell>
        </row>
        <row r="378">
          <cell r="C378" t="str">
            <v>ADMY1425</v>
          </cell>
          <cell r="G378" t="str">
            <v>Ö</v>
          </cell>
        </row>
        <row r="379">
          <cell r="C379" t="str">
            <v>ADMY1431</v>
          </cell>
          <cell r="G379" t="str">
            <v>Ö</v>
          </cell>
        </row>
        <row r="380">
          <cell r="C380" t="str">
            <v>ADMY1434</v>
          </cell>
          <cell r="G380" t="str">
            <v>Ö</v>
          </cell>
        </row>
        <row r="381">
          <cell r="C381" t="str">
            <v>ADMY1453</v>
          </cell>
          <cell r="G381" t="str">
            <v>Ö</v>
          </cell>
        </row>
        <row r="382">
          <cell r="C382" t="str">
            <v>ADMY1502</v>
          </cell>
          <cell r="G382" t="str">
            <v>Ö</v>
          </cell>
        </row>
        <row r="383">
          <cell r="C383" t="str">
            <v>DLNB1097</v>
          </cell>
          <cell r="G383" t="str">
            <v>Ö</v>
          </cell>
        </row>
        <row r="384">
          <cell r="C384" t="str">
            <v>DLNB1113</v>
          </cell>
          <cell r="G384" t="str">
            <v>Ö</v>
          </cell>
        </row>
        <row r="385">
          <cell r="C385" t="str">
            <v>DLNB1105</v>
          </cell>
          <cell r="G385" t="str">
            <v>Ö</v>
          </cell>
        </row>
        <row r="386">
          <cell r="C386" t="str">
            <v>ADMY1336</v>
          </cell>
          <cell r="G386" t="str">
            <v>Ö</v>
          </cell>
        </row>
        <row r="387">
          <cell r="C387" t="str">
            <v>ADMY1339</v>
          </cell>
          <cell r="G387" t="str">
            <v>Ö</v>
          </cell>
        </row>
        <row r="388">
          <cell r="C388" t="str">
            <v>ADMY1351</v>
          </cell>
          <cell r="G388" t="str">
            <v>Ö</v>
          </cell>
        </row>
        <row r="389">
          <cell r="C389" t="str">
            <v>ADMY1356</v>
          </cell>
          <cell r="G389" t="str">
            <v>Ö</v>
          </cell>
        </row>
        <row r="390">
          <cell r="C390" t="str">
            <v>ADMY1370</v>
          </cell>
          <cell r="G390" t="str">
            <v>Ö</v>
          </cell>
        </row>
        <row r="391">
          <cell r="C391" t="str">
            <v>DLNB1086</v>
          </cell>
          <cell r="G391" t="str">
            <v>Ö</v>
          </cell>
        </row>
        <row r="392">
          <cell r="C392" t="str">
            <v>DLNB1067</v>
          </cell>
          <cell r="G392" t="str">
            <v>Ö</v>
          </cell>
        </row>
        <row r="393">
          <cell r="C393" t="str">
            <v>ADMY1299</v>
          </cell>
          <cell r="G393" t="str">
            <v>Ö</v>
          </cell>
        </row>
        <row r="394">
          <cell r="C394" t="str">
            <v>DLNB1054</v>
          </cell>
          <cell r="G394" t="str">
            <v>Ö</v>
          </cell>
        </row>
        <row r="395">
          <cell r="C395" t="str">
            <v>DLNB1045</v>
          </cell>
          <cell r="G395" t="str">
            <v>To Colcom on 16/07/2026</v>
          </cell>
        </row>
        <row r="396">
          <cell r="C396" t="str">
            <v>DLNB1011</v>
          </cell>
          <cell r="G396" t="str">
            <v>Ö</v>
          </cell>
        </row>
        <row r="397">
          <cell r="C397" t="str">
            <v>DLNB1008</v>
          </cell>
          <cell r="G397" t="str">
            <v>Ö</v>
          </cell>
        </row>
        <row r="398">
          <cell r="C398" t="str">
            <v>DLNB0961</v>
          </cell>
          <cell r="G398" t="str">
            <v>Ö</v>
          </cell>
        </row>
        <row r="399">
          <cell r="C399" t="str">
            <v>DLNB1003</v>
          </cell>
          <cell r="G399" t="str">
            <v>Ö</v>
          </cell>
        </row>
        <row r="400">
          <cell r="C400" t="str">
            <v>DLNB0976</v>
          </cell>
          <cell r="G400" t="str">
            <v>To Colcom on 24/07/2026</v>
          </cell>
        </row>
        <row r="401">
          <cell r="C401" t="str">
            <v>DLNB0977</v>
          </cell>
          <cell r="G401" t="str">
            <v>Ö</v>
          </cell>
        </row>
        <row r="402">
          <cell r="C402" t="str">
            <v>ADMY1207</v>
          </cell>
          <cell r="G402" t="str">
            <v>Ö</v>
          </cell>
        </row>
        <row r="403">
          <cell r="C403" t="str">
            <v>ADMY1246</v>
          </cell>
          <cell r="G403" t="str">
            <v>Ö</v>
          </cell>
        </row>
        <row r="404">
          <cell r="C404" t="str">
            <v>DLNB0867</v>
          </cell>
          <cell r="G404" t="str">
            <v>Ö</v>
          </cell>
        </row>
        <row r="405">
          <cell r="C405" t="str">
            <v>DLNB0872</v>
          </cell>
          <cell r="G405" t="str">
            <v>Ö</v>
          </cell>
        </row>
        <row r="406">
          <cell r="C406" t="str">
            <v>DLNB0858</v>
          </cell>
          <cell r="G406" t="str">
            <v>Ö</v>
          </cell>
        </row>
        <row r="407">
          <cell r="C407" t="str">
            <v>ADMY1089</v>
          </cell>
          <cell r="G407" t="str">
            <v>Ö</v>
          </cell>
        </row>
        <row r="408">
          <cell r="C408" t="str">
            <v>ADMY1099</v>
          </cell>
          <cell r="G408" t="str">
            <v>Ö</v>
          </cell>
        </row>
        <row r="409">
          <cell r="C409" t="str">
            <v>ADMY1145</v>
          </cell>
          <cell r="G409" t="str">
            <v>Ö</v>
          </cell>
        </row>
        <row r="410">
          <cell r="C410" t="str">
            <v>ADMY1158</v>
          </cell>
          <cell r="G410" t="str">
            <v>Ö</v>
          </cell>
        </row>
        <row r="411">
          <cell r="C411" t="str">
            <v>ADMY1160</v>
          </cell>
          <cell r="G411" t="str">
            <v>Ö</v>
          </cell>
        </row>
        <row r="412">
          <cell r="C412" t="str">
            <v>DLNB0842</v>
          </cell>
          <cell r="G412" t="str">
            <v>Ö</v>
          </cell>
        </row>
        <row r="413">
          <cell r="C413" t="str">
            <v>DLNB0802</v>
          </cell>
          <cell r="G413" t="str">
            <v>Ö</v>
          </cell>
        </row>
        <row r="414">
          <cell r="C414" t="str">
            <v>DLNB0803</v>
          </cell>
          <cell r="G414" t="str">
            <v>Ö</v>
          </cell>
        </row>
        <row r="415">
          <cell r="C415" t="str">
            <v>ADMY0991</v>
          </cell>
          <cell r="G415" t="str">
            <v>Ö</v>
          </cell>
        </row>
        <row r="416">
          <cell r="C416" t="str">
            <v>ADMY0999</v>
          </cell>
          <cell r="G416" t="str">
            <v>Ö</v>
          </cell>
        </row>
        <row r="417">
          <cell r="C417" t="str">
            <v>ADMY1020</v>
          </cell>
          <cell r="G417" t="str">
            <v>Ö</v>
          </cell>
        </row>
        <row r="418">
          <cell r="C418" t="str">
            <v>ADMY1024</v>
          </cell>
          <cell r="G418" t="str">
            <v>Ö</v>
          </cell>
        </row>
        <row r="419">
          <cell r="C419" t="str">
            <v>ADMY1041</v>
          </cell>
          <cell r="G419" t="str">
            <v>Ö</v>
          </cell>
        </row>
        <row r="420">
          <cell r="C420" t="str">
            <v>ADMY1057</v>
          </cell>
          <cell r="G420" t="str">
            <v>Ö</v>
          </cell>
        </row>
        <row r="421">
          <cell r="C421" t="str">
            <v>ADMY1079</v>
          </cell>
          <cell r="G421" t="str">
            <v>Ö</v>
          </cell>
        </row>
        <row r="422">
          <cell r="C422" t="str">
            <v>ADMY1080</v>
          </cell>
          <cell r="G422" t="str">
            <v>Ö</v>
          </cell>
        </row>
        <row r="423">
          <cell r="C423" t="str">
            <v>ADMY0984</v>
          </cell>
          <cell r="G423" t="str">
            <v>Ö</v>
          </cell>
        </row>
        <row r="424">
          <cell r="C424" t="str">
            <v>ADMY0973</v>
          </cell>
          <cell r="G424" t="str">
            <v>Ö</v>
          </cell>
        </row>
        <row r="425">
          <cell r="C425" t="str">
            <v>DLNB0660</v>
          </cell>
          <cell r="G425" t="str">
            <v>Ö</v>
          </cell>
        </row>
        <row r="426">
          <cell r="C426" t="str">
            <v>ADMY0915</v>
          </cell>
          <cell r="G426" t="str">
            <v>Ö</v>
          </cell>
        </row>
        <row r="427">
          <cell r="C427" t="str">
            <v>DLNB0619</v>
          </cell>
          <cell r="G427" t="str">
            <v>Ö</v>
          </cell>
        </row>
        <row r="428">
          <cell r="C428" t="str">
            <v>DLNB0621</v>
          </cell>
          <cell r="G428" t="str">
            <v>Ö</v>
          </cell>
        </row>
        <row r="429">
          <cell r="C429" t="str">
            <v>DLNB0623</v>
          </cell>
          <cell r="G429" t="str">
            <v>Ö</v>
          </cell>
        </row>
        <row r="430">
          <cell r="C430" t="str">
            <v>ADMY0896</v>
          </cell>
          <cell r="G430" t="str">
            <v>Ö</v>
          </cell>
        </row>
        <row r="431">
          <cell r="C431" t="str">
            <v>DLNB0486</v>
          </cell>
          <cell r="G431" t="str">
            <v>Ö</v>
          </cell>
        </row>
        <row r="432">
          <cell r="C432" t="str">
            <v>DLNB0564</v>
          </cell>
          <cell r="G432" t="str">
            <v>Ö</v>
          </cell>
        </row>
        <row r="433">
          <cell r="C433" t="str">
            <v>DLNB0555</v>
          </cell>
          <cell r="G433" t="str">
            <v>Ö</v>
          </cell>
        </row>
        <row r="434">
          <cell r="C434" t="str">
            <v>DLNB0558</v>
          </cell>
          <cell r="G434" t="str">
            <v>Ö</v>
          </cell>
        </row>
        <row r="435">
          <cell r="C435" t="str">
            <v>ADMY0801</v>
          </cell>
          <cell r="G435" t="str">
            <v>Ö</v>
          </cell>
        </row>
        <row r="436">
          <cell r="C436" t="str">
            <v>ADMY0812</v>
          </cell>
          <cell r="G436" t="str">
            <v>Ö</v>
          </cell>
        </row>
        <row r="437">
          <cell r="C437" t="str">
            <v>DLNB0435</v>
          </cell>
          <cell r="G437" t="str">
            <v>Ö</v>
          </cell>
        </row>
        <row r="438">
          <cell r="C438" t="str">
            <v>ADMY0700</v>
          </cell>
          <cell r="G438" t="str">
            <v>Ö</v>
          </cell>
        </row>
        <row r="439">
          <cell r="C439" t="str">
            <v>ADMY0702</v>
          </cell>
          <cell r="G439" t="str">
            <v>Ö</v>
          </cell>
        </row>
        <row r="440">
          <cell r="C440" t="str">
            <v>ADMY0706</v>
          </cell>
          <cell r="G440" t="str">
            <v>Ö</v>
          </cell>
        </row>
        <row r="441">
          <cell r="C441" t="str">
            <v>ADMY0762</v>
          </cell>
          <cell r="G441" t="str">
            <v>Ö</v>
          </cell>
        </row>
        <row r="442">
          <cell r="C442" t="str">
            <v>ADMY0771</v>
          </cell>
          <cell r="G442" t="str">
            <v>Ö</v>
          </cell>
        </row>
        <row r="443">
          <cell r="C443" t="str">
            <v>DLNB0380</v>
          </cell>
          <cell r="G443" t="str">
            <v>Ö</v>
          </cell>
        </row>
        <row r="444">
          <cell r="C444" t="str">
            <v>DLNB0385</v>
          </cell>
          <cell r="G444" t="str">
            <v>Ö</v>
          </cell>
        </row>
        <row r="445">
          <cell r="C445" t="str">
            <v>DLNB0393</v>
          </cell>
          <cell r="G445" t="str">
            <v>Ö</v>
          </cell>
        </row>
        <row r="446">
          <cell r="C446" t="str">
            <v>DLNB0396</v>
          </cell>
          <cell r="G446" t="str">
            <v>Ö</v>
          </cell>
        </row>
        <row r="447">
          <cell r="C447" t="str">
            <v>DLNB0399</v>
          </cell>
          <cell r="G447" t="str">
            <v>Ö</v>
          </cell>
        </row>
        <row r="448">
          <cell r="C448" t="str">
            <v>DLNB0355</v>
          </cell>
          <cell r="G448" t="str">
            <v>Ö</v>
          </cell>
        </row>
        <row r="449">
          <cell r="C449" t="str">
            <v>DLNB1995</v>
          </cell>
          <cell r="G449" t="str">
            <v>Ö</v>
          </cell>
        </row>
        <row r="450">
          <cell r="C450" t="str">
            <v>DLNB1998</v>
          </cell>
          <cell r="G450" t="str">
            <v>Ö</v>
          </cell>
        </row>
        <row r="451">
          <cell r="C451" t="str">
            <v>DLNB1990</v>
          </cell>
          <cell r="G451" t="str">
            <v>Ö</v>
          </cell>
        </row>
        <row r="452">
          <cell r="C452" t="str">
            <v>DLNB2040</v>
          </cell>
          <cell r="G452" t="str">
            <v>Ö</v>
          </cell>
        </row>
        <row r="453">
          <cell r="C453" t="str">
            <v>DLNB2076</v>
          </cell>
          <cell r="G453" t="str">
            <v>Ö</v>
          </cell>
        </row>
        <row r="454">
          <cell r="C454" t="str">
            <v>DLNB2058</v>
          </cell>
          <cell r="G454" t="str">
            <v>Ö</v>
          </cell>
        </row>
        <row r="455">
          <cell r="C455" t="str">
            <v>DLNB2061</v>
          </cell>
          <cell r="G455" t="str">
            <v>Ö</v>
          </cell>
        </row>
        <row r="456">
          <cell r="C456" t="str">
            <v>DLNB2253</v>
          </cell>
          <cell r="G456" t="str">
            <v>Ö</v>
          </cell>
        </row>
        <row r="457">
          <cell r="C457" t="str">
            <v>DLNB2168</v>
          </cell>
          <cell r="G457" t="str">
            <v>Ö</v>
          </cell>
        </row>
        <row r="458">
          <cell r="C458" t="str">
            <v>DLNB2198</v>
          </cell>
          <cell r="G458" t="str">
            <v>Ö</v>
          </cell>
        </row>
        <row r="459">
          <cell r="C459" t="str">
            <v>DLNB2201</v>
          </cell>
          <cell r="G459" t="str">
            <v>Ö</v>
          </cell>
        </row>
        <row r="460">
          <cell r="C460" t="str">
            <v>DLNB2128</v>
          </cell>
          <cell r="G460" t="str">
            <v>Ö</v>
          </cell>
        </row>
        <row r="461">
          <cell r="C461" t="str">
            <v>DLNB2064</v>
          </cell>
          <cell r="G461" t="str">
            <v>Ö</v>
          </cell>
        </row>
        <row r="462">
          <cell r="C462" t="str">
            <v>DLNB2311</v>
          </cell>
          <cell r="G462" t="str">
            <v>Ö</v>
          </cell>
        </row>
        <row r="463">
          <cell r="C463" t="str">
            <v>DLNB2302</v>
          </cell>
          <cell r="G463" t="str">
            <v>Ö</v>
          </cell>
        </row>
        <row r="464">
          <cell r="C464" t="str">
            <v>DLNB2388</v>
          </cell>
          <cell r="G464" t="str">
            <v>Ö</v>
          </cell>
        </row>
        <row r="465">
          <cell r="C465" t="str">
            <v>DLNB2344</v>
          </cell>
          <cell r="G465" t="str">
            <v>Ö</v>
          </cell>
        </row>
        <row r="466">
          <cell r="C466" t="str">
            <v>DLNB2352</v>
          </cell>
          <cell r="G466" t="str">
            <v>Ö</v>
          </cell>
        </row>
        <row r="467">
          <cell r="C467" t="str">
            <v>DLNB2409</v>
          </cell>
          <cell r="G467" t="str">
            <v>Ö</v>
          </cell>
        </row>
        <row r="468">
          <cell r="C468" t="str">
            <v>DLNB2324</v>
          </cell>
          <cell r="G468" t="str">
            <v>Ö</v>
          </cell>
        </row>
        <row r="469">
          <cell r="C469" t="str">
            <v>DLNB2326</v>
          </cell>
          <cell r="G469" t="str">
            <v>Ö</v>
          </cell>
        </row>
        <row r="470">
          <cell r="C470" t="str">
            <v>DLNB2329</v>
          </cell>
          <cell r="G470" t="str">
            <v>Ö</v>
          </cell>
        </row>
        <row r="471">
          <cell r="C471" t="str">
            <v>DLNB2332</v>
          </cell>
          <cell r="G471" t="str">
            <v>Ö</v>
          </cell>
        </row>
        <row r="472">
          <cell r="C472" t="str">
            <v>DLNB2356</v>
          </cell>
          <cell r="G472" t="str">
            <v>Ö</v>
          </cell>
        </row>
        <row r="473">
          <cell r="C473" t="str">
            <v>DLNB2304</v>
          </cell>
          <cell r="G473" t="str">
            <v>Ö</v>
          </cell>
        </row>
        <row r="474">
          <cell r="C474" t="str">
            <v>DLNB2305</v>
          </cell>
          <cell r="G474" t="str">
            <v>Ö</v>
          </cell>
        </row>
        <row r="475">
          <cell r="C475" t="str">
            <v>DLNB2403</v>
          </cell>
          <cell r="G475" t="str">
            <v>Ö</v>
          </cell>
        </row>
        <row r="476">
          <cell r="C476" t="str">
            <v>DLNB2397</v>
          </cell>
          <cell r="G476" t="str">
            <v>Ö</v>
          </cell>
        </row>
        <row r="477">
          <cell r="C477" t="str">
            <v>DLNB2460</v>
          </cell>
          <cell r="G477" t="str">
            <v>Ö</v>
          </cell>
        </row>
        <row r="478">
          <cell r="C478" t="str">
            <v>DLNB2470</v>
          </cell>
          <cell r="G478" t="str">
            <v>Ö</v>
          </cell>
        </row>
        <row r="479">
          <cell r="C479" t="str">
            <v>DLNB2526</v>
          </cell>
          <cell r="G479" t="str">
            <v>Ö</v>
          </cell>
        </row>
        <row r="480">
          <cell r="C480" t="str">
            <v>DLNB2536</v>
          </cell>
          <cell r="G480" t="str">
            <v>Ö</v>
          </cell>
        </row>
        <row r="481">
          <cell r="C481" t="str">
            <v>DLNB2644</v>
          </cell>
          <cell r="G481" t="str">
            <v>Ö</v>
          </cell>
        </row>
        <row r="482">
          <cell r="C482" t="str">
            <v>DLNB2646</v>
          </cell>
          <cell r="G482" t="str">
            <v>Ö</v>
          </cell>
        </row>
        <row r="483">
          <cell r="C483" t="str">
            <v>DLNB2685</v>
          </cell>
          <cell r="G483" t="str">
            <v>Ö</v>
          </cell>
        </row>
        <row r="484">
          <cell r="C484" t="str">
            <v>DLNB2717</v>
          </cell>
          <cell r="G484" t="str">
            <v>Ö</v>
          </cell>
        </row>
        <row r="485">
          <cell r="C485" t="str">
            <v>DLNB2840</v>
          </cell>
          <cell r="G485" t="str">
            <v>Ö</v>
          </cell>
        </row>
        <row r="486">
          <cell r="C486" t="str">
            <v>DLNB2679</v>
          </cell>
          <cell r="G486" t="str">
            <v>Ö</v>
          </cell>
        </row>
        <row r="487">
          <cell r="C487" t="str">
            <v>DLNB2683</v>
          </cell>
          <cell r="G487" t="str">
            <v>Ö</v>
          </cell>
        </row>
        <row r="488">
          <cell r="C488" t="str">
            <v>DLNB3138</v>
          </cell>
          <cell r="G488" t="str">
            <v>Ö</v>
          </cell>
        </row>
        <row r="489">
          <cell r="C489" t="str">
            <v>DLNB3081</v>
          </cell>
          <cell r="G489" t="str">
            <v>Ö</v>
          </cell>
        </row>
        <row r="490">
          <cell r="C490" t="str">
            <v>DLNB3086</v>
          </cell>
          <cell r="G490" t="str">
            <v>Ö</v>
          </cell>
        </row>
        <row r="491">
          <cell r="C491" t="str">
            <v>DLNB3058</v>
          </cell>
          <cell r="G491" t="str">
            <v>Ö</v>
          </cell>
        </row>
        <row r="492">
          <cell r="C492" t="str">
            <v>DLNB3016</v>
          </cell>
          <cell r="G492" t="str">
            <v>Ö</v>
          </cell>
        </row>
        <row r="493">
          <cell r="C493" t="str">
            <v>DLNB3072</v>
          </cell>
          <cell r="G493" t="str">
            <v>Ö</v>
          </cell>
        </row>
        <row r="494">
          <cell r="C494" t="str">
            <v>DLNB3074</v>
          </cell>
          <cell r="G494" t="str">
            <v>Ö</v>
          </cell>
        </row>
        <row r="495">
          <cell r="C495" t="str">
            <v>DLNB2998</v>
          </cell>
          <cell r="G495" t="str">
            <v>Ö</v>
          </cell>
        </row>
        <row r="496">
          <cell r="C496" t="str">
            <v>DLNB2986</v>
          </cell>
          <cell r="G496" t="str">
            <v>Ö</v>
          </cell>
        </row>
        <row r="497">
          <cell r="C497" t="str">
            <v>DLNB3104</v>
          </cell>
          <cell r="G497" t="str">
            <v>Ö</v>
          </cell>
        </row>
        <row r="498">
          <cell r="C498" t="str">
            <v>DLNB3108</v>
          </cell>
          <cell r="G498" t="str">
            <v>Ö</v>
          </cell>
        </row>
        <row r="499">
          <cell r="C499" t="str">
            <v>DLNB3157</v>
          </cell>
          <cell r="G499" t="str">
            <v>Ö</v>
          </cell>
        </row>
        <row r="500">
          <cell r="C500" t="str">
            <v>DLNB3153</v>
          </cell>
          <cell r="G500" t="str">
            <v>Ö</v>
          </cell>
        </row>
        <row r="501">
          <cell r="C501" t="str">
            <v>DLNB3037</v>
          </cell>
          <cell r="G501" t="str">
            <v>Ö</v>
          </cell>
        </row>
        <row r="502">
          <cell r="C502" t="str">
            <v>DLNB3123</v>
          </cell>
          <cell r="G502" t="str">
            <v>Ö</v>
          </cell>
        </row>
        <row r="503">
          <cell r="C503" t="str">
            <v>DLNB3229</v>
          </cell>
          <cell r="G503" t="str">
            <v>Ö</v>
          </cell>
        </row>
        <row r="504">
          <cell r="C504" t="str">
            <v>DLNB3244</v>
          </cell>
          <cell r="G504" t="str">
            <v>Ö</v>
          </cell>
        </row>
        <row r="505">
          <cell r="C505" t="str">
            <v>DLNB3249</v>
          </cell>
          <cell r="G505" t="str">
            <v>Ö</v>
          </cell>
        </row>
        <row r="506">
          <cell r="C506" t="str">
            <v>DLNB3262</v>
          </cell>
          <cell r="G506" t="str">
            <v>Ö</v>
          </cell>
        </row>
        <row r="507">
          <cell r="C507" t="str">
            <v>DLNB3331</v>
          </cell>
          <cell r="G507" t="str">
            <v>Ö</v>
          </cell>
        </row>
        <row r="508">
          <cell r="C508" t="str">
            <v>DLNB3305</v>
          </cell>
          <cell r="G508" t="str">
            <v>Ö</v>
          </cell>
        </row>
        <row r="509">
          <cell r="C509" t="str">
            <v>DLNB3315</v>
          </cell>
          <cell r="G509" t="str">
            <v>Ö</v>
          </cell>
        </row>
        <row r="510">
          <cell r="C510" t="str">
            <v>DLNB3362</v>
          </cell>
          <cell r="G510" t="str">
            <v>Ö</v>
          </cell>
        </row>
        <row r="511">
          <cell r="C511" t="str">
            <v>DLNB3428</v>
          </cell>
          <cell r="G511" t="str">
            <v>Ö</v>
          </cell>
        </row>
        <row r="512">
          <cell r="C512" t="str">
            <v>DLNB3429</v>
          </cell>
          <cell r="G512" t="str">
            <v>Ö</v>
          </cell>
        </row>
        <row r="513">
          <cell r="C513" t="str">
            <v>DLNB3427</v>
          </cell>
          <cell r="G513" t="str">
            <v>Ö</v>
          </cell>
        </row>
        <row r="514">
          <cell r="C514" t="str">
            <v>DLNB3450</v>
          </cell>
          <cell r="G514" t="str">
            <v>Ö</v>
          </cell>
        </row>
        <row r="515">
          <cell r="C515" t="str">
            <v>DLNB3341</v>
          </cell>
          <cell r="G515" t="str">
            <v>Ö</v>
          </cell>
        </row>
        <row r="516">
          <cell r="C516" t="str">
            <v>DLNB3382</v>
          </cell>
          <cell r="G516" t="str">
            <v>Ö</v>
          </cell>
        </row>
        <row r="517">
          <cell r="C517" t="str">
            <v>DLNB3356</v>
          </cell>
          <cell r="G517" t="str">
            <v>Ö</v>
          </cell>
        </row>
        <row r="518">
          <cell r="C518" t="str">
            <v>DLNB3471</v>
          </cell>
          <cell r="G518" t="str">
            <v>Ö</v>
          </cell>
        </row>
        <row r="519">
          <cell r="C519" t="str">
            <v>DLNB3349</v>
          </cell>
          <cell r="G519" t="str">
            <v>Ö</v>
          </cell>
        </row>
        <row r="520">
          <cell r="C520" t="str">
            <v>DLNB3351</v>
          </cell>
          <cell r="G520" t="str">
            <v>Ö</v>
          </cell>
        </row>
        <row r="521">
          <cell r="C521" t="str">
            <v>DLNB3523</v>
          </cell>
          <cell r="G521" t="str">
            <v>Ö</v>
          </cell>
        </row>
        <row r="522">
          <cell r="C522" t="str">
            <v>DLNB3515</v>
          </cell>
          <cell r="G522" t="str">
            <v>Ö</v>
          </cell>
        </row>
        <row r="523">
          <cell r="C523" t="str">
            <v>DLNB3569</v>
          </cell>
          <cell r="G523" t="str">
            <v>Ö</v>
          </cell>
        </row>
        <row r="524">
          <cell r="C524" t="str">
            <v>DLNB3579</v>
          </cell>
          <cell r="G524" t="str">
            <v>Ö</v>
          </cell>
        </row>
        <row r="525">
          <cell r="C525" t="str">
            <v>DLNB3580</v>
          </cell>
          <cell r="G525" t="str">
            <v>Ö</v>
          </cell>
        </row>
        <row r="526">
          <cell r="C526" t="str">
            <v>DLNB3600</v>
          </cell>
          <cell r="G526" t="str">
            <v>Ö</v>
          </cell>
        </row>
        <row r="527">
          <cell r="C527" t="str">
            <v>ADMY2207</v>
          </cell>
          <cell r="G527" t="str">
            <v>Ö</v>
          </cell>
        </row>
        <row r="528">
          <cell r="C528" t="str">
            <v>ADMY2220</v>
          </cell>
          <cell r="G528" t="str">
            <v>Ö</v>
          </cell>
        </row>
        <row r="529">
          <cell r="C529" t="str">
            <v>ADMY2289</v>
          </cell>
          <cell r="G529" t="str">
            <v>To Colcom on 02/07/2026</v>
          </cell>
        </row>
        <row r="530">
          <cell r="C530" t="str">
            <v>ADMY2320</v>
          </cell>
          <cell r="G530" t="str">
            <v>To Colcom on 24/07/2026</v>
          </cell>
        </row>
        <row r="531">
          <cell r="C531" t="str">
            <v>ADMY2363</v>
          </cell>
          <cell r="G531" t="str">
            <v>Ö</v>
          </cell>
        </row>
        <row r="532">
          <cell r="C532" t="str">
            <v>ADMY2437</v>
          </cell>
          <cell r="G532" t="str">
            <v>Ö</v>
          </cell>
        </row>
        <row r="533">
          <cell r="C533" t="str">
            <v>ADMY2498</v>
          </cell>
          <cell r="G533" t="str">
            <v>Ö</v>
          </cell>
        </row>
        <row r="534">
          <cell r="C534" t="str">
            <v>ADMY2517</v>
          </cell>
          <cell r="G534" t="str">
            <v>Ö</v>
          </cell>
        </row>
        <row r="535">
          <cell r="C535" t="str">
            <v>ADMY2525</v>
          </cell>
          <cell r="G535" t="str">
            <v>Ö</v>
          </cell>
        </row>
        <row r="536">
          <cell r="C536" t="str">
            <v>ADMY2537</v>
          </cell>
          <cell r="G536" t="str">
            <v>Ö</v>
          </cell>
        </row>
        <row r="537">
          <cell r="C537" t="str">
            <v>ADMY2589</v>
          </cell>
          <cell r="G537" t="str">
            <v>Ö</v>
          </cell>
        </row>
        <row r="538">
          <cell r="C538" t="str">
            <v>ADMY2610</v>
          </cell>
          <cell r="G538" t="str">
            <v>Ö</v>
          </cell>
        </row>
        <row r="539">
          <cell r="C539" t="str">
            <v>ADMY2653</v>
          </cell>
          <cell r="G539" t="str">
            <v>Ö</v>
          </cell>
        </row>
        <row r="540">
          <cell r="C540" t="str">
            <v>ADMY2655</v>
          </cell>
          <cell r="G540" t="str">
            <v>Ö</v>
          </cell>
        </row>
        <row r="541">
          <cell r="C541" t="str">
            <v>ADMY2721</v>
          </cell>
          <cell r="G541" t="str">
            <v>Ö</v>
          </cell>
        </row>
        <row r="542">
          <cell r="C542" t="str">
            <v>ADMY2742</v>
          </cell>
          <cell r="G542" t="str">
            <v>Ö</v>
          </cell>
        </row>
        <row r="543">
          <cell r="C543" t="str">
            <v>ADMY2767</v>
          </cell>
          <cell r="G543" t="str">
            <v>Ö</v>
          </cell>
        </row>
        <row r="544">
          <cell r="C544" t="str">
            <v>ADMY2797</v>
          </cell>
          <cell r="G544" t="str">
            <v>Ö</v>
          </cell>
        </row>
        <row r="545">
          <cell r="C545" t="str">
            <v>ADMY2810</v>
          </cell>
          <cell r="G545" t="str">
            <v>Ö</v>
          </cell>
        </row>
        <row r="546">
          <cell r="C546" t="str">
            <v>ADMY2826</v>
          </cell>
          <cell r="G546" t="str">
            <v>Ö</v>
          </cell>
        </row>
        <row r="547">
          <cell r="C547" t="str">
            <v>ADMY2839</v>
          </cell>
          <cell r="G547" t="str">
            <v>Ö</v>
          </cell>
        </row>
        <row r="548">
          <cell r="C548" t="str">
            <v>ADMY2844</v>
          </cell>
          <cell r="G548" t="str">
            <v>Ö</v>
          </cell>
        </row>
        <row r="549">
          <cell r="C549" t="str">
            <v>ADMY2858</v>
          </cell>
          <cell r="G549" t="str">
            <v>Ö</v>
          </cell>
        </row>
        <row r="550">
          <cell r="C550" t="str">
            <v>ADMY2862</v>
          </cell>
          <cell r="G550" t="str">
            <v>Ö</v>
          </cell>
        </row>
        <row r="551">
          <cell r="C551" t="str">
            <v>ADMY2889</v>
          </cell>
          <cell r="G551" t="str">
            <v>Ö</v>
          </cell>
        </row>
        <row r="552">
          <cell r="C552" t="str">
            <v>ADMY2907</v>
          </cell>
          <cell r="G552" t="str">
            <v>Ö</v>
          </cell>
        </row>
        <row r="553">
          <cell r="C553" t="str">
            <v>ADMY2977</v>
          </cell>
          <cell r="G553" t="str">
            <v>Ö</v>
          </cell>
        </row>
        <row r="554">
          <cell r="C554" t="str">
            <v>ADMY2980</v>
          </cell>
          <cell r="G554" t="str">
            <v>Ö</v>
          </cell>
        </row>
        <row r="555">
          <cell r="C555" t="str">
            <v>ADMY2982</v>
          </cell>
          <cell r="G555" t="str">
            <v>Ö</v>
          </cell>
        </row>
        <row r="556">
          <cell r="C556" t="str">
            <v>ADMY2985</v>
          </cell>
          <cell r="G556" t="str">
            <v>Ö</v>
          </cell>
        </row>
        <row r="557">
          <cell r="C557" t="str">
            <v>ADMY2990</v>
          </cell>
          <cell r="G557" t="str">
            <v>Ö</v>
          </cell>
        </row>
        <row r="558">
          <cell r="C558" t="str">
            <v>ADMY2997</v>
          </cell>
          <cell r="G558" t="str">
            <v>Ö</v>
          </cell>
        </row>
        <row r="559">
          <cell r="C559" t="str">
            <v>ADMY3037</v>
          </cell>
          <cell r="G559" t="str">
            <v>Ö</v>
          </cell>
        </row>
        <row r="560">
          <cell r="C560" t="str">
            <v>ADMY3047</v>
          </cell>
          <cell r="G560" t="str">
            <v>Ö</v>
          </cell>
        </row>
        <row r="561">
          <cell r="C561" t="str">
            <v>ADMY3156</v>
          </cell>
          <cell r="G561" t="str">
            <v>Ö</v>
          </cell>
        </row>
        <row r="562">
          <cell r="C562" t="str">
            <v>ADMY3201</v>
          </cell>
          <cell r="G562" t="str">
            <v>Ö</v>
          </cell>
        </row>
        <row r="563">
          <cell r="C563" t="str">
            <v>ADMY3215</v>
          </cell>
          <cell r="G563" t="str">
            <v>Ö</v>
          </cell>
        </row>
        <row r="564">
          <cell r="C564" t="str">
            <v>ADMY3224</v>
          </cell>
          <cell r="G564" t="str">
            <v>Ö</v>
          </cell>
        </row>
        <row r="565">
          <cell r="C565" t="str">
            <v>ADMY3230</v>
          </cell>
          <cell r="G565" t="str">
            <v>Ö</v>
          </cell>
        </row>
        <row r="566">
          <cell r="C566" t="str">
            <v>ADMY3234</v>
          </cell>
          <cell r="G566" t="str">
            <v>Ö</v>
          </cell>
        </row>
        <row r="567">
          <cell r="C567" t="str">
            <v>ADMY3236</v>
          </cell>
          <cell r="G567" t="str">
            <v>Ö</v>
          </cell>
        </row>
        <row r="568">
          <cell r="C568" t="str">
            <v>ADMY3264</v>
          </cell>
          <cell r="G568" t="str">
            <v>Ö</v>
          </cell>
        </row>
        <row r="569">
          <cell r="C569" t="str">
            <v>ADMY3265</v>
          </cell>
          <cell r="G569" t="str">
            <v>Ö</v>
          </cell>
        </row>
        <row r="570">
          <cell r="C570" t="str">
            <v>ADMY3274</v>
          </cell>
          <cell r="G570" t="str">
            <v>Ö</v>
          </cell>
        </row>
        <row r="571">
          <cell r="C571" t="str">
            <v>ADMY3288</v>
          </cell>
          <cell r="G571" t="str">
            <v>Ö</v>
          </cell>
        </row>
        <row r="572">
          <cell r="C572" t="str">
            <v>ADMY3353</v>
          </cell>
          <cell r="G572" t="str">
            <v>Ö</v>
          </cell>
        </row>
        <row r="573">
          <cell r="C573" t="str">
            <v>ADMY3462</v>
          </cell>
          <cell r="G573" t="str">
            <v>Ö</v>
          </cell>
        </row>
        <row r="574">
          <cell r="C574" t="str">
            <v>ADMY3476</v>
          </cell>
          <cell r="G574" t="str">
            <v>Ö</v>
          </cell>
        </row>
        <row r="575">
          <cell r="C575" t="str">
            <v>ADMY3478</v>
          </cell>
          <cell r="G575" t="str">
            <v>Ö</v>
          </cell>
        </row>
        <row r="576">
          <cell r="C576" t="str">
            <v>ADMY3481</v>
          </cell>
          <cell r="G576" t="str">
            <v>Ö</v>
          </cell>
        </row>
        <row r="577">
          <cell r="C577" t="str">
            <v>ADMY3507</v>
          </cell>
          <cell r="G577" t="str">
            <v>Ö</v>
          </cell>
        </row>
        <row r="578">
          <cell r="C578" t="str">
            <v>ADMY3509</v>
          </cell>
          <cell r="G578" t="str">
            <v>Ö</v>
          </cell>
        </row>
        <row r="579">
          <cell r="C579" t="str">
            <v>ADMY3532</v>
          </cell>
          <cell r="G579" t="str">
            <v>Ö</v>
          </cell>
        </row>
        <row r="580">
          <cell r="C580" t="str">
            <v>ADMY3534</v>
          </cell>
          <cell r="G580" t="str">
            <v>Ö</v>
          </cell>
        </row>
        <row r="581">
          <cell r="C581" t="str">
            <v>ADMY3564</v>
          </cell>
          <cell r="G581" t="str">
            <v>Ö</v>
          </cell>
        </row>
        <row r="582">
          <cell r="C582" t="str">
            <v>ADMY3572</v>
          </cell>
          <cell r="G582" t="str">
            <v>Ö</v>
          </cell>
        </row>
        <row r="583">
          <cell r="C583" t="str">
            <v>ADMY3591</v>
          </cell>
          <cell r="G583" t="str">
            <v>Ö</v>
          </cell>
        </row>
        <row r="584">
          <cell r="C584" t="str">
            <v>ADMY3614</v>
          </cell>
          <cell r="G584" t="str">
            <v>Ö</v>
          </cell>
        </row>
        <row r="585">
          <cell r="C585" t="str">
            <v>ADMY3683</v>
          </cell>
          <cell r="G585" t="str">
            <v>Ö</v>
          </cell>
        </row>
        <row r="586">
          <cell r="C586" t="str">
            <v>ADMY3684</v>
          </cell>
          <cell r="G586" t="str">
            <v>Ö</v>
          </cell>
        </row>
        <row r="589">
          <cell r="G589">
            <v>583</v>
          </cell>
        </row>
        <row r="590">
          <cell r="G590">
            <v>0</v>
          </cell>
        </row>
        <row r="591">
          <cell r="G591">
            <v>0</v>
          </cell>
        </row>
        <row r="592">
          <cell r="G592">
            <v>0</v>
          </cell>
        </row>
        <row r="593">
          <cell r="G593">
            <v>27</v>
          </cell>
        </row>
        <row r="594">
          <cell r="G594">
            <v>556</v>
          </cell>
        </row>
        <row r="616">
          <cell r="G616">
            <v>33</v>
          </cell>
        </row>
        <row r="662">
          <cell r="G662">
            <v>74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Grasmere"/>
      <sheetName val="Villa Franca"/>
      <sheetName val="Oswa"/>
      <sheetName val="Moonfarm"/>
      <sheetName val="Clifton"/>
      <sheetName val="Coldstream"/>
      <sheetName val="Cattle"/>
      <sheetName val="Reclassification"/>
      <sheetName val="Sheet1"/>
      <sheetName val="Comparison"/>
      <sheetName val="Zimbo"/>
      <sheetName val="Sheet2"/>
      <sheetName val="gains losses"/>
      <sheetName val="Working price per CDM"/>
      <sheetName val="cattle valuation"/>
      <sheetName val="Sheet4"/>
    </sheetNames>
    <sheetDataSet>
      <sheetData sheetId="0" refreshError="1"/>
      <sheetData sheetId="1" refreshError="1">
        <row r="36">
          <cell r="H36">
            <v>79923.960000000006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Grasmere"/>
      <sheetName val="Villa Franca"/>
      <sheetName val=" Lion Head"/>
      <sheetName val="Oswa"/>
      <sheetName val="Moonfarm"/>
      <sheetName val="Clifton"/>
      <sheetName val="Coldstream"/>
      <sheetName val="Douglyn"/>
      <sheetName val="Cattle"/>
      <sheetName val="Sheet5"/>
      <sheetName val="Reclassification"/>
      <sheetName val="Sheet1"/>
      <sheetName val="Comparison"/>
      <sheetName val="Zimbo"/>
      <sheetName val="Sheet2"/>
      <sheetName val="gains losses"/>
      <sheetName val="Working price per CDM"/>
      <sheetName val="cattle valuation"/>
      <sheetName val="Sheet4"/>
    </sheetNames>
    <sheetDataSet>
      <sheetData sheetId="0" refreshError="1"/>
      <sheetData sheetId="1" refreshError="1">
        <row r="54">
          <cell r="G54">
            <v>1763.2563636363636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>
        <row r="22">
          <cell r="H22">
            <v>6807.021866197183</v>
          </cell>
        </row>
        <row r="23">
          <cell r="H23">
            <v>7769.1892915703174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Grasmere journal"/>
      <sheetName val="Grasmere valuation "/>
      <sheetName val="Richlands Journal"/>
      <sheetName val="Richlands"/>
      <sheetName val="Sheet3"/>
      <sheetName val="sows"/>
      <sheetName val="boars"/>
    </sheetNames>
    <sheetDataSet>
      <sheetData sheetId="0" refreshError="1"/>
      <sheetData sheetId="1" refreshError="1"/>
      <sheetData sheetId="2" refreshError="1">
        <row r="5">
          <cell r="BM5" t="str">
            <v>May  2019</v>
          </cell>
        </row>
        <row r="7">
          <cell r="BL7">
            <v>147</v>
          </cell>
          <cell r="BM7">
            <v>16046.636819943167</v>
          </cell>
          <cell r="BN7">
            <v>2358855.6125316457</v>
          </cell>
        </row>
        <row r="8">
          <cell r="BM8">
            <v>16046.636819943167</v>
          </cell>
        </row>
        <row r="10">
          <cell r="BM10">
            <v>1.5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45">
          <cell r="L45">
            <v>234317.26664502168</v>
          </cell>
        </row>
        <row r="46">
          <cell r="K46">
            <v>783462.95136363653</v>
          </cell>
          <cell r="L46">
            <v>261154.31712121217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Costing"/>
      <sheetName val="March 22"/>
    </sheetNames>
    <sheetDataSet>
      <sheetData sheetId="0" refreshError="1"/>
      <sheetData sheetId="1">
        <row r="29">
          <cell r="K29">
            <v>300760.73609469831</v>
          </cell>
        </row>
        <row r="30">
          <cell r="K30">
            <v>285116.59484520816</v>
          </cell>
        </row>
      </sheetData>
      <sheetData sheetId="2">
        <row r="32">
          <cell r="L32">
            <v>454374.45382046868</v>
          </cell>
        </row>
        <row r="33">
          <cell r="C33">
            <v>2</v>
          </cell>
          <cell r="L33">
            <v>618969.15531040716</v>
          </cell>
        </row>
      </sheetData>
      <sheetData sheetId="3" refreshError="1"/>
      <sheetData sheetId="4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March 22"/>
      <sheetName val="Costing March"/>
      <sheetName val="Costing"/>
    </sheetNames>
    <sheetDataSet>
      <sheetData sheetId="0" refreshError="1"/>
      <sheetData sheetId="1" refreshError="1"/>
      <sheetData sheetId="2" refreshError="1"/>
      <sheetData sheetId="3">
        <row r="26">
          <cell r="L26">
            <v>678679.52865999355</v>
          </cell>
        </row>
        <row r="27">
          <cell r="L27">
            <v>708067.95992681163</v>
          </cell>
        </row>
      </sheetData>
      <sheetData sheetId="4" refreshError="1"/>
      <sheetData sheetId="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March 22"/>
      <sheetName val="July 22"/>
      <sheetName val="Costing March"/>
      <sheetName val="Costing"/>
      <sheetName val="July 22 Costing"/>
    </sheetNames>
    <sheetDataSet>
      <sheetData sheetId="0"/>
      <sheetData sheetId="1"/>
      <sheetData sheetId="2"/>
      <sheetData sheetId="3"/>
      <sheetData sheetId="4">
        <row r="31">
          <cell r="L31">
            <v>1928201.8379708324</v>
          </cell>
        </row>
      </sheetData>
      <sheetData sheetId="5"/>
      <sheetData sheetId="6"/>
      <sheetData sheetId="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March 22"/>
      <sheetName val="Nov 2022"/>
      <sheetName val="Costing March"/>
      <sheetName val="Costing"/>
      <sheetName val="Nov 22 Costing"/>
    </sheetNames>
    <sheetDataSet>
      <sheetData sheetId="0"/>
      <sheetData sheetId="1"/>
      <sheetData sheetId="2"/>
      <sheetData sheetId="3"/>
      <sheetData sheetId="4">
        <row r="31">
          <cell r="L31">
            <v>1718030.6987312208</v>
          </cell>
        </row>
        <row r="32">
          <cell r="L32">
            <v>1310142.0875361108</v>
          </cell>
        </row>
      </sheetData>
      <sheetData sheetId="5"/>
      <sheetData sheetId="6"/>
      <sheetData sheetId="7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March 22"/>
      <sheetName val="November 2022"/>
      <sheetName val="Costing March"/>
      <sheetName val="Costing"/>
      <sheetName val="Nov 22 Costing"/>
      <sheetName val="April 2023"/>
      <sheetName val="April 23 Co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5">
          <cell r="L35">
            <v>4481824.7167510167</v>
          </cell>
        </row>
        <row r="36">
          <cell r="L36">
            <v>4433598.130629871</v>
          </cell>
        </row>
      </sheetData>
      <sheetData sheetId="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March 22"/>
      <sheetName val="November 2022"/>
      <sheetName val="Costing March"/>
      <sheetName val="Costing"/>
      <sheetName val="Nov 22 Costing"/>
      <sheetName val="April 2023"/>
      <sheetName val="April 23 Costing"/>
      <sheetName val="September 2023"/>
      <sheetName val="September 23 Costing"/>
      <sheetName val="February 2024"/>
      <sheetName val="February 24 Co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5">
          <cell r="C35">
            <v>63</v>
          </cell>
          <cell r="L35">
            <v>2400.2507468139415</v>
          </cell>
        </row>
        <row r="36">
          <cell r="L36">
            <v>167.05821019531521</v>
          </cell>
        </row>
        <row r="44">
          <cell r="C44">
            <v>4</v>
          </cell>
        </row>
      </sheetData>
      <sheetData sheetId="11"/>
      <sheetData sheetId="12">
        <row r="38">
          <cell r="C38">
            <v>71</v>
          </cell>
          <cell r="L38">
            <v>2636.1338769012727</v>
          </cell>
        </row>
        <row r="39">
          <cell r="C39">
            <v>7</v>
          </cell>
          <cell r="L39">
            <v>2640.7277044547914</v>
          </cell>
        </row>
      </sheetData>
      <sheetData sheetId="13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March 22"/>
      <sheetName val="November 2022"/>
      <sheetName val="Costing March"/>
      <sheetName val="Costing"/>
      <sheetName val="Nov 22 Costing"/>
      <sheetName val="April 2023"/>
      <sheetName val="April 23 Costing"/>
      <sheetName val="September 2023"/>
      <sheetName val="September 23 Costing"/>
      <sheetName val="February 2024"/>
      <sheetName val="February 24 Costing"/>
      <sheetName val="May 2024"/>
      <sheetName val="May 2024 260 Pigs Costing"/>
      <sheetName val="June 2024 "/>
      <sheetName val="June 2024 260 Pigs Costing"/>
      <sheetName val="July 2024"/>
      <sheetName val="July 2024 157 Pigs Co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4">
          <cell r="E24">
            <v>52</v>
          </cell>
        </row>
        <row r="38">
          <cell r="L38">
            <v>2712.5979856433833</v>
          </cell>
        </row>
        <row r="39">
          <cell r="L39">
            <v>226.45078034100072</v>
          </cell>
        </row>
        <row r="40">
          <cell r="L40">
            <v>3031.3260040427031</v>
          </cell>
        </row>
      </sheetData>
      <sheetData sheetId="19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SP"/>
      <sheetName val="CCC"/>
      <sheetName val="CCC Extension"/>
      <sheetName val="Learig CCC"/>
      <sheetName val="Villa Franca"/>
      <sheetName val="Villa Franca Extension"/>
      <sheetName val="Learig Villa"/>
      <sheetName val="LionsHead"/>
      <sheetName val="LionsHead Extension"/>
      <sheetName val="Learig L Head"/>
      <sheetName val="Richlands"/>
      <sheetName val="Richlands Extension"/>
      <sheetName val="Learig Richlands"/>
      <sheetName val="Learing Farm"/>
    </sheetNames>
    <sheetDataSet>
      <sheetData sheetId="0">
        <row r="16">
          <cell r="C16">
            <v>174</v>
          </cell>
        </row>
      </sheetData>
      <sheetData sheetId="1"/>
      <sheetData sheetId="2">
        <row r="16">
          <cell r="C16">
            <v>58</v>
          </cell>
          <cell r="G16">
            <v>229.83791290065597</v>
          </cell>
        </row>
      </sheetData>
      <sheetData sheetId="3">
        <row r="19">
          <cell r="C19">
            <v>217</v>
          </cell>
        </row>
      </sheetData>
      <sheetData sheetId="4">
        <row r="20">
          <cell r="C20">
            <v>282</v>
          </cell>
        </row>
      </sheetData>
      <sheetData sheetId="5">
        <row r="15">
          <cell r="C15">
            <v>23</v>
          </cell>
        </row>
      </sheetData>
      <sheetData sheetId="6">
        <row r="15">
          <cell r="C15">
            <v>54</v>
          </cell>
        </row>
      </sheetData>
      <sheetData sheetId="7">
        <row r="20">
          <cell r="C20">
            <v>121</v>
          </cell>
        </row>
      </sheetData>
      <sheetData sheetId="8">
        <row r="16">
          <cell r="C16">
            <v>65</v>
          </cell>
        </row>
      </sheetData>
      <sheetData sheetId="9">
        <row r="17">
          <cell r="C17">
            <v>89</v>
          </cell>
        </row>
      </sheetData>
      <sheetData sheetId="10"/>
      <sheetData sheetId="11">
        <row r="15">
          <cell r="C15">
            <v>28</v>
          </cell>
        </row>
      </sheetData>
      <sheetData sheetId="12">
        <row r="18">
          <cell r="C18">
            <v>86</v>
          </cell>
        </row>
      </sheetData>
      <sheetData sheetId="13"/>
      <sheetData sheetId="14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P"/>
      <sheetName val="Summary"/>
      <sheetName val="Selous Pigery"/>
      <sheetName val="CCC"/>
      <sheetName val="CCC Extension"/>
      <sheetName val="Learig CCC"/>
      <sheetName val="Villa Franca"/>
      <sheetName val="Villa Franca Extension"/>
      <sheetName val="Learig Villa"/>
      <sheetName val="LionsHead"/>
      <sheetName val="LionsHead Extension"/>
      <sheetName val="Learig L Head"/>
      <sheetName val="Richlands"/>
      <sheetName val="Richlands Extension"/>
      <sheetName val="Learig Richlands"/>
      <sheetName val="Learing Farm"/>
    </sheetNames>
    <sheetDataSet>
      <sheetData sheetId="0"/>
      <sheetData sheetId="1">
        <row r="23">
          <cell r="C23">
            <v>12376</v>
          </cell>
        </row>
      </sheetData>
      <sheetData sheetId="2"/>
      <sheetData sheetId="3">
        <row r="21">
          <cell r="C21">
            <v>4408</v>
          </cell>
        </row>
        <row r="23">
          <cell r="G23">
            <v>307.69</v>
          </cell>
        </row>
      </sheetData>
      <sheetData sheetId="4">
        <row r="18">
          <cell r="C18">
            <v>356</v>
          </cell>
        </row>
      </sheetData>
      <sheetData sheetId="5">
        <row r="21">
          <cell r="H21">
            <v>26078382.055999998</v>
          </cell>
        </row>
      </sheetData>
      <sheetData sheetId="6">
        <row r="20">
          <cell r="C20">
            <v>811</v>
          </cell>
        </row>
      </sheetData>
      <sheetData sheetId="7">
        <row r="16">
          <cell r="C16">
            <v>196</v>
          </cell>
        </row>
      </sheetData>
      <sheetData sheetId="8">
        <row r="19">
          <cell r="H19">
            <v>10272978.577000003</v>
          </cell>
        </row>
      </sheetData>
      <sheetData sheetId="9">
        <row r="21">
          <cell r="C21">
            <v>2219</v>
          </cell>
        </row>
      </sheetData>
      <sheetData sheetId="10">
        <row r="18">
          <cell r="C18">
            <v>538</v>
          </cell>
        </row>
      </sheetData>
      <sheetData sheetId="11"/>
      <sheetData sheetId="12">
        <row r="23">
          <cell r="C23">
            <v>2507</v>
          </cell>
        </row>
      </sheetData>
      <sheetData sheetId="13">
        <row r="17">
          <cell r="C17">
            <v>235</v>
          </cell>
        </row>
      </sheetData>
      <sheetData sheetId="14">
        <row r="19">
          <cell r="H19">
            <v>9939037.2940000016</v>
          </cell>
        </row>
      </sheetData>
      <sheetData sheetId="15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P"/>
      <sheetName val="Summary"/>
      <sheetName val="Selous Pigery"/>
      <sheetName val="CCC"/>
      <sheetName val="CCC Extension"/>
      <sheetName val="Learig CCC"/>
      <sheetName val="Villa Franca"/>
      <sheetName val="Villa Franca Extension"/>
      <sheetName val="Learig Villa"/>
      <sheetName val="LionsHead"/>
      <sheetName val="LionsHead Extension"/>
      <sheetName val="Learig L Head"/>
      <sheetName val="Richlands"/>
      <sheetName val="Richlands Extension"/>
      <sheetName val="Learig Richlands"/>
      <sheetName val="Learing Farm"/>
    </sheetNames>
    <sheetDataSet>
      <sheetData sheetId="0"/>
      <sheetData sheetId="1">
        <row r="16">
          <cell r="C16">
            <v>120</v>
          </cell>
          <cell r="G16">
            <v>1306.7267352627152</v>
          </cell>
        </row>
      </sheetData>
      <sheetData sheetId="2"/>
      <sheetData sheetId="3">
        <row r="14">
          <cell r="C14">
            <v>58</v>
          </cell>
        </row>
      </sheetData>
      <sheetData sheetId="4">
        <row r="16">
          <cell r="C16">
            <v>58</v>
          </cell>
        </row>
      </sheetData>
      <sheetData sheetId="5">
        <row r="19">
          <cell r="C19">
            <v>786</v>
          </cell>
        </row>
      </sheetData>
      <sheetData sheetId="6">
        <row r="12">
          <cell r="C12">
            <v>11</v>
          </cell>
        </row>
      </sheetData>
      <sheetData sheetId="7">
        <row r="17">
          <cell r="C17">
            <v>121</v>
          </cell>
        </row>
      </sheetData>
      <sheetData sheetId="8">
        <row r="16">
          <cell r="C16">
            <v>181</v>
          </cell>
        </row>
      </sheetData>
      <sheetData sheetId="9">
        <row r="13">
          <cell r="C13">
            <v>16</v>
          </cell>
        </row>
      </sheetData>
      <sheetData sheetId="10">
        <row r="20">
          <cell r="C20">
            <v>417</v>
          </cell>
        </row>
      </sheetData>
      <sheetData sheetId="11">
        <row r="16">
          <cell r="C16">
            <v>38</v>
          </cell>
        </row>
      </sheetData>
      <sheetData sheetId="12">
        <row r="14">
          <cell r="C14">
            <v>35</v>
          </cell>
        </row>
      </sheetData>
      <sheetData sheetId="13"/>
      <sheetData sheetId="14">
        <row r="19">
          <cell r="C19">
            <v>255</v>
          </cell>
        </row>
      </sheetData>
      <sheetData sheetId="15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P"/>
      <sheetName val="Summary"/>
      <sheetName val="Selous Pigery"/>
      <sheetName val="CCC"/>
      <sheetName val="CCC Extension"/>
      <sheetName val="Learig CCC"/>
      <sheetName val="Villa Franca"/>
      <sheetName val="Villa Franca Extension"/>
      <sheetName val="Learig Villa"/>
      <sheetName val="LionsHead"/>
      <sheetName val="LionsHead Extension"/>
      <sheetName val="Learig L Head"/>
      <sheetName val="Richlands"/>
      <sheetName val="Richlands Extension"/>
      <sheetName val="Learig Richlands"/>
      <sheetName val="Learing Farm"/>
    </sheetNames>
    <sheetDataSet>
      <sheetData sheetId="0"/>
      <sheetData sheetId="1">
        <row r="18">
          <cell r="C18">
            <v>169</v>
          </cell>
          <cell r="G18">
            <v>3020.6555657372742</v>
          </cell>
        </row>
      </sheetData>
      <sheetData sheetId="2"/>
      <sheetData sheetId="3">
        <row r="16">
          <cell r="C16">
            <v>86</v>
          </cell>
        </row>
      </sheetData>
      <sheetData sheetId="4"/>
      <sheetData sheetId="5">
        <row r="21">
          <cell r="C21">
            <v>748</v>
          </cell>
        </row>
      </sheetData>
      <sheetData sheetId="6">
        <row r="14">
          <cell r="C14">
            <v>20</v>
          </cell>
        </row>
      </sheetData>
      <sheetData sheetId="7">
        <row r="17">
          <cell r="C17">
            <v>70</v>
          </cell>
        </row>
      </sheetData>
      <sheetData sheetId="8">
        <row r="18">
          <cell r="C18">
            <v>338</v>
          </cell>
        </row>
      </sheetData>
      <sheetData sheetId="9">
        <row r="16">
          <cell r="C16">
            <v>17</v>
          </cell>
        </row>
      </sheetData>
      <sheetData sheetId="10">
        <row r="20">
          <cell r="C20">
            <v>530</v>
          </cell>
        </row>
      </sheetData>
      <sheetData sheetId="11"/>
      <sheetData sheetId="12">
        <row r="17">
          <cell r="C17">
            <v>46</v>
          </cell>
        </row>
      </sheetData>
      <sheetData sheetId="13">
        <row r="21">
          <cell r="C21">
            <v>430</v>
          </cell>
        </row>
      </sheetData>
      <sheetData sheetId="14"/>
      <sheetData sheetId="15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ptember 22 USD"/>
      <sheetName val="September 22"/>
      <sheetName val="September 22 Costing Boars"/>
    </sheetNames>
    <sheetDataSet>
      <sheetData sheetId="0">
        <row r="13">
          <cell r="L13">
            <v>2500.2881428551873</v>
          </cell>
        </row>
      </sheetData>
      <sheetData sheetId="1">
        <row r="13">
          <cell r="L13">
            <v>1945534.0347603799</v>
          </cell>
        </row>
      </sheetData>
      <sheetData sheetId="2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P"/>
      <sheetName val="Summary"/>
      <sheetName val="Selous Pigery"/>
      <sheetName val="CCC"/>
      <sheetName val="CCC Extension"/>
      <sheetName val="Learig CCC"/>
      <sheetName val="Villa Franca"/>
      <sheetName val="Villa Franca Extension"/>
      <sheetName val="Learig Villa"/>
      <sheetName val="LionsHead"/>
      <sheetName val="LionsHead Extension"/>
      <sheetName val="Learig L Head"/>
      <sheetName val="Richlands"/>
      <sheetName val="Richlands Extension"/>
      <sheetName val="Learig Richlands"/>
      <sheetName val="Learing Farm"/>
    </sheetNames>
    <sheetDataSet>
      <sheetData sheetId="0"/>
      <sheetData sheetId="1">
        <row r="16">
          <cell r="C16">
            <v>96</v>
          </cell>
          <cell r="G16">
            <v>1281.8490695430385</v>
          </cell>
        </row>
      </sheetData>
      <sheetData sheetId="2"/>
      <sheetData sheetId="3">
        <row r="13">
          <cell r="C13">
            <v>55</v>
          </cell>
        </row>
      </sheetData>
      <sheetData sheetId="4"/>
      <sheetData sheetId="5">
        <row r="20">
          <cell r="C20">
            <v>774</v>
          </cell>
        </row>
      </sheetData>
      <sheetData sheetId="6">
        <row r="14">
          <cell r="C14">
            <v>14</v>
          </cell>
        </row>
      </sheetData>
      <sheetData sheetId="7"/>
      <sheetData sheetId="8">
        <row r="20">
          <cell r="C20">
            <v>384</v>
          </cell>
        </row>
      </sheetData>
      <sheetData sheetId="9">
        <row r="15">
          <cell r="C15">
            <v>11</v>
          </cell>
        </row>
      </sheetData>
      <sheetData sheetId="10">
        <row r="20">
          <cell r="C20">
            <v>364</v>
          </cell>
        </row>
      </sheetData>
      <sheetData sheetId="11">
        <row r="18">
          <cell r="C18">
            <v>137</v>
          </cell>
        </row>
      </sheetData>
      <sheetData sheetId="12">
        <row r="15">
          <cell r="C15">
            <v>16</v>
          </cell>
        </row>
      </sheetData>
      <sheetData sheetId="13"/>
      <sheetData sheetId="14">
        <row r="18">
          <cell r="C18">
            <v>302</v>
          </cell>
        </row>
      </sheetData>
      <sheetData sheetId="1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Grasmere valuation "/>
      <sheetName val="Richlands"/>
      <sheetName val="Grasmere journal"/>
      <sheetName val="Richlands Journal"/>
      <sheetName val="Grasmere Imported Sows"/>
      <sheetName val="Grasmere Imported Boars"/>
      <sheetName val="Lionhead Imported Boars"/>
      <sheetName val="Richlands Imported Boars"/>
      <sheetName val="Villa Imported Boars"/>
      <sheetName val="Richlands A Line"/>
      <sheetName val="Sheet3"/>
      <sheetName val="sows"/>
      <sheetName val="boars"/>
    </sheetNames>
    <sheetDataSet>
      <sheetData sheetId="0"/>
      <sheetData sheetId="1">
        <row r="1">
          <cell r="A1">
            <v>44136</v>
          </cell>
        </row>
        <row r="2">
          <cell r="A2" t="str">
            <v>IMPORTED PIGS MOVEMENT</v>
          </cell>
        </row>
        <row r="7">
          <cell r="A7" t="str">
            <v>Purchases</v>
          </cell>
        </row>
        <row r="8">
          <cell r="A8" t="str">
            <v>Mortality</v>
          </cell>
        </row>
        <row r="9">
          <cell r="A9" t="str">
            <v>Sows Available for Amortisation</v>
          </cell>
        </row>
        <row r="10">
          <cell r="A10" t="str">
            <v>Residual Value KGs</v>
          </cell>
        </row>
        <row r="11">
          <cell r="A11" t="str">
            <v>Depreciable Amount</v>
          </cell>
        </row>
        <row r="13">
          <cell r="A13" t="str">
            <v>Monthly Amortisation</v>
          </cell>
        </row>
        <row r="15">
          <cell r="A15" t="str">
            <v xml:space="preserve">Cummulative Amortisation </v>
          </cell>
        </row>
        <row r="19">
          <cell r="A19" t="str">
            <v>Purchases</v>
          </cell>
        </row>
        <row r="20">
          <cell r="A20" t="str">
            <v>Mortality</v>
          </cell>
        </row>
        <row r="21">
          <cell r="A21" t="str">
            <v>Boars Available for Amortisation</v>
          </cell>
        </row>
        <row r="22">
          <cell r="A22" t="str">
            <v>Residual Value KGs</v>
          </cell>
        </row>
        <row r="23">
          <cell r="A23" t="str">
            <v>Depreciable Amount</v>
          </cell>
        </row>
        <row r="25">
          <cell r="A25" t="str">
            <v>Monthly Amortisation</v>
          </cell>
        </row>
        <row r="27">
          <cell r="A27" t="str">
            <v xml:space="preserve">Cummulative Amortisation </v>
          </cell>
        </row>
        <row r="31">
          <cell r="A31" t="str">
            <v>Cummulative Amortisation</v>
          </cell>
        </row>
        <row r="32">
          <cell r="A32" t="str">
            <v>Death Cost</v>
          </cell>
        </row>
        <row r="33">
          <cell r="A33" t="str">
            <v>NBV</v>
          </cell>
        </row>
      </sheetData>
      <sheetData sheetId="2">
        <row r="6">
          <cell r="AN6">
            <v>10436236.653183388</v>
          </cell>
        </row>
      </sheetData>
      <sheetData sheetId="3">
        <row r="6">
          <cell r="B6">
            <v>27393670.827571511</v>
          </cell>
        </row>
      </sheetData>
      <sheetData sheetId="4"/>
      <sheetData sheetId="5"/>
      <sheetData sheetId="6">
        <row r="41">
          <cell r="D41">
            <v>42</v>
          </cell>
        </row>
      </sheetData>
      <sheetData sheetId="7"/>
      <sheetData sheetId="8"/>
      <sheetData sheetId="9">
        <row r="13">
          <cell r="F13">
            <v>2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ies split"/>
      <sheetName val="Summary"/>
      <sheetName val="Reclassificatio"/>
      <sheetName val="Pre Farrowing Feed"/>
      <sheetName val="Grasmere"/>
      <sheetName val="Villa Franca"/>
      <sheetName val=" Lion Head"/>
      <sheetName val="Oswa"/>
      <sheetName val="Moonfarm"/>
      <sheetName val="Clifton"/>
      <sheetName val="Coldstream"/>
      <sheetName val="Richlands"/>
      <sheetName val="Lionshead Extension"/>
      <sheetName val="Cattle"/>
      <sheetName val="Sheet3"/>
      <sheetName val="Sheet5"/>
      <sheetName val="Sheet6"/>
      <sheetName val="Reclassification"/>
      <sheetName val="Sheet1"/>
      <sheetName val="Comparison"/>
      <sheetName val="Zimbo"/>
      <sheetName val="Sheet2"/>
      <sheetName val="gains losses"/>
      <sheetName val="Working price per CDM"/>
      <sheetName val="cattle valuation"/>
      <sheetName val="Sheet4"/>
    </sheetNames>
    <sheetDataSet>
      <sheetData sheetId="0" refreshError="1"/>
      <sheetData sheetId="1">
        <row r="3">
          <cell r="A3">
            <v>44136</v>
          </cell>
        </row>
        <row r="5">
          <cell r="C5">
            <v>44136</v>
          </cell>
        </row>
        <row r="15">
          <cell r="B15">
            <v>6227945.0500000007</v>
          </cell>
        </row>
        <row r="28">
          <cell r="C28">
            <v>0</v>
          </cell>
        </row>
        <row r="29">
          <cell r="B29">
            <v>0</v>
          </cell>
          <cell r="C29">
            <v>0</v>
          </cell>
        </row>
        <row r="30">
          <cell r="B30">
            <v>0</v>
          </cell>
          <cell r="C30">
            <v>0</v>
          </cell>
        </row>
        <row r="31">
          <cell r="B31">
            <v>0</v>
          </cell>
          <cell r="C31">
            <v>0</v>
          </cell>
        </row>
        <row r="32">
          <cell r="B32">
            <v>0</v>
          </cell>
          <cell r="C32">
            <v>0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0</v>
          </cell>
          <cell r="C35">
            <v>0</v>
          </cell>
        </row>
        <row r="36">
          <cell r="B36">
            <v>0</v>
          </cell>
          <cell r="C36">
            <v>0</v>
          </cell>
        </row>
        <row r="37">
          <cell r="B37">
            <v>0</v>
          </cell>
          <cell r="C37">
            <v>0</v>
          </cell>
        </row>
        <row r="38">
          <cell r="B38">
            <v>0</v>
          </cell>
          <cell r="C38">
            <v>0</v>
          </cell>
        </row>
        <row r="39">
          <cell r="B39">
            <v>0</v>
          </cell>
          <cell r="C39">
            <v>0</v>
          </cell>
        </row>
        <row r="40">
          <cell r="B40">
            <v>0</v>
          </cell>
          <cell r="C40">
            <v>0</v>
          </cell>
        </row>
        <row r="41">
          <cell r="B41">
            <v>0</v>
          </cell>
          <cell r="C41">
            <v>0</v>
          </cell>
        </row>
        <row r="42">
          <cell r="B42" t="str">
            <v xml:space="preserve"> </v>
          </cell>
          <cell r="C42" t="str">
            <v xml:space="preserve"> </v>
          </cell>
        </row>
        <row r="43">
          <cell r="B43">
            <v>-28431.458181818183</v>
          </cell>
          <cell r="C43">
            <v>-28431.458181818183</v>
          </cell>
        </row>
        <row r="44">
          <cell r="B44">
            <v>0</v>
          </cell>
          <cell r="C44">
            <v>0</v>
          </cell>
        </row>
        <row r="45">
          <cell r="B45">
            <v>0</v>
          </cell>
          <cell r="C45">
            <v>0</v>
          </cell>
        </row>
        <row r="46">
          <cell r="B46">
            <v>0</v>
          </cell>
          <cell r="C46">
            <v>0</v>
          </cell>
        </row>
        <row r="47">
          <cell r="B47">
            <v>-82235.322272727266</v>
          </cell>
          <cell r="C47">
            <v>-63004.512727272697</v>
          </cell>
        </row>
        <row r="48">
          <cell r="B48">
            <v>0</v>
          </cell>
          <cell r="C48">
            <v>0</v>
          </cell>
        </row>
        <row r="49">
          <cell r="B49">
            <v>-67331.493000000002</v>
          </cell>
          <cell r="C49">
            <v>-53261.080999999976</v>
          </cell>
        </row>
        <row r="50">
          <cell r="B50">
            <v>0</v>
          </cell>
          <cell r="C50">
            <v>0</v>
          </cell>
        </row>
        <row r="51">
          <cell r="B51">
            <v>-33149.535000000003</v>
          </cell>
          <cell r="C51">
            <v>-22099.690000000002</v>
          </cell>
        </row>
        <row r="52">
          <cell r="B52">
            <v>0</v>
          </cell>
          <cell r="C52">
            <v>0</v>
          </cell>
        </row>
        <row r="53">
          <cell r="B53">
            <v>-54864.203636363643</v>
          </cell>
          <cell r="C53">
            <v>-54864.203636363643</v>
          </cell>
        </row>
        <row r="54">
          <cell r="B54">
            <v>0</v>
          </cell>
          <cell r="C54">
            <v>0</v>
          </cell>
        </row>
        <row r="55">
          <cell r="B55">
            <v>-169877.46724571969</v>
          </cell>
          <cell r="C55">
            <v>-169877.46724571969</v>
          </cell>
        </row>
        <row r="56">
          <cell r="B56">
            <v>0</v>
          </cell>
          <cell r="C56">
            <v>0</v>
          </cell>
        </row>
        <row r="57">
          <cell r="B57">
            <v>-146810.20307070707</v>
          </cell>
          <cell r="C57">
            <v>-146810.20307070707</v>
          </cell>
        </row>
        <row r="58">
          <cell r="C58">
            <v>0</v>
          </cell>
        </row>
        <row r="59">
          <cell r="B59">
            <v>-13280.418919111755</v>
          </cell>
          <cell r="C59">
            <v>-13682.855856054535</v>
          </cell>
        </row>
        <row r="60">
          <cell r="B60">
            <v>0</v>
          </cell>
          <cell r="C60">
            <v>0</v>
          </cell>
        </row>
        <row r="61">
          <cell r="B61">
            <v>-102247.26261413872</v>
          </cell>
          <cell r="C61">
            <v>-92262.17837447676</v>
          </cell>
        </row>
        <row r="62">
          <cell r="B62">
            <v>0</v>
          </cell>
          <cell r="C62">
            <v>0</v>
          </cell>
        </row>
        <row r="63">
          <cell r="B63">
            <v>-176918.04984133961</v>
          </cell>
          <cell r="C63">
            <v>-162773.14811226595</v>
          </cell>
        </row>
        <row r="64">
          <cell r="B64">
            <v>0</v>
          </cell>
          <cell r="C64">
            <v>0</v>
          </cell>
        </row>
        <row r="65">
          <cell r="B65">
            <v>-356911.36860027409</v>
          </cell>
          <cell r="C65">
            <v>-368424.63855512167</v>
          </cell>
        </row>
        <row r="66">
          <cell r="B66">
            <v>0</v>
          </cell>
          <cell r="C66">
            <v>0</v>
          </cell>
        </row>
        <row r="67">
          <cell r="B67">
            <v>-223009.03844956745</v>
          </cell>
          <cell r="C67">
            <v>-230442.673064553</v>
          </cell>
        </row>
        <row r="68">
          <cell r="B68">
            <v>0</v>
          </cell>
          <cell r="C68">
            <v>0</v>
          </cell>
        </row>
        <row r="69">
          <cell r="B69">
            <v>-116863.0105250192</v>
          </cell>
          <cell r="C69">
            <v>-120892.76950864054</v>
          </cell>
        </row>
        <row r="70">
          <cell r="B70">
            <v>0</v>
          </cell>
          <cell r="C70">
            <v>0</v>
          </cell>
        </row>
        <row r="71">
          <cell r="B71">
            <v>-203808.10839272666</v>
          </cell>
          <cell r="C71">
            <v>-211912.14826271974</v>
          </cell>
        </row>
        <row r="72">
          <cell r="B72">
            <v>0</v>
          </cell>
          <cell r="C72">
            <v>0</v>
          </cell>
        </row>
        <row r="73">
          <cell r="B73">
            <v>-159171.1701368569</v>
          </cell>
          <cell r="C73">
            <v>-165197.54777621184</v>
          </cell>
        </row>
        <row r="74">
          <cell r="B74">
            <v>0</v>
          </cell>
          <cell r="C74">
            <v>0</v>
          </cell>
        </row>
        <row r="75">
          <cell r="B75">
            <v>-838583.15632692853</v>
          </cell>
          <cell r="C75">
            <v>-1048228.9454086607</v>
          </cell>
        </row>
        <row r="77">
          <cell r="B77">
            <v>-139457.01888888888</v>
          </cell>
          <cell r="C77">
            <v>-143276.69527777776</v>
          </cell>
        </row>
        <row r="79">
          <cell r="B79">
            <v>-14711.008573253488</v>
          </cell>
          <cell r="C79">
            <v>-14711.008573253488</v>
          </cell>
        </row>
        <row r="80">
          <cell r="B80">
            <v>0</v>
          </cell>
          <cell r="C80">
            <v>0</v>
          </cell>
        </row>
        <row r="81">
          <cell r="B81">
            <v>-108420.7111111111</v>
          </cell>
          <cell r="C81">
            <v>-106294.8148148148</v>
          </cell>
        </row>
        <row r="82">
          <cell r="B82">
            <v>0</v>
          </cell>
          <cell r="C82">
            <v>0</v>
          </cell>
        </row>
        <row r="83">
          <cell r="B83">
            <v>-187365.14873245117</v>
          </cell>
          <cell r="C83">
            <v>-189871.96426420112</v>
          </cell>
        </row>
        <row r="84">
          <cell r="B84">
            <v>0</v>
          </cell>
          <cell r="C84">
            <v>0</v>
          </cell>
        </row>
        <row r="85">
          <cell r="B85">
            <v>-1000364.5398419484</v>
          </cell>
          <cell r="C85">
            <v>-1047751.5336351112</v>
          </cell>
        </row>
        <row r="86">
          <cell r="B86">
            <v>0</v>
          </cell>
          <cell r="C86">
            <v>0</v>
          </cell>
        </row>
        <row r="87">
          <cell r="B87">
            <v>-277592.12962962966</v>
          </cell>
          <cell r="C87">
            <v>-298945.37037037045</v>
          </cell>
        </row>
        <row r="88">
          <cell r="B88">
            <v>0</v>
          </cell>
          <cell r="C88">
            <v>0</v>
          </cell>
        </row>
        <row r="89">
          <cell r="B89">
            <v>-1939563.414196698</v>
          </cell>
          <cell r="C89">
            <v>-2398887.7081017587</v>
          </cell>
        </row>
        <row r="90">
          <cell r="B90">
            <v>0</v>
          </cell>
          <cell r="C90">
            <v>0</v>
          </cell>
        </row>
        <row r="91">
          <cell r="B91">
            <v>437158822.30615896</v>
          </cell>
        </row>
      </sheetData>
      <sheetData sheetId="2" refreshError="1"/>
      <sheetData sheetId="3" refreshError="1"/>
      <sheetData sheetId="4">
        <row r="5">
          <cell r="F5">
            <v>44136</v>
          </cell>
        </row>
        <row r="42">
          <cell r="E42">
            <v>22355</v>
          </cell>
          <cell r="H42">
            <v>129290242.56473188</v>
          </cell>
          <cell r="I42">
            <v>22264</v>
          </cell>
          <cell r="L42">
            <v>125269707.66031386</v>
          </cell>
        </row>
        <row r="48">
          <cell r="L48">
            <v>0</v>
          </cell>
        </row>
        <row r="49">
          <cell r="L49">
            <v>0</v>
          </cell>
        </row>
        <row r="50">
          <cell r="L50">
            <v>29063.258181818182</v>
          </cell>
        </row>
        <row r="51">
          <cell r="L51">
            <v>0</v>
          </cell>
        </row>
        <row r="52">
          <cell r="L52">
            <v>165946.06666666665</v>
          </cell>
        </row>
        <row r="53">
          <cell r="L53">
            <v>0</v>
          </cell>
        </row>
        <row r="54">
          <cell r="L54">
            <v>0</v>
          </cell>
        </row>
        <row r="55">
          <cell r="L55">
            <v>0</v>
          </cell>
        </row>
        <row r="56">
          <cell r="L56">
            <v>0</v>
          </cell>
        </row>
        <row r="57">
          <cell r="L57">
            <v>0</v>
          </cell>
        </row>
        <row r="58">
          <cell r="L58">
            <v>0</v>
          </cell>
        </row>
        <row r="59">
          <cell r="L59" t="str">
            <v xml:space="preserve"> </v>
          </cell>
        </row>
        <row r="60">
          <cell r="L60">
            <v>50349.387272727283</v>
          </cell>
        </row>
        <row r="61">
          <cell r="L61">
            <v>0</v>
          </cell>
        </row>
        <row r="62">
          <cell r="L62">
            <v>103008.228</v>
          </cell>
        </row>
        <row r="63">
          <cell r="L63">
            <v>0</v>
          </cell>
        </row>
        <row r="64">
          <cell r="L64">
            <v>56424.203636363636</v>
          </cell>
        </row>
        <row r="65">
          <cell r="L65">
            <v>0</v>
          </cell>
        </row>
        <row r="66">
          <cell r="L66">
            <v>125894.93154928202</v>
          </cell>
        </row>
        <row r="67">
          <cell r="L67">
            <v>0</v>
          </cell>
        </row>
        <row r="68">
          <cell r="L68">
            <v>119897.58707070707</v>
          </cell>
        </row>
        <row r="69">
          <cell r="L69">
            <v>0</v>
          </cell>
        </row>
        <row r="70">
          <cell r="L70">
            <v>140238.35</v>
          </cell>
        </row>
        <row r="71">
          <cell r="L71">
            <v>0</v>
          </cell>
        </row>
        <row r="72">
          <cell r="L72">
            <v>277171.07742899511</v>
          </cell>
        </row>
        <row r="73">
          <cell r="L73">
            <v>0</v>
          </cell>
        </row>
        <row r="74">
          <cell r="L74">
            <v>1733036.776553862</v>
          </cell>
        </row>
        <row r="75">
          <cell r="L75">
            <v>0</v>
          </cell>
        </row>
        <row r="76">
          <cell r="L76">
            <v>15196073.037259003</v>
          </cell>
        </row>
        <row r="80">
          <cell r="D80">
            <v>150</v>
          </cell>
        </row>
        <row r="94">
          <cell r="L94">
            <v>0</v>
          </cell>
        </row>
        <row r="95">
          <cell r="L95">
            <v>0</v>
          </cell>
        </row>
        <row r="96">
          <cell r="L96">
            <v>0</v>
          </cell>
        </row>
        <row r="97">
          <cell r="L97" t="str">
            <v xml:space="preserve"> </v>
          </cell>
        </row>
        <row r="98">
          <cell r="L98">
            <v>0</v>
          </cell>
        </row>
        <row r="99">
          <cell r="L99" t="str">
            <v xml:space="preserve"> </v>
          </cell>
        </row>
        <row r="100">
          <cell r="L100">
            <v>33149.535000000003</v>
          </cell>
        </row>
        <row r="101">
          <cell r="L101" t="str">
            <v xml:space="preserve"> </v>
          </cell>
        </row>
        <row r="102">
          <cell r="L102">
            <v>46907.535696437706</v>
          </cell>
        </row>
        <row r="103">
          <cell r="L103" t="str">
            <v xml:space="preserve"> </v>
          </cell>
        </row>
        <row r="104">
          <cell r="L104">
            <v>29447.615999999998</v>
          </cell>
        </row>
        <row r="105">
          <cell r="L105" t="str">
            <v xml:space="preserve"> </v>
          </cell>
        </row>
        <row r="106">
          <cell r="L106">
            <v>14987.008573253488</v>
          </cell>
        </row>
        <row r="107">
          <cell r="L107" t="str">
            <v xml:space="preserve"> </v>
          </cell>
        </row>
        <row r="108">
          <cell r="L108">
            <v>32506.080000000002</v>
          </cell>
        </row>
        <row r="109">
          <cell r="L109">
            <v>0</v>
          </cell>
        </row>
        <row r="110">
          <cell r="L110">
            <v>29435.770232204035</v>
          </cell>
        </row>
        <row r="111">
          <cell r="L111">
            <v>0</v>
          </cell>
        </row>
        <row r="112">
          <cell r="L112">
            <v>147398.65156501727</v>
          </cell>
        </row>
        <row r="113">
          <cell r="L113">
            <v>0</v>
          </cell>
        </row>
        <row r="114">
          <cell r="L114">
            <v>384358.33333333337</v>
          </cell>
        </row>
        <row r="115">
          <cell r="L115">
            <v>0</v>
          </cell>
        </row>
        <row r="116">
          <cell r="L116">
            <v>1733024.6452556392</v>
          </cell>
        </row>
        <row r="117">
          <cell r="L117">
            <v>0</v>
          </cell>
        </row>
        <row r="118">
          <cell r="E118">
            <v>25269</v>
          </cell>
          <cell r="H118">
            <v>208212184.21886355</v>
          </cell>
          <cell r="I118">
            <v>25266</v>
          </cell>
          <cell r="L118">
            <v>205466264.63958916</v>
          </cell>
        </row>
      </sheetData>
      <sheetData sheetId="5">
        <row r="9">
          <cell r="H9">
            <v>2584950.955133874</v>
          </cell>
        </row>
        <row r="42">
          <cell r="E42">
            <v>4427</v>
          </cell>
          <cell r="H42">
            <v>23827501.509311967</v>
          </cell>
          <cell r="I42">
            <v>4139</v>
          </cell>
          <cell r="L42">
            <v>18918674.618813597</v>
          </cell>
        </row>
        <row r="50">
          <cell r="E50">
            <v>5076</v>
          </cell>
          <cell r="H50">
            <v>38231701.380118847</v>
          </cell>
          <cell r="I50">
            <v>4790</v>
          </cell>
          <cell r="L50">
            <v>31717027.9438136</v>
          </cell>
        </row>
      </sheetData>
      <sheetData sheetId="6">
        <row r="9">
          <cell r="H9">
            <v>5856268.2315819543</v>
          </cell>
        </row>
        <row r="42">
          <cell r="E42">
            <v>11287</v>
          </cell>
          <cell r="H42">
            <v>65360412.791398935</v>
          </cell>
          <cell r="I42">
            <v>10660</v>
          </cell>
          <cell r="L42">
            <v>55648394.807419531</v>
          </cell>
        </row>
        <row r="50">
          <cell r="E50">
            <v>12610</v>
          </cell>
          <cell r="H50">
            <v>96228372.699544355</v>
          </cell>
          <cell r="I50">
            <v>12032</v>
          </cell>
          <cell r="L50">
            <v>87166151.84741953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9">
          <cell r="H9">
            <v>6998924.989599946</v>
          </cell>
        </row>
        <row r="42">
          <cell r="E42">
            <v>11555</v>
          </cell>
          <cell r="H42">
            <v>65686849.735772073</v>
          </cell>
          <cell r="I42">
            <v>11580</v>
          </cell>
          <cell r="L42">
            <v>67131318.891198337</v>
          </cell>
        </row>
        <row r="86">
          <cell r="E86">
            <v>12937</v>
          </cell>
          <cell r="H86">
            <v>90245867.956214637</v>
          </cell>
          <cell r="I86">
            <v>12972</v>
          </cell>
          <cell r="L86">
            <v>91916414.735743001</v>
          </cell>
        </row>
      </sheetData>
      <sheetData sheetId="12">
        <row r="42">
          <cell r="E42">
            <v>3811</v>
          </cell>
          <cell r="H42">
            <v>25721578.982938007</v>
          </cell>
          <cell r="I42">
            <v>3509</v>
          </cell>
          <cell r="L42">
            <v>21550519.063920002</v>
          </cell>
        </row>
      </sheetData>
      <sheetData sheetId="13">
        <row r="18">
          <cell r="M18">
            <v>0</v>
          </cell>
        </row>
        <row r="20">
          <cell r="D20">
            <v>204</v>
          </cell>
          <cell r="G20">
            <v>6788256.4200000009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ies split"/>
      <sheetName val="Summary"/>
      <sheetName val="Reclassificatio"/>
      <sheetName val="Pre Farrowing Feed"/>
      <sheetName val="Grasmere"/>
      <sheetName val="Villa Franca"/>
      <sheetName val=" Lion Head"/>
      <sheetName val="Oswa"/>
      <sheetName val="Moonfarm"/>
      <sheetName val="Clifton"/>
      <sheetName val="Coldstream"/>
      <sheetName val="Richlands"/>
      <sheetName val="Lionshead Extension"/>
      <sheetName val="Cattle"/>
      <sheetName val="Sheet3"/>
      <sheetName val="Sheet5"/>
      <sheetName val="Reclassification"/>
      <sheetName val="Sheet1"/>
      <sheetName val="Comparison"/>
      <sheetName val="Zimbo"/>
      <sheetName val="Sheet2"/>
      <sheetName val="gains losses"/>
      <sheetName val="Working price per CDM"/>
      <sheetName val="cattle valuation"/>
      <sheetName val="Sheet4"/>
    </sheetNames>
    <sheetDataSet>
      <sheetData sheetId="0">
        <row r="7">
          <cell r="F7">
            <v>84886146.456498772</v>
          </cell>
        </row>
        <row r="9">
          <cell r="F9">
            <v>13708913.269454703</v>
          </cell>
        </row>
        <row r="11">
          <cell r="F11">
            <v>29838488.9156828</v>
          </cell>
        </row>
        <row r="13">
          <cell r="F13">
            <v>0</v>
          </cell>
        </row>
        <row r="15">
          <cell r="F15">
            <v>13987510.529816533</v>
          </cell>
        </row>
        <row r="17">
          <cell r="F17">
            <v>142421059.17145282</v>
          </cell>
        </row>
        <row r="28">
          <cell r="F28">
            <v>145888487.7846269</v>
          </cell>
        </row>
        <row r="30">
          <cell r="F30">
            <v>29351432.507621162</v>
          </cell>
        </row>
        <row r="32">
          <cell r="F32">
            <v>65591127.927433185</v>
          </cell>
        </row>
        <row r="34">
          <cell r="F34">
            <v>29051083.682123587</v>
          </cell>
        </row>
        <row r="36">
          <cell r="F36">
            <v>84292912.464359283</v>
          </cell>
        </row>
        <row r="38">
          <cell r="F38">
            <v>354175044.36616415</v>
          </cell>
        </row>
        <row r="41">
          <cell r="F41">
            <v>4633224.68</v>
          </cell>
        </row>
      </sheetData>
      <sheetData sheetId="1">
        <row r="6">
          <cell r="C6">
            <v>233586251.0980418</v>
          </cell>
        </row>
      </sheetData>
      <sheetData sheetId="2"/>
      <sheetData sheetId="3"/>
      <sheetData sheetId="4">
        <row r="3">
          <cell r="H3">
            <v>1042735.0636</v>
          </cell>
        </row>
      </sheetData>
      <sheetData sheetId="5">
        <row r="9">
          <cell r="H9">
            <v>1366204.2118347406</v>
          </cell>
        </row>
      </sheetData>
      <sheetData sheetId="6">
        <row r="9">
          <cell r="H9">
            <v>3822005.0807020869</v>
          </cell>
        </row>
      </sheetData>
      <sheetData sheetId="7"/>
      <sheetData sheetId="8"/>
      <sheetData sheetId="9"/>
      <sheetData sheetId="10"/>
      <sheetData sheetId="11">
        <row r="9">
          <cell r="H9">
            <v>4153016.414629098</v>
          </cell>
        </row>
        <row r="37">
          <cell r="H37">
            <v>84292912.464359283</v>
          </cell>
        </row>
        <row r="39">
          <cell r="H39">
            <v>44180.789189820294</v>
          </cell>
        </row>
        <row r="41">
          <cell r="H41">
            <v>0</v>
          </cell>
        </row>
        <row r="43">
          <cell r="H43">
            <v>116941.77044090607</v>
          </cell>
        </row>
        <row r="45">
          <cell r="H45">
            <v>0</v>
          </cell>
        </row>
        <row r="47">
          <cell r="H47">
            <v>65970.09699687174</v>
          </cell>
        </row>
        <row r="49">
          <cell r="H49">
            <v>186322.1372999858</v>
          </cell>
        </row>
        <row r="51">
          <cell r="H51">
            <v>148605.06966347649</v>
          </cell>
        </row>
        <row r="53">
          <cell r="H53">
            <v>310363.84871103539</v>
          </cell>
        </row>
        <row r="55">
          <cell r="H55">
            <v>88044.104124356309</v>
          </cell>
        </row>
        <row r="57">
          <cell r="H57">
            <v>221187.54201512461</v>
          </cell>
        </row>
        <row r="59">
          <cell r="H59">
            <v>109464.10640986217</v>
          </cell>
        </row>
        <row r="61">
          <cell r="H61">
            <v>44696.817000506489</v>
          </cell>
        </row>
        <row r="63">
          <cell r="H63">
            <v>98869.963616033696</v>
          </cell>
        </row>
        <row r="65">
          <cell r="H65">
            <v>130108.14052617335</v>
          </cell>
        </row>
        <row r="67">
          <cell r="H67">
            <v>105259.85449060521</v>
          </cell>
        </row>
        <row r="69">
          <cell r="H69">
            <v>235834.07967079704</v>
          </cell>
        </row>
        <row r="70">
          <cell r="H70">
            <v>0</v>
          </cell>
        </row>
        <row r="71">
          <cell r="H71">
            <v>4909383.3179176468</v>
          </cell>
        </row>
        <row r="73">
          <cell r="H73">
            <v>8353332.8181657055</v>
          </cell>
        </row>
        <row r="75">
          <cell r="H75">
            <v>83090.180552046149</v>
          </cell>
        </row>
      </sheetData>
      <sheetData sheetId="12">
        <row r="14">
          <cell r="E14">
            <v>132</v>
          </cell>
        </row>
      </sheetData>
      <sheetData sheetId="13">
        <row r="16">
          <cell r="G16">
            <v>4633224.68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INDEX"/>
      <sheetName val="Pack Completion Checklist"/>
      <sheetName val="Pack Details"/>
      <sheetName val="Accounting Policies "/>
      <sheetName val="CEO report"/>
      <sheetName val="Letter of Rep for EY "/>
      <sheetName val="TB"/>
      <sheetName val="Current month TB"/>
      <sheetName val="Sheet4"/>
      <sheetName val="Income Statement1"/>
      <sheetName val="Balance Sheet2"/>
      <sheetName val="Cash Flow3"/>
      <sheetName val="Revenue4"/>
      <sheetName val="COS4A"/>
      <sheetName val="Var costs6"/>
      <sheetName val="Other Inc5"/>
      <sheetName val="Royalty return4B"/>
      <sheetName val="HO recov7"/>
      <sheetName val="Sheet3"/>
      <sheetName val="Staff ovhds8"/>
      <sheetName val="Pens &amp; ret8A"/>
      <sheetName val="Auditors' rem9A"/>
      <sheetName val="Other ovhds9"/>
      <sheetName val="Directrs emol9B"/>
      <sheetName val="Operating lease9D"/>
      <sheetName val="Donations &amp; Spons9C"/>
      <sheetName val="Fin inc, Depn &amp; amort10"/>
      <sheetName val="Profit on listed equities10A"/>
      <sheetName val="Int Rec intercoy11"/>
      <sheetName val="Int rec 3rd pty11A"/>
      <sheetName val="Int Pay intercoy12"/>
      <sheetName val="Int pay 3rd pty13"/>
      <sheetName val="Assocs coys profits14"/>
      <sheetName val="Min int15"/>
      <sheetName val="Dividends16"/>
      <sheetName val="Share cap17"/>
      <sheetName val="NDR18"/>
      <sheetName val="DR19"/>
      <sheetName val="Min int20"/>
      <sheetName val="Loans pay intercoy21"/>
      <sheetName val="Loans rec intercoy22"/>
      <sheetName val="Local loans 3rd pty23"/>
      <sheetName val="Local loans 3rd pty23A"/>
      <sheetName val="Foreign loans 3rd pty24"/>
      <sheetName val="Foreign loans 3rd pty24A"/>
      <sheetName val="Fix ass25"/>
      <sheetName val="Fix ass recon25A"/>
      <sheetName val="Fix ass notes25B"/>
      <sheetName val="Int assets26"/>
      <sheetName val="RUA 25.1"/>
      <sheetName val="RUA Recon 25.1A"/>
      <sheetName val="Int assets recon26A"/>
      <sheetName val="Inv subs &amp; assocs27"/>
      <sheetName val="Finstats of assocs27B"/>
      <sheetName val="Inv other28"/>
      <sheetName val="Finstats of JV28B"/>
      <sheetName val="Stocks29"/>
      <sheetName val="Stocks ageing29A"/>
      <sheetName val="Bio Assets non-current29B "/>
      <sheetName val="Bio Assets - current29D"/>
      <sheetName val="3rd pty drs30"/>
      <sheetName val="3rd pty drs foreign 30-1"/>
      <sheetName val="Other drs30A"/>
      <sheetName val="3rd pty drs ageing 30-2"/>
      <sheetName val="Prepayments30B"/>
      <sheetName val="Intercoy drs30D"/>
      <sheetName val="Prov for doubtful debts 30E"/>
      <sheetName val="Drs-provisions30C"/>
      <sheetName val="Liquidity risk"/>
      <sheetName val="Bank &amp; cash31"/>
      <sheetName val="Overdrafts31A"/>
      <sheetName val="Call accs with IAL 31B"/>
      <sheetName val="Call accs with divs31C"/>
      <sheetName val="3rd pty crs32"/>
      <sheetName val="3rd pty crs ageing 32A"/>
      <sheetName val="Intercoy crs32B"/>
      <sheetName val="3rd pty crs 32-1"/>
      <sheetName val="Provisions32C"/>
      <sheetName val="Other crs32-2"/>
      <sheetName val="Warrany prov32D"/>
      <sheetName val="Leave pay prov32E"/>
      <sheetName val="Inc tax prov33"/>
      <sheetName val="Tax charge33A"/>
      <sheetName val="Tax comp Divs33B"/>
      <sheetName val="Tax comp Subs33C"/>
      <sheetName val="Tax comp assocs33D"/>
      <sheetName val="Assessed losses33E"/>
      <sheetName val="Tax recon33F"/>
      <sheetName val="Def tax prov34"/>
      <sheetName val="Def tax comp Divs34A"/>
      <sheetName val="Def tax Subs34B"/>
      <sheetName val="Shareholders for div35"/>
      <sheetName val="Contingent liabs36"/>
      <sheetName val="Fut Cap Exp-fixed assets37A"/>
      <sheetName val="Fut Cap Exp-biological asset37B"/>
      <sheetName val="3rd pty fut lease comm38"/>
      <sheetName val="detailed_lease comm38A"/>
      <sheetName val="Director loans39"/>
      <sheetName val="Directors loans39A"/>
      <sheetName val="Trading outlets40"/>
      <sheetName val="Intercoy confirms41"/>
      <sheetName val="Fix ass transfers42"/>
      <sheetName val="Intercoy tranx Grp-3rd pty43"/>
      <sheetName val="Intercoy tranx Assoc-3rd pty44"/>
      <sheetName val="Sheet1"/>
      <sheetName val="Sheet2"/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Total Pigs"/>
      <sheetName val="Grasmere Mvnt"/>
      <sheetName val="Lionheads Mvnt"/>
      <sheetName val="Lionheads Ext. Mvnt"/>
      <sheetName val="Villa Mvnt"/>
      <sheetName val="Richlands Mvnt"/>
      <sheetName val="Cattle Mvnt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IAS 41 Mvmnt Cattle"/>
      <sheetName val="Journal"/>
      <sheetName val="G Analysis"/>
      <sheetName val="Lynian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O26">
            <v>-115314.12</v>
          </cell>
        </row>
      </sheetData>
      <sheetData sheetId="8">
        <row r="113">
          <cell r="D113">
            <v>133274</v>
          </cell>
        </row>
      </sheetData>
      <sheetData sheetId="9"/>
      <sheetData sheetId="10">
        <row r="8">
          <cell r="I8">
            <v>-454949464.61999995</v>
          </cell>
        </row>
      </sheetData>
      <sheetData sheetId="11">
        <row r="26">
          <cell r="D26">
            <v>145290398.21983874</v>
          </cell>
        </row>
      </sheetData>
      <sheetData sheetId="12">
        <row r="8">
          <cell r="F8">
            <v>29822006.86999999</v>
          </cell>
        </row>
      </sheetData>
      <sheetData sheetId="13">
        <row r="9">
          <cell r="B9" t="str">
            <v>Colcom Manufacturing</v>
          </cell>
        </row>
      </sheetData>
      <sheetData sheetId="14">
        <row r="45">
          <cell r="B45" t="str">
            <v>Cost of sales slaughter fees</v>
          </cell>
        </row>
      </sheetData>
      <sheetData sheetId="15"/>
      <sheetData sheetId="16">
        <row r="55">
          <cell r="B55" t="str">
            <v>Gain or Loss On Feed Sales</v>
          </cell>
        </row>
      </sheetData>
      <sheetData sheetId="17"/>
      <sheetData sheetId="18"/>
      <sheetData sheetId="19"/>
      <sheetData sheetId="20">
        <row r="64">
          <cell r="B64" t="str">
            <v>Other Staff relocation</v>
          </cell>
        </row>
      </sheetData>
      <sheetData sheetId="21">
        <row r="22">
          <cell r="B22" t="str">
            <v>Colcom</v>
          </cell>
        </row>
      </sheetData>
      <sheetData sheetId="22"/>
      <sheetData sheetId="23">
        <row r="106">
          <cell r="B106" t="str">
            <v>3004 (Inventory Variance)</v>
          </cell>
        </row>
      </sheetData>
      <sheetData sheetId="24"/>
      <sheetData sheetId="25">
        <row r="28">
          <cell r="B28" t="str">
            <v xml:space="preserve">Villa Franca </v>
          </cell>
        </row>
      </sheetData>
      <sheetData sheetId="26"/>
      <sheetData sheetId="27"/>
      <sheetData sheetId="28"/>
      <sheetData sheetId="29"/>
      <sheetData sheetId="30"/>
      <sheetData sheetId="31">
        <row r="9">
          <cell r="H9">
            <v>11147810.6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39">
          <cell r="A39" t="str">
            <v>IAL</v>
          </cell>
        </row>
      </sheetData>
      <sheetData sheetId="41"/>
      <sheetData sheetId="42">
        <row r="13">
          <cell r="A13" t="str">
            <v>Ecobank</v>
          </cell>
        </row>
      </sheetData>
      <sheetData sheetId="43"/>
      <sheetData sheetId="44"/>
      <sheetData sheetId="45"/>
      <sheetData sheetId="46">
        <row r="7">
          <cell r="G7">
            <v>1457219.863280976</v>
          </cell>
        </row>
      </sheetData>
      <sheetData sheetId="47">
        <row r="9">
          <cell r="D9">
            <v>176288.66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11">
          <cell r="J11">
            <v>-1213824.2172034471</v>
          </cell>
        </row>
      </sheetData>
      <sheetData sheetId="60">
        <row r="10">
          <cell r="J10">
            <v>286223854.52494621</v>
          </cell>
        </row>
      </sheetData>
      <sheetData sheetId="61">
        <row r="7">
          <cell r="F7">
            <v>3266592.97</v>
          </cell>
        </row>
      </sheetData>
      <sheetData sheetId="62"/>
      <sheetData sheetId="63">
        <row r="9">
          <cell r="F9">
            <v>1584377.93</v>
          </cell>
        </row>
      </sheetData>
      <sheetData sheetId="64">
        <row r="15">
          <cell r="C15">
            <v>0</v>
          </cell>
        </row>
      </sheetData>
      <sheetData sheetId="65">
        <row r="9">
          <cell r="B9" t="str">
            <v>Innscor</v>
          </cell>
        </row>
      </sheetData>
      <sheetData sheetId="66"/>
      <sheetData sheetId="67"/>
      <sheetData sheetId="68"/>
      <sheetData sheetId="69"/>
      <sheetData sheetId="70">
        <row r="10">
          <cell r="C10" t="str">
            <v>01121305390079</v>
          </cell>
        </row>
      </sheetData>
      <sheetData sheetId="71"/>
      <sheetData sheetId="72"/>
      <sheetData sheetId="73">
        <row r="7">
          <cell r="A7" t="str">
            <v>Colcom Head Office</v>
          </cell>
        </row>
      </sheetData>
      <sheetData sheetId="74"/>
      <sheetData sheetId="75"/>
      <sheetData sheetId="76"/>
      <sheetData sheetId="77"/>
      <sheetData sheetId="78"/>
      <sheetData sheetId="79">
        <row r="9">
          <cell r="B9" t="str">
            <v>Electricity</v>
          </cell>
        </row>
      </sheetData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>
        <row r="22">
          <cell r="A22" t="str">
            <v>- Provisions, Audit Fees, Leave , Bonus Etc</v>
          </cell>
        </row>
      </sheetData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INDEX"/>
      <sheetName val="Pack Completion Checklist"/>
      <sheetName val="Pack Details"/>
      <sheetName val="Accounting Policies "/>
      <sheetName val="CEO report"/>
      <sheetName val="Letter of Rep for EY "/>
      <sheetName val="TB"/>
      <sheetName val="Current month TB"/>
      <sheetName val="Sheet4"/>
      <sheetName val="Income Statement1"/>
      <sheetName val="Balance Sheet2"/>
      <sheetName val="Cash Flow3"/>
      <sheetName val="Revenue4"/>
      <sheetName val="Var costs6"/>
      <sheetName val="COS4A"/>
      <sheetName val="Other Inc5"/>
      <sheetName val="Royalty return4B"/>
      <sheetName val="HO recov7"/>
      <sheetName val="Sheet3"/>
      <sheetName val="Staff ovhds8"/>
      <sheetName val="Pens &amp; ret8A"/>
      <sheetName val="Other ovhds9"/>
      <sheetName val="Auditors' rem9A"/>
      <sheetName val="Directrs emol9B"/>
      <sheetName val="Operating lease9D"/>
      <sheetName val="Donations &amp; Spons9C"/>
      <sheetName val="Fin inc, Depn &amp; amort10"/>
      <sheetName val="Profit on listed equities10A"/>
      <sheetName val="Int Rec intercoy11"/>
      <sheetName val="Int rec 3rd pty11A"/>
      <sheetName val="Int Pay intercoy12"/>
      <sheetName val="Int pay 3rd pty13"/>
      <sheetName val="Assocs coys profits14"/>
      <sheetName val="Min int15"/>
      <sheetName val="Dividends16"/>
      <sheetName val="Share cap17"/>
      <sheetName val="NDR18"/>
      <sheetName val="DR19"/>
      <sheetName val="Min int20"/>
      <sheetName val="Loans pay intercoy21"/>
      <sheetName val="Loans rec intercoy22"/>
      <sheetName val="Local loans 3rd pty23"/>
      <sheetName val="Local loans 3rd pty23A"/>
      <sheetName val="Foreign loans 3rd pty24"/>
      <sheetName val="Foreign loans 3rd pty24A"/>
      <sheetName val="Fix ass25"/>
      <sheetName val="Fix ass recon25A"/>
      <sheetName val="Fix ass notes25B"/>
      <sheetName val="Int assets26"/>
      <sheetName val="RUA 25.1"/>
      <sheetName val="RUA Recon 25.1A"/>
      <sheetName val="Int assets recon26A"/>
      <sheetName val="Inv subs &amp; assocs27"/>
      <sheetName val="Finstats of assocs27B"/>
      <sheetName val="Inv other28"/>
      <sheetName val="Finstats of JV28B"/>
      <sheetName val="Stocks29"/>
      <sheetName val="Stocks ageing29A"/>
      <sheetName val="Bio Assets non-current29B "/>
      <sheetName val="Bio Assets - current29D"/>
      <sheetName val="3rd pty drs30"/>
      <sheetName val="3rd pty drs foreign 30-1"/>
      <sheetName val="Other drs30A"/>
      <sheetName val="3rd pty drs ageing 30-2"/>
      <sheetName val="Prepayments30B"/>
      <sheetName val="Intercoy drs30D"/>
      <sheetName val="Prov for doubtful debts 30E"/>
      <sheetName val="Drs-provisions30C"/>
      <sheetName val="Liquidity risk"/>
      <sheetName val="Bank &amp; cash31"/>
      <sheetName val="Overdrafts31A"/>
      <sheetName val="Call accs with IAL 31B"/>
      <sheetName val="Call accs with divs31C"/>
      <sheetName val="3rd pty crs32"/>
      <sheetName val="3rd pty crs ageing 32A"/>
      <sheetName val="Intercoy crs32B"/>
      <sheetName val="3rd pty crs 32-1"/>
      <sheetName val="Provisions32C"/>
      <sheetName val="Other crs32-2"/>
      <sheetName val="Warrany prov32D"/>
      <sheetName val="Leave pay prov32E"/>
      <sheetName val="Inc tax prov33"/>
      <sheetName val="Tax charge33A"/>
      <sheetName val="Tax comp Divs33B"/>
      <sheetName val="Tax comp Subs33C"/>
      <sheetName val="Tax comp assocs33D"/>
      <sheetName val="Tax recon33F"/>
      <sheetName val="Def tax prov34"/>
      <sheetName val="Assessed losses33E"/>
      <sheetName val="Def tax comp Divs34A"/>
      <sheetName val="Def tax Subs34B"/>
      <sheetName val="Shareholders for div35"/>
      <sheetName val="Contingent liabs36"/>
      <sheetName val="Fut Cap Exp-fixed assets37A"/>
      <sheetName val="Fut Cap Exp-biological asset37B"/>
      <sheetName val="3rd pty fut lease comm38"/>
      <sheetName val="detailed_lease comm38A"/>
      <sheetName val="Director loans39"/>
      <sheetName val="Directors loans39A"/>
      <sheetName val="Trading outlets40"/>
      <sheetName val="Intercoy confirms41"/>
      <sheetName val="Fix ass transfers42"/>
      <sheetName val="Intercoy tranx Grp-3rd pty43"/>
      <sheetName val="Intercoy tranx Assoc-3rd pty44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M5">
            <v>-253071425.78</v>
          </cell>
        </row>
      </sheetData>
      <sheetData sheetId="8">
        <row r="113">
          <cell r="D113">
            <v>88700</v>
          </cell>
        </row>
      </sheetData>
      <sheetData sheetId="9"/>
      <sheetData sheetId="10">
        <row r="8">
          <cell r="D8">
            <v>-129750701.46000001</v>
          </cell>
        </row>
      </sheetData>
      <sheetData sheetId="11">
        <row r="8">
          <cell r="D8">
            <v>0.34616047143936157</v>
          </cell>
        </row>
        <row r="29">
          <cell r="D29">
            <v>354379928.46400028</v>
          </cell>
        </row>
      </sheetData>
      <sheetData sheetId="12">
        <row r="8">
          <cell r="G8">
            <v>93661539.604776368</v>
          </cell>
        </row>
      </sheetData>
      <sheetData sheetId="13">
        <row r="9">
          <cell r="H9">
            <v>-253071425.78</v>
          </cell>
        </row>
      </sheetData>
      <sheetData sheetId="14">
        <row r="16">
          <cell r="F16">
            <v>777780.23</v>
          </cell>
        </row>
      </sheetData>
      <sheetData sheetId="15">
        <row r="10">
          <cell r="F10">
            <v>5176500</v>
          </cell>
        </row>
      </sheetData>
      <sheetData sheetId="16">
        <row r="55">
          <cell r="D55">
            <v>-250</v>
          </cell>
        </row>
      </sheetData>
      <sheetData sheetId="17"/>
      <sheetData sheetId="18">
        <row r="47">
          <cell r="F47">
            <v>857520</v>
          </cell>
        </row>
      </sheetData>
      <sheetData sheetId="19"/>
      <sheetData sheetId="20">
        <row r="10">
          <cell r="F10">
            <v>257813.21</v>
          </cell>
        </row>
      </sheetData>
      <sheetData sheetId="21">
        <row r="14">
          <cell r="F14">
            <v>134652.62</v>
          </cell>
        </row>
      </sheetData>
      <sheetData sheetId="22">
        <row r="14">
          <cell r="F14">
            <v>285904.94</v>
          </cell>
        </row>
      </sheetData>
      <sheetData sheetId="23">
        <row r="9">
          <cell r="F9">
            <v>441591.67</v>
          </cell>
        </row>
      </sheetData>
      <sheetData sheetId="24"/>
      <sheetData sheetId="25"/>
      <sheetData sheetId="26">
        <row r="10">
          <cell r="F10">
            <v>1095</v>
          </cell>
        </row>
      </sheetData>
      <sheetData sheetId="27">
        <row r="23">
          <cell r="F23">
            <v>-27088.1</v>
          </cell>
        </row>
      </sheetData>
      <sheetData sheetId="28"/>
      <sheetData sheetId="29"/>
      <sheetData sheetId="30"/>
      <sheetData sheetId="31">
        <row r="9">
          <cell r="H9">
            <v>6118672.79</v>
          </cell>
        </row>
      </sheetData>
      <sheetData sheetId="32"/>
      <sheetData sheetId="33"/>
      <sheetData sheetId="34"/>
      <sheetData sheetId="35">
        <row r="14">
          <cell r="F14">
            <v>0</v>
          </cell>
        </row>
      </sheetData>
      <sheetData sheetId="36"/>
      <sheetData sheetId="37"/>
      <sheetData sheetId="38"/>
      <sheetData sheetId="39"/>
      <sheetData sheetId="40"/>
      <sheetData sheetId="41"/>
      <sheetData sheetId="42">
        <row r="15">
          <cell r="C15">
            <v>-1123084.115944487</v>
          </cell>
        </row>
      </sheetData>
      <sheetData sheetId="43"/>
      <sheetData sheetId="44"/>
      <sheetData sheetId="45"/>
      <sheetData sheetId="46">
        <row r="9">
          <cell r="C9">
            <v>27605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10">
          <cell r="J10">
            <v>26519227.460000001</v>
          </cell>
        </row>
        <row r="33">
          <cell r="J33">
            <v>6407</v>
          </cell>
        </row>
      </sheetData>
      <sheetData sheetId="60">
        <row r="10">
          <cell r="L10">
            <v>178980205.2864117</v>
          </cell>
        </row>
        <row r="33">
          <cell r="F33">
            <v>187</v>
          </cell>
          <cell r="J33">
            <v>47937</v>
          </cell>
        </row>
      </sheetData>
      <sheetData sheetId="61"/>
      <sheetData sheetId="62"/>
      <sheetData sheetId="63"/>
      <sheetData sheetId="64"/>
      <sheetData sheetId="65">
        <row r="91">
          <cell r="F91">
            <v>294985.0199999999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43">
          <cell r="H43">
            <v>79099561.901735306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EO report"/>
      <sheetName val="Cover"/>
      <sheetName val="INDEX"/>
      <sheetName val="Pack Completion Checklist"/>
      <sheetName val="Pack Details"/>
      <sheetName val="Letter of Rep for EY "/>
      <sheetName val="ACCOUNTING POL"/>
      <sheetName val="ACCOUNTING POLICIES"/>
      <sheetName val="ABC IS"/>
      <sheetName val="Pastel TB"/>
      <sheetName val="ABC Statement of Profit or Loss"/>
      <sheetName val="Statement of Financial Position"/>
      <sheetName val="SOCE "/>
      <sheetName val="Statement of Cash Flows"/>
      <sheetName val="Revenue4"/>
      <sheetName val="COS4A"/>
      <sheetName val="Other Inc5"/>
      <sheetName val="Conversion Costs (YTD)"/>
      <sheetName val="Distribution Costs (YTD)"/>
      <sheetName val="Selling Costs (YTD)"/>
      <sheetName val="Marketing &amp; Advert Costs (YTD)"/>
      <sheetName val="Human Capital Costs (YTD)"/>
      <sheetName val="Finance &amp; Admin Costs (YTD)"/>
      <sheetName val="Information Tech Costs (YTD)"/>
      <sheetName val="Intnl Head Off Costs (YTD)"/>
      <sheetName val="Ext Head Off Costs (YTD)"/>
      <sheetName val="Statement of Profit or Loss"/>
      <sheetName val="Royalty return4B"/>
      <sheetName val="Operating lease4B"/>
      <sheetName val="Var costs6"/>
      <sheetName val="HO recov7"/>
      <sheetName val="Staff ovhds8"/>
      <sheetName val="Pens &amp; ret8A"/>
      <sheetName val="Other ovhds9"/>
      <sheetName val="Auditors' rem9A"/>
      <sheetName val="Directrs emol9B"/>
      <sheetName val="Key Mgt emol9B"/>
      <sheetName val="Donations &amp; Spons9C"/>
      <sheetName val="Operating lease9D"/>
      <sheetName val="Fin inc, Depn &amp; amort10"/>
      <sheetName val="Profit on listed equities10A"/>
      <sheetName val="Int Rec intercoy11"/>
      <sheetName val="Int rec 3rd pty11A"/>
      <sheetName val="Int Pay intercoy12"/>
      <sheetName val="Int pay 3rd pty13"/>
      <sheetName val="Assocs coys profits14"/>
      <sheetName val="Non Controlling Interests15"/>
      <sheetName val="DividendsPaid16"/>
      <sheetName val="Share cap17"/>
      <sheetName val="NDR18"/>
      <sheetName val="DR19"/>
      <sheetName val="Non Controlling Interests20"/>
      <sheetName val="Loans pay intercoy21"/>
      <sheetName val="Loans rec intercoy22"/>
      <sheetName val="Local loans 3rd pty23"/>
      <sheetName val="Local loans 3rd pty23A"/>
      <sheetName val="Other Fin Liabilities Sch 23B  "/>
      <sheetName val="Foreign loans 3rd pty24"/>
      <sheetName val="Foreign loans 3rd pty24A"/>
      <sheetName val="PPE25"/>
      <sheetName val="PPE recon25A"/>
      <sheetName val="PPEnotes25B"/>
      <sheetName val="RUA 25.1"/>
      <sheetName val="RUA recon 25.1A"/>
      <sheetName val="RUA notes 25.1 B"/>
      <sheetName val="Int assets26"/>
      <sheetName val="Int assets recon26A"/>
      <sheetName val="Inv subs &amp; assocs27"/>
      <sheetName val="Finstats of assocs27B"/>
      <sheetName val="Finstats of Subs27C"/>
      <sheetName val="Finstats of JV28B"/>
      <sheetName val="Inv other28"/>
      <sheetName val="Inventory29"/>
      <sheetName val="Stocks ageing29A"/>
      <sheetName val="Bio Assets non-current29B "/>
      <sheetName val="Bio Assets - current29D"/>
      <sheetName val="3rd pty drs30"/>
      <sheetName val="3rd pty drs foreign 30-1"/>
      <sheetName val="3rd pty drs ageing 30-2"/>
      <sheetName val="Other drs30A"/>
      <sheetName val="Prepayments30B"/>
      <sheetName val="All for Credit Losses30C"/>
      <sheetName val="Intercoy drs30D"/>
      <sheetName val="Allow for Credit losses 30E"/>
      <sheetName val="Liquidity risk"/>
      <sheetName val="Bank &amp; cash31"/>
      <sheetName val="Overdrafts31A"/>
      <sheetName val="Call accs with IAL 31B"/>
      <sheetName val="Call accs with divs31C"/>
      <sheetName val="3rd pty crs32"/>
      <sheetName val="3rd pty crs 32-1"/>
      <sheetName val="3rd pty crs ageing 32A"/>
      <sheetName val="Other crs32-2"/>
      <sheetName val="Intercoy crs32B"/>
      <sheetName val="Provisions32C"/>
      <sheetName val="Warrany prov32D"/>
      <sheetName val="Leave pay prov32E"/>
      <sheetName val="Inc tax prov33"/>
      <sheetName val="Inc Tax prov 33"/>
      <sheetName val="Tax charge33A"/>
      <sheetName val="Tax Charge 33A"/>
      <sheetName val="Tax comp Divs33B"/>
      <sheetName val="Tax comp Subs33C"/>
      <sheetName val="Tax recon33F"/>
      <sheetName val="Recoupment 33G"/>
      <sheetName val="Recoupment 33H"/>
      <sheetName val="Tax comp assocs33D"/>
      <sheetName val="Assessed losses33E"/>
      <sheetName val="Def tax prov34"/>
      <sheetName val="Def tax comp Divs34A"/>
      <sheetName val="Def tax Subs34B"/>
      <sheetName val="Shareholders for div35"/>
      <sheetName val="Contingent liabs36"/>
      <sheetName val="Fut Cap Exp-PPE37A"/>
      <sheetName val="Fut Cap Exp-biological asset37B"/>
      <sheetName val="3rd pty fut lease comm38"/>
      <sheetName val="detailed_lease comm38A"/>
      <sheetName val="Sheet5"/>
      <sheetName val="Director loans39"/>
      <sheetName val="Directors loans39A"/>
      <sheetName val="Trading outlets40"/>
      <sheetName val="Intercoy confirms41"/>
      <sheetName val="Fix ass transfers42"/>
      <sheetName val="Intercoy tranx Grp-3rd pty43"/>
      <sheetName val="Intercoy tranx Assoc-3rd pty44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4">
          <cell r="A94" t="str">
            <v>Fuel Diesel Weaner Heaters</v>
          </cell>
        </row>
      </sheetData>
      <sheetData sheetId="9">
        <row r="6">
          <cell r="I6">
            <v>-322516362.63999999</v>
          </cell>
        </row>
      </sheetData>
      <sheetData sheetId="10">
        <row r="8">
          <cell r="D8">
            <v>-454949464.61999995</v>
          </cell>
        </row>
      </sheetData>
      <sheetData sheetId="11">
        <row r="9">
          <cell r="D9">
            <v>20414103.972818576</v>
          </cell>
        </row>
        <row r="20">
          <cell r="D20">
            <v>318393592.55651587</v>
          </cell>
        </row>
      </sheetData>
      <sheetData sheetId="12"/>
      <sheetData sheetId="13">
        <row r="8">
          <cell r="G8">
            <v>123483546.47999996</v>
          </cell>
        </row>
      </sheetData>
      <sheetData sheetId="14">
        <row r="10">
          <cell r="H10">
            <v>-453758208.02999997</v>
          </cell>
        </row>
      </sheetData>
      <sheetData sheetId="15">
        <row r="10">
          <cell r="F10">
            <v>14463990.810000001</v>
          </cell>
        </row>
      </sheetData>
      <sheetData sheetId="16">
        <row r="56">
          <cell r="F56">
            <v>-2375</v>
          </cell>
        </row>
      </sheetData>
      <sheetData sheetId="17">
        <row r="10">
          <cell r="A10" t="str">
            <v>Bonus</v>
          </cell>
        </row>
      </sheetData>
      <sheetData sheetId="18"/>
      <sheetData sheetId="19"/>
      <sheetData sheetId="20"/>
      <sheetData sheetId="21">
        <row r="10">
          <cell r="A10" t="str">
            <v>Bonus</v>
          </cell>
        </row>
      </sheetData>
      <sheetData sheetId="22">
        <row r="10">
          <cell r="B10">
            <v>134875.98000000001</v>
          </cell>
        </row>
      </sheetData>
      <sheetData sheetId="23"/>
      <sheetData sheetId="24"/>
      <sheetData sheetId="25">
        <row r="37">
          <cell r="A37" t="str">
            <v>Recoveries</v>
          </cell>
        </row>
      </sheetData>
      <sheetData sheetId="26">
        <row r="8">
          <cell r="D8">
            <v>-201500228.27999997</v>
          </cell>
        </row>
      </sheetData>
      <sheetData sheetId="27"/>
      <sheetData sheetId="28"/>
      <sheetData sheetId="29">
        <row r="16">
          <cell r="F16">
            <v>1244155.45</v>
          </cell>
        </row>
      </sheetData>
      <sheetData sheetId="30">
        <row r="13">
          <cell r="F13">
            <v>1286280</v>
          </cell>
        </row>
      </sheetData>
      <sheetData sheetId="31">
        <row r="10">
          <cell r="F10">
            <v>3050228.73</v>
          </cell>
        </row>
      </sheetData>
      <sheetData sheetId="32">
        <row r="14">
          <cell r="F14">
            <v>203089.97</v>
          </cell>
        </row>
      </sheetData>
      <sheetData sheetId="33">
        <row r="12">
          <cell r="F12">
            <v>674008.33</v>
          </cell>
        </row>
      </sheetData>
      <sheetData sheetId="34">
        <row r="9">
          <cell r="F9">
            <v>674008.33</v>
          </cell>
        </row>
      </sheetData>
      <sheetData sheetId="35"/>
      <sheetData sheetId="36"/>
      <sheetData sheetId="37">
        <row r="11">
          <cell r="F11">
            <v>10391.32</v>
          </cell>
        </row>
      </sheetData>
      <sheetData sheetId="38"/>
      <sheetData sheetId="39">
        <row r="23">
          <cell r="F23">
            <v>953695.88</v>
          </cell>
        </row>
      </sheetData>
      <sheetData sheetId="40"/>
      <sheetData sheetId="41"/>
      <sheetData sheetId="42">
        <row r="9">
          <cell r="H9">
            <v>-9360.91</v>
          </cell>
        </row>
      </sheetData>
      <sheetData sheetId="43"/>
      <sheetData sheetId="44">
        <row r="10">
          <cell r="F10">
            <v>6396285.8861166826</v>
          </cell>
        </row>
      </sheetData>
      <sheetData sheetId="45"/>
      <sheetData sheetId="46"/>
      <sheetData sheetId="47">
        <row r="9">
          <cell r="F9">
            <v>7746095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9">
          <cell r="C9">
            <v>294968.73000000004</v>
          </cell>
        </row>
      </sheetData>
      <sheetData sheetId="60">
        <row r="8">
          <cell r="E8">
            <v>17914896.117263019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9">
          <cell r="K9">
            <v>9321747.0830617156</v>
          </cell>
        </row>
      </sheetData>
      <sheetData sheetId="75">
        <row r="9">
          <cell r="M9">
            <v>12356756.394137656</v>
          </cell>
        </row>
      </sheetData>
      <sheetData sheetId="76">
        <row r="7">
          <cell r="F7">
            <v>3266592.97</v>
          </cell>
        </row>
      </sheetData>
      <sheetData sheetId="77"/>
      <sheetData sheetId="78"/>
      <sheetData sheetId="79">
        <row r="9">
          <cell r="E9">
            <v>4846614.53</v>
          </cell>
        </row>
      </sheetData>
      <sheetData sheetId="80">
        <row r="9">
          <cell r="G9">
            <v>9072000</v>
          </cell>
        </row>
      </sheetData>
      <sheetData sheetId="81"/>
      <sheetData sheetId="82"/>
      <sheetData sheetId="83"/>
      <sheetData sheetId="84"/>
      <sheetData sheetId="85">
        <row r="40">
          <cell r="E40">
            <v>9117</v>
          </cell>
        </row>
      </sheetData>
      <sheetData sheetId="86"/>
      <sheetData sheetId="87"/>
      <sheetData sheetId="88"/>
      <sheetData sheetId="89">
        <row r="8">
          <cell r="F8">
            <v>-123531909.36000001</v>
          </cell>
        </row>
      </sheetData>
      <sheetData sheetId="90"/>
      <sheetData sheetId="91"/>
      <sheetData sheetId="92"/>
      <sheetData sheetId="93">
        <row r="24">
          <cell r="F24">
            <v>-4767804</v>
          </cell>
        </row>
      </sheetData>
      <sheetData sheetId="94"/>
      <sheetData sheetId="95"/>
      <sheetData sheetId="96">
        <row r="11">
          <cell r="E11">
            <v>-817091.17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March 22"/>
      <sheetName val="November 2022"/>
      <sheetName val="Costing March"/>
      <sheetName val="Costing"/>
      <sheetName val="Nov 22 Costing"/>
      <sheetName val="April 2023"/>
      <sheetName val="April 23 Costing"/>
      <sheetName val="September 2023"/>
      <sheetName val="September 23 Costing"/>
      <sheetName val="February 2024"/>
      <sheetName val="February 24 Costing"/>
      <sheetName val="May 2024"/>
      <sheetName val="May 2024 260 Pigs Costing"/>
      <sheetName val="June 2024 "/>
      <sheetName val="June 2024 260 Pigs Co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E3">
            <v>52</v>
          </cell>
        </row>
        <row r="46">
          <cell r="L46">
            <v>242.9395143962183</v>
          </cell>
        </row>
      </sheetData>
      <sheetData sheetId="15"/>
      <sheetData sheetId="16">
        <row r="3">
          <cell r="E3">
            <v>52</v>
          </cell>
        </row>
        <row r="46">
          <cell r="L46">
            <v>248.69529283953821</v>
          </cell>
        </row>
      </sheetData>
      <sheetData sheetId="17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March 22"/>
      <sheetName val="November 2022"/>
      <sheetName val="Costing March"/>
      <sheetName val="Costing"/>
      <sheetName val="Nov 22 Costing"/>
      <sheetName val="April 2023"/>
      <sheetName val="April 23 Costing"/>
      <sheetName val="September 2023"/>
      <sheetName val="September 23 Costing"/>
      <sheetName val="February 2024"/>
      <sheetName val="February 24 Costing"/>
      <sheetName val="May 2024"/>
      <sheetName val="May 2024 260 Pigs Costing"/>
      <sheetName val="June 2024 "/>
      <sheetName val="June 2024 260 Pigs Costing"/>
      <sheetName val="July 2024"/>
      <sheetName val="July 2024 157 Pigs Costing"/>
      <sheetName val="August 2024"/>
      <sheetName val="August 2024 260 Pigs Costing"/>
      <sheetName val="September 2024 "/>
      <sheetName val="September 2024 260 Pigs Costin "/>
      <sheetName val="September 2024 259 Pigs Co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">
          <cell r="N3">
            <v>13836.986485352687</v>
          </cell>
        </row>
        <row r="38">
          <cell r="L38">
            <v>252.33301260188813</v>
          </cell>
        </row>
      </sheetData>
      <sheetData sheetId="21"/>
      <sheetData sheetId="22"/>
      <sheetData sheetId="23">
        <row r="9">
          <cell r="D9">
            <v>52</v>
          </cell>
        </row>
      </sheetData>
      <sheetData sheetId="2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424">
          <cell r="AY424">
            <v>10784.174942779948</v>
          </cell>
        </row>
      </sheetData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0">
          <cell r="BO10">
            <v>1006028.8480517531</v>
          </cell>
        </row>
        <row r="11">
          <cell r="BL11">
            <v>55906.759560465121</v>
          </cell>
        </row>
      </sheetData>
      <sheetData sheetId="70">
        <row r="7">
          <cell r="D7">
            <v>34171.251340159382</v>
          </cell>
        </row>
        <row r="30">
          <cell r="D30">
            <v>369850.46911853366</v>
          </cell>
        </row>
        <row r="44">
          <cell r="D44">
            <v>742109.50887575734</v>
          </cell>
        </row>
        <row r="54">
          <cell r="D54">
            <v>54319.593303760113</v>
          </cell>
          <cell r="E54">
            <v>7324.5031698697239</v>
          </cell>
        </row>
        <row r="58">
          <cell r="C58">
            <v>1218.9266670048237</v>
          </cell>
        </row>
      </sheetData>
      <sheetData sheetId="71" refreshError="1"/>
      <sheetData sheetId="72" refreshError="1"/>
      <sheetData sheetId="73">
        <row r="9">
          <cell r="H9">
            <v>1.8088841201716737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ies split"/>
      <sheetName val="Summary"/>
      <sheetName val="Reclassificatio"/>
      <sheetName val="Pre Farrowing Feed"/>
      <sheetName val="Grasmere"/>
      <sheetName val="Villa Franca"/>
      <sheetName val=" Lion Head"/>
      <sheetName val="Oswa"/>
      <sheetName val="Moonfarm"/>
      <sheetName val="Clifton"/>
      <sheetName val="Coldstream"/>
      <sheetName val="Richlands"/>
      <sheetName val="Lionshead Extension"/>
      <sheetName val="Cattle"/>
      <sheetName val="Sheet3"/>
      <sheetName val="Reclassification"/>
      <sheetName val="Sheet1"/>
      <sheetName val="Comparison"/>
      <sheetName val="Zimbo"/>
      <sheetName val="Sheet2"/>
      <sheetName val="gains losses"/>
      <sheetName val="Working price per CDM"/>
      <sheetName val="cattle valuation"/>
      <sheetName val="Sheet4"/>
    </sheetNames>
    <sheetDataSet>
      <sheetData sheetId="0"/>
      <sheetData sheetId="1">
        <row r="6">
          <cell r="C6">
            <v>89202029.61313425</v>
          </cell>
        </row>
      </sheetData>
      <sheetData sheetId="2"/>
      <sheetData sheetId="3"/>
      <sheetData sheetId="4">
        <row r="9">
          <cell r="H9">
            <v>3721830.2386782886</v>
          </cell>
        </row>
        <row r="10">
          <cell r="H10">
            <v>369977.63537790842</v>
          </cell>
        </row>
        <row r="11">
          <cell r="H11">
            <v>364632.55563205545</v>
          </cell>
        </row>
        <row r="12">
          <cell r="H12">
            <v>398936.492034583</v>
          </cell>
        </row>
        <row r="13">
          <cell r="H13">
            <v>448301.95615957346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679206.02369500638</v>
          </cell>
        </row>
        <row r="18">
          <cell r="H18">
            <v>903022.33309043769</v>
          </cell>
        </row>
        <row r="19">
          <cell r="H19">
            <v>1070134.420401847</v>
          </cell>
        </row>
        <row r="20">
          <cell r="H20">
            <v>1281638.2276040721</v>
          </cell>
        </row>
        <row r="21">
          <cell r="H21">
            <v>1510257.3137102649</v>
          </cell>
        </row>
        <row r="22">
          <cell r="H22">
            <v>1935283.8181322364</v>
          </cell>
        </row>
        <row r="23">
          <cell r="H23">
            <v>2141647.3930563722</v>
          </cell>
        </row>
        <row r="24">
          <cell r="H24">
            <v>2508604.7577100201</v>
          </cell>
        </row>
        <row r="25">
          <cell r="H25">
            <v>2704300.7437258475</v>
          </cell>
        </row>
        <row r="26">
          <cell r="H26">
            <v>3041424.2119242381</v>
          </cell>
        </row>
        <row r="27">
          <cell r="H27">
            <v>3490001.5115240719</v>
          </cell>
        </row>
        <row r="28">
          <cell r="H28">
            <v>4540212.7487537721</v>
          </cell>
        </row>
        <row r="29">
          <cell r="H29">
            <v>4931006.4962438764</v>
          </cell>
        </row>
        <row r="30">
          <cell r="H30">
            <v>5152252.9408287127</v>
          </cell>
        </row>
        <row r="31">
          <cell r="H31">
            <v>6358609.7683951026</v>
          </cell>
        </row>
        <row r="32">
          <cell r="H32">
            <v>6543994.3450394263</v>
          </cell>
        </row>
        <row r="33">
          <cell r="H33">
            <v>6773356.6879104692</v>
          </cell>
        </row>
        <row r="34">
          <cell r="H34">
            <v>0</v>
          </cell>
        </row>
        <row r="35">
          <cell r="H35">
            <v>60868632.619628184</v>
          </cell>
        </row>
        <row r="43">
          <cell r="H43">
            <v>58126.516363636365</v>
          </cell>
        </row>
        <row r="45">
          <cell r="H45">
            <v>195230.66666666666</v>
          </cell>
        </row>
        <row r="53">
          <cell r="H53">
            <v>58740.951818181828</v>
          </cell>
        </row>
        <row r="55">
          <cell r="H55">
            <v>103008.228</v>
          </cell>
        </row>
        <row r="57">
          <cell r="H57">
            <v>91689.330909090902</v>
          </cell>
        </row>
        <row r="59">
          <cell r="H59">
            <v>125894.93154928202</v>
          </cell>
        </row>
        <row r="61">
          <cell r="H61">
            <v>119897.58707070707</v>
          </cell>
        </row>
        <row r="63">
          <cell r="H63">
            <v>170289.42499999999</v>
          </cell>
        </row>
        <row r="65">
          <cell r="H65">
            <v>293969.32454590389</v>
          </cell>
        </row>
        <row r="67">
          <cell r="H67">
            <v>1861409.8711134074</v>
          </cell>
        </row>
        <row r="91">
          <cell r="H91">
            <v>33149.535000000003</v>
          </cell>
        </row>
        <row r="93">
          <cell r="H93">
            <v>54725.458312510658</v>
          </cell>
        </row>
        <row r="95">
          <cell r="H95">
            <v>39263.487999999998</v>
          </cell>
        </row>
        <row r="97">
          <cell r="H97">
            <v>44961.025719760466</v>
          </cell>
        </row>
        <row r="99">
          <cell r="H99">
            <v>43341.440000000002</v>
          </cell>
        </row>
        <row r="101">
          <cell r="H101">
            <v>29435.770232204035</v>
          </cell>
        </row>
        <row r="103">
          <cell r="H103">
            <v>163776.27951668587</v>
          </cell>
        </row>
        <row r="105">
          <cell r="H105">
            <v>461230</v>
          </cell>
        </row>
        <row r="106">
          <cell r="H106">
            <v>0</v>
          </cell>
        </row>
        <row r="107">
          <cell r="H107">
            <v>89202029.61313425</v>
          </cell>
        </row>
        <row r="109">
          <cell r="H109" t="str">
            <v xml:space="preserve"> </v>
          </cell>
        </row>
      </sheetData>
      <sheetData sheetId="5">
        <row r="9">
          <cell r="H9">
            <v>638835.6564307753</v>
          </cell>
        </row>
      </sheetData>
      <sheetData sheetId="6">
        <row r="9">
          <cell r="H9">
            <v>2011898.476932832</v>
          </cell>
        </row>
      </sheetData>
      <sheetData sheetId="7"/>
      <sheetData sheetId="8"/>
      <sheetData sheetId="9"/>
      <sheetData sheetId="10"/>
      <sheetData sheetId="11">
        <row r="9">
          <cell r="H9">
            <v>2002211.8871549687</v>
          </cell>
        </row>
      </sheetData>
      <sheetData sheetId="12">
        <row r="14">
          <cell r="E14">
            <v>0</v>
          </cell>
        </row>
      </sheetData>
      <sheetData sheetId="13">
        <row r="16">
          <cell r="G16">
            <v>2913910.01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vious"/>
      <sheetName val="Current"/>
      <sheetName val="New"/>
      <sheetName val="CDM Change"/>
      <sheetName val="June 2026 Slaughter Summary"/>
      <sheetName val="Dec 25 Slaughter Summary "/>
    </sheetNames>
    <sheetDataSet>
      <sheetData sheetId="0" refreshError="1"/>
      <sheetData sheetId="1" refreshError="1"/>
      <sheetData sheetId="2">
        <row r="2">
          <cell r="A2" t="str">
            <v>Triple C Pigs</v>
          </cell>
        </row>
        <row r="4">
          <cell r="A4" t="str">
            <v>Current</v>
          </cell>
          <cell r="O4" t="str">
            <v>Proposed</v>
          </cell>
        </row>
        <row r="5">
          <cell r="A5" t="str">
            <v>Age</v>
          </cell>
          <cell r="B5" t="str">
            <v>Grasmere</v>
          </cell>
          <cell r="E5" t="str">
            <v>Richlands</v>
          </cell>
          <cell r="H5" t="str">
            <v>Villa</v>
          </cell>
          <cell r="K5" t="str">
            <v>Lionshead</v>
          </cell>
          <cell r="O5" t="str">
            <v>Age</v>
          </cell>
          <cell r="P5" t="str">
            <v>Grasmere</v>
          </cell>
          <cell r="S5" t="str">
            <v>Richlands</v>
          </cell>
          <cell r="V5" t="str">
            <v>Villa</v>
          </cell>
          <cell r="Y5" t="str">
            <v>Lionshead</v>
          </cell>
          <cell r="AB5" t="str">
            <v>Lionshead Ext</v>
          </cell>
          <cell r="AE5" t="str">
            <v>Learig</v>
          </cell>
          <cell r="AH5" t="str">
            <v>CCC</v>
          </cell>
        </row>
        <row r="6">
          <cell r="A6" t="str">
            <v>In Weeks</v>
          </cell>
          <cell r="B6" t="str">
            <v>Live Weight</v>
          </cell>
          <cell r="C6" t="str">
            <v>CDM</v>
          </cell>
          <cell r="D6" t="str">
            <v>Kill Out%</v>
          </cell>
          <cell r="E6" t="str">
            <v>Live Weight</v>
          </cell>
          <cell r="F6" t="str">
            <v>CDM</v>
          </cell>
          <cell r="G6" t="str">
            <v>Kill Out%</v>
          </cell>
          <cell r="H6" t="str">
            <v>Live Weight</v>
          </cell>
          <cell r="I6" t="str">
            <v>CDM</v>
          </cell>
          <cell r="J6" t="str">
            <v>Kill Out%</v>
          </cell>
          <cell r="K6" t="str">
            <v>Live Weight</v>
          </cell>
          <cell r="L6" t="str">
            <v>CDM</v>
          </cell>
          <cell r="M6" t="str">
            <v>Kill Out%</v>
          </cell>
          <cell r="O6" t="str">
            <v>In Weeks</v>
          </cell>
          <cell r="P6" t="str">
            <v>Live Weight</v>
          </cell>
          <cell r="Q6" t="str">
            <v>CDM</v>
          </cell>
          <cell r="R6" t="str">
            <v>Kill Out%</v>
          </cell>
          <cell r="S6" t="str">
            <v>Live Weight</v>
          </cell>
          <cell r="T6" t="str">
            <v>CDM</v>
          </cell>
          <cell r="U6" t="str">
            <v>Kill Out%</v>
          </cell>
          <cell r="V6" t="str">
            <v>Live Weight</v>
          </cell>
          <cell r="W6" t="str">
            <v>CDM</v>
          </cell>
          <cell r="X6" t="str">
            <v>Kill Out%</v>
          </cell>
          <cell r="Y6" t="str">
            <v>Live Weight</v>
          </cell>
          <cell r="Z6" t="str">
            <v>CDM</v>
          </cell>
          <cell r="AA6" t="str">
            <v>Kill Out%</v>
          </cell>
          <cell r="AB6" t="str">
            <v>Live Weight</v>
          </cell>
          <cell r="AC6" t="str">
            <v>CDM</v>
          </cell>
          <cell r="AD6" t="str">
            <v>Kill Out%</v>
          </cell>
          <cell r="AE6" t="str">
            <v>Live Weight</v>
          </cell>
          <cell r="AF6" t="str">
            <v>CDM</v>
          </cell>
          <cell r="AG6" t="str">
            <v>Kill Out%</v>
          </cell>
          <cell r="AH6" t="str">
            <v>Live Weight</v>
          </cell>
          <cell r="AI6" t="str">
            <v>CDM</v>
          </cell>
          <cell r="AJ6" t="str">
            <v>Kill Out%</v>
          </cell>
        </row>
        <row r="7">
          <cell r="A7">
            <v>1</v>
          </cell>
          <cell r="B7">
            <v>1.3044091657118897</v>
          </cell>
          <cell r="C7">
            <v>0.80873368274137158</v>
          </cell>
          <cell r="D7">
            <v>0.62</v>
          </cell>
          <cell r="E7">
            <v>1.4023950879733347</v>
          </cell>
          <cell r="F7">
            <v>0.86948495454346753</v>
          </cell>
          <cell r="G7">
            <v>0.62</v>
          </cell>
          <cell r="H7">
            <v>1.4620114938085784</v>
          </cell>
          <cell r="I7">
            <v>0.90644712616131862</v>
          </cell>
          <cell r="J7">
            <v>0.62</v>
          </cell>
          <cell r="K7">
            <v>1.420285514102968</v>
          </cell>
          <cell r="L7">
            <v>0.88057701874384009</v>
          </cell>
          <cell r="M7">
            <v>0.62</v>
          </cell>
          <cell r="O7">
            <v>1</v>
          </cell>
          <cell r="P7">
            <v>1.3297544706114832</v>
          </cell>
          <cell r="Q7">
            <v>0.82444777177911965</v>
          </cell>
          <cell r="R7">
            <v>0.62</v>
          </cell>
          <cell r="S7">
            <v>1.3876506934901334</v>
          </cell>
          <cell r="T7">
            <v>0.86034342996388269</v>
          </cell>
          <cell r="U7">
            <v>0.62</v>
          </cell>
          <cell r="V7">
            <v>1.4626285569269708</v>
          </cell>
          <cell r="W7">
            <v>0.90682970529472184</v>
          </cell>
          <cell r="X7">
            <v>0.62</v>
          </cell>
          <cell r="Y7">
            <v>1.4044409026987537</v>
          </cell>
          <cell r="Z7">
            <v>0.87075335967322731</v>
          </cell>
          <cell r="AA7">
            <v>0.62</v>
          </cell>
          <cell r="AB7">
            <v>0.6493370452326066</v>
          </cell>
          <cell r="AC7">
            <v>0.8634588388317096</v>
          </cell>
          <cell r="AD7">
            <v>1.3297544706114832</v>
          </cell>
          <cell r="AE7">
            <v>1.3261711767166928</v>
          </cell>
          <cell r="AF7">
            <v>0.82222612956434959</v>
          </cell>
          <cell r="AG7">
            <v>0.62</v>
          </cell>
          <cell r="AH7">
            <v>1.2599971409461068</v>
          </cell>
          <cell r="AI7">
            <v>0.85800987251783523</v>
          </cell>
          <cell r="AJ7">
            <v>0.68096176144778608</v>
          </cell>
        </row>
        <row r="8">
          <cell r="A8">
            <v>2</v>
          </cell>
          <cell r="B8">
            <v>2.217495581710212</v>
          </cell>
          <cell r="C8">
            <v>1.3748472606603315</v>
          </cell>
          <cell r="D8">
            <v>0.62</v>
          </cell>
          <cell r="E8">
            <v>2.3840716495546692</v>
          </cell>
          <cell r="F8">
            <v>1.4781244227238948</v>
          </cell>
          <cell r="G8">
            <v>0.62</v>
          </cell>
          <cell r="H8">
            <v>2.4854195394745826</v>
          </cell>
          <cell r="I8">
            <v>1.5409601144742413</v>
          </cell>
          <cell r="J8">
            <v>0.62</v>
          </cell>
          <cell r="K8">
            <v>2.4144853739750447</v>
          </cell>
          <cell r="L8">
            <v>1.4969809318645277</v>
          </cell>
          <cell r="M8">
            <v>0.62</v>
          </cell>
          <cell r="O8">
            <v>2</v>
          </cell>
          <cell r="P8">
            <v>2.2605826000395211</v>
          </cell>
          <cell r="Q8">
            <v>1.4015612120245031</v>
          </cell>
          <cell r="R8">
            <v>0.62</v>
          </cell>
          <cell r="S8">
            <v>2.3590061789332268</v>
          </cell>
          <cell r="T8">
            <v>1.4625838309386006</v>
          </cell>
          <cell r="U8">
            <v>0.62</v>
          </cell>
          <cell r="V8">
            <v>2.4864685467758498</v>
          </cell>
          <cell r="W8">
            <v>1.5416104990010269</v>
          </cell>
          <cell r="X8">
            <v>0.62</v>
          </cell>
          <cell r="Y8">
            <v>2.3875495345878806</v>
          </cell>
          <cell r="Z8">
            <v>1.480280711444486</v>
          </cell>
          <cell r="AA8">
            <v>0.62</v>
          </cell>
          <cell r="AB8">
            <v>0.6493370452326066</v>
          </cell>
          <cell r="AC8">
            <v>1.467880026013906</v>
          </cell>
          <cell r="AD8">
            <v>2.2605826000395211</v>
          </cell>
          <cell r="AE8">
            <v>2.254491000418378</v>
          </cell>
          <cell r="AF8">
            <v>1.3977844202593943</v>
          </cell>
          <cell r="AG8">
            <v>0.62</v>
          </cell>
          <cell r="AH8">
            <v>2.0662391509979101</v>
          </cell>
          <cell r="AI8">
            <v>1.4586167832803196</v>
          </cell>
          <cell r="AJ8">
            <v>0.70592834453643305</v>
          </cell>
        </row>
        <row r="9">
          <cell r="A9">
            <v>3</v>
          </cell>
          <cell r="B9">
            <v>3.5479929307363403</v>
          </cell>
          <cell r="C9">
            <v>2.1997556170565309</v>
          </cell>
          <cell r="D9">
            <v>0.62</v>
          </cell>
          <cell r="E9">
            <v>3.8145146392874705</v>
          </cell>
          <cell r="F9">
            <v>2.3649990763582318</v>
          </cell>
          <cell r="G9">
            <v>0.62</v>
          </cell>
          <cell r="H9">
            <v>3.9766712631593331</v>
          </cell>
          <cell r="I9">
            <v>2.4655361831587865</v>
          </cell>
          <cell r="J9">
            <v>0.62</v>
          </cell>
          <cell r="K9">
            <v>3.8631765983600714</v>
          </cell>
          <cell r="L9">
            <v>2.3951694909832444</v>
          </cell>
          <cell r="M9">
            <v>0.62</v>
          </cell>
          <cell r="O9">
            <v>3</v>
          </cell>
          <cell r="P9">
            <v>3.6169321600632345</v>
          </cell>
          <cell r="Q9">
            <v>2.2424979392392053</v>
          </cell>
          <cell r="R9">
            <v>0.62</v>
          </cell>
          <cell r="S9">
            <v>3.7744098862931628</v>
          </cell>
          <cell r="T9">
            <v>2.3401341295017608</v>
          </cell>
          <cell r="U9">
            <v>0.62</v>
          </cell>
          <cell r="V9">
            <v>3.9783496748413603</v>
          </cell>
          <cell r="W9">
            <v>2.4665767984016433</v>
          </cell>
          <cell r="X9">
            <v>0.62</v>
          </cell>
          <cell r="Y9">
            <v>3.8200792553406093</v>
          </cell>
          <cell r="Z9">
            <v>2.3684491383111776</v>
          </cell>
          <cell r="AA9">
            <v>0.62</v>
          </cell>
          <cell r="AB9">
            <v>0.64933704523260649</v>
          </cell>
          <cell r="AC9">
            <v>2.3486080416222497</v>
          </cell>
          <cell r="AD9">
            <v>3.6169321600632345</v>
          </cell>
          <cell r="AE9">
            <v>3.6071856006694052</v>
          </cell>
          <cell r="AF9">
            <v>2.2364550724150312</v>
          </cell>
          <cell r="AG9">
            <v>0.62</v>
          </cell>
          <cell r="AH9">
            <v>3.2410489370733964</v>
          </cell>
          <cell r="AI9">
            <v>2.3337868532485113</v>
          </cell>
          <cell r="AJ9">
            <v>0.72007146407233058</v>
          </cell>
        </row>
        <row r="10">
          <cell r="A10">
            <v>4</v>
          </cell>
          <cell r="B10">
            <v>5.3219893961045104</v>
          </cell>
          <cell r="C10">
            <v>3.2996334255847963</v>
          </cell>
          <cell r="D10">
            <v>0.62</v>
          </cell>
          <cell r="E10">
            <v>5.721771958931205</v>
          </cell>
          <cell r="F10">
            <v>3.5474986145373473</v>
          </cell>
          <cell r="G10">
            <v>0.62</v>
          </cell>
          <cell r="H10">
            <v>5.965006894739</v>
          </cell>
          <cell r="I10">
            <v>3.69830427473818</v>
          </cell>
          <cell r="J10">
            <v>0.62</v>
          </cell>
          <cell r="K10">
            <v>5.7947648975401078</v>
          </cell>
          <cell r="L10">
            <v>3.5927542364748666</v>
          </cell>
          <cell r="M10">
            <v>0.62</v>
          </cell>
          <cell r="O10">
            <v>4</v>
          </cell>
          <cell r="P10">
            <v>5.4253982400948519</v>
          </cell>
          <cell r="Q10">
            <v>3.3637469088588081</v>
          </cell>
          <cell r="R10">
            <v>0.62</v>
          </cell>
          <cell r="S10">
            <v>5.6616148294397437</v>
          </cell>
          <cell r="T10">
            <v>3.510201194252641</v>
          </cell>
          <cell r="U10">
            <v>0.62</v>
          </cell>
          <cell r="V10">
            <v>5.9675245122620408</v>
          </cell>
          <cell r="W10">
            <v>3.6998651976024655</v>
          </cell>
          <cell r="X10">
            <v>0.62</v>
          </cell>
          <cell r="Y10">
            <v>5.7301188830109142</v>
          </cell>
          <cell r="Z10">
            <v>3.5526737074667669</v>
          </cell>
          <cell r="AA10">
            <v>0.62</v>
          </cell>
          <cell r="AB10">
            <v>0.64933704523260649</v>
          </cell>
          <cell r="AC10">
            <v>3.5229120624333747</v>
          </cell>
          <cell r="AD10">
            <v>5.4253982400948519</v>
          </cell>
          <cell r="AE10">
            <v>5.4107784010041069</v>
          </cell>
          <cell r="AF10">
            <v>3.3546826086225461</v>
          </cell>
          <cell r="AG10">
            <v>0.62</v>
          </cell>
          <cell r="AH10">
            <v>4.8074619851740437</v>
          </cell>
          <cell r="AI10">
            <v>3.5006802798727672</v>
          </cell>
          <cell r="AJ10">
            <v>0.72817638302053733</v>
          </cell>
        </row>
        <row r="11">
          <cell r="A11">
            <v>5</v>
          </cell>
          <cell r="B11">
            <v>7.0237416615255599</v>
          </cell>
          <cell r="C11">
            <v>4.8463817464526358</v>
          </cell>
          <cell r="D11">
            <v>0.69</v>
          </cell>
          <cell r="E11">
            <v>7.5513581660102638</v>
          </cell>
          <cell r="F11">
            <v>5.2104371345470817</v>
          </cell>
          <cell r="G11">
            <v>0.69</v>
          </cell>
          <cell r="H11">
            <v>8.2659880611484997</v>
          </cell>
          <cell r="I11">
            <v>5.7035317621924646</v>
          </cell>
          <cell r="J11">
            <v>0.69</v>
          </cell>
          <cell r="K11">
            <v>5.8996475201200189</v>
          </cell>
          <cell r="L11">
            <v>4.0707567888828127</v>
          </cell>
          <cell r="M11">
            <v>0.69</v>
          </cell>
          <cell r="O11">
            <v>5</v>
          </cell>
          <cell r="P11">
            <v>7.1602163802156786</v>
          </cell>
          <cell r="Q11">
            <v>4.9405493023488178</v>
          </cell>
          <cell r="R11">
            <v>0.69</v>
          </cell>
          <cell r="S11">
            <v>7.4719652726391805</v>
          </cell>
          <cell r="T11">
            <v>5.1556560381210339</v>
          </cell>
          <cell r="U11">
            <v>0.69</v>
          </cell>
          <cell r="V11">
            <v>8.2694768410871031</v>
          </cell>
          <cell r="W11">
            <v>5.705939020350101</v>
          </cell>
          <cell r="X11">
            <v>0.69</v>
          </cell>
          <cell r="Y11">
            <v>5.833831441979437</v>
          </cell>
          <cell r="Z11">
            <v>4.0253436949658115</v>
          </cell>
          <cell r="AA11">
            <v>0.69</v>
          </cell>
          <cell r="AB11">
            <v>5.7849599623960684</v>
          </cell>
          <cell r="AC11">
            <v>3.991622374053287</v>
          </cell>
          <cell r="AD11">
            <v>0.69</v>
          </cell>
          <cell r="AE11">
            <v>7.1409217207821927</v>
          </cell>
          <cell r="AF11">
            <v>4.9272359873397127</v>
          </cell>
          <cell r="AG11">
            <v>0.69</v>
          </cell>
          <cell r="AH11">
            <v>6.9435619365166099</v>
          </cell>
          <cell r="AI11">
            <v>4.7910577361964606</v>
          </cell>
          <cell r="AJ11">
            <v>0.69</v>
          </cell>
        </row>
        <row r="12">
          <cell r="A12">
            <v>6</v>
          </cell>
          <cell r="B12">
            <v>9.5656672152205253</v>
          </cell>
          <cell r="C12">
            <v>6.6003103785021615</v>
          </cell>
          <cell r="D12">
            <v>0.69</v>
          </cell>
          <cell r="E12">
            <v>10.284230645137789</v>
          </cell>
          <cell r="F12">
            <v>7.0961191451450736</v>
          </cell>
          <cell r="G12">
            <v>0.69</v>
          </cell>
          <cell r="H12">
            <v>11.499282710917472</v>
          </cell>
          <cell r="I12">
            <v>7.9345050705330546</v>
          </cell>
          <cell r="J12">
            <v>0.69</v>
          </cell>
          <cell r="K12">
            <v>9.7963282895820072</v>
          </cell>
          <cell r="L12">
            <v>6.7594665198115846</v>
          </cell>
          <cell r="M12">
            <v>0.69</v>
          </cell>
          <cell r="O12">
            <v>6</v>
          </cell>
          <cell r="P12">
            <v>9.7515327844842101</v>
          </cell>
          <cell r="Q12">
            <v>6.7285576212941045</v>
          </cell>
          <cell r="R12">
            <v>0.69</v>
          </cell>
          <cell r="S12">
            <v>10.176105085594312</v>
          </cell>
          <cell r="T12">
            <v>7.0215125090600745</v>
          </cell>
          <cell r="U12">
            <v>0.69</v>
          </cell>
          <cell r="V12">
            <v>11.504136149675597</v>
          </cell>
          <cell r="W12">
            <v>7.9378539432761617</v>
          </cell>
          <cell r="X12">
            <v>0.69</v>
          </cell>
          <cell r="Y12">
            <v>9.687041098101659</v>
          </cell>
          <cell r="Z12">
            <v>6.6840583576901444</v>
          </cell>
          <cell r="AA12">
            <v>0.69</v>
          </cell>
          <cell r="AB12">
            <v>9.6058903079292737</v>
          </cell>
          <cell r="AC12">
            <v>6.6280643124711984</v>
          </cell>
          <cell r="AD12">
            <v>0.69</v>
          </cell>
          <cell r="AE12">
            <v>9.7252552959224143</v>
          </cell>
          <cell r="AF12">
            <v>6.7104261541864654</v>
          </cell>
          <cell r="AG12">
            <v>0.69</v>
          </cell>
          <cell r="AH12">
            <v>10.07499345361791</v>
          </cell>
          <cell r="AI12">
            <v>6.9517454829963583</v>
          </cell>
          <cell r="AJ12">
            <v>0.69000000000000006</v>
          </cell>
        </row>
        <row r="13">
          <cell r="A13">
            <v>7</v>
          </cell>
          <cell r="B13">
            <v>12.107592768915486</v>
          </cell>
          <cell r="C13">
            <v>8.3542390105516855</v>
          </cell>
          <cell r="D13">
            <v>0.69</v>
          </cell>
          <cell r="E13">
            <v>13.017103124265313</v>
          </cell>
          <cell r="F13">
            <v>8.9818011557430655</v>
          </cell>
          <cell r="G13">
            <v>0.69</v>
          </cell>
          <cell r="H13">
            <v>14.732577360686443</v>
          </cell>
          <cell r="I13">
            <v>10.165478378873646</v>
          </cell>
          <cell r="J13">
            <v>0.69</v>
          </cell>
          <cell r="K13">
            <v>13.693009059043996</v>
          </cell>
          <cell r="L13">
            <v>9.4481762507403566</v>
          </cell>
          <cell r="M13">
            <v>0.69</v>
          </cell>
          <cell r="O13">
            <v>7</v>
          </cell>
          <cell r="P13">
            <v>12.342849188752741</v>
          </cell>
          <cell r="Q13">
            <v>8.5165659402393903</v>
          </cell>
          <cell r="R13">
            <v>0.69</v>
          </cell>
          <cell r="S13">
            <v>12.880244898549444</v>
          </cell>
          <cell r="T13">
            <v>8.8873689799991151</v>
          </cell>
          <cell r="U13">
            <v>0.69</v>
          </cell>
          <cell r="V13">
            <v>14.738795458264091</v>
          </cell>
          <cell r="W13">
            <v>10.169768866202222</v>
          </cell>
          <cell r="X13">
            <v>0.69</v>
          </cell>
          <cell r="Y13">
            <v>13.540250754223882</v>
          </cell>
          <cell r="Z13">
            <v>9.3427730204144783</v>
          </cell>
          <cell r="AA13">
            <v>0.69</v>
          </cell>
          <cell r="AB13">
            <v>13.426820653462482</v>
          </cell>
          <cell r="AC13">
            <v>9.2645062508891112</v>
          </cell>
          <cell r="AD13">
            <v>0.69</v>
          </cell>
          <cell r="AE13">
            <v>12.309588871062637</v>
          </cell>
          <cell r="AF13">
            <v>8.493616321033219</v>
          </cell>
          <cell r="AG13">
            <v>0.69</v>
          </cell>
          <cell r="AH13">
            <v>13.206424970719212</v>
          </cell>
          <cell r="AI13">
            <v>9.1124332297962578</v>
          </cell>
          <cell r="AJ13">
            <v>0.69000000000000017</v>
          </cell>
        </row>
        <row r="14">
          <cell r="A14">
            <v>8</v>
          </cell>
          <cell r="B14">
            <v>14.649518322610454</v>
          </cell>
          <cell r="C14">
            <v>10.108167642601213</v>
          </cell>
          <cell r="D14">
            <v>0.69</v>
          </cell>
          <cell r="E14">
            <v>15.749975603392837</v>
          </cell>
          <cell r="F14">
            <v>10.867483166341056</v>
          </cell>
          <cell r="G14">
            <v>0.69</v>
          </cell>
          <cell r="H14">
            <v>20.243236068118783</v>
          </cell>
          <cell r="I14">
            <v>13.967832887001959</v>
          </cell>
          <cell r="J14">
            <v>0.69</v>
          </cell>
          <cell r="K14">
            <v>17.589689828505989</v>
          </cell>
          <cell r="L14">
            <v>12.136885981669131</v>
          </cell>
          <cell r="M14">
            <v>0.69</v>
          </cell>
          <cell r="O14">
            <v>8</v>
          </cell>
          <cell r="P14">
            <v>14.934165593021277</v>
          </cell>
          <cell r="Q14">
            <v>10.30457425918468</v>
          </cell>
          <cell r="R14">
            <v>0.69</v>
          </cell>
          <cell r="S14">
            <v>15.584384711504576</v>
          </cell>
          <cell r="T14">
            <v>10.753225450938157</v>
          </cell>
          <cell r="U14">
            <v>0.69</v>
          </cell>
          <cell r="V14">
            <v>20.251780018988832</v>
          </cell>
          <cell r="W14">
            <v>13.973728213102293</v>
          </cell>
          <cell r="X14">
            <v>0.69</v>
          </cell>
          <cell r="Y14">
            <v>17.393460410346108</v>
          </cell>
          <cell r="Z14">
            <v>12.001487683138814</v>
          </cell>
          <cell r="AA14">
            <v>0.69</v>
          </cell>
          <cell r="AB14">
            <v>17.247750998995688</v>
          </cell>
          <cell r="AC14">
            <v>11.900948189307025</v>
          </cell>
          <cell r="AD14">
            <v>0.69</v>
          </cell>
          <cell r="AE14">
            <v>14.893922446202867</v>
          </cell>
          <cell r="AF14">
            <v>10.276806487879977</v>
          </cell>
          <cell r="AG14">
            <v>0.69</v>
          </cell>
          <cell r="AH14">
            <v>16.717577363176556</v>
          </cell>
          <cell r="AI14">
            <v>11.535128380591823</v>
          </cell>
          <cell r="AJ14">
            <v>0.69</v>
          </cell>
        </row>
        <row r="15">
          <cell r="A15">
            <v>9</v>
          </cell>
          <cell r="B15">
            <v>18.813593736229173</v>
          </cell>
          <cell r="C15">
            <v>12.981379677998129</v>
          </cell>
          <cell r="D15">
            <v>0.69</v>
          </cell>
          <cell r="E15">
            <v>20.226852230384637</v>
          </cell>
          <cell r="F15">
            <v>13.956528038965399</v>
          </cell>
          <cell r="G15">
            <v>0.69</v>
          </cell>
          <cell r="H15">
            <v>25.753894775551121</v>
          </cell>
          <cell r="I15">
            <v>17.770187395130272</v>
          </cell>
          <cell r="J15">
            <v>0.69</v>
          </cell>
          <cell r="K15">
            <v>20.211755393003767</v>
          </cell>
          <cell r="L15">
            <v>13.946111221172599</v>
          </cell>
          <cell r="M15">
            <v>0.69</v>
          </cell>
          <cell r="O15">
            <v>9</v>
          </cell>
          <cell r="P15">
            <v>19.179151018434851</v>
          </cell>
          <cell r="Q15">
            <v>13.233614202720046</v>
          </cell>
          <cell r="R15">
            <v>0.69</v>
          </cell>
          <cell r="S15">
            <v>20.014192694569232</v>
          </cell>
          <cell r="T15">
            <v>13.80979295925277</v>
          </cell>
          <cell r="U15">
            <v>0.69</v>
          </cell>
          <cell r="V15">
            <v>25.764764579713571</v>
          </cell>
          <cell r="W15">
            <v>17.777687560002363</v>
          </cell>
          <cell r="X15">
            <v>0.69</v>
          </cell>
          <cell r="Y15">
            <v>19.986274384559184</v>
          </cell>
          <cell r="Z15">
            <v>13.790529325345837</v>
          </cell>
          <cell r="AA15">
            <v>0.69</v>
          </cell>
          <cell r="AB15">
            <v>19.818844315616165</v>
          </cell>
          <cell r="AC15">
            <v>13.675002577775151</v>
          </cell>
          <cell r="AD15">
            <v>0.69</v>
          </cell>
          <cell r="AE15">
            <v>19.127468894952315</v>
          </cell>
          <cell r="AF15">
            <v>13.197953537517096</v>
          </cell>
          <cell r="AG15">
            <v>0.69</v>
          </cell>
          <cell r="AH15">
            <v>20.648449314640885</v>
          </cell>
          <cell r="AI15">
            <v>14.24743002710221</v>
          </cell>
          <cell r="AJ15">
            <v>0.69</v>
          </cell>
        </row>
        <row r="16">
          <cell r="A16">
            <v>10</v>
          </cell>
          <cell r="B16">
            <v>22.977669149847902</v>
          </cell>
          <cell r="C16">
            <v>15.854591713395051</v>
          </cell>
          <cell r="D16">
            <v>0.69</v>
          </cell>
          <cell r="E16">
            <v>24.703728857376444</v>
          </cell>
          <cell r="F16">
            <v>17.045572911589744</v>
          </cell>
          <cell r="G16">
            <v>0.69</v>
          </cell>
          <cell r="H16">
            <v>31.264553482983455</v>
          </cell>
          <cell r="I16">
            <v>21.572541903258582</v>
          </cell>
          <cell r="J16">
            <v>0.69</v>
          </cell>
          <cell r="K16">
            <v>22.833820957501555</v>
          </cell>
          <cell r="L16">
            <v>15.755336460676071</v>
          </cell>
          <cell r="M16">
            <v>0.69</v>
          </cell>
          <cell r="O16">
            <v>10</v>
          </cell>
          <cell r="P16">
            <v>23.424136443848436</v>
          </cell>
          <cell r="Q16">
            <v>16.16265414625542</v>
          </cell>
          <cell r="R16">
            <v>0.69</v>
          </cell>
          <cell r="S16">
            <v>24.444000677633895</v>
          </cell>
          <cell r="T16">
            <v>16.866360467567386</v>
          </cell>
          <cell r="U16">
            <v>0.69</v>
          </cell>
          <cell r="V16">
            <v>31.27774914043831</v>
          </cell>
          <cell r="W16">
            <v>21.581646906902431</v>
          </cell>
          <cell r="X16">
            <v>0.69</v>
          </cell>
          <cell r="Y16">
            <v>22.579088358772271</v>
          </cell>
          <cell r="Z16">
            <v>15.579570967552865</v>
          </cell>
          <cell r="AA16">
            <v>0.69</v>
          </cell>
          <cell r="AB16">
            <v>22.389937632236641</v>
          </cell>
          <cell r="AC16">
            <v>15.449056966243282</v>
          </cell>
          <cell r="AD16">
            <v>0.69</v>
          </cell>
          <cell r="AE16">
            <v>23.361015343701762</v>
          </cell>
          <cell r="AF16">
            <v>16.119100587154215</v>
          </cell>
          <cell r="AG16">
            <v>0.69</v>
          </cell>
          <cell r="AH16">
            <v>24.579321266105222</v>
          </cell>
          <cell r="AI16">
            <v>16.959731673612598</v>
          </cell>
          <cell r="AJ16">
            <v>0.68999999999999984</v>
          </cell>
        </row>
        <row r="17">
          <cell r="A17">
            <v>11</v>
          </cell>
          <cell r="B17">
            <v>27.442762063246295</v>
          </cell>
          <cell r="C17">
            <v>18.935505823639943</v>
          </cell>
          <cell r="D17">
            <v>0.69</v>
          </cell>
          <cell r="E17">
            <v>29.504235120054407</v>
          </cell>
          <cell r="F17">
            <v>20.357922232837538</v>
          </cell>
          <cell r="G17">
            <v>0.69</v>
          </cell>
          <cell r="H17">
            <v>36.887674613016472</v>
          </cell>
          <cell r="I17">
            <v>25.452495482981362</v>
          </cell>
          <cell r="J17">
            <v>0.69</v>
          </cell>
          <cell r="K17">
            <v>28.624215745767497</v>
          </cell>
          <cell r="L17">
            <v>19.750708864579572</v>
          </cell>
          <cell r="M17">
            <v>0.69</v>
          </cell>
          <cell r="O17">
            <v>11</v>
          </cell>
          <cell r="P17">
            <v>27.975988285556976</v>
          </cell>
          <cell r="Q17">
            <v>19.303431917034313</v>
          </cell>
          <cell r="R17">
            <v>0.69</v>
          </cell>
          <cell r="S17">
            <v>29.194035743811668</v>
          </cell>
          <cell r="T17">
            <v>20.14388466323005</v>
          </cell>
          <cell r="U17">
            <v>0.69</v>
          </cell>
          <cell r="V17">
            <v>36.903243590157444</v>
          </cell>
          <cell r="W17">
            <v>25.463238077208636</v>
          </cell>
          <cell r="X17">
            <v>0.69</v>
          </cell>
          <cell r="Y17">
            <v>28.304885885159493</v>
          </cell>
          <cell r="Z17">
            <v>19.530371260760049</v>
          </cell>
          <cell r="AA17">
            <v>0.69</v>
          </cell>
          <cell r="AB17">
            <v>28.067768706440191</v>
          </cell>
          <cell r="AC17">
            <v>19.366760407443731</v>
          </cell>
          <cell r="AD17">
            <v>0.69</v>
          </cell>
          <cell r="AE17">
            <v>27.90060129477045</v>
          </cell>
          <cell r="AF17">
            <v>19.251414893391608</v>
          </cell>
          <cell r="AG17">
            <v>0.69</v>
          </cell>
          <cell r="AH17">
            <v>29.724420584316036</v>
          </cell>
          <cell r="AI17">
            <v>20.509850203178065</v>
          </cell>
          <cell r="AJ17">
            <v>0.69</v>
          </cell>
        </row>
        <row r="18">
          <cell r="A18">
            <v>12</v>
          </cell>
          <cell r="B18">
            <v>31.9078549766447</v>
          </cell>
          <cell r="C18">
            <v>22.016419933884841</v>
          </cell>
          <cell r="D18">
            <v>0.69</v>
          </cell>
          <cell r="E18">
            <v>34.304741382732345</v>
          </cell>
          <cell r="F18">
            <v>23.670271554085318</v>
          </cell>
          <cell r="G18">
            <v>0.69</v>
          </cell>
          <cell r="H18">
            <v>42.510795743049471</v>
          </cell>
          <cell r="I18">
            <v>29.332449062704132</v>
          </cell>
          <cell r="J18">
            <v>0.69</v>
          </cell>
          <cell r="K18">
            <v>34.086852338471211</v>
          </cell>
          <cell r="L18">
            <v>23.519928113545134</v>
          </cell>
          <cell r="M18">
            <v>0.69</v>
          </cell>
          <cell r="O18">
            <v>12</v>
          </cell>
          <cell r="P18">
            <v>32.527840127265527</v>
          </cell>
          <cell r="Q18">
            <v>22.444209687813213</v>
          </cell>
          <cell r="R18">
            <v>0.69</v>
          </cell>
          <cell r="S18">
            <v>33.944070809989427</v>
          </cell>
          <cell r="T18">
            <v>23.421408858892701</v>
          </cell>
          <cell r="U18">
            <v>0.69</v>
          </cell>
          <cell r="V18">
            <v>42.528738039876572</v>
          </cell>
          <cell r="W18">
            <v>29.344829247514834</v>
          </cell>
          <cell r="X18">
            <v>0.69</v>
          </cell>
          <cell r="Y18">
            <v>33.706581664770077</v>
          </cell>
          <cell r="Z18">
            <v>23.257541348691351</v>
          </cell>
          <cell r="AA18">
            <v>0.69</v>
          </cell>
          <cell r="AB18">
            <v>33.424213116066184</v>
          </cell>
          <cell r="AC18">
            <v>23.062707050085663</v>
          </cell>
          <cell r="AD18">
            <v>0.69</v>
          </cell>
          <cell r="AE18">
            <v>32.440187245839127</v>
          </cell>
          <cell r="AF18">
            <v>22.383729199628995</v>
          </cell>
          <cell r="AG18">
            <v>0.69</v>
          </cell>
          <cell r="AH18">
            <v>34.761938500634493</v>
          </cell>
          <cell r="AI18">
            <v>23.985737565437791</v>
          </cell>
          <cell r="AJ18">
            <v>0.68999999999999972</v>
          </cell>
        </row>
        <row r="19">
          <cell r="A19">
            <v>13</v>
          </cell>
          <cell r="B19">
            <v>38.831257471577032</v>
          </cell>
          <cell r="C19">
            <v>26.793567655388152</v>
          </cell>
          <cell r="D19">
            <v>0.69</v>
          </cell>
          <cell r="E19">
            <v>41.748223003513907</v>
          </cell>
          <cell r="F19">
            <v>28.806273872424594</v>
          </cell>
          <cell r="G19">
            <v>0.69</v>
          </cell>
          <cell r="H19">
            <v>49.315278897878592</v>
          </cell>
          <cell r="I19">
            <v>34.027542439536226</v>
          </cell>
          <cell r="J19">
            <v>0.69</v>
          </cell>
          <cell r="K19">
            <v>39.549488931174942</v>
          </cell>
          <cell r="L19">
            <v>27.289147362510707</v>
          </cell>
          <cell r="M19">
            <v>0.69</v>
          </cell>
          <cell r="O19">
            <v>13</v>
          </cell>
          <cell r="P19">
            <v>39.585767702049552</v>
          </cell>
          <cell r="Q19">
            <v>27.314179714414188</v>
          </cell>
          <cell r="R19">
            <v>0.69</v>
          </cell>
          <cell r="S19">
            <v>41.309293721590919</v>
          </cell>
          <cell r="T19">
            <v>28.503412667897731</v>
          </cell>
          <cell r="U19">
            <v>0.69</v>
          </cell>
          <cell r="V19">
            <v>49.336093125338486</v>
          </cell>
          <cell r="W19">
            <v>34.041904256483555</v>
          </cell>
          <cell r="X19">
            <v>0.69</v>
          </cell>
          <cell r="Y19">
            <v>39.108277444380676</v>
          </cell>
          <cell r="Z19">
            <v>26.984711436622664</v>
          </cell>
          <cell r="AA19">
            <v>0.69</v>
          </cell>
          <cell r="AB19">
            <v>38.78065752569217</v>
          </cell>
          <cell r="AC19">
            <v>26.758653692727595</v>
          </cell>
          <cell r="AD19">
            <v>0.69</v>
          </cell>
          <cell r="AE19">
            <v>39.479095799181579</v>
          </cell>
          <cell r="AF19">
            <v>27.240576101435288</v>
          </cell>
          <cell r="AG19">
            <v>0.69</v>
          </cell>
          <cell r="AH19">
            <v>41.26653088637223</v>
          </cell>
          <cell r="AI19">
            <v>28.473906311596835</v>
          </cell>
          <cell r="AJ19">
            <v>0.69</v>
          </cell>
        </row>
        <row r="20">
          <cell r="A20">
            <v>14</v>
          </cell>
          <cell r="B20">
            <v>45.754659966509379</v>
          </cell>
          <cell r="C20">
            <v>32.943355175886751</v>
          </cell>
          <cell r="D20">
            <v>0.72</v>
          </cell>
          <cell r="E20">
            <v>49.191704624295454</v>
          </cell>
          <cell r="F20">
            <v>35.418027329492723</v>
          </cell>
          <cell r="G20">
            <v>0.72</v>
          </cell>
          <cell r="H20">
            <v>56.119762052707728</v>
          </cell>
          <cell r="I20">
            <v>40.406228677949564</v>
          </cell>
          <cell r="J20">
            <v>0.72</v>
          </cell>
          <cell r="K20">
            <v>46.377784672054588</v>
          </cell>
          <cell r="L20">
            <v>33.392004963879302</v>
          </cell>
          <cell r="M20">
            <v>0.72</v>
          </cell>
          <cell r="O20">
            <v>14</v>
          </cell>
          <cell r="P20">
            <v>46.643695276833583</v>
          </cell>
          <cell r="Q20">
            <v>33.583460599320176</v>
          </cell>
          <cell r="R20">
            <v>0.72</v>
          </cell>
          <cell r="S20">
            <v>48.674516633192397</v>
          </cell>
          <cell r="T20">
            <v>35.045651975898522</v>
          </cell>
          <cell r="U20">
            <v>0.72</v>
          </cell>
          <cell r="V20">
            <v>56.143448210800422</v>
          </cell>
          <cell r="W20">
            <v>40.423282711776302</v>
          </cell>
          <cell r="X20">
            <v>0.72</v>
          </cell>
          <cell r="Y20">
            <v>45.860397168893911</v>
          </cell>
          <cell r="Z20">
            <v>33.019485961603614</v>
          </cell>
          <cell r="AA20">
            <v>0.72</v>
          </cell>
          <cell r="AB20">
            <v>45.476213037724655</v>
          </cell>
          <cell r="AC20">
            <v>32.742873387161751</v>
          </cell>
          <cell r="AD20">
            <v>0.72</v>
          </cell>
          <cell r="AE20">
            <v>46.518004352524024</v>
          </cell>
          <cell r="AF20">
            <v>33.492963133817298</v>
          </cell>
          <cell r="AG20">
            <v>0.72</v>
          </cell>
          <cell r="AH20">
            <v>48.219379113328159</v>
          </cell>
          <cell r="AI20">
            <v>34.717952961596275</v>
          </cell>
          <cell r="AJ20">
            <v>0.72</v>
          </cell>
        </row>
        <row r="21">
          <cell r="A21">
            <v>15</v>
          </cell>
          <cell r="B21">
            <v>54.049364404882411</v>
          </cell>
          <cell r="C21">
            <v>38.915542371515336</v>
          </cell>
          <cell r="D21">
            <v>0.72</v>
          </cell>
          <cell r="E21">
            <v>58.109499029869482</v>
          </cell>
          <cell r="F21">
            <v>41.838839301506027</v>
          </cell>
          <cell r="G21">
            <v>0.72</v>
          </cell>
          <cell r="H21">
            <v>62.924245207536863</v>
          </cell>
          <cell r="I21">
            <v>45.305456549426538</v>
          </cell>
          <cell r="J21">
            <v>0.72</v>
          </cell>
          <cell r="K21">
            <v>53.206080412934234</v>
          </cell>
          <cell r="L21">
            <v>38.308377897312646</v>
          </cell>
          <cell r="M21">
            <v>0.72</v>
          </cell>
          <cell r="O21">
            <v>15</v>
          </cell>
          <cell r="P21">
            <v>55.099569859183511</v>
          </cell>
          <cell r="Q21">
            <v>39.671690298612127</v>
          </cell>
          <cell r="R21">
            <v>0.72</v>
          </cell>
          <cell r="S21">
            <v>57.498551812309145</v>
          </cell>
          <cell r="T21">
            <v>41.398957304862584</v>
          </cell>
          <cell r="U21">
            <v>0.72</v>
          </cell>
          <cell r="V21">
            <v>62.95080329626235</v>
          </cell>
          <cell r="W21">
            <v>45.324578373308889</v>
          </cell>
          <cell r="X21">
            <v>0.72</v>
          </cell>
          <cell r="Y21">
            <v>52.61251689340714</v>
          </cell>
          <cell r="Z21">
            <v>37.881012163253139</v>
          </cell>
          <cell r="AA21">
            <v>0.72</v>
          </cell>
          <cell r="AB21">
            <v>52.17176854975714</v>
          </cell>
          <cell r="AC21">
            <v>37.563673355825138</v>
          </cell>
          <cell r="AD21">
            <v>0.72</v>
          </cell>
          <cell r="AE21">
            <v>54.951092860876336</v>
          </cell>
          <cell r="AF21">
            <v>39.56478685983096</v>
          </cell>
          <cell r="AG21">
            <v>0.72</v>
          </cell>
          <cell r="AH21">
            <v>55.88071721196593</v>
          </cell>
          <cell r="AI21">
            <v>40.234116392615469</v>
          </cell>
          <cell r="AJ21">
            <v>0.72</v>
          </cell>
        </row>
        <row r="22">
          <cell r="A22">
            <v>16</v>
          </cell>
          <cell r="B22">
            <v>62.344068843255464</v>
          </cell>
          <cell r="C22">
            <v>46.13461094400904</v>
          </cell>
          <cell r="D22">
            <v>0.74</v>
          </cell>
          <cell r="E22">
            <v>67.027293435443525</v>
          </cell>
          <cell r="F22">
            <v>49.600197142228204</v>
          </cell>
          <cell r="G22">
            <v>0.74</v>
          </cell>
          <cell r="H22">
            <v>73.135833179676823</v>
          </cell>
          <cell r="I22">
            <v>54.120516552960844</v>
          </cell>
          <cell r="J22">
            <v>0.74</v>
          </cell>
          <cell r="K22">
            <v>63.002408702516199</v>
          </cell>
          <cell r="L22">
            <v>46.621782439861988</v>
          </cell>
          <cell r="M22">
            <v>0.74</v>
          </cell>
          <cell r="O22">
            <v>16</v>
          </cell>
          <cell r="P22">
            <v>63.55544444153346</v>
          </cell>
          <cell r="Q22">
            <v>47.031028886734759</v>
          </cell>
          <cell r="R22">
            <v>0.74</v>
          </cell>
          <cell r="S22">
            <v>66.322586991425908</v>
          </cell>
          <cell r="T22">
            <v>49.078714373655167</v>
          </cell>
          <cell r="U22">
            <v>0.74</v>
          </cell>
          <cell r="V22">
            <v>73.166701216952305</v>
          </cell>
          <cell r="W22">
            <v>54.143358900544705</v>
          </cell>
          <cell r="X22">
            <v>0.74</v>
          </cell>
          <cell r="Y22">
            <v>62.299557991508763</v>
          </cell>
          <cell r="Z22">
            <v>46.101672913716484</v>
          </cell>
          <cell r="AA22">
            <v>0.74</v>
          </cell>
          <cell r="AB22">
            <v>61.777658857686419</v>
          </cell>
          <cell r="AC22">
            <v>45.715467554687947</v>
          </cell>
          <cell r="AD22">
            <v>0.74</v>
          </cell>
          <cell r="AE22">
            <v>63.384181369228649</v>
          </cell>
          <cell r="AF22">
            <v>46.9042942132292</v>
          </cell>
          <cell r="AG22">
            <v>0.74</v>
          </cell>
          <cell r="AH22">
            <v>65.084355144722593</v>
          </cell>
          <cell r="AI22">
            <v>48.162422807094714</v>
          </cell>
          <cell r="AJ22">
            <v>0.73999999999999988</v>
          </cell>
        </row>
        <row r="23">
          <cell r="A23">
            <v>17</v>
          </cell>
          <cell r="B23">
            <v>70.638773281628517</v>
          </cell>
          <cell r="C23">
            <v>52.272692228405099</v>
          </cell>
          <cell r="D23">
            <v>0.74</v>
          </cell>
          <cell r="E23">
            <v>75.945087841017553</v>
          </cell>
          <cell r="F23">
            <v>56.199365002352991</v>
          </cell>
          <cell r="G23">
            <v>0.74</v>
          </cell>
          <cell r="H23">
            <v>83.347421151816761</v>
          </cell>
          <cell r="I23">
            <v>61.677091652344401</v>
          </cell>
          <cell r="J23">
            <v>0.74</v>
          </cell>
          <cell r="K23">
            <v>72.798736992098199</v>
          </cell>
          <cell r="L23">
            <v>53.871065374152664</v>
          </cell>
          <cell r="M23">
            <v>0.74</v>
          </cell>
          <cell r="O23">
            <v>17</v>
          </cell>
          <cell r="P23">
            <v>72.011319023883416</v>
          </cell>
          <cell r="Q23">
            <v>53.288376077673725</v>
          </cell>
          <cell r="R23">
            <v>0.74</v>
          </cell>
          <cell r="S23">
            <v>75.14662217054267</v>
          </cell>
          <cell r="T23">
            <v>55.608500406201571</v>
          </cell>
          <cell r="U23">
            <v>0.74</v>
          </cell>
          <cell r="V23">
            <v>83.382599137642245</v>
          </cell>
          <cell r="W23">
            <v>61.703123361855262</v>
          </cell>
          <cell r="X23">
            <v>0.74</v>
          </cell>
          <cell r="Y23">
            <v>71.986599089610408</v>
          </cell>
          <cell r="Z23">
            <v>53.270083326311706</v>
          </cell>
          <cell r="AA23">
            <v>0.74</v>
          </cell>
          <cell r="AB23">
            <v>71.38354916561569</v>
          </cell>
          <cell r="AC23">
            <v>52.823826382555609</v>
          </cell>
          <cell r="AD23">
            <v>0.74</v>
          </cell>
          <cell r="AE23">
            <v>71.817269877580941</v>
          </cell>
          <cell r="AF23">
            <v>53.144779709409896</v>
          </cell>
          <cell r="AG23">
            <v>0.74</v>
          </cell>
          <cell r="AH23">
            <v>74.287993077479229</v>
          </cell>
          <cell r="AI23">
            <v>54.973114877334631</v>
          </cell>
          <cell r="AJ23">
            <v>0.74</v>
          </cell>
        </row>
        <row r="24">
          <cell r="A24">
            <v>18</v>
          </cell>
          <cell r="B24">
            <v>81.578382944673777</v>
          </cell>
          <cell r="C24">
            <v>61.999571037952066</v>
          </cell>
          <cell r="D24">
            <v>0.76</v>
          </cell>
          <cell r="E24">
            <v>87.706470127401218</v>
          </cell>
          <cell r="F24">
            <v>66.656917296824929</v>
          </cell>
          <cell r="G24">
            <v>0.76</v>
          </cell>
          <cell r="H24">
            <v>91.096929936484131</v>
          </cell>
          <cell r="I24">
            <v>69.233666751727938</v>
          </cell>
          <cell r="J24">
            <v>0.76</v>
          </cell>
          <cell r="K24">
            <v>80.421510932162292</v>
          </cell>
          <cell r="L24">
            <v>61.12034830844334</v>
          </cell>
          <cell r="M24">
            <v>0.76</v>
          </cell>
          <cell r="O24">
            <v>18</v>
          </cell>
          <cell r="P24">
            <v>83.163490626602794</v>
          </cell>
          <cell r="Q24">
            <v>63.204252876218121</v>
          </cell>
          <cell r="R24">
            <v>0.76</v>
          </cell>
          <cell r="S24">
            <v>86.784348533153249</v>
          </cell>
          <cell r="T24">
            <v>65.956104885196467</v>
          </cell>
          <cell r="U24">
            <v>0.76</v>
          </cell>
          <cell r="V24">
            <v>91.135378714691839</v>
          </cell>
          <cell r="W24">
            <v>69.262887823165798</v>
          </cell>
          <cell r="X24">
            <v>0.76</v>
          </cell>
          <cell r="Y24">
            <v>79.524333866982786</v>
          </cell>
          <cell r="Z24">
            <v>60.438493738906921</v>
          </cell>
          <cell r="AA24">
            <v>0.76</v>
          </cell>
          <cell r="AB24">
            <v>78.858138434767469</v>
          </cell>
          <cell r="AC24">
            <v>59.932185210423278</v>
          </cell>
          <cell r="AD24">
            <v>0.76</v>
          </cell>
          <cell r="AE24">
            <v>82.939389685551106</v>
          </cell>
          <cell r="AF24">
            <v>63.033936161018836</v>
          </cell>
          <cell r="AG24">
            <v>0.76</v>
          </cell>
          <cell r="AH24">
            <v>83.734179976958202</v>
          </cell>
          <cell r="AI24">
            <v>63.637976782488238</v>
          </cell>
          <cell r="AJ24">
            <v>0.76</v>
          </cell>
        </row>
        <row r="25">
          <cell r="A25">
            <v>19</v>
          </cell>
          <cell r="B25">
            <v>94.376907694077659</v>
          </cell>
          <cell r="C25">
            <v>71.726449847499026</v>
          </cell>
          <cell r="D25">
            <v>0.76</v>
          </cell>
          <cell r="E25">
            <v>101.46640735696958</v>
          </cell>
          <cell r="F25">
            <v>77.114469591296881</v>
          </cell>
          <cell r="G25">
            <v>0.76</v>
          </cell>
          <cell r="H25">
            <v>101.03979190935718</v>
          </cell>
          <cell r="I25">
            <v>76.79024185111146</v>
          </cell>
          <cell r="J25">
            <v>0.76</v>
          </cell>
          <cell r="K25">
            <v>91.023817708492345</v>
          </cell>
          <cell r="L25">
            <v>69.178101458454179</v>
          </cell>
          <cell r="M25">
            <v>0.76</v>
          </cell>
          <cell r="O25">
            <v>19</v>
          </cell>
          <cell r="P25">
            <v>96.210696940476979</v>
          </cell>
          <cell r="Q25">
            <v>73.120129674762509</v>
          </cell>
          <cell r="R25">
            <v>0.76</v>
          </cell>
          <cell r="S25">
            <v>100.39961758446233</v>
          </cell>
          <cell r="T25">
            <v>76.303709364191377</v>
          </cell>
          <cell r="U25">
            <v>0.76</v>
          </cell>
          <cell r="V25">
            <v>101.08243721641621</v>
          </cell>
          <cell r="W25">
            <v>76.82265228447632</v>
          </cell>
          <cell r="X25">
            <v>0.76</v>
          </cell>
          <cell r="Y25">
            <v>90.008362009058573</v>
          </cell>
          <cell r="Z25">
            <v>68.40635512688452</v>
          </cell>
          <cell r="AA25">
            <v>0.76</v>
          </cell>
          <cell r="AB25">
            <v>89.254339224888966</v>
          </cell>
          <cell r="AC25">
            <v>67.83329781091561</v>
          </cell>
          <cell r="AD25">
            <v>0.76</v>
          </cell>
          <cell r="AE25">
            <v>95.951437648194428</v>
          </cell>
          <cell r="AF25">
            <v>72.923092612627769</v>
          </cell>
          <cell r="AG25">
            <v>0.76</v>
          </cell>
          <cell r="AH25">
            <v>95.484481770582917</v>
          </cell>
          <cell r="AI25">
            <v>72.568206145643018</v>
          </cell>
          <cell r="AJ25">
            <v>0.76</v>
          </cell>
        </row>
        <row r="26">
          <cell r="A26">
            <v>20</v>
          </cell>
          <cell r="B26">
            <v>107.17543244348161</v>
          </cell>
          <cell r="C26">
            <v>81.453328657046029</v>
          </cell>
          <cell r="D26">
            <v>0.76</v>
          </cell>
          <cell r="E26">
            <v>115.22634458653796</v>
          </cell>
          <cell r="F26">
            <v>87.572021885768848</v>
          </cell>
          <cell r="G26">
            <v>0.76</v>
          </cell>
          <cell r="H26">
            <v>110.98265388223037</v>
          </cell>
          <cell r="I26">
            <v>84.346816950495082</v>
          </cell>
          <cell r="J26">
            <v>0.76</v>
          </cell>
          <cell r="K26">
            <v>101.62612448482241</v>
          </cell>
          <cell r="L26">
            <v>77.235854608465033</v>
          </cell>
          <cell r="M26">
            <v>0.76</v>
          </cell>
          <cell r="O26">
            <v>20</v>
          </cell>
          <cell r="P26">
            <v>109.25790325435123</v>
          </cell>
          <cell r="Q26">
            <v>83.036006473306941</v>
          </cell>
          <cell r="R26">
            <v>0.76</v>
          </cell>
          <cell r="S26">
            <v>114.01488663577145</v>
          </cell>
          <cell r="T26">
            <v>86.651313843186301</v>
          </cell>
          <cell r="U26">
            <v>0.76</v>
          </cell>
          <cell r="V26">
            <v>111.02949571814071</v>
          </cell>
          <cell r="W26">
            <v>84.382416745786941</v>
          </cell>
          <cell r="X26">
            <v>0.76</v>
          </cell>
          <cell r="Y26">
            <v>100.49239015113437</v>
          </cell>
          <cell r="Z26">
            <v>76.374216514862127</v>
          </cell>
          <cell r="AA26">
            <v>0.76</v>
          </cell>
          <cell r="AB26">
            <v>99.650540015010421</v>
          </cell>
          <cell r="AC26">
            <v>75.734410411407922</v>
          </cell>
          <cell r="AD26">
            <v>0.76</v>
          </cell>
          <cell r="AE26">
            <v>108.96348561083778</v>
          </cell>
          <cell r="AF26">
            <v>82.81224906423671</v>
          </cell>
          <cell r="AG26">
            <v>0.76</v>
          </cell>
          <cell r="AH26">
            <v>107.23478356420766</v>
          </cell>
          <cell r="AI26">
            <v>81.498435508797826</v>
          </cell>
          <cell r="AJ26">
            <v>0.76</v>
          </cell>
        </row>
        <row r="27">
          <cell r="A27">
            <v>21</v>
          </cell>
          <cell r="B27">
            <v>113.03735217603305</v>
          </cell>
          <cell r="C27">
            <v>85.908387653785127</v>
          </cell>
          <cell r="D27">
            <v>0.76</v>
          </cell>
          <cell r="E27">
            <v>121.52860591305785</v>
          </cell>
          <cell r="F27">
            <v>92.361740493923961</v>
          </cell>
          <cell r="G27">
            <v>0.76</v>
          </cell>
          <cell r="H27">
            <v>116.7070223456296</v>
          </cell>
          <cell r="I27">
            <v>88.697336982678493</v>
          </cell>
          <cell r="J27">
            <v>0.76</v>
          </cell>
          <cell r="K27">
            <v>112.22843126115244</v>
          </cell>
          <cell r="L27">
            <v>85.293607758475858</v>
          </cell>
          <cell r="M27">
            <v>0.76</v>
          </cell>
          <cell r="O27">
            <v>21</v>
          </cell>
          <cell r="P27">
            <v>115.23372294009519</v>
          </cell>
          <cell r="Q27">
            <v>87.577629434472342</v>
          </cell>
          <cell r="R27">
            <v>0.76</v>
          </cell>
          <cell r="S27">
            <v>120.25088772797412</v>
          </cell>
          <cell r="T27">
            <v>91.390674673260335</v>
          </cell>
          <cell r="U27">
            <v>0.76</v>
          </cell>
          <cell r="V27">
            <v>116.75628023412899</v>
          </cell>
          <cell r="W27">
            <v>88.734772977938036</v>
          </cell>
          <cell r="X27">
            <v>0.76</v>
          </cell>
          <cell r="Y27">
            <v>110.97641829321013</v>
          </cell>
          <cell r="Z27">
            <v>84.342077902839705</v>
          </cell>
          <cell r="AA27">
            <v>0.76</v>
          </cell>
          <cell r="AB27">
            <v>110.0467408051319</v>
          </cell>
          <cell r="AC27">
            <v>83.635523011900247</v>
          </cell>
          <cell r="AD27">
            <v>0.76</v>
          </cell>
          <cell r="AE27">
            <v>114.92320223494931</v>
          </cell>
          <cell r="AF27">
            <v>87.341633698561481</v>
          </cell>
          <cell r="AG27">
            <v>0.76</v>
          </cell>
          <cell r="AH27">
            <v>114.69787537258162</v>
          </cell>
          <cell r="AI27">
            <v>87.170385283162034</v>
          </cell>
          <cell r="AJ27">
            <v>0.76</v>
          </cell>
        </row>
        <row r="28">
          <cell r="A28">
            <v>22</v>
          </cell>
          <cell r="B28">
            <v>119.89101920423339</v>
          </cell>
          <cell r="C28">
            <v>91.117174595217378</v>
          </cell>
          <cell r="D28">
            <v>0.76</v>
          </cell>
          <cell r="E28">
            <v>130.82740514402292</v>
          </cell>
          <cell r="F28">
            <v>99.428827909457425</v>
          </cell>
          <cell r="G28">
            <v>0.76</v>
          </cell>
          <cell r="H28">
            <v>126.38403836694542</v>
          </cell>
          <cell r="I28">
            <v>96.051869158878517</v>
          </cell>
          <cell r="J28">
            <v>0.76</v>
          </cell>
          <cell r="K28">
            <v>119.23841663626415</v>
          </cell>
          <cell r="L28">
            <v>90.621196643560751</v>
          </cell>
          <cell r="M28">
            <v>0.76</v>
          </cell>
          <cell r="O28">
            <v>22</v>
          </cell>
          <cell r="P28">
            <v>122.2205600540908</v>
          </cell>
          <cell r="Q28">
            <v>92.887625641109011</v>
          </cell>
          <cell r="R28">
            <v>0.76</v>
          </cell>
          <cell r="S28">
            <v>129.45192195301669</v>
          </cell>
          <cell r="T28">
            <v>98.383460684292686</v>
          </cell>
          <cell r="U28">
            <v>0.76</v>
          </cell>
          <cell r="V28">
            <v>126.43738058016329</v>
          </cell>
          <cell r="W28">
            <v>96.092409240924098</v>
          </cell>
          <cell r="X28">
            <v>0.76</v>
          </cell>
          <cell r="Y28">
            <v>117.90820073439413</v>
          </cell>
          <cell r="Z28">
            <v>89.610232558139543</v>
          </cell>
          <cell r="AA28">
            <v>0.76</v>
          </cell>
          <cell r="AB28">
            <v>116.92045395387581</v>
          </cell>
          <cell r="AC28">
            <v>88.859545004945616</v>
          </cell>
          <cell r="AD28">
            <v>0.76</v>
          </cell>
          <cell r="AE28">
            <v>129.30581441134009</v>
          </cell>
          <cell r="AF28">
            <v>98.272418952618466</v>
          </cell>
          <cell r="AG28">
            <v>0.76</v>
          </cell>
          <cell r="AH28">
            <v>123.70738861448012</v>
          </cell>
          <cell r="AI28">
            <v>94.017615347004906</v>
          </cell>
          <cell r="AJ28">
            <v>0.76000000000000012</v>
          </cell>
        </row>
        <row r="29">
          <cell r="A29">
            <v>23</v>
          </cell>
          <cell r="B29">
            <v>124.76119164113585</v>
          </cell>
          <cell r="C29">
            <v>94.818505647263251</v>
          </cell>
          <cell r="D29">
            <v>0.76</v>
          </cell>
          <cell r="E29">
            <v>134.13312856609753</v>
          </cell>
          <cell r="F29">
            <v>101.94117771023413</v>
          </cell>
          <cell r="G29">
            <v>0.76</v>
          </cell>
          <cell r="H29">
            <v>133.99695158201916</v>
          </cell>
          <cell r="I29">
            <v>101.83768320233456</v>
          </cell>
          <cell r="J29">
            <v>0.76</v>
          </cell>
          <cell r="K29">
            <v>124.99375045673375</v>
          </cell>
          <cell r="L29">
            <v>94.995250347117647</v>
          </cell>
          <cell r="M29">
            <v>0.76</v>
          </cell>
          <cell r="O29">
            <v>23</v>
          </cell>
          <cell r="P29">
            <v>127.18536231158298</v>
          </cell>
          <cell r="Q29">
            <v>96.660875356803061</v>
          </cell>
          <cell r="R29">
            <v>0.76</v>
          </cell>
          <cell r="S29">
            <v>132.72288991237937</v>
          </cell>
          <cell r="T29">
            <v>100.86939633340833</v>
          </cell>
          <cell r="U29">
            <v>0.76</v>
          </cell>
          <cell r="V29">
            <v>134.05350693548144</v>
          </cell>
          <cell r="W29">
            <v>101.88066527096589</v>
          </cell>
          <cell r="X29">
            <v>0.76</v>
          </cell>
          <cell r="Y29">
            <v>123.59932843082642</v>
          </cell>
          <cell r="Z29">
            <v>93.935489607428082</v>
          </cell>
          <cell r="AA29">
            <v>0.76</v>
          </cell>
          <cell r="AB29">
            <v>122.56390563604737</v>
          </cell>
          <cell r="AC29">
            <v>93.148568283396003</v>
          </cell>
          <cell r="AD29">
            <v>0.76</v>
          </cell>
          <cell r="AE29">
            <v>131.05408325931185</v>
          </cell>
          <cell r="AF29">
            <v>99.601103277077016</v>
          </cell>
          <cell r="AG29">
            <v>0.76</v>
          </cell>
          <cell r="AH29">
            <v>128.52984608093823</v>
          </cell>
          <cell r="AI29">
            <v>97.682683021513071</v>
          </cell>
          <cell r="AJ29">
            <v>0.76000000000000012</v>
          </cell>
        </row>
        <row r="30">
          <cell r="A30">
            <v>24</v>
          </cell>
          <cell r="B30">
            <v>130.62311137368729</v>
          </cell>
          <cell r="C30">
            <v>99.273564644002334</v>
          </cell>
          <cell r="D30">
            <v>0.76</v>
          </cell>
          <cell r="E30">
            <v>140.43538989261739</v>
          </cell>
          <cell r="F30">
            <v>106.73089631838921</v>
          </cell>
          <cell r="G30">
            <v>0.76</v>
          </cell>
          <cell r="H30">
            <v>142.64191620021396</v>
          </cell>
          <cell r="I30">
            <v>108.40785631216261</v>
          </cell>
          <cell r="J30">
            <v>0.76</v>
          </cell>
          <cell r="K30">
            <v>131.37641005452437</v>
          </cell>
          <cell r="L30">
            <v>99.846071641438527</v>
          </cell>
          <cell r="M30">
            <v>0.76</v>
          </cell>
          <cell r="O30">
            <v>24</v>
          </cell>
          <cell r="P30">
            <v>133.16118199732691</v>
          </cell>
          <cell r="Q30">
            <v>101.20249831796845</v>
          </cell>
          <cell r="R30">
            <v>0.76</v>
          </cell>
          <cell r="S30">
            <v>138.958891004582</v>
          </cell>
          <cell r="T30">
            <v>105.60875716348232</v>
          </cell>
          <cell r="U30">
            <v>0.76</v>
          </cell>
          <cell r="V30">
            <v>142.70212028615768</v>
          </cell>
          <cell r="W30">
            <v>108.45361141747983</v>
          </cell>
          <cell r="X30">
            <v>0.76</v>
          </cell>
          <cell r="Y30">
            <v>129.91078349963456</v>
          </cell>
          <cell r="Z30">
            <v>98.732195459722263</v>
          </cell>
          <cell r="AA30">
            <v>0.76</v>
          </cell>
          <cell r="AB30">
            <v>128.8224880515051</v>
          </cell>
          <cell r="AC30">
            <v>97.905090919143873</v>
          </cell>
          <cell r="AD30">
            <v>0.76</v>
          </cell>
          <cell r="AE30">
            <v>132.80235210728367</v>
          </cell>
          <cell r="AF30">
            <v>100.92978760153559</v>
          </cell>
          <cell r="AG30">
            <v>0.76</v>
          </cell>
          <cell r="AH30">
            <v>134.39296949108166</v>
          </cell>
          <cell r="AI30">
            <v>102.13865681322206</v>
          </cell>
          <cell r="AJ30">
            <v>0.76</v>
          </cell>
        </row>
        <row r="31">
          <cell r="A31">
            <v>25</v>
          </cell>
          <cell r="B31">
            <v>136.48503110623869</v>
          </cell>
          <cell r="C31">
            <v>103.7286236407414</v>
          </cell>
          <cell r="D31">
            <v>0.76</v>
          </cell>
          <cell r="E31">
            <v>146.73765121913726</v>
          </cell>
          <cell r="F31">
            <v>111.52061492654433</v>
          </cell>
          <cell r="G31">
            <v>0.76</v>
          </cell>
          <cell r="H31">
            <v>151.28688081840869</v>
          </cell>
          <cell r="I31">
            <v>114.97802942199061</v>
          </cell>
          <cell r="J31">
            <v>0.76</v>
          </cell>
          <cell r="K31">
            <v>137.75906965231502</v>
          </cell>
          <cell r="L31">
            <v>104.69689293575942</v>
          </cell>
          <cell r="M31">
            <v>0.76</v>
          </cell>
          <cell r="O31">
            <v>25</v>
          </cell>
          <cell r="P31">
            <v>139.13700168307082</v>
          </cell>
          <cell r="Q31">
            <v>105.74412127913382</v>
          </cell>
          <cell r="R31">
            <v>0.76</v>
          </cell>
          <cell r="S31">
            <v>145.19489209678466</v>
          </cell>
          <cell r="T31">
            <v>110.34811799355634</v>
          </cell>
          <cell r="U31">
            <v>0.76</v>
          </cell>
          <cell r="V31">
            <v>151.35073363683387</v>
          </cell>
          <cell r="W31">
            <v>115.02655756399373</v>
          </cell>
          <cell r="X31">
            <v>0.76</v>
          </cell>
          <cell r="Y31">
            <v>136.22223856844272</v>
          </cell>
          <cell r="Z31">
            <v>103.52890131201646</v>
          </cell>
          <cell r="AA31">
            <v>0.76</v>
          </cell>
          <cell r="AB31">
            <v>135.08107046696284</v>
          </cell>
          <cell r="AC31">
            <v>102.66161355489176</v>
          </cell>
          <cell r="AD31">
            <v>0.76</v>
          </cell>
          <cell r="AE31">
            <v>138.76206873139515</v>
          </cell>
          <cell r="AF31">
            <v>105.45917223586032</v>
          </cell>
          <cell r="AG31">
            <v>0.76</v>
          </cell>
          <cell r="AH31">
            <v>140.95800086391503</v>
          </cell>
          <cell r="AI31">
            <v>107.12808065657542</v>
          </cell>
          <cell r="AJ31">
            <v>0.76</v>
          </cell>
        </row>
        <row r="32">
          <cell r="A32">
            <v>26</v>
          </cell>
          <cell r="B32">
            <v>142.34695083879006</v>
          </cell>
          <cell r="C32">
            <v>108.18368263748046</v>
          </cell>
          <cell r="D32">
            <v>0.76</v>
          </cell>
          <cell r="E32">
            <v>153.0399125456571</v>
          </cell>
          <cell r="F32">
            <v>116.3103335346994</v>
          </cell>
          <cell r="G32">
            <v>0.76</v>
          </cell>
          <cell r="H32">
            <v>159.93184543660348</v>
          </cell>
          <cell r="I32">
            <v>121.54820253181865</v>
          </cell>
          <cell r="J32">
            <v>0.76</v>
          </cell>
          <cell r="K32">
            <v>144.14172925010567</v>
          </cell>
          <cell r="L32">
            <v>109.54771423008032</v>
          </cell>
          <cell r="M32">
            <v>0.76</v>
          </cell>
          <cell r="O32">
            <v>26</v>
          </cell>
          <cell r="P32">
            <v>145.11282136881471</v>
          </cell>
          <cell r="Q32">
            <v>110.28574424029918</v>
          </cell>
          <cell r="R32">
            <v>0.76</v>
          </cell>
          <cell r="S32">
            <v>151.43089318898728</v>
          </cell>
          <cell r="T32">
            <v>115.08747882363033</v>
          </cell>
          <cell r="U32">
            <v>0.76</v>
          </cell>
          <cell r="V32">
            <v>159.99934698751008</v>
          </cell>
          <cell r="W32">
            <v>121.59950371050766</v>
          </cell>
          <cell r="X32">
            <v>0.76</v>
          </cell>
          <cell r="Y32">
            <v>142.53369363725085</v>
          </cell>
          <cell r="Z32">
            <v>108.32560716431065</v>
          </cell>
          <cell r="AA32">
            <v>0.76</v>
          </cell>
          <cell r="AB32">
            <v>141.33965288242055</v>
          </cell>
          <cell r="AC32">
            <v>107.41813619063963</v>
          </cell>
          <cell r="AD32">
            <v>0.76</v>
          </cell>
          <cell r="AE32">
            <v>144.7217853555066</v>
          </cell>
          <cell r="AF32">
            <v>109.98855687018502</v>
          </cell>
          <cell r="AG32">
            <v>0.76</v>
          </cell>
          <cell r="AH32">
            <v>147.52303223674835</v>
          </cell>
          <cell r="AI32">
            <v>112.11750449992876</v>
          </cell>
          <cell r="AJ32">
            <v>0.76000000000000012</v>
          </cell>
        </row>
        <row r="33">
          <cell r="A33">
            <v>27</v>
          </cell>
          <cell r="B33">
            <v>148.20887057134149</v>
          </cell>
          <cell r="C33">
            <v>112.63874163421954</v>
          </cell>
          <cell r="D33">
            <v>0.76</v>
          </cell>
          <cell r="E33">
            <v>159.34217387217697</v>
          </cell>
          <cell r="F33">
            <v>121.10005214285449</v>
          </cell>
          <cell r="G33">
            <v>0.76</v>
          </cell>
          <cell r="H33">
            <v>168.57681005479827</v>
          </cell>
          <cell r="I33">
            <v>128.11837564164668</v>
          </cell>
          <cell r="J33">
            <v>0.76</v>
          </cell>
          <cell r="K33">
            <v>150.52438884789635</v>
          </cell>
          <cell r="L33">
            <v>114.39853552440123</v>
          </cell>
          <cell r="M33">
            <v>0.76</v>
          </cell>
          <cell r="O33">
            <v>27</v>
          </cell>
          <cell r="P33">
            <v>151.08864105455865</v>
          </cell>
          <cell r="Q33">
            <v>114.82736720146457</v>
          </cell>
          <cell r="R33">
            <v>0.76</v>
          </cell>
          <cell r="S33">
            <v>157.66689428118994</v>
          </cell>
          <cell r="T33">
            <v>119.82683965370435</v>
          </cell>
          <cell r="U33">
            <v>0.76</v>
          </cell>
          <cell r="V33">
            <v>168.64796033818629</v>
          </cell>
          <cell r="W33">
            <v>128.17244985702158</v>
          </cell>
          <cell r="X33">
            <v>0.76</v>
          </cell>
          <cell r="Y33">
            <v>148.84514870605904</v>
          </cell>
          <cell r="Z33">
            <v>113.12231301660486</v>
          </cell>
          <cell r="AA33">
            <v>0.76</v>
          </cell>
          <cell r="AB33">
            <v>147.59823529787832</v>
          </cell>
          <cell r="AC33">
            <v>112.17465882638751</v>
          </cell>
          <cell r="AD33">
            <v>0.76</v>
          </cell>
          <cell r="AE33">
            <v>150.68150197961808</v>
          </cell>
          <cell r="AF33">
            <v>114.51794150450975</v>
          </cell>
          <cell r="AG33">
            <v>0.76</v>
          </cell>
          <cell r="AH33">
            <v>154.08806360958172</v>
          </cell>
          <cell r="AI33">
            <v>117.10692834328209</v>
          </cell>
          <cell r="AJ33">
            <v>0.7599999999999999</v>
          </cell>
        </row>
        <row r="34">
          <cell r="A34">
            <v>28</v>
          </cell>
          <cell r="B34">
            <v>154.07079030389292</v>
          </cell>
          <cell r="C34">
            <v>117.09380063095861</v>
          </cell>
          <cell r="D34">
            <v>0.76</v>
          </cell>
          <cell r="E34">
            <v>165.64443519869681</v>
          </cell>
          <cell r="F34">
            <v>125.88977075100958</v>
          </cell>
          <cell r="G34">
            <v>0.76</v>
          </cell>
          <cell r="H34">
            <v>177.22177467299301</v>
          </cell>
          <cell r="I34">
            <v>134.68854875147468</v>
          </cell>
          <cell r="J34">
            <v>0.76</v>
          </cell>
          <cell r="K34">
            <v>156.90704844568702</v>
          </cell>
          <cell r="L34">
            <v>119.24935681872213</v>
          </cell>
          <cell r="M34">
            <v>0.76</v>
          </cell>
          <cell r="O34">
            <v>28</v>
          </cell>
          <cell r="P34">
            <v>157.06446074030256</v>
          </cell>
          <cell r="Q34">
            <v>119.36899016262994</v>
          </cell>
          <cell r="R34">
            <v>0.76</v>
          </cell>
          <cell r="S34">
            <v>163.90289537339257</v>
          </cell>
          <cell r="T34">
            <v>124.56620048377836</v>
          </cell>
          <cell r="U34">
            <v>0.76</v>
          </cell>
          <cell r="V34">
            <v>177.29657368886248</v>
          </cell>
          <cell r="W34">
            <v>134.74539600353549</v>
          </cell>
          <cell r="X34">
            <v>0.76</v>
          </cell>
          <cell r="Y34">
            <v>155.15660377486719</v>
          </cell>
          <cell r="Z34">
            <v>117.91901886889907</v>
          </cell>
          <cell r="AA34">
            <v>0.76</v>
          </cell>
          <cell r="AB34">
            <v>153.85681771333606</v>
          </cell>
          <cell r="AC34">
            <v>116.9311814621354</v>
          </cell>
          <cell r="AD34">
            <v>0.76</v>
          </cell>
          <cell r="AE34">
            <v>156.64121860372956</v>
          </cell>
          <cell r="AF34">
            <v>119.04732613883446</v>
          </cell>
          <cell r="AG34">
            <v>0.76</v>
          </cell>
          <cell r="AH34">
            <v>160.65309498241507</v>
          </cell>
          <cell r="AI34">
            <v>122.09635218663546</v>
          </cell>
          <cell r="AJ34">
            <v>0.76</v>
          </cell>
        </row>
        <row r="35">
          <cell r="A35">
            <v>29</v>
          </cell>
          <cell r="B35">
            <v>159.93271003644432</v>
          </cell>
          <cell r="C35">
            <v>121.54885962769769</v>
          </cell>
          <cell r="D35">
            <v>0.76</v>
          </cell>
          <cell r="E35">
            <v>171.94669652521668</v>
          </cell>
          <cell r="F35">
            <v>130.67948935916468</v>
          </cell>
          <cell r="G35">
            <v>0.76</v>
          </cell>
          <cell r="H35">
            <v>185.8667392911878</v>
          </cell>
          <cell r="I35">
            <v>141.25872186130272</v>
          </cell>
          <cell r="J35">
            <v>0.76</v>
          </cell>
          <cell r="K35">
            <v>163.28970804347767</v>
          </cell>
          <cell r="L35">
            <v>124.10017811304304</v>
          </cell>
          <cell r="M35">
            <v>0.76</v>
          </cell>
          <cell r="O35">
            <v>29</v>
          </cell>
          <cell r="P35">
            <v>163.04028042604648</v>
          </cell>
          <cell r="Q35">
            <v>123.91061312379532</v>
          </cell>
          <cell r="R35">
            <v>0.76</v>
          </cell>
          <cell r="S35">
            <v>170.13889646559522</v>
          </cell>
          <cell r="T35">
            <v>129.30556131385237</v>
          </cell>
          <cell r="U35">
            <v>0.76</v>
          </cell>
          <cell r="V35">
            <v>185.94518703953872</v>
          </cell>
          <cell r="W35">
            <v>141.31834215004943</v>
          </cell>
          <cell r="X35">
            <v>0.76</v>
          </cell>
          <cell r="Y35">
            <v>161.46805884367535</v>
          </cell>
          <cell r="Z35">
            <v>122.71572472119327</v>
          </cell>
          <cell r="AA35">
            <v>0.76</v>
          </cell>
          <cell r="AB35">
            <v>160.11540012879379</v>
          </cell>
          <cell r="AC35">
            <v>121.68770409788328</v>
          </cell>
          <cell r="AD35">
            <v>0.76</v>
          </cell>
          <cell r="AE35">
            <v>162.60093522784103</v>
          </cell>
          <cell r="AF35">
            <v>123.57671077315918</v>
          </cell>
          <cell r="AG35">
            <v>0.76</v>
          </cell>
          <cell r="AH35">
            <v>167.21812635524842</v>
          </cell>
          <cell r="AI35">
            <v>127.08577602998882</v>
          </cell>
          <cell r="AJ35">
            <v>0.76000000000000012</v>
          </cell>
        </row>
        <row r="36">
          <cell r="A36">
            <v>30</v>
          </cell>
          <cell r="B36">
            <v>165.79462976899575</v>
          </cell>
          <cell r="C36">
            <v>126.00391862443676</v>
          </cell>
          <cell r="D36">
            <v>0.76</v>
          </cell>
          <cell r="E36">
            <v>178.24895785173652</v>
          </cell>
          <cell r="F36">
            <v>135.46920796731976</v>
          </cell>
          <cell r="G36">
            <v>0.76</v>
          </cell>
          <cell r="H36">
            <v>194.51170390938256</v>
          </cell>
          <cell r="I36">
            <v>147.82889497113075</v>
          </cell>
          <cell r="J36">
            <v>0.76</v>
          </cell>
          <cell r="K36">
            <v>169.67236764126835</v>
          </cell>
          <cell r="L36">
            <v>128.95099940736395</v>
          </cell>
          <cell r="M36">
            <v>0.76</v>
          </cell>
          <cell r="O36">
            <v>30</v>
          </cell>
          <cell r="P36">
            <v>169.01610011179039</v>
          </cell>
          <cell r="Q36">
            <v>128.4522360849607</v>
          </cell>
          <cell r="R36">
            <v>0.76</v>
          </cell>
          <cell r="S36">
            <v>176.37489755779782</v>
          </cell>
          <cell r="T36">
            <v>134.04492214392636</v>
          </cell>
          <cell r="U36">
            <v>0.76</v>
          </cell>
          <cell r="V36">
            <v>194.59380039021497</v>
          </cell>
          <cell r="W36">
            <v>147.89128829656337</v>
          </cell>
          <cell r="X36">
            <v>0.76</v>
          </cell>
          <cell r="Y36">
            <v>167.77951391248351</v>
          </cell>
          <cell r="Z36">
            <v>127.51243057348746</v>
          </cell>
          <cell r="AA36">
            <v>0.76</v>
          </cell>
          <cell r="AB36">
            <v>166.37398254425153</v>
          </cell>
          <cell r="AC36">
            <v>126.44422673363117</v>
          </cell>
          <cell r="AD36">
            <v>0.76</v>
          </cell>
          <cell r="AE36">
            <v>168.56065185195246</v>
          </cell>
          <cell r="AF36">
            <v>128.10609540748388</v>
          </cell>
          <cell r="AG36">
            <v>0.76</v>
          </cell>
          <cell r="AH36">
            <v>173.78315772808182</v>
          </cell>
          <cell r="AI36">
            <v>132.07519987334214</v>
          </cell>
          <cell r="AJ36">
            <v>0.75999999999999979</v>
          </cell>
        </row>
        <row r="37">
          <cell r="A37">
            <v>31</v>
          </cell>
          <cell r="B37">
            <v>171.65654950154718</v>
          </cell>
          <cell r="C37">
            <v>130.45897762117585</v>
          </cell>
          <cell r="D37">
            <v>0.76</v>
          </cell>
          <cell r="E37">
            <v>184.55121917825636</v>
          </cell>
          <cell r="F37">
            <v>140.25892657547485</v>
          </cell>
          <cell r="G37">
            <v>0.76</v>
          </cell>
          <cell r="H37">
            <v>203.15666852757735</v>
          </cell>
          <cell r="I37">
            <v>154.39906808095878</v>
          </cell>
          <cell r="J37">
            <v>0.76</v>
          </cell>
          <cell r="K37">
            <v>176.055027239059</v>
          </cell>
          <cell r="L37">
            <v>133.80182070168485</v>
          </cell>
          <cell r="M37">
            <v>0.76</v>
          </cell>
          <cell r="O37">
            <v>31</v>
          </cell>
          <cell r="P37">
            <v>174.99191979753434</v>
          </cell>
          <cell r="Q37">
            <v>132.99385904612609</v>
          </cell>
          <cell r="R37">
            <v>0.76</v>
          </cell>
          <cell r="S37">
            <v>182.61089865000051</v>
          </cell>
          <cell r="T37">
            <v>138.78428297400038</v>
          </cell>
          <cell r="U37">
            <v>0.76</v>
          </cell>
          <cell r="V37">
            <v>203.24241374089121</v>
          </cell>
          <cell r="W37">
            <v>154.46423444307732</v>
          </cell>
          <cell r="X37">
            <v>0.76</v>
          </cell>
          <cell r="Y37">
            <v>174.09096898129167</v>
          </cell>
          <cell r="Z37">
            <v>132.30913642578167</v>
          </cell>
          <cell r="AA37">
            <v>0.76</v>
          </cell>
          <cell r="AB37">
            <v>172.63256495970927</v>
          </cell>
          <cell r="AC37">
            <v>131.20074936937905</v>
          </cell>
          <cell r="AD37">
            <v>0.76</v>
          </cell>
          <cell r="AE37">
            <v>174.52036847606394</v>
          </cell>
          <cell r="AF37">
            <v>132.63548004180859</v>
          </cell>
          <cell r="AG37">
            <v>0.76</v>
          </cell>
          <cell r="AH37">
            <v>180.34818910091516</v>
          </cell>
          <cell r="AI37">
            <v>137.06462371669551</v>
          </cell>
          <cell r="AJ37">
            <v>0.7599999999999999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lling price"/>
      <sheetName val="Selling Price Working"/>
      <sheetName val="Sheet1"/>
      <sheetName val="Sheet2"/>
      <sheetName val="Sheet3"/>
      <sheetName val="Transport Diesel"/>
      <sheetName val="4715 Summary"/>
      <sheetName val="4715 July 2025"/>
      <sheetName val="4715 August 2025"/>
      <sheetName val="4715"/>
      <sheetName val="Distribution Diesel"/>
      <sheetName val="4725 Summary"/>
      <sheetName val="4725 July 2025"/>
      <sheetName val="4725 August 2025"/>
      <sheetName val="4725"/>
      <sheetName val="Summary"/>
      <sheetName val="4715 Sept 2025"/>
      <sheetName val="General Ledger Entries"/>
      <sheetName val="4725 Sept 2025"/>
      <sheetName val="4725Oct 2025"/>
      <sheetName val="4715 Oct 2025"/>
      <sheetName val="4715Oct 2025"/>
      <sheetName val="4725 Oct 2025"/>
      <sheetName val="4715 Nov 2025"/>
      <sheetName val="General Ledger Entries (3)"/>
      <sheetName val="4715 Dec 2025"/>
      <sheetName val="4715 0126"/>
      <sheetName val="4715 Jan 2026"/>
      <sheetName val="4715 Feb 2026"/>
      <sheetName val="4715 0626"/>
      <sheetName val="47150326"/>
      <sheetName val="4715 0326"/>
      <sheetName val="Sheet7"/>
      <sheetName val="47250326"/>
      <sheetName val="4725 0326"/>
      <sheetName val="General Ledger Entries (4)"/>
      <sheetName val="General Ledger Entries (2)"/>
      <sheetName val="Feed cost Adj"/>
    </sheetNames>
    <sheetDataSet>
      <sheetData sheetId="0" refreshError="1"/>
      <sheetData sheetId="1">
        <row r="6">
          <cell r="K6">
            <v>2.5057680217858813</v>
          </cell>
        </row>
        <row r="8">
          <cell r="K8">
            <v>2.5075584643557285</v>
          </cell>
        </row>
        <row r="10">
          <cell r="K10">
            <v>2.5124800553900397</v>
          </cell>
        </row>
        <row r="12">
          <cell r="K12">
            <v>2.5123857801763405</v>
          </cell>
        </row>
        <row r="14">
          <cell r="K14">
            <v>2.5156472990380321</v>
          </cell>
        </row>
        <row r="16">
          <cell r="K16">
            <v>2.4991803584031205</v>
          </cell>
        </row>
        <row r="18">
          <cell r="K18">
            <v>2.517328915229037</v>
          </cell>
        </row>
        <row r="20">
          <cell r="K20">
            <v>2.5146001924607781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3">
          <cell r="B13">
            <v>2.0499999999999998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ras growers"/>
      <sheetName val="Gras gilts boars and sows"/>
      <sheetName val="Richlands"/>
      <sheetName val="Richlands Gilts and boars"/>
      <sheetName val="Villa Growers"/>
      <sheetName val="Villa Gilts &amp; Boars"/>
      <sheetName val="Lion Growers"/>
      <sheetName val="Lion Boars Gilts Sows"/>
      <sheetName val="total pig movement"/>
      <sheetName val="Sheet4"/>
      <sheetName val="Sheet3"/>
      <sheetName val="Adjusted maize"/>
      <sheetName val="Mortality Analysis"/>
      <sheetName val="summary"/>
      <sheetName val="Sheet2"/>
      <sheetName val="Feed Consumed Summary"/>
      <sheetName val="Sheet1"/>
    </sheetNames>
    <sheetDataSet>
      <sheetData sheetId="0">
        <row r="29">
          <cell r="S29">
            <v>621.99242027118532</v>
          </cell>
        </row>
      </sheetData>
      <sheetData sheetId="1">
        <row r="46">
          <cell r="O46">
            <v>-14166027.798389792</v>
          </cell>
        </row>
        <row r="58">
          <cell r="O58">
            <v>5407254.8416932896</v>
          </cell>
        </row>
      </sheetData>
      <sheetData sheetId="2">
        <row r="29">
          <cell r="S29">
            <v>700.24767862273927</v>
          </cell>
        </row>
      </sheetData>
      <sheetData sheetId="3"/>
      <sheetData sheetId="4">
        <row r="29">
          <cell r="S29">
            <v>803.35487147555375</v>
          </cell>
        </row>
      </sheetData>
      <sheetData sheetId="5"/>
      <sheetData sheetId="6">
        <row r="32">
          <cell r="S32">
            <v>992.14652654037354</v>
          </cell>
        </row>
      </sheetData>
      <sheetData sheetId="7"/>
      <sheetData sheetId="8">
        <row r="8">
          <cell r="D8">
            <v>41276710.651861966</v>
          </cell>
        </row>
        <row r="12">
          <cell r="B12">
            <v>-1741280.3960333546</v>
          </cell>
        </row>
        <row r="13">
          <cell r="B13">
            <v>-33865103.904065557</v>
          </cell>
        </row>
        <row r="14">
          <cell r="B14">
            <v>-691199.60298346123</v>
          </cell>
        </row>
        <row r="74">
          <cell r="D74">
            <v>21576.935251204439</v>
          </cell>
        </row>
        <row r="77">
          <cell r="B77">
            <v>-1122946.295574618</v>
          </cell>
          <cell r="I77">
            <v>-46444.373659002842</v>
          </cell>
        </row>
        <row r="78">
          <cell r="B78">
            <v>-23860318.866790313</v>
          </cell>
          <cell r="I78">
            <v>-109585.78527586095</v>
          </cell>
        </row>
        <row r="79">
          <cell r="B79">
            <v>-119852.26194061604</v>
          </cell>
        </row>
        <row r="80">
          <cell r="B80">
            <v>-416302.8558299237</v>
          </cell>
        </row>
        <row r="81">
          <cell r="B81">
            <v>0</v>
          </cell>
        </row>
        <row r="82">
          <cell r="C82">
            <v>-13718482.820741579</v>
          </cell>
          <cell r="H82">
            <v>1128701.8974278742</v>
          </cell>
        </row>
        <row r="83">
          <cell r="I83">
            <v>-21576.935251204439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Sheet31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Porta Batch Mvnt"/>
      <sheetName val="Multiplier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Porta TN70"/>
      <sheetName val="Porta Imported Boars"/>
      <sheetName val="Multiplier Imported Sows"/>
      <sheetName val="Multiplier Imported Boars "/>
      <sheetName val="Grasmere Imported Valuation"/>
      <sheetName val="Richlands Imported Valuation"/>
      <sheetName val="Summary Splits"/>
      <sheetName val="Lionhead Imported Valuation"/>
      <sheetName val="Porta Imported Valuation"/>
      <sheetName val="Multiplier Imported Valuation"/>
      <sheetName val="Imported Valuation Summary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Porta Valuation"/>
      <sheetName val="Multiplier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Sheet30"/>
      <sheetName val="Richlands Pig Cost (2)"/>
      <sheetName val="Porta Pig Cost"/>
      <sheetName val="Multiplier Pig Cost "/>
      <sheetName val="Triple C Pigs"/>
      <sheetName val="CCC (2)"/>
      <sheetName val="Total Pigs"/>
      <sheetName val="Sheet28"/>
      <sheetName val="Non Current"/>
      <sheetName val="Feed Cost &amp; Allocation"/>
      <sheetName val="FCA RData"/>
      <sheetName val="Feed Consumed"/>
      <sheetName val="Sheet27"/>
      <sheetName val="Micro Packs Undercharge"/>
      <sheetName val="Sheet29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E11">
            <v>450090.31638238853</v>
          </cell>
        </row>
      </sheetData>
      <sheetData sheetId="11">
        <row r="14">
          <cell r="X14">
            <v>-3563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60">
          <cell r="G460">
            <v>1</v>
          </cell>
        </row>
      </sheetData>
      <sheetData sheetId="24">
        <row r="44">
          <cell r="D44">
            <v>31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7">
          <cell r="E27">
            <v>970</v>
          </cell>
        </row>
        <row r="45">
          <cell r="E45">
            <v>25644</v>
          </cell>
          <cell r="H45">
            <v>2956706.0606079996</v>
          </cell>
        </row>
      </sheetData>
      <sheetData sheetId="45">
        <row r="27">
          <cell r="E27">
            <v>323</v>
          </cell>
        </row>
        <row r="45">
          <cell r="E45">
            <v>6378</v>
          </cell>
          <cell r="H45">
            <v>688466.3166608907</v>
          </cell>
        </row>
      </sheetData>
      <sheetData sheetId="46">
        <row r="27">
          <cell r="E27">
            <v>574</v>
          </cell>
        </row>
        <row r="61">
          <cell r="E61">
            <v>13757</v>
          </cell>
          <cell r="H61">
            <v>1536748.5056757096</v>
          </cell>
        </row>
      </sheetData>
      <sheetData sheetId="47">
        <row r="27">
          <cell r="E27">
            <v>155</v>
          </cell>
        </row>
        <row r="42">
          <cell r="E42">
            <v>2417</v>
          </cell>
          <cell r="H42">
            <v>238540.43621267896</v>
          </cell>
        </row>
      </sheetData>
      <sheetData sheetId="48">
        <row r="27">
          <cell r="E27">
            <v>224</v>
          </cell>
        </row>
        <row r="50">
          <cell r="E50">
            <v>4901</v>
          </cell>
          <cell r="H50">
            <v>577998.65347695537</v>
          </cell>
        </row>
      </sheetData>
      <sheetData sheetId="49">
        <row r="27">
          <cell r="E27">
            <v>511</v>
          </cell>
        </row>
        <row r="88">
          <cell r="E88">
            <v>12568</v>
          </cell>
          <cell r="H88">
            <v>1441844.5181651467</v>
          </cell>
        </row>
      </sheetData>
      <sheetData sheetId="50">
        <row r="27">
          <cell r="E27">
            <v>612</v>
          </cell>
        </row>
        <row r="88">
          <cell r="E88">
            <v>14997</v>
          </cell>
          <cell r="H88">
            <v>1449733.5346225621</v>
          </cell>
        </row>
      </sheetData>
      <sheetData sheetId="51">
        <row r="27">
          <cell r="E27">
            <v>0</v>
          </cell>
        </row>
        <row r="92">
          <cell r="E92">
            <v>289</v>
          </cell>
          <cell r="H92">
            <v>33036.91585901763</v>
          </cell>
        </row>
      </sheetData>
      <sheetData sheetId="52">
        <row r="8">
          <cell r="D8">
            <v>3</v>
          </cell>
        </row>
      </sheetData>
      <sheetData sheetId="53">
        <row r="23">
          <cell r="AU23">
            <v>-276</v>
          </cell>
        </row>
      </sheetData>
      <sheetData sheetId="54"/>
      <sheetData sheetId="55">
        <row r="24">
          <cell r="X24">
            <v>-1</v>
          </cell>
        </row>
      </sheetData>
      <sheetData sheetId="56"/>
      <sheetData sheetId="57">
        <row r="24">
          <cell r="S24">
            <v>-13</v>
          </cell>
        </row>
      </sheetData>
      <sheetData sheetId="58"/>
      <sheetData sheetId="59">
        <row r="24">
          <cell r="AE24">
            <v>-2</v>
          </cell>
        </row>
      </sheetData>
      <sheetData sheetId="60"/>
      <sheetData sheetId="61">
        <row r="24">
          <cell r="S24">
            <v>-2</v>
          </cell>
        </row>
      </sheetData>
      <sheetData sheetId="62"/>
      <sheetData sheetId="63">
        <row r="24">
          <cell r="S24">
            <v>-16</v>
          </cell>
        </row>
      </sheetData>
      <sheetData sheetId="64"/>
      <sheetData sheetId="65"/>
      <sheetData sheetId="66">
        <row r="24">
          <cell r="S24">
            <v>-12</v>
          </cell>
        </row>
      </sheetData>
      <sheetData sheetId="67">
        <row r="62">
          <cell r="B62">
            <v>881.06982385239826</v>
          </cell>
        </row>
      </sheetData>
      <sheetData sheetId="68">
        <row r="25">
          <cell r="S25">
            <v>-61</v>
          </cell>
        </row>
      </sheetData>
      <sheetData sheetId="69"/>
      <sheetData sheetId="70">
        <row r="21">
          <cell r="D21">
            <v>-25872.629595642848</v>
          </cell>
        </row>
      </sheetData>
      <sheetData sheetId="71"/>
      <sheetData sheetId="72">
        <row r="7">
          <cell r="AA7">
            <v>57618.702260465536</v>
          </cell>
        </row>
      </sheetData>
      <sheetData sheetId="73">
        <row r="1">
          <cell r="C1" t="str">
            <v>FEED000008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Porta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Porta TN70"/>
      <sheetName val="Porta Imported Boars"/>
      <sheetName val="Grasmere Imported Valuation"/>
      <sheetName val="Richlands Imported Valuation"/>
      <sheetName val="Summary Splits"/>
      <sheetName val="Lionhead Imported Valuation"/>
      <sheetName val="Porta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Porta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Richlands Pig Cost (2)"/>
      <sheetName val="Porta Pig Cost"/>
      <sheetName val="Triple C Pigs"/>
      <sheetName val="CCC (2)"/>
      <sheetName val="Total Pigs"/>
      <sheetName val="Sheet28"/>
      <sheetName val="Non Current"/>
      <sheetName val="Feed Cost &amp; Allocation"/>
      <sheetName val="FCA RData"/>
      <sheetName val="Feed Consumed"/>
      <sheetName val="Sheet27"/>
      <sheetName val="Micro Packs Undercharge"/>
      <sheetName val="Sheet29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21">
          <cell r="N21">
            <v>137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27">
          <cell r="E27">
            <v>934</v>
          </cell>
        </row>
        <row r="128">
          <cell r="E128">
            <v>27084</v>
          </cell>
          <cell r="H128">
            <v>411912579.24516362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8">
          <cell r="D8">
            <v>7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7">
          <cell r="W7">
            <v>41358.36292134611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Mvnt"/>
      <sheetName val="Learig Mvnt"/>
      <sheetName val="Lionheads Mvnt"/>
      <sheetName val="Lionheads Ext. Mvnt"/>
      <sheetName val="Villa Mvnt"/>
      <sheetName val="Richlands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Grasmere Imported Valuation"/>
      <sheetName val="Richlands Imported Valuation"/>
      <sheetName val="Summary Splits"/>
      <sheetName val="Lionhead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Cattle Valuation"/>
      <sheetName val="Grasmere Pig Cost"/>
      <sheetName val="Learig Pig Cost"/>
      <sheetName val="Lionhead Pig Cost"/>
      <sheetName val="Villa Pig Cost"/>
      <sheetName val="Richlands Pig Cost"/>
      <sheetName val="CCC"/>
      <sheetName val="Total Pigs"/>
      <sheetName val="Non Current"/>
      <sheetName val="Feed Cost &amp; Allocation"/>
      <sheetName val="FCA RData"/>
      <sheetName val="Feed Consumed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5">
          <cell r="C25">
            <v>1421552.927047912</v>
          </cell>
        </row>
      </sheetData>
      <sheetData sheetId="11">
        <row r="14">
          <cell r="U14">
            <v>-4531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17">
          <cell r="F317">
            <v>311</v>
          </cell>
        </row>
      </sheetData>
      <sheetData sheetId="21">
        <row r="37">
          <cell r="F37">
            <v>31</v>
          </cell>
        </row>
      </sheetData>
      <sheetData sheetId="22">
        <row r="85">
          <cell r="H85">
            <v>82</v>
          </cell>
        </row>
      </sheetData>
      <sheetData sheetId="23">
        <row r="12">
          <cell r="F12">
            <v>3</v>
          </cell>
        </row>
      </sheetData>
      <sheetData sheetId="24">
        <row r="13">
          <cell r="F13">
            <v>3</v>
          </cell>
        </row>
      </sheetData>
      <sheetData sheetId="25">
        <row r="14">
          <cell r="F14">
            <v>6</v>
          </cell>
        </row>
      </sheetData>
      <sheetData sheetId="26">
        <row r="110">
          <cell r="F110">
            <v>105</v>
          </cell>
        </row>
      </sheetData>
      <sheetData sheetId="27">
        <row r="55">
          <cell r="F55">
            <v>50</v>
          </cell>
        </row>
      </sheetData>
      <sheetData sheetId="28">
        <row r="6">
          <cell r="B6">
            <v>57147183.253922552</v>
          </cell>
        </row>
      </sheetData>
      <sheetData sheetId="29"/>
      <sheetData sheetId="30"/>
      <sheetData sheetId="31"/>
      <sheetData sheetId="32"/>
      <sheetData sheetId="33">
        <row r="6">
          <cell r="C6">
            <v>308211128.7966997</v>
          </cell>
        </row>
      </sheetData>
      <sheetData sheetId="34">
        <row r="96">
          <cell r="E96">
            <v>24524</v>
          </cell>
        </row>
        <row r="102">
          <cell r="B102">
            <v>581258.2135313265</v>
          </cell>
          <cell r="K102">
            <v>16992</v>
          </cell>
        </row>
        <row r="103">
          <cell r="B103">
            <v>100076.68982883687</v>
          </cell>
          <cell r="K103">
            <v>2965</v>
          </cell>
        </row>
        <row r="104">
          <cell r="B104">
            <v>392505.49167164945</v>
          </cell>
          <cell r="K104">
            <v>12231</v>
          </cell>
        </row>
        <row r="105">
          <cell r="B105">
            <v>262734.84029179235</v>
          </cell>
          <cell r="K105">
            <v>8929</v>
          </cell>
        </row>
        <row r="106">
          <cell r="B106">
            <v>84977.69172430702</v>
          </cell>
          <cell r="K106">
            <v>1841</v>
          </cell>
        </row>
        <row r="107">
          <cell r="B107">
            <v>1421552.927047912</v>
          </cell>
          <cell r="K107">
            <v>42958</v>
          </cell>
        </row>
      </sheetData>
      <sheetData sheetId="35">
        <row r="45">
          <cell r="E45">
            <v>1841</v>
          </cell>
        </row>
      </sheetData>
      <sheetData sheetId="36">
        <row r="59">
          <cell r="E59">
            <v>11511</v>
          </cell>
        </row>
      </sheetData>
      <sheetData sheetId="37">
        <row r="50">
          <cell r="E50">
            <v>3934</v>
          </cell>
        </row>
      </sheetData>
      <sheetData sheetId="38">
        <row r="50">
          <cell r="E50">
            <v>4410</v>
          </cell>
        </row>
      </sheetData>
      <sheetData sheetId="39">
        <row r="88">
          <cell r="E88">
            <v>12532</v>
          </cell>
        </row>
      </sheetData>
      <sheetData sheetId="40">
        <row r="20">
          <cell r="G20">
            <v>6250583.8799999999</v>
          </cell>
        </row>
      </sheetData>
      <sheetData sheetId="41">
        <row r="20">
          <cell r="S20">
            <v>1035</v>
          </cell>
        </row>
      </sheetData>
      <sheetData sheetId="42">
        <row r="20">
          <cell r="AC20">
            <v>190</v>
          </cell>
        </row>
      </sheetData>
      <sheetData sheetId="43">
        <row r="22">
          <cell r="S22">
            <v>300</v>
          </cell>
        </row>
      </sheetData>
      <sheetData sheetId="44">
        <row r="20">
          <cell r="S20">
            <v>158</v>
          </cell>
        </row>
      </sheetData>
      <sheetData sheetId="45">
        <row r="20">
          <cell r="S20">
            <v>516</v>
          </cell>
        </row>
      </sheetData>
      <sheetData sheetId="46">
        <row r="46">
          <cell r="W46">
            <v>5518230.4624872226</v>
          </cell>
        </row>
      </sheetData>
      <sheetData sheetId="47">
        <row r="29">
          <cell r="B29">
            <v>169021477.89548948</v>
          </cell>
        </row>
      </sheetData>
      <sheetData sheetId="48">
        <row r="5">
          <cell r="W5">
            <v>163349143.44865048</v>
          </cell>
        </row>
      </sheetData>
      <sheetData sheetId="49">
        <row r="37">
          <cell r="U37">
            <v>310738.3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rasmere"/>
      <sheetName val="Villa"/>
      <sheetName val="Richlands"/>
      <sheetName val="Lionshead"/>
      <sheetName val="CCC"/>
      <sheetName val="Total Pigs"/>
      <sheetName val="Feed costing &amp; Allocation"/>
      <sheetName val="FCA R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9">
          <cell r="C19">
            <v>-32310525.219999999</v>
          </cell>
        </row>
        <row r="111">
          <cell r="D111">
            <v>317163592.92066282</v>
          </cell>
        </row>
        <row r="113">
          <cell r="D113">
            <v>17614928.889308091</v>
          </cell>
        </row>
        <row r="114">
          <cell r="D114">
            <v>8368953.5650426717</v>
          </cell>
        </row>
        <row r="115">
          <cell r="D115">
            <v>140729666.01805469</v>
          </cell>
        </row>
      </sheetData>
      <sheetData sheetId="6" refreshError="1"/>
      <sheetData sheetId="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lling price"/>
      <sheetName val="Selling Price Working"/>
      <sheetName val="Sheet1"/>
      <sheetName val="Sheet2"/>
      <sheetName val="Sheet3"/>
      <sheetName val="Transport Diesel"/>
      <sheetName val="Transport Hire"/>
      <sheetName val="Summary"/>
      <sheetName val="Diesel"/>
      <sheetName val="Feed cost Adj"/>
    </sheetNames>
    <sheetDataSet>
      <sheetData sheetId="0"/>
      <sheetData sheetId="1">
        <row r="6">
          <cell r="K6">
            <v>17586.34682249921</v>
          </cell>
        </row>
        <row r="16">
          <cell r="K16">
            <v>17841.93767750663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Grasmere"/>
      <sheetName val="Villa Franca"/>
      <sheetName val="Oswa"/>
      <sheetName val="Moonfarm"/>
      <sheetName val="Clifton"/>
      <sheetName val="Coldstream"/>
      <sheetName val="Cattle"/>
      <sheetName val="Reclassification"/>
      <sheetName val="Sheet1"/>
      <sheetName val="Comparison"/>
      <sheetName val="Zimbo"/>
      <sheetName val="Sheet2"/>
      <sheetName val="gains losses"/>
      <sheetName val="Working price per CDM"/>
      <sheetName val="cattle valuation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">
          <cell r="B8">
            <v>113</v>
          </cell>
        </row>
        <row r="9">
          <cell r="B9">
            <v>190</v>
          </cell>
        </row>
        <row r="10">
          <cell r="B10">
            <v>170</v>
          </cell>
        </row>
        <row r="11">
          <cell r="B11">
            <v>292</v>
          </cell>
        </row>
        <row r="12">
          <cell r="B12">
            <v>273</v>
          </cell>
        </row>
        <row r="13">
          <cell r="B13">
            <v>244</v>
          </cell>
        </row>
        <row r="14">
          <cell r="B14">
            <v>230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CCSales June 2026"/>
      <sheetName val="Sheet1 Oct"/>
      <sheetName val="CCSales"/>
      <sheetName val="CCSales October 2025"/>
    </sheetNames>
    <sheetDataSet>
      <sheetData sheetId="0">
        <row r="5">
          <cell r="F5">
            <v>1.7</v>
          </cell>
        </row>
        <row r="6">
          <cell r="F6">
            <v>2.36</v>
          </cell>
        </row>
        <row r="7">
          <cell r="F7">
            <v>1.74</v>
          </cell>
        </row>
        <row r="8">
          <cell r="F8">
            <v>2.2200000000000002</v>
          </cell>
        </row>
        <row r="9">
          <cell r="F9">
            <v>2.37</v>
          </cell>
        </row>
        <row r="10">
          <cell r="F10">
            <v>2.2200000000000002</v>
          </cell>
        </row>
        <row r="11">
          <cell r="F11">
            <v>1.7</v>
          </cell>
        </row>
        <row r="12">
          <cell r="F12">
            <v>2.0299999999999998</v>
          </cell>
        </row>
        <row r="13">
          <cell r="F13">
            <v>1.74</v>
          </cell>
        </row>
        <row r="14">
          <cell r="F14">
            <v>1.24</v>
          </cell>
        </row>
        <row r="21">
          <cell r="A21">
            <v>46174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Grasmere Imported Valuation"/>
      <sheetName val="Richlands Imported Valuation"/>
      <sheetName val="Summary Splits"/>
      <sheetName val="Lionhead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Cattle Valuation"/>
      <sheetName val="Grasmere Pig Cost"/>
      <sheetName val="Learig Pig Cost"/>
      <sheetName val="Lionhead Pig Cost"/>
      <sheetName val="Lionhead Ext. Pig Cost"/>
      <sheetName val="Villa Pig Cost"/>
      <sheetName val="Richlands Pig Cost"/>
      <sheetName val="CCC"/>
      <sheetName val="Total Pigs"/>
      <sheetName val="Non Current"/>
      <sheetName val="Feed Cost &amp; Allocation"/>
      <sheetName val="FCA RData"/>
      <sheetName val="Feed Consumed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E3">
            <v>90866161.195569202</v>
          </cell>
        </row>
      </sheetData>
      <sheetData sheetId="11">
        <row r="13">
          <cell r="Y13">
            <v>0</v>
          </cell>
        </row>
      </sheetData>
      <sheetData sheetId="12"/>
      <sheetData sheetId="13">
        <row r="6">
          <cell r="AP6">
            <v>60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329">
          <cell r="F329">
            <v>7</v>
          </cell>
        </row>
      </sheetData>
      <sheetData sheetId="21">
        <row r="32">
          <cell r="A32">
            <v>27</v>
          </cell>
        </row>
      </sheetData>
      <sheetData sheetId="22">
        <row r="6">
          <cell r="G6">
            <v>0</v>
          </cell>
        </row>
      </sheetData>
      <sheetData sheetId="23">
        <row r="10">
          <cell r="A10">
            <v>3</v>
          </cell>
        </row>
      </sheetData>
      <sheetData sheetId="24">
        <row r="10">
          <cell r="A10">
            <v>1</v>
          </cell>
        </row>
      </sheetData>
      <sheetData sheetId="25">
        <row r="13">
          <cell r="A13">
            <v>6</v>
          </cell>
        </row>
      </sheetData>
      <sheetData sheetId="26">
        <row r="66">
          <cell r="F66">
            <v>2</v>
          </cell>
        </row>
      </sheetData>
      <sheetData sheetId="27">
        <row r="19">
          <cell r="F19">
            <v>0</v>
          </cell>
        </row>
      </sheetData>
      <sheetData sheetId="28">
        <row r="6">
          <cell r="B6">
            <v>259991560.51370567</v>
          </cell>
        </row>
      </sheetData>
      <sheetData sheetId="29">
        <row r="8">
          <cell r="CF8">
            <v>-36411395.425825775</v>
          </cell>
        </row>
      </sheetData>
      <sheetData sheetId="30">
        <row r="7">
          <cell r="AR7">
            <v>-6161610.5792522207</v>
          </cell>
        </row>
      </sheetData>
      <sheetData sheetId="31"/>
      <sheetData sheetId="32"/>
      <sheetData sheetId="33">
        <row r="6">
          <cell r="C6">
            <v>1901440300.1827068</v>
          </cell>
        </row>
      </sheetData>
      <sheetData sheetId="34">
        <row r="9">
          <cell r="H9">
            <v>90866161.195569202</v>
          </cell>
        </row>
      </sheetData>
      <sheetData sheetId="35">
        <row r="10">
          <cell r="D10">
            <v>0.72676474746509379</v>
          </cell>
        </row>
      </sheetData>
      <sheetData sheetId="36">
        <row r="9">
          <cell r="H9">
            <v>43875720.361765623</v>
          </cell>
        </row>
      </sheetData>
      <sheetData sheetId="37">
        <row r="10">
          <cell r="D10">
            <v>0.85075784890925132</v>
          </cell>
        </row>
      </sheetData>
      <sheetData sheetId="38">
        <row r="9">
          <cell r="H9">
            <v>18918101.742551621</v>
          </cell>
        </row>
      </sheetData>
      <sheetData sheetId="39">
        <row r="9">
          <cell r="H9">
            <v>38077749.865434669</v>
          </cell>
        </row>
      </sheetData>
      <sheetData sheetId="40">
        <row r="21">
          <cell r="D21">
            <v>135</v>
          </cell>
        </row>
      </sheetData>
      <sheetData sheetId="41">
        <row r="22">
          <cell r="AU22">
            <v>-72</v>
          </cell>
        </row>
        <row r="26">
          <cell r="S26">
            <v>709</v>
          </cell>
        </row>
      </sheetData>
      <sheetData sheetId="42">
        <row r="26">
          <cell r="X26">
            <v>363</v>
          </cell>
        </row>
      </sheetData>
      <sheetData sheetId="43">
        <row r="26">
          <cell r="S26">
            <v>358</v>
          </cell>
        </row>
      </sheetData>
      <sheetData sheetId="44">
        <row r="26">
          <cell r="S26">
            <v>0</v>
          </cell>
        </row>
      </sheetData>
      <sheetData sheetId="45">
        <row r="22">
          <cell r="AU22">
            <v>-10</v>
          </cell>
        </row>
      </sheetData>
      <sheetData sheetId="46">
        <row r="22">
          <cell r="AU22">
            <v>-10</v>
          </cell>
        </row>
        <row r="53">
          <cell r="AU53">
            <v>425258692.66822124</v>
          </cell>
        </row>
      </sheetData>
      <sheetData sheetId="47">
        <row r="27">
          <cell r="B27">
            <v>0</v>
          </cell>
        </row>
      </sheetData>
      <sheetData sheetId="48">
        <row r="33">
          <cell r="B33">
            <v>903103047.18172491</v>
          </cell>
        </row>
        <row r="208">
          <cell r="L208">
            <v>3972227849.3107519</v>
          </cell>
        </row>
      </sheetData>
      <sheetData sheetId="49">
        <row r="16">
          <cell r="W16">
            <v>-1003582.6924161111</v>
          </cell>
        </row>
        <row r="28">
          <cell r="Z28" t="str">
            <v>Check</v>
          </cell>
        </row>
      </sheetData>
      <sheetData sheetId="50">
        <row r="44">
          <cell r="U44">
            <v>327700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Grasmere Imported Valuation"/>
      <sheetName val="Richlands Imported Valuation"/>
      <sheetName val="Summary Splits"/>
      <sheetName val="Lionhead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Cattle Valuation"/>
      <sheetName val="Grasmere Pig Cost"/>
      <sheetName val="Learig Pig Cost"/>
      <sheetName val="Lionhead Pig Cost"/>
      <sheetName val="Lionhead Ext. Pig Cost"/>
      <sheetName val="Villa Pig Cost"/>
      <sheetName val="Richlands Pig Cost"/>
      <sheetName val="CCC"/>
      <sheetName val="Total Pigs"/>
      <sheetName val="Non Current"/>
      <sheetName val="Feed Cost &amp; Allocation"/>
      <sheetName val="FCA RData"/>
      <sheetName val="Feed Consumed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E3">
            <v>92291194.322283372</v>
          </cell>
        </row>
      </sheetData>
      <sheetData sheetId="11">
        <row r="13">
          <cell r="Y13">
            <v>0</v>
          </cell>
        </row>
      </sheetData>
      <sheetData sheetId="12"/>
      <sheetData sheetId="13">
        <row r="6">
          <cell r="AG6">
            <v>33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382">
          <cell r="F382">
            <v>5</v>
          </cell>
        </row>
      </sheetData>
      <sheetData sheetId="21">
        <row r="47">
          <cell r="D47">
            <v>0</v>
          </cell>
        </row>
      </sheetData>
      <sheetData sheetId="22">
        <row r="6">
          <cell r="G6">
            <v>0</v>
          </cell>
        </row>
      </sheetData>
      <sheetData sheetId="23">
        <row r="14">
          <cell r="F14">
            <v>0</v>
          </cell>
        </row>
      </sheetData>
      <sheetData sheetId="24">
        <row r="12">
          <cell r="F12">
            <v>0</v>
          </cell>
        </row>
      </sheetData>
      <sheetData sheetId="25">
        <row r="16">
          <cell r="F16">
            <v>0</v>
          </cell>
        </row>
      </sheetData>
      <sheetData sheetId="26">
        <row r="62">
          <cell r="F62">
            <v>4</v>
          </cell>
        </row>
      </sheetData>
      <sheetData sheetId="27">
        <row r="14">
          <cell r="F14">
            <v>5</v>
          </cell>
        </row>
      </sheetData>
      <sheetData sheetId="28">
        <row r="6">
          <cell r="B6">
            <v>365780162.86660188</v>
          </cell>
        </row>
      </sheetData>
      <sheetData sheetId="29">
        <row r="8">
          <cell r="CJ8">
            <v>-37809246.8803441</v>
          </cell>
        </row>
      </sheetData>
      <sheetData sheetId="30">
        <row r="7">
          <cell r="AR7">
            <v>-6845053.948946232</v>
          </cell>
        </row>
      </sheetData>
      <sheetData sheetId="31"/>
      <sheetData sheetId="32"/>
      <sheetData sheetId="33">
        <row r="6">
          <cell r="C6">
            <v>2083516642.2493634</v>
          </cell>
        </row>
      </sheetData>
      <sheetData sheetId="34">
        <row r="9">
          <cell r="H9">
            <v>92291194.322283372</v>
          </cell>
        </row>
      </sheetData>
      <sheetData sheetId="35">
        <row r="10">
          <cell r="D10">
            <v>0.71375085367144997</v>
          </cell>
        </row>
      </sheetData>
      <sheetData sheetId="36">
        <row r="9">
          <cell r="H9">
            <v>43210358.658433706</v>
          </cell>
        </row>
      </sheetData>
      <sheetData sheetId="37">
        <row r="10">
          <cell r="D10">
            <v>0.86061888304327727</v>
          </cell>
        </row>
      </sheetData>
      <sheetData sheetId="38">
        <row r="9">
          <cell r="H9">
            <v>19531610.958490506</v>
          </cell>
        </row>
      </sheetData>
      <sheetData sheetId="39">
        <row r="9">
          <cell r="H9">
            <v>38623328.174719535</v>
          </cell>
        </row>
      </sheetData>
      <sheetData sheetId="40">
        <row r="8">
          <cell r="D8">
            <v>14</v>
          </cell>
        </row>
      </sheetData>
      <sheetData sheetId="41">
        <row r="26">
          <cell r="R26">
            <v>0</v>
          </cell>
          <cell r="S26">
            <v>1246</v>
          </cell>
          <cell r="T26">
            <v>1239</v>
          </cell>
          <cell r="U26">
            <v>1269</v>
          </cell>
          <cell r="V26">
            <v>1224</v>
          </cell>
          <cell r="W26">
            <v>1167</v>
          </cell>
          <cell r="X26">
            <v>1010</v>
          </cell>
          <cell r="Y26">
            <v>1066</v>
          </cell>
          <cell r="Z26">
            <v>939</v>
          </cell>
          <cell r="AA26">
            <v>944</v>
          </cell>
          <cell r="AB26">
            <v>841</v>
          </cell>
          <cell r="AC26">
            <v>949</v>
          </cell>
          <cell r="AD26">
            <v>931</v>
          </cell>
          <cell r="AE26">
            <v>937</v>
          </cell>
          <cell r="AF26">
            <v>919</v>
          </cell>
          <cell r="AG26">
            <v>900</v>
          </cell>
          <cell r="AH26">
            <v>912</v>
          </cell>
          <cell r="AI26">
            <v>917</v>
          </cell>
          <cell r="AJ26">
            <v>924</v>
          </cell>
          <cell r="AK26">
            <v>949</v>
          </cell>
          <cell r="AL26">
            <v>869</v>
          </cell>
          <cell r="AM26">
            <v>943</v>
          </cell>
          <cell r="AN26">
            <v>922</v>
          </cell>
          <cell r="AO26">
            <v>947</v>
          </cell>
          <cell r="AU26">
            <v>22964</v>
          </cell>
        </row>
        <row r="53">
          <cell r="B53">
            <v>2108967.1022918983</v>
          </cell>
          <cell r="C53">
            <v>2108967.1022918983</v>
          </cell>
          <cell r="D53">
            <v>2108967.1022918983</v>
          </cell>
          <cell r="E53">
            <v>2108967.1022918983</v>
          </cell>
          <cell r="F53">
            <v>3971233.9457747443</v>
          </cell>
          <cell r="G53">
            <v>3971233.9457747443</v>
          </cell>
          <cell r="H53">
            <v>3971233.9457747443</v>
          </cell>
          <cell r="I53">
            <v>3971233.9457747443</v>
          </cell>
          <cell r="J53">
            <v>6295362.677397049</v>
          </cell>
          <cell r="K53">
            <v>6295362.677397049</v>
          </cell>
          <cell r="L53">
            <v>6295362.677397049</v>
          </cell>
          <cell r="M53">
            <v>6295362.677397049</v>
          </cell>
          <cell r="N53">
            <v>6518227.5003709793</v>
          </cell>
          <cell r="O53">
            <v>8502156.0069268756</v>
          </cell>
          <cell r="P53">
            <v>8502156.0069268756</v>
          </cell>
          <cell r="Q53">
            <v>8502156.0069268756</v>
          </cell>
          <cell r="R53">
            <v>10764243.899276987</v>
          </cell>
          <cell r="S53">
            <v>11492712.657556728</v>
          </cell>
          <cell r="T53">
            <v>13926553.766259775</v>
          </cell>
          <cell r="U53">
            <v>15411232.684708843</v>
          </cell>
          <cell r="V53">
            <v>17846400.361557946</v>
          </cell>
          <cell r="W53">
            <v>11983327.528362531</v>
          </cell>
          <cell r="X53">
            <v>16337005.85237585</v>
          </cell>
          <cell r="Y53">
            <v>18992720.491035692</v>
          </cell>
          <cell r="Z53">
            <v>26165623.995955117</v>
          </cell>
          <cell r="AA53">
            <v>22500320.0108767</v>
          </cell>
          <cell r="AB53">
            <v>25319165.526393589</v>
          </cell>
          <cell r="AC53">
            <v>30550472.654249322</v>
          </cell>
          <cell r="AD53">
            <v>39263792.168004915</v>
          </cell>
          <cell r="AE53">
            <v>35260844.801694304</v>
          </cell>
          <cell r="AF53">
            <v>38341063.53972137</v>
          </cell>
          <cell r="AG53">
            <v>42814335.592647754</v>
          </cell>
          <cell r="AH53">
            <v>54431737.536433913</v>
          </cell>
          <cell r="AI53">
            <v>57131364.048621945</v>
          </cell>
          <cell r="AJ53">
            <v>54691450.85611663</v>
          </cell>
          <cell r="AK53">
            <v>58315032.689254895</v>
          </cell>
          <cell r="AL53">
            <v>58366890.728710264</v>
          </cell>
          <cell r="AM53">
            <v>70481541.985478923</v>
          </cell>
          <cell r="AN53">
            <v>66735761.269328125</v>
          </cell>
          <cell r="AO53">
            <v>65162428.378545783</v>
          </cell>
          <cell r="AU53">
            <v>943812973.44617426</v>
          </cell>
        </row>
      </sheetData>
      <sheetData sheetId="42">
        <row r="26"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327</v>
          </cell>
          <cell r="Y26">
            <v>359</v>
          </cell>
          <cell r="Z26">
            <v>359</v>
          </cell>
          <cell r="AA26">
            <v>366</v>
          </cell>
          <cell r="AB26">
            <v>360</v>
          </cell>
          <cell r="AC26">
            <v>298</v>
          </cell>
          <cell r="AD26">
            <v>279</v>
          </cell>
          <cell r="AE26">
            <v>358</v>
          </cell>
          <cell r="AF26">
            <v>262</v>
          </cell>
          <cell r="AG26">
            <v>250</v>
          </cell>
          <cell r="AH26">
            <v>281</v>
          </cell>
          <cell r="AI26">
            <v>356</v>
          </cell>
          <cell r="AJ26">
            <v>286</v>
          </cell>
          <cell r="AK26">
            <v>274</v>
          </cell>
          <cell r="AL26">
            <v>325</v>
          </cell>
          <cell r="AM26">
            <v>333</v>
          </cell>
          <cell r="AN26">
            <v>376</v>
          </cell>
          <cell r="AO26">
            <v>0</v>
          </cell>
          <cell r="AU26">
            <v>5449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12572915.729768056</v>
          </cell>
          <cell r="Y53">
            <v>14797203.991727885</v>
          </cell>
          <cell r="Z53">
            <v>12933306.896324646</v>
          </cell>
          <cell r="AA53">
            <v>12451825.378865521</v>
          </cell>
          <cell r="AB53">
            <v>15931439.281756261</v>
          </cell>
          <cell r="AC53">
            <v>14066645.63951315</v>
          </cell>
          <cell r="AD53">
            <v>13766823.376218047</v>
          </cell>
          <cell r="AE53">
            <v>17006165.809753574</v>
          </cell>
          <cell r="AF53">
            <v>17415098.74859307</v>
          </cell>
          <cell r="AG53">
            <v>19409800.426432364</v>
          </cell>
          <cell r="AH53">
            <v>20923065.634601697</v>
          </cell>
          <cell r="AI53">
            <v>27784385.254378147</v>
          </cell>
          <cell r="AJ53">
            <v>23735181.913772888</v>
          </cell>
          <cell r="AK53">
            <v>24846334.880874954</v>
          </cell>
          <cell r="AL53">
            <v>29764126.433051102</v>
          </cell>
          <cell r="AM53">
            <v>29931232.447764862</v>
          </cell>
          <cell r="AN53">
            <v>30070805.368709657</v>
          </cell>
          <cell r="AO53">
            <v>0</v>
          </cell>
          <cell r="AU53">
            <v>337406357.21210593</v>
          </cell>
        </row>
      </sheetData>
      <sheetData sheetId="43">
        <row r="26">
          <cell r="R26">
            <v>0</v>
          </cell>
          <cell r="S26">
            <v>616</v>
          </cell>
          <cell r="T26">
            <v>618</v>
          </cell>
          <cell r="U26">
            <v>590</v>
          </cell>
          <cell r="V26">
            <v>676</v>
          </cell>
          <cell r="W26">
            <v>611</v>
          </cell>
          <cell r="X26">
            <v>549</v>
          </cell>
          <cell r="Y26">
            <v>477</v>
          </cell>
          <cell r="Z26">
            <v>489</v>
          </cell>
          <cell r="AA26">
            <v>473</v>
          </cell>
          <cell r="AB26">
            <v>467</v>
          </cell>
          <cell r="AC26">
            <v>469</v>
          </cell>
          <cell r="AD26">
            <v>466</v>
          </cell>
          <cell r="AE26">
            <v>464</v>
          </cell>
          <cell r="AF26">
            <v>467</v>
          </cell>
          <cell r="AG26">
            <v>463</v>
          </cell>
          <cell r="AH26">
            <v>460</v>
          </cell>
          <cell r="AI26">
            <v>367</v>
          </cell>
          <cell r="AJ26">
            <v>367</v>
          </cell>
          <cell r="AK26">
            <v>446</v>
          </cell>
          <cell r="AL26">
            <v>429</v>
          </cell>
          <cell r="AM26">
            <v>435</v>
          </cell>
          <cell r="AN26">
            <v>460</v>
          </cell>
          <cell r="AO26">
            <v>0</v>
          </cell>
          <cell r="AU26">
            <v>10859</v>
          </cell>
        </row>
        <row r="53">
          <cell r="B53">
            <v>936740.9496193924</v>
          </cell>
          <cell r="C53">
            <v>936740.9496193924</v>
          </cell>
          <cell r="D53">
            <v>936740.9496193924</v>
          </cell>
          <cell r="E53">
            <v>936740.9496193924</v>
          </cell>
          <cell r="F53">
            <v>1833917.079376864</v>
          </cell>
          <cell r="G53">
            <v>1833917.079376864</v>
          </cell>
          <cell r="H53">
            <v>1833917.079376864</v>
          </cell>
          <cell r="I53">
            <v>1833917.079376864</v>
          </cell>
          <cell r="J53">
            <v>3013163.8036062513</v>
          </cell>
          <cell r="K53">
            <v>3013163.8036062513</v>
          </cell>
          <cell r="L53">
            <v>3013163.8036062513</v>
          </cell>
          <cell r="M53">
            <v>3013163.8036062513</v>
          </cell>
          <cell r="N53">
            <v>3099950.7169951256</v>
          </cell>
          <cell r="O53">
            <v>3989091.3735545194</v>
          </cell>
          <cell r="P53">
            <v>3989091.3735545194</v>
          </cell>
          <cell r="Q53">
            <v>3989091.3735545194</v>
          </cell>
          <cell r="R53">
            <v>5007846.4903649893</v>
          </cell>
          <cell r="S53">
            <v>5903207.8264203528</v>
          </cell>
          <cell r="T53">
            <v>7627795.3199305767</v>
          </cell>
          <cell r="U53">
            <v>7822028.2481011003</v>
          </cell>
          <cell r="V53">
            <v>9454107.9144681413</v>
          </cell>
          <cell r="W53">
            <v>5805472.560033774</v>
          </cell>
          <cell r="X53">
            <v>10232760.907967674</v>
          </cell>
          <cell r="Y53">
            <v>9522301.0430389158</v>
          </cell>
          <cell r="Z53">
            <v>12726090.747571021</v>
          </cell>
          <cell r="AA53">
            <v>11516669.785878543</v>
          </cell>
          <cell r="AB53">
            <v>14753614.399430711</v>
          </cell>
          <cell r="AC53">
            <v>16312010.398246227</v>
          </cell>
          <cell r="AD53">
            <v>18200921.343768355</v>
          </cell>
          <cell r="AE53">
            <v>16220344.498060703</v>
          </cell>
          <cell r="AF53">
            <v>19556210.295454413</v>
          </cell>
          <cell r="AG53">
            <v>22490430.67516873</v>
          </cell>
          <cell r="AH53">
            <v>28648668.047250878</v>
          </cell>
          <cell r="AI53">
            <v>24098799.71621646</v>
          </cell>
          <cell r="AJ53">
            <v>19360663.742699914</v>
          </cell>
          <cell r="AK53">
            <v>27162150.00324006</v>
          </cell>
          <cell r="AL53">
            <v>27571854.146037571</v>
          </cell>
          <cell r="AM53">
            <v>30848640.751214504</v>
          </cell>
          <cell r="AN53">
            <v>33480661.363965567</v>
          </cell>
          <cell r="AO53">
            <v>0</v>
          </cell>
          <cell r="AU53">
            <v>422525762.39259791</v>
          </cell>
        </row>
      </sheetData>
      <sheetData sheetId="44">
        <row r="26"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71</v>
          </cell>
          <cell r="Y26">
            <v>170</v>
          </cell>
          <cell r="Z26">
            <v>300</v>
          </cell>
          <cell r="AA26">
            <v>140</v>
          </cell>
          <cell r="AB26">
            <v>268</v>
          </cell>
          <cell r="AC26">
            <v>317</v>
          </cell>
          <cell r="AD26">
            <v>315</v>
          </cell>
          <cell r="AE26">
            <v>131</v>
          </cell>
          <cell r="AF26">
            <v>191</v>
          </cell>
          <cell r="AG26">
            <v>214</v>
          </cell>
          <cell r="AH26">
            <v>70</v>
          </cell>
          <cell r="AI26">
            <v>0</v>
          </cell>
          <cell r="AJ26">
            <v>138</v>
          </cell>
          <cell r="AK26">
            <v>50</v>
          </cell>
          <cell r="AL26">
            <v>87</v>
          </cell>
          <cell r="AM26">
            <v>0</v>
          </cell>
          <cell r="AN26">
            <v>0</v>
          </cell>
          <cell r="AO26">
            <v>0</v>
          </cell>
          <cell r="AU26">
            <v>2462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5201172.2728061713</v>
          </cell>
          <cell r="Y53">
            <v>8812225.7435496338</v>
          </cell>
          <cell r="Z53">
            <v>11228609.926951282</v>
          </cell>
          <cell r="AA53">
            <v>3857495.3870769967</v>
          </cell>
          <cell r="AB53">
            <v>14569090.167004967</v>
          </cell>
          <cell r="AC53">
            <v>9166758.1961062662</v>
          </cell>
          <cell r="AD53">
            <v>9246672.6631846167</v>
          </cell>
          <cell r="AE53">
            <v>4067293.6770874495</v>
          </cell>
          <cell r="AF53">
            <v>7669245.9142419845</v>
          </cell>
          <cell r="AG53">
            <v>6228925.4772421569</v>
          </cell>
          <cell r="AH53">
            <v>7403195.9003774747</v>
          </cell>
          <cell r="AI53">
            <v>0</v>
          </cell>
          <cell r="AJ53">
            <v>9485779.950947972</v>
          </cell>
          <cell r="AK53">
            <v>3957961.6943337768</v>
          </cell>
          <cell r="AL53">
            <v>14355723.399029911</v>
          </cell>
          <cell r="AM53">
            <v>0</v>
          </cell>
          <cell r="AN53">
            <v>0</v>
          </cell>
          <cell r="AO53">
            <v>0</v>
          </cell>
          <cell r="AU53">
            <v>115250150.36994065</v>
          </cell>
        </row>
      </sheetData>
      <sheetData sheetId="45">
        <row r="26">
          <cell r="R26">
            <v>0</v>
          </cell>
          <cell r="S26">
            <v>318</v>
          </cell>
          <cell r="T26">
            <v>254</v>
          </cell>
          <cell r="U26">
            <v>277</v>
          </cell>
          <cell r="V26">
            <v>278</v>
          </cell>
          <cell r="W26">
            <v>276</v>
          </cell>
          <cell r="X26">
            <v>208</v>
          </cell>
          <cell r="Y26">
            <v>173</v>
          </cell>
          <cell r="Z26">
            <v>178</v>
          </cell>
          <cell r="AA26">
            <v>185</v>
          </cell>
          <cell r="AB26">
            <v>170</v>
          </cell>
          <cell r="AC26">
            <v>179</v>
          </cell>
          <cell r="AD26">
            <v>169</v>
          </cell>
          <cell r="AE26">
            <v>167</v>
          </cell>
          <cell r="AF26">
            <v>168</v>
          </cell>
          <cell r="AG26">
            <v>169</v>
          </cell>
          <cell r="AH26">
            <v>167</v>
          </cell>
          <cell r="AI26">
            <v>161</v>
          </cell>
          <cell r="AJ26">
            <v>166</v>
          </cell>
          <cell r="AK26">
            <v>167</v>
          </cell>
          <cell r="AL26">
            <v>178</v>
          </cell>
          <cell r="AM26">
            <v>174</v>
          </cell>
          <cell r="AN26">
            <v>168</v>
          </cell>
          <cell r="AO26">
            <v>196</v>
          </cell>
          <cell r="AP26">
            <v>7</v>
          </cell>
          <cell r="AU26">
            <v>4553</v>
          </cell>
        </row>
        <row r="53">
          <cell r="B53">
            <v>454286.08615739254</v>
          </cell>
          <cell r="C53">
            <v>454286.08615739254</v>
          </cell>
          <cell r="D53">
            <v>454286.08615739254</v>
          </cell>
          <cell r="E53">
            <v>454286.08615739254</v>
          </cell>
          <cell r="F53">
            <v>867906.8451718617</v>
          </cell>
          <cell r="G53">
            <v>867906.8451718617</v>
          </cell>
          <cell r="H53">
            <v>867906.8451718617</v>
          </cell>
          <cell r="I53">
            <v>867906.8451718617</v>
          </cell>
          <cell r="J53">
            <v>1347171.4343091904</v>
          </cell>
          <cell r="K53">
            <v>1347171.4343091904</v>
          </cell>
          <cell r="L53">
            <v>1347171.4343091904</v>
          </cell>
          <cell r="M53">
            <v>1347171.4343091904</v>
          </cell>
          <cell r="N53">
            <v>1396807.7170758774</v>
          </cell>
          <cell r="O53">
            <v>1741895.3234652332</v>
          </cell>
          <cell r="P53">
            <v>1741895.3234652332</v>
          </cell>
          <cell r="Q53">
            <v>1741895.3234652332</v>
          </cell>
          <cell r="R53">
            <v>2231659.8084651511</v>
          </cell>
          <cell r="S53">
            <v>2627796.6845211126</v>
          </cell>
          <cell r="T53">
            <v>3267216.6843915805</v>
          </cell>
          <cell r="U53">
            <v>3666238.667995058</v>
          </cell>
          <cell r="V53">
            <v>3684029.5591450408</v>
          </cell>
          <cell r="W53">
            <v>2733538.6670165034</v>
          </cell>
          <cell r="X53">
            <v>5247345.8361693956</v>
          </cell>
          <cell r="Y53">
            <v>3958422.4622098031</v>
          </cell>
          <cell r="Z53">
            <v>4346736.1010942962</v>
          </cell>
          <cell r="AA53">
            <v>3984352.0197550422</v>
          </cell>
          <cell r="AB53">
            <v>4692292.1712062052</v>
          </cell>
          <cell r="AC53">
            <v>5738568.1909031393</v>
          </cell>
          <cell r="AD53">
            <v>7377742.4943069555</v>
          </cell>
          <cell r="AE53">
            <v>6550290.8761975411</v>
          </cell>
          <cell r="AF53">
            <v>8569273.4574868456</v>
          </cell>
          <cell r="AG53">
            <v>9633355.4856231101</v>
          </cell>
          <cell r="AH53">
            <v>10361566.615628373</v>
          </cell>
          <cell r="AI53">
            <v>9216227.9245222732</v>
          </cell>
          <cell r="AJ53">
            <v>9319153.1117987856</v>
          </cell>
          <cell r="AK53">
            <v>12089076.520680957</v>
          </cell>
          <cell r="AL53">
            <v>14587450.300673487</v>
          </cell>
          <cell r="AM53">
            <v>13699244.151544686</v>
          </cell>
          <cell r="AN53">
            <v>12526634.84041357</v>
          </cell>
          <cell r="AO53">
            <v>10985545.519709541</v>
          </cell>
          <cell r="AP53">
            <v>379257.11445347406</v>
          </cell>
          <cell r="AU53">
            <v>188772966.4159373</v>
          </cell>
        </row>
      </sheetData>
      <sheetData sheetId="46">
        <row r="26">
          <cell r="R26">
            <v>0</v>
          </cell>
          <cell r="S26">
            <v>601</v>
          </cell>
          <cell r="T26">
            <v>609</v>
          </cell>
          <cell r="U26">
            <v>637</v>
          </cell>
          <cell r="V26">
            <v>595</v>
          </cell>
          <cell r="W26">
            <v>629</v>
          </cell>
          <cell r="X26">
            <v>505</v>
          </cell>
          <cell r="Y26">
            <v>508</v>
          </cell>
          <cell r="Z26">
            <v>473</v>
          </cell>
          <cell r="AA26">
            <v>506</v>
          </cell>
          <cell r="AB26">
            <v>505</v>
          </cell>
          <cell r="AC26">
            <v>464</v>
          </cell>
          <cell r="AD26">
            <v>482</v>
          </cell>
          <cell r="AE26">
            <v>502</v>
          </cell>
          <cell r="AF26">
            <v>483</v>
          </cell>
          <cell r="AG26">
            <v>484</v>
          </cell>
          <cell r="AH26">
            <v>479</v>
          </cell>
          <cell r="AI26">
            <v>465</v>
          </cell>
          <cell r="AJ26">
            <v>474</v>
          </cell>
          <cell r="AK26">
            <v>443</v>
          </cell>
          <cell r="AL26">
            <v>479</v>
          </cell>
          <cell r="AM26">
            <v>471</v>
          </cell>
          <cell r="AN26">
            <v>0</v>
          </cell>
          <cell r="AO26">
            <v>0</v>
          </cell>
          <cell r="AU26">
            <v>10794</v>
          </cell>
        </row>
        <row r="53">
          <cell r="B53">
            <v>874506.59089815547</v>
          </cell>
          <cell r="C53">
            <v>874506.59089815547</v>
          </cell>
          <cell r="D53">
            <v>874506.59089815547</v>
          </cell>
          <cell r="E53">
            <v>874506.59089815547</v>
          </cell>
          <cell r="F53">
            <v>1681308.0799414259</v>
          </cell>
          <cell r="G53">
            <v>1681308.0799414259</v>
          </cell>
          <cell r="H53">
            <v>1681308.0799414259</v>
          </cell>
          <cell r="I53">
            <v>1681308.0799414259</v>
          </cell>
          <cell r="J53">
            <v>2641898.6451861789</v>
          </cell>
          <cell r="K53">
            <v>2641898.6451861789</v>
          </cell>
          <cell r="L53">
            <v>2641898.6451861789</v>
          </cell>
          <cell r="M53">
            <v>2641898.6451861789</v>
          </cell>
          <cell r="N53">
            <v>2734341.4412418129</v>
          </cell>
          <cell r="O53">
            <v>3538303.8165303194</v>
          </cell>
          <cell r="P53">
            <v>3538303.8165303194</v>
          </cell>
          <cell r="Q53">
            <v>3538303.8165303194</v>
          </cell>
          <cell r="R53">
            <v>4483222.0197837204</v>
          </cell>
          <cell r="S53">
            <v>5572519.5802560598</v>
          </cell>
          <cell r="T53">
            <v>7215381.5564272627</v>
          </cell>
          <cell r="U53">
            <v>8086253.3059015647</v>
          </cell>
          <cell r="V53">
            <v>7762090.9098064331</v>
          </cell>
          <cell r="W53">
            <v>5775414.293903782</v>
          </cell>
          <cell r="X53">
            <v>8723310.6629072763</v>
          </cell>
          <cell r="Y53">
            <v>9874157.6108195372</v>
          </cell>
          <cell r="Z53">
            <v>9696473.1450424604</v>
          </cell>
          <cell r="AA53">
            <v>16341524.534054631</v>
          </cell>
          <cell r="AB53">
            <v>19881605.402330641</v>
          </cell>
          <cell r="AC53">
            <v>18119035.79270979</v>
          </cell>
          <cell r="AD53">
            <v>17331270.842917275</v>
          </cell>
          <cell r="AE53">
            <v>21159070.779442806</v>
          </cell>
          <cell r="AF53">
            <v>21735447.716420289</v>
          </cell>
          <cell r="AG53">
            <v>23760128.27172637</v>
          </cell>
          <cell r="AH53">
            <v>31728884.476292722</v>
          </cell>
          <cell r="AI53">
            <v>33288218.327994157</v>
          </cell>
          <cell r="AJ53">
            <v>32708597.202593178</v>
          </cell>
          <cell r="AK53">
            <v>34496575.453510322</v>
          </cell>
          <cell r="AL53">
            <v>39757185.246729746</v>
          </cell>
          <cell r="AM53">
            <v>35155985.309135824</v>
          </cell>
          <cell r="AN53">
            <v>0</v>
          </cell>
          <cell r="AO53">
            <v>0</v>
          </cell>
        </row>
      </sheetData>
      <sheetData sheetId="47">
        <row r="49">
          <cell r="S49">
            <v>-1045228.231544413</v>
          </cell>
        </row>
      </sheetData>
      <sheetData sheetId="48">
        <row r="33">
          <cell r="B33">
            <v>943812973.44617355</v>
          </cell>
        </row>
      </sheetData>
      <sheetData sheetId="49">
        <row r="16">
          <cell r="W16">
            <v>-1572886.8644995023</v>
          </cell>
        </row>
      </sheetData>
      <sheetData sheetId="50">
        <row r="44">
          <cell r="U44">
            <v>250900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 USD"/>
      <sheetName val="Sales"/>
      <sheetName val="Rations &amp; lunches"/>
      <sheetName val="Extension Deliveries"/>
      <sheetName val="Sheet1"/>
      <sheetName val="Pig levy"/>
      <sheetName val="Payroll Numbers"/>
      <sheetName val="Sheet5"/>
      <sheetName val="PIGLETS SALES"/>
      <sheetName val="Sheet4"/>
      <sheetName val="Sheet2"/>
      <sheetName val="Sheet6"/>
      <sheetName val="DOAs Week 47-Email"/>
      <sheetName val="Sheet3"/>
    </sheetNames>
    <sheetDataSet>
      <sheetData sheetId="0">
        <row r="12">
          <cell r="I12">
            <v>2192769.8991656862</v>
          </cell>
        </row>
      </sheetData>
      <sheetData sheetId="1">
        <row r="4">
          <cell r="AT4">
            <v>0</v>
          </cell>
        </row>
        <row r="12">
          <cell r="AD12">
            <v>86.148878851427668</v>
          </cell>
        </row>
      </sheetData>
      <sheetData sheetId="2"/>
      <sheetData sheetId="3"/>
      <sheetData sheetId="4"/>
      <sheetData sheetId="5">
        <row r="7">
          <cell r="J7">
            <v>114900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Pig Costing October 2023"/>
      <sheetName val="Imported Pigs Costing 1023"/>
      <sheetName val="October 2023 USD"/>
      <sheetName val="Pig Costing November 2023"/>
      <sheetName val="Imported Pigs Costing 1123"/>
      <sheetName val="November 2023 USD"/>
      <sheetName val="Pig Costing December 2023"/>
      <sheetName val="Imported Pigs Costing 1223"/>
      <sheetName val="December 2023 USD "/>
      <sheetName val="Pig Costing January 2024"/>
      <sheetName val="Imported Pigs Costing 0124"/>
      <sheetName val="January 2024 USD"/>
      <sheetName val="Pig Costing February 2024"/>
      <sheetName val="Imported Pigs Costing 0224"/>
      <sheetName val="February 2024 USD"/>
      <sheetName val="Pig Costing March 2024"/>
      <sheetName val="Imported Pigs Costing 0324 "/>
      <sheetName val="March 2024 USD "/>
      <sheetName val="Pig Costing April 2024 "/>
      <sheetName val="Imported Pigs Costing 0424"/>
      <sheetName val="April 2024 USD "/>
      <sheetName val="Pig Costing May 2024"/>
      <sheetName val="Imported Pigs Costing 0524"/>
      <sheetName val="May 2024 USD  "/>
      <sheetName val="Pig Costing June 2024"/>
      <sheetName val="Imported Pigs Costing 0624"/>
      <sheetName val="June 2024 USD"/>
      <sheetName val="Pig Costing July 2024"/>
      <sheetName val="Imported Pigs Costing 0724"/>
      <sheetName val="July 2024 USD"/>
      <sheetName val="Pig Costing August 2024 "/>
      <sheetName val="Imported Pigs Costing 0824"/>
      <sheetName val="August 2024 USD"/>
      <sheetName val="Pig Costing September 2024 "/>
      <sheetName val="Imported Pigs Costing 0924"/>
      <sheetName val="September 2024 USD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12">
          <cell r="AE12">
            <v>12444.348828464714</v>
          </cell>
        </row>
      </sheetData>
      <sheetData sheetId="101"/>
      <sheetData sheetId="102"/>
      <sheetData sheetId="103">
        <row r="11">
          <cell r="AE11">
            <v>12375.364440989528</v>
          </cell>
        </row>
      </sheetData>
      <sheetData sheetId="104"/>
      <sheetData sheetId="105">
        <row r="10">
          <cell r="Q10">
            <v>1124769.1088669682</v>
          </cell>
        </row>
      </sheetData>
      <sheetData sheetId="106">
        <row r="7">
          <cell r="C7">
            <v>43101.103670434633</v>
          </cell>
        </row>
        <row r="20">
          <cell r="C20">
            <v>14120.123658274948</v>
          </cell>
        </row>
      </sheetData>
      <sheetData sheetId="107"/>
      <sheetData sheetId="108"/>
      <sheetData sheetId="109"/>
      <sheetData sheetId="110"/>
      <sheetData sheetId="111">
        <row r="3">
          <cell r="A3">
            <v>45562</v>
          </cell>
        </row>
      </sheetData>
      <sheetData sheetId="112">
        <row r="6">
          <cell r="B6">
            <v>1072880.6691906385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 USD"/>
      <sheetName val="Sales"/>
      <sheetName val="Rations &amp; lunches"/>
      <sheetName val="Extension Deliveries"/>
      <sheetName val="Extension Deliveries usd"/>
      <sheetName val="Sheet1"/>
      <sheetName val="Pig levy"/>
      <sheetName val="Payroll Numbers"/>
      <sheetName val="Sheet5"/>
      <sheetName val="PIGLETS SALES"/>
      <sheetName val="Sheet4"/>
      <sheetName val="Sheet2"/>
      <sheetName val="Sheet6"/>
      <sheetName val="DOAs Week 47-Email"/>
    </sheetNames>
    <sheetDataSet>
      <sheetData sheetId="0">
        <row r="6">
          <cell r="F6">
            <v>30979.236187714287</v>
          </cell>
        </row>
      </sheetData>
      <sheetData sheetId="1">
        <row r="4">
          <cell r="AT4">
            <v>0</v>
          </cell>
        </row>
        <row r="12">
          <cell r="AD12">
            <v>86.993957703927492</v>
          </cell>
        </row>
      </sheetData>
      <sheetData sheetId="2">
        <row r="19">
          <cell r="H19">
            <v>120</v>
          </cell>
        </row>
      </sheetData>
      <sheetData sheetId="3"/>
      <sheetData sheetId="4"/>
      <sheetData sheetId="5"/>
      <sheetData sheetId="6">
        <row r="7">
          <cell r="J7">
            <v>115300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"/>
      <sheetName val="Sales USD"/>
      <sheetName val="Rations &amp; lunches"/>
      <sheetName val="Extension Deliveries"/>
      <sheetName val="Extension Deliveries usd"/>
      <sheetName val="Sheet1"/>
      <sheetName val="Pig levy"/>
      <sheetName val="PIG LEVY AMMENDED"/>
      <sheetName val="Payroll Numbers"/>
      <sheetName val="Average Prices"/>
      <sheetName val="PIGLETS SALES"/>
      <sheetName val="Sheet4"/>
      <sheetName val="Sheet2"/>
      <sheetName val="Sheet6"/>
      <sheetName val="DOAs Week 47-Email"/>
    </sheetNames>
    <sheetDataSet>
      <sheetData sheetId="0" refreshError="1"/>
      <sheetData sheetId="1">
        <row r="4">
          <cell r="AT4">
            <v>3</v>
          </cell>
        </row>
        <row r="12">
          <cell r="W12">
            <v>906133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S ABC"/>
      <sheetName val="other sales"/>
      <sheetName val="Feed Conversion"/>
      <sheetName val="Grasmere Feed"/>
      <sheetName val="Variable"/>
      <sheetName val="PBT Analysis"/>
      <sheetName val="Triple C IS Consolidated "/>
      <sheetName val="Triple C Consolidated COS"/>
      <sheetName val="Triple C IS (ideal)"/>
      <sheetName val="Triple C Cost of Sales"/>
      <sheetName val="Porta"/>
      <sheetName val="Multiplier"/>
      <sheetName val="Porta IS"/>
      <sheetName val="Staff Overheads"/>
      <sheetName val="wages"/>
      <sheetName val="Staff Welfare"/>
      <sheetName val="Other Overheads "/>
      <sheetName val="Dividends"/>
      <sheetName val="Multiplier IS"/>
      <sheetName val="Porta Overheads"/>
      <sheetName val="Staff Costs Conversion"/>
      <sheetName val="Staff Costs Fin"/>
      <sheetName val="Staff Costs HC"/>
      <sheetName val="Other OH Conversion"/>
      <sheetName val="Other OH Finance"/>
      <sheetName val="Other OH HC"/>
      <sheetName val="Staff Overheads NEC"/>
      <sheetName val="Staff Overheads MGMT"/>
      <sheetName val="Ohead ho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N6">
            <v>171316.18000000002</v>
          </cell>
        </row>
        <row r="53">
          <cell r="G53">
            <v>0.35705986234748144</v>
          </cell>
        </row>
      </sheetData>
      <sheetData sheetId="9">
        <row r="27">
          <cell r="K27">
            <v>17634.517719251609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19">
          <cell r="L19">
            <v>14030.996607807809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"/>
      <sheetName val="Sales USD"/>
      <sheetName val="Rations &amp; lunches"/>
      <sheetName val="Extension Deliveries"/>
      <sheetName val="Extension Deliveries usd"/>
      <sheetName val="Sheet1"/>
      <sheetName val="Pig levy"/>
      <sheetName val="PIG LEVY AMMENDED"/>
      <sheetName val="Payroll Numbers"/>
      <sheetName val="Average Prices"/>
      <sheetName val="PIGLETS SALES"/>
      <sheetName val="Sheet4"/>
      <sheetName val="Overscalded Pigs"/>
      <sheetName val="Sheet2"/>
      <sheetName val="Sheet6"/>
      <sheetName val="DOAs Week 47-Email"/>
    </sheetNames>
    <sheetDataSet>
      <sheetData sheetId="0"/>
      <sheetData sheetId="1">
        <row r="4">
          <cell r="AT4">
            <v>2</v>
          </cell>
        </row>
        <row r="12">
          <cell r="P12">
            <v>11208</v>
          </cell>
          <cell r="AD12">
            <v>94.300437187723062</v>
          </cell>
          <cell r="AK12">
            <v>2.4432961674557365</v>
          </cell>
        </row>
      </sheetData>
      <sheetData sheetId="2"/>
      <sheetData sheetId="3"/>
      <sheetData sheetId="4"/>
      <sheetData sheetId="5"/>
      <sheetData sheetId="6">
        <row r="7">
          <cell r="J7">
            <v>3669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 ABC"/>
      <sheetName val="other sales"/>
      <sheetName val="Feed Conversion"/>
      <sheetName val="Grasmere Feed"/>
      <sheetName val="Variable"/>
      <sheetName val="PBT Analysis"/>
      <sheetName val="Triple C IS Consolidated "/>
      <sheetName val="Triple C Consolidated COS"/>
      <sheetName val="Triple C IS (ideal)"/>
      <sheetName val="Triple C Cost of Sales"/>
      <sheetName val="Staff Overheads"/>
      <sheetName val="wages"/>
      <sheetName val="Staff Welfare"/>
      <sheetName val="Other Overheads "/>
      <sheetName val="Dividends"/>
      <sheetName val="Multiplier IS"/>
      <sheetName val="Porta IS"/>
      <sheetName val="Porta Overheads"/>
      <sheetName val="Staff Costs Conversion"/>
      <sheetName val="Staff Costs Fin"/>
      <sheetName val="Staff Costs HC"/>
      <sheetName val="Other OH Conversion"/>
      <sheetName val="Other OH Finance"/>
      <sheetName val="Other OH HC"/>
      <sheetName val="Ohead ho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10389.036</v>
          </cell>
          <cell r="F6">
            <v>10272.793464</v>
          </cell>
          <cell r="H6">
            <v>10354.511999999999</v>
          </cell>
        </row>
        <row r="7">
          <cell r="F7">
            <v>100</v>
          </cell>
          <cell r="H7">
            <v>100</v>
          </cell>
        </row>
        <row r="10">
          <cell r="F10">
            <v>897828.47783464054</v>
          </cell>
          <cell r="H10">
            <v>905035.78718718793</v>
          </cell>
        </row>
        <row r="11">
          <cell r="F11">
            <v>18000</v>
          </cell>
          <cell r="H11">
            <v>18000</v>
          </cell>
        </row>
      </sheetData>
      <sheetData sheetId="7"/>
      <sheetData sheetId="8">
        <row r="6">
          <cell r="B6">
            <v>10389.036</v>
          </cell>
        </row>
      </sheetData>
      <sheetData sheetId="9">
        <row r="11">
          <cell r="B11">
            <v>3106761.6058635395</v>
          </cell>
        </row>
      </sheetData>
      <sheetData sheetId="10">
        <row r="12">
          <cell r="N12">
            <v>305166.62000000005</v>
          </cell>
        </row>
      </sheetData>
      <sheetData sheetId="11"/>
      <sheetData sheetId="12"/>
      <sheetData sheetId="13"/>
      <sheetData sheetId="14"/>
      <sheetData sheetId="15"/>
      <sheetData sheetId="16">
        <row r="14">
          <cell r="B14">
            <v>0</v>
          </cell>
        </row>
      </sheetData>
      <sheetData sheetId="17">
        <row r="5">
          <cell r="A5" t="str">
            <v>2201 (Bonus)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"/>
      <sheetName val="Sales USD"/>
      <sheetName val="Rations &amp; lunches"/>
      <sheetName val="Extension Deliveries"/>
      <sheetName val="Extension Deliveries usd"/>
      <sheetName val="Sheet1"/>
      <sheetName val="Pig levy"/>
      <sheetName val="PIG LEVY AMMENDED"/>
      <sheetName val="Payroll Numbers"/>
      <sheetName val="Average Prices"/>
      <sheetName val="PIGLETS SALES"/>
      <sheetName val="Sheet4"/>
      <sheetName val="Overscalded Pigs"/>
      <sheetName val="Sheet2"/>
      <sheetName val="Sheet6"/>
      <sheetName val="DOAs Week 47-Email"/>
    </sheetNames>
    <sheetDataSet>
      <sheetData sheetId="0"/>
      <sheetData sheetId="1">
        <row r="4">
          <cell r="BD4">
            <v>1</v>
          </cell>
        </row>
        <row r="12">
          <cell r="AL12">
            <v>90.263747629719006</v>
          </cell>
          <cell r="AU12">
            <v>2.4513090380428566</v>
          </cell>
        </row>
      </sheetData>
      <sheetData sheetId="2"/>
      <sheetData sheetId="3"/>
      <sheetData sheetId="4"/>
      <sheetData sheetId="5"/>
      <sheetData sheetId="6">
        <row r="7">
          <cell r="J7">
            <v>3999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Sheet31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Porta Batch Mvnt"/>
      <sheetName val="Multiplier Batch Mvnt"/>
      <sheetName val="Cattle Mvnt"/>
      <sheetName val="Grasmere Imported Sows"/>
      <sheetName val="Grasmere Imported Boars"/>
      <sheetName val="Lionhead TN 60"/>
      <sheetName val="Lionhead Imported Boars"/>
      <sheetName val="Lionshead TN 70"/>
      <sheetName val="Villa Imported Boars"/>
      <sheetName val="Richlands Imported Boars"/>
      <sheetName val="Richlands A LINE"/>
      <sheetName val="Richlands TN60"/>
      <sheetName val="Summary Imported Valuation"/>
      <sheetName val="Porta TN70"/>
      <sheetName val="Porta Imported Boars"/>
      <sheetName val="Multiplier Imported Sows"/>
      <sheetName val="Multiplier Imported Boars "/>
      <sheetName val="Grasmere Imported Valuation"/>
      <sheetName val="Richlands Imported Valuation"/>
      <sheetName val="Summary Splits"/>
      <sheetName val="Lionhead Imported Valuation"/>
      <sheetName val="Porta Imported Valuation"/>
      <sheetName val="Multiplier Imported Valuation"/>
      <sheetName val="Mult Imported Valuation Summary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Porta Valuation"/>
      <sheetName val="Multiplier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Sheet30"/>
      <sheetName val="Richlands Pig Cost (2)"/>
      <sheetName val="Porta Pig Cost"/>
      <sheetName val="Multiplier Pig Cost "/>
      <sheetName val="Triple C Pigs"/>
      <sheetName val="CCC (2)"/>
      <sheetName val="Total Pigs"/>
      <sheetName val="Sheet28"/>
      <sheetName val="Non Current"/>
      <sheetName val="Feed Cost &amp; Allocation"/>
      <sheetName val="FCA RData"/>
      <sheetName val="Feed Consumed"/>
      <sheetName val="Sheet27"/>
      <sheetName val="Micro Packs Undercharge"/>
      <sheetName val="Sheet29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  <sheetName val="April 2026 LIVESTOCK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1">
          <cell r="E11">
            <v>463857.14907304512</v>
          </cell>
        </row>
      </sheetData>
      <sheetData sheetId="11">
        <row r="18">
          <cell r="Z18">
            <v>-55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8">
          <cell r="D8">
            <v>25</v>
          </cell>
        </row>
      </sheetData>
      <sheetData sheetId="54">
        <row r="23">
          <cell r="AV23">
            <v>0</v>
          </cell>
        </row>
      </sheetData>
      <sheetData sheetId="55" refreshError="1"/>
      <sheetData sheetId="56">
        <row r="29">
          <cell r="S29">
            <v>0</v>
          </cell>
        </row>
      </sheetData>
      <sheetData sheetId="57" refreshError="1"/>
      <sheetData sheetId="58">
        <row r="29">
          <cell r="S29">
            <v>265</v>
          </cell>
        </row>
      </sheetData>
      <sheetData sheetId="59" refreshError="1"/>
      <sheetData sheetId="60">
        <row r="29">
          <cell r="S29">
            <v>0</v>
          </cell>
        </row>
      </sheetData>
      <sheetData sheetId="61" refreshError="1"/>
      <sheetData sheetId="62">
        <row r="29">
          <cell r="S29">
            <v>29</v>
          </cell>
        </row>
      </sheetData>
      <sheetData sheetId="63" refreshError="1"/>
      <sheetData sheetId="64">
        <row r="29">
          <cell r="S29">
            <v>293</v>
          </cell>
        </row>
      </sheetData>
      <sheetData sheetId="65" refreshError="1"/>
      <sheetData sheetId="66" refreshError="1"/>
      <sheetData sheetId="67">
        <row r="29">
          <cell r="S29">
            <v>448</v>
          </cell>
        </row>
      </sheetData>
      <sheetData sheetId="68">
        <row r="23">
          <cell r="AV23">
            <v>-316</v>
          </cell>
        </row>
      </sheetData>
      <sheetData sheetId="69">
        <row r="33">
          <cell r="AJ33">
            <v>309075.25894013356</v>
          </cell>
        </row>
      </sheetData>
      <sheetData sheetId="70" refreshError="1"/>
      <sheetData sheetId="71">
        <row r="21">
          <cell r="D21">
            <v>-25184.77031832072</v>
          </cell>
        </row>
        <row r="140">
          <cell r="G140">
            <v>0</v>
          </cell>
          <cell r="H140">
            <v>0</v>
          </cell>
        </row>
      </sheetData>
      <sheetData sheetId="72" refreshError="1"/>
      <sheetData sheetId="73">
        <row r="7">
          <cell r="AA7">
            <v>48675.189999999995</v>
          </cell>
        </row>
      </sheetData>
      <sheetData sheetId="74">
        <row r="1">
          <cell r="C1" t="str">
            <v>FEED000008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Pig Costing October 2023"/>
      <sheetName val="Imported Pigs Costing 1023"/>
      <sheetName val="October 2023 USD"/>
      <sheetName val="Pig Costing November 2023"/>
      <sheetName val="Imported Pigs Costing 1123"/>
      <sheetName val="November 2023 USD"/>
      <sheetName val="Pig Costing December 2023"/>
      <sheetName val="Imported Pigs Costing 1223"/>
      <sheetName val="December 2023 USD "/>
      <sheetName val="Pig Costing January 2024"/>
      <sheetName val="Imported Pigs Costing 0124"/>
      <sheetName val="January 2024 USD"/>
      <sheetName val="Pig Costing February 2024"/>
      <sheetName val="Imported Pigs Costing 0224"/>
      <sheetName val="February 2024 USD"/>
      <sheetName val="Pig Costing March 2024"/>
      <sheetName val="Imported Pigs Costing 0324 "/>
      <sheetName val="March 2024 USD "/>
      <sheetName val="Pig Costing April 2024 "/>
      <sheetName val="Imported Pigs Costing 0424"/>
      <sheetName val="April 2024 USD "/>
      <sheetName val="Pig Costing May 2024"/>
      <sheetName val="Imported Pigs Costing 0524"/>
      <sheetName val="May 2024 USD  "/>
      <sheetName val="Pig Costing June 2024"/>
      <sheetName val="Imported Pigs Costing 0624"/>
      <sheetName val="June 2024 USD"/>
      <sheetName val="Pig Costing July 2024"/>
      <sheetName val="Imported Pigs Costing 0724"/>
      <sheetName val="July 2024 USD"/>
      <sheetName val="Pig Costing August 2024 "/>
      <sheetName val="Imported Pigs Costing 0824"/>
      <sheetName val="August 2024 USD"/>
      <sheetName val="Pig Costing September 2024 "/>
      <sheetName val="Imported Pigs Costing 0924"/>
      <sheetName val="September 2024 USD"/>
      <sheetName val="Pig Costing October 2024"/>
      <sheetName val="Imported Pigs Costing 1024"/>
      <sheetName val="October 2024 USD"/>
      <sheetName val="Pig Costing November 2024"/>
      <sheetName val="Imported Pigs Costing 1124"/>
      <sheetName val="November 2024 USD"/>
      <sheetName val="Pig Costing December 2024"/>
      <sheetName val="Imported Pigs Costing 1224"/>
      <sheetName val="December 2024 USD "/>
      <sheetName val="Pig Costing January 2025"/>
      <sheetName val="Imported Pigs Costing 0125"/>
      <sheetName val="January 2025 USD  "/>
      <sheetName val="Pig Costing February 2025"/>
      <sheetName val="Imported Pigs Costing 0225"/>
      <sheetName val="February 2025 USD"/>
      <sheetName val="Pig Costing March 2025"/>
      <sheetName val="Imported Pigs Costing 0325"/>
      <sheetName val="March 2025 USD"/>
      <sheetName val="Pig Costing April 2025"/>
      <sheetName val="Imported Pigs Costing 0425 "/>
      <sheetName val="April 2025 USD"/>
      <sheetName val="Pig Costing May 2025"/>
      <sheetName val="Imported Pigs Costing 0525"/>
      <sheetName val="May 2025 USD"/>
      <sheetName val="Pig Costing June 2025"/>
      <sheetName val="Imported Pigs Costing 0625"/>
      <sheetName val="June 2025 USD"/>
      <sheetName val="Imported Pigs Costing 0625 (2)"/>
      <sheetName val="Pig Costing July 2025"/>
      <sheetName val="Imported Pigs Costing 0725"/>
      <sheetName val="July 2025 USD"/>
      <sheetName val="Pig Costing August 2025"/>
      <sheetName val="Imported Pigs Costing 0825"/>
      <sheetName val="August 2025 USD"/>
      <sheetName val="Pig Costing September 2025"/>
      <sheetName val="Imported Pigs Costing 0925"/>
      <sheetName val="September 2025 USD "/>
      <sheetName val="Pig Costing October 2025"/>
      <sheetName val="Imported Pigs Costing 1025"/>
      <sheetName val="October 2025 USD "/>
      <sheetName val="Pig Costing November 2025"/>
      <sheetName val="Imported Pigs Costing 1125"/>
      <sheetName val="November 2025 USD"/>
      <sheetName val="Pig Costing December 2025"/>
      <sheetName val="Imported Pigs Costing 1225"/>
      <sheetName val="December 2025 USD "/>
      <sheetName val="Pig Costing January 2026"/>
      <sheetName val="Imported Pigs Costing 0126"/>
      <sheetName val="January 2026 USD"/>
      <sheetName val="Pig Costing February 2026"/>
      <sheetName val="Imported Pigs Costing 0226"/>
      <sheetName val="February 2026 USD"/>
      <sheetName val="Pig Costing March 2026"/>
      <sheetName val="Imported Pigs Costing 0326"/>
      <sheetName val="March 2026 USD"/>
      <sheetName val="Pig Costing April 2026"/>
      <sheetName val="Imported Pigs Costing 0426"/>
      <sheetName val="April 2026 USD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>
        <row r="5">
          <cell r="T5">
            <v>462</v>
          </cell>
        </row>
      </sheetData>
      <sheetData sheetId="162" refreshError="1"/>
      <sheetData sheetId="163" refreshError="1"/>
      <sheetData sheetId="164">
        <row r="7">
          <cell r="L7">
            <v>47178.335773219347</v>
          </cell>
        </row>
        <row r="13">
          <cell r="N13">
            <v>1931166</v>
          </cell>
        </row>
        <row r="23">
          <cell r="N23">
            <v>1118724.8782101232</v>
          </cell>
        </row>
        <row r="38">
          <cell r="L38">
            <v>4231158.3197755395</v>
          </cell>
        </row>
        <row r="53">
          <cell r="L53">
            <v>4039123.1216869382</v>
          </cell>
        </row>
      </sheetData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Grasmere Imported Valuation"/>
      <sheetName val="Richlands Imported Valuation"/>
      <sheetName val="Summary Splits"/>
      <sheetName val="Lionhead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Richlands Pig Cost (2)"/>
      <sheetName val="CCC"/>
      <sheetName val="CCC (2)"/>
      <sheetName val="Total Pigs"/>
      <sheetName val="Non Current"/>
      <sheetName val="Feed Cost &amp; Allocation"/>
      <sheetName val="FCA RData"/>
      <sheetName val="Feed Consumed"/>
      <sheetName val="Sheet27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8">
          <cell r="C28">
            <v>1020964.6024139365</v>
          </cell>
        </row>
      </sheetData>
      <sheetData sheetId="11">
        <row r="12">
          <cell r="V12">
            <v>-753</v>
          </cell>
        </row>
      </sheetData>
      <sheetData sheetId="12"/>
      <sheetData sheetId="13">
        <row r="11">
          <cell r="I11">
            <v>80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371">
          <cell r="F371">
            <v>6</v>
          </cell>
        </row>
      </sheetData>
      <sheetData sheetId="21">
        <row r="46">
          <cell r="D46">
            <v>0</v>
          </cell>
        </row>
      </sheetData>
      <sheetData sheetId="22">
        <row r="6">
          <cell r="G6">
            <v>1</v>
          </cell>
        </row>
      </sheetData>
      <sheetData sheetId="23">
        <row r="14">
          <cell r="F14">
            <v>0</v>
          </cell>
        </row>
      </sheetData>
      <sheetData sheetId="24">
        <row r="12">
          <cell r="F12">
            <v>0</v>
          </cell>
        </row>
      </sheetData>
      <sheetData sheetId="25">
        <row r="16">
          <cell r="F16">
            <v>0</v>
          </cell>
        </row>
      </sheetData>
      <sheetData sheetId="26">
        <row r="41">
          <cell r="F41">
            <v>2</v>
          </cell>
        </row>
      </sheetData>
      <sheetData sheetId="27">
        <row r="10">
          <cell r="F10">
            <v>0</v>
          </cell>
        </row>
      </sheetData>
      <sheetData sheetId="28"/>
      <sheetData sheetId="29"/>
      <sheetData sheetId="30">
        <row r="20">
          <cell r="N20">
            <v>0</v>
          </cell>
        </row>
      </sheetData>
      <sheetData sheetId="31"/>
      <sheetData sheetId="32"/>
      <sheetData sheetId="33"/>
      <sheetData sheetId="34">
        <row r="116">
          <cell r="E116">
            <v>25647</v>
          </cell>
        </row>
      </sheetData>
      <sheetData sheetId="35">
        <row r="45">
          <cell r="H45">
            <v>511887.25729379256</v>
          </cell>
        </row>
      </sheetData>
      <sheetData sheetId="36">
        <row r="61">
          <cell r="E61">
            <v>11577</v>
          </cell>
        </row>
      </sheetData>
      <sheetData sheetId="37">
        <row r="50">
          <cell r="E50">
            <v>2023</v>
          </cell>
        </row>
      </sheetData>
      <sheetData sheetId="38">
        <row r="50">
          <cell r="E50">
            <v>4974</v>
          </cell>
        </row>
      </sheetData>
      <sheetData sheetId="39">
        <row r="88">
          <cell r="E88">
            <v>12207</v>
          </cell>
        </row>
      </sheetData>
      <sheetData sheetId="40"/>
      <sheetData sheetId="41">
        <row r="7">
          <cell r="W7">
            <v>825</v>
          </cell>
        </row>
      </sheetData>
      <sheetData sheetId="42"/>
      <sheetData sheetId="43">
        <row r="7">
          <cell r="W7">
            <v>0</v>
          </cell>
        </row>
      </sheetData>
      <sheetData sheetId="44"/>
      <sheetData sheetId="45">
        <row r="7">
          <cell r="W7">
            <v>526</v>
          </cell>
        </row>
      </sheetData>
      <sheetData sheetId="46"/>
      <sheetData sheetId="47">
        <row r="7">
          <cell r="W7">
            <v>0</v>
          </cell>
        </row>
      </sheetData>
      <sheetData sheetId="48"/>
      <sheetData sheetId="49">
        <row r="7">
          <cell r="W7">
            <v>235</v>
          </cell>
        </row>
      </sheetData>
      <sheetData sheetId="50"/>
      <sheetData sheetId="51">
        <row r="7">
          <cell r="W7">
            <v>596</v>
          </cell>
        </row>
      </sheetData>
      <sheetData sheetId="52"/>
      <sheetData sheetId="53">
        <row r="22">
          <cell r="S22">
            <v>-99</v>
          </cell>
        </row>
      </sheetData>
      <sheetData sheetId="54"/>
      <sheetData sheetId="55">
        <row r="19">
          <cell r="L19">
            <v>-29447.813573107047</v>
          </cell>
        </row>
        <row r="208">
          <cell r="B208">
            <v>3892507.2531628967</v>
          </cell>
          <cell r="C208">
            <v>638983.91068783018</v>
          </cell>
          <cell r="D208">
            <v>4531491.1638507266</v>
          </cell>
        </row>
      </sheetData>
      <sheetData sheetId="56">
        <row r="16">
          <cell r="B16">
            <v>-20</v>
          </cell>
        </row>
      </sheetData>
      <sheetData sheetId="57">
        <row r="57">
          <cell r="U57">
            <v>1555750.6099999999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Grasmere Imported Valuation"/>
      <sheetName val="Richlands Imported Valuation"/>
      <sheetName val="Summary Splits"/>
      <sheetName val="Lionhead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Richlands Pig Cost (2)"/>
      <sheetName val="CCC"/>
      <sheetName val="CCC (2)"/>
      <sheetName val="Total Pigs"/>
      <sheetName val="Non Current"/>
      <sheetName val="Feed Cost &amp; Allocation"/>
      <sheetName val="FCA RData"/>
      <sheetName val="Feed Consumed"/>
      <sheetName val="Sheet27"/>
      <sheetName val="Micro Packs Undercharge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9">
          <cell r="E9">
            <v>249179.92378293345</v>
          </cell>
        </row>
      </sheetData>
      <sheetData sheetId="11">
        <row r="14">
          <cell r="W14">
            <v>-3677</v>
          </cell>
        </row>
      </sheetData>
      <sheetData sheetId="12"/>
      <sheetData sheetId="13">
        <row r="11">
          <cell r="I11">
            <v>67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371">
          <cell r="F371">
            <v>0</v>
          </cell>
        </row>
      </sheetData>
      <sheetData sheetId="21">
        <row r="45">
          <cell r="D45">
            <v>1</v>
          </cell>
        </row>
      </sheetData>
      <sheetData sheetId="22"/>
      <sheetData sheetId="23">
        <row r="13">
          <cell r="F13">
            <v>1</v>
          </cell>
        </row>
      </sheetData>
      <sheetData sheetId="24"/>
      <sheetData sheetId="25"/>
      <sheetData sheetId="26">
        <row r="38">
          <cell r="F38">
            <v>3</v>
          </cell>
        </row>
      </sheetData>
      <sheetData sheetId="27">
        <row r="10">
          <cell r="F10">
            <v>0</v>
          </cell>
        </row>
      </sheetData>
      <sheetData sheetId="28"/>
      <sheetData sheetId="29">
        <row r="9">
          <cell r="AP9">
            <v>1</v>
          </cell>
        </row>
      </sheetData>
      <sheetData sheetId="30">
        <row r="8">
          <cell r="F8">
            <v>0</v>
          </cell>
        </row>
      </sheetData>
      <sheetData sheetId="31"/>
      <sheetData sheetId="32"/>
      <sheetData sheetId="33"/>
      <sheetData sheetId="34">
        <row r="116">
          <cell r="E116">
            <v>25669</v>
          </cell>
        </row>
      </sheetData>
      <sheetData sheetId="35">
        <row r="45">
          <cell r="H45">
            <v>530619.98095979041</v>
          </cell>
        </row>
      </sheetData>
      <sheetData sheetId="36">
        <row r="61">
          <cell r="E61">
            <v>11934</v>
          </cell>
        </row>
      </sheetData>
      <sheetData sheetId="37">
        <row r="50">
          <cell r="E50">
            <v>1367</v>
          </cell>
        </row>
      </sheetData>
      <sheetData sheetId="38">
        <row r="50">
          <cell r="E50">
            <v>5037</v>
          </cell>
        </row>
      </sheetData>
      <sheetData sheetId="39">
        <row r="88">
          <cell r="E88">
            <v>12171</v>
          </cell>
        </row>
      </sheetData>
      <sheetData sheetId="40">
        <row r="21">
          <cell r="G21">
            <v>55269.767560465116</v>
          </cell>
        </row>
      </sheetData>
      <sheetData sheetId="41">
        <row r="21">
          <cell r="S21">
            <v>-38</v>
          </cell>
        </row>
      </sheetData>
      <sheetData sheetId="42"/>
      <sheetData sheetId="43">
        <row r="21">
          <cell r="AB21">
            <v>-2</v>
          </cell>
        </row>
      </sheetData>
      <sheetData sheetId="44"/>
      <sheetData sheetId="45">
        <row r="21">
          <cell r="S21">
            <v>-42</v>
          </cell>
        </row>
      </sheetData>
      <sheetData sheetId="46"/>
      <sheetData sheetId="47">
        <row r="21">
          <cell r="Y21">
            <v>-1</v>
          </cell>
        </row>
      </sheetData>
      <sheetData sheetId="48"/>
      <sheetData sheetId="49">
        <row r="21">
          <cell r="S21">
            <v>-5</v>
          </cell>
        </row>
      </sheetData>
      <sheetData sheetId="50"/>
      <sheetData sheetId="51">
        <row r="21">
          <cell r="S21">
            <v>-34</v>
          </cell>
        </row>
      </sheetData>
      <sheetData sheetId="52"/>
      <sheetData sheetId="53">
        <row r="22">
          <cell r="S22">
            <v>-119</v>
          </cell>
        </row>
      </sheetData>
      <sheetData sheetId="54"/>
      <sheetData sheetId="55">
        <row r="33">
          <cell r="B33">
            <v>1586316.2425559829</v>
          </cell>
        </row>
        <row r="208">
          <cell r="G208">
            <v>1091680.8782030263</v>
          </cell>
          <cell r="H208">
            <v>484761.63252658694</v>
          </cell>
          <cell r="I208">
            <v>1563418.5450643778</v>
          </cell>
        </row>
      </sheetData>
      <sheetData sheetId="56">
        <row r="5">
          <cell r="W5">
            <v>1100085.6542603294</v>
          </cell>
        </row>
      </sheetData>
      <sheetData sheetId="57">
        <row r="57">
          <cell r="U57">
            <v>1286560</v>
          </cell>
        </row>
      </sheetData>
      <sheetData sheetId="58"/>
      <sheetData sheetId="59"/>
      <sheetData sheetId="60"/>
      <sheetData sheetId="61">
        <row r="16">
          <cell r="AT16">
            <v>2542.7911049500749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76">
          <cell r="D76">
            <v>1004933.05</v>
          </cell>
        </row>
        <row r="84">
          <cell r="D84">
            <v>792335.81</v>
          </cell>
        </row>
        <row r="92">
          <cell r="D92">
            <v>1856453.65</v>
          </cell>
        </row>
        <row r="95">
          <cell r="E95">
            <v>682934.59</v>
          </cell>
        </row>
        <row r="99">
          <cell r="D99">
            <v>4593309.97</v>
          </cell>
        </row>
        <row r="109">
          <cell r="D109">
            <v>1108096.98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1 (2)"/>
    </sheetNames>
    <sheetDataSet>
      <sheetData sheetId="0">
        <row r="14">
          <cell r="AT14">
            <v>1018773.4216582886</v>
          </cell>
        </row>
      </sheetData>
      <sheetData sheetId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Pig Costing October 2023"/>
      <sheetName val="Imported Pigs Costing 1023"/>
      <sheetName val="October 2023 USD"/>
      <sheetName val="Pig Costing November 2023"/>
      <sheetName val="Imported Pigs Costing 1123"/>
      <sheetName val="November 2023 USD"/>
      <sheetName val="Pig Costing December 2023"/>
      <sheetName val="Imported Pigs Costing 1223"/>
      <sheetName val="December 2023 USD "/>
      <sheetName val="Pig Costing January 2024"/>
      <sheetName val="Imported Pigs Costing 0124"/>
      <sheetName val="January 2024 USD"/>
      <sheetName val="Pig Costing February 2024"/>
      <sheetName val="Imported Pigs Costing 0224"/>
      <sheetName val="February 2024 USD"/>
      <sheetName val="Pig Costing March 2024"/>
      <sheetName val="Imported Pigs Costing 0324 "/>
      <sheetName val="March 2024 USD "/>
      <sheetName val="Pig Costing April 2024 "/>
      <sheetName val="Imported Pigs Costing 0424"/>
      <sheetName val="April 2024 USD "/>
      <sheetName val="Pig Costing May 2024"/>
      <sheetName val="Imported Pigs Costing 0524"/>
      <sheetName val="May 2024 USD  "/>
      <sheetName val="Pig Costing June 2024"/>
      <sheetName val="Imported Pigs Costing 0624"/>
      <sheetName val="June 2024 USD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>
        <row r="9">
          <cell r="N9">
            <v>-2554.4053378831923</v>
          </cell>
        </row>
        <row r="20">
          <cell r="N20">
            <v>6633.5071877439887</v>
          </cell>
        </row>
      </sheetData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Pig Costing October 2023"/>
      <sheetName val="Imported Pigs Costing 1023"/>
      <sheetName val="October 2023 USD"/>
      <sheetName val="Pig Costing November 2023"/>
      <sheetName val="Imported Pigs Costing 1123"/>
      <sheetName val="November 2023 USD"/>
      <sheetName val="Pig Costing December 2023"/>
      <sheetName val="Imported Pigs Costing 1223"/>
      <sheetName val="December 2023 USD "/>
      <sheetName val="Pig Costing January 2024"/>
      <sheetName val="Imported Pigs Costing 0124"/>
      <sheetName val="January 2024 USD"/>
      <sheetName val="Pig Costing February 2024"/>
      <sheetName val="Imported Pigs Costing 0224"/>
      <sheetName val="February 2024 USD"/>
      <sheetName val="Pig Costing March 2024"/>
      <sheetName val="Imported Pigs Costing 0324 "/>
      <sheetName val="March 2024 USD "/>
      <sheetName val="Pig Costing April 2024 "/>
      <sheetName val="Imported Pigs Costing 0424"/>
      <sheetName val="April 2024 USD "/>
      <sheetName val="Pig Costing May 2024"/>
      <sheetName val="Imported Pigs Costing 0524"/>
      <sheetName val="May 2024 USD  "/>
      <sheetName val="Pig Costing June 2024"/>
      <sheetName val="Imported Pigs Costing 0624"/>
      <sheetName val="June 2024 USD"/>
      <sheetName val="Pig Costing July 2024"/>
      <sheetName val="Imported Pigs Costing 0724"/>
      <sheetName val="July 2024 USD"/>
      <sheetName val="Pig Costing August 2024 "/>
      <sheetName val="Imported Pigs Costing 0824"/>
      <sheetName val="August 2024 USD"/>
      <sheetName val="Pig Costing September 2024 "/>
      <sheetName val="Imported Pigs Costing 0924"/>
      <sheetName val="September 2024 USD"/>
      <sheetName val="Pig Costing October 2024"/>
      <sheetName val="Imported Pigs Costing 1024"/>
      <sheetName val="October 2024 USD"/>
      <sheetName val="Pig Costing November 2024"/>
      <sheetName val="Imported Pigs Costing 1124"/>
      <sheetName val="November 2024 USD"/>
      <sheetName val="Pig Costing December 2024"/>
      <sheetName val="Imported Pigs Costing 1224"/>
      <sheetName val="December 2024 USD "/>
      <sheetName val="Pig Costing January 2025"/>
      <sheetName val="Imported Pigs Costing 0125"/>
      <sheetName val="January 2025 USD  "/>
      <sheetName val="Pig Costing February 2025"/>
      <sheetName val="Imported Pigs Costing 0225"/>
      <sheetName val="February 2025 USD"/>
      <sheetName val="Pig Costing March 2025"/>
      <sheetName val="Imported Pigs Costing 0325"/>
      <sheetName val="March 2025 USD"/>
      <sheetName val="Pig Costing April 2025"/>
      <sheetName val="Imported Pigs Costing 0425 "/>
      <sheetName val="April 2025 USD"/>
      <sheetName val="Pig Costing May 2025"/>
      <sheetName val="Imported Pigs Costing 0525"/>
      <sheetName val="May 2025 USD"/>
      <sheetName val="Pig Costing June 2025"/>
      <sheetName val="Imported Pigs Costing 0625"/>
      <sheetName val="June 2025 USD"/>
      <sheetName val="Imported Pigs Costing 0625 (2)"/>
      <sheetName val="Pig Costing July 2025"/>
      <sheetName val="Imported Pigs Costing 0725"/>
      <sheetName val="July 2025 USD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16">
          <cell r="AL16">
            <v>-251.18580748970265</v>
          </cell>
        </row>
        <row r="17">
          <cell r="AL17">
            <v>-258.38882067449151</v>
          </cell>
        </row>
        <row r="19">
          <cell r="AL19">
            <v>-274.60358575224797</v>
          </cell>
        </row>
        <row r="21">
          <cell r="AL21">
            <v>-275.60126092302102</v>
          </cell>
        </row>
        <row r="22">
          <cell r="AL22">
            <v>-285.38333153663723</v>
          </cell>
        </row>
        <row r="32">
          <cell r="AL32">
            <v>-486.43512599981557</v>
          </cell>
        </row>
      </sheetData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360">
          <cell r="BI360">
            <v>1803.9203015986161</v>
          </cell>
        </row>
      </sheetData>
      <sheetData sheetId="116" refreshError="1"/>
      <sheetData sheetId="117" refreshError="1"/>
      <sheetData sheetId="118">
        <row r="41">
          <cell r="AL41">
            <v>-562.83408552849096</v>
          </cell>
        </row>
        <row r="45">
          <cell r="AL45">
            <v>-1515.545418655503</v>
          </cell>
        </row>
        <row r="47">
          <cell r="AL47">
            <v>-1576.8131088970981</v>
          </cell>
        </row>
        <row r="48">
          <cell r="AL48">
            <v>-1068.1960930578991</v>
          </cell>
        </row>
        <row r="49">
          <cell r="AL49">
            <v>-1604.9303659151847</v>
          </cell>
        </row>
        <row r="51">
          <cell r="AL51">
            <v>-1519.243851145927</v>
          </cell>
        </row>
        <row r="52">
          <cell r="AL52">
            <v>-1539.8751145706192</v>
          </cell>
        </row>
      </sheetData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47">
          <cell r="AL47">
            <v>-540.86450810252734</v>
          </cell>
        </row>
        <row r="58">
          <cell r="AL58">
            <v>-923.91987423245564</v>
          </cell>
        </row>
        <row r="59">
          <cell r="AL59">
            <v>-941.55043667372991</v>
          </cell>
        </row>
        <row r="60">
          <cell r="AL60">
            <v>-1553.8958797883913</v>
          </cell>
        </row>
        <row r="61">
          <cell r="AL61">
            <v>-974.52520373607535</v>
          </cell>
        </row>
        <row r="62">
          <cell r="AL62">
            <v>-1063.7289168107009</v>
          </cell>
        </row>
        <row r="63">
          <cell r="AL63">
            <v>-1373.5854234104427</v>
          </cell>
        </row>
        <row r="64">
          <cell r="AL64">
            <v>-926.74079512869662</v>
          </cell>
        </row>
        <row r="65">
          <cell r="AL65">
            <v>-1496.5491932067714</v>
          </cell>
        </row>
        <row r="66">
          <cell r="AL66">
            <v>0</v>
          </cell>
        </row>
        <row r="67">
          <cell r="AL67">
            <v>-1531.4707833250006</v>
          </cell>
        </row>
        <row r="360">
          <cell r="BI360">
            <v>2476.9454065287373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>
        <row r="8">
          <cell r="D8">
            <v>413670.86370009644</v>
          </cell>
        </row>
      </sheetData>
      <sheetData sheetId="137">
        <row r="7">
          <cell r="C7">
            <v>46219.462331738068</v>
          </cell>
        </row>
        <row r="56">
          <cell r="H56">
            <v>0</v>
          </cell>
          <cell r="N56">
            <v>0</v>
          </cell>
        </row>
      </sheetData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1 (2)"/>
    </sheetNames>
    <sheetDataSet>
      <sheetData sheetId="0">
        <row r="14">
          <cell r="AV14">
            <v>997829.01207320578</v>
          </cell>
          <cell r="AW14">
            <v>987196.10457718628</v>
          </cell>
        </row>
      </sheetData>
      <sheetData sheetId="1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Pig Costing October 2023"/>
      <sheetName val="Imported Pigs Costing 1023"/>
      <sheetName val="October 2023 USD"/>
      <sheetName val="Pig Costing November 2023"/>
      <sheetName val="Imported Pigs Costing 1123"/>
      <sheetName val="November 2023 USD"/>
      <sheetName val="Pig Costing December 2023"/>
      <sheetName val="Imported Pigs Costing 1223"/>
      <sheetName val="December 2023 USD "/>
      <sheetName val="Pig Costing January 2024"/>
      <sheetName val="Imported Pigs Costing 0124"/>
      <sheetName val="January 2024 USD"/>
      <sheetName val="Pig Costing February 2024"/>
      <sheetName val="Imported Pigs Costing 0224"/>
      <sheetName val="February 2024 USD"/>
      <sheetName val="Pig Costing March 2024"/>
      <sheetName val="Imported Pigs Costing 0324 "/>
      <sheetName val="March 2024 USD "/>
      <sheetName val="Pig Costing April 2024 "/>
      <sheetName val="Imported Pigs Costing 0424"/>
      <sheetName val="April 2024 USD "/>
      <sheetName val="Pig Costing May 2024"/>
      <sheetName val="Imported Pigs Costing 0524"/>
      <sheetName val="May 2024 USD  "/>
      <sheetName val="Pig Costing June 2024"/>
      <sheetName val="Imported Pigs Costing 0624"/>
      <sheetName val="June 2024 USD"/>
      <sheetName val="Pig Costing July 2024"/>
      <sheetName val="Imported Pigs Costing 0724"/>
      <sheetName val="July 2024 USD"/>
      <sheetName val="Pig Costing August 2024 "/>
      <sheetName val="Imported Pigs Costing 0824"/>
      <sheetName val="August 2024 USD"/>
      <sheetName val="Pig Costing September 2024 "/>
      <sheetName val="Imported Pigs Costing 0924"/>
      <sheetName val="September 2024 USD"/>
      <sheetName val="Pig Costing October 2024"/>
      <sheetName val="Imported Pigs Costing 1024"/>
      <sheetName val="October 2024 USD"/>
      <sheetName val="Pig Costing November 2024"/>
      <sheetName val="Imported Pigs Costing 1124"/>
      <sheetName val="November 2024 USD"/>
      <sheetName val="Pig Costing December 2024"/>
      <sheetName val="Imported Pigs Costing 1224"/>
      <sheetName val="December 2024 USD "/>
      <sheetName val="Pig Costing January 2025"/>
      <sheetName val="Imported Pigs Costing 0125"/>
      <sheetName val="January 2025 USD  "/>
      <sheetName val="Pig Costing February 2025"/>
      <sheetName val="Imported Pigs Costing 0225"/>
      <sheetName val="February 2025 USD"/>
      <sheetName val="Pig Costing March 2025"/>
      <sheetName val="Imported Pigs Costing 0325"/>
      <sheetName val="March 2025 USD"/>
      <sheetName val="Pig Costing April 2025"/>
      <sheetName val="Imported Pigs Costing 0425 "/>
      <sheetName val="April 2025 USD"/>
      <sheetName val="Pig Costing May 2025"/>
      <sheetName val="Imported Pigs Costing 0525"/>
      <sheetName val="May 2025 USD"/>
      <sheetName val="Pig Costing June 2025"/>
      <sheetName val="Imported Pigs Costing 0625"/>
      <sheetName val="June 2025 USD"/>
      <sheetName val="Imported Pigs Costing 0625 (2)"/>
      <sheetName val="Pig Costing July 2025"/>
      <sheetName val="Imported Pigs Costing 0725"/>
      <sheetName val="July 2025 USD"/>
      <sheetName val="Pig Costing August 2025"/>
      <sheetName val="Imported Pigs Costing 0825"/>
      <sheetName val="August 2025 USD"/>
      <sheetName val="Pig Costing September 2025"/>
      <sheetName val="Imported Pigs Costing 0925"/>
      <sheetName val="September 2025 USD "/>
      <sheetName val="Pig Costing October 2025"/>
      <sheetName val="Imported Pigs Costing 1025"/>
      <sheetName val="October 2025 USD "/>
      <sheetName val="Pig Costing November 2025"/>
      <sheetName val="Imported Pigs Costing 1125"/>
      <sheetName val="November 2025 USD"/>
      <sheetName val="Pig Costing December 2025"/>
      <sheetName val="Imported Pigs Costing 1225"/>
      <sheetName val="December 2025 USD "/>
      <sheetName val="Pig Costing January 2026"/>
      <sheetName val="Imported Pigs Costing 0126"/>
      <sheetName val="January 2026 USD"/>
      <sheetName val="Pig Costing February 2026"/>
      <sheetName val="Imported Pigs Costing 0226"/>
      <sheetName val="February 2026 USD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>
        <row r="84">
          <cell r="AX84">
            <v>13218.348425980806</v>
          </cell>
        </row>
      </sheetData>
      <sheetData sheetId="156" refreshError="1"/>
      <sheetData sheetId="157" refreshError="1"/>
      <sheetData sheetId="158">
        <row r="7">
          <cell r="J7">
            <v>40989.68096279673</v>
          </cell>
        </row>
        <row r="56">
          <cell r="E56">
            <v>146557.44618039747</v>
          </cell>
        </row>
      </sheetData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66">
          <cell r="D66">
            <v>1089966.6299999999</v>
          </cell>
        </row>
        <row r="77">
          <cell r="D77">
            <v>496786.52</v>
          </cell>
        </row>
        <row r="86">
          <cell r="D86">
            <v>1072429.9099999999</v>
          </cell>
        </row>
        <row r="89">
          <cell r="E89">
            <v>352019.23</v>
          </cell>
        </row>
        <row r="93">
          <cell r="D93">
            <v>3718071.25</v>
          </cell>
        </row>
        <row r="97">
          <cell r="D97">
            <v>761476.54</v>
          </cell>
        </row>
      </sheetData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Grasmere Imported Valuation"/>
      <sheetName val="Richlands Imported Valuation"/>
      <sheetName val="Summary Splits"/>
      <sheetName val="Lionhead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Richlands Pig Cost (2)"/>
      <sheetName val="CCC"/>
      <sheetName val="CCC (2)"/>
      <sheetName val="Total Pigs"/>
      <sheetName val="Non Current"/>
      <sheetName val="Feed Cost &amp; Allocation"/>
      <sheetName val="FCA RData"/>
      <sheetName val="Feed Consumed"/>
      <sheetName val="Sheet27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E3">
            <v>97095570.846874684</v>
          </cell>
        </row>
      </sheetData>
      <sheetData sheetId="11">
        <row r="14">
          <cell r="W14">
            <v>-4528</v>
          </cell>
        </row>
      </sheetData>
      <sheetData sheetId="12"/>
      <sheetData sheetId="13">
        <row r="6">
          <cell r="Q6">
            <v>42</v>
          </cell>
        </row>
      </sheetData>
      <sheetData sheetId="14"/>
      <sheetData sheetId="15"/>
      <sheetData sheetId="16"/>
      <sheetData sheetId="17"/>
      <sheetData sheetId="18"/>
      <sheetData sheetId="19">
        <row r="21">
          <cell r="D21">
            <v>1</v>
          </cell>
        </row>
      </sheetData>
      <sheetData sheetId="20"/>
      <sheetData sheetId="21"/>
      <sheetData sheetId="22">
        <row r="6">
          <cell r="G6">
            <v>0</v>
          </cell>
        </row>
      </sheetData>
      <sheetData sheetId="23"/>
      <sheetData sheetId="24">
        <row r="12">
          <cell r="F12">
            <v>0</v>
          </cell>
        </row>
      </sheetData>
      <sheetData sheetId="25">
        <row r="16">
          <cell r="F16">
            <v>0</v>
          </cell>
        </row>
      </sheetData>
      <sheetData sheetId="26"/>
      <sheetData sheetId="27"/>
      <sheetData sheetId="28">
        <row r="6">
          <cell r="B6">
            <v>365780162.86660188</v>
          </cell>
        </row>
      </sheetData>
      <sheetData sheetId="29">
        <row r="8">
          <cell r="CF8">
            <v>-1718030.6987312208</v>
          </cell>
        </row>
      </sheetData>
      <sheetData sheetId="30">
        <row r="7">
          <cell r="AR7">
            <v>-7069988.0017667636</v>
          </cell>
        </row>
      </sheetData>
      <sheetData sheetId="31"/>
      <sheetData sheetId="32"/>
      <sheetData sheetId="33">
        <row r="6">
          <cell r="C6">
            <v>2409041792.5464935</v>
          </cell>
        </row>
      </sheetData>
      <sheetData sheetId="34">
        <row r="9">
          <cell r="H9">
            <v>97095570.846874684</v>
          </cell>
        </row>
      </sheetData>
      <sheetData sheetId="35">
        <row r="10">
          <cell r="D10">
            <v>0.71375085367144997</v>
          </cell>
        </row>
      </sheetData>
      <sheetData sheetId="36">
        <row r="9">
          <cell r="H9">
            <v>48171640.60279797</v>
          </cell>
        </row>
      </sheetData>
      <sheetData sheetId="37">
        <row r="10">
          <cell r="D10">
            <v>0.86061888304327727</v>
          </cell>
        </row>
      </sheetData>
      <sheetData sheetId="38">
        <row r="9">
          <cell r="H9">
            <v>19317151.369876068</v>
          </cell>
        </row>
      </sheetData>
      <sheetData sheetId="39">
        <row r="9">
          <cell r="H9">
            <v>43261678.640834719</v>
          </cell>
        </row>
      </sheetData>
      <sheetData sheetId="40">
        <row r="21">
          <cell r="G21">
            <v>50524761.12069767</v>
          </cell>
        </row>
      </sheetData>
      <sheetData sheetId="41">
        <row r="26">
          <cell r="S26">
            <v>1086</v>
          </cell>
        </row>
      </sheetData>
      <sheetData sheetId="42"/>
      <sheetData sheetId="43">
        <row r="26">
          <cell r="S26">
            <v>0</v>
          </cell>
        </row>
      </sheetData>
      <sheetData sheetId="44"/>
      <sheetData sheetId="45">
        <row r="26">
          <cell r="S26">
            <v>529</v>
          </cell>
        </row>
      </sheetData>
      <sheetData sheetId="46"/>
      <sheetData sheetId="47">
        <row r="26">
          <cell r="R26">
            <v>0</v>
          </cell>
        </row>
      </sheetData>
      <sheetData sheetId="48"/>
      <sheetData sheetId="49">
        <row r="26">
          <cell r="S26">
            <v>167</v>
          </cell>
        </row>
      </sheetData>
      <sheetData sheetId="50"/>
      <sheetData sheetId="51">
        <row r="26">
          <cell r="S26">
            <v>564</v>
          </cell>
        </row>
      </sheetData>
      <sheetData sheetId="52"/>
      <sheetData sheetId="53">
        <row r="49">
          <cell r="S49">
            <v>0</v>
          </cell>
        </row>
      </sheetData>
      <sheetData sheetId="54"/>
      <sheetData sheetId="55">
        <row r="32">
          <cell r="C32">
            <v>79359962.645603701</v>
          </cell>
        </row>
      </sheetData>
      <sheetData sheetId="56">
        <row r="20">
          <cell r="V20">
            <v>-140</v>
          </cell>
        </row>
        <row r="28">
          <cell r="Y28">
            <v>0</v>
          </cell>
        </row>
      </sheetData>
      <sheetData sheetId="57">
        <row r="57">
          <cell r="U57">
            <v>1544620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1 (2)"/>
    </sheetNames>
    <sheetDataSet>
      <sheetData sheetId="0">
        <row r="14">
          <cell r="BV14">
            <v>1154194.0469640333</v>
          </cell>
        </row>
        <row r="20">
          <cell r="BV20">
            <v>166.45429001500335</v>
          </cell>
        </row>
      </sheetData>
      <sheetData sheetId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1 (2)"/>
      <sheetName val="Non Current Costing 0726"/>
    </sheetNames>
    <sheetDataSet>
      <sheetData sheetId="0">
        <row r="14">
          <cell r="BW14">
            <v>1159587.90712307</v>
          </cell>
        </row>
        <row r="20">
          <cell r="BW20">
            <v>166.05870071932836</v>
          </cell>
          <cell r="BX20">
            <v>166.00272150377384</v>
          </cell>
        </row>
      </sheetData>
      <sheetData sheetId="1"/>
      <sheetData sheetId="2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tems"/>
    </sheetNames>
    <sheetDataSet>
      <sheetData sheetId="0" refreshError="1">
        <row r="4">
          <cell r="A4" t="str">
            <v>FEED000003</v>
          </cell>
          <cell r="B4" t="str">
            <v>Creep- 3 Lacto</v>
          </cell>
        </row>
        <row r="9">
          <cell r="A9" t="str">
            <v>FEED000008</v>
          </cell>
          <cell r="B9" t="str">
            <v>Creep 3 Nosilac</v>
          </cell>
        </row>
        <row r="10">
          <cell r="A10" t="str">
            <v>FEED000009</v>
          </cell>
          <cell r="B10" t="str">
            <v xml:space="preserve"> Dry Gilt</v>
          </cell>
        </row>
        <row r="12">
          <cell r="A12" t="str">
            <v>FEED000011</v>
          </cell>
        </row>
        <row r="16">
          <cell r="B16" t="str">
            <v xml:space="preserve"> Gilt 5</v>
          </cell>
        </row>
        <row r="17">
          <cell r="A17" t="str">
            <v>FEED000016</v>
          </cell>
        </row>
        <row r="20">
          <cell r="A20" t="str">
            <v>FEED000019</v>
          </cell>
          <cell r="B20" t="str">
            <v>Grower Finisher</v>
          </cell>
        </row>
        <row r="21">
          <cell r="A21" t="str">
            <v>FEED000020</v>
          </cell>
        </row>
        <row r="22">
          <cell r="A22" t="str">
            <v>FEED000021</v>
          </cell>
        </row>
        <row r="23">
          <cell r="B23" t="str">
            <v xml:space="preserve"> Super Flush</v>
          </cell>
        </row>
        <row r="26">
          <cell r="A26" t="str">
            <v>FEED000025</v>
          </cell>
          <cell r="B26" t="str">
            <v xml:space="preserve">Weaner </v>
          </cell>
        </row>
      </sheetData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ed Cost &amp; Allocation"/>
      <sheetName val="SYSTEM EXTRACT"/>
      <sheetName val="FEED COST AND ALLOCATIONS"/>
    </sheetNames>
    <sheetDataSet>
      <sheetData sheetId="0">
        <row r="45">
          <cell r="B45">
            <v>0</v>
          </cell>
        </row>
      </sheetData>
      <sheetData sheetId="1">
        <row r="2">
          <cell r="A2" t="str">
            <v>FEED000001</v>
          </cell>
          <cell r="B2" t="str">
            <v xml:space="preserve"> 90 plus V2</v>
          </cell>
        </row>
        <row r="3">
          <cell r="A3" t="str">
            <v>FEED000002</v>
          </cell>
        </row>
        <row r="5">
          <cell r="A5" t="str">
            <v>FEED000004</v>
          </cell>
          <cell r="B5" t="str">
            <v xml:space="preserve"> Creep1-Lacto</v>
          </cell>
        </row>
        <row r="6">
          <cell r="A6" t="str">
            <v>FEED000005</v>
          </cell>
          <cell r="B6" t="str">
            <v>Creep2-Lacto</v>
          </cell>
        </row>
        <row r="7">
          <cell r="A7" t="str">
            <v>FEED000006</v>
          </cell>
          <cell r="B7" t="str">
            <v>Creep 1 Nosilac</v>
          </cell>
        </row>
        <row r="8">
          <cell r="A8" t="str">
            <v>FEED000007</v>
          </cell>
          <cell r="B8" t="str">
            <v xml:space="preserve"> Creep 2 Nosilac</v>
          </cell>
        </row>
        <row r="11">
          <cell r="A11" t="str">
            <v>FEED000010</v>
          </cell>
          <cell r="B11" t="str">
            <v xml:space="preserve"> Drysow</v>
          </cell>
        </row>
        <row r="12">
          <cell r="B12" t="str">
            <v>Gilt 1</v>
          </cell>
        </row>
        <row r="13">
          <cell r="A13" t="str">
            <v>FEED000012</v>
          </cell>
          <cell r="B13" t="str">
            <v>Gilt 2</v>
          </cell>
        </row>
        <row r="14">
          <cell r="A14" t="str">
            <v>FEED000013</v>
          </cell>
          <cell r="B14" t="str">
            <v>Gilt 3</v>
          </cell>
        </row>
        <row r="15">
          <cell r="A15" t="str">
            <v>FEED000014</v>
          </cell>
          <cell r="B15" t="str">
            <v xml:space="preserve"> Gilt 4</v>
          </cell>
        </row>
        <row r="16">
          <cell r="A16" t="str">
            <v>FEED000015</v>
          </cell>
        </row>
        <row r="17">
          <cell r="B17" t="str">
            <v>Grower 1</v>
          </cell>
        </row>
        <row r="18">
          <cell r="B18" t="str">
            <v>Grower 2</v>
          </cell>
        </row>
        <row r="19">
          <cell r="A19" t="str">
            <v>FEED000018</v>
          </cell>
          <cell r="B19" t="str">
            <v>Grower 3</v>
          </cell>
        </row>
        <row r="21">
          <cell r="B21" t="str">
            <v xml:space="preserve"> Lactating Gilt</v>
          </cell>
        </row>
        <row r="22">
          <cell r="B22" t="str">
            <v xml:space="preserve"> Lactating Sow</v>
          </cell>
        </row>
        <row r="23">
          <cell r="A23" t="str">
            <v>FEED000022</v>
          </cell>
        </row>
        <row r="24">
          <cell r="A24" t="str">
            <v>FEED000023</v>
          </cell>
          <cell r="B24" t="str">
            <v xml:space="preserve"> Transition</v>
          </cell>
        </row>
        <row r="25">
          <cell r="A25" t="str">
            <v>FEED000024</v>
          </cell>
          <cell r="B25" t="str">
            <v>Weaner O.T.C</v>
          </cell>
        </row>
      </sheetData>
      <sheetData sheetId="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Feed Cost &amp; Allocation"/>
      <sheetName val="Learig Bulk"/>
      <sheetName val="Learig Bagged"/>
      <sheetName val="Villa Bulk"/>
      <sheetName val="Villa Bagged"/>
      <sheetName val="LH BULK"/>
      <sheetName val="LH BAGGED"/>
      <sheetName val="RICH BULK"/>
      <sheetName val="RICH BAGGED"/>
      <sheetName val="LH EXT BULK"/>
      <sheetName val="LH EXT BAGGED"/>
      <sheetName val="PORTA BULK"/>
      <sheetName val="PORTA BAGGED"/>
      <sheetName val="WEANER BULK"/>
      <sheetName val="GROWER BULK"/>
      <sheetName val="AI BULK"/>
      <sheetName val="MAINSITE BULK"/>
    </sheetNames>
    <sheetDataSet>
      <sheetData sheetId="0">
        <row r="53">
          <cell r="C53">
            <v>1550</v>
          </cell>
        </row>
      </sheetData>
      <sheetData sheetId="1">
        <row r="1">
          <cell r="B1" t="str">
            <v>FEED000001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ed Cost &amp; Allocation"/>
      <sheetName val="Sheet1"/>
      <sheetName val="Diets Split"/>
      <sheetName val="General Ledger Entries"/>
      <sheetName val="LH Bulk"/>
      <sheetName val="LH Bagged"/>
      <sheetName val="AI Bulk"/>
      <sheetName val="AI Bagged"/>
      <sheetName val="Grower Bulk"/>
      <sheetName val="Grower Bagged"/>
      <sheetName val="Learig Bulk"/>
      <sheetName val="Learig Bagged"/>
      <sheetName val="LH Ext Bulk"/>
      <sheetName val="LH Ext Bagged"/>
      <sheetName val="Mainsite Bulk"/>
      <sheetName val="Mainsite Bagged"/>
      <sheetName val="Porta Bulk"/>
      <sheetName val="Porta Bagged"/>
      <sheetName val="Rich Bulk"/>
      <sheetName val="Rich Bagged"/>
      <sheetName val="VF Bulk"/>
      <sheetName val="VF Bagged"/>
      <sheetName val="Weaner Bulk"/>
      <sheetName val="Weaner Bagged"/>
      <sheetName val="Quarantine"/>
    </sheetNames>
    <sheetDataSet>
      <sheetData sheetId="0">
        <row r="1">
          <cell r="A1" t="str">
            <v>TRIPLE C PIGS</v>
          </cell>
          <cell r="B1" t="str">
            <v>FEED000001</v>
          </cell>
          <cell r="C1" t="str">
            <v>FEED000002</v>
          </cell>
          <cell r="D1" t="str">
            <v>FEED000003</v>
          </cell>
          <cell r="E1" t="str">
            <v>FEED000004</v>
          </cell>
          <cell r="F1" t="str">
            <v>FEED000005</v>
          </cell>
          <cell r="G1" t="str">
            <v>FEED000006</v>
          </cell>
          <cell r="H1" t="str">
            <v>FEED000007</v>
          </cell>
          <cell r="I1" t="str">
            <v>FEED000008</v>
          </cell>
          <cell r="J1" t="str">
            <v>FEED000009</v>
          </cell>
          <cell r="K1" t="str">
            <v>FEED000010</v>
          </cell>
          <cell r="L1" t="str">
            <v>FEED000011</v>
          </cell>
          <cell r="M1" t="str">
            <v>FEED000012</v>
          </cell>
          <cell r="N1" t="str">
            <v>FEED000013</v>
          </cell>
          <cell r="O1" t="str">
            <v>FEED000014</v>
          </cell>
          <cell r="P1" t="str">
            <v>FEED000015</v>
          </cell>
          <cell r="Q1" t="str">
            <v>FEED000016</v>
          </cell>
          <cell r="R1" t="str">
            <v>FEED000017</v>
          </cell>
          <cell r="S1" t="str">
            <v>FEED000018</v>
          </cell>
          <cell r="T1" t="str">
            <v>FEED000019</v>
          </cell>
          <cell r="U1" t="str">
            <v>FEED000020</v>
          </cell>
          <cell r="V1" t="str">
            <v>FEED000021</v>
          </cell>
          <cell r="W1" t="str">
            <v>FEED000022</v>
          </cell>
          <cell r="X1" t="str">
            <v>FEED000023</v>
          </cell>
          <cell r="Y1" t="str">
            <v>FEED000024</v>
          </cell>
          <cell r="Z1" t="str">
            <v>FEED000025</v>
          </cell>
          <cell r="AA1" t="str">
            <v>FEED000026</v>
          </cell>
          <cell r="AB1" t="str">
            <v>FEED000027</v>
          </cell>
          <cell r="AC1" t="str">
            <v>FEED000035</v>
          </cell>
          <cell r="AD1" t="str">
            <v>FEED000039</v>
          </cell>
          <cell r="AE1" t="str">
            <v>FEED000044</v>
          </cell>
          <cell r="AF1" t="str">
            <v>FEED000045</v>
          </cell>
          <cell r="AG1" t="str">
            <v>FEED000046</v>
          </cell>
          <cell r="AH1" t="str">
            <v>FEED000049</v>
          </cell>
          <cell r="AI1" t="str">
            <v>FEED000051</v>
          </cell>
          <cell r="AJ1" t="str">
            <v>FEED000052</v>
          </cell>
          <cell r="AK1" t="str">
            <v>FEED000060</v>
          </cell>
          <cell r="AL1" t="str">
            <v>FEED000029</v>
          </cell>
        </row>
        <row r="41">
          <cell r="AN41">
            <v>5022036.2</v>
          </cell>
        </row>
        <row r="42">
          <cell r="B42">
            <v>31272</v>
          </cell>
          <cell r="C42">
            <v>3563.1</v>
          </cell>
          <cell r="D42">
            <v>0</v>
          </cell>
          <cell r="E42">
            <v>0</v>
          </cell>
          <cell r="F42">
            <v>0</v>
          </cell>
          <cell r="G42">
            <v>3038</v>
          </cell>
          <cell r="H42">
            <v>19003.5</v>
          </cell>
          <cell r="I42">
            <v>51030.7</v>
          </cell>
          <cell r="J42">
            <v>0</v>
          </cell>
          <cell r="K42">
            <v>94622</v>
          </cell>
          <cell r="L42">
            <v>6125</v>
          </cell>
          <cell r="M42">
            <v>1084.5999999999999</v>
          </cell>
          <cell r="N42">
            <v>2924.1</v>
          </cell>
          <cell r="O42">
            <v>19259.599999999999</v>
          </cell>
          <cell r="P42">
            <v>12896.5</v>
          </cell>
          <cell r="Q42">
            <v>132581</v>
          </cell>
          <cell r="R42">
            <v>164536</v>
          </cell>
          <cell r="S42">
            <v>259803.9</v>
          </cell>
          <cell r="T42">
            <v>0</v>
          </cell>
          <cell r="U42">
            <v>20112</v>
          </cell>
          <cell r="V42">
            <v>56238</v>
          </cell>
          <cell r="W42">
            <v>16519</v>
          </cell>
          <cell r="X42">
            <v>13076</v>
          </cell>
          <cell r="Y42">
            <v>118205</v>
          </cell>
          <cell r="Z42">
            <v>58103</v>
          </cell>
          <cell r="AA42">
            <v>383041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N42">
            <v>1467034</v>
          </cell>
        </row>
        <row r="43">
          <cell r="B43">
            <v>5048</v>
          </cell>
          <cell r="C43">
            <v>100</v>
          </cell>
          <cell r="D43">
            <v>0</v>
          </cell>
          <cell r="E43">
            <v>0</v>
          </cell>
          <cell r="F43">
            <v>0</v>
          </cell>
          <cell r="G43">
            <v>250</v>
          </cell>
          <cell r="H43">
            <v>0</v>
          </cell>
          <cell r="I43">
            <v>6400</v>
          </cell>
          <cell r="J43">
            <v>4742</v>
          </cell>
          <cell r="K43">
            <v>15999</v>
          </cell>
          <cell r="L43">
            <v>717</v>
          </cell>
          <cell r="M43">
            <v>700</v>
          </cell>
          <cell r="N43">
            <v>1000</v>
          </cell>
          <cell r="O43">
            <v>3050</v>
          </cell>
          <cell r="P43">
            <v>3500</v>
          </cell>
          <cell r="Q43">
            <v>20149</v>
          </cell>
          <cell r="R43">
            <v>23963</v>
          </cell>
          <cell r="S43">
            <v>39257</v>
          </cell>
          <cell r="T43">
            <v>63282</v>
          </cell>
          <cell r="U43">
            <v>3019</v>
          </cell>
          <cell r="V43">
            <v>12835</v>
          </cell>
          <cell r="W43">
            <v>3816</v>
          </cell>
          <cell r="X43">
            <v>1455</v>
          </cell>
          <cell r="Y43">
            <v>16617</v>
          </cell>
          <cell r="Z43">
            <v>11974</v>
          </cell>
          <cell r="AA43">
            <v>0</v>
          </cell>
          <cell r="AB43">
            <v>2910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N43">
            <v>240783</v>
          </cell>
        </row>
        <row r="44">
          <cell r="B44">
            <v>12717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1634</v>
          </cell>
          <cell r="H44">
            <v>9924</v>
          </cell>
          <cell r="I44">
            <v>41585</v>
          </cell>
          <cell r="J44">
            <v>10353</v>
          </cell>
          <cell r="K44">
            <v>42597</v>
          </cell>
          <cell r="L44">
            <v>3418.6</v>
          </cell>
          <cell r="M44">
            <v>2150</v>
          </cell>
          <cell r="N44">
            <v>3350</v>
          </cell>
          <cell r="O44">
            <v>6617</v>
          </cell>
          <cell r="P44">
            <v>4907</v>
          </cell>
          <cell r="Q44">
            <v>85171</v>
          </cell>
          <cell r="R44">
            <v>84795</v>
          </cell>
          <cell r="S44">
            <v>110777</v>
          </cell>
          <cell r="T44">
            <v>261588</v>
          </cell>
          <cell r="U44">
            <v>44977</v>
          </cell>
          <cell r="V44">
            <v>0</v>
          </cell>
          <cell r="W44">
            <v>14162</v>
          </cell>
          <cell r="X44">
            <v>3500</v>
          </cell>
          <cell r="Y44">
            <v>69331</v>
          </cell>
          <cell r="Z44">
            <v>42089.5</v>
          </cell>
          <cell r="AA44">
            <v>0</v>
          </cell>
          <cell r="AB44">
            <v>900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N44">
            <v>856543.1</v>
          </cell>
        </row>
        <row r="45">
          <cell r="B45">
            <v>11889</v>
          </cell>
          <cell r="C45">
            <v>1000</v>
          </cell>
          <cell r="D45">
            <v>0</v>
          </cell>
          <cell r="E45">
            <v>0</v>
          </cell>
          <cell r="F45">
            <v>0</v>
          </cell>
          <cell r="G45">
            <v>1615</v>
          </cell>
          <cell r="H45">
            <v>8322</v>
          </cell>
          <cell r="I45">
            <v>45771</v>
          </cell>
          <cell r="J45">
            <v>13665</v>
          </cell>
          <cell r="K45">
            <v>35573</v>
          </cell>
          <cell r="L45">
            <v>3950</v>
          </cell>
          <cell r="M45">
            <v>4855</v>
          </cell>
          <cell r="N45">
            <v>4567</v>
          </cell>
          <cell r="O45">
            <v>3100</v>
          </cell>
          <cell r="P45">
            <v>5697</v>
          </cell>
          <cell r="Q45">
            <v>75319</v>
          </cell>
          <cell r="R45">
            <v>82406</v>
          </cell>
          <cell r="S45">
            <v>46217</v>
          </cell>
          <cell r="T45">
            <v>220983</v>
          </cell>
          <cell r="U45">
            <v>36282</v>
          </cell>
          <cell r="V45">
            <v>0</v>
          </cell>
          <cell r="W45">
            <v>11224</v>
          </cell>
          <cell r="X45">
            <v>5470</v>
          </cell>
          <cell r="Y45">
            <v>75743</v>
          </cell>
          <cell r="Z45">
            <v>42444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N45">
            <v>736092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21975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51858</v>
          </cell>
          <cell r="R46">
            <v>52103</v>
          </cell>
          <cell r="S46">
            <v>84811</v>
          </cell>
          <cell r="T46">
            <v>139235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40748</v>
          </cell>
          <cell r="Z46">
            <v>18018</v>
          </cell>
          <cell r="AA46">
            <v>0</v>
          </cell>
          <cell r="AB46">
            <v>5542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N46">
            <v>414290</v>
          </cell>
        </row>
        <row r="47">
          <cell r="AN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5595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19155</v>
          </cell>
          <cell r="R48">
            <v>27289</v>
          </cell>
          <cell r="S48">
            <v>35500</v>
          </cell>
          <cell r="T48">
            <v>81741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27362</v>
          </cell>
          <cell r="Z48">
            <v>0</v>
          </cell>
          <cell r="AA48">
            <v>0</v>
          </cell>
          <cell r="AB48">
            <v>1550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N48">
            <v>198192</v>
          </cell>
        </row>
        <row r="49">
          <cell r="B49">
            <v>0</v>
          </cell>
          <cell r="C49">
            <v>400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15366</v>
          </cell>
          <cell r="I49">
            <v>39665</v>
          </cell>
          <cell r="J49">
            <v>15061</v>
          </cell>
          <cell r="K49">
            <v>47065</v>
          </cell>
          <cell r="L49">
            <v>5549</v>
          </cell>
          <cell r="M49">
            <v>2029</v>
          </cell>
          <cell r="N49">
            <v>4397</v>
          </cell>
          <cell r="O49">
            <v>2333</v>
          </cell>
          <cell r="P49">
            <v>6866</v>
          </cell>
          <cell r="Q49">
            <v>85544</v>
          </cell>
          <cell r="R49">
            <v>73501</v>
          </cell>
          <cell r="S49">
            <v>154785</v>
          </cell>
          <cell r="T49">
            <v>0</v>
          </cell>
          <cell r="U49">
            <v>46927</v>
          </cell>
          <cell r="V49">
            <v>0</v>
          </cell>
          <cell r="W49">
            <v>10067</v>
          </cell>
          <cell r="X49">
            <v>5065</v>
          </cell>
          <cell r="Y49">
            <v>63210</v>
          </cell>
          <cell r="Z49">
            <v>43278</v>
          </cell>
          <cell r="AA49">
            <v>207339.2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N49">
            <v>828447.2</v>
          </cell>
        </row>
        <row r="50">
          <cell r="B50">
            <v>0</v>
          </cell>
          <cell r="C50">
            <v>524.9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4114</v>
          </cell>
          <cell r="I50">
            <v>8347</v>
          </cell>
          <cell r="J50">
            <v>28033</v>
          </cell>
          <cell r="K50">
            <v>0</v>
          </cell>
          <cell r="L50">
            <v>2000</v>
          </cell>
          <cell r="M50">
            <v>2000</v>
          </cell>
          <cell r="N50">
            <v>2019</v>
          </cell>
          <cell r="O50">
            <v>2100</v>
          </cell>
          <cell r="P50">
            <v>2223</v>
          </cell>
          <cell r="Q50">
            <v>27044</v>
          </cell>
          <cell r="R50">
            <v>29178</v>
          </cell>
          <cell r="S50">
            <v>37171</v>
          </cell>
          <cell r="T50">
            <v>0</v>
          </cell>
          <cell r="U50">
            <v>0</v>
          </cell>
          <cell r="V50">
            <v>14320</v>
          </cell>
          <cell r="W50">
            <v>6025</v>
          </cell>
          <cell r="X50">
            <v>2055</v>
          </cell>
          <cell r="Y50">
            <v>30160</v>
          </cell>
          <cell r="Z50">
            <v>14050</v>
          </cell>
          <cell r="AA50">
            <v>69291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N50">
            <v>280654.90000000002</v>
          </cell>
        </row>
        <row r="53">
          <cell r="B53">
            <v>0.38096116600466134</v>
          </cell>
          <cell r="C53">
            <v>0.40304581245526133</v>
          </cell>
          <cell r="D53">
            <v>0</v>
          </cell>
          <cell r="E53">
            <v>0</v>
          </cell>
          <cell r="F53">
            <v>0</v>
          </cell>
          <cell r="G53">
            <v>0.76321401254398047</v>
          </cell>
          <cell r="H53">
            <v>0.71314800941309198</v>
          </cell>
          <cell r="I53">
            <v>0.59471009267650077</v>
          </cell>
          <cell r="J53">
            <v>0.23006610627104959</v>
          </cell>
          <cell r="K53">
            <v>0.35169743402754222</v>
          </cell>
          <cell r="L53">
            <v>0.38731640287505287</v>
          </cell>
          <cell r="M53">
            <v>0.34809573588379389</v>
          </cell>
          <cell r="N53">
            <v>0.34611356677676086</v>
          </cell>
          <cell r="O53">
            <v>0.32539331204950134</v>
          </cell>
          <cell r="P53">
            <v>0.34622064589423512</v>
          </cell>
          <cell r="Q53">
            <v>0.38559302042385485</v>
          </cell>
          <cell r="R53">
            <v>0.37904691774007898</v>
          </cell>
          <cell r="S53">
            <v>0.35704116985341694</v>
          </cell>
          <cell r="T53">
            <v>0.39999548791190737</v>
          </cell>
          <cell r="U53">
            <v>0.49845674973730641</v>
          </cell>
          <cell r="V53">
            <v>0.39985442423224976</v>
          </cell>
          <cell r="W53">
            <v>0.41238768543833826</v>
          </cell>
          <cell r="X53">
            <v>0.35107573234055056</v>
          </cell>
          <cell r="Y53">
            <v>0.48110823878054088</v>
          </cell>
          <cell r="Z53">
            <v>0.48254026304975073</v>
          </cell>
          <cell r="AA53">
            <v>0.36540159703803959</v>
          </cell>
          <cell r="AB53">
            <v>0.88583746101632721</v>
          </cell>
        </row>
        <row r="57">
          <cell r="AN57">
            <v>2161715.96</v>
          </cell>
        </row>
        <row r="58">
          <cell r="B58">
            <v>11899.01</v>
          </cell>
          <cell r="C58">
            <v>1587.24</v>
          </cell>
          <cell r="D58">
            <v>0</v>
          </cell>
          <cell r="E58">
            <v>0</v>
          </cell>
          <cell r="F58">
            <v>0</v>
          </cell>
          <cell r="G58">
            <v>2318.02</v>
          </cell>
          <cell r="H58">
            <v>14607.04</v>
          </cell>
          <cell r="I58">
            <v>31528.799999999999</v>
          </cell>
          <cell r="J58">
            <v>0</v>
          </cell>
          <cell r="K58">
            <v>33261.25</v>
          </cell>
          <cell r="L58">
            <v>2471.62</v>
          </cell>
          <cell r="M58">
            <v>440.59</v>
          </cell>
          <cell r="N58">
            <v>1133.82</v>
          </cell>
          <cell r="O58">
            <v>6545.4599999999991</v>
          </cell>
          <cell r="P58">
            <v>4728.49</v>
          </cell>
          <cell r="Q58">
            <v>54025.43</v>
          </cell>
          <cell r="R58">
            <v>65878.58</v>
          </cell>
          <cell r="S58">
            <v>97431.57</v>
          </cell>
          <cell r="T58">
            <v>0</v>
          </cell>
          <cell r="U58">
            <v>10130.75</v>
          </cell>
          <cell r="V58">
            <v>27154.010000000002</v>
          </cell>
          <cell r="W58">
            <v>7526.46</v>
          </cell>
          <cell r="X58">
            <v>4906.3599999999997</v>
          </cell>
          <cell r="Y58">
            <v>61011.55</v>
          </cell>
          <cell r="Z58">
            <v>29829.49</v>
          </cell>
          <cell r="AA58">
            <v>156385.56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</row>
        <row r="59">
          <cell r="B59">
            <v>1929</v>
          </cell>
          <cell r="C59">
            <v>44.2</v>
          </cell>
          <cell r="D59">
            <v>0</v>
          </cell>
          <cell r="E59">
            <v>0</v>
          </cell>
          <cell r="F59">
            <v>0</v>
          </cell>
          <cell r="G59">
            <v>193.25</v>
          </cell>
          <cell r="H59">
            <v>0</v>
          </cell>
          <cell r="I59">
            <v>3971.58</v>
          </cell>
          <cell r="J59">
            <v>1798.93</v>
          </cell>
          <cell r="K59">
            <v>5647.61</v>
          </cell>
          <cell r="L59">
            <v>317.76</v>
          </cell>
          <cell r="M59">
            <v>294.33999999999997</v>
          </cell>
          <cell r="N59">
            <v>389.09</v>
          </cell>
          <cell r="O59">
            <v>1135.3699999999999</v>
          </cell>
          <cell r="P59">
            <v>1290.96</v>
          </cell>
          <cell r="Q59">
            <v>8229.75</v>
          </cell>
          <cell r="R59">
            <v>9620.6299999999992</v>
          </cell>
          <cell r="S59">
            <v>14775.55</v>
          </cell>
          <cell r="T59">
            <v>25387.65</v>
          </cell>
          <cell r="U59">
            <v>1510.57</v>
          </cell>
          <cell r="V59">
            <v>6191.05</v>
          </cell>
          <cell r="W59">
            <v>1750.02</v>
          </cell>
          <cell r="X59">
            <v>556.01</v>
          </cell>
          <cell r="Y59">
            <v>8604.5400000000009</v>
          </cell>
          <cell r="Z59">
            <v>6170.35</v>
          </cell>
          <cell r="AA59">
            <v>0</v>
          </cell>
          <cell r="AB59">
            <v>2579.54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</row>
        <row r="60">
          <cell r="B60">
            <v>4858.66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1245.97</v>
          </cell>
          <cell r="H60">
            <v>7638.08</v>
          </cell>
          <cell r="I60">
            <v>25726.69</v>
          </cell>
          <cell r="J60">
            <v>3917.7</v>
          </cell>
          <cell r="K60">
            <v>14969.44</v>
          </cell>
          <cell r="L60">
            <v>1495.03</v>
          </cell>
          <cell r="M60">
            <v>898.45</v>
          </cell>
          <cell r="N60">
            <v>1300.56</v>
          </cell>
          <cell r="O60">
            <v>2325.62</v>
          </cell>
          <cell r="P60">
            <v>1832.77</v>
          </cell>
          <cell r="Q60">
            <v>34745.97</v>
          </cell>
          <cell r="R60">
            <v>33951.06</v>
          </cell>
          <cell r="S60">
            <v>41543.550000000003</v>
          </cell>
          <cell r="T60">
            <v>104528.37</v>
          </cell>
          <cell r="U60">
            <v>22374.52</v>
          </cell>
          <cell r="V60">
            <v>0</v>
          </cell>
          <cell r="W60">
            <v>6466.31</v>
          </cell>
          <cell r="X60">
            <v>1323.61</v>
          </cell>
          <cell r="Y60">
            <v>35798.9</v>
          </cell>
          <cell r="Z60">
            <v>21669.69</v>
          </cell>
          <cell r="AA60">
            <v>0</v>
          </cell>
          <cell r="AB60">
            <v>798.22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1">
          <cell r="B61">
            <v>4523.7700000000004</v>
          </cell>
          <cell r="C61">
            <v>441.9</v>
          </cell>
          <cell r="D61">
            <v>0</v>
          </cell>
          <cell r="E61">
            <v>0</v>
          </cell>
          <cell r="F61">
            <v>0</v>
          </cell>
          <cell r="G61">
            <v>1231.8900000000001</v>
          </cell>
          <cell r="H61">
            <v>6398.49</v>
          </cell>
          <cell r="I61">
            <v>28280.79</v>
          </cell>
          <cell r="J61">
            <v>5148.28</v>
          </cell>
          <cell r="K61">
            <v>12521.54</v>
          </cell>
          <cell r="L61">
            <v>1720.96</v>
          </cell>
          <cell r="M61">
            <v>1994.91</v>
          </cell>
          <cell r="N61">
            <v>1771.99</v>
          </cell>
          <cell r="O61">
            <v>1034.8499999999999</v>
          </cell>
          <cell r="P61">
            <v>2111.3200000000002</v>
          </cell>
          <cell r="Q61">
            <v>30692.18</v>
          </cell>
          <cell r="R61">
            <v>33083.120000000003</v>
          </cell>
          <cell r="S61">
            <v>17332.259999999998</v>
          </cell>
          <cell r="T61">
            <v>88335.17</v>
          </cell>
          <cell r="U61">
            <v>18054.87</v>
          </cell>
          <cell r="V61">
            <v>0</v>
          </cell>
          <cell r="W61">
            <v>5157.75</v>
          </cell>
          <cell r="X61">
            <v>2063.83</v>
          </cell>
          <cell r="Y61">
            <v>39111.599999999999</v>
          </cell>
          <cell r="Z61">
            <v>21790.33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13585.6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21140.17</v>
          </cell>
          <cell r="R62">
            <v>20869.509999999998</v>
          </cell>
          <cell r="S62">
            <v>31805.77</v>
          </cell>
          <cell r="T62">
            <v>55673.14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21051.4</v>
          </cell>
          <cell r="Z62">
            <v>9262.16</v>
          </cell>
          <cell r="AA62">
            <v>0</v>
          </cell>
          <cell r="AB62">
            <v>4906.92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3458.11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7860.87</v>
          </cell>
          <cell r="R64">
            <v>10998.74</v>
          </cell>
          <cell r="S64">
            <v>13386.45</v>
          </cell>
          <cell r="T64">
            <v>32803.81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14145.82</v>
          </cell>
          <cell r="Z64">
            <v>0</v>
          </cell>
          <cell r="AA64">
            <v>0</v>
          </cell>
          <cell r="AB64">
            <v>1372.72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</row>
        <row r="65">
          <cell r="B65">
            <v>0</v>
          </cell>
          <cell r="C65">
            <v>178.88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11812.92</v>
          </cell>
          <cell r="I65">
            <v>24503.919999999998</v>
          </cell>
          <cell r="J65">
            <v>5666.26</v>
          </cell>
          <cell r="K65">
            <v>16550.11</v>
          </cell>
          <cell r="L65">
            <v>2422.48</v>
          </cell>
          <cell r="M65">
            <v>833.81</v>
          </cell>
          <cell r="N65">
            <v>1723.57</v>
          </cell>
          <cell r="O65">
            <v>822.41</v>
          </cell>
          <cell r="P65">
            <v>2531.39</v>
          </cell>
          <cell r="Q65">
            <v>34876.339999999997</v>
          </cell>
          <cell r="R65">
            <v>29438.799999999999</v>
          </cell>
          <cell r="S65">
            <v>58047.4</v>
          </cell>
          <cell r="T65">
            <v>0</v>
          </cell>
          <cell r="U65">
            <v>23354.27</v>
          </cell>
          <cell r="V65">
            <v>0</v>
          </cell>
          <cell r="W65">
            <v>4590.38</v>
          </cell>
          <cell r="X65">
            <v>1900.48</v>
          </cell>
          <cell r="Y65">
            <v>32625.82</v>
          </cell>
          <cell r="Z65">
            <v>22241.25</v>
          </cell>
          <cell r="AA65">
            <v>84659.35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</row>
        <row r="66">
          <cell r="B66">
            <v>0</v>
          </cell>
          <cell r="C66">
            <v>231.09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3162.22</v>
          </cell>
          <cell r="I66">
            <v>5157.1000000000004</v>
          </cell>
          <cell r="J66">
            <v>10621.23</v>
          </cell>
          <cell r="K66">
            <v>0</v>
          </cell>
          <cell r="L66">
            <v>867.46</v>
          </cell>
          <cell r="M66">
            <v>811.08</v>
          </cell>
          <cell r="N66">
            <v>782.87</v>
          </cell>
          <cell r="O66">
            <v>776.2</v>
          </cell>
          <cell r="P66">
            <v>815.07</v>
          </cell>
          <cell r="Q66">
            <v>11020.15</v>
          </cell>
          <cell r="R66">
            <v>11682.56</v>
          </cell>
          <cell r="S66">
            <v>13939.86</v>
          </cell>
          <cell r="T66">
            <v>0</v>
          </cell>
          <cell r="U66">
            <v>0</v>
          </cell>
          <cell r="V66">
            <v>6773.4</v>
          </cell>
          <cell r="W66">
            <v>2741.02</v>
          </cell>
          <cell r="X66">
            <v>771.07</v>
          </cell>
          <cell r="Y66">
            <v>15567.1</v>
          </cell>
          <cell r="Z66">
            <v>7213.12</v>
          </cell>
          <cell r="AA66">
            <v>28282.51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</row>
        <row r="68">
          <cell r="AN68">
            <v>56318.42347016924</v>
          </cell>
        </row>
        <row r="69">
          <cell r="B69">
            <v>182.98325557032572</v>
          </cell>
          <cell r="C69">
            <v>-1.8775474788951099</v>
          </cell>
          <cell r="D69">
            <v>0</v>
          </cell>
          <cell r="E69">
            <v>0</v>
          </cell>
          <cell r="F69">
            <v>0</v>
          </cell>
          <cell r="G69">
            <v>47.924169344031249</v>
          </cell>
          <cell r="H69">
            <v>227.43982614572423</v>
          </cell>
          <cell r="I69">
            <v>862.10852719749744</v>
          </cell>
          <cell r="J69">
            <v>0</v>
          </cell>
          <cell r="K69">
            <v>495.73997788923037</v>
          </cell>
          <cell r="L69">
            <v>91.860921864432797</v>
          </cell>
          <cell r="M69">
            <v>28.162536487017785</v>
          </cell>
          <cell r="N69">
            <v>-66.734937287420323</v>
          </cell>
          <cell r="O69">
            <v>-152.15795639790048</v>
          </cell>
          <cell r="P69">
            <v>121.30180548458925</v>
          </cell>
          <cell r="Q69">
            <v>1640.5744742545294</v>
          </cell>
          <cell r="R69">
            <v>1767.0417755563378</v>
          </cell>
          <cell r="S69">
            <v>2536.303023974629</v>
          </cell>
          <cell r="T69">
            <v>0</v>
          </cell>
          <cell r="U69">
            <v>95.372727406161587</v>
          </cell>
          <cell r="V69">
            <v>313.95303594113238</v>
          </cell>
          <cell r="W69">
            <v>105.90591564583552</v>
          </cell>
          <cell r="X69">
            <v>742.47664228868371</v>
          </cell>
          <cell r="Y69">
            <v>2348.1509999379105</v>
          </cell>
          <cell r="Z69">
            <v>0</v>
          </cell>
          <cell r="AA69">
            <v>5742.9085540377546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O69">
            <v>641930.53772786167</v>
          </cell>
        </row>
        <row r="70">
          <cell r="B70">
            <v>26.833683001042012</v>
          </cell>
          <cell r="C70">
            <v>-0.16093264104815228</v>
          </cell>
          <cell r="D70">
            <v>0</v>
          </cell>
          <cell r="E70">
            <v>0</v>
          </cell>
          <cell r="F70">
            <v>0</v>
          </cell>
          <cell r="G70">
            <v>2.8720037561345135</v>
          </cell>
          <cell r="H70">
            <v>0</v>
          </cell>
          <cell r="I70">
            <v>116.32471188299542</v>
          </cell>
          <cell r="J70">
            <v>17.911705139178942</v>
          </cell>
          <cell r="K70">
            <v>75.776954478822816</v>
          </cell>
          <cell r="L70">
            <v>10.855781403619307</v>
          </cell>
          <cell r="M70">
            <v>14.602796696972185</v>
          </cell>
          <cell r="N70">
            <v>-15.77069413508689</v>
          </cell>
          <cell r="O70">
            <v>-27.728958237165781</v>
          </cell>
          <cell r="P70">
            <v>25.76108472415028</v>
          </cell>
          <cell r="Q70">
            <v>269.6116323491101</v>
          </cell>
          <cell r="R70">
            <v>320.2310698980516</v>
          </cell>
          <cell r="S70">
            <v>419.93179411846586</v>
          </cell>
          <cell r="T70">
            <v>584.86931917978484</v>
          </cell>
          <cell r="U70">
            <v>14.56712170700122</v>
          </cell>
          <cell r="V70">
            <v>66.828388423806004</v>
          </cell>
          <cell r="W70">
            <v>23.330155708333812</v>
          </cell>
          <cell r="X70">
            <v>154.51988257706532</v>
          </cell>
          <cell r="Y70">
            <v>330.66444892751542</v>
          </cell>
          <cell r="Z70">
            <v>0</v>
          </cell>
          <cell r="AA70">
            <v>0</v>
          </cell>
          <cell r="AB70">
            <v>25.178582065939128</v>
          </cell>
          <cell r="AC70">
            <v>0</v>
          </cell>
          <cell r="AD70">
            <v>0</v>
          </cell>
          <cell r="AE70">
            <v>0</v>
          </cell>
          <cell r="AO70">
            <v>104844.7605310247</v>
          </cell>
        </row>
        <row r="71">
          <cell r="B71">
            <v>81.134616638807643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26.327658432485084</v>
          </cell>
          <cell r="H71">
            <v>98.757042922373429</v>
          </cell>
          <cell r="I71">
            <v>656.49809640063461</v>
          </cell>
          <cell r="J71">
            <v>70.129688153013035</v>
          </cell>
          <cell r="K71">
            <v>145.34845457545174</v>
          </cell>
          <cell r="L71">
            <v>16.108578856983492</v>
          </cell>
          <cell r="M71">
            <v>20.86113813853169</v>
          </cell>
          <cell r="N71">
            <v>-81.278837426104133</v>
          </cell>
          <cell r="O71">
            <v>-59.594194145337497</v>
          </cell>
          <cell r="P71">
            <v>47.101588710329807</v>
          </cell>
          <cell r="Q71">
            <v>1078.0826232630591</v>
          </cell>
          <cell r="R71">
            <v>1340.6771539601511</v>
          </cell>
          <cell r="S71">
            <v>1376.0415509939169</v>
          </cell>
          <cell r="T71">
            <v>2503.836615370953</v>
          </cell>
          <cell r="U71">
            <v>166.18046684022906</v>
          </cell>
          <cell r="V71">
            <v>0</v>
          </cell>
          <cell r="W71">
            <v>137.51800597916952</v>
          </cell>
          <cell r="X71">
            <v>384.64460915713346</v>
          </cell>
          <cell r="Y71">
            <v>1870.8138774933109</v>
          </cell>
          <cell r="Z71">
            <v>0</v>
          </cell>
          <cell r="AA71">
            <v>0</v>
          </cell>
          <cell r="AB71">
            <v>7.2110908309148964</v>
          </cell>
          <cell r="AC71">
            <v>0</v>
          </cell>
          <cell r="AD71">
            <v>0</v>
          </cell>
          <cell r="AE71">
            <v>0</v>
          </cell>
          <cell r="AO71">
            <v>379295.569825146</v>
          </cell>
        </row>
        <row r="72">
          <cell r="B72">
            <v>54.031305409856657</v>
          </cell>
          <cell r="C72">
            <v>-0.2413989615722284</v>
          </cell>
          <cell r="D72">
            <v>0</v>
          </cell>
          <cell r="E72">
            <v>0</v>
          </cell>
          <cell r="F72">
            <v>0</v>
          </cell>
          <cell r="G72">
            <v>22.095282230528188</v>
          </cell>
          <cell r="H72">
            <v>86.718324110574471</v>
          </cell>
          <cell r="I72">
            <v>557.40319379045695</v>
          </cell>
          <cell r="J72">
            <v>50.293804788486653</v>
          </cell>
          <cell r="K72">
            <v>176.90574347542403</v>
          </cell>
          <cell r="L72">
            <v>36.118235289332112</v>
          </cell>
          <cell r="M72">
            <v>75.628579464890223</v>
          </cell>
          <cell r="N72">
            <v>-53.753165904643524</v>
          </cell>
          <cell r="O72">
            <v>-52.839030989429034</v>
          </cell>
          <cell r="P72">
            <v>60.095822256286191</v>
          </cell>
          <cell r="Q72">
            <v>823.34832989629376</v>
          </cell>
          <cell r="R72">
            <v>989.03413223729001</v>
          </cell>
          <cell r="S72">
            <v>765.59000126774879</v>
          </cell>
          <cell r="T72">
            <v>2162.9248483231895</v>
          </cell>
          <cell r="U72">
            <v>207.83824294478288</v>
          </cell>
          <cell r="V72">
            <v>0</v>
          </cell>
          <cell r="W72">
            <v>72.485873570834826</v>
          </cell>
          <cell r="X72">
            <v>288.9137821620879</v>
          </cell>
          <cell r="Y72">
            <v>1419.4098158998511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O72">
            <v>330543.80172126228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43.923518013831483</v>
          </cell>
          <cell r="I73">
            <v>383.34104466113092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549.36982394661061</v>
          </cell>
          <cell r="R73">
            <v>604.10806800144655</v>
          </cell>
          <cell r="S73">
            <v>1058.2651971150522</v>
          </cell>
          <cell r="T73">
            <v>1359.5374862419499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975.1782432399624</v>
          </cell>
          <cell r="Z73">
            <v>0</v>
          </cell>
          <cell r="AA73">
            <v>0</v>
          </cell>
          <cell r="AB73">
            <v>28.540315738903431</v>
          </cell>
          <cell r="AC73">
            <v>0</v>
          </cell>
          <cell r="AD73">
            <v>0</v>
          </cell>
          <cell r="AE73">
            <v>0</v>
          </cell>
          <cell r="AO73">
            <v>183296.93369695891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17.499409567263537</v>
          </cell>
          <cell r="I75">
            <v>112.52619627468418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289.69068841449041</v>
          </cell>
          <cell r="R75">
            <v>332.0158905421992</v>
          </cell>
          <cell r="S75">
            <v>307.05897394647826</v>
          </cell>
          <cell r="T75">
            <v>713.34362865661149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558.09198308195812</v>
          </cell>
          <cell r="Z75">
            <v>0</v>
          </cell>
          <cell r="AA75">
            <v>0</v>
          </cell>
          <cell r="AB75">
            <v>2.5815360969862398</v>
          </cell>
          <cell r="AC75">
            <v>0</v>
          </cell>
          <cell r="AD75">
            <v>0</v>
          </cell>
          <cell r="AE75">
            <v>0</v>
          </cell>
          <cell r="AO75">
            <v>86359.328306580661</v>
          </cell>
        </row>
        <row r="76">
          <cell r="B76">
            <v>0</v>
          </cell>
          <cell r="C76">
            <v>-0.37550949577902198</v>
          </cell>
          <cell r="D76">
            <v>0</v>
          </cell>
          <cell r="E76">
            <v>0</v>
          </cell>
          <cell r="F76">
            <v>0</v>
          </cell>
          <cell r="G76">
            <v>8.6160112684035397</v>
          </cell>
          <cell r="H76">
            <v>112.56495204142271</v>
          </cell>
          <cell r="I76">
            <v>519.53392462420845</v>
          </cell>
          <cell r="J76">
            <v>91.315071980170615</v>
          </cell>
          <cell r="K76">
            <v>229.05632020358718</v>
          </cell>
          <cell r="L76">
            <v>22.201823902885938</v>
          </cell>
          <cell r="M76">
            <v>43.154741095909223</v>
          </cell>
          <cell r="N76">
            <v>-46.216434181138844</v>
          </cell>
          <cell r="O76">
            <v>-44.044827725627613</v>
          </cell>
          <cell r="P76">
            <v>40.836535706803325</v>
          </cell>
          <cell r="Q76">
            <v>1190.9898527053283</v>
          </cell>
          <cell r="R76">
            <v>1103.3638746673109</v>
          </cell>
          <cell r="S76">
            <v>1917.9775190434837</v>
          </cell>
          <cell r="T76">
            <v>1832.2591069504724</v>
          </cell>
          <cell r="U76">
            <v>249.11350110523205</v>
          </cell>
          <cell r="V76">
            <v>0</v>
          </cell>
          <cell r="W76">
            <v>56.300916362501169</v>
          </cell>
          <cell r="X76">
            <v>299.77122035516356</v>
          </cell>
          <cell r="Y76">
            <v>1275.731925358665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O76">
            <v>367681.99052596895</v>
          </cell>
        </row>
        <row r="77">
          <cell r="B77">
            <v>0</v>
          </cell>
          <cell r="C77">
            <v>-7.7800203104045078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53.066959512726683</v>
          </cell>
          <cell r="I77">
            <v>193.91744088531226</v>
          </cell>
          <cell r="J77">
            <v>115.52669792737761</v>
          </cell>
          <cell r="K77">
            <v>0</v>
          </cell>
          <cell r="L77">
            <v>7.0037299378189086</v>
          </cell>
          <cell r="M77">
            <v>28.983074587133359</v>
          </cell>
          <cell r="N77">
            <v>-28.569857480510038</v>
          </cell>
          <cell r="O77">
            <v>-14.194501273184429</v>
          </cell>
          <cell r="P77">
            <v>20.063150096690247</v>
          </cell>
          <cell r="Q77">
            <v>388.89792224711846</v>
          </cell>
          <cell r="R77">
            <v>389.07500445744347</v>
          </cell>
          <cell r="S77">
            <v>497.89424951899349</v>
          </cell>
          <cell r="T77">
            <v>609.27943798038189</v>
          </cell>
          <cell r="U77">
            <v>0</v>
          </cell>
          <cell r="V77">
            <v>52.017037380396502</v>
          </cell>
          <cell r="W77">
            <v>32.072197812500661</v>
          </cell>
          <cell r="X77">
            <v>133.73186067081059</v>
          </cell>
          <cell r="Y77">
            <v>395.36675141550023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O77">
            <v>124081.4611353661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tem Ledger Entries"/>
      <sheetName val="Sheet2"/>
      <sheetName val="Sheet1"/>
    </sheetNames>
    <sheetDataSet>
      <sheetData sheetId="0">
        <row r="1126">
          <cell r="AD1126">
            <v>-3729599.7</v>
          </cell>
        </row>
      </sheetData>
      <sheetData sheetId="1" refreshError="1"/>
      <sheetData sheetId="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ed Cost &amp; Allocation"/>
    </sheetNames>
    <sheetDataSet>
      <sheetData sheetId="0">
        <row r="116">
          <cell r="A116" t="str">
            <v>Feed Consumed Gras</v>
          </cell>
        </row>
        <row r="117">
          <cell r="A117" t="str">
            <v>Feed Consumed Villa</v>
          </cell>
        </row>
        <row r="118">
          <cell r="A118" t="str">
            <v>Feed Consumed L/head</v>
          </cell>
        </row>
        <row r="119">
          <cell r="A119" t="str">
            <v>Feed Consumed Rich</v>
          </cell>
        </row>
        <row r="120">
          <cell r="A120" t="str">
            <v>Feed Consumed Learig</v>
          </cell>
        </row>
        <row r="121">
          <cell r="A121" t="str">
            <v>Feed Consumed Selous</v>
          </cell>
        </row>
        <row r="122">
          <cell r="A122" t="str">
            <v>Feed Consumed Lionshead Ext.</v>
          </cell>
        </row>
        <row r="123">
          <cell r="A123" t="str">
            <v>Feed Consumed Porta</v>
          </cell>
        </row>
      </sheetData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IS 2021"/>
      <sheetName val="Grasmere"/>
      <sheetName val="Grasmere (2)"/>
      <sheetName val="Learig"/>
      <sheetName val="Learig (2)"/>
      <sheetName val="Lionhead"/>
      <sheetName val="Lionhead (2)"/>
      <sheetName val="Lionhead Ext."/>
      <sheetName val="Lionhead Ext. (2)"/>
      <sheetName val="Villa"/>
      <sheetName val="Villa (2)"/>
      <sheetName val="Richlands"/>
      <sheetName val="Richlands (2)"/>
      <sheetName val="July 2023"/>
      <sheetName val="December 2022 (2)"/>
      <sheetName val="Prior Month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Bio Assets USD"/>
      <sheetName val="Month NSP"/>
      <sheetName val="Fair Value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59">
          <cell r="B159">
            <v>0.73674914444328066</v>
          </cell>
          <cell r="C159">
            <v>0.57924555871526429</v>
          </cell>
          <cell r="D159">
            <v>0.46982333593117176</v>
          </cell>
          <cell r="E159">
            <v>0</v>
          </cell>
          <cell r="F159">
            <v>0.34628445767185939</v>
          </cell>
          <cell r="G159">
            <v>0.34048666368142982</v>
          </cell>
          <cell r="H159">
            <v>0.30395164108161421</v>
          </cell>
          <cell r="I159">
            <v>0</v>
          </cell>
          <cell r="J159">
            <v>0.32037654424053053</v>
          </cell>
          <cell r="K159">
            <v>0.33359626341556559</v>
          </cell>
          <cell r="L159">
            <v>0.42759592870414992</v>
          </cell>
          <cell r="M159">
            <v>0.45086602406056514</v>
          </cell>
          <cell r="N159">
            <v>0</v>
          </cell>
          <cell r="O159">
            <v>0.37870424315084339</v>
          </cell>
          <cell r="P159">
            <v>0.4037621610276198</v>
          </cell>
          <cell r="Q159">
            <v>0.38809934923734279</v>
          </cell>
          <cell r="R159">
            <v>0.36941084557077858</v>
          </cell>
          <cell r="S159">
            <v>0</v>
          </cell>
          <cell r="T159">
            <v>0.45458295723574405</v>
          </cell>
          <cell r="U159">
            <v>0.36508697194101197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olume Sold"/>
      <sheetName val="Pricing"/>
      <sheetName val="Diet Formulations"/>
    </sheetNames>
    <sheetDataSet>
      <sheetData sheetId="0">
        <row r="22">
          <cell r="B22" t="str">
            <v>Macropack Dry Sow (MS 1539 BR)</v>
          </cell>
          <cell r="D22">
            <v>3646.1291825783173</v>
          </cell>
          <cell r="E22">
            <v>7095.4319225572744</v>
          </cell>
          <cell r="F22">
            <v>1839.1979062563194</v>
          </cell>
        </row>
        <row r="23">
          <cell r="B23" t="str">
            <v>Macropack Dry Gilt (MS 1538 BR)</v>
          </cell>
          <cell r="D23">
            <v>327.75608251953042</v>
          </cell>
          <cell r="E23">
            <v>1556.8413919677696</v>
          </cell>
          <cell r="F23">
            <v>356.43473973998925</v>
          </cell>
        </row>
        <row r="24">
          <cell r="B24" t="str">
            <v>Macropack Lactate Sow (MS 1754 LT)</v>
          </cell>
          <cell r="D24">
            <v>3205.6558153447336</v>
          </cell>
          <cell r="E24">
            <v>7166.0476594047568</v>
          </cell>
          <cell r="F24">
            <v>3208.2855576050656</v>
          </cell>
        </row>
        <row r="25">
          <cell r="B25" t="str">
            <v>Macropack Creep (MS 1746 SS)</v>
          </cell>
          <cell r="D25">
            <v>4853.989005497252</v>
          </cell>
          <cell r="E25">
            <v>8688.1239380309871</v>
          </cell>
          <cell r="F25">
            <v>3033.7431284357822</v>
          </cell>
        </row>
        <row r="26">
          <cell r="G26">
            <v>44977.63632993777</v>
          </cell>
        </row>
      </sheetData>
      <sheetData sheetId="1" refreshError="1"/>
      <sheetData sheetId="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Pigs"/>
      <sheetName val="Weaners"/>
      <sheetName val="Growers Template"/>
      <sheetName val="July Stock adjustment working"/>
      <sheetName val="Workings"/>
      <sheetName val="Summary"/>
      <sheetName val="Growers"/>
      <sheetName val="Cattle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C11">
            <v>3669</v>
          </cell>
          <cell r="P11">
            <v>0</v>
          </cell>
        </row>
        <row r="50">
          <cell r="P50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Pigs"/>
      <sheetName val="Sheet18"/>
      <sheetName val="Weaners"/>
      <sheetName val="Growers Template"/>
      <sheetName val="Workings"/>
      <sheetName val="July Stock adjustment working"/>
      <sheetName val="Summary"/>
      <sheetName val="Growers"/>
      <sheetName val="Cattle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T4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eaner Site"/>
      <sheetName val="Grower Site"/>
      <sheetName val="Sheet3"/>
      <sheetName val="Sheet4"/>
    </sheetNames>
    <sheetDataSet>
      <sheetData sheetId="0">
        <row r="40">
          <cell r="H40">
            <v>-4586</v>
          </cell>
        </row>
      </sheetData>
      <sheetData sheetId="1"/>
      <sheetData sheetId="2"/>
      <sheetData sheetId="3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umbers"/>
      <sheetName val="April journals"/>
      <sheetName val="Outgrower feed"/>
      <sheetName val="March pigs Journals"/>
      <sheetName val="Pigs Cost after IAS 41"/>
      <sheetName val="Weaners"/>
      <sheetName val="Growers"/>
      <sheetName val="Cattle"/>
      <sheetName val="Sales Other"/>
      <sheetName val="Pigs Cost"/>
      <sheetName val="IAS 41 Mvmnt Pigs"/>
      <sheetName val="USD"/>
      <sheetName val="Cattle after IAS 41"/>
      <sheetName val="Sheet1"/>
      <sheetName val="IAS 41 Mvmnt Cattle"/>
      <sheetName val="Sheet2"/>
      <sheetName val="Journal"/>
      <sheetName val="G Analysis"/>
      <sheetName val="Summar"/>
    </sheetNames>
    <sheetDataSet>
      <sheetData sheetId="0"/>
      <sheetData sheetId="1"/>
      <sheetData sheetId="2"/>
      <sheetData sheetId="3"/>
      <sheetData sheetId="4"/>
      <sheetData sheetId="5"/>
      <sheetData sheetId="6">
        <row r="188">
          <cell r="M188">
            <v>12217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umbers"/>
      <sheetName val="Cost"/>
      <sheetName val="April journals"/>
      <sheetName val="Transfer journals"/>
      <sheetName val="Outgrower feed"/>
      <sheetName val="March pigs Journals"/>
      <sheetName val="CATTLE"/>
      <sheetName val="cost after IAS41"/>
    </sheetNames>
    <sheetDataSet>
      <sheetData sheetId="0"/>
      <sheetData sheetId="1"/>
      <sheetData sheetId="2"/>
      <sheetData sheetId="3"/>
      <sheetData sheetId="4"/>
      <sheetData sheetId="5"/>
      <sheetData sheetId="6">
        <row r="20">
          <cell r="L20">
            <v>148</v>
          </cell>
        </row>
        <row r="33">
          <cell r="S33">
            <v>4829547500</v>
          </cell>
        </row>
      </sheetData>
      <sheetData sheetId="7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umbers"/>
      <sheetName val="Pigs Cost"/>
      <sheetName val="April journals"/>
      <sheetName val="Outgrower feed"/>
      <sheetName val="March pigs Journals"/>
      <sheetName val="Pigs Cost after IAS 41"/>
      <sheetName val="IAS 41 Mvmnt Pigs"/>
      <sheetName val="Transfer journals"/>
      <sheetName val="Cattle"/>
      <sheetName val="Cattle after IAS 41"/>
      <sheetName val="IAS 41 Mvmnt Cattle"/>
    </sheetNames>
    <sheetDataSet>
      <sheetData sheetId="0"/>
      <sheetData sheetId="1"/>
      <sheetData sheetId="2"/>
      <sheetData sheetId="3"/>
      <sheetData sheetId="4"/>
      <sheetData sheetId="5"/>
      <sheetData sheetId="6">
        <row r="12">
          <cell r="I12" t="str">
            <v>CULLS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l Sheet"/>
      <sheetName val="DR"/>
      <sheetName val="deferred tax"/>
      <sheetName val="FA"/>
      <sheetName val="shares"/>
      <sheetName val="FV"/>
      <sheetName val="Inventory"/>
      <sheetName val="Stockfeed"/>
      <sheetName val="Fuel"/>
      <sheetName val="stores"/>
      <sheetName val="Drugs"/>
      <sheetName val="creditors"/>
      <sheetName val="Listing"/>
      <sheetName val="debtors"/>
      <sheetName val="prepayments"/>
      <sheetName val="interco"/>
      <sheetName val="bank"/>
      <sheetName val="call ac"/>
      <sheetName val="tax"/>
      <sheetName val="gredal"/>
      <sheetName val="Livestock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1675734.0490167846</v>
          </cell>
        </row>
        <row r="8">
          <cell r="C8">
            <v>91946.066510209668</v>
          </cell>
        </row>
        <row r="9">
          <cell r="C9">
            <v>200802.04563660346</v>
          </cell>
        </row>
        <row r="10">
          <cell r="C10">
            <v>10654.5</v>
          </cell>
        </row>
        <row r="19">
          <cell r="C19">
            <v>2293030.7917955932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"/>
      <sheetName val="Rations &amp; lunches"/>
      <sheetName val="Pig levy"/>
      <sheetName val="Sheet2"/>
    </sheetNames>
    <sheetDataSet>
      <sheetData sheetId="0">
        <row r="10">
          <cell r="AJ10">
            <v>5</v>
          </cell>
        </row>
        <row r="12">
          <cell r="AE12">
            <v>4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"/>
      <sheetName val="Rations &amp; lunches"/>
      <sheetName val="Pig levy"/>
      <sheetName val="Sheet2"/>
    </sheetNames>
    <sheetDataSet>
      <sheetData sheetId="0">
        <row r="11">
          <cell r="F11">
            <v>1031031.809</v>
          </cell>
          <cell r="G11">
            <v>3760</v>
          </cell>
          <cell r="H11">
            <v>696</v>
          </cell>
          <cell r="I11">
            <v>1157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bey Mhenyu" id="{0306A35D-733D-4C70-864A-5488656C09C3}" userId="S::omhenyu@GRASMERE.CO.ZW::a2c173a7-ed77-4630-92e3-9f52959f7d10" providerId="AD"/>
  <person displayName="Obey Mhenyu" id="{8C880919-140F-4A89-B528-E96F92824D45}" userId="S::omhenyu@grasmere.co.zw::a2c173a7-ed77-4630-92e3-9f52959f7d10" providerId="AD"/>
  <person displayName="Tonderai Gonamombe" id="{AE5BEB0F-2692-4E69-9AA6-FA0194A80F23}" userId="S::tgonamombe@colcom.co.zw::4a7287f7-f2ce-495e-adb8-a823907a044a" providerId="AD"/>
  <person displayName="Tonderai Gonamombe" id="{945C8E48-70D7-41FC-BE38-2C04B5DADD0E}" userId="S::tgonamombe@grasmere.co.zw::16100c9d-53d1-4484-b6e6-5c148e51a469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33" dT="2025-08-27T18:15:18.02" personId="{0306A35D-733D-4C70-864A-5488656C09C3}" id="{62DD50CE-9437-4FBA-837F-7B431235741E}">
    <text>1 Pig at ZAS</text>
  </threadedComment>
  <threadedComment ref="P52" dT="2025-03-29T19:14:34.08" personId="{0306A35D-733D-4C70-864A-5488656C09C3}" id="{93375808-C8A0-4D74-8EE7-8EFD5E0B37A8}">
    <text>from Gilts</text>
  </threadedComment>
  <threadedComment ref="W71" dT="2024-12-29T12:23:32.13" personId="{0306A35D-733D-4C70-864A-5488656C09C3}" id="{72B1F3D4-B326-47E2-99B2-B285C6A487BD}">
    <text>2 DIP/DOAs were included in mortality. Munyaka to correct summary movement &amp; two recons.</text>
  </threadedComment>
  <threadedComment ref="C110" dT="2025-05-25T11:42:50.06" personId="{0306A35D-733D-4C70-864A-5488656C09C3}" id="{FD533D00-9A23-4797-917D-B39F1B415538}">
    <text>478 pigs brought back into stock at Colcom</text>
  </threadedComment>
  <threadedComment ref="N111" dT="2024-06-30T09:45:43.76" personId="{0306A35D-733D-4C70-864A-5488656C09C3}" id="{B3CB4942-2F89-4563-9693-EC610BC9544A}">
    <text>71 from multiplier shld be recieved as gilts first, then transferred to weaner.</text>
  </threadedComment>
  <threadedComment ref="W112" dT="2026-04-27T17:27:38.54" personId="{AE5BEB0F-2692-4E69-9AA6-FA0194A80F23}" id="{50AC5A3C-C989-4326-90FE-E54C1F47BBCE}">
    <text xml:space="preserve">Adjusted 1 pig for opening error
</text>
  </threadedComment>
  <threadedComment ref="X148" dT="2025-09-27T17:17:26.61" personId="{0306A35D-733D-4C70-864A-5488656C09C3}" id="{85ABF113-76DB-43D6-BD0C-F8338EE7402B}">
    <text>1 from Show</text>
  </threadedComment>
  <threadedComment ref="N149" dT="2025-05-25T10:00:10.40" personId="{0306A35D-733D-4C70-864A-5488656C09C3}" id="{4F668AA1-BBF8-4550-9A54-99B330EE9699}">
    <text>780 already in drysow and have been serviced hence moving them to sows.</text>
  </threadedComment>
  <threadedComment ref="W167" dT="2026-04-28T01:21:32.42" personId="{AE5BEB0F-2692-4E69-9AA6-FA0194A80F23}" id="{D36BB7D1-0C9A-4F57-B5B8-50F3F30730CE}">
    <text>1 pig to adjust variance</text>
  </threadedComment>
  <threadedComment ref="AF169" dT="2026-01-26T13:16:38.57" personId="{8C880919-140F-4A89-B528-E96F92824D45}" id="{ECF929A0-2A25-4089-BE41-9FF13A2EFD3D}">
    <text>7 Cull not added to the summary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1" dT="2026-03-28T14:38:17.49" personId="{8C880919-140F-4A89-B528-E96F92824D45}" id="{5C69557B-D581-44BA-859D-87BD00E7DEB7}">
    <text>All DH &amp; FH Movement in CellD61</text>
  </threadedComment>
  <threadedComment ref="H66" dT="2025-10-25T10:20:08.33" personId="{8C880919-140F-4A89-B528-E96F92824D45}" id="{D52D2187-084E-43C4-8400-022A8591E1C9}">
    <text>8 Gilts for previous month</text>
  </threadedComment>
  <threadedComment ref="X66" dT="2025-10-25T10:19:26.03" personId="{8C880919-140F-4A89-B528-E96F92824D45}" id="{583E5487-8DEA-4068-9689-9036F492A37C}">
    <text>360 Sows 5 Gilts</text>
  </threadedComment>
  <threadedComment ref="U79" dT="2024-10-28T10:45:08.44" personId="{0306A35D-733D-4C70-864A-5488656C09C3}" id="{5D1B5105-5FD7-49BC-8140-EBC1ADC07590}">
    <text>Marked as Grower but went to Colcom</text>
  </threadedComment>
  <threadedComment ref="W80" dT="2026-04-25T14:21:38.64" personId="{AE5BEB0F-2692-4E69-9AA6-FA0194A80F23}" id="{D586DB0E-61D4-4ED4-A222-706674B40A6E}">
    <text xml:space="preserve">Plus one boar in Gilts
</text>
  </threadedComment>
  <threadedComment ref="E81" dT="2025-10-25T11:07:11.41" personId="{8C880919-140F-4A89-B528-E96F92824D45}" id="{A16C7E5C-64F0-4365-9047-8DB9203B325A}">
    <text>in DS2</text>
  </threadedComment>
  <threadedComment ref="J81" dT="2025-09-27T12:16:55.29" personId="{0306A35D-733D-4C70-864A-5488656C09C3}" id="{3D84490C-5C12-4B60-9F85-E8F13D22C3EE}">
    <text>8 in DS but under Gilts</text>
  </threadedComment>
  <threadedComment ref="W81" dT="2025-06-29T14:15:28.31" personId="{0306A35D-733D-4C70-864A-5488656C09C3}" id="{5C7E8181-FC24-4DAF-8842-C301FDEF2E5B}">
    <text>16 for DRysow 1 but are gilts</text>
  </threadedComment>
  <threadedComment ref="K88" dT="2026-04-27T17:23:51.59" personId="{AE5BEB0F-2692-4E69-9AA6-FA0194A80F23}" id="{E3D7B97C-EA1A-42D6-A58A-28A8B083DD1A}">
    <text>1 boar was in gilt, setting off with mortality</text>
  </threadedComment>
  <threadedComment ref="J118" dT="2026-06-27T15:17:58.17" personId="{945C8E48-70D7-41FC-BE38-2C04B5DADD0E}" id="{C2F147D9-839E-4EC1-9065-58E354C87659}">
    <text>Mainsite 14</text>
  </threadedComment>
  <threadedComment ref="J119" dT="2024-09-28T08:59:32.84" personId="{0306A35D-733D-4C70-864A-5488656C09C3}" id="{51952BEE-F9E6-4065-A1B1-9DC77D1B1096}">
    <text>0 Quarantine, 2131 Mainsite, 11 Cull</text>
  </threadedComment>
  <threadedComment ref="C132" dT="2025-06-29T14:14:38.11" personId="{0306A35D-733D-4C70-864A-5488656C09C3}" id="{756AD23F-8E03-4019-B580-F7FB0AA33A35}">
    <text>should be 940 as per count</text>
  </threadedComment>
  <threadedComment ref="C139" dT="2025-08-27T18:13:57.85" personId="{0306A35D-733D-4C70-864A-5488656C09C3}" id="{61AE0392-627B-41FD-BEBD-4C0E7942AC64}">
    <text>1 Pig at ZAS</text>
  </threadedComment>
  <threadedComment ref="C142" dT="2024-04-27T10:17:45.06" personId="{0306A35D-733D-4C70-864A-5488656C09C3}" id="{FD94BFD2-8FE0-43FB-AF3F-F948B02ECD64}">
    <text>30 Weeks for Porta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6" dT="2026-03-28T14:38:17.49" personId="{8C880919-140F-4A89-B528-E96F92824D45}" id="{7FC78F18-8670-4A80-B4B9-D80423B57E53}">
    <text>All DH &amp; FH Movement in CellD61</text>
  </threadedComment>
  <threadedComment ref="I11" dT="2025-10-25T10:20:08.33" personId="{8C880919-140F-4A89-B528-E96F92824D45}" id="{67D3F260-F1AF-45E2-AACE-16512FADCA6E}">
    <text>8 Gilts for previous month</text>
  </threadedComment>
  <threadedComment ref="Z11" dT="2025-10-25T10:19:26.03" personId="{8C880919-140F-4A89-B528-E96F92824D45}" id="{3B47A749-490A-4B25-B79B-B3D5E5EBE10F}">
    <text>360 Sows 5 Gilts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7" dT="2026-07-27T17:00:22.53" personId="{945C8E48-70D7-41FC-BE38-2C04B5DADD0E}" id="{F7C96007-96BA-4D72-9568-50E8A34B4970}">
    <text xml:space="preserve">102 quarantine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G27" dT="2024-12-28T15:11:45.85" personId="{0306A35D-733D-4C70-864A-5488656C09C3}" id="{BD928C35-F9E1-4F96-81CB-2A575899D1B9}">
    <text>Selous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W16" dT="2025-04-27T09:36:38.72" personId="{0306A35D-733D-4C70-864A-5488656C09C3}" id="{0457F385-D1FC-4B3A-BB68-4458D036E016}">
    <text>from summary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B13" dT="2025-03-30T11:07:13.22" personId="{0306A35D-733D-4C70-864A-5488656C09C3}" id="{26AE1331-AF4B-4541-A1FB-7A4AB1DFFB7B}">
    <text>Gilts from LH to Ext direct. To pass thru grower since there are no NC at Ext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T10" dT="2025-09-26T19:37:05.84" personId="{0306A35D-733D-4C70-864A-5488656C09C3}" id="{2410FFF1-1F24-4029-BA9F-B408D147E17E}">
    <text>was at Agric Show. closed in last month closing stock</text>
  </threadedComment>
  <threadedComment ref="AJ40" dT="2025-05-28T13:03:29.49" personId="{0306A35D-733D-4C70-864A-5488656C09C3}" id="{D752DE53-CFEE-4184-B853-C7ABDB2B11D4}">
    <text>Feed req over requested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Y7" dT="2025-05-25T10:56:16.35" personId="{0306A35D-733D-4C70-864A-5488656C09C3}" id="{30F3497A-7D32-4ABD-94F2-B3CA7805C1D1}">
    <text>There was a mixup on age in the previous month from farrowing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R24" dT="2026-04-26T15:21:06.61" personId="{AE5BEB0F-2692-4E69-9AA6-FA0194A80F23}" id="{EE1D25F9-579B-4B73-B1D1-1A4C65184C0D}">
    <text>Batch was supposed to Open with bal of 216</text>
  </threadedComment>
  <threadedComment ref="AJ40" dT="2025-05-28T13:03:29.49" personId="{0306A35D-733D-4C70-864A-5488656C09C3}" id="{A30CBC98-608D-4E58-BEF4-2BBD22A222E1}">
    <text>Feed req over requested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W9" dT="2026-04-28T15:35:20.81" personId="{AE5BEB0F-2692-4E69-9AA6-FA0194A80F23}" id="{50B73CF9-C2E1-4261-AD2C-8D4FEB07D7BB}">
    <text>Cost from where it came from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1.bin"/><Relationship Id="rId4" Type="http://schemas.microsoft.com/office/2017/10/relationships/threadedComment" Target="../threadedComments/threadedComment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58.bin"/><Relationship Id="rId4" Type="http://schemas.microsoft.com/office/2017/10/relationships/threadedComment" Target="../threadedComments/threadedComment5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60.bin"/><Relationship Id="rId4" Type="http://schemas.microsoft.com/office/2017/10/relationships/threadedComment" Target="../threadedComments/threadedComment6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62.bin"/><Relationship Id="rId4" Type="http://schemas.microsoft.com/office/2017/10/relationships/threadedComment" Target="../threadedComments/threadedComment7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66.bin"/><Relationship Id="rId4" Type="http://schemas.microsoft.com/office/2017/10/relationships/threadedComment" Target="../threadedComments/threadedComment8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70.bin"/><Relationship Id="rId4" Type="http://schemas.microsoft.com/office/2017/10/relationships/threadedComment" Target="../threadedComments/threadedComment9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71.bin"/><Relationship Id="rId4" Type="http://schemas.microsoft.com/office/2017/10/relationships/threadedComment" Target="../threadedComments/threadedComment10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75.bin"/><Relationship Id="rId4" Type="http://schemas.microsoft.com/office/2017/10/relationships/threadedComment" Target="../threadedComments/threadedComment11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82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91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00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L88"/>
  <sheetViews>
    <sheetView topLeftCell="A2" workbookViewId="0">
      <selection activeCell="G16" sqref="G16"/>
    </sheetView>
  </sheetViews>
  <sheetFormatPr defaultRowHeight="13.15"/>
  <cols>
    <col min="6" max="6" width="17.85546875" customWidth="1"/>
    <col min="7" max="7" width="17.28515625" style="23" bestFit="1" customWidth="1"/>
    <col min="8" max="8" width="15" style="23" bestFit="1" customWidth="1"/>
    <col min="9" max="9" width="12.85546875" bestFit="1" customWidth="1"/>
    <col min="10" max="10" width="15" bestFit="1" customWidth="1"/>
    <col min="12" max="12" width="15" bestFit="1" customWidth="1"/>
  </cols>
  <sheetData>
    <row r="2" spans="1:7">
      <c r="A2" s="1" t="s">
        <v>0</v>
      </c>
    </row>
    <row r="5" spans="1:7">
      <c r="A5" t="s">
        <v>1</v>
      </c>
      <c r="B5" t="s">
        <v>2</v>
      </c>
      <c r="C5" t="s">
        <v>3</v>
      </c>
      <c r="F5" s="24"/>
      <c r="G5" s="23">
        <f>'Pigs Cost'!G174+'Pigs Cost'!H174+'Pigs Cost'!I174</f>
        <v>15900000000000</v>
      </c>
    </row>
    <row r="6" spans="1:7">
      <c r="A6" t="s">
        <v>4</v>
      </c>
      <c r="B6" t="s">
        <v>5</v>
      </c>
      <c r="C6" t="s">
        <v>6</v>
      </c>
      <c r="F6" s="24">
        <f>'Pigs Cost'!H174</f>
        <v>5700000000000</v>
      </c>
    </row>
    <row r="7" spans="1:7">
      <c r="A7" t="s">
        <v>4</v>
      </c>
      <c r="B7" t="s">
        <v>7</v>
      </c>
      <c r="C7" t="s">
        <v>8</v>
      </c>
      <c r="F7" s="24">
        <f>'Pigs Cost'!G174</f>
        <v>9900000000000</v>
      </c>
    </row>
    <row r="8" spans="1:7">
      <c r="A8" t="s">
        <v>4</v>
      </c>
      <c r="B8" t="s">
        <v>9</v>
      </c>
      <c r="C8" t="s">
        <v>10</v>
      </c>
      <c r="F8" s="24">
        <f>'Pigs Cost'!I174</f>
        <v>300000000000</v>
      </c>
    </row>
    <row r="10" spans="1:7" ht="13.9" thickBot="1">
      <c r="F10" s="41">
        <f>SUM(F6:F9)</f>
        <v>15900000000000</v>
      </c>
      <c r="G10" s="40">
        <f>SUM(G5:G9)</f>
        <v>15900000000000</v>
      </c>
    </row>
    <row r="11" spans="1:7">
      <c r="F11" s="24"/>
      <c r="G11" s="42"/>
    </row>
    <row r="12" spans="1:7">
      <c r="F12" s="24"/>
      <c r="G12" s="42"/>
    </row>
    <row r="13" spans="1:7">
      <c r="F13" s="24"/>
      <c r="G13" s="42"/>
    </row>
    <row r="14" spans="1:7">
      <c r="A14" t="s">
        <v>1</v>
      </c>
      <c r="B14" t="s">
        <v>11</v>
      </c>
      <c r="C14" t="s">
        <v>12</v>
      </c>
      <c r="F14" s="24"/>
      <c r="G14" s="42">
        <v>5500</v>
      </c>
    </row>
    <row r="15" spans="1:7">
      <c r="A15" t="s">
        <v>1</v>
      </c>
      <c r="B15" t="s">
        <v>13</v>
      </c>
      <c r="C15" t="s">
        <v>14</v>
      </c>
      <c r="F15" s="24"/>
      <c r="G15" s="42">
        <v>1053881</v>
      </c>
    </row>
    <row r="16" spans="1:7">
      <c r="A16" t="s">
        <v>1</v>
      </c>
      <c r="B16" t="s">
        <v>15</v>
      </c>
      <c r="C16" t="s">
        <v>16</v>
      </c>
      <c r="F16" s="24"/>
      <c r="G16" s="42">
        <v>966060</v>
      </c>
    </row>
    <row r="17" spans="1:10">
      <c r="A17" t="s">
        <v>1</v>
      </c>
      <c r="B17" t="s">
        <v>17</v>
      </c>
      <c r="C17" t="s">
        <v>18</v>
      </c>
      <c r="F17" s="24"/>
      <c r="G17" s="42">
        <v>4552000</v>
      </c>
    </row>
    <row r="18" spans="1:10">
      <c r="A18" t="s">
        <v>1</v>
      </c>
      <c r="B18" t="s">
        <v>19</v>
      </c>
      <c r="C18" t="s">
        <v>20</v>
      </c>
      <c r="F18" s="24"/>
      <c r="G18" s="42">
        <v>884201</v>
      </c>
    </row>
    <row r="19" spans="1:10">
      <c r="A19" t="s">
        <v>1</v>
      </c>
      <c r="B19" t="s">
        <v>21</v>
      </c>
      <c r="C19" t="s">
        <v>22</v>
      </c>
      <c r="F19" s="24"/>
      <c r="G19" s="42">
        <v>159193.72</v>
      </c>
    </row>
    <row r="20" spans="1:10">
      <c r="A20" t="s">
        <v>1</v>
      </c>
      <c r="B20" t="s">
        <v>23</v>
      </c>
      <c r="C20" t="s">
        <v>24</v>
      </c>
      <c r="F20" s="24"/>
      <c r="G20" s="42">
        <v>33033193</v>
      </c>
    </row>
    <row r="21" spans="1:10">
      <c r="A21" t="s">
        <v>1</v>
      </c>
      <c r="B21" t="s">
        <v>25</v>
      </c>
      <c r="C21" t="s">
        <v>26</v>
      </c>
      <c r="F21" s="24"/>
      <c r="G21" s="42">
        <v>47297172.060000002</v>
      </c>
    </row>
    <row r="22" spans="1:10">
      <c r="A22" t="s">
        <v>1</v>
      </c>
      <c r="B22" t="s">
        <v>27</v>
      </c>
      <c r="C22" t="s">
        <v>28</v>
      </c>
      <c r="F22" s="24"/>
      <c r="G22" s="42">
        <v>9591454.049999997</v>
      </c>
    </row>
    <row r="23" spans="1:10">
      <c r="A23" t="s">
        <v>1</v>
      </c>
      <c r="B23" t="s">
        <v>29</v>
      </c>
      <c r="C23" t="s">
        <v>30</v>
      </c>
      <c r="F23" s="24"/>
      <c r="G23" s="42">
        <v>2215498</v>
      </c>
    </row>
    <row r="24" spans="1:10">
      <c r="A24" t="s">
        <v>1</v>
      </c>
      <c r="B24" t="s">
        <v>31</v>
      </c>
      <c r="C24" t="s">
        <v>20</v>
      </c>
      <c r="F24" s="24"/>
      <c r="G24" s="42">
        <v>614798</v>
      </c>
    </row>
    <row r="25" spans="1:10">
      <c r="A25" t="s">
        <v>1</v>
      </c>
      <c r="B25" t="s">
        <v>32</v>
      </c>
      <c r="C25" t="s">
        <v>22</v>
      </c>
      <c r="F25" s="24"/>
      <c r="G25" s="42">
        <v>65700</v>
      </c>
    </row>
    <row r="26" spans="1:10">
      <c r="A26" t="s">
        <v>1</v>
      </c>
      <c r="B26" t="s">
        <v>33</v>
      </c>
      <c r="C26" t="s">
        <v>26</v>
      </c>
      <c r="F26" s="24"/>
      <c r="G26" s="42">
        <v>36750710.000000007</v>
      </c>
    </row>
    <row r="27" spans="1:10">
      <c r="A27" t="s">
        <v>1</v>
      </c>
      <c r="B27" t="s">
        <v>34</v>
      </c>
      <c r="C27" t="s">
        <v>28</v>
      </c>
      <c r="F27" s="24"/>
      <c r="G27" s="42">
        <v>3037086.23</v>
      </c>
    </row>
    <row r="28" spans="1:10">
      <c r="A28" t="s">
        <v>1</v>
      </c>
      <c r="B28" t="s">
        <v>35</v>
      </c>
      <c r="C28" t="s">
        <v>28</v>
      </c>
      <c r="F28" s="24"/>
      <c r="G28" s="42">
        <v>21500</v>
      </c>
    </row>
    <row r="29" spans="1:10">
      <c r="A29" t="s">
        <v>1</v>
      </c>
      <c r="B29" t="s">
        <v>36</v>
      </c>
      <c r="C29" t="s">
        <v>14</v>
      </c>
      <c r="F29" s="24"/>
      <c r="G29" s="42">
        <v>258269235.54000002</v>
      </c>
      <c r="J29" s="24"/>
    </row>
    <row r="30" spans="1:10">
      <c r="A30" t="s">
        <v>1</v>
      </c>
      <c r="B30" t="s">
        <v>37</v>
      </c>
      <c r="C30" t="s">
        <v>38</v>
      </c>
      <c r="F30" s="24"/>
      <c r="G30" s="42">
        <v>15682669.189999999</v>
      </c>
    </row>
    <row r="31" spans="1:10">
      <c r="A31" t="s">
        <v>1</v>
      </c>
      <c r="B31" t="s">
        <v>39</v>
      </c>
      <c r="C31" t="s">
        <v>40</v>
      </c>
      <c r="F31" s="24"/>
      <c r="G31" s="42">
        <v>144339014.50999999</v>
      </c>
    </row>
    <row r="32" spans="1:10">
      <c r="A32" t="s">
        <v>1</v>
      </c>
      <c r="B32" t="s">
        <v>41</v>
      </c>
      <c r="C32" t="s">
        <v>42</v>
      </c>
      <c r="F32" s="24"/>
      <c r="G32" s="42">
        <v>118021780.23999999</v>
      </c>
    </row>
    <row r="33" spans="1:12">
      <c r="A33" t="s">
        <v>1</v>
      </c>
      <c r="B33" t="s">
        <v>43</v>
      </c>
      <c r="C33" t="s">
        <v>44</v>
      </c>
      <c r="F33" s="24"/>
      <c r="G33" s="42">
        <v>19202316.500000004</v>
      </c>
    </row>
    <row r="34" spans="1:12">
      <c r="A34" t="s">
        <v>1</v>
      </c>
      <c r="B34" t="s">
        <v>45</v>
      </c>
      <c r="C34" t="s">
        <v>46</v>
      </c>
      <c r="F34" s="24"/>
      <c r="G34" s="42">
        <v>18000</v>
      </c>
      <c r="J34" s="24"/>
      <c r="L34" s="24"/>
    </row>
    <row r="35" spans="1:12">
      <c r="A35" t="s">
        <v>4</v>
      </c>
      <c r="B35" t="s">
        <v>5</v>
      </c>
      <c r="C35" t="s">
        <v>6</v>
      </c>
      <c r="F35" s="24">
        <f>'Pigs Cost'!H176</f>
        <v>0</v>
      </c>
      <c r="G35" s="42"/>
      <c r="J35" s="24"/>
      <c r="L35" s="24"/>
    </row>
    <row r="36" spans="1:12">
      <c r="A36" t="s">
        <v>4</v>
      </c>
      <c r="B36" t="s">
        <v>7</v>
      </c>
      <c r="C36" t="s">
        <v>8</v>
      </c>
      <c r="F36" s="24" t="e">
        <f>'Pigs Cost'!#REF!</f>
        <v>#REF!</v>
      </c>
      <c r="G36" s="42"/>
      <c r="J36" s="24"/>
      <c r="L36" s="24"/>
    </row>
    <row r="37" spans="1:12">
      <c r="A37" t="s">
        <v>4</v>
      </c>
      <c r="B37" t="s">
        <v>9</v>
      </c>
      <c r="C37" t="s">
        <v>10</v>
      </c>
      <c r="F37" s="24">
        <f>'Pigs Cost'!I176</f>
        <v>0</v>
      </c>
      <c r="G37" s="42"/>
      <c r="J37" s="24"/>
      <c r="L37" s="24"/>
    </row>
    <row r="38" spans="1:12">
      <c r="A38" t="s">
        <v>4</v>
      </c>
      <c r="B38" t="s">
        <v>47</v>
      </c>
      <c r="C38" t="s">
        <v>48</v>
      </c>
      <c r="F38" s="24">
        <v>5500</v>
      </c>
      <c r="G38" s="42"/>
      <c r="J38" s="24"/>
      <c r="L38" s="24"/>
    </row>
    <row r="39" spans="1:12">
      <c r="A39" t="s">
        <v>4</v>
      </c>
      <c r="B39" t="s">
        <v>49</v>
      </c>
      <c r="C39" t="s">
        <v>50</v>
      </c>
      <c r="F39" s="24">
        <f>'Pigs Cost'!G16</f>
        <v>0</v>
      </c>
      <c r="G39" s="42"/>
      <c r="J39" s="24"/>
      <c r="L39" s="24"/>
    </row>
    <row r="40" spans="1:12">
      <c r="A40" t="s">
        <v>4</v>
      </c>
      <c r="B40" t="s">
        <v>47</v>
      </c>
      <c r="C40" t="s">
        <v>48</v>
      </c>
      <c r="F40" s="24" t="e">
        <f>'Pigs Cost'!G13+'Pigs Cost'!G14+'Pigs Cost'!G15</f>
        <v>#REF!</v>
      </c>
      <c r="G40" s="42"/>
      <c r="J40" s="24"/>
      <c r="L40" s="24"/>
    </row>
    <row r="41" spans="1:12">
      <c r="A41" t="s">
        <v>4</v>
      </c>
      <c r="B41" t="s">
        <v>49</v>
      </c>
      <c r="C41" t="s">
        <v>50</v>
      </c>
      <c r="F41" s="24">
        <f>'Pigs Cost'!H16</f>
        <v>0</v>
      </c>
      <c r="G41" s="42"/>
      <c r="J41" s="24"/>
      <c r="L41" s="24"/>
    </row>
    <row r="42" spans="1:12">
      <c r="A42" t="s">
        <v>4</v>
      </c>
      <c r="B42" t="s">
        <v>47</v>
      </c>
      <c r="C42" t="s">
        <v>48</v>
      </c>
      <c r="F42" s="24" t="e">
        <f>'Pigs Cost'!H13+'Pigs Cost'!H14+'Pigs Cost'!H15</f>
        <v>#REF!</v>
      </c>
      <c r="G42" s="42"/>
      <c r="J42" s="24"/>
      <c r="L42" s="24"/>
    </row>
    <row r="43" spans="1:12">
      <c r="A43" t="s">
        <v>4</v>
      </c>
      <c r="B43" t="s">
        <v>49</v>
      </c>
      <c r="C43" t="s">
        <v>50</v>
      </c>
      <c r="F43" s="24">
        <f>'Pigs Cost'!I16</f>
        <v>0</v>
      </c>
      <c r="G43" s="42"/>
      <c r="J43" s="24"/>
      <c r="L43" s="24"/>
    </row>
    <row r="44" spans="1:12">
      <c r="A44" t="s">
        <v>4</v>
      </c>
      <c r="B44" t="s">
        <v>47</v>
      </c>
      <c r="C44" t="s">
        <v>48</v>
      </c>
      <c r="F44" s="24">
        <f>'Pigs Cost'!I13+'Pigs Cost'!I14+'Pigs Cost'!I15</f>
        <v>0</v>
      </c>
      <c r="G44" s="42"/>
      <c r="J44" s="24"/>
      <c r="L44" s="24"/>
    </row>
    <row r="45" spans="1:12">
      <c r="A45" t="s">
        <v>4</v>
      </c>
      <c r="B45" t="s">
        <v>49</v>
      </c>
      <c r="C45" t="s">
        <v>50</v>
      </c>
      <c r="F45" s="24">
        <f>'Pigs Cost'!L16</f>
        <v>0</v>
      </c>
      <c r="G45" s="42"/>
      <c r="J45" s="24"/>
      <c r="L45" s="24"/>
    </row>
    <row r="46" spans="1:12">
      <c r="A46" t="s">
        <v>4</v>
      </c>
      <c r="B46" t="s">
        <v>47</v>
      </c>
      <c r="C46" t="s">
        <v>48</v>
      </c>
      <c r="F46" s="24" t="e">
        <f>'Pigs Cost'!L15+'Pigs Cost'!L14+'Pigs Cost'!L13</f>
        <v>#REF!</v>
      </c>
      <c r="G46" s="42"/>
      <c r="J46" s="24"/>
      <c r="L46" s="24"/>
    </row>
    <row r="47" spans="1:12">
      <c r="F47" s="24"/>
      <c r="G47" s="42"/>
      <c r="L47" s="24">
        <f>J34-L34</f>
        <v>0</v>
      </c>
    </row>
    <row r="48" spans="1:12" ht="13.9" thickBot="1">
      <c r="F48" s="41" t="e">
        <f>SUM(F14:F47)</f>
        <v>#REF!</v>
      </c>
      <c r="G48" s="41">
        <f>SUM(G14:G47)</f>
        <v>695780963.03999996</v>
      </c>
    </row>
    <row r="49" spans="1:9">
      <c r="F49" s="24"/>
      <c r="G49" s="24"/>
    </row>
    <row r="50" spans="1:9">
      <c r="A50" t="s">
        <v>4</v>
      </c>
      <c r="B50" s="44" t="s">
        <v>51</v>
      </c>
      <c r="C50" t="s">
        <v>52</v>
      </c>
      <c r="F50" s="24">
        <v>2836852961.7028699</v>
      </c>
      <c r="G50" s="24"/>
    </row>
    <row r="51" spans="1:9">
      <c r="A51" t="s">
        <v>1</v>
      </c>
      <c r="B51" t="s">
        <v>47</v>
      </c>
      <c r="C51" t="s">
        <v>48</v>
      </c>
      <c r="F51" s="24"/>
      <c r="G51" s="24">
        <f>F50</f>
        <v>2836852961.7028699</v>
      </c>
    </row>
    <row r="52" spans="1:9">
      <c r="F52" s="24"/>
      <c r="G52" s="24"/>
    </row>
    <row r="53" spans="1:9" ht="13.9" thickBot="1">
      <c r="F53" s="41">
        <f>SUM(F50:F52)</f>
        <v>2836852961.7028699</v>
      </c>
      <c r="G53" s="41">
        <f>SUM(G50:G52)</f>
        <v>2836852961.7028699</v>
      </c>
    </row>
    <row r="54" spans="1:9">
      <c r="F54" s="24"/>
      <c r="G54" s="24"/>
    </row>
    <row r="56" spans="1:9">
      <c r="A56" s="1" t="s">
        <v>53</v>
      </c>
    </row>
    <row r="58" spans="1:9">
      <c r="A58" t="s">
        <v>4</v>
      </c>
      <c r="B58" t="s">
        <v>54</v>
      </c>
      <c r="C58" t="s">
        <v>55</v>
      </c>
      <c r="F58" s="23">
        <v>4707650</v>
      </c>
    </row>
    <row r="59" spans="1:9">
      <c r="A59" t="s">
        <v>1</v>
      </c>
      <c r="C59" t="s">
        <v>56</v>
      </c>
      <c r="G59" s="23">
        <v>4707650</v>
      </c>
    </row>
    <row r="60" spans="1:9" ht="13.9" thickBot="1">
      <c r="F60" s="41">
        <f>SUM(F58:F59)</f>
        <v>4707650</v>
      </c>
      <c r="G60" s="40">
        <f>SUM(G58:G59)</f>
        <v>4707650</v>
      </c>
    </row>
    <row r="61" spans="1:9">
      <c r="F61" s="24"/>
      <c r="G61" s="42"/>
    </row>
    <row r="62" spans="1:9">
      <c r="A62" t="s">
        <v>1</v>
      </c>
      <c r="C62" t="s">
        <v>56</v>
      </c>
      <c r="F62" s="24">
        <f>F35</f>
        <v>0</v>
      </c>
      <c r="G62" s="42"/>
    </row>
    <row r="63" spans="1:9">
      <c r="A63" t="s">
        <v>4</v>
      </c>
      <c r="B63" t="s">
        <v>54</v>
      </c>
      <c r="C63" t="s">
        <v>55</v>
      </c>
      <c r="F63" s="24"/>
      <c r="G63" s="42">
        <f>F62</f>
        <v>0</v>
      </c>
    </row>
    <row r="64" spans="1:9" ht="13.9" thickBot="1">
      <c r="F64" s="41">
        <f>SUM(F62:F63)</f>
        <v>0</v>
      </c>
      <c r="G64" s="40">
        <f>SUM(G62:G63)</f>
        <v>0</v>
      </c>
      <c r="I64" s="24"/>
    </row>
    <row r="65" spans="1:7">
      <c r="F65" s="24"/>
      <c r="G65" s="42"/>
    </row>
    <row r="66" spans="1:7">
      <c r="F66" s="24"/>
      <c r="G66" s="42"/>
    </row>
    <row r="68" spans="1:7">
      <c r="A68" s="1" t="s">
        <v>57</v>
      </c>
    </row>
    <row r="70" spans="1:7">
      <c r="A70" t="s">
        <v>4</v>
      </c>
      <c r="B70" t="s">
        <v>47</v>
      </c>
      <c r="C70" t="s">
        <v>48</v>
      </c>
      <c r="F70" s="23" t="e">
        <f>'Pigs Cost'!J25+'Pigs Cost'!J27</f>
        <v>#REF!</v>
      </c>
    </row>
    <row r="71" spans="1:7">
      <c r="A71" t="s">
        <v>1</v>
      </c>
      <c r="C71" t="s">
        <v>56</v>
      </c>
      <c r="G71" s="23" t="e">
        <f>F70</f>
        <v>#REF!</v>
      </c>
    </row>
    <row r="72" spans="1:7" ht="13.9" thickBot="1">
      <c r="F72" s="41" t="e">
        <f>SUM(F70:F71)</f>
        <v>#REF!</v>
      </c>
      <c r="G72" s="41" t="e">
        <f>SUM(G70:G71)</f>
        <v>#REF!</v>
      </c>
    </row>
    <row r="73" spans="1:7">
      <c r="F73" s="24"/>
      <c r="G73" s="24"/>
    </row>
    <row r="74" spans="1:7">
      <c r="A74" t="s">
        <v>1</v>
      </c>
      <c r="C74" t="s">
        <v>56</v>
      </c>
      <c r="F74" s="24" t="e">
        <f>F36</f>
        <v>#REF!</v>
      </c>
      <c r="G74" s="24"/>
    </row>
    <row r="75" spans="1:7">
      <c r="A75" t="s">
        <v>4</v>
      </c>
      <c r="B75" t="s">
        <v>47</v>
      </c>
      <c r="C75" t="s">
        <v>48</v>
      </c>
      <c r="F75" s="24"/>
      <c r="G75" s="24" t="e">
        <f>F74</f>
        <v>#REF!</v>
      </c>
    </row>
    <row r="76" spans="1:7" ht="13.9" thickBot="1">
      <c r="F76" s="41" t="e">
        <f>SUM(F74:F75)</f>
        <v>#REF!</v>
      </c>
      <c r="G76" s="41" t="e">
        <f>SUM(G74:G75)</f>
        <v>#REF!</v>
      </c>
    </row>
    <row r="77" spans="1:7">
      <c r="F77" s="24"/>
      <c r="G77" s="24"/>
    </row>
    <row r="78" spans="1:7">
      <c r="F78" s="24"/>
      <c r="G78" s="24"/>
    </row>
    <row r="80" spans="1:7">
      <c r="A80" s="1" t="s">
        <v>58</v>
      </c>
    </row>
    <row r="82" spans="1:7">
      <c r="A82" t="s">
        <v>59</v>
      </c>
      <c r="B82" t="s">
        <v>54</v>
      </c>
      <c r="C82" t="s">
        <v>55</v>
      </c>
      <c r="F82" s="23">
        <f>'Pigs Cost'!J67</f>
        <v>0</v>
      </c>
    </row>
    <row r="83" spans="1:7">
      <c r="A83" t="s">
        <v>1</v>
      </c>
      <c r="C83" t="s">
        <v>56</v>
      </c>
      <c r="G83" s="23">
        <v>20109</v>
      </c>
    </row>
    <row r="84" spans="1:7" ht="13.9" thickBot="1">
      <c r="F84" s="41">
        <f>SUM(F82:F83)</f>
        <v>0</v>
      </c>
      <c r="G84" s="40">
        <f>SUM(G82:G83)</f>
        <v>20109</v>
      </c>
    </row>
    <row r="86" spans="1:7">
      <c r="A86" t="s">
        <v>1</v>
      </c>
      <c r="C86" t="s">
        <v>56</v>
      </c>
      <c r="F86" s="24">
        <f>F37</f>
        <v>0</v>
      </c>
    </row>
    <row r="87" spans="1:7">
      <c r="A87" t="s">
        <v>4</v>
      </c>
      <c r="B87" t="s">
        <v>54</v>
      </c>
      <c r="C87" t="s">
        <v>55</v>
      </c>
      <c r="G87" s="23">
        <f>F86</f>
        <v>0</v>
      </c>
    </row>
    <row r="88" spans="1:7" ht="13.9" thickBot="1">
      <c r="F88" s="41">
        <f>SUM(F86:F87)</f>
        <v>0</v>
      </c>
      <c r="G88" s="40">
        <f>SUM(G86:G87)</f>
        <v>0</v>
      </c>
    </row>
  </sheetData>
  <phoneticPr fontId="0" type="noConversion"/>
  <pageMargins left="0.75" right="0.75" top="1" bottom="1" header="0.5" footer="0.5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O23"/>
  <sheetViews>
    <sheetView workbookViewId="0">
      <pane xSplit="3" ySplit="3" topLeftCell="D4" activePane="bottomRight" state="frozen"/>
      <selection pane="bottomRight" activeCell="G16" sqref="G16"/>
      <selection pane="bottomLeft" activeCell="G16" sqref="G16"/>
      <selection pane="topRight" activeCell="G16" sqref="G16"/>
    </sheetView>
  </sheetViews>
  <sheetFormatPr defaultRowHeight="13.15"/>
  <cols>
    <col min="1" max="3" width="9.140625" style="1"/>
    <col min="4" max="5" width="13.85546875" style="23" customWidth="1"/>
    <col min="6" max="6" width="11.28515625" style="23" customWidth="1"/>
    <col min="7" max="9" width="11.85546875" style="23" customWidth="1"/>
    <col min="10" max="10" width="11.140625" style="23" customWidth="1"/>
    <col min="11" max="12" width="14" style="23" customWidth="1"/>
    <col min="13" max="14" width="12.7109375" style="23" customWidth="1"/>
    <col min="15" max="15" width="14" bestFit="1" customWidth="1"/>
  </cols>
  <sheetData>
    <row r="3" spans="1:15" s="1" customFormat="1">
      <c r="D3" s="31" t="s">
        <v>60</v>
      </c>
      <c r="E3" s="31" t="s">
        <v>61</v>
      </c>
      <c r="F3" s="31" t="s">
        <v>62</v>
      </c>
      <c r="G3" s="31" t="s">
        <v>63</v>
      </c>
      <c r="H3" s="31" t="s">
        <v>64</v>
      </c>
      <c r="I3" s="31" t="s">
        <v>65</v>
      </c>
      <c r="J3" s="31" t="s">
        <v>66</v>
      </c>
      <c r="K3" s="31" t="s">
        <v>67</v>
      </c>
      <c r="L3" s="31" t="s">
        <v>68</v>
      </c>
      <c r="M3" s="31" t="s">
        <v>69</v>
      </c>
      <c r="N3" s="31" t="s">
        <v>70</v>
      </c>
      <c r="O3" s="31" t="s">
        <v>71</v>
      </c>
    </row>
    <row r="5" spans="1:15">
      <c r="A5" s="1" t="s">
        <v>72</v>
      </c>
      <c r="C5" s="1" t="s">
        <v>73</v>
      </c>
      <c r="D5" s="23">
        <v>1</v>
      </c>
      <c r="F5" s="23">
        <v>3</v>
      </c>
      <c r="G5" s="23">
        <v>1</v>
      </c>
      <c r="H5" s="23">
        <v>1</v>
      </c>
      <c r="I5" s="23">
        <v>1</v>
      </c>
      <c r="J5" s="23">
        <v>2</v>
      </c>
      <c r="K5" s="23">
        <v>1</v>
      </c>
      <c r="L5" s="23">
        <v>3</v>
      </c>
      <c r="M5" s="23">
        <v>11</v>
      </c>
      <c r="O5" s="24">
        <f>SUM(D5:N5)</f>
        <v>24</v>
      </c>
    </row>
    <row r="6" spans="1:15">
      <c r="C6" s="1" t="s">
        <v>74</v>
      </c>
    </row>
    <row r="8" spans="1:15">
      <c r="C8" s="1" t="s">
        <v>71</v>
      </c>
      <c r="D8" s="34">
        <f>D6*D5</f>
        <v>0</v>
      </c>
      <c r="E8" s="34"/>
      <c r="F8" s="34">
        <f t="shared" ref="F8:M8" si="0">F6*F5</f>
        <v>0</v>
      </c>
      <c r="G8" s="34">
        <f t="shared" si="0"/>
        <v>0</v>
      </c>
      <c r="H8" s="34"/>
      <c r="I8" s="34">
        <f t="shared" si="0"/>
        <v>0</v>
      </c>
      <c r="J8" s="34">
        <f t="shared" si="0"/>
        <v>0</v>
      </c>
      <c r="K8" s="34">
        <f t="shared" si="0"/>
        <v>0</v>
      </c>
      <c r="L8" s="34"/>
      <c r="M8" s="34">
        <f t="shared" si="0"/>
        <v>0</v>
      </c>
      <c r="N8" s="34"/>
      <c r="O8" s="35">
        <f>SUM(D8:M8)</f>
        <v>0</v>
      </c>
    </row>
    <row r="10" spans="1:15">
      <c r="A10" s="1" t="s">
        <v>75</v>
      </c>
      <c r="C10" s="1" t="s">
        <v>73</v>
      </c>
      <c r="D10" s="23">
        <v>15</v>
      </c>
      <c r="E10" s="23">
        <v>2</v>
      </c>
      <c r="F10" s="23">
        <v>1</v>
      </c>
      <c r="G10" s="23">
        <v>3</v>
      </c>
      <c r="H10" s="23">
        <v>1</v>
      </c>
      <c r="N10" s="23">
        <v>0.5</v>
      </c>
      <c r="O10" s="24">
        <f>SUM(D10:N10)</f>
        <v>22.5</v>
      </c>
    </row>
    <row r="11" spans="1:15">
      <c r="C11" s="1" t="s">
        <v>74</v>
      </c>
    </row>
    <row r="13" spans="1:15">
      <c r="C13" s="1" t="s">
        <v>71</v>
      </c>
      <c r="D13" s="34">
        <f>D11*D10</f>
        <v>0</v>
      </c>
      <c r="E13" s="34"/>
      <c r="F13" s="34">
        <f t="shared" ref="F13:M13" si="1">F11*F10</f>
        <v>0</v>
      </c>
      <c r="G13" s="34">
        <f t="shared" si="1"/>
        <v>0</v>
      </c>
      <c r="H13" s="34"/>
      <c r="I13" s="34">
        <f t="shared" si="1"/>
        <v>0</v>
      </c>
      <c r="J13" s="34">
        <f t="shared" si="1"/>
        <v>0</v>
      </c>
      <c r="K13" s="34">
        <f t="shared" si="1"/>
        <v>0</v>
      </c>
      <c r="L13" s="34"/>
      <c r="M13" s="34">
        <f t="shared" si="1"/>
        <v>0</v>
      </c>
      <c r="N13" s="34"/>
      <c r="O13" s="35">
        <f>SUM(D13:M13)</f>
        <v>0</v>
      </c>
    </row>
    <row r="15" spans="1:15">
      <c r="A15" s="1" t="s">
        <v>76</v>
      </c>
      <c r="C15" s="1" t="s">
        <v>73</v>
      </c>
      <c r="D15" s="23">
        <v>1</v>
      </c>
      <c r="E15" s="23">
        <v>5</v>
      </c>
      <c r="O15" s="24">
        <f>SUM(D15:N15)</f>
        <v>6</v>
      </c>
    </row>
    <row r="16" spans="1:15">
      <c r="C16" s="1" t="s">
        <v>74</v>
      </c>
    </row>
    <row r="18" spans="1:15">
      <c r="C18" s="1" t="s">
        <v>71</v>
      </c>
      <c r="D18" s="34">
        <f>D16*D15</f>
        <v>0</v>
      </c>
      <c r="E18" s="34"/>
      <c r="F18" s="34">
        <f t="shared" ref="F18:M18" si="2">F16*F15</f>
        <v>0</v>
      </c>
      <c r="G18" s="34">
        <f t="shared" si="2"/>
        <v>0</v>
      </c>
      <c r="H18" s="34"/>
      <c r="I18" s="34">
        <f t="shared" si="2"/>
        <v>0</v>
      </c>
      <c r="J18" s="34">
        <f t="shared" si="2"/>
        <v>0</v>
      </c>
      <c r="K18" s="34">
        <f t="shared" si="2"/>
        <v>0</v>
      </c>
      <c r="L18" s="34"/>
      <c r="M18" s="34">
        <f t="shared" si="2"/>
        <v>0</v>
      </c>
      <c r="N18" s="34"/>
      <c r="O18" s="35">
        <f>SUM(D18:M18)</f>
        <v>0</v>
      </c>
    </row>
    <row r="20" spans="1:15">
      <c r="A20" s="1" t="s">
        <v>77</v>
      </c>
      <c r="C20" s="1" t="s">
        <v>73</v>
      </c>
      <c r="E20" s="23">
        <v>11</v>
      </c>
      <c r="G20" s="23">
        <v>1</v>
      </c>
      <c r="J20" s="23">
        <v>4</v>
      </c>
      <c r="K20" s="23">
        <v>1</v>
      </c>
      <c r="O20" s="24">
        <f>SUM(D20:N20)</f>
        <v>17</v>
      </c>
    </row>
    <row r="21" spans="1:15">
      <c r="C21" s="1" t="s">
        <v>74</v>
      </c>
    </row>
    <row r="23" spans="1:15">
      <c r="C23" s="1" t="s">
        <v>71</v>
      </c>
      <c r="D23" s="34">
        <f>D21*D20</f>
        <v>0</v>
      </c>
      <c r="E23" s="34"/>
      <c r="F23" s="34">
        <f>F21*F20</f>
        <v>0</v>
      </c>
      <c r="G23" s="34">
        <f>G21*G20</f>
        <v>0</v>
      </c>
      <c r="H23" s="34"/>
      <c r="I23" s="34">
        <f>I21*I20</f>
        <v>0</v>
      </c>
      <c r="J23" s="34">
        <f>J21*J20</f>
        <v>0</v>
      </c>
      <c r="K23" s="34">
        <f>K21*K20</f>
        <v>0</v>
      </c>
      <c r="L23" s="34"/>
      <c r="M23" s="34">
        <f>M21*M20</f>
        <v>0</v>
      </c>
      <c r="N23" s="34"/>
      <c r="O23" s="35">
        <f>SUM(D23:M23)</f>
        <v>0</v>
      </c>
    </row>
  </sheetData>
  <phoneticPr fontId="0" type="noConversion"/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F36"/>
  <sheetViews>
    <sheetView workbookViewId="0">
      <selection activeCell="C16" sqref="C16"/>
    </sheetView>
  </sheetViews>
  <sheetFormatPr defaultRowHeight="13.15"/>
  <cols>
    <col min="5" max="6" width="15" style="23" bestFit="1" customWidth="1"/>
  </cols>
  <sheetData>
    <row r="3" spans="1:6">
      <c r="A3" s="1" t="s">
        <v>0</v>
      </c>
    </row>
    <row r="7" spans="1:6">
      <c r="A7" t="s">
        <v>1</v>
      </c>
      <c r="B7" t="s">
        <v>78</v>
      </c>
      <c r="C7" s="39" t="s">
        <v>79</v>
      </c>
      <c r="E7" s="23">
        <v>3838761.5937295887</v>
      </c>
    </row>
    <row r="8" spans="1:6">
      <c r="A8" t="s">
        <v>1</v>
      </c>
      <c r="B8" t="s">
        <v>49</v>
      </c>
      <c r="C8" s="39" t="s">
        <v>50</v>
      </c>
      <c r="E8" s="23">
        <v>0</v>
      </c>
    </row>
    <row r="9" spans="1:6">
      <c r="A9" t="s">
        <v>1</v>
      </c>
      <c r="B9" t="s">
        <v>54</v>
      </c>
      <c r="C9" s="39" t="s">
        <v>55</v>
      </c>
      <c r="E9" s="23">
        <v>185787159.66035271</v>
      </c>
    </row>
    <row r="10" spans="1:6">
      <c r="A10" t="s">
        <v>1</v>
      </c>
      <c r="B10" t="s">
        <v>47</v>
      </c>
      <c r="C10" s="39" t="s">
        <v>48</v>
      </c>
      <c r="E10" s="23">
        <f>123971125.515872+1.23</f>
        <v>123971126.74587201</v>
      </c>
    </row>
    <row r="11" spans="1:6">
      <c r="A11" t="s">
        <v>4</v>
      </c>
      <c r="B11" t="s">
        <v>7</v>
      </c>
      <c r="C11" t="s">
        <v>8</v>
      </c>
      <c r="F11" s="23">
        <v>152819698</v>
      </c>
    </row>
    <row r="12" spans="1:6">
      <c r="A12" t="s">
        <v>4</v>
      </c>
      <c r="B12" t="s">
        <v>9</v>
      </c>
      <c r="C12" t="s">
        <v>10</v>
      </c>
      <c r="F12" s="23">
        <v>160777350</v>
      </c>
    </row>
    <row r="14" spans="1:6" ht="13.9" thickBot="1">
      <c r="E14" s="40">
        <f>SUM(E7:E13)</f>
        <v>313597047.99995428</v>
      </c>
      <c r="F14" s="40">
        <f>SUM(F11:F13)</f>
        <v>313597048</v>
      </c>
    </row>
    <row r="17" spans="1:6">
      <c r="A17" s="1" t="s">
        <v>80</v>
      </c>
    </row>
    <row r="20" spans="1:6">
      <c r="A20" t="s">
        <v>4</v>
      </c>
      <c r="B20" t="s">
        <v>78</v>
      </c>
      <c r="C20" t="s">
        <v>79</v>
      </c>
      <c r="E20" s="23">
        <f>1%*'Pigs Cost'!C29</f>
        <v>0</v>
      </c>
    </row>
    <row r="21" spans="1:6">
      <c r="A21" t="s">
        <v>4</v>
      </c>
      <c r="B21" t="s">
        <v>49</v>
      </c>
      <c r="C21" t="s">
        <v>50</v>
      </c>
    </row>
    <row r="22" spans="1:6">
      <c r="A22" t="s">
        <v>4</v>
      </c>
      <c r="B22" t="s">
        <v>54</v>
      </c>
      <c r="C22" t="s">
        <v>55</v>
      </c>
      <c r="E22" s="23">
        <f>99%*'Pigs Cost'!C29</f>
        <v>0</v>
      </c>
    </row>
    <row r="23" spans="1:6">
      <c r="A23" t="s">
        <v>4</v>
      </c>
      <c r="B23" t="s">
        <v>47</v>
      </c>
      <c r="C23" t="s">
        <v>48</v>
      </c>
      <c r="E23" s="23">
        <f>'Pigs Cost'!C25</f>
        <v>0</v>
      </c>
    </row>
    <row r="24" spans="1:6">
      <c r="A24" t="s">
        <v>1</v>
      </c>
      <c r="C24" t="s">
        <v>56</v>
      </c>
      <c r="F24" s="23">
        <v>152819698</v>
      </c>
    </row>
    <row r="26" spans="1:6" ht="13.9" thickBot="1">
      <c r="E26" s="40">
        <f>SUM(E20:E24)</f>
        <v>0</v>
      </c>
      <c r="F26" s="40">
        <f>SUM(F24:F25)</f>
        <v>152819698</v>
      </c>
    </row>
    <row r="28" spans="1:6">
      <c r="A28" s="1" t="s">
        <v>58</v>
      </c>
    </row>
    <row r="30" spans="1:6">
      <c r="A30" t="s">
        <v>4</v>
      </c>
      <c r="B30" t="s">
        <v>78</v>
      </c>
      <c r="C30" t="s">
        <v>79</v>
      </c>
    </row>
    <row r="31" spans="1:6">
      <c r="A31" t="s">
        <v>4</v>
      </c>
      <c r="B31" t="s">
        <v>49</v>
      </c>
      <c r="C31" t="s">
        <v>50</v>
      </c>
    </row>
    <row r="32" spans="1:6">
      <c r="A32" t="s">
        <v>4</v>
      </c>
      <c r="B32" t="s">
        <v>54</v>
      </c>
      <c r="C32" t="s">
        <v>55</v>
      </c>
      <c r="E32" s="23">
        <v>160777350</v>
      </c>
    </row>
    <row r="33" spans="1:6">
      <c r="A33" t="s">
        <v>4</v>
      </c>
      <c r="B33" t="s">
        <v>47</v>
      </c>
      <c r="C33" t="s">
        <v>48</v>
      </c>
    </row>
    <row r="34" spans="1:6">
      <c r="A34" t="s">
        <v>1</v>
      </c>
      <c r="C34" t="s">
        <v>56</v>
      </c>
      <c r="F34" s="23">
        <v>160777350</v>
      </c>
    </row>
    <row r="36" spans="1:6" ht="13.9" thickBot="1">
      <c r="E36" s="40">
        <f>SUM(E32:E35)</f>
        <v>160777350</v>
      </c>
      <c r="F36" s="40">
        <f>SUM(F34:F35)</f>
        <v>160777350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35"/>
  <sheetViews>
    <sheetView view="pageBreakPreview" topLeftCell="A86" workbookViewId="0">
      <selection activeCell="E146" sqref="E146"/>
    </sheetView>
  </sheetViews>
  <sheetFormatPr defaultColWidth="9.140625" defaultRowHeight="13.15"/>
  <cols>
    <col min="1" max="1" width="17.7109375" customWidth="1"/>
    <col min="2" max="2" width="10.140625" bestFit="1" customWidth="1"/>
    <col min="3" max="3" width="20.85546875" bestFit="1" customWidth="1"/>
    <col min="4" max="4" width="20.5703125" bestFit="1" customWidth="1"/>
    <col min="5" max="5" width="21.28515625" bestFit="1" customWidth="1"/>
    <col min="6" max="6" width="20.28515625" bestFit="1" customWidth="1"/>
    <col min="7" max="7" width="22.28515625" bestFit="1" customWidth="1"/>
    <col min="8" max="8" width="26.5703125" bestFit="1" customWidth="1"/>
    <col min="9" max="9" width="27.7109375" bestFit="1" customWidth="1"/>
    <col min="10" max="10" width="21.28515625" bestFit="1" customWidth="1"/>
    <col min="11" max="11" width="20.140625" bestFit="1" customWidth="1"/>
    <col min="12" max="12" width="19.42578125" bestFit="1" customWidth="1"/>
    <col min="13" max="13" width="22.7109375" bestFit="1" customWidth="1"/>
    <col min="14" max="14" width="20.42578125" bestFit="1" customWidth="1"/>
    <col min="15" max="16" width="22.28515625" bestFit="1" customWidth="1"/>
    <col min="17" max="18" width="23" bestFit="1" customWidth="1"/>
    <col min="19" max="19" width="18.7109375" bestFit="1" customWidth="1"/>
    <col min="20" max="20" width="18.42578125" customWidth="1"/>
  </cols>
  <sheetData>
    <row r="1" spans="1:18" s="1" customFormat="1">
      <c r="A1" s="1" t="s">
        <v>81</v>
      </c>
    </row>
    <row r="2" spans="1:18" s="1" customFormat="1"/>
    <row r="3" spans="1:18" s="1" customFormat="1">
      <c r="A3" s="1" t="s">
        <v>82</v>
      </c>
    </row>
    <row r="4" spans="1:18" s="1" customFormat="1"/>
    <row r="5" spans="1:18" s="1" customFormat="1">
      <c r="A5" s="1" t="s">
        <v>83</v>
      </c>
      <c r="N5" s="48"/>
    </row>
    <row r="6" spans="1:18" s="1" customFormat="1">
      <c r="I6" s="48"/>
      <c r="O6" s="50"/>
    </row>
    <row r="7" spans="1:18" s="1" customFormat="1">
      <c r="N7" s="51"/>
    </row>
    <row r="8" spans="1:18" s="1" customFormat="1">
      <c r="A8" s="1" t="s">
        <v>84</v>
      </c>
      <c r="B8" s="17" t="s">
        <v>85</v>
      </c>
    </row>
    <row r="9" spans="1:18" s="1" customFormat="1"/>
    <row r="10" spans="1:18" s="1" customFormat="1">
      <c r="A10" s="1" t="s">
        <v>86</v>
      </c>
      <c r="D10" s="300"/>
      <c r="E10" s="300"/>
    </row>
    <row r="11" spans="1:18" s="1" customFormat="1" ht="13.9" thickBot="1"/>
    <row r="12" spans="1:18" s="14" customFormat="1" ht="27" thickBot="1">
      <c r="A12" s="12" t="s">
        <v>87</v>
      </c>
      <c r="B12" s="52" t="s">
        <v>88</v>
      </c>
      <c r="C12" s="15" t="s">
        <v>89</v>
      </c>
      <c r="D12" s="16" t="s">
        <v>90</v>
      </c>
      <c r="E12" s="19" t="s">
        <v>91</v>
      </c>
      <c r="F12" s="15" t="s">
        <v>92</v>
      </c>
      <c r="G12" s="15" t="s">
        <v>93</v>
      </c>
      <c r="H12" s="15" t="s">
        <v>94</v>
      </c>
      <c r="I12" s="15" t="s">
        <v>95</v>
      </c>
      <c r="J12" s="15" t="s">
        <v>96</v>
      </c>
      <c r="K12" s="15" t="s">
        <v>97</v>
      </c>
      <c r="L12" s="15" t="s">
        <v>98</v>
      </c>
      <c r="M12" s="19" t="s">
        <v>99</v>
      </c>
      <c r="N12" s="19" t="s">
        <v>100</v>
      </c>
      <c r="O12" s="19" t="s">
        <v>101</v>
      </c>
      <c r="P12" s="19" t="s">
        <v>102</v>
      </c>
      <c r="Q12" s="19" t="s">
        <v>103</v>
      </c>
      <c r="R12" s="13" t="s">
        <v>104</v>
      </c>
    </row>
    <row r="13" spans="1:18">
      <c r="A13" s="2171" t="s">
        <v>105</v>
      </c>
      <c r="B13" s="54" t="s">
        <v>106</v>
      </c>
      <c r="C13" s="26">
        <f>'Pigs Cost'!C13</f>
        <v>76193292893.302841</v>
      </c>
      <c r="D13" s="26">
        <f>'Pigs Cost'!D13</f>
        <v>0</v>
      </c>
      <c r="E13" s="26">
        <f>'Pigs Cost'!E13</f>
        <v>0</v>
      </c>
      <c r="F13" s="26">
        <f>'Pigs Cost'!F13</f>
        <v>0</v>
      </c>
      <c r="G13" s="26" t="e">
        <f>'Pigs Cost'!G13</f>
        <v>#REF!</v>
      </c>
      <c r="H13" s="26" t="e">
        <f>'Pigs Cost'!H13</f>
        <v>#REF!</v>
      </c>
      <c r="I13" s="26">
        <f>'Pigs Cost'!I13</f>
        <v>0</v>
      </c>
      <c r="J13" s="26" t="e">
        <f>'Pigs Cost'!J13</f>
        <v>#REF!</v>
      </c>
      <c r="K13" s="26" t="e">
        <f>'Pigs Cost'!K13</f>
        <v>#REF!</v>
      </c>
      <c r="L13" s="26" t="e">
        <f>'Pigs Cost'!L13</f>
        <v>#REF!</v>
      </c>
      <c r="M13" s="47" t="e">
        <f t="shared" ref="M13:M18" si="0">SUM(C13:L13)</f>
        <v>#REF!</v>
      </c>
      <c r="N13" s="47" t="e">
        <f>'Pigs Cost'!N13</f>
        <v>#REF!</v>
      </c>
      <c r="O13" s="47" t="e">
        <f>'Pigs Cost'!O13</f>
        <v>#REF!</v>
      </c>
      <c r="P13" s="47" t="e">
        <f>'Pigs Cost'!P13</f>
        <v>#REF!</v>
      </c>
      <c r="Q13" s="47">
        <f>'[5]PigsMay 07 '!$H34</f>
        <v>93648212165.690506</v>
      </c>
      <c r="R13" s="28" t="e">
        <f t="shared" ref="R13:R18" si="1">M13+O13+P13+Q13</f>
        <v>#REF!</v>
      </c>
    </row>
    <row r="14" spans="1:18" s="2" customFormat="1">
      <c r="A14" s="2172" t="s">
        <v>107</v>
      </c>
      <c r="B14" s="2173" t="s">
        <v>108</v>
      </c>
      <c r="C14" s="26">
        <f>'Pigs Cost'!C14</f>
        <v>104107508765.54976</v>
      </c>
      <c r="D14" s="26">
        <f>'Pigs Cost'!D14</f>
        <v>0</v>
      </c>
      <c r="E14" s="26" t="e">
        <f>'Pigs Cost'!E14</f>
        <v>#REF!</v>
      </c>
      <c r="F14" s="26">
        <f>'Pigs Cost'!F14</f>
        <v>0</v>
      </c>
      <c r="G14" s="26" t="e">
        <f>'Pigs Cost'!G14</f>
        <v>#REF!</v>
      </c>
      <c r="H14" s="26" t="e">
        <f>'Pigs Cost'!H14</f>
        <v>#REF!</v>
      </c>
      <c r="I14" s="26">
        <f>'Pigs Cost'!I14</f>
        <v>0</v>
      </c>
      <c r="J14" s="26" t="e">
        <f>'Pigs Cost'!J14</f>
        <v>#REF!</v>
      </c>
      <c r="K14" s="26" t="e">
        <f>'Pigs Cost'!K14</f>
        <v>#REF!</v>
      </c>
      <c r="L14" s="26" t="e">
        <f>'Pigs Cost'!L14</f>
        <v>#REF!</v>
      </c>
      <c r="M14" s="47" t="e">
        <f t="shared" si="0"/>
        <v>#REF!</v>
      </c>
      <c r="N14" s="47" t="e">
        <f>'Pigs Cost'!N14</f>
        <v>#REF!</v>
      </c>
      <c r="O14" s="47" t="e">
        <f>'Pigs Cost'!O14</f>
        <v>#REF!</v>
      </c>
      <c r="P14" s="47" t="e">
        <f>'Pigs Cost'!P14</f>
        <v>#REF!</v>
      </c>
      <c r="Q14" s="47">
        <f>'[5]PigsMay 07 '!$H35</f>
        <v>922824362367.44141</v>
      </c>
      <c r="R14" s="28" t="e">
        <f t="shared" si="1"/>
        <v>#REF!</v>
      </c>
    </row>
    <row r="15" spans="1:18" s="2" customFormat="1">
      <c r="A15" s="2172" t="s">
        <v>109</v>
      </c>
      <c r="B15" s="2173" t="s">
        <v>110</v>
      </c>
      <c r="C15" s="26">
        <f>'Pigs Cost'!C15</f>
        <v>227025682034.61804</v>
      </c>
      <c r="D15" s="26">
        <f>'Pigs Cost'!D15</f>
        <v>0</v>
      </c>
      <c r="E15" s="26" t="e">
        <f>'Pigs Cost'!E15</f>
        <v>#REF!</v>
      </c>
      <c r="F15" s="26">
        <f>'Pigs Cost'!F15</f>
        <v>0</v>
      </c>
      <c r="G15" s="26" t="e">
        <f>'Pigs Cost'!G15</f>
        <v>#REF!</v>
      </c>
      <c r="H15" s="26" t="e">
        <f>'Pigs Cost'!H15</f>
        <v>#REF!</v>
      </c>
      <c r="I15" s="26">
        <f>'Pigs Cost'!I15</f>
        <v>0</v>
      </c>
      <c r="J15" s="26" t="e">
        <f>'Pigs Cost'!J15</f>
        <v>#REF!</v>
      </c>
      <c r="K15" s="26" t="e">
        <f>'Pigs Cost'!K15</f>
        <v>#REF!</v>
      </c>
      <c r="L15" s="26" t="e">
        <f>'Pigs Cost'!L15</f>
        <v>#REF!</v>
      </c>
      <c r="M15" s="47" t="e">
        <f t="shared" si="0"/>
        <v>#REF!</v>
      </c>
      <c r="N15" s="47" t="e">
        <f>'Pigs Cost'!N15</f>
        <v>#REF!</v>
      </c>
      <c r="O15" s="47" t="e">
        <f>'Pigs Cost'!O15</f>
        <v>#REF!</v>
      </c>
      <c r="P15" s="47" t="e">
        <f>'Pigs Cost'!P15</f>
        <v>#REF!</v>
      </c>
      <c r="Q15" s="47">
        <f>'[5]PigsMay 07 '!$H36</f>
        <v>3401639670114.6782</v>
      </c>
      <c r="R15" s="28" t="e">
        <f t="shared" si="1"/>
        <v>#REF!</v>
      </c>
    </row>
    <row r="16" spans="1:18" s="2" customFormat="1">
      <c r="A16" s="2172" t="s">
        <v>111</v>
      </c>
      <c r="B16" s="1657" t="s">
        <v>106</v>
      </c>
      <c r="C16" s="26">
        <f>'Pigs Cost'!C16</f>
        <v>3012465057.3680844</v>
      </c>
      <c r="D16" s="26">
        <f>'Pigs Cost'!D16</f>
        <v>0</v>
      </c>
      <c r="E16" s="26" t="e">
        <f>'Pigs Cost'!E16</f>
        <v>#REF!</v>
      </c>
      <c r="F16" s="26">
        <f>'Pigs Cost'!F16</f>
        <v>0</v>
      </c>
      <c r="G16" s="26">
        <f>'Pigs Cost'!G16</f>
        <v>0</v>
      </c>
      <c r="H16" s="26">
        <f>'Pigs Cost'!H16</f>
        <v>0</v>
      </c>
      <c r="I16" s="26">
        <f>'Pigs Cost'!I16</f>
        <v>0</v>
      </c>
      <c r="J16" s="26">
        <f>'Pigs Cost'!J16</f>
        <v>0</v>
      </c>
      <c r="K16" s="26">
        <f>'Pigs Cost'!K16</f>
        <v>0</v>
      </c>
      <c r="L16" s="26">
        <f>'Pigs Cost'!L16</f>
        <v>0</v>
      </c>
      <c r="M16" s="47" t="e">
        <f t="shared" si="0"/>
        <v>#REF!</v>
      </c>
      <c r="N16" s="47" t="e">
        <f>'Pigs Cost'!N16</f>
        <v>#REF!</v>
      </c>
      <c r="O16" s="47" t="e">
        <f>'Pigs Cost'!O16</f>
        <v>#REF!</v>
      </c>
      <c r="P16" s="47" t="e">
        <f>'Pigs Cost'!P16</f>
        <v>#REF!</v>
      </c>
      <c r="Q16" s="47">
        <f>'[5]PigsMay 07 '!$H37</f>
        <v>115699611827.11624</v>
      </c>
      <c r="R16" s="28" t="e">
        <f t="shared" si="1"/>
        <v>#REF!</v>
      </c>
    </row>
    <row r="17" spans="1:20" s="2" customFormat="1">
      <c r="A17" s="2172" t="s">
        <v>112</v>
      </c>
      <c r="B17" s="54" t="s">
        <v>106</v>
      </c>
      <c r="C17" s="26">
        <f>'Pigs Cost'!C17</f>
        <v>705130890.74762797</v>
      </c>
      <c r="D17" s="26">
        <f>'Pigs Cost'!D17</f>
        <v>0</v>
      </c>
      <c r="E17" s="26" t="e">
        <f>'Pigs Cost'!E17</f>
        <v>#REF!</v>
      </c>
      <c r="F17" s="26">
        <f>'Pigs Cost'!F17</f>
        <v>0</v>
      </c>
      <c r="G17" s="26">
        <f>'Pigs Cost'!G17</f>
        <v>0</v>
      </c>
      <c r="H17" s="26">
        <f>'Pigs Cost'!H17</f>
        <v>0</v>
      </c>
      <c r="I17" s="26">
        <f>'Pigs Cost'!I17</f>
        <v>0</v>
      </c>
      <c r="J17" s="26">
        <f>'Pigs Cost'!J17</f>
        <v>0</v>
      </c>
      <c r="K17" s="26">
        <f>'Pigs Cost'!K17</f>
        <v>0</v>
      </c>
      <c r="L17" s="26">
        <f>'Pigs Cost'!L17</f>
        <v>0</v>
      </c>
      <c r="M17" s="47" t="e">
        <f t="shared" si="0"/>
        <v>#REF!</v>
      </c>
      <c r="N17" s="47" t="e">
        <f>'Pigs Cost'!N17</f>
        <v>#REF!</v>
      </c>
      <c r="O17" s="47" t="e">
        <f>'Pigs Cost'!O17</f>
        <v>#REF!</v>
      </c>
      <c r="P17" s="47" t="e">
        <f>'Pigs Cost'!P17</f>
        <v>#REF!</v>
      </c>
      <c r="Q17" s="47">
        <f>'[5]PigsMay 07 '!$H38</f>
        <v>500448824611.35547</v>
      </c>
      <c r="R17" s="28" t="e">
        <f t="shared" si="1"/>
        <v>#REF!</v>
      </c>
      <c r="S17" s="300"/>
      <c r="T17" s="300"/>
    </row>
    <row r="18" spans="1:20" s="2" customFormat="1" ht="13.9" thickBot="1">
      <c r="A18" s="2174" t="s">
        <v>113</v>
      </c>
      <c r="B18" s="971" t="s">
        <v>114</v>
      </c>
      <c r="C18" s="26">
        <f>'Pigs Cost'!C18</f>
        <v>109058.54019706693</v>
      </c>
      <c r="D18" s="26">
        <f>'Pigs Cost'!D18</f>
        <v>0</v>
      </c>
      <c r="E18" s="26" t="e">
        <f>'Pigs Cost'!E18</f>
        <v>#REF!</v>
      </c>
      <c r="F18" s="26">
        <f>'Pigs Cost'!F18</f>
        <v>0</v>
      </c>
      <c r="G18" s="26">
        <f>'Pigs Cost'!G18</f>
        <v>0</v>
      </c>
      <c r="H18" s="26">
        <f>'Pigs Cost'!H18</f>
        <v>0</v>
      </c>
      <c r="I18" s="26">
        <f>'Pigs Cost'!I18</f>
        <v>0</v>
      </c>
      <c r="J18" s="26">
        <f>'Pigs Cost'!J18</f>
        <v>0</v>
      </c>
      <c r="K18" s="26">
        <f>'Pigs Cost'!K18</f>
        <v>0</v>
      </c>
      <c r="L18" s="26">
        <f>'Pigs Cost'!L18</f>
        <v>0</v>
      </c>
      <c r="M18" s="47" t="e">
        <f t="shared" si="0"/>
        <v>#REF!</v>
      </c>
      <c r="N18" s="47" t="e">
        <f>'Pigs Cost'!N18</f>
        <v>#REF!</v>
      </c>
      <c r="O18" s="47" t="e">
        <f>'Pigs Cost'!O18</f>
        <v>#REF!</v>
      </c>
      <c r="P18" s="47" t="e">
        <f>'Pigs Cost'!P18</f>
        <v>#REF!</v>
      </c>
      <c r="Q18" s="47">
        <f>'[5]PigsMay 07 '!$H39</f>
        <v>16625727963.723267</v>
      </c>
      <c r="R18" s="28" t="e">
        <f t="shared" si="1"/>
        <v>#REF!</v>
      </c>
      <c r="S18" s="300"/>
      <c r="T18" s="300"/>
    </row>
    <row r="19" spans="1:20" s="1" customFormat="1" ht="13.9" thickBot="1">
      <c r="A19" s="3" t="s">
        <v>115</v>
      </c>
      <c r="B19" s="55"/>
      <c r="C19" s="36">
        <f t="shared" ref="C19:L19" si="2">SUM(C13:C18)</f>
        <v>411044188700.12659</v>
      </c>
      <c r="D19" s="56">
        <f t="shared" si="2"/>
        <v>0</v>
      </c>
      <c r="E19" s="56" t="e">
        <f>SUM(E13:E18)</f>
        <v>#REF!</v>
      </c>
      <c r="F19" s="56">
        <f t="shared" si="2"/>
        <v>0</v>
      </c>
      <c r="G19" s="56" t="e">
        <f t="shared" si="2"/>
        <v>#REF!</v>
      </c>
      <c r="H19" s="56" t="e">
        <f t="shared" si="2"/>
        <v>#REF!</v>
      </c>
      <c r="I19" s="56">
        <f t="shared" si="2"/>
        <v>0</v>
      </c>
      <c r="J19" s="56" t="e">
        <f t="shared" si="2"/>
        <v>#REF!</v>
      </c>
      <c r="K19" s="56" t="e">
        <f t="shared" si="2"/>
        <v>#REF!</v>
      </c>
      <c r="L19" s="56" t="e">
        <f t="shared" si="2"/>
        <v>#REF!</v>
      </c>
      <c r="M19" s="56" t="e">
        <f t="shared" ref="M19:R19" si="3">SUM(M13:M18)</f>
        <v>#REF!</v>
      </c>
      <c r="N19" s="56" t="e">
        <f t="shared" si="3"/>
        <v>#REF!</v>
      </c>
      <c r="O19" s="56" t="e">
        <f t="shared" si="3"/>
        <v>#REF!</v>
      </c>
      <c r="P19" s="56" t="e">
        <f t="shared" si="3"/>
        <v>#REF!</v>
      </c>
      <c r="Q19" s="56">
        <f t="shared" si="3"/>
        <v>5050886409050.0059</v>
      </c>
      <c r="R19" s="56" t="e">
        <f t="shared" si="3"/>
        <v>#REF!</v>
      </c>
      <c r="S19" s="48" t="e">
        <f>R19-'[5]PigsMay 07 '!$G$40</f>
        <v>#REF!</v>
      </c>
      <c r="T19" s="48">
        <f>Q19-'[5]PigsMay 07 '!$H$40</f>
        <v>0</v>
      </c>
    </row>
    <row r="20" spans="1:20" s="2" customFormat="1">
      <c r="A20" s="300"/>
      <c r="B20" s="300"/>
      <c r="C20" s="300"/>
      <c r="D20" s="300"/>
      <c r="E20" s="300"/>
      <c r="F20" s="300"/>
      <c r="G20" s="300"/>
      <c r="H20" s="300"/>
      <c r="I20" s="300"/>
      <c r="J20" s="300"/>
      <c r="K20" s="300"/>
      <c r="L20" s="300"/>
      <c r="M20" s="300"/>
      <c r="N20" s="303" t="e">
        <f>N19-'Pigs Cost'!N19</f>
        <v>#REF!</v>
      </c>
      <c r="O20" s="300"/>
      <c r="P20" s="300"/>
      <c r="Q20" s="303">
        <f>Q19-'[5]PigsMay 07 '!$H$40</f>
        <v>0</v>
      </c>
      <c r="R20" s="300"/>
      <c r="S20" s="300"/>
      <c r="T20" s="300"/>
    </row>
    <row r="21" spans="1:20" s="2" customFormat="1">
      <c r="A21" s="300"/>
      <c r="B21" s="300"/>
      <c r="C21" s="300"/>
      <c r="D21" s="300"/>
      <c r="E21" s="303"/>
      <c r="F21" s="300"/>
      <c r="G21" s="300"/>
      <c r="H21" s="300"/>
      <c r="I21" s="300"/>
      <c r="J21" s="300"/>
      <c r="K21" s="300"/>
      <c r="L21" s="903" t="e">
        <f>+(G19+H19+I19+K19+L19+J19+F19)-J107</f>
        <v>#REF!</v>
      </c>
      <c r="M21" s="300"/>
      <c r="N21" s="300"/>
      <c r="O21" s="303"/>
      <c r="P21" s="303"/>
      <c r="Q21" s="300"/>
      <c r="R21" s="303"/>
      <c r="S21" s="300"/>
      <c r="T21" s="300"/>
    </row>
    <row r="22" spans="1:20" s="2" customFormat="1">
      <c r="A22" s="1" t="s">
        <v>86</v>
      </c>
      <c r="B22" s="17" t="s">
        <v>116</v>
      </c>
      <c r="C22" s="17"/>
      <c r="D22" s="300"/>
      <c r="E22" s="300"/>
      <c r="F22" s="300"/>
      <c r="G22" s="300"/>
      <c r="H22" s="300"/>
      <c r="I22" s="300"/>
      <c r="J22" s="300"/>
      <c r="K22" s="300"/>
      <c r="L22" s="300"/>
      <c r="M22" s="300"/>
      <c r="N22" s="300"/>
      <c r="O22" s="300"/>
      <c r="P22" s="300"/>
      <c r="Q22" s="300"/>
      <c r="R22" s="903"/>
      <c r="S22" s="300"/>
      <c r="T22" s="300"/>
    </row>
    <row r="23" spans="1:20" s="2" customFormat="1" ht="13.9" thickBot="1">
      <c r="A23" s="300"/>
      <c r="B23" s="300"/>
      <c r="C23" s="300"/>
      <c r="D23" s="300"/>
      <c r="E23" s="300"/>
      <c r="F23" s="300"/>
      <c r="G23" s="300"/>
      <c r="H23" s="300"/>
      <c r="I23" s="300"/>
      <c r="J23" s="300"/>
      <c r="K23" s="300"/>
      <c r="L23" s="300"/>
      <c r="M23" s="300"/>
      <c r="N23" s="300"/>
      <c r="O23" s="300"/>
      <c r="P23" s="300"/>
      <c r="Q23" s="300"/>
      <c r="R23" s="300"/>
      <c r="S23" s="300"/>
      <c r="T23" s="300"/>
    </row>
    <row r="24" spans="1:20" s="14" customFormat="1" ht="27" thickBot="1">
      <c r="A24" s="12" t="s">
        <v>87</v>
      </c>
      <c r="B24" s="52" t="s">
        <v>88</v>
      </c>
      <c r="C24" s="15" t="s">
        <v>89</v>
      </c>
      <c r="D24" s="16" t="s">
        <v>90</v>
      </c>
      <c r="E24" s="19" t="s">
        <v>91</v>
      </c>
      <c r="F24" s="15" t="s">
        <v>92</v>
      </c>
      <c r="G24" s="15" t="s">
        <v>93</v>
      </c>
      <c r="H24" s="15" t="s">
        <v>94</v>
      </c>
      <c r="I24" s="15" t="s">
        <v>95</v>
      </c>
      <c r="J24" s="15" t="s">
        <v>96</v>
      </c>
      <c r="K24" s="15" t="s">
        <v>97</v>
      </c>
      <c r="L24" s="15" t="s">
        <v>98</v>
      </c>
      <c r="M24" s="19" t="s">
        <v>99</v>
      </c>
      <c r="N24" s="19" t="s">
        <v>100</v>
      </c>
      <c r="O24" s="19" t="s">
        <v>101</v>
      </c>
      <c r="P24" s="19" t="s">
        <v>102</v>
      </c>
      <c r="Q24" s="19" t="s">
        <v>103</v>
      </c>
      <c r="R24" s="13" t="s">
        <v>104</v>
      </c>
    </row>
    <row r="25" spans="1:20" s="2" customFormat="1">
      <c r="A25" s="2171" t="s">
        <v>105</v>
      </c>
      <c r="B25" s="54" t="s">
        <v>106</v>
      </c>
      <c r="C25" s="26">
        <f>'Pigs Cost'!C25</f>
        <v>0</v>
      </c>
      <c r="D25" s="26">
        <f>'Pigs Cost'!D25</f>
        <v>0</v>
      </c>
      <c r="E25" s="26" t="e">
        <f>'Pigs Cost'!E25</f>
        <v>#REF!</v>
      </c>
      <c r="F25" s="26">
        <f>'Pigs Cost'!F25</f>
        <v>0</v>
      </c>
      <c r="G25" s="26" t="e">
        <f>'Pigs Cost'!G25</f>
        <v>#REF!</v>
      </c>
      <c r="H25" s="26" t="e">
        <f>'Pigs Cost'!H25</f>
        <v>#REF!</v>
      </c>
      <c r="I25" s="26" t="e">
        <f>'Pigs Cost'!I25</f>
        <v>#REF!</v>
      </c>
      <c r="J25" s="26" t="e">
        <f>'Pigs Cost'!J25</f>
        <v>#REF!</v>
      </c>
      <c r="K25" s="26" t="e">
        <f>'Pigs Cost'!K25</f>
        <v>#REF!</v>
      </c>
      <c r="L25" s="26" t="e">
        <f>'Pigs Cost'!L25</f>
        <v>#REF!</v>
      </c>
      <c r="M25" s="47" t="e">
        <f t="shared" ref="M25:M30" si="4">SUM(C25:L25)</f>
        <v>#REF!</v>
      </c>
      <c r="N25" s="47">
        <f>'Pigs Cost'!N25</f>
        <v>0</v>
      </c>
      <c r="O25" s="47" t="e">
        <f>'Pigs Cost'!O25</f>
        <v>#REF!</v>
      </c>
      <c r="P25" s="47" t="e">
        <f>'Pigs Cost'!P25</f>
        <v>#REF!</v>
      </c>
      <c r="Q25" s="47">
        <f>'[5]Outgrower pigs Sept07 TRADE WIN'!$H34</f>
        <v>0</v>
      </c>
      <c r="R25" s="28" t="e">
        <f>M25+O25+P25+Q25</f>
        <v>#REF!</v>
      </c>
      <c r="S25" s="300"/>
      <c r="T25" s="300"/>
    </row>
    <row r="26" spans="1:20" s="2" customFormat="1">
      <c r="A26" s="2172" t="s">
        <v>107</v>
      </c>
      <c r="B26" s="2173" t="s">
        <v>108</v>
      </c>
      <c r="C26" s="26">
        <f>'Pigs Cost'!C26</f>
        <v>0</v>
      </c>
      <c r="D26" s="26">
        <f>'Pigs Cost'!D26</f>
        <v>0</v>
      </c>
      <c r="E26" s="26">
        <f>'Pigs Cost'!E26</f>
        <v>0</v>
      </c>
      <c r="F26" s="26">
        <f>'Pigs Cost'!F26</f>
        <v>0</v>
      </c>
      <c r="G26" s="26" t="e">
        <f>'Pigs Cost'!G26</f>
        <v>#REF!</v>
      </c>
      <c r="H26" s="26" t="e">
        <f>'Pigs Cost'!H26</f>
        <v>#REF!</v>
      </c>
      <c r="I26" s="26" t="e">
        <f>'Pigs Cost'!I26</f>
        <v>#REF!</v>
      </c>
      <c r="J26" s="26" t="e">
        <f>'Pigs Cost'!J26</f>
        <v>#REF!</v>
      </c>
      <c r="K26" s="26" t="e">
        <f>'Pigs Cost'!K26</f>
        <v>#REF!</v>
      </c>
      <c r="L26" s="26">
        <f>'Pigs Cost'!L26</f>
        <v>0</v>
      </c>
      <c r="M26" s="47" t="e">
        <f>SUM(C26:L26)</f>
        <v>#REF!</v>
      </c>
      <c r="N26" s="47">
        <f>'Pigs Cost'!N26</f>
        <v>0</v>
      </c>
      <c r="O26" s="47" t="e">
        <f>'Pigs Cost'!O26</f>
        <v>#REF!</v>
      </c>
      <c r="P26" s="47" t="e">
        <f>'Pigs Cost'!P26</f>
        <v>#REF!</v>
      </c>
      <c r="Q26" s="47">
        <f>'[5]Outgrower pigs Sept07 TRADE WIN'!$H35</f>
        <v>88755496437.713547</v>
      </c>
      <c r="R26" s="28" t="e">
        <f>M26+O26+P26+Q26</f>
        <v>#REF!</v>
      </c>
      <c r="S26" s="300"/>
      <c r="T26" s="300"/>
    </row>
    <row r="27" spans="1:20" s="2" customFormat="1">
      <c r="A27" s="2172" t="s">
        <v>109</v>
      </c>
      <c r="B27" s="2173" t="s">
        <v>110</v>
      </c>
      <c r="C27" s="26">
        <f>'Pigs Cost'!C27</f>
        <v>14341695586.879185</v>
      </c>
      <c r="D27" s="26">
        <f>'Pigs Cost'!D27</f>
        <v>0</v>
      </c>
      <c r="E27" s="26" t="e">
        <f>'Pigs Cost'!E27</f>
        <v>#REF!</v>
      </c>
      <c r="F27" s="26">
        <f>'Pigs Cost'!F27</f>
        <v>0</v>
      </c>
      <c r="G27" s="26" t="e">
        <f>'Pigs Cost'!G27</f>
        <v>#REF!</v>
      </c>
      <c r="H27" s="26" t="e">
        <f>'Pigs Cost'!H27</f>
        <v>#REF!</v>
      </c>
      <c r="I27" s="26" t="e">
        <f>'Pigs Cost'!I27</f>
        <v>#REF!</v>
      </c>
      <c r="J27" s="26" t="e">
        <f>'Pigs Cost'!J27</f>
        <v>#REF!</v>
      </c>
      <c r="K27" s="26" t="e">
        <f>'Pigs Cost'!K27</f>
        <v>#REF!</v>
      </c>
      <c r="L27" s="26" t="e">
        <f>'Pigs Cost'!L27</f>
        <v>#REF!</v>
      </c>
      <c r="M27" s="47" t="e">
        <f t="shared" si="4"/>
        <v>#REF!</v>
      </c>
      <c r="N27" s="47" t="e">
        <f>'Pigs Cost'!N27</f>
        <v>#REF!</v>
      </c>
      <c r="O27" s="47" t="e">
        <f>'Pigs Cost'!O27</f>
        <v>#REF!</v>
      </c>
      <c r="P27" s="47" t="e">
        <f>'Pigs Cost'!P27</f>
        <v>#REF!</v>
      </c>
      <c r="Q27" s="47">
        <f>'[5]Outgrower pigs Sept07 TRADE WIN'!$H36</f>
        <v>102563052588.38162</v>
      </c>
      <c r="R27" s="28" t="e">
        <f>M27+O27+P27+Q27</f>
        <v>#REF!</v>
      </c>
      <c r="S27" s="300"/>
      <c r="T27" s="300"/>
    </row>
    <row r="28" spans="1:20" s="2" customFormat="1">
      <c r="A28" s="2172" t="s">
        <v>111</v>
      </c>
      <c r="B28" s="1657" t="s">
        <v>106</v>
      </c>
      <c r="C28" s="26">
        <f>'Pigs Cost'!C28</f>
        <v>0</v>
      </c>
      <c r="D28" s="26">
        <f>'Pigs Cost'!D28</f>
        <v>0</v>
      </c>
      <c r="E28" s="26" t="e">
        <f>'Pigs Cost'!E28</f>
        <v>#REF!</v>
      </c>
      <c r="F28" s="26">
        <f>'Pigs Cost'!F28</f>
        <v>0</v>
      </c>
      <c r="G28" s="26">
        <f>'Pigs Cost'!G28</f>
        <v>0</v>
      </c>
      <c r="H28" s="26">
        <f>'Pigs Cost'!H28</f>
        <v>0</v>
      </c>
      <c r="I28" s="26">
        <f>'Pigs Cost'!I28</f>
        <v>0</v>
      </c>
      <c r="J28" s="26">
        <f>'Pigs Cost'!J28</f>
        <v>0</v>
      </c>
      <c r="K28" s="26" t="e">
        <f>'Pigs Cost'!K28</f>
        <v>#REF!</v>
      </c>
      <c r="L28" s="26">
        <f>'Pigs Cost'!L28</f>
        <v>0</v>
      </c>
      <c r="M28" s="47"/>
      <c r="N28" s="47">
        <f>'Pigs Cost'!N28</f>
        <v>0</v>
      </c>
      <c r="O28" s="47" t="e">
        <f>'Pigs Cost'!O28</f>
        <v>#REF!</v>
      </c>
      <c r="P28" s="47" t="e">
        <f>'Pigs Cost'!P28</f>
        <v>#REF!</v>
      </c>
      <c r="Q28" s="47">
        <f>'[5]Outgrower pigs Sept07 TRADE WIN'!$H37</f>
        <v>0</v>
      </c>
      <c r="R28" s="28" t="e">
        <f>M28+O28+P28+Q28</f>
        <v>#REF!</v>
      </c>
      <c r="S28" s="300"/>
      <c r="T28" s="300"/>
    </row>
    <row r="29" spans="1:20">
      <c r="A29" s="2172" t="s">
        <v>112</v>
      </c>
      <c r="B29" s="54" t="s">
        <v>106</v>
      </c>
      <c r="C29" s="26">
        <f>'Pigs Cost'!C29</f>
        <v>0</v>
      </c>
      <c r="D29" s="26">
        <f>'Pigs Cost'!D29</f>
        <v>0</v>
      </c>
      <c r="E29" s="26">
        <f>'Pigs Cost'!E29</f>
        <v>0</v>
      </c>
      <c r="F29" s="26">
        <f>'Pigs Cost'!F29</f>
        <v>0</v>
      </c>
      <c r="G29" s="26">
        <f>'Pigs Cost'!G29</f>
        <v>0</v>
      </c>
      <c r="H29" s="26" t="e">
        <f>'Pigs Cost'!H29</f>
        <v>#REF!</v>
      </c>
      <c r="I29" s="26">
        <f>'Pigs Cost'!I29</f>
        <v>0</v>
      </c>
      <c r="J29" s="26">
        <f>'Pigs Cost'!J29</f>
        <v>0</v>
      </c>
      <c r="K29" s="26" t="e">
        <f>'Pigs Cost'!K29</f>
        <v>#REF!</v>
      </c>
      <c r="L29" s="26">
        <f>'Pigs Cost'!L29</f>
        <v>0</v>
      </c>
      <c r="M29" s="47" t="e">
        <f t="shared" si="4"/>
        <v>#REF!</v>
      </c>
      <c r="N29" s="47">
        <f>'Pigs Cost'!N29</f>
        <v>0</v>
      </c>
      <c r="O29" s="47" t="e">
        <f>'Pigs Cost'!O29</f>
        <v>#REF!</v>
      </c>
      <c r="P29" s="47" t="e">
        <f>'Pigs Cost'!P29</f>
        <v>#REF!</v>
      </c>
      <c r="Q29" s="47">
        <f>'[5]Outgrower pigs Sept07 TRADE WIN'!$H38</f>
        <v>0</v>
      </c>
      <c r="R29" s="28" t="e">
        <f>M29+O29+P29+Q29</f>
        <v>#REF!</v>
      </c>
    </row>
    <row r="30" spans="1:20" ht="13.9" thickBot="1">
      <c r="A30" s="2174" t="s">
        <v>113</v>
      </c>
      <c r="B30" s="971"/>
      <c r="C30" s="26">
        <f>'Pigs Cost'!C30</f>
        <v>0</v>
      </c>
      <c r="D30" s="26">
        <f>'Pigs Cost'!D30</f>
        <v>0</v>
      </c>
      <c r="E30" s="26" t="e">
        <f>'Pigs Cost'!E30</f>
        <v>#REF!</v>
      </c>
      <c r="F30" s="26">
        <f>'Pigs Cost'!F30</f>
        <v>0</v>
      </c>
      <c r="G30" s="26">
        <f>'Pigs Cost'!G30</f>
        <v>0</v>
      </c>
      <c r="H30" s="26">
        <f>'Pigs Cost'!H30</f>
        <v>0</v>
      </c>
      <c r="I30" s="26">
        <f>'Pigs Cost'!I30</f>
        <v>0</v>
      </c>
      <c r="J30" s="26">
        <f>'Pigs Cost'!J30</f>
        <v>0</v>
      </c>
      <c r="K30" s="26" t="e">
        <f>'Pigs Cost'!K30</f>
        <v>#REF!</v>
      </c>
      <c r="L30" s="26">
        <f>'Pigs Cost'!L30</f>
        <v>0</v>
      </c>
      <c r="M30" s="47" t="e">
        <f t="shared" si="4"/>
        <v>#REF!</v>
      </c>
      <c r="N30" s="47">
        <f>'Pigs Cost'!N30</f>
        <v>0</v>
      </c>
      <c r="O30" s="47" t="e">
        <f>'Pigs Cost'!O30</f>
        <v>#REF!</v>
      </c>
      <c r="P30" s="47">
        <f>'Pigs Cost'!P30</f>
        <v>0</v>
      </c>
      <c r="Q30" s="47">
        <f>'[5]Outgrower pigs Sept07 TRADE WIN'!$H39</f>
        <v>0</v>
      </c>
      <c r="R30" s="2175" t="e">
        <f>SUM(C30:L30)</f>
        <v>#REF!</v>
      </c>
    </row>
    <row r="31" spans="1:20" ht="13.9" thickBot="1">
      <c r="A31" s="3" t="s">
        <v>115</v>
      </c>
      <c r="B31" s="55"/>
      <c r="C31" s="36">
        <f t="shared" ref="C31:R31" si="5">SUM(C25:C30)</f>
        <v>14341695586.879185</v>
      </c>
      <c r="D31" s="56">
        <f t="shared" si="5"/>
        <v>0</v>
      </c>
      <c r="E31" s="56" t="e">
        <f>SUM(E25:E29)</f>
        <v>#REF!</v>
      </c>
      <c r="F31" s="56">
        <f t="shared" si="5"/>
        <v>0</v>
      </c>
      <c r="G31" s="56" t="e">
        <f t="shared" si="5"/>
        <v>#REF!</v>
      </c>
      <c r="H31" s="56" t="e">
        <f t="shared" si="5"/>
        <v>#REF!</v>
      </c>
      <c r="I31" s="56" t="e">
        <f t="shared" si="5"/>
        <v>#REF!</v>
      </c>
      <c r="J31" s="56" t="e">
        <f t="shared" si="5"/>
        <v>#REF!</v>
      </c>
      <c r="K31" s="56" t="e">
        <f t="shared" si="5"/>
        <v>#REF!</v>
      </c>
      <c r="L31" s="56" t="e">
        <f t="shared" si="5"/>
        <v>#REF!</v>
      </c>
      <c r="M31" s="56" t="e">
        <f>SUM(M25:M30)</f>
        <v>#REF!</v>
      </c>
      <c r="N31" s="56" t="e">
        <f>SUM(N25:N30)</f>
        <v>#REF!</v>
      </c>
      <c r="O31" s="56" t="e">
        <f>SUM(O25:O30)</f>
        <v>#REF!</v>
      </c>
      <c r="P31" s="56" t="e">
        <f>SUM(P25:P30)</f>
        <v>#REF!</v>
      </c>
      <c r="Q31" s="56">
        <f>SUM(Q25:Q30)</f>
        <v>191318549026.09515</v>
      </c>
      <c r="R31" s="56" t="e">
        <f t="shared" si="5"/>
        <v>#REF!</v>
      </c>
      <c r="S31" s="22" t="e">
        <f>'[5]Outgrower pigs Sept07 TRADE WIN'!$G$40-R31</f>
        <v>#REF!</v>
      </c>
      <c r="T31" s="22">
        <f>Q31-'[5]Outgrower pigs Sept07 TRADE WIN'!$H$40</f>
        <v>0</v>
      </c>
    </row>
    <row r="32" spans="1:20">
      <c r="A32" s="300"/>
      <c r="B32" s="300"/>
      <c r="R32" s="57"/>
    </row>
    <row r="33" spans="1:20">
      <c r="E33" s="22"/>
      <c r="L33" s="22"/>
      <c r="Q33" s="22"/>
      <c r="R33" s="22"/>
    </row>
    <row r="34" spans="1:20">
      <c r="A34" s="1" t="s">
        <v>86</v>
      </c>
      <c r="B34" s="17" t="s">
        <v>117</v>
      </c>
      <c r="O34" s="22"/>
    </row>
    <row r="35" spans="1:20" ht="13.9" thickBot="1"/>
    <row r="36" spans="1:20" s="14" customFormat="1" ht="27" thickBot="1">
      <c r="A36" s="12" t="s">
        <v>87</v>
      </c>
      <c r="B36" s="52" t="s">
        <v>88</v>
      </c>
      <c r="C36" s="15" t="s">
        <v>89</v>
      </c>
      <c r="D36" s="16" t="s">
        <v>90</v>
      </c>
      <c r="E36" s="19" t="s">
        <v>91</v>
      </c>
      <c r="F36" s="15" t="s">
        <v>92</v>
      </c>
      <c r="G36" s="15" t="s">
        <v>93</v>
      </c>
      <c r="H36" s="15" t="s">
        <v>94</v>
      </c>
      <c r="I36" s="15" t="s">
        <v>95</v>
      </c>
      <c r="J36" s="15" t="s">
        <v>96</v>
      </c>
      <c r="K36" s="15" t="s">
        <v>97</v>
      </c>
      <c r="L36" s="15" t="s">
        <v>98</v>
      </c>
      <c r="M36" s="19" t="s">
        <v>99</v>
      </c>
      <c r="N36" s="19" t="s">
        <v>100</v>
      </c>
      <c r="O36" s="19" t="s">
        <v>101</v>
      </c>
      <c r="P36" s="19" t="s">
        <v>102</v>
      </c>
      <c r="Q36" s="19" t="s">
        <v>103</v>
      </c>
      <c r="R36" s="13" t="s">
        <v>104</v>
      </c>
    </row>
    <row r="37" spans="1:20">
      <c r="A37" s="2171" t="s">
        <v>105</v>
      </c>
      <c r="B37" s="54" t="s">
        <v>106</v>
      </c>
      <c r="C37" s="26">
        <f>'Pigs Cost'!C37</f>
        <v>3105277770.635973</v>
      </c>
      <c r="D37" s="26">
        <f>'Pigs Cost'!D37</f>
        <v>0</v>
      </c>
      <c r="E37" s="26">
        <f>'Pigs Cost'!E37</f>
        <v>0</v>
      </c>
      <c r="F37" s="26" t="e">
        <f>'Pigs Cost'!F37</f>
        <v>#REF!</v>
      </c>
      <c r="G37" s="26">
        <f>'Pigs Cost'!G37</f>
        <v>0</v>
      </c>
      <c r="H37" s="26">
        <f>'Pigs Cost'!H37</f>
        <v>0</v>
      </c>
      <c r="I37" s="26">
        <f>'Pigs Cost'!I37</f>
        <v>0</v>
      </c>
      <c r="J37" s="26">
        <f>'Pigs Cost'!J37</f>
        <v>1428807106598.9849</v>
      </c>
      <c r="K37" s="26">
        <f>'Pigs Cost'!K37</f>
        <v>0</v>
      </c>
      <c r="L37" s="26">
        <f>'Pigs Cost'!L37</f>
        <v>0</v>
      </c>
      <c r="M37" s="47" t="e">
        <f t="shared" ref="M37:M42" si="6">SUM(C37:L37)</f>
        <v>#REF!</v>
      </c>
      <c r="N37" s="58" t="e">
        <f>'Pigs Cost'!N37</f>
        <v>#REF!</v>
      </c>
      <c r="O37" s="58" t="e">
        <f>'Pigs Cost'!O37</f>
        <v>#REF!</v>
      </c>
      <c r="P37" s="58" t="e">
        <f>'Pigs Cost'!P37</f>
        <v>#REF!</v>
      </c>
      <c r="Q37" s="47">
        <f>'[5]Outgrower pigs Sept 07 ZIMBO'!$H34</f>
        <v>17778681491.382984</v>
      </c>
      <c r="R37" s="28" t="e">
        <f t="shared" ref="R37:R42" si="7">M37+O37+P37+Q37</f>
        <v>#REF!</v>
      </c>
    </row>
    <row r="38" spans="1:20">
      <c r="A38" s="2172" t="s">
        <v>107</v>
      </c>
      <c r="B38" s="2173" t="s">
        <v>108</v>
      </c>
      <c r="C38" s="26">
        <f>'Pigs Cost'!C38</f>
        <v>0</v>
      </c>
      <c r="D38" s="26">
        <f>'Pigs Cost'!D38</f>
        <v>0</v>
      </c>
      <c r="E38" s="26">
        <f>'Pigs Cost'!E38</f>
        <v>0</v>
      </c>
      <c r="F38" s="26" t="e">
        <f>'Pigs Cost'!F38</f>
        <v>#REF!</v>
      </c>
      <c r="G38" s="26">
        <f>'Pigs Cost'!G38</f>
        <v>0</v>
      </c>
      <c r="H38" s="26">
        <f>'Pigs Cost'!H38</f>
        <v>0</v>
      </c>
      <c r="I38" s="26">
        <f>'Pigs Cost'!I38</f>
        <v>0</v>
      </c>
      <c r="J38" s="26">
        <f>'Pigs Cost'!J38</f>
        <v>1471065989847.7158</v>
      </c>
      <c r="K38" s="26">
        <f>'Pigs Cost'!K38</f>
        <v>0</v>
      </c>
      <c r="L38" s="26">
        <f>'Pigs Cost'!L38</f>
        <v>0</v>
      </c>
      <c r="M38" s="47" t="e">
        <f t="shared" si="6"/>
        <v>#REF!</v>
      </c>
      <c r="N38" s="58">
        <f>'Pigs Cost'!N38</f>
        <v>0</v>
      </c>
      <c r="O38" s="58">
        <f>'Pigs Cost'!O38</f>
        <v>0</v>
      </c>
      <c r="P38" s="58" t="e">
        <f>'Pigs Cost'!P38</f>
        <v>#REF!</v>
      </c>
      <c r="Q38" s="47">
        <f>'[5]Outgrower pigs Sept 07 ZIMBO'!$H35</f>
        <v>34863215328.913727</v>
      </c>
      <c r="R38" s="28" t="e">
        <f t="shared" si="7"/>
        <v>#REF!</v>
      </c>
    </row>
    <row r="39" spans="1:20">
      <c r="A39" s="2172" t="s">
        <v>109</v>
      </c>
      <c r="B39" s="2173" t="s">
        <v>110</v>
      </c>
      <c r="C39" s="26">
        <f>'Pigs Cost'!C39</f>
        <v>-5.9604644775390627E-18</v>
      </c>
      <c r="D39" s="26">
        <f>'Pigs Cost'!D39</f>
        <v>0</v>
      </c>
      <c r="E39" s="26">
        <f>'Pigs Cost'!E39</f>
        <v>0</v>
      </c>
      <c r="F39" s="26" t="e">
        <f>'Pigs Cost'!F39</f>
        <v>#REF!</v>
      </c>
      <c r="G39" s="26">
        <f>'Pigs Cost'!G39</f>
        <v>0</v>
      </c>
      <c r="H39" s="26">
        <f>'Pigs Cost'!H39</f>
        <v>0</v>
      </c>
      <c r="I39" s="26">
        <f>'Pigs Cost'!I39</f>
        <v>0</v>
      </c>
      <c r="J39" s="26">
        <f>'Pigs Cost'!J39</f>
        <v>2800126903553.2993</v>
      </c>
      <c r="K39" s="26">
        <f>'Pigs Cost'!K39</f>
        <v>0</v>
      </c>
      <c r="L39" s="26">
        <f>'Pigs Cost'!L39</f>
        <v>0</v>
      </c>
      <c r="M39" s="47" t="e">
        <f t="shared" si="6"/>
        <v>#REF!</v>
      </c>
      <c r="N39" s="58">
        <f>'Pigs Cost'!N39</f>
        <v>0</v>
      </c>
      <c r="O39" s="58">
        <f>'Pigs Cost'!O39</f>
        <v>0</v>
      </c>
      <c r="P39" s="58" t="e">
        <f>'Pigs Cost'!P39</f>
        <v>#REF!</v>
      </c>
      <c r="Q39" s="47">
        <f>'[5]Outgrower pigs Sept 07 ZIMBO'!$H36</f>
        <v>0</v>
      </c>
      <c r="R39" s="28" t="e">
        <f t="shared" si="7"/>
        <v>#REF!</v>
      </c>
    </row>
    <row r="40" spans="1:20">
      <c r="A40" s="2172" t="s">
        <v>111</v>
      </c>
      <c r="B40" s="1657" t="s">
        <v>106</v>
      </c>
      <c r="C40" s="26">
        <f>'Pigs Cost'!C40</f>
        <v>0</v>
      </c>
      <c r="D40" s="26">
        <f>'Pigs Cost'!D40</f>
        <v>0</v>
      </c>
      <c r="E40" s="26" t="e">
        <f>'Pigs Cost'!E40</f>
        <v>#REF!</v>
      </c>
      <c r="F40" s="26" t="e">
        <f>'Pigs Cost'!F40</f>
        <v>#REF!</v>
      </c>
      <c r="G40" s="26">
        <f>'Pigs Cost'!G40</f>
        <v>0</v>
      </c>
      <c r="H40" s="26">
        <f>'Pigs Cost'!H40</f>
        <v>0</v>
      </c>
      <c r="I40" s="26">
        <f>'Pigs Cost'!I40</f>
        <v>0</v>
      </c>
      <c r="J40" s="26">
        <f>'Pigs Cost'!J40</f>
        <v>0</v>
      </c>
      <c r="K40" s="26">
        <f>'Pigs Cost'!K40</f>
        <v>0</v>
      </c>
      <c r="L40" s="26">
        <f>'Pigs Cost'!L40</f>
        <v>0</v>
      </c>
      <c r="M40" s="47" t="e">
        <f t="shared" si="6"/>
        <v>#REF!</v>
      </c>
      <c r="N40" s="58" t="e">
        <f>'Pigs Cost'!N40</f>
        <v>#REF!</v>
      </c>
      <c r="O40" s="58" t="e">
        <f>'Pigs Cost'!O40</f>
        <v>#REF!</v>
      </c>
      <c r="P40" s="58" t="e">
        <f>'Pigs Cost'!P40</f>
        <v>#REF!</v>
      </c>
      <c r="Q40" s="47">
        <f>'[5]Outgrower pigs Sept 07 ZIMBO'!$H37</f>
        <v>1001399464.6541862</v>
      </c>
      <c r="R40" s="28" t="e">
        <f t="shared" si="7"/>
        <v>#REF!</v>
      </c>
    </row>
    <row r="41" spans="1:20">
      <c r="A41" s="2172" t="s">
        <v>112</v>
      </c>
      <c r="B41" s="54" t="s">
        <v>106</v>
      </c>
      <c r="C41" s="26">
        <f>'Pigs Cost'!C41</f>
        <v>146128.32980509955</v>
      </c>
      <c r="D41" s="26">
        <f>'Pigs Cost'!D41</f>
        <v>0</v>
      </c>
      <c r="E41" s="26" t="e">
        <f>'Pigs Cost'!E41</f>
        <v>#REF!</v>
      </c>
      <c r="F41" s="26" t="e">
        <f>'Pigs Cost'!F41</f>
        <v>#REF!</v>
      </c>
      <c r="G41" s="26">
        <f>'Pigs Cost'!G41</f>
        <v>0</v>
      </c>
      <c r="H41" s="26">
        <f>'Pigs Cost'!H41</f>
        <v>0</v>
      </c>
      <c r="I41" s="26">
        <f>'Pigs Cost'!I41</f>
        <v>0</v>
      </c>
      <c r="J41" s="26">
        <f>'Pigs Cost'!J41</f>
        <v>0</v>
      </c>
      <c r="K41" s="26">
        <f>'Pigs Cost'!K41</f>
        <v>0</v>
      </c>
      <c r="L41" s="26">
        <f>'Pigs Cost'!L41</f>
        <v>0</v>
      </c>
      <c r="M41" s="47" t="e">
        <f t="shared" si="6"/>
        <v>#REF!</v>
      </c>
      <c r="N41" s="58" t="e">
        <f>'Pigs Cost'!N41</f>
        <v>#REF!</v>
      </c>
      <c r="O41" s="58" t="e">
        <f>'Pigs Cost'!O41</f>
        <v>#REF!</v>
      </c>
      <c r="P41" s="58" t="e">
        <f>'Pigs Cost'!P41</f>
        <v>#REF!</v>
      </c>
      <c r="Q41" s="47">
        <f>'[5]Outgrower pigs Sept 07 ZIMBO'!$H38</f>
        <v>94184318515.258484</v>
      </c>
      <c r="R41" s="28" t="e">
        <f t="shared" si="7"/>
        <v>#REF!</v>
      </c>
    </row>
    <row r="42" spans="1:20" ht="13.9" thickBot="1">
      <c r="A42" s="2174" t="s">
        <v>113</v>
      </c>
      <c r="B42" s="971"/>
      <c r="C42" s="26">
        <f>'Pigs Cost'!C42</f>
        <v>1.3277874089075804E-2</v>
      </c>
      <c r="D42" s="26">
        <f>'Pigs Cost'!D42</f>
        <v>0</v>
      </c>
      <c r="E42" s="26">
        <f>'Pigs Cost'!E42</f>
        <v>0</v>
      </c>
      <c r="F42" s="26">
        <f>'Pigs Cost'!F42</f>
        <v>0</v>
      </c>
      <c r="G42" s="26">
        <f>'Pigs Cost'!G42</f>
        <v>0</v>
      </c>
      <c r="H42" s="26">
        <f>'Pigs Cost'!H42</f>
        <v>0</v>
      </c>
      <c r="I42" s="26">
        <f>'Pigs Cost'!I42</f>
        <v>0</v>
      </c>
      <c r="J42" s="26">
        <f>'Pigs Cost'!J42</f>
        <v>0</v>
      </c>
      <c r="K42" s="26">
        <f>'Pigs Cost'!K42</f>
        <v>0</v>
      </c>
      <c r="L42" s="26">
        <f>'Pigs Cost'!L42</f>
        <v>0</v>
      </c>
      <c r="M42" s="47">
        <f t="shared" si="6"/>
        <v>1.3277874089075804E-2</v>
      </c>
      <c r="N42" s="58" t="e">
        <f>'Pigs Cost'!N42</f>
        <v>#REF!</v>
      </c>
      <c r="O42" s="58" t="e">
        <f>'Pigs Cost'!O42</f>
        <v>#REF!</v>
      </c>
      <c r="P42" s="58" t="e">
        <f>'Pigs Cost'!P42</f>
        <v>#REF!</v>
      </c>
      <c r="Q42" s="47">
        <f>'[5]Outgrower pigs Sept 07 ZIMBO'!$H39</f>
        <v>1129930082.5813057</v>
      </c>
      <c r="R42" s="28" t="e">
        <f t="shared" si="7"/>
        <v>#REF!</v>
      </c>
    </row>
    <row r="43" spans="1:20" ht="13.9" thickBot="1">
      <c r="A43" s="3" t="s">
        <v>115</v>
      </c>
      <c r="B43" s="55"/>
      <c r="C43" s="36">
        <f t="shared" ref="C43:R43" si="8">SUM(C37:C42)</f>
        <v>3105423898.9790559</v>
      </c>
      <c r="D43" s="56">
        <f t="shared" si="8"/>
        <v>0</v>
      </c>
      <c r="E43" s="56" t="e">
        <f>SUM(E37:E41)</f>
        <v>#REF!</v>
      </c>
      <c r="F43" s="56" t="e">
        <f t="shared" si="8"/>
        <v>#REF!</v>
      </c>
      <c r="G43" s="56">
        <f t="shared" si="8"/>
        <v>0</v>
      </c>
      <c r="H43" s="56">
        <f t="shared" si="8"/>
        <v>0</v>
      </c>
      <c r="I43" s="56">
        <f t="shared" si="8"/>
        <v>0</v>
      </c>
      <c r="J43" s="56">
        <f t="shared" si="8"/>
        <v>5700000000000</v>
      </c>
      <c r="K43" s="56">
        <f t="shared" si="8"/>
        <v>0</v>
      </c>
      <c r="L43" s="56">
        <f t="shared" si="8"/>
        <v>0</v>
      </c>
      <c r="M43" s="56" t="e">
        <f t="shared" si="8"/>
        <v>#REF!</v>
      </c>
      <c r="N43" s="56" t="e">
        <f t="shared" si="8"/>
        <v>#REF!</v>
      </c>
      <c r="O43" s="56" t="e">
        <f t="shared" si="8"/>
        <v>#REF!</v>
      </c>
      <c r="P43" s="56" t="e">
        <f t="shared" si="8"/>
        <v>#REF!</v>
      </c>
      <c r="Q43" s="56">
        <f t="shared" si="8"/>
        <v>148957544882.79068</v>
      </c>
      <c r="R43" s="56" t="e">
        <f t="shared" si="8"/>
        <v>#REF!</v>
      </c>
      <c r="S43" s="22" t="e">
        <f>R43-'[5]Outgrower pigs Sept 07 ZIMBO'!$G$40</f>
        <v>#REF!</v>
      </c>
      <c r="T43" s="22">
        <f>Q43-'[5]Outgrower pigs Sept 07 ZIMBO'!$H$40</f>
        <v>0</v>
      </c>
    </row>
    <row r="44" spans="1:20">
      <c r="A44" s="1"/>
      <c r="B44" s="1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>
        <f>Q43-'[5]Outgrower pigs Sept 07 ZIMBO'!$H$40</f>
        <v>0</v>
      </c>
      <c r="R44" s="45"/>
    </row>
    <row r="45" spans="1:20" ht="16.5" hidden="1" customHeight="1">
      <c r="A45" s="1"/>
      <c r="B45" s="1"/>
      <c r="C45" s="45"/>
      <c r="D45" s="45"/>
      <c r="E45" s="45"/>
      <c r="F45" s="45"/>
      <c r="G45" s="45"/>
      <c r="H45" s="45"/>
      <c r="I45" s="45"/>
      <c r="J45" s="45"/>
      <c r="K45" s="45"/>
      <c r="L45" s="45">
        <f>+(G43+H43+I43+K43+L43+J43)-H107</f>
        <v>5699980512623</v>
      </c>
      <c r="M45" s="45"/>
      <c r="N45" s="45"/>
      <c r="O45" s="45"/>
      <c r="P45" s="45"/>
      <c r="Q45" s="45"/>
      <c r="R45" s="45"/>
    </row>
    <row r="46" spans="1:20" ht="16.5" hidden="1" customHeight="1">
      <c r="A46" s="1"/>
      <c r="B46" s="1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</row>
    <row r="47" spans="1:20" hidden="1">
      <c r="A47" s="300"/>
      <c r="B47" s="300"/>
    </row>
    <row r="48" spans="1:20">
      <c r="L48" s="22" t="e">
        <f>+(L43+K43+J43+I43+H43+G43+F43)-H107</f>
        <v>#REF!</v>
      </c>
    </row>
    <row r="49" spans="1:20">
      <c r="A49" s="1" t="s">
        <v>86</v>
      </c>
      <c r="B49" s="17" t="s">
        <v>118</v>
      </c>
      <c r="E49" s="22"/>
    </row>
    <row r="50" spans="1:20" ht="13.9" thickBot="1"/>
    <row r="51" spans="1:20" s="14" customFormat="1" ht="27" thickBot="1">
      <c r="A51" s="12" t="s">
        <v>87</v>
      </c>
      <c r="B51" s="52" t="s">
        <v>88</v>
      </c>
      <c r="C51" s="15" t="s">
        <v>89</v>
      </c>
      <c r="D51" s="16" t="s">
        <v>90</v>
      </c>
      <c r="E51" s="19" t="s">
        <v>91</v>
      </c>
      <c r="F51" s="15" t="s">
        <v>92</v>
      </c>
      <c r="G51" s="15" t="s">
        <v>93</v>
      </c>
      <c r="H51" s="15" t="s">
        <v>94</v>
      </c>
      <c r="I51" s="15" t="s">
        <v>95</v>
      </c>
      <c r="J51" s="15" t="s">
        <v>96</v>
      </c>
      <c r="K51" s="15" t="s">
        <v>97</v>
      </c>
      <c r="L51" s="15" t="s">
        <v>98</v>
      </c>
      <c r="M51" s="19" t="s">
        <v>99</v>
      </c>
      <c r="N51" s="19" t="s">
        <v>100</v>
      </c>
      <c r="O51" s="19" t="s">
        <v>101</v>
      </c>
      <c r="P51" s="19" t="s">
        <v>102</v>
      </c>
      <c r="Q51" s="19" t="s">
        <v>103</v>
      </c>
      <c r="R51" s="13" t="s">
        <v>104</v>
      </c>
    </row>
    <row r="52" spans="1:20">
      <c r="A52" s="2171" t="s">
        <v>105</v>
      </c>
      <c r="B52" s="54" t="s">
        <v>106</v>
      </c>
      <c r="C52" s="26">
        <f>'Pigs Cost'!C52</f>
        <v>17388984283.731728</v>
      </c>
      <c r="D52" s="26">
        <f>'Pigs Cost'!D52</f>
        <v>0</v>
      </c>
      <c r="E52" s="26" t="e">
        <f>'Pigs Cost'!E52</f>
        <v>#REF!</v>
      </c>
      <c r="F52" s="26">
        <f>'Pigs Cost'!F52</f>
        <v>0</v>
      </c>
      <c r="G52" s="26">
        <f>'Pigs Cost'!G52</f>
        <v>0</v>
      </c>
      <c r="H52" s="26">
        <f>'Pigs Cost'!H52</f>
        <v>0</v>
      </c>
      <c r="I52" s="26">
        <f>'Pigs Cost'!I52</f>
        <v>0</v>
      </c>
      <c r="J52" s="26">
        <f>'Pigs Cost'!J52</f>
        <v>3720239848516.7261</v>
      </c>
      <c r="K52" s="26">
        <f>'Pigs Cost'!K52</f>
        <v>0</v>
      </c>
      <c r="L52" s="26">
        <f>'Pigs Cost'!L52</f>
        <v>0</v>
      </c>
      <c r="M52" s="47" t="e">
        <f t="shared" ref="M52:M57" si="9">SUM(C52:L52)</f>
        <v>#REF!</v>
      </c>
      <c r="N52" s="58" t="e">
        <f>'Pigs Cost'!N52</f>
        <v>#REF!</v>
      </c>
      <c r="O52" s="58" t="e">
        <f>'Pigs Cost'!O52</f>
        <v>#REF!</v>
      </c>
      <c r="P52" s="58">
        <f>'Pigs Cost'!P52</f>
        <v>0</v>
      </c>
      <c r="Q52" s="47">
        <f>'[5]Outgrower pigs Sept 07 ROGATE'!$H34</f>
        <v>24606319529.8409</v>
      </c>
      <c r="R52" s="28" t="e">
        <f>M52+O52+P52+Q52</f>
        <v>#REF!</v>
      </c>
    </row>
    <row r="53" spans="1:20">
      <c r="A53" s="2172" t="s">
        <v>107</v>
      </c>
      <c r="B53" s="2173" t="s">
        <v>108</v>
      </c>
      <c r="C53" s="26">
        <f>'Pigs Cost'!C53</f>
        <v>3811887772.659421</v>
      </c>
      <c r="D53" s="26">
        <f>'Pigs Cost'!D53</f>
        <v>0</v>
      </c>
      <c r="E53" s="26" t="e">
        <f>'Pigs Cost'!E53</f>
        <v>#REF!</v>
      </c>
      <c r="F53" s="26">
        <f>'Pigs Cost'!F53</f>
        <v>0</v>
      </c>
      <c r="G53" s="26">
        <f>'Pigs Cost'!G53</f>
        <v>0</v>
      </c>
      <c r="H53" s="26">
        <f>'Pigs Cost'!H53</f>
        <v>0</v>
      </c>
      <c r="I53" s="26">
        <f>'Pigs Cost'!I53</f>
        <v>0</v>
      </c>
      <c r="J53" s="26">
        <f>'Pigs Cost'!J53</f>
        <v>2330696402272.249</v>
      </c>
      <c r="K53" s="26">
        <f>'Pigs Cost'!K53</f>
        <v>0</v>
      </c>
      <c r="L53" s="26">
        <f>'Pigs Cost'!L53</f>
        <v>0</v>
      </c>
      <c r="M53" s="47" t="e">
        <f t="shared" si="9"/>
        <v>#REF!</v>
      </c>
      <c r="N53" s="58" t="e">
        <f>'Pigs Cost'!N53</f>
        <v>#REF!</v>
      </c>
      <c r="O53" s="58" t="e">
        <f>'Pigs Cost'!O53</f>
        <v>#REF!</v>
      </c>
      <c r="P53" s="58">
        <f>'Pigs Cost'!P53</f>
        <v>0</v>
      </c>
      <c r="Q53" s="47">
        <f>'[5]Outgrower pigs Sept 07 ROGATE'!$H35</f>
        <v>99324082561.588837</v>
      </c>
      <c r="R53" s="28" t="e">
        <f>M53+O53+P53+Q53</f>
        <v>#REF!</v>
      </c>
    </row>
    <row r="54" spans="1:20">
      <c r="A54" s="2172" t="s">
        <v>109</v>
      </c>
      <c r="B54" s="2173" t="s">
        <v>110</v>
      </c>
      <c r="C54" s="26">
        <f>'Pigs Cost'!C54</f>
        <v>12994808431.52869</v>
      </c>
      <c r="D54" s="26">
        <f>'Pigs Cost'!D54</f>
        <v>0</v>
      </c>
      <c r="E54" s="26" t="e">
        <f>'Pigs Cost'!E54</f>
        <v>#REF!</v>
      </c>
      <c r="F54" s="26">
        <f>'Pigs Cost'!F54</f>
        <v>0</v>
      </c>
      <c r="G54" s="26">
        <f>'Pigs Cost'!G54</f>
        <v>0</v>
      </c>
      <c r="H54" s="26">
        <f>'Pigs Cost'!H54</f>
        <v>0</v>
      </c>
      <c r="I54" s="26">
        <f>'Pigs Cost'!I54</f>
        <v>0</v>
      </c>
      <c r="J54" s="26">
        <f>'Pigs Cost'!J54</f>
        <v>5049063749211.0244</v>
      </c>
      <c r="K54" s="26">
        <f>'Pigs Cost'!K54</f>
        <v>0</v>
      </c>
      <c r="L54" s="26">
        <f>'Pigs Cost'!L54</f>
        <v>0</v>
      </c>
      <c r="M54" s="47" t="e">
        <f t="shared" si="9"/>
        <v>#REF!</v>
      </c>
      <c r="N54" s="58" t="e">
        <f>'Pigs Cost'!N54</f>
        <v>#REF!</v>
      </c>
      <c r="O54" s="58" t="e">
        <f>'Pigs Cost'!O54</f>
        <v>#REF!</v>
      </c>
      <c r="P54" s="58" t="e">
        <f>'Pigs Cost'!P54</f>
        <v>#REF!</v>
      </c>
      <c r="Q54" s="47">
        <f>'[5]Outgrower pigs Sept 07 ROGATE'!$H36</f>
        <v>214490393074.75269</v>
      </c>
      <c r="R54" s="28" t="e">
        <f>M54+O54+P54+Q54</f>
        <v>#REF!</v>
      </c>
    </row>
    <row r="55" spans="1:20">
      <c r="A55" s="2172" t="s">
        <v>111</v>
      </c>
      <c r="B55" s="1657" t="s">
        <v>106</v>
      </c>
      <c r="C55" s="26">
        <f>'Pigs Cost'!C55</f>
        <v>113972260.50667834</v>
      </c>
      <c r="D55" s="26">
        <f>'Pigs Cost'!D55</f>
        <v>0</v>
      </c>
      <c r="E55" s="26" t="e">
        <f>'Pigs Cost'!E55</f>
        <v>#REF!</v>
      </c>
      <c r="F55" s="26">
        <f>'Pigs Cost'!F55</f>
        <v>0</v>
      </c>
      <c r="G55" s="26">
        <f>'Pigs Cost'!G55</f>
        <v>0</v>
      </c>
      <c r="H55" s="26">
        <f>'Pigs Cost'!H55</f>
        <v>0</v>
      </c>
      <c r="I55" s="26">
        <f>'Pigs Cost'!I55</f>
        <v>0</v>
      </c>
      <c r="J55" s="26">
        <f>'Pigs Cost'!J55</f>
        <v>0</v>
      </c>
      <c r="K55" s="26">
        <f>'Pigs Cost'!K55</f>
        <v>0</v>
      </c>
      <c r="L55" s="26">
        <f>'Pigs Cost'!L55</f>
        <v>0</v>
      </c>
      <c r="M55" s="47" t="e">
        <f t="shared" si="9"/>
        <v>#REF!</v>
      </c>
      <c r="N55" s="58" t="e">
        <f>'Pigs Cost'!N55</f>
        <v>#REF!</v>
      </c>
      <c r="O55" s="58" t="e">
        <f>'Pigs Cost'!O55</f>
        <v>#REF!</v>
      </c>
      <c r="P55" s="58" t="e">
        <f>'Pigs Cost'!P55</f>
        <v>#REF!</v>
      </c>
      <c r="Q55" s="47">
        <f>'[5]Outgrower pigs Sept 07 ROGATE'!$H37</f>
        <v>35610469207.856155</v>
      </c>
      <c r="R55" s="28" t="e">
        <f>M55+O55+P55+Q55</f>
        <v>#REF!</v>
      </c>
    </row>
    <row r="56" spans="1:20">
      <c r="A56" s="2172" t="s">
        <v>112</v>
      </c>
      <c r="B56" s="54" t="s">
        <v>106</v>
      </c>
      <c r="C56" s="26">
        <f>'Pigs Cost'!C56</f>
        <v>1442987682.1208735</v>
      </c>
      <c r="D56" s="26">
        <f>'Pigs Cost'!D56</f>
        <v>0</v>
      </c>
      <c r="E56" s="26" t="e">
        <f>'Pigs Cost'!E56</f>
        <v>#REF!</v>
      </c>
      <c r="F56" s="26">
        <f>'Pigs Cost'!F56</f>
        <v>0</v>
      </c>
      <c r="G56" s="26">
        <f>'Pigs Cost'!G56</f>
        <v>0</v>
      </c>
      <c r="H56" s="26">
        <f>'Pigs Cost'!H56</f>
        <v>0</v>
      </c>
      <c r="I56" s="26">
        <f>'Pigs Cost'!I56</f>
        <v>0</v>
      </c>
      <c r="J56" s="26">
        <f>'Pigs Cost'!J56</f>
        <v>0</v>
      </c>
      <c r="K56" s="26">
        <f>'Pigs Cost'!K56</f>
        <v>0</v>
      </c>
      <c r="L56" s="26">
        <f>'Pigs Cost'!L56</f>
        <v>0</v>
      </c>
      <c r="M56" s="47" t="e">
        <f t="shared" si="9"/>
        <v>#REF!</v>
      </c>
      <c r="N56" s="58" t="e">
        <f>'Pigs Cost'!N56</f>
        <v>#REF!</v>
      </c>
      <c r="O56" s="58" t="e">
        <f>'Pigs Cost'!O56</f>
        <v>#REF!</v>
      </c>
      <c r="P56" s="58" t="e">
        <f>'Pigs Cost'!P56</f>
        <v>#REF!</v>
      </c>
      <c r="Q56" s="47">
        <f>'[5]Outgrower pigs Sept 07 ROGATE'!$H38</f>
        <v>110639532407.43034</v>
      </c>
      <c r="R56" s="28" t="e">
        <f>M56+P56+O56+Q56</f>
        <v>#REF!</v>
      </c>
    </row>
    <row r="57" spans="1:20" ht="13.9" thickBot="1">
      <c r="A57" s="2174" t="s">
        <v>113</v>
      </c>
      <c r="B57" s="971"/>
      <c r="C57" s="26">
        <f>'Pigs Cost'!C57</f>
        <v>7.4705426124956911E-2</v>
      </c>
      <c r="D57" s="26">
        <f>'Pigs Cost'!D57</f>
        <v>0</v>
      </c>
      <c r="E57" s="26" t="e">
        <f>'Pigs Cost'!E57</f>
        <v>#REF!</v>
      </c>
      <c r="F57" s="26">
        <f>'Pigs Cost'!F57</f>
        <v>0</v>
      </c>
      <c r="G57" s="26">
        <f>'Pigs Cost'!G57</f>
        <v>0</v>
      </c>
      <c r="H57" s="26">
        <f>'Pigs Cost'!H57</f>
        <v>0</v>
      </c>
      <c r="I57" s="26">
        <f>'Pigs Cost'!I57</f>
        <v>0</v>
      </c>
      <c r="J57" s="26">
        <f>'Pigs Cost'!J57</f>
        <v>0</v>
      </c>
      <c r="K57" s="26">
        <f>'Pigs Cost'!K57</f>
        <v>0</v>
      </c>
      <c r="L57" s="26">
        <f>'Pigs Cost'!L57</f>
        <v>0</v>
      </c>
      <c r="M57" s="47" t="e">
        <f t="shared" si="9"/>
        <v>#REF!</v>
      </c>
      <c r="N57" s="58" t="e">
        <f>'Pigs Cost'!N57</f>
        <v>#REF!</v>
      </c>
      <c r="O57" s="58" t="e">
        <f>'Pigs Cost'!O57</f>
        <v>#REF!</v>
      </c>
      <c r="P57" s="58" t="e">
        <f>'Pigs Cost'!P57</f>
        <v>#REF!</v>
      </c>
      <c r="Q57" s="47">
        <f>'[5]Outgrower pigs Sept 07 ROGATE'!$H39</f>
        <v>1130607307.9432838</v>
      </c>
      <c r="R57" s="28" t="e">
        <f>M57+P57+O57+Q57</f>
        <v>#REF!</v>
      </c>
    </row>
    <row r="58" spans="1:20" ht="13.9" thickBot="1">
      <c r="A58" s="3" t="s">
        <v>115</v>
      </c>
      <c r="B58" s="55"/>
      <c r="C58" s="36">
        <f>SUM(C52:C57)</f>
        <v>35752640430.622101</v>
      </c>
      <c r="D58" s="56">
        <f>SUM(D52:D57)</f>
        <v>0</v>
      </c>
      <c r="E58" s="56" t="e">
        <f>SUM(E52:E56)</f>
        <v>#REF!</v>
      </c>
      <c r="F58" s="56">
        <f t="shared" ref="F58:R58" si="10">SUM(F52:F57)</f>
        <v>0</v>
      </c>
      <c r="G58" s="56">
        <f t="shared" si="10"/>
        <v>0</v>
      </c>
      <c r="H58" s="56">
        <f t="shared" si="10"/>
        <v>0</v>
      </c>
      <c r="I58" s="56">
        <f>SUM(I52:I57)</f>
        <v>0</v>
      </c>
      <c r="J58" s="56">
        <f t="shared" si="10"/>
        <v>11100000000000</v>
      </c>
      <c r="K58" s="56">
        <f t="shared" si="10"/>
        <v>0</v>
      </c>
      <c r="L58" s="56">
        <f t="shared" si="10"/>
        <v>0</v>
      </c>
      <c r="M58" s="56" t="e">
        <f t="shared" si="10"/>
        <v>#REF!</v>
      </c>
      <c r="N58" s="56" t="e">
        <f t="shared" si="10"/>
        <v>#REF!</v>
      </c>
      <c r="O58" s="56" t="e">
        <f t="shared" si="10"/>
        <v>#REF!</v>
      </c>
      <c r="P58" s="56" t="e">
        <f t="shared" si="10"/>
        <v>#REF!</v>
      </c>
      <c r="Q58" s="56">
        <f t="shared" si="10"/>
        <v>485801404089.41223</v>
      </c>
      <c r="R58" s="56" t="e">
        <f t="shared" si="10"/>
        <v>#REF!</v>
      </c>
      <c r="S58" s="22" t="e">
        <f>R58-'[5]Outgrower pigs Sept 07 ROGATE'!$G$40</f>
        <v>#REF!</v>
      </c>
      <c r="T58" s="22">
        <f>Q58-'[5]Outgrower pigs Sept 07 ROGATE'!$H$40</f>
        <v>0</v>
      </c>
    </row>
    <row r="59" spans="1:20">
      <c r="A59" s="1"/>
      <c r="B59" s="1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>
        <f>Q58-'[6]Outgrower pigs Sept 07 ROGATE'!$H$40</f>
        <v>0</v>
      </c>
      <c r="R59" s="45"/>
    </row>
    <row r="60" spans="1:20">
      <c r="A60" s="1" t="s">
        <v>86</v>
      </c>
      <c r="B60" s="17" t="s">
        <v>119</v>
      </c>
      <c r="E60" s="22"/>
      <c r="L60" s="24">
        <f>+(G58+H58+I58+K58+L58+J58)-K107</f>
        <v>11099867973225</v>
      </c>
    </row>
    <row r="61" spans="1:20" ht="13.9" thickBot="1">
      <c r="R61" s="22"/>
    </row>
    <row r="62" spans="1:20" s="14" customFormat="1" ht="27" thickBot="1">
      <c r="A62" s="12" t="s">
        <v>87</v>
      </c>
      <c r="B62" s="52" t="s">
        <v>88</v>
      </c>
      <c r="C62" s="15" t="s">
        <v>89</v>
      </c>
      <c r="D62" s="16" t="s">
        <v>90</v>
      </c>
      <c r="E62" s="19" t="s">
        <v>91</v>
      </c>
      <c r="F62" s="15" t="s">
        <v>92</v>
      </c>
      <c r="G62" s="15" t="s">
        <v>93</v>
      </c>
      <c r="H62" s="15" t="s">
        <v>94</v>
      </c>
      <c r="I62" s="15" t="s">
        <v>95</v>
      </c>
      <c r="J62" s="15" t="s">
        <v>96</v>
      </c>
      <c r="K62" s="15" t="s">
        <v>97</v>
      </c>
      <c r="L62" s="15" t="s">
        <v>98</v>
      </c>
      <c r="M62" s="19" t="s">
        <v>99</v>
      </c>
      <c r="N62" s="19" t="s">
        <v>100</v>
      </c>
      <c r="O62" s="19" t="s">
        <v>101</v>
      </c>
      <c r="P62" s="19" t="s">
        <v>102</v>
      </c>
      <c r="Q62" s="19" t="s">
        <v>103</v>
      </c>
      <c r="R62" s="13" t="s">
        <v>104</v>
      </c>
    </row>
    <row r="63" spans="1:20">
      <c r="A63" s="2171" t="s">
        <v>105</v>
      </c>
      <c r="B63" s="54" t="s">
        <v>106</v>
      </c>
      <c r="C63" s="26">
        <f>'Pigs Cost'!C63</f>
        <v>0</v>
      </c>
      <c r="D63" s="26">
        <f>'Pigs Cost'!D63</f>
        <v>0</v>
      </c>
      <c r="E63" s="26">
        <f>'Pigs Cost'!E63</f>
        <v>0</v>
      </c>
      <c r="F63" s="26">
        <f>'Pigs Cost'!F63</f>
        <v>0</v>
      </c>
      <c r="G63" s="26">
        <f>'Pigs Cost'!G63</f>
        <v>0</v>
      </c>
      <c r="H63" s="26">
        <f>'Pigs Cost'!H63</f>
        <v>0</v>
      </c>
      <c r="I63" s="26">
        <f>'Pigs Cost'!I63</f>
        <v>0</v>
      </c>
      <c r="J63" s="26">
        <f>'Pigs Cost'!J63</f>
        <v>0</v>
      </c>
      <c r="K63" s="26">
        <f>'Pigs Cost'!K63</f>
        <v>0</v>
      </c>
      <c r="L63" s="26">
        <f>'Pigs Cost'!L63</f>
        <v>0</v>
      </c>
      <c r="M63" s="47">
        <f t="shared" ref="M63:M68" si="11">SUM(C63:L63)</f>
        <v>0</v>
      </c>
      <c r="N63" s="47">
        <f>'Pigs Cost'!N63</f>
        <v>0</v>
      </c>
      <c r="O63" s="47">
        <f>'Pigs Cost'!O63</f>
        <v>0</v>
      </c>
      <c r="P63" s="47">
        <f>'Pigs Cost'!P63</f>
        <v>0</v>
      </c>
      <c r="Q63" s="47">
        <f>'[5]Outgrower pigs Sept 07 Quaranti'!$H35</f>
        <v>0</v>
      </c>
      <c r="R63" s="28">
        <f t="shared" ref="R63:R68" si="12">M63+O63+P63+Q63</f>
        <v>0</v>
      </c>
    </row>
    <row r="64" spans="1:20">
      <c r="A64" s="2172" t="s">
        <v>107</v>
      </c>
      <c r="B64" s="2173" t="s">
        <v>108</v>
      </c>
      <c r="C64" s="26">
        <f>'Pigs Cost'!C64</f>
        <v>0</v>
      </c>
      <c r="D64" s="26">
        <f>'Pigs Cost'!D64</f>
        <v>0</v>
      </c>
      <c r="E64" s="26">
        <f>'Pigs Cost'!E64</f>
        <v>0</v>
      </c>
      <c r="F64" s="26">
        <f>'Pigs Cost'!F64</f>
        <v>0</v>
      </c>
      <c r="G64" s="26">
        <f>'Pigs Cost'!G64</f>
        <v>0</v>
      </c>
      <c r="H64" s="26">
        <f>'Pigs Cost'!H64</f>
        <v>0</v>
      </c>
      <c r="I64" s="26">
        <f>'Pigs Cost'!I64</f>
        <v>0</v>
      </c>
      <c r="J64" s="26">
        <f>'Pigs Cost'!J64</f>
        <v>0</v>
      </c>
      <c r="K64" s="26">
        <f>'Pigs Cost'!K64</f>
        <v>0</v>
      </c>
      <c r="L64" s="26">
        <f>'Pigs Cost'!L64</f>
        <v>0</v>
      </c>
      <c r="M64" s="47">
        <f t="shared" si="11"/>
        <v>0</v>
      </c>
      <c r="N64" s="47">
        <f>'Pigs Cost'!N64</f>
        <v>0</v>
      </c>
      <c r="O64" s="47">
        <f>'Pigs Cost'!O64</f>
        <v>0</v>
      </c>
      <c r="P64" s="47">
        <f>'Pigs Cost'!P64</f>
        <v>0</v>
      </c>
      <c r="Q64" s="47">
        <f>'[5]Outgrower pigs Sept 07 Quaranti'!$H36</f>
        <v>0</v>
      </c>
      <c r="R64" s="28">
        <f t="shared" si="12"/>
        <v>0</v>
      </c>
    </row>
    <row r="65" spans="1:20">
      <c r="A65" s="2172" t="s">
        <v>109</v>
      </c>
      <c r="B65" s="2173" t="s">
        <v>110</v>
      </c>
      <c r="C65" s="26">
        <f>'Pigs Cost'!C65</f>
        <v>0</v>
      </c>
      <c r="D65" s="26">
        <f>'Pigs Cost'!D65</f>
        <v>0</v>
      </c>
      <c r="E65" s="26">
        <f>'Pigs Cost'!E65</f>
        <v>0</v>
      </c>
      <c r="F65" s="26">
        <f>'Pigs Cost'!F65</f>
        <v>0</v>
      </c>
      <c r="G65" s="26">
        <f>'Pigs Cost'!G65</f>
        <v>0</v>
      </c>
      <c r="H65" s="26">
        <f>'Pigs Cost'!H65</f>
        <v>0</v>
      </c>
      <c r="I65" s="26">
        <f>'Pigs Cost'!I65</f>
        <v>0</v>
      </c>
      <c r="J65" s="26">
        <f>'Pigs Cost'!J65</f>
        <v>0</v>
      </c>
      <c r="K65" s="26">
        <f>'Pigs Cost'!K65</f>
        <v>0</v>
      </c>
      <c r="L65" s="26">
        <f>'Pigs Cost'!L65</f>
        <v>0</v>
      </c>
      <c r="M65" s="47">
        <f t="shared" si="11"/>
        <v>0</v>
      </c>
      <c r="N65" s="47">
        <f>'Pigs Cost'!N65</f>
        <v>0</v>
      </c>
      <c r="O65" s="47">
        <f>'Pigs Cost'!O65</f>
        <v>0</v>
      </c>
      <c r="P65" s="47">
        <f>'Pigs Cost'!P65</f>
        <v>0</v>
      </c>
      <c r="Q65" s="47">
        <f>'[5]Outgrower pigs Sept 07 Quaranti'!$H37</f>
        <v>0</v>
      </c>
      <c r="R65" s="28">
        <f t="shared" si="12"/>
        <v>0</v>
      </c>
    </row>
    <row r="66" spans="1:20">
      <c r="A66" s="2172" t="s">
        <v>111</v>
      </c>
      <c r="B66" s="1657" t="s">
        <v>106</v>
      </c>
      <c r="C66" s="26">
        <f>'Pigs Cost'!C66</f>
        <v>1322329.6485521081</v>
      </c>
      <c r="D66" s="26">
        <f>'Pigs Cost'!D66</f>
        <v>0</v>
      </c>
      <c r="E66" s="26" t="e">
        <f>'Pigs Cost'!E66</f>
        <v>#REF!</v>
      </c>
      <c r="F66" s="26">
        <f>'Pigs Cost'!F66</f>
        <v>0</v>
      </c>
      <c r="G66" s="26">
        <f>'Pigs Cost'!G66</f>
        <v>0</v>
      </c>
      <c r="H66" s="26">
        <f>'Pigs Cost'!H66</f>
        <v>0</v>
      </c>
      <c r="I66" s="26">
        <f>'Pigs Cost'!I66</f>
        <v>0</v>
      </c>
      <c r="J66" s="26" t="e">
        <f>'Pigs Cost'!J66</f>
        <v>#REF!</v>
      </c>
      <c r="K66" s="26">
        <f>'Pigs Cost'!K66</f>
        <v>0</v>
      </c>
      <c r="L66" s="26">
        <f>'Pigs Cost'!L66</f>
        <v>0</v>
      </c>
      <c r="M66" s="47" t="e">
        <f>SUM(C66:L66)</f>
        <v>#REF!</v>
      </c>
      <c r="N66" s="47" t="e">
        <f>'Pigs Cost'!N66</f>
        <v>#REF!</v>
      </c>
      <c r="O66" s="47" t="e">
        <f>'Pigs Cost'!O66</f>
        <v>#REF!</v>
      </c>
      <c r="P66" s="47" t="e">
        <f>'Pigs Cost'!P66</f>
        <v>#REF!</v>
      </c>
      <c r="Q66" s="47">
        <f>'[5]Outgrower pigs Sept 07 Quaranti'!$H38</f>
        <v>0</v>
      </c>
      <c r="R66" s="28" t="e">
        <f t="shared" si="12"/>
        <v>#REF!</v>
      </c>
    </row>
    <row r="67" spans="1:20">
      <c r="A67" s="2172" t="s">
        <v>112</v>
      </c>
      <c r="B67" s="54" t="s">
        <v>106</v>
      </c>
      <c r="C67" s="26">
        <f>'Pigs Cost'!C67</f>
        <v>0</v>
      </c>
      <c r="D67" s="26">
        <f>'Pigs Cost'!D67</f>
        <v>0</v>
      </c>
      <c r="E67" s="26">
        <f>'Pigs Cost'!E67</f>
        <v>0</v>
      </c>
      <c r="F67" s="26">
        <f>'Pigs Cost'!F67</f>
        <v>0</v>
      </c>
      <c r="G67" s="26">
        <f>'Pigs Cost'!G67</f>
        <v>0</v>
      </c>
      <c r="H67" s="26">
        <f>'Pigs Cost'!H67</f>
        <v>0</v>
      </c>
      <c r="I67" s="26">
        <f>'Pigs Cost'!I67</f>
        <v>0</v>
      </c>
      <c r="J67" s="26">
        <f>'Pigs Cost'!J67</f>
        <v>0</v>
      </c>
      <c r="K67" s="26">
        <f>'Pigs Cost'!K67</f>
        <v>0</v>
      </c>
      <c r="L67" s="26">
        <f>'Pigs Cost'!L67</f>
        <v>0</v>
      </c>
      <c r="M67" s="47">
        <f>SUM(C67:L67)</f>
        <v>0</v>
      </c>
      <c r="N67" s="47">
        <f>'Pigs Cost'!N67</f>
        <v>0</v>
      </c>
      <c r="O67" s="47">
        <f>'Pigs Cost'!O67</f>
        <v>0</v>
      </c>
      <c r="P67" s="47">
        <f>'Pigs Cost'!P67</f>
        <v>0</v>
      </c>
      <c r="Q67" s="47">
        <f>'[5]Outgrower pigs Sept 07 Quaranti'!$H39</f>
        <v>1012533747.7677699</v>
      </c>
      <c r="R67" s="28">
        <f t="shared" si="12"/>
        <v>1012533747.7677699</v>
      </c>
    </row>
    <row r="68" spans="1:20" ht="13.9" thickBot="1">
      <c r="A68" s="2174" t="s">
        <v>113</v>
      </c>
      <c r="B68" s="971"/>
      <c r="C68" s="26">
        <f>'Pigs Cost'!C68</f>
        <v>0.12848783537222491</v>
      </c>
      <c r="D68" s="26">
        <f>'Pigs Cost'!D68</f>
        <v>0</v>
      </c>
      <c r="E68" s="26" t="e">
        <f>'Pigs Cost'!E68</f>
        <v>#REF!</v>
      </c>
      <c r="F68" s="26">
        <f>'Pigs Cost'!F68</f>
        <v>0</v>
      </c>
      <c r="G68" s="26">
        <f>'Pigs Cost'!G68</f>
        <v>0</v>
      </c>
      <c r="H68" s="26">
        <f>'Pigs Cost'!H68</f>
        <v>0</v>
      </c>
      <c r="I68" s="26">
        <f>'Pigs Cost'!I68</f>
        <v>0</v>
      </c>
      <c r="J68" s="26">
        <f>'Pigs Cost'!J68</f>
        <v>0</v>
      </c>
      <c r="K68" s="26">
        <f>'Pigs Cost'!K68</f>
        <v>0</v>
      </c>
      <c r="L68" s="26">
        <f>'Pigs Cost'!L68</f>
        <v>0</v>
      </c>
      <c r="M68" s="47" t="e">
        <f t="shared" si="11"/>
        <v>#REF!</v>
      </c>
      <c r="N68" s="47">
        <f>'Pigs Cost'!N68</f>
        <v>0</v>
      </c>
      <c r="O68" s="47">
        <f>'Pigs Cost'!O68</f>
        <v>0</v>
      </c>
      <c r="P68" s="47">
        <f>'Pigs Cost'!P68</f>
        <v>0</v>
      </c>
      <c r="Q68" s="47">
        <f>'[5]Outgrower pigs Sept 07 Quaranti'!$H40</f>
        <v>2107801258.4159899</v>
      </c>
      <c r="R68" s="28" t="e">
        <f t="shared" si="12"/>
        <v>#REF!</v>
      </c>
    </row>
    <row r="69" spans="1:20" ht="13.9" thickBot="1">
      <c r="A69" s="3" t="s">
        <v>115</v>
      </c>
      <c r="B69" s="55"/>
      <c r="C69" s="36">
        <f>SUM(C63:C68)</f>
        <v>1322329.7770399435</v>
      </c>
      <c r="D69" s="56">
        <f>SUM(D63:D68)</f>
        <v>0</v>
      </c>
      <c r="E69" s="56" t="e">
        <f>SUM(E63:E67)</f>
        <v>#REF!</v>
      </c>
      <c r="F69" s="56">
        <f t="shared" ref="F69:R69" si="13">SUM(F63:F68)</f>
        <v>0</v>
      </c>
      <c r="G69" s="56">
        <f t="shared" si="13"/>
        <v>0</v>
      </c>
      <c r="H69" s="56">
        <f t="shared" si="13"/>
        <v>0</v>
      </c>
      <c r="I69" s="56">
        <f t="shared" si="13"/>
        <v>0</v>
      </c>
      <c r="J69" s="56" t="e">
        <f t="shared" si="13"/>
        <v>#REF!</v>
      </c>
      <c r="K69" s="56">
        <f t="shared" si="13"/>
        <v>0</v>
      </c>
      <c r="L69" s="56">
        <f t="shared" si="13"/>
        <v>0</v>
      </c>
      <c r="M69" s="56" t="e">
        <f t="shared" si="13"/>
        <v>#REF!</v>
      </c>
      <c r="N69" s="56" t="e">
        <f t="shared" si="13"/>
        <v>#REF!</v>
      </c>
      <c r="O69" s="56" t="e">
        <f t="shared" si="13"/>
        <v>#REF!</v>
      </c>
      <c r="P69" s="56" t="e">
        <f t="shared" si="13"/>
        <v>#REF!</v>
      </c>
      <c r="Q69" s="56">
        <f t="shared" si="13"/>
        <v>3120335006.1837597</v>
      </c>
      <c r="R69" s="56" t="e">
        <f t="shared" si="13"/>
        <v>#REF!</v>
      </c>
      <c r="S69" s="22" t="e">
        <f>R69-'[5]Outgrower pigs Sept 07 Quaranti'!$G$41</f>
        <v>#REF!</v>
      </c>
      <c r="T69" s="24">
        <f>Q69-'[5]Outgrower pigs Sept 07 Quaranti'!$H$41</f>
        <v>0</v>
      </c>
    </row>
    <row r="70" spans="1:20">
      <c r="A70" s="1"/>
      <c r="B70" s="1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</row>
    <row r="71" spans="1:20">
      <c r="A71" s="1"/>
      <c r="B71" s="1"/>
      <c r="C71" s="45"/>
      <c r="D71" s="45"/>
      <c r="E71" s="45"/>
      <c r="F71" s="45"/>
      <c r="G71" s="45"/>
      <c r="H71" s="45"/>
      <c r="I71" s="45"/>
      <c r="J71" s="45"/>
      <c r="K71" s="45"/>
      <c r="L71" s="59" t="e">
        <f>+(G69+H69+I69+K69+L69+J69)-I107</f>
        <v>#REF!</v>
      </c>
      <c r="M71" s="45"/>
      <c r="N71" s="45"/>
      <c r="O71" s="45"/>
      <c r="P71" s="45"/>
      <c r="Q71" s="45"/>
      <c r="R71" s="45"/>
    </row>
    <row r="72" spans="1:20">
      <c r="A72" s="1" t="s">
        <v>86</v>
      </c>
      <c r="B72" s="17" t="s">
        <v>120</v>
      </c>
      <c r="L72" s="24">
        <f>+(G70+H70+I70+K70+L70+J70)-K119</f>
        <v>0</v>
      </c>
    </row>
    <row r="73" spans="1:20" ht="13.9" thickBot="1"/>
    <row r="74" spans="1:20" s="14" customFormat="1" ht="27" thickBot="1">
      <c r="A74" s="12" t="s">
        <v>87</v>
      </c>
      <c r="B74" s="52" t="s">
        <v>88</v>
      </c>
      <c r="C74" s="15" t="s">
        <v>89</v>
      </c>
      <c r="D74" s="16" t="s">
        <v>90</v>
      </c>
      <c r="E74" s="19" t="s">
        <v>91</v>
      </c>
      <c r="F74" s="15" t="s">
        <v>92</v>
      </c>
      <c r="G74" s="15" t="s">
        <v>93</v>
      </c>
      <c r="H74" s="15" t="s">
        <v>94</v>
      </c>
      <c r="I74" s="15" t="s">
        <v>95</v>
      </c>
      <c r="J74" s="15" t="s">
        <v>96</v>
      </c>
      <c r="K74" s="15" t="s">
        <v>97</v>
      </c>
      <c r="L74" s="15" t="s">
        <v>98</v>
      </c>
      <c r="M74" s="19" t="s">
        <v>99</v>
      </c>
      <c r="N74" s="19" t="s">
        <v>100</v>
      </c>
      <c r="O74" s="19" t="s">
        <v>101</v>
      </c>
      <c r="P74" s="19" t="s">
        <v>102</v>
      </c>
      <c r="Q74" s="19" t="s">
        <v>103</v>
      </c>
      <c r="R74" s="13" t="s">
        <v>104</v>
      </c>
    </row>
    <row r="75" spans="1:20">
      <c r="A75" s="2171" t="s">
        <v>105</v>
      </c>
      <c r="B75" s="54" t="s">
        <v>106</v>
      </c>
      <c r="C75" s="26">
        <f>'Pigs Cost'!C75</f>
        <v>32710112702.689857</v>
      </c>
      <c r="D75" s="26">
        <f>'Pigs Cost'!D75</f>
        <v>0</v>
      </c>
      <c r="E75" s="26" t="e">
        <f>'Pigs Cost'!E75</f>
        <v>#REF!</v>
      </c>
      <c r="F75" s="26">
        <f>'Pigs Cost'!F75</f>
        <v>0</v>
      </c>
      <c r="G75" s="26">
        <f>'Pigs Cost'!G75</f>
        <v>0</v>
      </c>
      <c r="H75" s="26">
        <f>'Pigs Cost'!H75</f>
        <v>0</v>
      </c>
      <c r="I75" s="26">
        <f>'Pigs Cost'!I75</f>
        <v>0</v>
      </c>
      <c r="J75" s="26" t="e">
        <f>'Pigs Cost'!J75</f>
        <v>#REF!</v>
      </c>
      <c r="K75" s="26" t="e">
        <f>'Pigs Cost'!K75</f>
        <v>#REF!</v>
      </c>
      <c r="L75" s="26">
        <f>'Pigs Cost'!L75</f>
        <v>0</v>
      </c>
      <c r="M75" s="47" t="e">
        <f t="shared" ref="M75:M80" si="14">SUM(C75:L75)</f>
        <v>#REF!</v>
      </c>
      <c r="N75" s="47" t="e">
        <f>'Pigs Cost'!N75</f>
        <v>#REF!</v>
      </c>
      <c r="O75" s="47" t="e">
        <f>'Pigs Cost'!O75</f>
        <v>#REF!</v>
      </c>
      <c r="P75" s="47" t="e">
        <f>'Pigs Cost'!P75</f>
        <v>#REF!</v>
      </c>
      <c r="Q75" s="47">
        <f>'[5]Outgrower pigs Sept 07 OSWA'!$H34</f>
        <v>7378483280.465066</v>
      </c>
      <c r="R75" s="28" t="e">
        <f t="shared" ref="R75:R80" si="15">M75+O75+P75+Q75</f>
        <v>#REF!</v>
      </c>
    </row>
    <row r="76" spans="1:20">
      <c r="A76" s="2172" t="s">
        <v>107</v>
      </c>
      <c r="B76" s="2173" t="s">
        <v>108</v>
      </c>
      <c r="C76" s="26">
        <f>'Pigs Cost'!C76</f>
        <v>13394548865.96048</v>
      </c>
      <c r="D76" s="26">
        <f>'Pigs Cost'!D76</f>
        <v>0</v>
      </c>
      <c r="E76" s="26" t="e">
        <f>'Pigs Cost'!E76</f>
        <v>#REF!</v>
      </c>
      <c r="F76" s="26">
        <f>'Pigs Cost'!F76</f>
        <v>0</v>
      </c>
      <c r="G76" s="26">
        <f>'Pigs Cost'!G76</f>
        <v>0</v>
      </c>
      <c r="H76" s="26">
        <f>'Pigs Cost'!H76</f>
        <v>0</v>
      </c>
      <c r="I76" s="26">
        <f>'Pigs Cost'!I76</f>
        <v>0</v>
      </c>
      <c r="J76" s="26" t="e">
        <f>'Pigs Cost'!J76</f>
        <v>#REF!</v>
      </c>
      <c r="K76" s="26" t="e">
        <f>'Pigs Cost'!K76</f>
        <v>#REF!</v>
      </c>
      <c r="L76" s="26">
        <f>'Pigs Cost'!L76</f>
        <v>0</v>
      </c>
      <c r="M76" s="47" t="e">
        <f t="shared" si="14"/>
        <v>#REF!</v>
      </c>
      <c r="N76" s="47" t="e">
        <f>'Pigs Cost'!N76</f>
        <v>#REF!</v>
      </c>
      <c r="O76" s="47" t="e">
        <f>'Pigs Cost'!O76</f>
        <v>#REF!</v>
      </c>
      <c r="P76" s="47" t="e">
        <f>'Pigs Cost'!P76</f>
        <v>#REF!</v>
      </c>
      <c r="Q76" s="47">
        <f>'[5]Outgrower pigs Sept 07 OSWA'!$H35</f>
        <v>101239215509.89384</v>
      </c>
      <c r="R76" s="28" t="e">
        <f t="shared" si="15"/>
        <v>#REF!</v>
      </c>
    </row>
    <row r="77" spans="1:20">
      <c r="A77" s="2172" t="s">
        <v>109</v>
      </c>
      <c r="B77" s="2173" t="s">
        <v>110</v>
      </c>
      <c r="C77" s="26">
        <f>'Pigs Cost'!C77</f>
        <v>171330344.89405009</v>
      </c>
      <c r="D77" s="26">
        <f>'Pigs Cost'!D77</f>
        <v>0</v>
      </c>
      <c r="E77" s="26" t="e">
        <f>'Pigs Cost'!E77</f>
        <v>#REF!</v>
      </c>
      <c r="F77" s="26">
        <f>'Pigs Cost'!F77</f>
        <v>0</v>
      </c>
      <c r="G77" s="26">
        <f>'Pigs Cost'!G77</f>
        <v>0</v>
      </c>
      <c r="H77" s="26">
        <f>'Pigs Cost'!H77</f>
        <v>0</v>
      </c>
      <c r="I77" s="26">
        <f>'Pigs Cost'!I77</f>
        <v>0</v>
      </c>
      <c r="J77" s="26" t="e">
        <f>'Pigs Cost'!J77</f>
        <v>#REF!</v>
      </c>
      <c r="K77" s="26" t="e">
        <f>'Pigs Cost'!K77</f>
        <v>#REF!</v>
      </c>
      <c r="L77" s="26">
        <f>'Pigs Cost'!L77</f>
        <v>0</v>
      </c>
      <c r="M77" s="47" t="e">
        <f t="shared" si="14"/>
        <v>#REF!</v>
      </c>
      <c r="N77" s="47" t="e">
        <f>'Pigs Cost'!N77</f>
        <v>#REF!</v>
      </c>
      <c r="O77" s="47" t="e">
        <f>'Pigs Cost'!O77</f>
        <v>#REF!</v>
      </c>
      <c r="P77" s="47" t="e">
        <f>'Pigs Cost'!P77</f>
        <v>#REF!</v>
      </c>
      <c r="Q77" s="47">
        <f>'[5]Outgrower pigs Sept 07 OSWA'!$H36</f>
        <v>26053180610.209217</v>
      </c>
      <c r="R77" s="28" t="e">
        <f t="shared" si="15"/>
        <v>#REF!</v>
      </c>
    </row>
    <row r="78" spans="1:20">
      <c r="A78" s="2172" t="s">
        <v>111</v>
      </c>
      <c r="B78" s="1657" t="s">
        <v>106</v>
      </c>
      <c r="C78" s="26">
        <f>'Pigs Cost'!C78</f>
        <v>0</v>
      </c>
      <c r="D78" s="26">
        <f>'Pigs Cost'!D78</f>
        <v>0</v>
      </c>
      <c r="E78" s="26" t="e">
        <f>'Pigs Cost'!E78</f>
        <v>#REF!</v>
      </c>
      <c r="F78" s="26">
        <f>'Pigs Cost'!F78</f>
        <v>0</v>
      </c>
      <c r="G78" s="26">
        <f>'Pigs Cost'!G78</f>
        <v>0</v>
      </c>
      <c r="H78" s="26">
        <f>'Pigs Cost'!H78</f>
        <v>0</v>
      </c>
      <c r="I78" s="26">
        <f>'Pigs Cost'!I78</f>
        <v>0</v>
      </c>
      <c r="J78" s="26">
        <f>'Pigs Cost'!J78</f>
        <v>0</v>
      </c>
      <c r="K78" s="26" t="e">
        <f>'Pigs Cost'!K78</f>
        <v>#REF!</v>
      </c>
      <c r="L78" s="26">
        <f>'Pigs Cost'!L78</f>
        <v>0</v>
      </c>
      <c r="M78" s="47" t="e">
        <f t="shared" si="14"/>
        <v>#REF!</v>
      </c>
      <c r="N78" s="47">
        <f>'Pigs Cost'!N78</f>
        <v>0</v>
      </c>
      <c r="O78" s="47" t="e">
        <f>'Pigs Cost'!O78</f>
        <v>#REF!</v>
      </c>
      <c r="P78" s="47">
        <f>'Pigs Cost'!P78</f>
        <v>0</v>
      </c>
      <c r="Q78" s="47">
        <f>'[5]Outgrower pigs Sept 07 OSWA'!$H37</f>
        <v>209184929733.46588</v>
      </c>
      <c r="R78" s="28" t="e">
        <f t="shared" si="15"/>
        <v>#REF!</v>
      </c>
    </row>
    <row r="79" spans="1:20">
      <c r="A79" s="2172" t="s">
        <v>112</v>
      </c>
      <c r="B79" s="54" t="s">
        <v>106</v>
      </c>
      <c r="C79" s="26">
        <f>'Pigs Cost'!C79</f>
        <v>80.838476654367213</v>
      </c>
      <c r="D79" s="26">
        <f>'Pigs Cost'!D79</f>
        <v>0</v>
      </c>
      <c r="E79" s="26" t="e">
        <f>'Pigs Cost'!E79</f>
        <v>#REF!</v>
      </c>
      <c r="F79" s="26">
        <f>'Pigs Cost'!F79</f>
        <v>0</v>
      </c>
      <c r="G79" s="26">
        <f>'Pigs Cost'!G79</f>
        <v>0</v>
      </c>
      <c r="H79" s="26">
        <f>'Pigs Cost'!H79</f>
        <v>0</v>
      </c>
      <c r="I79" s="26">
        <f>'Pigs Cost'!I79</f>
        <v>0</v>
      </c>
      <c r="J79" s="26">
        <f>'Pigs Cost'!J79</f>
        <v>0</v>
      </c>
      <c r="K79" s="26" t="e">
        <f>'Pigs Cost'!K79</f>
        <v>#REF!</v>
      </c>
      <c r="L79" s="26">
        <f>'Pigs Cost'!L79</f>
        <v>0</v>
      </c>
      <c r="M79" s="47" t="e">
        <f t="shared" si="14"/>
        <v>#REF!</v>
      </c>
      <c r="N79" s="47" t="e">
        <f>'Pigs Cost'!N79</f>
        <v>#REF!</v>
      </c>
      <c r="O79" s="47" t="e">
        <f>'Pigs Cost'!O79</f>
        <v>#REF!</v>
      </c>
      <c r="P79" s="47" t="e">
        <f>'Pigs Cost'!P79</f>
        <v>#REF!</v>
      </c>
      <c r="Q79" s="47">
        <f>'[5]Outgrower pigs Sept 07 OSWA'!$H38</f>
        <v>50765403189.519875</v>
      </c>
      <c r="R79" s="28" t="e">
        <f t="shared" si="15"/>
        <v>#REF!</v>
      </c>
    </row>
    <row r="80" spans="1:20" ht="13.9" thickBot="1">
      <c r="A80" s="2174" t="s">
        <v>113</v>
      </c>
      <c r="B80" s="971"/>
      <c r="C80" s="26">
        <f>'Pigs Cost'!C80</f>
        <v>0.40728136549852967</v>
      </c>
      <c r="D80" s="26">
        <f>'Pigs Cost'!D80</f>
        <v>0</v>
      </c>
      <c r="E80" s="26">
        <f>'Pigs Cost'!E80</f>
        <v>0</v>
      </c>
      <c r="F80" s="26">
        <f>'Pigs Cost'!F80</f>
        <v>0</v>
      </c>
      <c r="G80" s="26">
        <f>'Pigs Cost'!G80</f>
        <v>0</v>
      </c>
      <c r="H80" s="26">
        <f>'Pigs Cost'!H80</f>
        <v>0</v>
      </c>
      <c r="I80" s="26">
        <f>'Pigs Cost'!I80</f>
        <v>0</v>
      </c>
      <c r="J80" s="26">
        <f>'Pigs Cost'!J80</f>
        <v>0</v>
      </c>
      <c r="K80" s="26" t="e">
        <f>'Pigs Cost'!K80</f>
        <v>#REF!</v>
      </c>
      <c r="L80" s="26">
        <f>'Pigs Cost'!L80</f>
        <v>0</v>
      </c>
      <c r="M80" s="47" t="e">
        <f t="shared" si="14"/>
        <v>#REF!</v>
      </c>
      <c r="N80" s="47" t="e">
        <f>'Pigs Cost'!N80</f>
        <v>#REF!</v>
      </c>
      <c r="O80" s="47" t="e">
        <f>'Pigs Cost'!O80</f>
        <v>#REF!</v>
      </c>
      <c r="P80" s="47">
        <f>'Pigs Cost'!P80</f>
        <v>0</v>
      </c>
      <c r="Q80" s="47">
        <f>'[5]Outgrower pigs Sept 07 OSWA'!$H39</f>
        <v>1129970396.2634718</v>
      </c>
      <c r="R80" s="28" t="e">
        <f t="shared" si="15"/>
        <v>#REF!</v>
      </c>
    </row>
    <row r="81" spans="1:20" ht="13.9" thickBot="1">
      <c r="A81" s="3" t="s">
        <v>115</v>
      </c>
      <c r="B81" s="55"/>
      <c r="C81" s="36">
        <f>SUM(C75:C80)</f>
        <v>46275991994.790146</v>
      </c>
      <c r="D81" s="56">
        <f>SUM(D75:D80)</f>
        <v>0</v>
      </c>
      <c r="E81" s="56" t="e">
        <f>SUM(E75:E79)</f>
        <v>#REF!</v>
      </c>
      <c r="F81" s="56">
        <f t="shared" ref="F81:R81" si="16">SUM(F75:F80)</f>
        <v>0</v>
      </c>
      <c r="G81" s="56">
        <f t="shared" si="16"/>
        <v>0</v>
      </c>
      <c r="H81" s="56">
        <f t="shared" si="16"/>
        <v>0</v>
      </c>
      <c r="I81" s="56">
        <f t="shared" si="16"/>
        <v>0</v>
      </c>
      <c r="J81" s="56" t="e">
        <f t="shared" si="16"/>
        <v>#REF!</v>
      </c>
      <c r="K81" s="56" t="e">
        <f t="shared" si="16"/>
        <v>#REF!</v>
      </c>
      <c r="L81" s="56">
        <f t="shared" si="16"/>
        <v>0</v>
      </c>
      <c r="M81" s="56" t="e">
        <f t="shared" si="16"/>
        <v>#REF!</v>
      </c>
      <c r="N81" s="56" t="e">
        <f t="shared" si="16"/>
        <v>#REF!</v>
      </c>
      <c r="O81" s="56" t="e">
        <f t="shared" si="16"/>
        <v>#REF!</v>
      </c>
      <c r="P81" s="56" t="e">
        <f t="shared" si="16"/>
        <v>#REF!</v>
      </c>
      <c r="Q81" s="56">
        <f t="shared" si="16"/>
        <v>395751182719.81738</v>
      </c>
      <c r="R81" s="56" t="e">
        <f t="shared" si="16"/>
        <v>#REF!</v>
      </c>
      <c r="S81" s="22" t="e">
        <f>R81-'[5]Outgrower pigs Sept 07 OSWA'!$G$40</f>
        <v>#REF!</v>
      </c>
      <c r="T81" s="22">
        <f>Q81-'[5]Outgrower pigs Sept 07 OSWA'!$H$40</f>
        <v>0</v>
      </c>
    </row>
    <row r="83" spans="1:20">
      <c r="E83" s="22"/>
      <c r="M83" s="24" t="e">
        <f>+J81-L103</f>
        <v>#REF!</v>
      </c>
      <c r="R83" s="57"/>
    </row>
    <row r="84" spans="1:20" s="2" customFormat="1" ht="13.9" thickBot="1">
      <c r="A84" s="1" t="s">
        <v>86</v>
      </c>
      <c r="B84" s="1"/>
      <c r="C84" s="17" t="s">
        <v>115</v>
      </c>
      <c r="D84" s="300"/>
      <c r="E84" s="300"/>
      <c r="F84" s="300"/>
      <c r="G84" s="300"/>
      <c r="H84" s="300"/>
      <c r="I84" s="300"/>
      <c r="J84" s="300"/>
      <c r="K84" s="300"/>
      <c r="L84" s="300"/>
      <c r="M84" s="300"/>
      <c r="N84" s="300"/>
      <c r="O84" s="300"/>
      <c r="P84" s="300"/>
      <c r="Q84" s="300"/>
      <c r="R84" s="303"/>
      <c r="S84" s="300"/>
      <c r="T84" s="300"/>
    </row>
    <row r="85" spans="1:20" s="2" customFormat="1" ht="13.9" thickBot="1">
      <c r="A85" s="300"/>
      <c r="B85" s="52" t="s">
        <v>88</v>
      </c>
      <c r="C85" s="937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</row>
    <row r="86" spans="1:20" s="14" customFormat="1" ht="27" thickBot="1">
      <c r="A86" s="53" t="s">
        <v>121</v>
      </c>
      <c r="B86" s="54" t="s">
        <v>106</v>
      </c>
      <c r="C86" s="15" t="s">
        <v>89</v>
      </c>
      <c r="D86" s="16" t="s">
        <v>90</v>
      </c>
      <c r="E86" s="19" t="s">
        <v>91</v>
      </c>
      <c r="F86" s="15" t="s">
        <v>92</v>
      </c>
      <c r="G86" s="15" t="s">
        <v>93</v>
      </c>
      <c r="H86" s="15" t="s">
        <v>94</v>
      </c>
      <c r="I86" s="15" t="s">
        <v>95</v>
      </c>
      <c r="J86" s="15" t="s">
        <v>96</v>
      </c>
      <c r="K86" s="15" t="s">
        <v>97</v>
      </c>
      <c r="L86" s="15" t="s">
        <v>98</v>
      </c>
      <c r="M86" s="19" t="s">
        <v>99</v>
      </c>
      <c r="N86" s="19" t="s">
        <v>100</v>
      </c>
      <c r="O86" s="19" t="s">
        <v>101</v>
      </c>
      <c r="P86" s="19" t="s">
        <v>102</v>
      </c>
      <c r="Q86" s="19" t="s">
        <v>103</v>
      </c>
      <c r="R86" s="13" t="s">
        <v>104</v>
      </c>
    </row>
    <row r="87" spans="1:20" s="2" customFormat="1">
      <c r="A87" s="2171" t="s">
        <v>105</v>
      </c>
      <c r="B87" s="54" t="s">
        <v>106</v>
      </c>
      <c r="C87" s="26">
        <f>C13+C25+C37+C63+C52+C75</f>
        <v>129397667650.36038</v>
      </c>
      <c r="D87" s="26">
        <f t="shared" ref="D87:R87" si="17">D13+D25+D37+D63+D52+D75</f>
        <v>0</v>
      </c>
      <c r="E87" s="26" t="e">
        <f t="shared" si="17"/>
        <v>#REF!</v>
      </c>
      <c r="F87" s="26" t="e">
        <f t="shared" si="17"/>
        <v>#REF!</v>
      </c>
      <c r="G87" s="26" t="e">
        <f t="shared" si="17"/>
        <v>#REF!</v>
      </c>
      <c r="H87" s="26" t="e">
        <f t="shared" si="17"/>
        <v>#REF!</v>
      </c>
      <c r="I87" s="26" t="e">
        <f t="shared" si="17"/>
        <v>#REF!</v>
      </c>
      <c r="J87" s="26" t="e">
        <f t="shared" si="17"/>
        <v>#REF!</v>
      </c>
      <c r="K87" s="26" t="e">
        <f t="shared" si="17"/>
        <v>#REF!</v>
      </c>
      <c r="L87" s="26" t="e">
        <f t="shared" si="17"/>
        <v>#REF!</v>
      </c>
      <c r="M87" s="26" t="e">
        <f t="shared" si="17"/>
        <v>#REF!</v>
      </c>
      <c r="N87" s="26" t="e">
        <f t="shared" si="17"/>
        <v>#REF!</v>
      </c>
      <c r="O87" s="26" t="e">
        <f t="shared" si="17"/>
        <v>#REF!</v>
      </c>
      <c r="P87" s="26" t="e">
        <f t="shared" si="17"/>
        <v>#REF!</v>
      </c>
      <c r="Q87" s="26">
        <f t="shared" si="17"/>
        <v>143411696467.37946</v>
      </c>
      <c r="R87" s="26" t="e">
        <f t="shared" si="17"/>
        <v>#REF!</v>
      </c>
      <c r="S87" s="300"/>
      <c r="T87" s="303"/>
    </row>
    <row r="88" spans="1:20" s="2" customFormat="1">
      <c r="A88" s="2172" t="s">
        <v>107</v>
      </c>
      <c r="B88" s="2173" t="s">
        <v>108</v>
      </c>
      <c r="C88" s="26">
        <f t="shared" ref="C88:R92" si="18">C14+C26+C38+C64+C53+C76</f>
        <v>121313945404.16966</v>
      </c>
      <c r="D88" s="26">
        <f t="shared" si="18"/>
        <v>0</v>
      </c>
      <c r="E88" s="26" t="e">
        <f t="shared" si="18"/>
        <v>#REF!</v>
      </c>
      <c r="F88" s="26" t="e">
        <f t="shared" si="18"/>
        <v>#REF!</v>
      </c>
      <c r="G88" s="26" t="e">
        <f t="shared" si="18"/>
        <v>#REF!</v>
      </c>
      <c r="H88" s="26" t="e">
        <f t="shared" si="18"/>
        <v>#REF!</v>
      </c>
      <c r="I88" s="26" t="e">
        <f t="shared" si="18"/>
        <v>#REF!</v>
      </c>
      <c r="J88" s="26" t="e">
        <f t="shared" si="18"/>
        <v>#REF!</v>
      </c>
      <c r="K88" s="26" t="e">
        <f t="shared" si="18"/>
        <v>#REF!</v>
      </c>
      <c r="L88" s="26" t="e">
        <f t="shared" si="18"/>
        <v>#REF!</v>
      </c>
      <c r="M88" s="26" t="e">
        <f t="shared" si="18"/>
        <v>#REF!</v>
      </c>
      <c r="N88" s="26" t="e">
        <f t="shared" si="18"/>
        <v>#REF!</v>
      </c>
      <c r="O88" s="26" t="e">
        <f t="shared" si="18"/>
        <v>#REF!</v>
      </c>
      <c r="P88" s="26" t="e">
        <f t="shared" si="18"/>
        <v>#REF!</v>
      </c>
      <c r="Q88" s="26">
        <f t="shared" si="18"/>
        <v>1247006372205.5513</v>
      </c>
      <c r="R88" s="26" t="e">
        <f t="shared" si="18"/>
        <v>#REF!</v>
      </c>
      <c r="S88" s="300"/>
      <c r="T88" s="303"/>
    </row>
    <row r="89" spans="1:20" s="2" customFormat="1">
      <c r="A89" s="2172" t="s">
        <v>109</v>
      </c>
      <c r="B89" s="2173" t="s">
        <v>110</v>
      </c>
      <c r="C89" s="26">
        <f t="shared" si="18"/>
        <v>254533516397.91995</v>
      </c>
      <c r="D89" s="26">
        <f t="shared" si="18"/>
        <v>0</v>
      </c>
      <c r="E89" s="26" t="e">
        <f t="shared" si="18"/>
        <v>#REF!</v>
      </c>
      <c r="F89" s="26" t="e">
        <f t="shared" si="18"/>
        <v>#REF!</v>
      </c>
      <c r="G89" s="26" t="e">
        <f t="shared" si="18"/>
        <v>#REF!</v>
      </c>
      <c r="H89" s="26" t="e">
        <f t="shared" si="18"/>
        <v>#REF!</v>
      </c>
      <c r="I89" s="26" t="e">
        <f t="shared" si="18"/>
        <v>#REF!</v>
      </c>
      <c r="J89" s="26" t="e">
        <f t="shared" si="18"/>
        <v>#REF!</v>
      </c>
      <c r="K89" s="26" t="e">
        <f t="shared" si="18"/>
        <v>#REF!</v>
      </c>
      <c r="L89" s="26" t="e">
        <f t="shared" si="18"/>
        <v>#REF!</v>
      </c>
      <c r="M89" s="26" t="e">
        <f t="shared" si="18"/>
        <v>#REF!</v>
      </c>
      <c r="N89" s="26" t="e">
        <f t="shared" si="18"/>
        <v>#REF!</v>
      </c>
      <c r="O89" s="26" t="e">
        <f t="shared" si="18"/>
        <v>#REF!</v>
      </c>
      <c r="P89" s="26" t="e">
        <f t="shared" si="18"/>
        <v>#REF!</v>
      </c>
      <c r="Q89" s="26">
        <f>Q15+Q27+Q39+Q65+Q54+Q77</f>
        <v>3744746296388.0215</v>
      </c>
      <c r="R89" s="26" t="e">
        <f t="shared" si="18"/>
        <v>#REF!</v>
      </c>
      <c r="S89" s="300"/>
      <c r="T89" s="303"/>
    </row>
    <row r="90" spans="1:20" s="2" customFormat="1">
      <c r="A90" s="2172" t="s">
        <v>111</v>
      </c>
      <c r="B90" s="1657" t="s">
        <v>106</v>
      </c>
      <c r="C90" s="26">
        <f t="shared" si="18"/>
        <v>3127759647.5233145</v>
      </c>
      <c r="D90" s="26">
        <f t="shared" si="18"/>
        <v>0</v>
      </c>
      <c r="E90" s="26" t="e">
        <f>E16+E28+E66+E55+E78+E40</f>
        <v>#REF!</v>
      </c>
      <c r="F90" s="26" t="e">
        <f t="shared" si="18"/>
        <v>#REF!</v>
      </c>
      <c r="G90" s="26">
        <f t="shared" si="18"/>
        <v>0</v>
      </c>
      <c r="H90" s="26">
        <f t="shared" si="18"/>
        <v>0</v>
      </c>
      <c r="I90" s="26">
        <f t="shared" si="18"/>
        <v>0</v>
      </c>
      <c r="J90" s="26" t="e">
        <f t="shared" si="18"/>
        <v>#REF!</v>
      </c>
      <c r="K90" s="26" t="e">
        <f t="shared" si="18"/>
        <v>#REF!</v>
      </c>
      <c r="L90" s="26">
        <f t="shared" si="18"/>
        <v>0</v>
      </c>
      <c r="M90" s="26" t="e">
        <f t="shared" si="18"/>
        <v>#REF!</v>
      </c>
      <c r="N90" s="60" t="e">
        <f>N16+N40+N66+N55+N78</f>
        <v>#REF!</v>
      </c>
      <c r="O90" s="26" t="e">
        <f t="shared" si="18"/>
        <v>#REF!</v>
      </c>
      <c r="P90" s="26" t="e">
        <f t="shared" si="18"/>
        <v>#REF!</v>
      </c>
      <c r="Q90" s="26">
        <f t="shared" si="18"/>
        <v>361496410233.09247</v>
      </c>
      <c r="R90" s="26" t="e">
        <f t="shared" si="18"/>
        <v>#REF!</v>
      </c>
      <c r="S90" s="300"/>
      <c r="T90" s="303"/>
    </row>
    <row r="91" spans="1:20">
      <c r="A91" s="2172" t="s">
        <v>112</v>
      </c>
      <c r="B91" s="54" t="s">
        <v>106</v>
      </c>
      <c r="C91" s="26">
        <f t="shared" si="18"/>
        <v>2148264782.0367832</v>
      </c>
      <c r="D91" s="26">
        <f t="shared" si="18"/>
        <v>0</v>
      </c>
      <c r="E91" s="26" t="e">
        <f>E17+E29+E41+E67+E56+E79</f>
        <v>#REF!</v>
      </c>
      <c r="F91" s="26" t="e">
        <f t="shared" si="18"/>
        <v>#REF!</v>
      </c>
      <c r="G91" s="26">
        <f t="shared" si="18"/>
        <v>0</v>
      </c>
      <c r="H91" s="26" t="e">
        <f t="shared" si="18"/>
        <v>#REF!</v>
      </c>
      <c r="I91" s="26">
        <f t="shared" si="18"/>
        <v>0</v>
      </c>
      <c r="J91" s="26">
        <f t="shared" si="18"/>
        <v>0</v>
      </c>
      <c r="K91" s="26" t="e">
        <f t="shared" si="18"/>
        <v>#REF!</v>
      </c>
      <c r="L91" s="26">
        <f t="shared" si="18"/>
        <v>0</v>
      </c>
      <c r="M91" s="26" t="e">
        <f t="shared" si="18"/>
        <v>#REF!</v>
      </c>
      <c r="N91" s="26" t="e">
        <f t="shared" si="18"/>
        <v>#REF!</v>
      </c>
      <c r="O91" s="26" t="e">
        <f t="shared" si="18"/>
        <v>#REF!</v>
      </c>
      <c r="P91" s="26" t="e">
        <f t="shared" si="18"/>
        <v>#REF!</v>
      </c>
      <c r="Q91" s="26">
        <f t="shared" si="18"/>
        <v>757050612471.33203</v>
      </c>
      <c r="R91" s="26" t="e">
        <f t="shared" si="18"/>
        <v>#REF!</v>
      </c>
      <c r="T91" s="303"/>
    </row>
    <row r="92" spans="1:20" ht="13.9" thickBot="1">
      <c r="A92" s="2174" t="s">
        <v>113</v>
      </c>
      <c r="B92" s="971" t="s">
        <v>114</v>
      </c>
      <c r="C92" s="26">
        <f t="shared" si="18"/>
        <v>109059.16394956803</v>
      </c>
      <c r="D92" s="26">
        <f t="shared" si="18"/>
        <v>0</v>
      </c>
      <c r="E92" s="26" t="e">
        <f t="shared" si="18"/>
        <v>#REF!</v>
      </c>
      <c r="F92" s="26">
        <f t="shared" si="18"/>
        <v>0</v>
      </c>
      <c r="G92" s="26">
        <f t="shared" si="18"/>
        <v>0</v>
      </c>
      <c r="H92" s="26">
        <f t="shared" si="18"/>
        <v>0</v>
      </c>
      <c r="I92" s="26">
        <f t="shared" si="18"/>
        <v>0</v>
      </c>
      <c r="J92" s="26">
        <f t="shared" si="18"/>
        <v>0</v>
      </c>
      <c r="K92" s="26" t="e">
        <f t="shared" si="18"/>
        <v>#REF!</v>
      </c>
      <c r="L92" s="26">
        <f t="shared" si="18"/>
        <v>0</v>
      </c>
      <c r="M92" s="26" t="e">
        <f t="shared" si="18"/>
        <v>#REF!</v>
      </c>
      <c r="N92" s="26" t="e">
        <f t="shared" si="18"/>
        <v>#REF!</v>
      </c>
      <c r="O92" s="26" t="e">
        <f>O18+O30+O42+O68+O57+O80</f>
        <v>#REF!</v>
      </c>
      <c r="P92" s="26" t="e">
        <f>P18+P30+P42+P68+P57+P80</f>
        <v>#REF!</v>
      </c>
      <c r="Q92" s="26">
        <f>Q18+Q30+Q42+Q68+Q57+Q80</f>
        <v>22124037008.927319</v>
      </c>
      <c r="R92" s="26" t="e">
        <f>R18+R30+R42+R68+R57+R80</f>
        <v>#REF!</v>
      </c>
    </row>
    <row r="93" spans="1:20" ht="13.9" thickBot="1">
      <c r="A93" s="3" t="s">
        <v>115</v>
      </c>
      <c r="B93" s="55"/>
      <c r="C93" s="56">
        <f t="shared" ref="C93:R93" si="19">SUM(C87:C92)</f>
        <v>510521262941.17401</v>
      </c>
      <c r="D93" s="56">
        <f t="shared" si="19"/>
        <v>0</v>
      </c>
      <c r="E93" s="56" t="e">
        <f>SUM(E87:E92)</f>
        <v>#REF!</v>
      </c>
      <c r="F93" s="56" t="e">
        <f t="shared" si="19"/>
        <v>#REF!</v>
      </c>
      <c r="G93" s="56" t="e">
        <f t="shared" si="19"/>
        <v>#REF!</v>
      </c>
      <c r="H93" s="56" t="e">
        <f t="shared" si="19"/>
        <v>#REF!</v>
      </c>
      <c r="I93" s="56" t="e">
        <f t="shared" si="19"/>
        <v>#REF!</v>
      </c>
      <c r="J93" s="56" t="e">
        <f t="shared" si="19"/>
        <v>#REF!</v>
      </c>
      <c r="K93" s="56" t="e">
        <f t="shared" si="19"/>
        <v>#REF!</v>
      </c>
      <c r="L93" s="56" t="e">
        <f t="shared" si="19"/>
        <v>#REF!</v>
      </c>
      <c r="M93" s="56" t="e">
        <f>SUM(M87:M92)</f>
        <v>#REF!</v>
      </c>
      <c r="N93" s="56" t="e">
        <f>SUM(N87:N92)</f>
        <v>#REF!</v>
      </c>
      <c r="O93" s="56" t="e">
        <f>SUM(O87:O92)</f>
        <v>#REF!</v>
      </c>
      <c r="P93" s="56" t="e">
        <f>SUM(P87:P92)</f>
        <v>#REF!</v>
      </c>
      <c r="Q93" s="56">
        <f>SUM(Q87:Q92)</f>
        <v>6275835424774.3047</v>
      </c>
      <c r="R93" s="56" t="e">
        <f t="shared" si="19"/>
        <v>#REF!</v>
      </c>
      <c r="S93" s="24" t="e">
        <f>R93-'[6]PigsMay 07 '!$G$40-'[6]Outgrower pigs Sept07 TRADE WIN'!$G$40-'[6]Outgrower pigs Sept 07 ZIMBO'!$G$40-'[6]Outgrower pigs Sept 07 ROGATE'!$G$40-'[6]Outgrower pigs Sept 07 Quaranti'!$G$41-'[6]Outgrower pigs Sept 07 OSWA'!$G$40</f>
        <v>#REF!</v>
      </c>
      <c r="T93" s="22"/>
    </row>
    <row r="94" spans="1:20">
      <c r="C94" s="22">
        <f>C93-'Pigs Cost'!C164</f>
        <v>-122314934107.1026</v>
      </c>
      <c r="Q94" s="22">
        <f>Q93-'[5]PigsMay 07 '!$H$40-'[5]Outgrower pigs Sept07 TRADE WIN'!$H$40-'[5]Outgrower pigs Sept 07 ZIMBO'!$H$40-'[5]Outgrower pigs Sept 07 ROGATE'!$H$40-'[5]Outgrower pigs Sept 07 Quaranti'!$H$41-'[5]Outgrower pigs Sept 07 OSWA'!$H$40</f>
        <v>0</v>
      </c>
      <c r="R94" s="22" t="e">
        <f>+R93-'Pigs Cost'!T164</f>
        <v>#REF!</v>
      </c>
    </row>
    <row r="95" spans="1:20">
      <c r="C95" s="22"/>
      <c r="E95" s="22" t="e">
        <f>E93--O93</f>
        <v>#REF!</v>
      </c>
      <c r="G95" s="22"/>
      <c r="L95" s="61"/>
      <c r="M95" s="22"/>
      <c r="R95" s="22" t="e">
        <f>+Q93-R94</f>
        <v>#REF!</v>
      </c>
      <c r="T95" s="86"/>
    </row>
    <row r="96" spans="1:20">
      <c r="R96" s="22"/>
    </row>
    <row r="97" spans="2:20" hidden="1">
      <c r="B97" t="s">
        <v>122</v>
      </c>
      <c r="F97" t="s">
        <v>123</v>
      </c>
      <c r="G97" t="s">
        <v>124</v>
      </c>
      <c r="H97" t="s">
        <v>125</v>
      </c>
      <c r="I97" t="s">
        <v>126</v>
      </c>
      <c r="J97" t="s">
        <v>127</v>
      </c>
      <c r="K97" t="s">
        <v>77</v>
      </c>
      <c r="L97" t="s">
        <v>128</v>
      </c>
      <c r="M97" s="22"/>
      <c r="O97" s="22" t="e">
        <f>+O93+E93</f>
        <v>#REF!</v>
      </c>
      <c r="T97" s="24"/>
    </row>
    <row r="98" spans="2:20" hidden="1">
      <c r="B98" t="s">
        <v>129</v>
      </c>
      <c r="H98" s="63"/>
    </row>
    <row r="99" spans="2:20" s="64" customFormat="1" hidden="1">
      <c r="B99" s="64" t="s">
        <v>130</v>
      </c>
      <c r="D99" s="46">
        <f>+J99</f>
        <v>512906500</v>
      </c>
      <c r="E99" s="43">
        <f>+J99</f>
        <v>512906500</v>
      </c>
      <c r="G99" s="65">
        <f>+'[7]IS - YTD'!M15</f>
        <v>0</v>
      </c>
      <c r="H99" s="65">
        <f>+'[8]IS - YTD'!M15</f>
        <v>0</v>
      </c>
      <c r="I99" s="65">
        <f>+'[9]IS - YTD'!L15</f>
        <v>0</v>
      </c>
      <c r="J99" s="65">
        <f>'[10]IS - YTD'!$B$15</f>
        <v>512906500</v>
      </c>
      <c r="K99" s="65">
        <f>+'[11]IS - YTD'!L15</f>
        <v>0</v>
      </c>
      <c r="L99" s="65">
        <f>+'[12]IS - YTD'!M15</f>
        <v>0</v>
      </c>
      <c r="T99" s="65"/>
    </row>
    <row r="100" spans="2:20" s="66" customFormat="1" hidden="1">
      <c r="B100" s="66" t="s">
        <v>131</v>
      </c>
      <c r="D100" s="46">
        <f t="shared" ref="D100:D105" si="20">+J100</f>
        <v>2992935212.54</v>
      </c>
      <c r="E100" s="43">
        <f t="shared" ref="E100:E105" si="21">+J100</f>
        <v>2992935212.54</v>
      </c>
      <c r="G100" s="65">
        <f>+'[7]IS - YTD'!M16</f>
        <v>0</v>
      </c>
      <c r="H100" s="65">
        <f>+'[8]IS - YTD'!M16</f>
        <v>0</v>
      </c>
      <c r="I100" s="65">
        <f>+'[9]IS - YTD'!L16</f>
        <v>0</v>
      </c>
      <c r="J100" s="65">
        <f>'[10]IS - YTD'!$B$16</f>
        <v>2992935212.54</v>
      </c>
      <c r="K100" s="65">
        <f>+'[11]IS - YTD'!L16</f>
        <v>0</v>
      </c>
      <c r="L100" s="65">
        <f>+'[12]IS - YTD'!M16</f>
        <v>0</v>
      </c>
    </row>
    <row r="101" spans="2:20" s="67" customFormat="1" hidden="1">
      <c r="B101" s="67" t="s">
        <v>16</v>
      </c>
      <c r="D101" s="46">
        <f t="shared" si="20"/>
        <v>179062500</v>
      </c>
      <c r="E101" s="43">
        <f t="shared" si="21"/>
        <v>179062500</v>
      </c>
      <c r="G101" s="65">
        <f>+'[7]IS - YTD'!M17</f>
        <v>0</v>
      </c>
      <c r="H101" s="65">
        <f>+'[8]IS - YTD'!M17</f>
        <v>0</v>
      </c>
      <c r="I101" s="65">
        <f>+'[9]IS - YTD'!L17</f>
        <v>0</v>
      </c>
      <c r="J101" s="65">
        <f>'[10]IS - YTD'!$B$17</f>
        <v>179062500</v>
      </c>
      <c r="K101" s="65">
        <f>+'[11]IS - YTD'!L17</f>
        <v>0</v>
      </c>
      <c r="L101" s="65">
        <f>+'[12]IS - YTD'!M17</f>
        <v>0</v>
      </c>
    </row>
    <row r="102" spans="2:20" s="68" customFormat="1" hidden="1">
      <c r="B102" s="68" t="s">
        <v>132</v>
      </c>
      <c r="D102" s="46">
        <f t="shared" si="20"/>
        <v>219356282.57999998</v>
      </c>
      <c r="E102" s="43">
        <f t="shared" si="21"/>
        <v>219356282.57999998</v>
      </c>
      <c r="G102" s="65">
        <v>0</v>
      </c>
      <c r="H102" s="65">
        <v>0</v>
      </c>
      <c r="I102" s="65">
        <v>0</v>
      </c>
      <c r="J102" s="65">
        <f>'[10]IS - YTD'!$B$18</f>
        <v>219356282.57999998</v>
      </c>
      <c r="K102" s="65">
        <v>0</v>
      </c>
      <c r="L102" s="65">
        <v>0</v>
      </c>
    </row>
    <row r="103" spans="2:20" s="69" customFormat="1" hidden="1">
      <c r="B103" s="69" t="s">
        <v>133</v>
      </c>
      <c r="D103" s="46">
        <f t="shared" si="20"/>
        <v>31815713250.809998</v>
      </c>
      <c r="E103" s="43">
        <f>SUM(F103:L103)</f>
        <v>32276753207.809998</v>
      </c>
      <c r="F103" s="70"/>
      <c r="G103" s="65">
        <f>'[13]Feed Mvmt Values'!$D$60</f>
        <v>179469491</v>
      </c>
      <c r="H103" s="65">
        <f>'[13]Feed Mvmt Values'!$D$61</f>
        <v>19487377</v>
      </c>
      <c r="I103" s="65">
        <f>'[13]Feed Mvmt Values'!$D$59</f>
        <v>830585</v>
      </c>
      <c r="J103" s="65">
        <f>'[10]IS - YTD'!$B$19-G103-H103-I103-K103-L103</f>
        <v>31815713250.809998</v>
      </c>
      <c r="K103" s="65">
        <f>'[13]Feed Mvmt Values'!$D$62</f>
        <v>132026775</v>
      </c>
      <c r="L103" s="65">
        <f>'[13]Feed Mvmt Values'!$D$63</f>
        <v>129225729</v>
      </c>
    </row>
    <row r="104" spans="2:20" s="71" customFormat="1" hidden="1">
      <c r="B104" s="64" t="s">
        <v>134</v>
      </c>
      <c r="D104" s="46">
        <f t="shared" si="20"/>
        <v>42540000</v>
      </c>
      <c r="E104" s="43">
        <f t="shared" si="21"/>
        <v>42540000</v>
      </c>
      <c r="G104" s="65">
        <f>+'[7]IS - YTD'!M20</f>
        <v>0</v>
      </c>
      <c r="H104" s="65">
        <f>+'[8]IS - YTD'!M20</f>
        <v>0</v>
      </c>
      <c r="I104" s="65">
        <f>+'[9]IS - YTD'!L20</f>
        <v>0</v>
      </c>
      <c r="J104" s="65">
        <f>'[10]IS - YTD'!$B$20</f>
        <v>42540000</v>
      </c>
      <c r="K104" s="65"/>
      <c r="L104" s="65">
        <f>+'[12]IS - YTD'!M20</f>
        <v>0</v>
      </c>
    </row>
    <row r="105" spans="2:20" s="72" customFormat="1" hidden="1">
      <c r="B105" s="72" t="s">
        <v>135</v>
      </c>
      <c r="D105" s="46">
        <f t="shared" si="20"/>
        <v>1453357483.74</v>
      </c>
      <c r="E105" s="43">
        <f t="shared" si="21"/>
        <v>1453357483.74</v>
      </c>
      <c r="G105" s="65">
        <f>+'[7]IS - YTD'!M21</f>
        <v>0</v>
      </c>
      <c r="H105" s="65">
        <f>+'[8]IS - YTD'!M21</f>
        <v>0</v>
      </c>
      <c r="I105" s="65">
        <f>+'[9]IS - YTD'!L21</f>
        <v>0</v>
      </c>
      <c r="J105" s="65">
        <f>'[10]IS - YTD'!$B$22</f>
        <v>1453357483.74</v>
      </c>
      <c r="K105" s="65">
        <f>+'[11]IS - YTD'!L21</f>
        <v>0</v>
      </c>
      <c r="L105" s="65">
        <v>0</v>
      </c>
    </row>
    <row r="106" spans="2:20" hidden="1">
      <c r="E106" s="73"/>
    </row>
    <row r="107" spans="2:20" ht="13.9" hidden="1" thickBot="1">
      <c r="E107" s="62">
        <f t="shared" ref="E107:J107" si="22">SUM(E99:E105)</f>
        <v>37676911186.669998</v>
      </c>
      <c r="F107" s="62">
        <f t="shared" si="22"/>
        <v>0</v>
      </c>
      <c r="G107" s="62">
        <f>SUM(G99:G105)</f>
        <v>179469491</v>
      </c>
      <c r="H107" s="62">
        <f t="shared" si="22"/>
        <v>19487377</v>
      </c>
      <c r="I107" s="62">
        <f t="shared" si="22"/>
        <v>830585</v>
      </c>
      <c r="J107" s="62">
        <f t="shared" si="22"/>
        <v>37215871229.669998</v>
      </c>
      <c r="K107" s="62">
        <f>SUM(K99:K105)</f>
        <v>132026775</v>
      </c>
      <c r="L107" s="62">
        <f>SUM(L99:L105)</f>
        <v>129225729</v>
      </c>
    </row>
    <row r="108" spans="2:20" hidden="1">
      <c r="J108" s="24">
        <f>+J107-'[14]IS - YTD'!$B$23</f>
        <v>23381161773.040268</v>
      </c>
      <c r="K108" s="24">
        <f>+K107-J58</f>
        <v>-11099867973225</v>
      </c>
    </row>
    <row r="109" spans="2:20" hidden="1">
      <c r="I109" s="24"/>
    </row>
    <row r="110" spans="2:20" hidden="1">
      <c r="G110" s="24"/>
      <c r="J110" s="24">
        <f>J107-37985651236.24</f>
        <v>-769780006.56999969</v>
      </c>
    </row>
    <row r="111" spans="2:20" hidden="1">
      <c r="G111" s="24"/>
    </row>
    <row r="112" spans="2:20" hidden="1">
      <c r="G112" s="24"/>
    </row>
    <row r="113" spans="1:7" hidden="1">
      <c r="G113" s="24"/>
    </row>
    <row r="114" spans="1:7" hidden="1"/>
    <row r="115" spans="1:7" hidden="1">
      <c r="B115" s="37"/>
      <c r="D115" s="74"/>
    </row>
    <row r="116" spans="1:7" hidden="1">
      <c r="B116" s="37"/>
      <c r="D116" s="74"/>
      <c r="G116" s="24">
        <f>+G103-7288311.75</f>
        <v>172181179.25</v>
      </c>
    </row>
    <row r="117" spans="1:7" hidden="1">
      <c r="B117" s="37"/>
      <c r="D117" s="74"/>
    </row>
    <row r="118" spans="1:7" hidden="1">
      <c r="B118" s="37"/>
      <c r="D118" s="74"/>
    </row>
    <row r="119" spans="1:7" hidden="1">
      <c r="B119" s="37"/>
      <c r="D119" s="74"/>
    </row>
    <row r="120" spans="1:7" hidden="1">
      <c r="B120" s="38"/>
      <c r="E120" s="74"/>
    </row>
    <row r="121" spans="1:7" hidden="1">
      <c r="B121" s="38"/>
      <c r="E121" s="74"/>
    </row>
    <row r="122" spans="1:7" hidden="1">
      <c r="B122" s="38"/>
      <c r="D122" s="74"/>
    </row>
    <row r="123" spans="1:7" hidden="1">
      <c r="A123" t="s">
        <v>1</v>
      </c>
      <c r="B123" s="37"/>
    </row>
    <row r="124" spans="1:7" hidden="1">
      <c r="A124" t="s">
        <v>1</v>
      </c>
      <c r="B124" s="37"/>
    </row>
    <row r="125" spans="1:7" hidden="1">
      <c r="A125" t="s">
        <v>1</v>
      </c>
      <c r="B125" s="37"/>
    </row>
    <row r="126" spans="1:7" hidden="1">
      <c r="A126" t="s">
        <v>1</v>
      </c>
      <c r="B126" s="37"/>
    </row>
    <row r="127" spans="1:7" hidden="1">
      <c r="A127" t="s">
        <v>1</v>
      </c>
      <c r="B127" s="37"/>
    </row>
    <row r="128" spans="1:7" hidden="1">
      <c r="A128" t="s">
        <v>1</v>
      </c>
      <c r="B128" s="37"/>
    </row>
    <row r="129" spans="1:18" hidden="1">
      <c r="A129" t="s">
        <v>1</v>
      </c>
      <c r="B129" s="37"/>
    </row>
    <row r="130" spans="1:18" hidden="1">
      <c r="A130" t="s">
        <v>1</v>
      </c>
      <c r="B130" s="37"/>
    </row>
    <row r="131" spans="1:18" hidden="1">
      <c r="A131" t="s">
        <v>1</v>
      </c>
    </row>
    <row r="132" spans="1:18" hidden="1">
      <c r="A132" t="s">
        <v>1</v>
      </c>
    </row>
    <row r="133" spans="1:18" ht="13.9" hidden="1" thickBot="1">
      <c r="D133" s="75">
        <f>SUM(D115:D132)</f>
        <v>0</v>
      </c>
      <c r="E133" s="75">
        <f>SUM(E115:E132)</f>
        <v>0</v>
      </c>
    </row>
    <row r="134" spans="1:18">
      <c r="R134" s="63">
        <f>'[15]Balance Sheet2'!$D$29</f>
        <v>5612913749601.4238</v>
      </c>
    </row>
    <row r="135" spans="1:18">
      <c r="R135" s="63" t="e">
        <f>+R134-R19</f>
        <v>#REF!</v>
      </c>
    </row>
  </sheetData>
  <phoneticPr fontId="19" type="noConversion"/>
  <pageMargins left="0.25" right="0.25" top="0.25" bottom="0.25" header="0.25" footer="0.25"/>
  <pageSetup paperSize="9" scale="3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Z204"/>
  <sheetViews>
    <sheetView view="pageBreakPreview" topLeftCell="A175" zoomScaleSheetLayoutView="100" workbookViewId="0">
      <pane xSplit="2" topLeftCell="C1" activePane="topRight" state="frozen"/>
      <selection pane="topRight" activeCell="E199" sqref="E199"/>
    </sheetView>
  </sheetViews>
  <sheetFormatPr defaultColWidth="9.140625" defaultRowHeight="13.15"/>
  <cols>
    <col min="1" max="1" width="17.7109375" style="80" customWidth="1"/>
    <col min="2" max="2" width="32.28515625" style="198" bestFit="1" customWidth="1"/>
    <col min="3" max="3" width="24" style="198" customWidth="1"/>
    <col min="4" max="4" width="18.140625" style="198" customWidth="1"/>
    <col min="5" max="5" width="23.42578125" style="198" bestFit="1" customWidth="1"/>
    <col min="6" max="6" width="20.140625" style="198" customWidth="1"/>
    <col min="7" max="7" width="19.7109375" style="198" customWidth="1"/>
    <col min="8" max="8" width="20.42578125" style="198" customWidth="1"/>
    <col min="9" max="9" width="18.140625" style="198" customWidth="1"/>
    <col min="10" max="10" width="23.42578125" style="198" bestFit="1" customWidth="1"/>
    <col min="11" max="11" width="20.7109375" style="198" hidden="1" customWidth="1"/>
    <col min="12" max="12" width="19.7109375" style="198" hidden="1" customWidth="1"/>
    <col min="13" max="13" width="23.42578125" style="198" bestFit="1" customWidth="1"/>
    <col min="14" max="14" width="20.7109375" style="198" bestFit="1" customWidth="1"/>
    <col min="15" max="15" width="24" style="198" bestFit="1" customWidth="1"/>
    <col min="16" max="16" width="22.42578125" style="198" bestFit="1" customWidth="1"/>
    <col min="17" max="17" width="21.42578125" style="198" bestFit="1" customWidth="1"/>
    <col min="18" max="18" width="20.28515625" style="198" bestFit="1" customWidth="1"/>
    <col min="19" max="19" width="20.7109375" style="198" bestFit="1" customWidth="1"/>
    <col min="20" max="20" width="23.42578125" style="198" bestFit="1" customWidth="1"/>
    <col min="21" max="21" width="13.42578125" style="198" bestFit="1" customWidth="1"/>
    <col min="22" max="23" width="20.7109375" bestFit="1" customWidth="1"/>
    <col min="24" max="24" width="12.85546875" bestFit="1" customWidth="1"/>
    <col min="26" max="16384" width="9.140625" style="80"/>
  </cols>
  <sheetData>
    <row r="1" spans="1:25" s="1" customFormat="1">
      <c r="A1" s="1" t="s">
        <v>81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/>
      <c r="W1"/>
      <c r="X1"/>
      <c r="Y1"/>
    </row>
    <row r="2" spans="1:25" s="1" customFormat="1"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5">
        <f>+'Summary Total Pigs'!C3</f>
        <v>46226</v>
      </c>
      <c r="U2" s="184"/>
      <c r="V2"/>
      <c r="W2"/>
      <c r="X2"/>
      <c r="Y2"/>
    </row>
    <row r="3" spans="1:25" s="1" customFormat="1">
      <c r="A3" s="1" t="s">
        <v>136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/>
      <c r="W3"/>
      <c r="X3"/>
      <c r="Y3"/>
    </row>
    <row r="4" spans="1:25" s="1" customFormat="1"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/>
      <c r="W4"/>
      <c r="X4"/>
      <c r="Y4"/>
    </row>
    <row r="5" spans="1:25" s="1" customFormat="1">
      <c r="A5" s="1" t="s">
        <v>137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/>
      <c r="W5"/>
      <c r="X5"/>
      <c r="Y5"/>
    </row>
    <row r="6" spans="1:25" s="1" customFormat="1"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/>
      <c r="W6"/>
      <c r="X6"/>
      <c r="Y6"/>
    </row>
    <row r="7" spans="1:25" s="1" customFormat="1">
      <c r="A7" s="1" t="s">
        <v>84</v>
      </c>
      <c r="B7" s="184"/>
      <c r="C7" s="184"/>
      <c r="D7" s="184"/>
      <c r="E7" s="186"/>
      <c r="F7" s="184"/>
      <c r="G7" s="184"/>
      <c r="H7" s="184"/>
      <c r="I7" s="184"/>
      <c r="J7" s="184"/>
      <c r="K7" s="184"/>
      <c r="L7" s="184"/>
      <c r="M7" s="184"/>
      <c r="N7" s="186"/>
      <c r="O7" s="184"/>
      <c r="P7" s="184"/>
      <c r="Q7" s="184"/>
      <c r="R7" s="184"/>
      <c r="S7" s="184"/>
      <c r="T7" s="184"/>
      <c r="U7" s="184"/>
      <c r="V7"/>
      <c r="W7"/>
      <c r="X7"/>
      <c r="Y7"/>
    </row>
    <row r="8" spans="1:25" s="1" customFormat="1">
      <c r="B8" s="187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6"/>
      <c r="N8" s="184"/>
      <c r="O8" s="184"/>
      <c r="P8" s="184"/>
      <c r="Q8" s="184"/>
      <c r="R8" s="184"/>
      <c r="S8" s="184"/>
      <c r="T8" s="184"/>
      <c r="U8" s="184"/>
      <c r="V8"/>
      <c r="W8"/>
      <c r="X8"/>
      <c r="Y8"/>
    </row>
    <row r="9" spans="1:25" s="1" customFormat="1">
      <c r="B9" s="184"/>
      <c r="C9" s="184"/>
      <c r="D9" s="184"/>
      <c r="E9" s="186"/>
      <c r="F9" s="184"/>
      <c r="G9" s="184"/>
      <c r="H9" s="184"/>
      <c r="I9" s="184"/>
      <c r="J9" s="184"/>
      <c r="K9" s="184"/>
      <c r="L9" s="184"/>
      <c r="M9" s="186"/>
      <c r="N9" s="186"/>
      <c r="O9" s="184"/>
      <c r="P9" s="184"/>
      <c r="Q9" s="184"/>
      <c r="R9" s="184"/>
      <c r="S9" s="184"/>
      <c r="T9" s="184"/>
      <c r="U9" s="184"/>
      <c r="V9"/>
      <c r="W9"/>
      <c r="X9"/>
      <c r="Y9"/>
    </row>
    <row r="10" spans="1:25" s="1" customFormat="1">
      <c r="A10" s="1" t="s">
        <v>86</v>
      </c>
      <c r="B10" s="187" t="s">
        <v>85</v>
      </c>
      <c r="C10" s="184"/>
      <c r="D10" s="205"/>
      <c r="E10" s="2176"/>
      <c r="F10" s="184"/>
      <c r="G10" s="184"/>
      <c r="H10" s="184"/>
      <c r="I10" s="184"/>
      <c r="J10" s="184"/>
      <c r="K10" s="184"/>
      <c r="L10" s="184"/>
      <c r="M10" s="184"/>
      <c r="N10" s="186"/>
      <c r="O10" s="184"/>
      <c r="P10" s="184"/>
      <c r="Q10" s="184"/>
      <c r="R10" s="184"/>
      <c r="S10" s="184"/>
      <c r="T10" s="184"/>
      <c r="U10" s="184"/>
      <c r="V10"/>
      <c r="W10"/>
      <c r="X10"/>
      <c r="Y10"/>
    </row>
    <row r="11" spans="1:25" s="1" customFormat="1" ht="13.9" thickBot="1">
      <c r="B11" s="184"/>
      <c r="C11" s="184" t="s">
        <v>138</v>
      </c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/>
      <c r="W11"/>
      <c r="X11"/>
      <c r="Y11"/>
    </row>
    <row r="12" spans="1:25" s="14" customFormat="1" ht="27" thickBot="1">
      <c r="A12" s="12" t="s">
        <v>87</v>
      </c>
      <c r="B12" s="189" t="s">
        <v>88</v>
      </c>
      <c r="C12" s="190" t="s">
        <v>89</v>
      </c>
      <c r="D12" s="191" t="s">
        <v>90</v>
      </c>
      <c r="E12" s="192" t="s">
        <v>91</v>
      </c>
      <c r="F12" s="190" t="s">
        <v>92</v>
      </c>
      <c r="G12" s="190" t="s">
        <v>93</v>
      </c>
      <c r="H12" s="190" t="s">
        <v>94</v>
      </c>
      <c r="I12" s="190" t="s">
        <v>95</v>
      </c>
      <c r="J12" s="190" t="s">
        <v>96</v>
      </c>
      <c r="K12" s="190" t="s">
        <v>97</v>
      </c>
      <c r="L12" s="190" t="s">
        <v>98</v>
      </c>
      <c r="M12" s="192" t="s">
        <v>99</v>
      </c>
      <c r="N12" s="192" t="s">
        <v>100</v>
      </c>
      <c r="O12" s="192" t="s">
        <v>101</v>
      </c>
      <c r="P12" s="192" t="s">
        <v>102</v>
      </c>
      <c r="Q12" s="192" t="e">
        <f>'Summary Total Pigs'!#REF!</f>
        <v>#REF!</v>
      </c>
      <c r="R12" s="193" t="s">
        <v>139</v>
      </c>
      <c r="S12" s="194" t="s">
        <v>140</v>
      </c>
      <c r="T12" s="195" t="s">
        <v>104</v>
      </c>
      <c r="U12" s="196"/>
      <c r="V12"/>
      <c r="W12"/>
      <c r="X12"/>
      <c r="Y12"/>
    </row>
    <row r="13" spans="1:25">
      <c r="A13" s="2171" t="s">
        <v>105</v>
      </c>
      <c r="B13" s="197" t="s">
        <v>106</v>
      </c>
      <c r="C13" s="2177">
        <f>'[16]Pigs Cost'!$T13</f>
        <v>76193292893.302841</v>
      </c>
      <c r="D13" s="2178"/>
      <c r="E13" s="2178"/>
      <c r="F13" s="2177">
        <f>E170</f>
        <v>0</v>
      </c>
      <c r="G13" s="2177" t="e">
        <f>('Summary Total Pigs'!AE12+'Summary Total Pigs'!AE15+'Summary Total Pigs'!AE16+'Summary Total Pigs'!AE17)/'Summary Total Pigs'!#REF!*'Pigs Cost'!E171</f>
        <v>#REF!</v>
      </c>
      <c r="H13" s="2177" t="e">
        <f>('Summary Total Pigs'!AE12+'Summary Total Pigs'!AE15+'Summary Total Pigs'!AE16+'Summary Total Pigs'!AE17)/'Summary Total Pigs'!#REF!*'Pigs Cost'!E172</f>
        <v>#REF!</v>
      </c>
      <c r="I13" s="2177">
        <f>E173/3</f>
        <v>0</v>
      </c>
      <c r="J13" s="2177" t="e">
        <f>('Summary Total Pigs'!AE12+'Summary Total Pigs'!AE15+'Summary Total Pigs'!AE16+'Summary Total Pigs'!AE17)/'Summary Total Pigs'!#REF!*'Pigs Cost'!J174</f>
        <v>#REF!</v>
      </c>
      <c r="K13" s="2177" t="e">
        <f>('Summary Total Pigs'!AE12+'Summary Total Pigs'!AE15+'Summary Total Pigs'!AE16+'Summary Total Pigs'!AE17)/'Summary Total Pigs'!#REF!*'Pigs Cost'!E175</f>
        <v>#REF!</v>
      </c>
      <c r="L13" s="2177" t="e">
        <f>('Summary Total Pigs'!AE12+'Summary Total Pigs'!AE15+'Summary Total Pigs'!AE16+'Summary Total Pigs'!AE17)/'Summary Total Pigs'!#REF!*'Pigs Cost'!J176</f>
        <v>#REF!</v>
      </c>
      <c r="M13" s="2179" t="e">
        <f t="shared" ref="M13:M18" si="0">SUM(C13:L13)</f>
        <v>#REF!</v>
      </c>
      <c r="N13" s="2179" t="e">
        <f>M13/'Summary Total Pigs'!#REF!</f>
        <v>#REF!</v>
      </c>
      <c r="O13" s="2179" t="e">
        <f>N13*'Summary Total Pigs'!#REF!</f>
        <v>#REF!</v>
      </c>
      <c r="P13" s="2179" t="e">
        <f>N13*'Summary Total Pigs'!X12</f>
        <v>#REF!</v>
      </c>
      <c r="Q13" s="2179" t="e">
        <f>'Summary Total Pigs'!#REF!*'Pigs Cost'!N13</f>
        <v>#REF!</v>
      </c>
      <c r="R13" s="2179" t="e">
        <f>N13*'Summary Total Pigs'!Z12</f>
        <v>#REF!</v>
      </c>
      <c r="S13" s="2179" t="e">
        <f>'Summary Total Pigs'!#REF!*'Pigs Cost'!N13</f>
        <v>#REF!</v>
      </c>
      <c r="T13" s="2180" t="e">
        <f t="shared" ref="T13:T18" si="1">M13+O13+P13+R13+S13+Q13</f>
        <v>#REF!</v>
      </c>
      <c r="U13" s="205"/>
      <c r="V13" s="24">
        <f>[17]Sheet1!$E163</f>
        <v>226689256.83000001</v>
      </c>
      <c r="W13" s="24" t="e">
        <f>T13-V13</f>
        <v>#REF!</v>
      </c>
    </row>
    <row r="14" spans="1:25" s="2" customFormat="1">
      <c r="A14" s="2172" t="s">
        <v>107</v>
      </c>
      <c r="B14" s="2181" t="s">
        <v>108</v>
      </c>
      <c r="C14" s="2177">
        <f>'[16]Pigs Cost'!$T14</f>
        <v>104107508765.54976</v>
      </c>
      <c r="D14" s="2182"/>
      <c r="E14" s="2182" t="e">
        <f>'Summary Total Pigs'!D13*N13</f>
        <v>#REF!</v>
      </c>
      <c r="F14" s="205"/>
      <c r="G14" s="2183" t="e">
        <f>'Summary Total Pigs'!AE13/'Summary Total Pigs'!#REF!*'Pigs Cost'!E171</f>
        <v>#REF!</v>
      </c>
      <c r="H14" s="2183" t="e">
        <f>'Summary Total Pigs'!AE13/'Summary Total Pigs'!#REF!*'Pigs Cost'!E172</f>
        <v>#REF!</v>
      </c>
      <c r="I14" s="2183">
        <f>I13</f>
        <v>0</v>
      </c>
      <c r="J14" s="2183" t="e">
        <f>'Summary Total Pigs'!AE13/'Summary Total Pigs'!#REF!*'Pigs Cost'!J174</f>
        <v>#REF!</v>
      </c>
      <c r="K14" s="2177" t="e">
        <f>('Summary Total Pigs'!AE13)/'Summary Total Pigs'!#REF!*'Pigs Cost'!E175</f>
        <v>#REF!</v>
      </c>
      <c r="L14" s="2183" t="e">
        <f>'Summary Total Pigs'!AE13/'Summary Total Pigs'!#REF!*'Pigs Cost'!J176</f>
        <v>#REF!</v>
      </c>
      <c r="M14" s="2179" t="e">
        <f t="shared" si="0"/>
        <v>#REF!</v>
      </c>
      <c r="N14" s="2179" t="e">
        <f>M14/'Summary Total Pigs'!#REF!</f>
        <v>#REF!</v>
      </c>
      <c r="O14" s="2179" t="e">
        <f>N14*'Summary Total Pigs'!#REF!</f>
        <v>#REF!</v>
      </c>
      <c r="P14" s="2179" t="e">
        <f>N14*'Summary Total Pigs'!X13</f>
        <v>#REF!</v>
      </c>
      <c r="Q14" s="2179" t="e">
        <f>'Summary Total Pigs'!#REF!*'Pigs Cost'!N14</f>
        <v>#REF!</v>
      </c>
      <c r="R14" s="2179" t="e">
        <f>N14*'Summary Total Pigs'!Z13</f>
        <v>#REF!</v>
      </c>
      <c r="S14" s="2179" t="e">
        <f>'Summary Total Pigs'!#REF!*'Pigs Cost'!N14</f>
        <v>#REF!</v>
      </c>
      <c r="T14" s="2180" t="e">
        <f t="shared" si="1"/>
        <v>#REF!</v>
      </c>
      <c r="U14" s="205"/>
      <c r="V14" s="24">
        <f>[17]Sheet1!$E164</f>
        <v>260901440.03999999</v>
      </c>
      <c r="W14" s="24" t="e">
        <f t="shared" ref="W14:W19" si="2">T14-V14</f>
        <v>#REF!</v>
      </c>
      <c r="X14"/>
      <c r="Y14"/>
    </row>
    <row r="15" spans="1:25" s="2" customFormat="1">
      <c r="A15" s="2172" t="s">
        <v>109</v>
      </c>
      <c r="B15" s="2181" t="s">
        <v>110</v>
      </c>
      <c r="C15" s="2177">
        <f>'[16]Pigs Cost'!$T15</f>
        <v>227025682034.61804</v>
      </c>
      <c r="D15" s="2182"/>
      <c r="E15" s="2182" t="e">
        <f>3838*N14+19*N16</f>
        <v>#REF!</v>
      </c>
      <c r="F15" s="2183"/>
      <c r="G15" s="2183" t="e">
        <f>'Summary Total Pigs'!AE14/'Summary Total Pigs'!#REF!*'Pigs Cost'!E171</f>
        <v>#REF!</v>
      </c>
      <c r="H15" s="2183" t="e">
        <f>'Summary Total Pigs'!AE14/'Summary Total Pigs'!#REF!*'Pigs Cost'!E172</f>
        <v>#REF!</v>
      </c>
      <c r="I15" s="2183">
        <f>I14</f>
        <v>0</v>
      </c>
      <c r="J15" s="2183" t="e">
        <f>'Summary Total Pigs'!AE14/'Summary Total Pigs'!#REF!*'Pigs Cost'!J174</f>
        <v>#REF!</v>
      </c>
      <c r="K15" s="2177" t="e">
        <f>('Summary Total Pigs'!AE14)/'Summary Total Pigs'!#REF!*'Pigs Cost'!E175</f>
        <v>#REF!</v>
      </c>
      <c r="L15" s="2183" t="e">
        <f>'Summary Total Pigs'!AE14/'Summary Total Pigs'!#REF!*'Pigs Cost'!J176</f>
        <v>#REF!</v>
      </c>
      <c r="M15" s="2179" t="e">
        <f t="shared" si="0"/>
        <v>#REF!</v>
      </c>
      <c r="N15" s="2179" t="e">
        <f>M15/'Summary Total Pigs'!#REF!</f>
        <v>#REF!</v>
      </c>
      <c r="O15" s="2179" t="e">
        <f>N15*'Summary Total Pigs'!#REF!</f>
        <v>#REF!</v>
      </c>
      <c r="P15" s="2179" t="e">
        <f>N15*'Summary Total Pigs'!X14</f>
        <v>#REF!</v>
      </c>
      <c r="Q15" s="2179" t="e">
        <f>'Summary Total Pigs'!#REF!*'Pigs Cost'!N15</f>
        <v>#REF!</v>
      </c>
      <c r="R15" s="2179" t="e">
        <f>N15*'Summary Total Pigs'!Z14</f>
        <v>#REF!</v>
      </c>
      <c r="S15" s="2179" t="e">
        <f>'Summary Total Pigs'!#REF!*'Pigs Cost'!N15</f>
        <v>#REF!</v>
      </c>
      <c r="T15" s="2180" t="e">
        <f t="shared" si="1"/>
        <v>#REF!</v>
      </c>
      <c r="U15" s="205"/>
      <c r="V15" s="24">
        <f>[17]Sheet1!$E165</f>
        <v>529351443.73000002</v>
      </c>
      <c r="W15" s="24" t="e">
        <f t="shared" si="2"/>
        <v>#REF!</v>
      </c>
      <c r="X15"/>
      <c r="Y15"/>
    </row>
    <row r="16" spans="1:25" s="2" customFormat="1">
      <c r="A16" s="2172" t="s">
        <v>111</v>
      </c>
      <c r="B16" s="2184" t="s">
        <v>106</v>
      </c>
      <c r="C16" s="2177">
        <f>'[16]Pigs Cost'!$T16</f>
        <v>3012465057.3680844</v>
      </c>
      <c r="D16" s="2182">
        <v>0</v>
      </c>
      <c r="E16" s="2182" t="e">
        <f>N13*'Summary Total Pigs'!D15</f>
        <v>#REF!</v>
      </c>
      <c r="F16" s="2183"/>
      <c r="G16" s="2183">
        <v>0</v>
      </c>
      <c r="H16" s="2183">
        <v>0</v>
      </c>
      <c r="I16" s="2183">
        <v>0</v>
      </c>
      <c r="J16" s="2183">
        <v>0</v>
      </c>
      <c r="K16" s="2177">
        <v>0</v>
      </c>
      <c r="L16" s="2183">
        <v>0</v>
      </c>
      <c r="M16" s="2179" t="e">
        <f t="shared" si="0"/>
        <v>#REF!</v>
      </c>
      <c r="N16" s="2179" t="e">
        <f>M16/'Summary Total Pigs'!#REF!</f>
        <v>#REF!</v>
      </c>
      <c r="O16" s="2179" t="e">
        <f>N16*'Summary Total Pigs'!#REF!</f>
        <v>#REF!</v>
      </c>
      <c r="P16" s="2179" t="e">
        <f>'Summary Total Pigs'!X15*'Pigs Cost'!N16</f>
        <v>#REF!</v>
      </c>
      <c r="Q16" s="2179" t="e">
        <f>'Summary Total Pigs'!#REF!*'Pigs Cost'!N16</f>
        <v>#REF!</v>
      </c>
      <c r="R16" s="2179" t="e">
        <f>N16*'Summary Total Pigs'!Z15</f>
        <v>#REF!</v>
      </c>
      <c r="S16" s="2179" t="e">
        <f>'Summary Total Pigs'!#REF!*'Pigs Cost'!N16</f>
        <v>#REF!</v>
      </c>
      <c r="T16" s="2180" t="e">
        <f t="shared" si="1"/>
        <v>#REF!</v>
      </c>
      <c r="U16" s="205"/>
      <c r="V16" s="24">
        <f>[17]Sheet1!$E166</f>
        <v>13324897.050000001</v>
      </c>
      <c r="W16" s="24" t="e">
        <f t="shared" si="2"/>
        <v>#REF!</v>
      </c>
      <c r="X16"/>
      <c r="Y16"/>
    </row>
    <row r="17" spans="1:26" s="2" customFormat="1">
      <c r="A17" s="2172" t="s">
        <v>112</v>
      </c>
      <c r="B17" s="197" t="s">
        <v>106</v>
      </c>
      <c r="C17" s="2177">
        <f>'[16]Pigs Cost'!$T17</f>
        <v>705130890.74762797</v>
      </c>
      <c r="D17" s="2182"/>
      <c r="E17" s="2182" t="e">
        <f>'Summary Total Pigs'!D16*N16</f>
        <v>#REF!</v>
      </c>
      <c r="F17" s="2183"/>
      <c r="G17" s="2183">
        <v>0</v>
      </c>
      <c r="H17" s="2183">
        <v>0</v>
      </c>
      <c r="I17" s="2183">
        <f>I16</f>
        <v>0</v>
      </c>
      <c r="J17" s="2183">
        <v>0</v>
      </c>
      <c r="K17" s="2177">
        <v>0</v>
      </c>
      <c r="L17" s="2183">
        <v>0</v>
      </c>
      <c r="M17" s="2179" t="e">
        <f t="shared" si="0"/>
        <v>#REF!</v>
      </c>
      <c r="N17" s="2179" t="e">
        <f>M17/'Summary Total Pigs'!#REF!</f>
        <v>#REF!</v>
      </c>
      <c r="O17" s="2179" t="e">
        <f>N17*'Summary Total Pigs'!#REF!</f>
        <v>#REF!</v>
      </c>
      <c r="P17" s="2179" t="e">
        <f>N17*'Summary Total Pigs'!X16</f>
        <v>#REF!</v>
      </c>
      <c r="Q17" s="2179" t="e">
        <f>'Summary Total Pigs'!#REF!*'Pigs Cost'!N17</f>
        <v>#REF!</v>
      </c>
      <c r="R17" s="2179" t="e">
        <f>N17*'Summary Total Pigs'!Z16</f>
        <v>#REF!</v>
      </c>
      <c r="S17" s="2179" t="e">
        <f>'Summary Total Pigs'!#REF!*'Pigs Cost'!N17</f>
        <v>#REF!</v>
      </c>
      <c r="T17" s="2180" t="e">
        <f t="shared" si="1"/>
        <v>#REF!</v>
      </c>
      <c r="U17" s="205"/>
      <c r="V17" s="24">
        <f>[17]Sheet1!$E167</f>
        <v>792833.6</v>
      </c>
      <c r="W17" s="24" t="e">
        <f t="shared" si="2"/>
        <v>#REF!</v>
      </c>
      <c r="X17"/>
      <c r="Y17"/>
      <c r="Z17" s="300"/>
    </row>
    <row r="18" spans="1:26" s="2" customFormat="1" ht="13.9" thickBot="1">
      <c r="A18" s="2174" t="s">
        <v>113</v>
      </c>
      <c r="B18" s="2185" t="s">
        <v>114</v>
      </c>
      <c r="C18" s="2177">
        <f>'[16]Pigs Cost'!$T18</f>
        <v>109058.54019706693</v>
      </c>
      <c r="D18" s="2186"/>
      <c r="E18" s="2182" t="e">
        <f>'Summary Total Pigs'!D17*N15</f>
        <v>#REF!</v>
      </c>
      <c r="F18" s="2187">
        <v>0</v>
      </c>
      <c r="G18" s="2183">
        <v>0</v>
      </c>
      <c r="H18" s="2183">
        <v>0</v>
      </c>
      <c r="I18" s="2183">
        <f>I17</f>
        <v>0</v>
      </c>
      <c r="J18" s="2183">
        <v>0</v>
      </c>
      <c r="K18" s="2177">
        <v>0</v>
      </c>
      <c r="L18" s="2183">
        <v>0</v>
      </c>
      <c r="M18" s="2179" t="e">
        <f t="shared" si="0"/>
        <v>#REF!</v>
      </c>
      <c r="N18" s="2179" t="e">
        <f>M18/'Summary Total Pigs'!#REF!</f>
        <v>#REF!</v>
      </c>
      <c r="O18" s="2179" t="e">
        <f>N18*'Summary Total Pigs'!#REF!</f>
        <v>#REF!</v>
      </c>
      <c r="P18" s="2179" t="e">
        <f>N18*'Summary Total Pigs'!X17</f>
        <v>#REF!</v>
      </c>
      <c r="Q18" s="2179" t="e">
        <f>'Summary Total Pigs'!#REF!*'Pigs Cost'!N18</f>
        <v>#REF!</v>
      </c>
      <c r="R18" s="2179" t="e">
        <f>N18*'Summary Total Pigs'!Z17</f>
        <v>#REF!</v>
      </c>
      <c r="S18" s="2179" t="e">
        <f>'Summary Total Pigs'!#REF!*'Pigs Cost'!N18</f>
        <v>#REF!</v>
      </c>
      <c r="T18" s="2180" t="e">
        <f t="shared" si="1"/>
        <v>#REF!</v>
      </c>
      <c r="U18" s="205"/>
      <c r="V18" s="24">
        <f>[17]Sheet1!$E168</f>
        <v>109058.54</v>
      </c>
      <c r="W18" s="24" t="e">
        <f t="shared" si="2"/>
        <v>#REF!</v>
      </c>
      <c r="X18"/>
      <c r="Y18"/>
      <c r="Z18" s="300"/>
    </row>
    <row r="19" spans="1:26" s="1" customFormat="1" ht="13.9" thickBot="1">
      <c r="A19" s="3" t="s">
        <v>115</v>
      </c>
      <c r="B19" s="199"/>
      <c r="C19" s="200">
        <f>SUM(C13:C18)</f>
        <v>411044188700.12659</v>
      </c>
      <c r="D19" s="201">
        <f t="shared" ref="D19:L19" si="3">SUM(D13:D18)</f>
        <v>0</v>
      </c>
      <c r="E19" s="201" t="e">
        <f>SUM(E13:E18)</f>
        <v>#REF!</v>
      </c>
      <c r="F19" s="201">
        <f t="shared" si="3"/>
        <v>0</v>
      </c>
      <c r="G19" s="201" t="e">
        <f t="shared" si="3"/>
        <v>#REF!</v>
      </c>
      <c r="H19" s="201" t="e">
        <f t="shared" si="3"/>
        <v>#REF!</v>
      </c>
      <c r="I19" s="201">
        <f t="shared" si="3"/>
        <v>0</v>
      </c>
      <c r="J19" s="201" t="e">
        <f t="shared" si="3"/>
        <v>#REF!</v>
      </c>
      <c r="K19" s="201" t="e">
        <f t="shared" si="3"/>
        <v>#REF!</v>
      </c>
      <c r="L19" s="201" t="e">
        <f t="shared" si="3"/>
        <v>#REF!</v>
      </c>
      <c r="M19" s="201" t="e">
        <f t="shared" ref="M19:T19" si="4">SUM(M13:M18)</f>
        <v>#REF!</v>
      </c>
      <c r="N19" s="201" t="e">
        <f t="shared" si="4"/>
        <v>#REF!</v>
      </c>
      <c r="O19" s="201" t="e">
        <f>SUM(O13:O18)</f>
        <v>#REF!</v>
      </c>
      <c r="P19" s="201" t="e">
        <f>SUM(P13:P18)</f>
        <v>#REF!</v>
      </c>
      <c r="Q19" s="201" t="e">
        <f>SUM(Q13:Q18)</f>
        <v>#REF!</v>
      </c>
      <c r="R19" s="201" t="e">
        <f t="shared" si="4"/>
        <v>#REF!</v>
      </c>
      <c r="S19" s="201" t="e">
        <f t="shared" si="4"/>
        <v>#REF!</v>
      </c>
      <c r="T19" s="201" t="e">
        <f t="shared" si="4"/>
        <v>#REF!</v>
      </c>
      <c r="U19" s="184"/>
      <c r="V19" s="24">
        <f>SUM(V13:V18)</f>
        <v>1031168929.79</v>
      </c>
      <c r="W19" s="24" t="e">
        <f t="shared" si="2"/>
        <v>#REF!</v>
      </c>
      <c r="X19"/>
      <c r="Y19"/>
      <c r="Z19" s="50"/>
    </row>
    <row r="20" spans="1:26" s="2" customFormat="1">
      <c r="A20" s="300"/>
      <c r="B20" s="205"/>
      <c r="C20" s="205"/>
      <c r="D20" s="205"/>
      <c r="E20" s="205" t="e">
        <f>E19+O19</f>
        <v>#REF!</v>
      </c>
      <c r="F20" s="205">
        <f>F19-E170</f>
        <v>0</v>
      </c>
      <c r="G20" s="205" t="e">
        <f>G19-E171</f>
        <v>#REF!</v>
      </c>
      <c r="H20" s="205" t="e">
        <f>H19-E172</f>
        <v>#REF!</v>
      </c>
      <c r="I20" s="205">
        <f>I19-E173</f>
        <v>0</v>
      </c>
      <c r="J20" s="205" t="e">
        <f>J19-J174</f>
        <v>#REF!</v>
      </c>
      <c r="K20" s="205" t="e">
        <f>K19-E175</f>
        <v>#REF!</v>
      </c>
      <c r="L20" s="205" t="e">
        <f>L19-E176</f>
        <v>#REF!</v>
      </c>
      <c r="M20" s="205"/>
      <c r="N20" s="205"/>
      <c r="O20" s="205"/>
      <c r="P20" s="2176"/>
      <c r="Q20" s="2176"/>
      <c r="R20" s="2176"/>
      <c r="S20" s="2176"/>
      <c r="T20" s="2176"/>
      <c r="U20" s="205"/>
      <c r="V20" s="24">
        <f t="shared" ref="V20:V73" si="5">C20/$B$178</f>
        <v>0</v>
      </c>
      <c r="W20"/>
      <c r="X20"/>
      <c r="Y20"/>
      <c r="Z20" s="300"/>
    </row>
    <row r="21" spans="1:26" s="2" customFormat="1">
      <c r="A21" s="300"/>
      <c r="B21" s="205"/>
      <c r="C21" s="205"/>
      <c r="D21" s="205"/>
      <c r="E21" s="205" t="e">
        <f>E20+Sheet1!C14</f>
        <v>#REF!</v>
      </c>
      <c r="F21" s="205"/>
      <c r="G21" s="205"/>
      <c r="H21" s="205"/>
      <c r="I21" s="205"/>
      <c r="J21" s="205"/>
      <c r="K21" s="205"/>
      <c r="L21" s="205" t="e">
        <f>+(G19+H19+I19+K19+L19+J19+F19)-J178</f>
        <v>#REF!</v>
      </c>
      <c r="M21" s="205"/>
      <c r="N21" s="205"/>
      <c r="O21" s="205"/>
      <c r="P21" s="2176"/>
      <c r="Q21" s="2176"/>
      <c r="R21" s="2176"/>
      <c r="S21" s="2176"/>
      <c r="T21" s="2176"/>
      <c r="U21" s="205"/>
      <c r="V21" s="24">
        <f t="shared" si="5"/>
        <v>0</v>
      </c>
      <c r="W21"/>
      <c r="X21"/>
      <c r="Y21"/>
      <c r="Z21" s="300"/>
    </row>
    <row r="22" spans="1:26" s="2" customFormat="1">
      <c r="A22" s="1" t="s">
        <v>86</v>
      </c>
      <c r="B22" s="187" t="s">
        <v>116</v>
      </c>
      <c r="C22" s="187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176"/>
      <c r="Q22" s="2176"/>
      <c r="R22" s="2176"/>
      <c r="S22" s="2176"/>
      <c r="T22" s="2176"/>
      <c r="U22" s="205"/>
      <c r="V22" s="24">
        <f t="shared" si="5"/>
        <v>0</v>
      </c>
      <c r="W22"/>
      <c r="X22"/>
      <c r="Y22"/>
      <c r="Z22" s="300"/>
    </row>
    <row r="23" spans="1:26" s="2" customFormat="1" ht="13.9" thickBot="1">
      <c r="A23" s="300"/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176"/>
      <c r="Q23" s="2176"/>
      <c r="R23" s="2176"/>
      <c r="S23" s="2176"/>
      <c r="T23" s="2176"/>
      <c r="U23" s="205"/>
      <c r="V23" s="24">
        <f t="shared" si="5"/>
        <v>0</v>
      </c>
      <c r="W23"/>
      <c r="X23"/>
      <c r="Y23"/>
      <c r="Z23" s="300"/>
    </row>
    <row r="24" spans="1:26" s="14" customFormat="1" ht="27" thickBot="1">
      <c r="A24" s="12" t="s">
        <v>87</v>
      </c>
      <c r="B24" s="189" t="s">
        <v>88</v>
      </c>
      <c r="C24" s="190" t="str">
        <f>+C12</f>
        <v>OPENING</v>
      </c>
      <c r="D24" s="191" t="s">
        <v>90</v>
      </c>
      <c r="E24" s="192" t="s">
        <v>91</v>
      </c>
      <c r="F24" s="190" t="s">
        <v>92</v>
      </c>
      <c r="G24" s="190" t="s">
        <v>93</v>
      </c>
      <c r="H24" s="190" t="s">
        <v>94</v>
      </c>
      <c r="I24" s="190" t="s">
        <v>95</v>
      </c>
      <c r="J24" s="190" t="s">
        <v>96</v>
      </c>
      <c r="K24" s="190" t="s">
        <v>97</v>
      </c>
      <c r="L24" s="190" t="s">
        <v>98</v>
      </c>
      <c r="M24" s="192" t="s">
        <v>99</v>
      </c>
      <c r="N24" s="192" t="s">
        <v>100</v>
      </c>
      <c r="O24" s="192" t="s">
        <v>101</v>
      </c>
      <c r="P24" s="192" t="s">
        <v>102</v>
      </c>
      <c r="Q24" s="192" t="e">
        <f>'Summary Total Pigs'!#REF!</f>
        <v>#REF!</v>
      </c>
      <c r="R24" s="192" t="str">
        <f>R12</f>
        <v>CULLS</v>
      </c>
      <c r="S24" s="192" t="str">
        <f>+S12</f>
        <v>STOCK ADJMNT</v>
      </c>
      <c r="T24" s="195" t="s">
        <v>104</v>
      </c>
      <c r="U24" s="196"/>
      <c r="V24" s="24"/>
      <c r="W24"/>
      <c r="X24"/>
      <c r="Y24"/>
    </row>
    <row r="25" spans="1:26" s="2" customFormat="1">
      <c r="A25" s="2171" t="s">
        <v>105</v>
      </c>
      <c r="B25" s="2184" t="s">
        <v>106</v>
      </c>
      <c r="C25" s="2177">
        <f>'[16]Pigs Cost'!$T25</f>
        <v>0</v>
      </c>
      <c r="D25" s="2178"/>
      <c r="E25" s="2178" t="e">
        <f>'Summary Total Pigs'!#REF!*N23</f>
        <v>#REF!</v>
      </c>
      <c r="F25" s="2177"/>
      <c r="G25" s="2177" t="e">
        <f>('Summary Total Pigs'!#REF!+'Summary Total Pigs'!#REF!)/'Summary Total Pigs'!#REF!*$G$171</f>
        <v>#REF!</v>
      </c>
      <c r="H25" s="2177" t="e">
        <f>('Summary Total Pigs'!#REF!+'Summary Total Pigs'!#REF!)/'Summary Total Pigs'!#REF!*'Pigs Cost'!$G$172</f>
        <v>#REF!</v>
      </c>
      <c r="I25" s="2177" t="e">
        <f>('Summary Total Pigs'!#REF!+'Summary Total Pigs'!#REF!)/'Summary Total Pigs'!#REF!*'Pigs Cost'!$G$173</f>
        <v>#REF!</v>
      </c>
      <c r="J25" s="2177" t="e">
        <f>('Summary Total Pigs'!#REF!+'Summary Total Pigs'!#REF!)/'Summary Total Pigs'!#REF!*'Pigs Cost'!$G$174</f>
        <v>#REF!</v>
      </c>
      <c r="K25" s="2177" t="e">
        <f>('Summary Total Pigs'!#REF!/'Summary Total Pigs'!#REF!)*'Pigs Cost'!$G$175</f>
        <v>#REF!</v>
      </c>
      <c r="L25" s="2177" t="e">
        <f>('Summary Total Pigs'!#REF!+'Summary Total Pigs'!#REF!)/'Summary Total Pigs'!#REF!*G176</f>
        <v>#REF!</v>
      </c>
      <c r="M25" s="2179" t="e">
        <f t="shared" ref="M25:M30" si="6">SUM(C25:L25)</f>
        <v>#REF!</v>
      </c>
      <c r="N25" s="2179">
        <v>0</v>
      </c>
      <c r="O25" s="2179" t="e">
        <f>N25*'Summary Total Pigs'!#REF!</f>
        <v>#REF!</v>
      </c>
      <c r="P25" s="2179" t="e">
        <f>N25*'Summary Total Pigs'!#REF!</f>
        <v>#REF!</v>
      </c>
      <c r="Q25" s="2179" t="e">
        <f>'Summary Total Pigs'!#REF!*'Pigs Cost'!N25</f>
        <v>#REF!</v>
      </c>
      <c r="R25" s="2179" t="e">
        <f>N25*'Summary Total Pigs'!#REF!</f>
        <v>#REF!</v>
      </c>
      <c r="S25" s="2179" t="e">
        <f>'Summary Total Pigs'!#REF!*'Pigs Cost'!N25</f>
        <v>#REF!</v>
      </c>
      <c r="T25" s="2180" t="e">
        <f t="shared" ref="T25:T30" si="7">M25+O25+P25+R25+S25+Q25</f>
        <v>#REF!</v>
      </c>
      <c r="U25" s="205"/>
      <c r="V25" s="24">
        <f t="shared" si="5"/>
        <v>0</v>
      </c>
      <c r="W25"/>
      <c r="X25"/>
      <c r="Y25"/>
      <c r="Z25" s="300"/>
    </row>
    <row r="26" spans="1:26" s="2" customFormat="1">
      <c r="A26" s="2172" t="s">
        <v>107</v>
      </c>
      <c r="B26" s="2181" t="s">
        <v>108</v>
      </c>
      <c r="C26" s="2177">
        <f>'[16]Pigs Cost'!$T26</f>
        <v>0</v>
      </c>
      <c r="D26" s="2182"/>
      <c r="E26" s="2178">
        <v>0</v>
      </c>
      <c r="F26" s="2183"/>
      <c r="G26" s="2177" t="e">
        <f>('Summary Total Pigs'!#REF!)/'Summary Total Pigs'!#REF!*$G$171</f>
        <v>#REF!</v>
      </c>
      <c r="H26" s="2177" t="e">
        <f>('Summary Total Pigs'!#REF!)/'Summary Total Pigs'!#REF!*'Pigs Cost'!G172</f>
        <v>#REF!</v>
      </c>
      <c r="I26" s="2177" t="e">
        <f>('Summary Total Pigs'!#REF!)/'Summary Total Pigs'!#REF!*'Pigs Cost'!$G$173</f>
        <v>#REF!</v>
      </c>
      <c r="J26" s="2177" t="e">
        <f>('Summary Total Pigs'!#REF!)/'Summary Total Pigs'!#REF!*'Pigs Cost'!$G$174</f>
        <v>#REF!</v>
      </c>
      <c r="K26" s="2177" t="e">
        <f>('Summary Total Pigs'!#REF!/'Summary Total Pigs'!#REF!)*'Pigs Cost'!$G$175</f>
        <v>#REF!</v>
      </c>
      <c r="L26" s="2183"/>
      <c r="M26" s="2179" t="e">
        <f>SUM(C26:L26)</f>
        <v>#REF!</v>
      </c>
      <c r="N26" s="2179">
        <v>0</v>
      </c>
      <c r="O26" s="2179" t="e">
        <f>N26*'Summary Total Pigs'!#REF!</f>
        <v>#REF!</v>
      </c>
      <c r="P26" s="2179" t="e">
        <f>N26*'Summary Total Pigs'!#REF!</f>
        <v>#REF!</v>
      </c>
      <c r="Q26" s="2179" t="e">
        <f>'Summary Total Pigs'!#REF!*'Pigs Cost'!N26</f>
        <v>#REF!</v>
      </c>
      <c r="R26" s="2179" t="e">
        <f>N26*'Summary Total Pigs'!#REF!</f>
        <v>#REF!</v>
      </c>
      <c r="S26" s="2179" t="e">
        <f>'Summary Total Pigs'!#REF!*'Pigs Cost'!N26</f>
        <v>#REF!</v>
      </c>
      <c r="T26" s="2180" t="e">
        <f t="shared" si="7"/>
        <v>#REF!</v>
      </c>
      <c r="U26" s="205"/>
      <c r="V26" s="24">
        <f t="shared" si="5"/>
        <v>0</v>
      </c>
      <c r="W26"/>
      <c r="X26"/>
      <c r="Y26"/>
      <c r="Z26" s="300"/>
    </row>
    <row r="27" spans="1:26" s="2" customFormat="1">
      <c r="A27" s="2172" t="s">
        <v>109</v>
      </c>
      <c r="B27" s="2181" t="s">
        <v>110</v>
      </c>
      <c r="C27" s="2177">
        <f>'[16]Pigs Cost'!$T27</f>
        <v>14341695586.879185</v>
      </c>
      <c r="D27" s="2182"/>
      <c r="E27" s="2188" t="e">
        <f>N101*'Summary Total Pigs'!#REF!</f>
        <v>#REF!</v>
      </c>
      <c r="F27" s="2183"/>
      <c r="G27" s="2177" t="e">
        <f>('Summary Total Pigs'!#REF!)/'Summary Total Pigs'!#REF!*$G$171</f>
        <v>#REF!</v>
      </c>
      <c r="H27" s="2183" t="e">
        <f>('Summary Total Pigs'!#REF!)/'Summary Total Pigs'!#REF!*'Pigs Cost'!$G$172</f>
        <v>#REF!</v>
      </c>
      <c r="I27" s="2177" t="e">
        <f>('Summary Total Pigs'!#REF!)/'Summary Total Pigs'!#REF!*'Pigs Cost'!$G$173</f>
        <v>#REF!</v>
      </c>
      <c r="J27" s="2177" t="e">
        <f>('Summary Total Pigs'!#REF!)/'Summary Total Pigs'!#REF!*'Pigs Cost'!$G$174</f>
        <v>#REF!</v>
      </c>
      <c r="K27" s="2177" t="e">
        <f>('Summary Total Pigs'!#REF!/'Summary Total Pigs'!#REF!)*'Pigs Cost'!$G$175</f>
        <v>#REF!</v>
      </c>
      <c r="L27" s="2183" t="e">
        <f>'Summary Total Pigs'!#REF!/'Summary Total Pigs'!#REF!*G176</f>
        <v>#REF!</v>
      </c>
      <c r="M27" s="2179" t="e">
        <f t="shared" si="6"/>
        <v>#REF!</v>
      </c>
      <c r="N27" s="2179" t="e">
        <f>M27/'Summary Total Pigs'!#REF!</f>
        <v>#REF!</v>
      </c>
      <c r="O27" s="2179" t="e">
        <f>N27*'Summary Total Pigs'!#REF!</f>
        <v>#REF!</v>
      </c>
      <c r="P27" s="2179" t="e">
        <f>N27*'Summary Total Pigs'!#REF!</f>
        <v>#REF!</v>
      </c>
      <c r="Q27" s="2179" t="e">
        <f>'Summary Total Pigs'!#REF!*'Pigs Cost'!N27</f>
        <v>#REF!</v>
      </c>
      <c r="R27" s="2179" t="e">
        <f>N27*'Summary Total Pigs'!#REF!</f>
        <v>#REF!</v>
      </c>
      <c r="S27" s="2179" t="e">
        <f>'Summary Total Pigs'!#REF!*'Pigs Cost'!N27</f>
        <v>#REF!</v>
      </c>
      <c r="T27" s="2180" t="e">
        <f>M27+O27+P27+R27+S27+Q27</f>
        <v>#REF!</v>
      </c>
      <c r="U27" s="205"/>
      <c r="V27" s="24">
        <f>[17]Sheet1!$O$165</f>
        <v>35912726.170000002</v>
      </c>
      <c r="W27" s="24" t="e">
        <f>T27-V27</f>
        <v>#REF!</v>
      </c>
      <c r="X27"/>
      <c r="Y27"/>
      <c r="Z27" s="300"/>
    </row>
    <row r="28" spans="1:26" s="2" customFormat="1">
      <c r="A28" s="2172" t="s">
        <v>111</v>
      </c>
      <c r="B28" s="2184" t="s">
        <v>106</v>
      </c>
      <c r="C28" s="2177">
        <f>'[16]Pigs Cost'!$T28</f>
        <v>0</v>
      </c>
      <c r="D28" s="2182"/>
      <c r="E28" s="2178" t="e">
        <f>'Summary Total Pigs'!#REF!*N26</f>
        <v>#REF!</v>
      </c>
      <c r="F28" s="2183"/>
      <c r="G28" s="2177"/>
      <c r="H28" s="2183"/>
      <c r="I28" s="2177"/>
      <c r="J28" s="2177"/>
      <c r="K28" s="2177" t="e">
        <f>('Summary Total Pigs'!#REF!/'Summary Total Pigs'!#REF!)*'Pigs Cost'!$G$175</f>
        <v>#REF!</v>
      </c>
      <c r="L28" s="2183"/>
      <c r="M28" s="2179">
        <v>0</v>
      </c>
      <c r="N28" s="2179"/>
      <c r="O28" s="2179" t="e">
        <f>N28*'Summary Total Pigs'!#REF!</f>
        <v>#REF!</v>
      </c>
      <c r="P28" s="2179" t="e">
        <f>N28*'Summary Total Pigs'!#REF!</f>
        <v>#REF!</v>
      </c>
      <c r="Q28" s="2179" t="e">
        <f>'Summary Total Pigs'!#REF!*'Pigs Cost'!N28</f>
        <v>#REF!</v>
      </c>
      <c r="R28" s="2179" t="e">
        <f>N28*'Summary Total Pigs'!#REF!</f>
        <v>#REF!</v>
      </c>
      <c r="S28" s="2179" t="e">
        <f>'Summary Total Pigs'!#REF!*'Pigs Cost'!N28</f>
        <v>#REF!</v>
      </c>
      <c r="T28" s="2180" t="e">
        <f t="shared" si="7"/>
        <v>#REF!</v>
      </c>
      <c r="U28" s="205"/>
      <c r="V28" s="24">
        <f t="shared" si="5"/>
        <v>0</v>
      </c>
      <c r="W28"/>
      <c r="X28"/>
      <c r="Y28"/>
      <c r="Z28" s="300"/>
    </row>
    <row r="29" spans="1:26">
      <c r="A29" s="2172" t="s">
        <v>112</v>
      </c>
      <c r="B29" s="2184" t="s">
        <v>106</v>
      </c>
      <c r="C29" s="2177">
        <f>'[16]Pigs Cost'!$T29</f>
        <v>0</v>
      </c>
      <c r="D29" s="2182"/>
      <c r="E29" s="2178">
        <v>0</v>
      </c>
      <c r="F29" s="2183"/>
      <c r="G29" s="2177"/>
      <c r="H29" s="2183" t="e">
        <f>('Summary Total Pigs'!#REF!)/'Summary Total Pigs'!#REF!*'Pigs Cost'!$G$172</f>
        <v>#REF!</v>
      </c>
      <c r="I29" s="2183"/>
      <c r="J29" s="2177"/>
      <c r="K29" s="2177" t="e">
        <f>('Summary Total Pigs'!#REF!/'Summary Total Pigs'!#REF!)*'Pigs Cost'!$G$175</f>
        <v>#REF!</v>
      </c>
      <c r="L29" s="2183"/>
      <c r="M29" s="2179" t="e">
        <f t="shared" si="6"/>
        <v>#REF!</v>
      </c>
      <c r="N29" s="2179"/>
      <c r="O29" s="2179" t="e">
        <f>N29*'Summary Total Pigs'!#REF!</f>
        <v>#REF!</v>
      </c>
      <c r="P29" s="2179" t="e">
        <f>N29*'Summary Total Pigs'!#REF!</f>
        <v>#REF!</v>
      </c>
      <c r="Q29" s="2179" t="e">
        <f>'Summary Total Pigs'!#REF!*'Pigs Cost'!N29</f>
        <v>#REF!</v>
      </c>
      <c r="R29" s="2179" t="e">
        <f>N29*'Summary Total Pigs'!#REF!</f>
        <v>#REF!</v>
      </c>
      <c r="S29" s="2179" t="e">
        <f>'Summary Total Pigs'!#REF!*'Pigs Cost'!N29</f>
        <v>#REF!</v>
      </c>
      <c r="T29" s="2180" t="e">
        <f t="shared" si="7"/>
        <v>#REF!</v>
      </c>
      <c r="U29" s="205"/>
      <c r="V29" s="24">
        <f t="shared" si="5"/>
        <v>0</v>
      </c>
      <c r="Z29" s="300"/>
    </row>
    <row r="30" spans="1:26" ht="13.9" thickBot="1">
      <c r="A30" s="2174" t="s">
        <v>113</v>
      </c>
      <c r="B30" s="2185"/>
      <c r="C30" s="2177">
        <f>'[16]Pigs Cost'!$T30</f>
        <v>0</v>
      </c>
      <c r="D30" s="2186"/>
      <c r="E30" s="2178" t="e">
        <f>'Summary Total Pigs'!#REF!*N28</f>
        <v>#REF!</v>
      </c>
      <c r="F30" s="2187"/>
      <c r="G30" s="2187"/>
      <c r="H30" s="2187"/>
      <c r="I30" s="2187"/>
      <c r="J30" s="2187"/>
      <c r="K30" s="2177" t="e">
        <f>('Summary Total Pigs'!#REF!/'Summary Total Pigs'!#REF!)*'Pigs Cost'!$G$175</f>
        <v>#REF!</v>
      </c>
      <c r="L30" s="2187"/>
      <c r="M30" s="2179" t="e">
        <f t="shared" si="6"/>
        <v>#REF!</v>
      </c>
      <c r="N30" s="2179"/>
      <c r="O30" s="2179" t="e">
        <f>N30*'Summary Total Pigs'!#REF!</f>
        <v>#REF!</v>
      </c>
      <c r="P30" s="2189"/>
      <c r="Q30" s="2179" t="e">
        <f>'Summary Total Pigs'!#REF!*'Pigs Cost'!N30</f>
        <v>#REF!</v>
      </c>
      <c r="R30" s="2179" t="e">
        <f>N30*'Summary Total Pigs'!#REF!</f>
        <v>#REF!</v>
      </c>
      <c r="S30" s="2179" t="e">
        <f>'Summary Total Pigs'!#REF!*'Pigs Cost'!N30</f>
        <v>#REF!</v>
      </c>
      <c r="T30" s="2180" t="e">
        <f t="shared" si="7"/>
        <v>#REF!</v>
      </c>
      <c r="U30" s="205"/>
      <c r="V30" s="24">
        <f t="shared" si="5"/>
        <v>0</v>
      </c>
      <c r="Z30" s="300"/>
    </row>
    <row r="31" spans="1:26" ht="13.9" thickBot="1">
      <c r="A31" s="3" t="s">
        <v>115</v>
      </c>
      <c r="B31" s="199"/>
      <c r="C31" s="200">
        <f>SUM(C25:C30)</f>
        <v>14341695586.879185</v>
      </c>
      <c r="D31" s="200">
        <f>SUM(D25:D30)</f>
        <v>0</v>
      </c>
      <c r="E31" s="200" t="e">
        <f>SUM(E25:E30)</f>
        <v>#REF!</v>
      </c>
      <c r="F31" s="200">
        <f>SUM(F25:F30)</f>
        <v>0</v>
      </c>
      <c r="G31" s="201" t="e">
        <f t="shared" ref="G31:L31" si="8">SUM(G25:G30)</f>
        <v>#REF!</v>
      </c>
      <c r="H31" s="201" t="e">
        <f t="shared" si="8"/>
        <v>#REF!</v>
      </c>
      <c r="I31" s="201" t="e">
        <f t="shared" si="8"/>
        <v>#REF!</v>
      </c>
      <c r="J31" s="201" t="e">
        <f t="shared" si="8"/>
        <v>#REF!</v>
      </c>
      <c r="K31" s="201" t="e">
        <f t="shared" si="8"/>
        <v>#REF!</v>
      </c>
      <c r="L31" s="201" t="e">
        <f t="shared" si="8"/>
        <v>#REF!</v>
      </c>
      <c r="M31" s="201" t="e">
        <f t="shared" ref="M31:T31" si="9">SUM(M25:M30)</f>
        <v>#REF!</v>
      </c>
      <c r="N31" s="201" t="e">
        <f t="shared" si="9"/>
        <v>#REF!</v>
      </c>
      <c r="O31" s="201" t="e">
        <f t="shared" si="9"/>
        <v>#REF!</v>
      </c>
      <c r="P31" s="201" t="e">
        <f t="shared" si="9"/>
        <v>#REF!</v>
      </c>
      <c r="Q31" s="201" t="e">
        <f t="shared" si="9"/>
        <v>#REF!</v>
      </c>
      <c r="R31" s="201" t="e">
        <f t="shared" si="9"/>
        <v>#REF!</v>
      </c>
      <c r="S31" s="201" t="e">
        <f t="shared" si="9"/>
        <v>#REF!</v>
      </c>
      <c r="T31" s="201" t="e">
        <f t="shared" si="9"/>
        <v>#REF!</v>
      </c>
      <c r="U31" s="205"/>
      <c r="V31" s="24">
        <f t="shared" si="5"/>
        <v>1.4341695586879184</v>
      </c>
      <c r="Z31" s="903"/>
    </row>
    <row r="32" spans="1:26">
      <c r="A32" s="300"/>
      <c r="B32" s="205"/>
      <c r="C32" s="205"/>
      <c r="D32" s="205"/>
      <c r="E32" s="205"/>
      <c r="F32" s="205"/>
      <c r="G32" s="205"/>
      <c r="H32" s="205"/>
      <c r="I32" s="205"/>
      <c r="J32" s="205" t="e">
        <f>J31-G174</f>
        <v>#REF!</v>
      </c>
      <c r="K32" s="205" t="e">
        <f>+K31-G175</f>
        <v>#REF!</v>
      </c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4">
        <f t="shared" si="5"/>
        <v>0</v>
      </c>
      <c r="Z32" s="300"/>
    </row>
    <row r="33" spans="1:25">
      <c r="A33" s="300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 t="e">
        <f>+(G31+H31+I31+K31+L31+J31)-G178</f>
        <v>#REF!</v>
      </c>
      <c r="M33" s="205"/>
      <c r="N33" s="205"/>
      <c r="O33" s="205"/>
      <c r="P33" s="205"/>
      <c r="Q33" s="205"/>
      <c r="R33" s="205"/>
      <c r="S33" s="205"/>
      <c r="T33" s="205"/>
      <c r="U33" s="205"/>
      <c r="V33" s="24">
        <f t="shared" si="5"/>
        <v>0</v>
      </c>
    </row>
    <row r="34" spans="1:25">
      <c r="A34" s="1" t="s">
        <v>86</v>
      </c>
      <c r="B34" s="187" t="s">
        <v>117</v>
      </c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4">
        <f t="shared" si="5"/>
        <v>0</v>
      </c>
    </row>
    <row r="35" spans="1:25" ht="13.9" thickBot="1">
      <c r="A35" s="300"/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4">
        <f t="shared" si="5"/>
        <v>0</v>
      </c>
    </row>
    <row r="36" spans="1:25" s="14" customFormat="1" ht="27" thickBot="1">
      <c r="A36" s="12" t="s">
        <v>87</v>
      </c>
      <c r="B36" s="189" t="s">
        <v>88</v>
      </c>
      <c r="C36" s="190" t="str">
        <f>+C24</f>
        <v>OPENING</v>
      </c>
      <c r="D36" s="191" t="s">
        <v>90</v>
      </c>
      <c r="E36" s="192" t="s">
        <v>91</v>
      </c>
      <c r="F36" s="190" t="s">
        <v>92</v>
      </c>
      <c r="G36" s="190" t="s">
        <v>93</v>
      </c>
      <c r="H36" s="190" t="s">
        <v>94</v>
      </c>
      <c r="I36" s="190" t="s">
        <v>95</v>
      </c>
      <c r="J36" s="190" t="s">
        <v>96</v>
      </c>
      <c r="K36" s="190" t="s">
        <v>97</v>
      </c>
      <c r="L36" s="190" t="s">
        <v>98</v>
      </c>
      <c r="M36" s="192" t="s">
        <v>99</v>
      </c>
      <c r="N36" s="192" t="s">
        <v>100</v>
      </c>
      <c r="O36" s="192" t="s">
        <v>101</v>
      </c>
      <c r="P36" s="192" t="s">
        <v>102</v>
      </c>
      <c r="Q36" s="192" t="str">
        <f>'Summary Total Pigs'!W49</f>
        <v>Deaths</v>
      </c>
      <c r="R36" s="192" t="str">
        <f>R24</f>
        <v>CULLS</v>
      </c>
      <c r="S36" s="192" t="str">
        <f>+S24</f>
        <v>STOCK ADJMNT</v>
      </c>
      <c r="T36" s="195" t="s">
        <v>104</v>
      </c>
      <c r="U36" s="196"/>
      <c r="V36" s="24"/>
      <c r="W36"/>
      <c r="X36"/>
      <c r="Y36"/>
    </row>
    <row r="37" spans="1:25">
      <c r="A37" s="2171" t="s">
        <v>105</v>
      </c>
      <c r="B37" s="2184" t="s">
        <v>106</v>
      </c>
      <c r="C37" s="2177">
        <f>'[16]Pigs Cost'!$T37</f>
        <v>3105277770.635973</v>
      </c>
      <c r="D37" s="2178"/>
      <c r="E37" s="2178"/>
      <c r="F37" s="2177" t="e">
        <f>+$H$169*'Summary Total Pigs'!#REF!/'Summary Total Pigs'!#REF!</f>
        <v>#REF!</v>
      </c>
      <c r="G37" s="2177">
        <f>('Summary Total Pigs'!AE50+'Summary Total Pigs'!AE54)/'Summary Total Pigs'!AE56*'Pigs Cost'!$H$171</f>
        <v>0</v>
      </c>
      <c r="H37" s="2177">
        <f>('Summary Total Pigs'!AE50+'Summary Total Pigs'!$AE$54)/'Summary Total Pigs'!$AE$56*'Pigs Cost'!$H$172</f>
        <v>0</v>
      </c>
      <c r="I37" s="2177">
        <f>('Summary Total Pigs'!AE50+'Summary Total Pigs'!$AE$54)/'Summary Total Pigs'!$AE$56*'Pigs Cost'!$H$173</f>
        <v>0</v>
      </c>
      <c r="J37" s="2177">
        <f>('Summary Total Pigs'!AE50+'Summary Total Pigs'!AE53+'Summary Total Pigs'!AE54+'Summary Total Pigs'!AE55)/'Summary Total Pigs'!$AE$56*'Pigs Cost'!$H$174</f>
        <v>1428807106598.9849</v>
      </c>
      <c r="K37" s="2177">
        <f>('Summary Total Pigs'!AE50+'Summary Total Pigs'!$AE$54)/'Summary Total Pigs'!$AE$56*'Pigs Cost'!$H$175</f>
        <v>0</v>
      </c>
      <c r="L37" s="2177">
        <f>('Summary Total Pigs'!$AE$50+'Summary Total Pigs'!$AE$54)/'Summary Total Pigs'!$AE$56*'Pigs Cost'!$H$176</f>
        <v>0</v>
      </c>
      <c r="M37" s="2179" t="e">
        <f t="shared" ref="M37:M42" si="10">SUM(C37:L37)</f>
        <v>#REF!</v>
      </c>
      <c r="N37" s="2179" t="e">
        <f>M37/'Summary Total Pigs'!#REF!</f>
        <v>#REF!</v>
      </c>
      <c r="O37" s="2179" t="e">
        <f>'Summary Total Pigs'!N50*'Pigs Cost'!N37</f>
        <v>#REF!</v>
      </c>
      <c r="P37" s="2179" t="e">
        <f>N37*'Summary Total Pigs'!#REF!</f>
        <v>#REF!</v>
      </c>
      <c r="Q37" s="2179" t="e">
        <f>'Summary Total Pigs'!W50*'Pigs Cost'!N37</f>
        <v>#REF!</v>
      </c>
      <c r="R37" s="2179" t="e">
        <f>'Summary Total Pigs'!X50*'Pigs Cost'!N37</f>
        <v>#REF!</v>
      </c>
      <c r="S37" s="2179" t="e">
        <f>'Summary Total Pigs'!AD50*'Pigs Cost'!N37</f>
        <v>#REF!</v>
      </c>
      <c r="T37" s="2180" t="e">
        <f t="shared" ref="T37:T42" si="11">M37+O37+P37+R37+S37+Q37</f>
        <v>#REF!</v>
      </c>
      <c r="U37" s="205"/>
      <c r="V37" s="24">
        <f>[17]Sheet1!$Q163</f>
        <v>34479972.200000003</v>
      </c>
      <c r="W37" s="24" t="e">
        <f t="shared" ref="W37:W43" si="12">T37-V37</f>
        <v>#REF!</v>
      </c>
    </row>
    <row r="38" spans="1:25">
      <c r="A38" s="2172" t="s">
        <v>107</v>
      </c>
      <c r="B38" s="2181" t="s">
        <v>108</v>
      </c>
      <c r="C38" s="2177">
        <f>'[16]Pigs Cost'!$T38</f>
        <v>0</v>
      </c>
      <c r="D38" s="2182"/>
      <c r="E38" s="2182"/>
      <c r="F38" s="2177" t="e">
        <f>+$H$169*'Summary Total Pigs'!#REF!/'Summary Total Pigs'!#REF!</f>
        <v>#REF!</v>
      </c>
      <c r="G38" s="2177">
        <f>('Summary Total Pigs'!AE51)/'Summary Total Pigs'!$AE$56*'Pigs Cost'!$H$171</f>
        <v>0</v>
      </c>
      <c r="H38" s="2177">
        <f>('Summary Total Pigs'!AE51)/'Summary Total Pigs'!$AE$56*'Pigs Cost'!$H$172</f>
        <v>0</v>
      </c>
      <c r="I38" s="2177">
        <f>('Summary Total Pigs'!AE51)/'Summary Total Pigs'!$AE$56*'Pigs Cost'!$H$173</f>
        <v>0</v>
      </c>
      <c r="J38" s="2177">
        <f>('Summary Total Pigs'!AE51)/'Summary Total Pigs'!$AE$56*'Pigs Cost'!$H$174</f>
        <v>1471065989847.7158</v>
      </c>
      <c r="K38" s="2177">
        <f>('Summary Total Pigs'!AE51)/'Summary Total Pigs'!$AE$56*'Pigs Cost'!$H$175</f>
        <v>0</v>
      </c>
      <c r="L38" s="2177">
        <f>('Summary Total Pigs'!AE51)/'Summary Total Pigs'!$AE$56*'Pigs Cost'!$H$176</f>
        <v>0</v>
      </c>
      <c r="M38" s="2179" t="e">
        <f t="shared" si="10"/>
        <v>#REF!</v>
      </c>
      <c r="N38" s="2179"/>
      <c r="O38" s="2179">
        <f>'Summary Total Pigs'!N51*'Pigs Cost'!N38</f>
        <v>0</v>
      </c>
      <c r="P38" s="2179" t="e">
        <f>N38*'Summary Total Pigs'!#REF!</f>
        <v>#REF!</v>
      </c>
      <c r="Q38" s="2179">
        <f>'Summary Total Pigs'!W51*'Pigs Cost'!N38</f>
        <v>0</v>
      </c>
      <c r="R38" s="2179">
        <f>'Summary Total Pigs'!X51*'Pigs Cost'!N38</f>
        <v>0</v>
      </c>
      <c r="S38" s="2179">
        <f>'Summary Total Pigs'!AD51*'Pigs Cost'!N38</f>
        <v>0</v>
      </c>
      <c r="T38" s="2180" t="e">
        <f t="shared" si="11"/>
        <v>#REF!</v>
      </c>
      <c r="U38" s="205"/>
      <c r="V38" s="24" t="str">
        <f>[17]Sheet1!$Q164</f>
        <v/>
      </c>
      <c r="W38" s="24"/>
    </row>
    <row r="39" spans="1:25">
      <c r="A39" s="2172" t="s">
        <v>109</v>
      </c>
      <c r="B39" s="2181" t="s">
        <v>110</v>
      </c>
      <c r="C39" s="2177">
        <f>'[16]Pigs Cost'!$T39</f>
        <v>-5.9604644775390627E-18</v>
      </c>
      <c r="D39" s="2182"/>
      <c r="E39" s="2182"/>
      <c r="F39" s="2177" t="e">
        <f>+$H$169*'Summary Total Pigs'!#REF!/'Summary Total Pigs'!#REF!</f>
        <v>#REF!</v>
      </c>
      <c r="G39" s="2177">
        <f>('Summary Total Pigs'!AE52)/'Summary Total Pigs'!$AE$56*'Pigs Cost'!$H$171</f>
        <v>0</v>
      </c>
      <c r="H39" s="2177">
        <f>('Summary Total Pigs'!AE52)/'Summary Total Pigs'!$AE$56*'Pigs Cost'!$H$172</f>
        <v>0</v>
      </c>
      <c r="I39" s="2177">
        <f>('Summary Total Pigs'!AE52)/'Summary Total Pigs'!$AE$56*'Pigs Cost'!$H$173</f>
        <v>0</v>
      </c>
      <c r="J39" s="2177">
        <f>('Summary Total Pigs'!AE52)/'Summary Total Pigs'!$AE$56*'Pigs Cost'!$H$174</f>
        <v>2800126903553.2993</v>
      </c>
      <c r="K39" s="2177">
        <f>('Summary Total Pigs'!AE52)/'Summary Total Pigs'!$AE$56*'Pigs Cost'!$H$175</f>
        <v>0</v>
      </c>
      <c r="L39" s="2177">
        <f>('Summary Total Pigs'!AE52)/'Summary Total Pigs'!$AE$56*'Pigs Cost'!$H$176</f>
        <v>0</v>
      </c>
      <c r="M39" s="2179" t="e">
        <f t="shared" si="10"/>
        <v>#REF!</v>
      </c>
      <c r="N39" s="2179"/>
      <c r="O39" s="2179">
        <f>'Summary Total Pigs'!N52*'Pigs Cost'!N39</f>
        <v>0</v>
      </c>
      <c r="P39" s="2179" t="e">
        <f>N39*'Summary Total Pigs'!#REF!</f>
        <v>#REF!</v>
      </c>
      <c r="Q39" s="2179">
        <f>'Summary Total Pigs'!W52*'Pigs Cost'!N39</f>
        <v>0</v>
      </c>
      <c r="R39" s="2179">
        <f>'Summary Total Pigs'!X52*'Pigs Cost'!N39</f>
        <v>0</v>
      </c>
      <c r="S39" s="2179">
        <f>'Summary Total Pigs'!AD52*'Pigs Cost'!N39</f>
        <v>0</v>
      </c>
      <c r="T39" s="2180" t="e">
        <f t="shared" si="11"/>
        <v>#REF!</v>
      </c>
      <c r="U39" s="205"/>
      <c r="V39" s="24" t="str">
        <f>[17]Sheet1!$Q165</f>
        <v/>
      </c>
      <c r="W39" s="24"/>
    </row>
    <row r="40" spans="1:25">
      <c r="A40" s="2172" t="s">
        <v>111</v>
      </c>
      <c r="B40" s="2184" t="s">
        <v>106</v>
      </c>
      <c r="C40" s="2177">
        <f>'[16]Pigs Cost'!$T40</f>
        <v>0</v>
      </c>
      <c r="D40" s="2182"/>
      <c r="E40" s="2182" t="e">
        <f>N66*'Summary Total Pigs'!D53</f>
        <v>#REF!</v>
      </c>
      <c r="F40" s="2177" t="e">
        <f>+$H$169*'Summary Total Pigs'!#REF!/'Summary Total Pigs'!#REF!</f>
        <v>#REF!</v>
      </c>
      <c r="G40" s="2177">
        <f>('Summary Total Pigs'!AE53)/'Summary Total Pigs'!$AE$56*'Pigs Cost'!$H$171</f>
        <v>0</v>
      </c>
      <c r="H40" s="2177">
        <f>('Summary Total Pigs'!AE53)/'Summary Total Pigs'!$AE$56*'Pigs Cost'!$H$172</f>
        <v>0</v>
      </c>
      <c r="I40" s="2177">
        <f>('Summary Total Pigs'!AE53)/'Summary Total Pigs'!$AE$56*'Pigs Cost'!$H$173</f>
        <v>0</v>
      </c>
      <c r="J40" s="2177">
        <v>0</v>
      </c>
      <c r="K40" s="2177">
        <f>('Summary Total Pigs'!AE53)/'Summary Total Pigs'!$AE$56*'Pigs Cost'!$H$175</f>
        <v>0</v>
      </c>
      <c r="L40" s="2177">
        <f>('Summary Total Pigs'!AE53)/'Summary Total Pigs'!$AE$56*'Pigs Cost'!$H$176</f>
        <v>0</v>
      </c>
      <c r="M40" s="2179" t="e">
        <f t="shared" si="10"/>
        <v>#REF!</v>
      </c>
      <c r="N40" s="2179" t="e">
        <f>M40/'Summary Total Pigs'!#REF!</f>
        <v>#REF!</v>
      </c>
      <c r="O40" s="2179" t="e">
        <f>'Summary Total Pigs'!N53*'Pigs Cost'!N40</f>
        <v>#REF!</v>
      </c>
      <c r="P40" s="2179" t="e">
        <f>N40*'Summary Total Pigs'!#REF!</f>
        <v>#REF!</v>
      </c>
      <c r="Q40" s="2179" t="e">
        <f>'Summary Total Pigs'!W53*'Pigs Cost'!N40</f>
        <v>#REF!</v>
      </c>
      <c r="R40" s="2179" t="e">
        <f>'Summary Total Pigs'!X53*'Pigs Cost'!N40</f>
        <v>#REF!</v>
      </c>
      <c r="S40" s="2179" t="e">
        <f>'Summary Total Pigs'!AD53*'Pigs Cost'!N40</f>
        <v>#REF!</v>
      </c>
      <c r="T40" s="2180" t="e">
        <f t="shared" si="11"/>
        <v>#REF!</v>
      </c>
      <c r="U40" s="205"/>
      <c r="V40" s="24" t="str">
        <f>[17]Sheet1!$Q166</f>
        <v/>
      </c>
      <c r="W40" s="24"/>
    </row>
    <row r="41" spans="1:25">
      <c r="A41" s="2172" t="s">
        <v>112</v>
      </c>
      <c r="B41" s="2184" t="s">
        <v>106</v>
      </c>
      <c r="C41" s="2177">
        <f>'[16]Pigs Cost'!$T41</f>
        <v>146128.32980509955</v>
      </c>
      <c r="D41" s="2182"/>
      <c r="E41" s="2182" t="e">
        <f>N40*'Summary Total Pigs'!D54</f>
        <v>#REF!</v>
      </c>
      <c r="F41" s="2177" t="e">
        <f>+$H$169*'Summary Total Pigs'!#REF!/'Summary Total Pigs'!#REF!</f>
        <v>#REF!</v>
      </c>
      <c r="G41" s="2183"/>
      <c r="H41" s="2183"/>
      <c r="I41" s="2183"/>
      <c r="J41" s="2177">
        <v>0</v>
      </c>
      <c r="K41" s="2177">
        <f>('Summary Total Pigs'!AE53)/'Summary Total Pigs'!$AE$56*'Pigs Cost'!$H$175</f>
        <v>0</v>
      </c>
      <c r="L41" s="2183">
        <f>H176</f>
        <v>0</v>
      </c>
      <c r="M41" s="2179" t="e">
        <f>SUM(C41:L41)</f>
        <v>#REF!</v>
      </c>
      <c r="N41" s="2179" t="e">
        <f>M41/'Summary Total Pigs'!#REF!</f>
        <v>#REF!</v>
      </c>
      <c r="O41" s="2179" t="e">
        <f>'Summary Total Pigs'!N54*'Pigs Cost'!N41</f>
        <v>#REF!</v>
      </c>
      <c r="P41" s="2179" t="e">
        <f>N41*'Summary Total Pigs'!#REF!</f>
        <v>#REF!</v>
      </c>
      <c r="Q41" s="2179" t="e">
        <f>'Summary Total Pigs'!W54*'Pigs Cost'!N41</f>
        <v>#REF!</v>
      </c>
      <c r="R41" s="2179" t="e">
        <f>'Summary Total Pigs'!X54*'Pigs Cost'!N41</f>
        <v>#REF!</v>
      </c>
      <c r="S41" s="2179" t="e">
        <f>'Summary Total Pigs'!AD54*'Pigs Cost'!N41</f>
        <v>#REF!</v>
      </c>
      <c r="T41" s="2180" t="e">
        <f t="shared" si="11"/>
        <v>#REF!</v>
      </c>
      <c r="U41" s="205"/>
      <c r="V41" s="24">
        <f>[17]Sheet1!$Q167</f>
        <v>155612.62</v>
      </c>
      <c r="W41" s="24" t="e">
        <f t="shared" si="12"/>
        <v>#REF!</v>
      </c>
    </row>
    <row r="42" spans="1:25" ht="13.9" thickBot="1">
      <c r="A42" s="2174" t="s">
        <v>113</v>
      </c>
      <c r="B42" s="2185"/>
      <c r="C42" s="2177">
        <f>'[16]Pigs Cost'!$T42</f>
        <v>1.3277874089075804E-2</v>
      </c>
      <c r="D42" s="2186"/>
      <c r="E42" s="2182"/>
      <c r="F42" s="2187"/>
      <c r="G42" s="2187"/>
      <c r="H42" s="2187"/>
      <c r="I42" s="2187"/>
      <c r="J42" s="2177">
        <v>0</v>
      </c>
      <c r="K42" s="2187"/>
      <c r="L42" s="2187"/>
      <c r="M42" s="2179">
        <f t="shared" si="10"/>
        <v>1.3277874089075804E-2</v>
      </c>
      <c r="N42" s="2179" t="e">
        <f>M42/'Summary Total Pigs'!#REF!</f>
        <v>#REF!</v>
      </c>
      <c r="O42" s="2179" t="e">
        <f>'Summary Total Pigs'!N55*'Pigs Cost'!N42</f>
        <v>#REF!</v>
      </c>
      <c r="P42" s="2179" t="e">
        <f>N42*'Summary Total Pigs'!#REF!</f>
        <v>#REF!</v>
      </c>
      <c r="Q42" s="2179" t="e">
        <f>'Summary Total Pigs'!W55*'Pigs Cost'!N42</f>
        <v>#REF!</v>
      </c>
      <c r="R42" s="2179" t="e">
        <f>'Summary Total Pigs'!X55*'Pigs Cost'!N42</f>
        <v>#REF!</v>
      </c>
      <c r="S42" s="2179" t="e">
        <f>'Summary Total Pigs'!AD55*'Pigs Cost'!N42</f>
        <v>#REF!</v>
      </c>
      <c r="T42" s="2180" t="e">
        <f t="shared" si="11"/>
        <v>#REF!</v>
      </c>
      <c r="U42" s="205"/>
      <c r="V42" s="24" t="str">
        <f>[17]Sheet1!$Q168</f>
        <v/>
      </c>
      <c r="W42" s="24"/>
    </row>
    <row r="43" spans="1:25" ht="13.9" thickBot="1">
      <c r="A43" s="3" t="s">
        <v>115</v>
      </c>
      <c r="B43" s="199"/>
      <c r="C43" s="200">
        <f>SUM(C37:C42)</f>
        <v>3105423898.9790559</v>
      </c>
      <c r="D43" s="200">
        <f>SUM(D37:D42)</f>
        <v>0</v>
      </c>
      <c r="E43" s="200" t="e">
        <f>SUM(E37:E42)</f>
        <v>#REF!</v>
      </c>
      <c r="F43" s="201" t="e">
        <f t="shared" ref="F43:L43" si="13">SUM(F37:F42)</f>
        <v>#REF!</v>
      </c>
      <c r="G43" s="201">
        <f t="shared" si="13"/>
        <v>0</v>
      </c>
      <c r="H43" s="201">
        <f t="shared" si="13"/>
        <v>0</v>
      </c>
      <c r="I43" s="201">
        <f t="shared" si="13"/>
        <v>0</v>
      </c>
      <c r="J43" s="201">
        <f t="shared" si="13"/>
        <v>5700000000000</v>
      </c>
      <c r="K43" s="201">
        <f t="shared" si="13"/>
        <v>0</v>
      </c>
      <c r="L43" s="201">
        <f t="shared" si="13"/>
        <v>0</v>
      </c>
      <c r="M43" s="201" t="e">
        <f t="shared" ref="M43:T43" si="14">SUM(M37:M42)</f>
        <v>#REF!</v>
      </c>
      <c r="N43" s="201" t="e">
        <f t="shared" si="14"/>
        <v>#REF!</v>
      </c>
      <c r="O43" s="201" t="e">
        <f t="shared" si="14"/>
        <v>#REF!</v>
      </c>
      <c r="P43" s="201" t="e">
        <f t="shared" si="14"/>
        <v>#REF!</v>
      </c>
      <c r="Q43" s="201" t="e">
        <f t="shared" si="14"/>
        <v>#REF!</v>
      </c>
      <c r="R43" s="201" t="e">
        <f t="shared" si="14"/>
        <v>#REF!</v>
      </c>
      <c r="S43" s="201" t="e">
        <f t="shared" si="14"/>
        <v>#REF!</v>
      </c>
      <c r="T43" s="201" t="e">
        <f t="shared" si="14"/>
        <v>#REF!</v>
      </c>
      <c r="U43" s="205"/>
      <c r="V43" s="24">
        <f>SUM(V37:V42)</f>
        <v>34635584.82</v>
      </c>
      <c r="W43" s="24" t="e">
        <f t="shared" si="12"/>
        <v>#REF!</v>
      </c>
    </row>
    <row r="44" spans="1:25">
      <c r="A44" s="1"/>
      <c r="B44" s="184"/>
      <c r="C44" s="202"/>
      <c r="D44" s="202"/>
      <c r="E44" s="202"/>
      <c r="F44" s="202"/>
      <c r="G44" s="202"/>
      <c r="H44" s="202"/>
      <c r="I44" s="202"/>
      <c r="J44" s="202">
        <f>J43-H174</f>
        <v>0</v>
      </c>
      <c r="K44" s="202"/>
      <c r="L44" s="202"/>
      <c r="M44" s="202"/>
      <c r="N44" s="202"/>
      <c r="O44" s="202"/>
      <c r="P44" s="202">
        <v>0</v>
      </c>
      <c r="Q44" s="202"/>
      <c r="R44" s="202"/>
      <c r="S44" s="202"/>
      <c r="T44" s="202"/>
      <c r="U44" s="205"/>
      <c r="V44" s="24">
        <f t="shared" si="5"/>
        <v>0</v>
      </c>
    </row>
    <row r="45" spans="1:25" ht="16.5" hidden="1" customHeight="1">
      <c r="A45" s="1"/>
      <c r="B45" s="184"/>
      <c r="C45" s="202"/>
      <c r="D45" s="202"/>
      <c r="E45" s="202"/>
      <c r="F45" s="202"/>
      <c r="G45" s="202"/>
      <c r="H45" s="202"/>
      <c r="I45" s="202"/>
      <c r="J45" s="202"/>
      <c r="K45" s="202"/>
      <c r="L45" s="202">
        <f>+(G43+H43+I43+K43+L43+J43)-H178</f>
        <v>0</v>
      </c>
      <c r="M45" s="202"/>
      <c r="N45" s="202"/>
      <c r="O45" s="202"/>
      <c r="P45" s="202"/>
      <c r="Q45" s="202"/>
      <c r="R45" s="202"/>
      <c r="S45" s="202"/>
      <c r="T45" s="202"/>
      <c r="U45" s="205"/>
      <c r="V45" s="24">
        <f t="shared" si="5"/>
        <v>0</v>
      </c>
    </row>
    <row r="46" spans="1:25" ht="16.5" hidden="1" customHeight="1">
      <c r="A46" s="1"/>
      <c r="B46" s="184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5"/>
      <c r="V46" s="24">
        <f t="shared" si="5"/>
        <v>0</v>
      </c>
    </row>
    <row r="47" spans="1:25" hidden="1">
      <c r="A47" s="300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4">
        <f t="shared" si="5"/>
        <v>0</v>
      </c>
    </row>
    <row r="48" spans="1:25">
      <c r="A48" s="300"/>
      <c r="B48" s="205"/>
      <c r="C48" s="2176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4">
        <f t="shared" si="5"/>
        <v>0</v>
      </c>
    </row>
    <row r="49" spans="1:26">
      <c r="A49" s="1" t="s">
        <v>86</v>
      </c>
      <c r="B49" s="187" t="s">
        <v>118</v>
      </c>
      <c r="C49" s="205"/>
      <c r="D49" s="205"/>
      <c r="E49" s="2190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4">
        <f t="shared" si="5"/>
        <v>0</v>
      </c>
      <c r="Z49" s="300"/>
    </row>
    <row r="50" spans="1:26" ht="13.9" thickBot="1">
      <c r="A50" s="300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4">
        <f t="shared" si="5"/>
        <v>0</v>
      </c>
      <c r="Z50" s="300"/>
    </row>
    <row r="51" spans="1:26" s="14" customFormat="1" ht="27" thickBot="1">
      <c r="A51" s="12" t="s">
        <v>87</v>
      </c>
      <c r="B51" s="189" t="s">
        <v>88</v>
      </c>
      <c r="C51" s="190" t="str">
        <f>+C36</f>
        <v>OPENING</v>
      </c>
      <c r="D51" s="191" t="s">
        <v>90</v>
      </c>
      <c r="E51" s="192" t="s">
        <v>91</v>
      </c>
      <c r="F51" s="190" t="s">
        <v>92</v>
      </c>
      <c r="G51" s="190" t="s">
        <v>93</v>
      </c>
      <c r="H51" s="190" t="s">
        <v>94</v>
      </c>
      <c r="I51" s="190" t="s">
        <v>95</v>
      </c>
      <c r="J51" s="190" t="s">
        <v>96</v>
      </c>
      <c r="K51" s="190" t="s">
        <v>97</v>
      </c>
      <c r="L51" s="190" t="s">
        <v>98</v>
      </c>
      <c r="M51" s="192" t="s">
        <v>99</v>
      </c>
      <c r="N51" s="192" t="s">
        <v>100</v>
      </c>
      <c r="O51" s="192" t="s">
        <v>101</v>
      </c>
      <c r="P51" s="192" t="s">
        <v>102</v>
      </c>
      <c r="Q51" s="192" t="str">
        <f>Q36</f>
        <v>Deaths</v>
      </c>
      <c r="R51" s="192" t="str">
        <f>R36</f>
        <v>CULLS</v>
      </c>
      <c r="S51" s="192" t="str">
        <f>+S36</f>
        <v>STOCK ADJMNT</v>
      </c>
      <c r="T51" s="195" t="s">
        <v>104</v>
      </c>
      <c r="U51" s="196"/>
      <c r="V51" s="24"/>
      <c r="W51"/>
      <c r="X51"/>
      <c r="Y51"/>
    </row>
    <row r="52" spans="1:26">
      <c r="A52" s="2171" t="s">
        <v>105</v>
      </c>
      <c r="B52" s="2184" t="s">
        <v>106</v>
      </c>
      <c r="C52" s="2177">
        <f>'[16]Pigs Cost'!$T52</f>
        <v>17388984283.731728</v>
      </c>
      <c r="D52" s="2178"/>
      <c r="E52" s="2178" t="e">
        <f>'Summary Total Pigs'!D89*'Pigs Cost'!N37</f>
        <v>#REF!</v>
      </c>
      <c r="F52" s="2177"/>
      <c r="G52" s="2177">
        <f>('Summary Total Pigs'!$AE$89+'Summary Total Pigs'!$AE$93)/'Summary Total Pigs'!$AE$95*'Pigs Cost'!$H$171</f>
        <v>0</v>
      </c>
      <c r="H52" s="2177">
        <f>('Summary Total Pigs'!$AE$89+'Summary Total Pigs'!$AE$93)/'Summary Total Pigs'!$AE$95*'Pigs Cost'!$K$172</f>
        <v>0</v>
      </c>
      <c r="I52" s="2177">
        <f>('Summary Total Pigs'!$AE$89+'Summary Total Pigs'!$AE$93)/'Summary Total Pigs'!$AE$95*'Pigs Cost'!$K$173</f>
        <v>0</v>
      </c>
      <c r="J52" s="2177">
        <f>('Summary Total Pigs'!AE89+'Summary Total Pigs'!AE92+'Summary Total Pigs'!AE93+'Summary Total Pigs'!AE94)/'Summary Total Pigs'!$AE$95*'Pigs Cost'!$K$174</f>
        <v>3720239848516.7261</v>
      </c>
      <c r="K52" s="2177">
        <f>('Summary Total Pigs'!AE89)/'Summary Total Pigs'!$AE$95*'Pigs Cost'!$K$175</f>
        <v>0</v>
      </c>
      <c r="L52" s="2177">
        <f>('Summary Total Pigs'!$AE$89+'Summary Total Pigs'!$AE$93)/'Summary Total Pigs'!$AE$95*'Pigs Cost'!$K$176</f>
        <v>0</v>
      </c>
      <c r="M52" s="2179" t="e">
        <f t="shared" ref="M52:M57" si="15">SUM(C52:L52)</f>
        <v>#REF!</v>
      </c>
      <c r="N52" s="2179" t="e">
        <f>M52/'Summary Total Pigs'!M89</f>
        <v>#REF!</v>
      </c>
      <c r="O52" s="2179" t="e">
        <f>'Summary Total Pigs'!N89*'Pigs Cost'!N52</f>
        <v>#REF!</v>
      </c>
      <c r="P52" s="2179">
        <v>0</v>
      </c>
      <c r="Q52" s="2179" t="e">
        <f>'Summary Total Pigs'!#REF!*'Pigs Cost'!N52</f>
        <v>#REF!</v>
      </c>
      <c r="R52" s="2179" t="e">
        <f>N52*'Summary Total Pigs'!Z89</f>
        <v>#REF!</v>
      </c>
      <c r="S52" s="2179" t="e">
        <f>'Summary Total Pigs'!#REF!*'Pigs Cost'!N52</f>
        <v>#REF!</v>
      </c>
      <c r="T52" s="2180" t="e">
        <f t="shared" ref="T52:T57" si="16">M52+O52+P52+R52+S52+Q52</f>
        <v>#REF!</v>
      </c>
      <c r="U52" s="205"/>
      <c r="V52" s="24">
        <f>[17]Sheet1!$M163</f>
        <v>68015894.099999994</v>
      </c>
      <c r="W52" s="24" t="e">
        <f t="shared" ref="W52:W57" si="17">T52-V52</f>
        <v>#REF!</v>
      </c>
      <c r="Z52" s="300"/>
    </row>
    <row r="53" spans="1:26">
      <c r="A53" s="2172" t="s">
        <v>107</v>
      </c>
      <c r="B53" s="2181" t="s">
        <v>108</v>
      </c>
      <c r="C53" s="2177">
        <f>'[16]Pigs Cost'!$T53</f>
        <v>3811887772.659421</v>
      </c>
      <c r="D53" s="2182"/>
      <c r="E53" s="2178" t="e">
        <f>'Summary Total Pigs'!D90*N52</f>
        <v>#REF!</v>
      </c>
      <c r="F53" s="2183"/>
      <c r="G53" s="2177">
        <f>('Summary Total Pigs'!AE90)/'Summary Total Pigs'!$AE$95*'Pigs Cost'!$H$171</f>
        <v>0</v>
      </c>
      <c r="H53" s="2177">
        <f>('Summary Total Pigs'!AE90)/'Summary Total Pigs'!$AE$95*'Pigs Cost'!$K$172</f>
        <v>0</v>
      </c>
      <c r="I53" s="2177">
        <f>('Summary Total Pigs'!AE90)/'Summary Total Pigs'!$AE$95*'Pigs Cost'!$K$173</f>
        <v>0</v>
      </c>
      <c r="J53" s="2177">
        <f>('Summary Total Pigs'!AE90)/'Summary Total Pigs'!$AE$95*'Pigs Cost'!$K$174</f>
        <v>2330696402272.249</v>
      </c>
      <c r="K53" s="2177">
        <f>('Summary Total Pigs'!$AE$90)/'Summary Total Pigs'!$AE$95*'Pigs Cost'!$K$175</f>
        <v>0</v>
      </c>
      <c r="L53" s="2177">
        <f>('Summary Total Pigs'!AE90)/'Summary Total Pigs'!$AE$95*'Pigs Cost'!$K$175</f>
        <v>0</v>
      </c>
      <c r="M53" s="2179" t="e">
        <f t="shared" si="15"/>
        <v>#REF!</v>
      </c>
      <c r="N53" s="2179" t="e">
        <f>M53/'Summary Total Pigs'!M90</f>
        <v>#REF!</v>
      </c>
      <c r="O53" s="2179" t="e">
        <f>'Summary Total Pigs'!N90*'Pigs Cost'!N53</f>
        <v>#REF!</v>
      </c>
      <c r="P53" s="2179">
        <v>0</v>
      </c>
      <c r="Q53" s="2179" t="e">
        <f>'Summary Total Pigs'!#REF!*'Pigs Cost'!N53</f>
        <v>#REF!</v>
      </c>
      <c r="R53" s="2179" t="e">
        <f>N53*'Summary Total Pigs'!Z90</f>
        <v>#REF!</v>
      </c>
      <c r="S53" s="2179" t="e">
        <f>'Summary Total Pigs'!#REF!*'Pigs Cost'!N53</f>
        <v>#REF!</v>
      </c>
      <c r="T53" s="2180" t="e">
        <f t="shared" si="16"/>
        <v>#REF!</v>
      </c>
      <c r="U53" s="205"/>
      <c r="V53" s="24">
        <f>[17]Sheet1!$M164</f>
        <v>14548830.689999999</v>
      </c>
      <c r="W53" s="24" t="e">
        <f t="shared" si="17"/>
        <v>#REF!</v>
      </c>
      <c r="Z53" s="300"/>
    </row>
    <row r="54" spans="1:26">
      <c r="A54" s="2172" t="s">
        <v>109</v>
      </c>
      <c r="B54" s="2181" t="s">
        <v>110</v>
      </c>
      <c r="C54" s="2177">
        <f>'[16]Pigs Cost'!$T54</f>
        <v>12994808431.52869</v>
      </c>
      <c r="D54" s="2182"/>
      <c r="E54" s="2188" t="e">
        <f>'Summary Total Pigs'!D91*N77</f>
        <v>#REF!</v>
      </c>
      <c r="F54" s="2183"/>
      <c r="G54" s="2177">
        <f>('Summary Total Pigs'!AE91)/'Summary Total Pigs'!$AE$95*'Pigs Cost'!$H$171</f>
        <v>0</v>
      </c>
      <c r="H54" s="2177">
        <f>('Summary Total Pigs'!AE91)/'Summary Total Pigs'!$AE$95*'Pigs Cost'!$K$172</f>
        <v>0</v>
      </c>
      <c r="I54" s="2177">
        <f>('Summary Total Pigs'!AE91)/'Summary Total Pigs'!$AE$95*'Pigs Cost'!$K$173</f>
        <v>0</v>
      </c>
      <c r="J54" s="2177">
        <f>('Summary Total Pigs'!AE91)/'Summary Total Pigs'!$AE$95*'Pigs Cost'!$K$174</f>
        <v>5049063749211.0244</v>
      </c>
      <c r="K54" s="2177">
        <f>('Summary Total Pigs'!AE91)/'Summary Total Pigs'!$AE$95*'Pigs Cost'!$K$175</f>
        <v>0</v>
      </c>
      <c r="L54" s="2177">
        <f>('Summary Total Pigs'!AE91)/'Summary Total Pigs'!$AE$95*'Pigs Cost'!$K$175</f>
        <v>0</v>
      </c>
      <c r="M54" s="2179" t="e">
        <f>SUM(C54:L54)</f>
        <v>#REF!</v>
      </c>
      <c r="N54" s="2179" t="e">
        <f>M54/'Summary Total Pigs'!M91</f>
        <v>#REF!</v>
      </c>
      <c r="O54" s="2179" t="e">
        <f>'Summary Total Pigs'!N94*'Pigs Cost'!N54</f>
        <v>#REF!</v>
      </c>
      <c r="P54" s="2179" t="e">
        <f>'Summary Total Pigs'!#REF!*'Pigs Cost'!N54</f>
        <v>#REF!</v>
      </c>
      <c r="Q54" s="2179" t="e">
        <f>'Summary Total Pigs'!#REF!*'Pigs Cost'!N54</f>
        <v>#REF!</v>
      </c>
      <c r="R54" s="2179" t="e">
        <f>N54*'Summary Total Pigs'!Z91</f>
        <v>#REF!</v>
      </c>
      <c r="S54" s="2179" t="e">
        <f>'Summary Total Pigs'!#REF!*'Pigs Cost'!N54</f>
        <v>#REF!</v>
      </c>
      <c r="T54" s="2180" t="e">
        <f t="shared" si="16"/>
        <v>#REF!</v>
      </c>
      <c r="U54" s="205"/>
      <c r="V54" s="24">
        <f>[17]Sheet1!$M165</f>
        <v>30993127.57</v>
      </c>
      <c r="W54" s="24" t="e">
        <f t="shared" si="17"/>
        <v>#REF!</v>
      </c>
      <c r="Z54" s="300"/>
    </row>
    <row r="55" spans="1:26">
      <c r="A55" s="2172" t="s">
        <v>111</v>
      </c>
      <c r="B55" s="2184" t="s">
        <v>106</v>
      </c>
      <c r="C55" s="2177">
        <f>'[16]Pigs Cost'!$T55</f>
        <v>113972260.50667834</v>
      </c>
      <c r="D55" s="2182"/>
      <c r="E55" s="2178" t="e">
        <f>15*N54+10*N15</f>
        <v>#REF!</v>
      </c>
      <c r="F55" s="2183"/>
      <c r="G55" s="2177">
        <f>('Summary Total Pigs'!AE92)/'Summary Total Pigs'!$AE$95*'Pigs Cost'!$K$171</f>
        <v>0</v>
      </c>
      <c r="H55" s="2177">
        <f>('Summary Total Pigs'!AE92)/'Summary Total Pigs'!$AE$95*'Pigs Cost'!$K$172</f>
        <v>0</v>
      </c>
      <c r="I55" s="2177">
        <f>('Summary Total Pigs'!AE92)/'Summary Total Pigs'!$AE$95*'Pigs Cost'!$K$173</f>
        <v>0</v>
      </c>
      <c r="J55" s="2177">
        <v>0</v>
      </c>
      <c r="K55" s="2177">
        <f>('Summary Total Pigs'!AE92)/'Summary Total Pigs'!$AE$95*'Pigs Cost'!$K$175</f>
        <v>0</v>
      </c>
      <c r="L55" s="2177">
        <f>('Summary Total Pigs'!AE92)/'Summary Total Pigs'!$AE$95*'Pigs Cost'!$K$176</f>
        <v>0</v>
      </c>
      <c r="M55" s="2179" t="e">
        <f t="shared" si="15"/>
        <v>#REF!</v>
      </c>
      <c r="N55" s="2179" t="e">
        <f>M55/'Summary Total Pigs'!M92</f>
        <v>#REF!</v>
      </c>
      <c r="O55" s="2179" t="e">
        <f>'Summary Total Pigs'!N92*'Pigs Cost'!N55</f>
        <v>#REF!</v>
      </c>
      <c r="P55" s="2179" t="e">
        <f>'Summary Total Pigs'!#REF!*'Pigs Cost'!N55</f>
        <v>#REF!</v>
      </c>
      <c r="Q55" s="2179" t="e">
        <f>'Summary Total Pigs'!#REF!*'Pigs Cost'!N55</f>
        <v>#REF!</v>
      </c>
      <c r="R55" s="2179" t="e">
        <f>N55*'Summary Total Pigs'!Z92</f>
        <v>#REF!</v>
      </c>
      <c r="S55" s="2179" t="e">
        <f>'Summary Total Pigs'!#REF!*'Pigs Cost'!N55</f>
        <v>#REF!</v>
      </c>
      <c r="T55" s="2180" t="e">
        <f t="shared" si="16"/>
        <v>#REF!</v>
      </c>
      <c r="U55" s="205"/>
      <c r="V55" s="24">
        <f>[17]Sheet1!$M166</f>
        <v>4227.9799999999996</v>
      </c>
      <c r="W55" s="24" t="e">
        <f t="shared" si="17"/>
        <v>#REF!</v>
      </c>
      <c r="Z55" s="300"/>
    </row>
    <row r="56" spans="1:26">
      <c r="A56" s="2172" t="s">
        <v>112</v>
      </c>
      <c r="B56" s="2184" t="s">
        <v>106</v>
      </c>
      <c r="C56" s="2177">
        <f>'[16]Pigs Cost'!$T56</f>
        <v>1442987682.1208735</v>
      </c>
      <c r="D56" s="2182"/>
      <c r="E56" s="2178" t="e">
        <f>N55*'Summary Total Pigs'!D93</f>
        <v>#REF!</v>
      </c>
      <c r="F56" s="2183"/>
      <c r="G56" s="2183"/>
      <c r="H56" s="2177">
        <f>('Summary Total Pigs'!AE93)/'Summary Total Pigs'!$AE$95*'Pigs Cost'!$H$171</f>
        <v>0</v>
      </c>
      <c r="I56" s="2177"/>
      <c r="J56" s="2177">
        <v>0</v>
      </c>
      <c r="K56" s="2177">
        <f>('Summary Total Pigs'!AE93)/'Summary Total Pigs'!$AE$95*'Pigs Cost'!$K$175</f>
        <v>0</v>
      </c>
      <c r="L56" s="2177">
        <f>('Summary Total Pigs'!AE93)/'Summary Total Pigs'!$AE$95*'Pigs Cost'!$K$176</f>
        <v>0</v>
      </c>
      <c r="M56" s="2179" t="e">
        <f>SUM(C56:L56)</f>
        <v>#REF!</v>
      </c>
      <c r="N56" s="2179" t="e">
        <f>M56/'Summary Total Pigs'!M93</f>
        <v>#REF!</v>
      </c>
      <c r="O56" s="2179" t="e">
        <f>'Summary Total Pigs'!N93*'Pigs Cost'!N56</f>
        <v>#REF!</v>
      </c>
      <c r="P56" s="2179" t="e">
        <f>'Summary Total Pigs'!#REF!*'Pigs Cost'!N56</f>
        <v>#REF!</v>
      </c>
      <c r="Q56" s="2179" t="e">
        <f>'Summary Total Pigs'!#REF!*'Pigs Cost'!N56</f>
        <v>#REF!</v>
      </c>
      <c r="R56" s="2179" t="e">
        <f>N56*'Summary Total Pigs'!Z93</f>
        <v>#REF!</v>
      </c>
      <c r="S56" s="2179" t="e">
        <f>'Summary Total Pigs'!#REF!*'Pigs Cost'!N56</f>
        <v>#REF!</v>
      </c>
      <c r="T56" s="2180" t="e">
        <f t="shared" si="16"/>
        <v>#REF!</v>
      </c>
      <c r="U56" s="205"/>
      <c r="V56" s="24">
        <f>[17]Sheet1!$M167</f>
        <v>26148.639999999999</v>
      </c>
      <c r="W56" s="24" t="e">
        <f t="shared" si="17"/>
        <v>#REF!</v>
      </c>
      <c r="Z56" s="300"/>
    </row>
    <row r="57" spans="1:26" ht="13.9" thickBot="1">
      <c r="A57" s="2174" t="s">
        <v>113</v>
      </c>
      <c r="B57" s="2185"/>
      <c r="C57" s="2177">
        <f>'[16]Pigs Cost'!$T57</f>
        <v>7.4705426124956911E-2</v>
      </c>
      <c r="D57" s="2186"/>
      <c r="E57" s="2178" t="e">
        <f>'Summary Total Pigs'!D94*'Pigs Cost'!N56</f>
        <v>#REF!</v>
      </c>
      <c r="F57" s="2187"/>
      <c r="G57" s="2187"/>
      <c r="H57" s="2187"/>
      <c r="I57" s="2187"/>
      <c r="J57" s="2177">
        <v>0</v>
      </c>
      <c r="K57" s="2187"/>
      <c r="L57" s="2187"/>
      <c r="M57" s="2179" t="e">
        <f t="shared" si="15"/>
        <v>#REF!</v>
      </c>
      <c r="N57" s="2179" t="e">
        <f>M57/'Summary Total Pigs'!M94</f>
        <v>#REF!</v>
      </c>
      <c r="O57" s="2179" t="e">
        <f>'Summary Total Pigs'!#REF!*'Pigs Cost'!N57</f>
        <v>#REF!</v>
      </c>
      <c r="P57" s="2179" t="e">
        <f>'Summary Total Pigs'!#REF!*'Pigs Cost'!N57</f>
        <v>#REF!</v>
      </c>
      <c r="Q57" s="2179" t="e">
        <f>'Summary Total Pigs'!#REF!*'Pigs Cost'!N57</f>
        <v>#REF!</v>
      </c>
      <c r="R57" s="2179" t="e">
        <f>N57*'Summary Total Pigs'!Z94</f>
        <v>#REF!</v>
      </c>
      <c r="S57" s="2179" t="e">
        <f>'Summary Total Pigs'!#REF!*'Pigs Cost'!N57</f>
        <v>#REF!</v>
      </c>
      <c r="T57" s="2180" t="e">
        <f t="shared" si="16"/>
        <v>#REF!</v>
      </c>
      <c r="U57" s="205"/>
      <c r="V57" s="24">
        <f>[17]Sheet1!$M168</f>
        <v>0.08</v>
      </c>
      <c r="W57" s="24" t="e">
        <f t="shared" si="17"/>
        <v>#REF!</v>
      </c>
      <c r="Z57" s="300"/>
    </row>
    <row r="58" spans="1:26" ht="13.9" thickBot="1">
      <c r="A58" s="3" t="s">
        <v>115</v>
      </c>
      <c r="B58" s="199"/>
      <c r="C58" s="200">
        <f>SUM(C52:C57)</f>
        <v>35752640430.622101</v>
      </c>
      <c r="D58" s="200">
        <f>SUM(D52:D57)</f>
        <v>0</v>
      </c>
      <c r="E58" s="200" t="e">
        <f>SUM(E52:E57)</f>
        <v>#REF!</v>
      </c>
      <c r="F58" s="200">
        <f>SUM(F52:F57)</f>
        <v>0</v>
      </c>
      <c r="G58" s="200">
        <f>SUM(G52:G57)</f>
        <v>0</v>
      </c>
      <c r="H58" s="201">
        <f t="shared" ref="H58:T58" si="18">SUM(H52:H57)</f>
        <v>0</v>
      </c>
      <c r="I58" s="201">
        <f>SUM(I52:I57)</f>
        <v>0</v>
      </c>
      <c r="J58" s="201">
        <f t="shared" si="18"/>
        <v>11100000000000</v>
      </c>
      <c r="K58" s="201">
        <f t="shared" si="18"/>
        <v>0</v>
      </c>
      <c r="L58" s="201">
        <f t="shared" si="18"/>
        <v>0</v>
      </c>
      <c r="M58" s="201" t="e">
        <f t="shared" si="18"/>
        <v>#REF!</v>
      </c>
      <c r="N58" s="201" t="e">
        <f t="shared" si="18"/>
        <v>#REF!</v>
      </c>
      <c r="O58" s="201" t="e">
        <f>SUM(O52:O57)</f>
        <v>#REF!</v>
      </c>
      <c r="P58" s="201" t="e">
        <f t="shared" si="18"/>
        <v>#REF!</v>
      </c>
      <c r="Q58" s="201" t="e">
        <f t="shared" si="18"/>
        <v>#REF!</v>
      </c>
      <c r="R58" s="201" t="e">
        <f>SUM(R52:R57)</f>
        <v>#REF!</v>
      </c>
      <c r="S58" s="201" t="e">
        <f>SUM(S52:S57)</f>
        <v>#REF!</v>
      </c>
      <c r="T58" s="201" t="e">
        <f t="shared" si="18"/>
        <v>#REF!</v>
      </c>
      <c r="U58" s="205"/>
      <c r="V58" s="24">
        <f>SUM(V52:V57)</f>
        <v>113588229.05999999</v>
      </c>
      <c r="W58" s="24" t="e">
        <f>SUM(W52:W57)</f>
        <v>#REF!</v>
      </c>
      <c r="Z58" s="2191"/>
    </row>
    <row r="59" spans="1:26">
      <c r="A59" s="1"/>
      <c r="B59" s="184"/>
      <c r="C59" s="202"/>
      <c r="D59" s="202"/>
      <c r="E59" s="202" t="e">
        <f>E58+O58</f>
        <v>#REF!</v>
      </c>
      <c r="F59" s="202"/>
      <c r="G59" s="202"/>
      <c r="H59" s="202"/>
      <c r="I59" s="202"/>
      <c r="J59" s="202">
        <f>J58-K174</f>
        <v>0</v>
      </c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5"/>
      <c r="V59" s="24">
        <f t="shared" si="5"/>
        <v>0</v>
      </c>
      <c r="Z59" s="300"/>
    </row>
    <row r="60" spans="1:26">
      <c r="A60" s="1" t="s">
        <v>86</v>
      </c>
      <c r="B60" s="187" t="s">
        <v>119</v>
      </c>
      <c r="C60" s="205"/>
      <c r="D60" s="2176"/>
      <c r="E60" s="205"/>
      <c r="F60" s="205"/>
      <c r="G60" s="205"/>
      <c r="H60" s="205"/>
      <c r="I60" s="205"/>
      <c r="J60" s="205"/>
      <c r="K60" s="205"/>
      <c r="L60" s="205"/>
      <c r="M60" s="205" t="e">
        <f>10*N54</f>
        <v>#REF!</v>
      </c>
      <c r="N60" s="205"/>
      <c r="O60" s="205"/>
      <c r="P60" s="205"/>
      <c r="Q60" s="205"/>
      <c r="R60" s="205"/>
      <c r="S60" s="205"/>
      <c r="T60" s="205"/>
      <c r="U60" s="205"/>
      <c r="V60" s="24">
        <f t="shared" si="5"/>
        <v>0</v>
      </c>
      <c r="Z60" s="300"/>
    </row>
    <row r="61" spans="1:26" ht="13.9" thickBot="1">
      <c r="A61" s="300"/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4">
        <f t="shared" si="5"/>
        <v>0</v>
      </c>
      <c r="Z61" s="300"/>
    </row>
    <row r="62" spans="1:26" s="14" customFormat="1" ht="27" thickBot="1">
      <c r="A62" s="12" t="s">
        <v>87</v>
      </c>
      <c r="B62" s="189" t="s">
        <v>88</v>
      </c>
      <c r="C62" s="190" t="str">
        <f>C51</f>
        <v>OPENING</v>
      </c>
      <c r="D62" s="191" t="s">
        <v>90</v>
      </c>
      <c r="E62" s="192" t="s">
        <v>91</v>
      </c>
      <c r="F62" s="190" t="s">
        <v>92</v>
      </c>
      <c r="G62" s="190" t="s">
        <v>93</v>
      </c>
      <c r="H62" s="190" t="s">
        <v>94</v>
      </c>
      <c r="I62" s="190" t="s">
        <v>95</v>
      </c>
      <c r="J62" s="190" t="s">
        <v>96</v>
      </c>
      <c r="K62" s="190" t="s">
        <v>97</v>
      </c>
      <c r="L62" s="190" t="s">
        <v>98</v>
      </c>
      <c r="M62" s="192" t="s">
        <v>99</v>
      </c>
      <c r="N62" s="192" t="s">
        <v>100</v>
      </c>
      <c r="O62" s="192" t="s">
        <v>101</v>
      </c>
      <c r="P62" s="192" t="s">
        <v>102</v>
      </c>
      <c r="Q62" s="192" t="str">
        <f>Q51</f>
        <v>Deaths</v>
      </c>
      <c r="R62" s="192" t="str">
        <f>R51</f>
        <v>CULLS</v>
      </c>
      <c r="S62" s="192" t="str">
        <f>+S51</f>
        <v>STOCK ADJMNT</v>
      </c>
      <c r="T62" s="195" t="s">
        <v>104</v>
      </c>
      <c r="U62" s="196"/>
      <c r="V62" s="24"/>
      <c r="W62"/>
      <c r="X62"/>
      <c r="Y62"/>
    </row>
    <row r="63" spans="1:26">
      <c r="A63" s="2171" t="s">
        <v>105</v>
      </c>
      <c r="B63" s="2184" t="s">
        <v>106</v>
      </c>
      <c r="C63" s="2177">
        <f>'[16]Pigs Cost'!$T63</f>
        <v>0</v>
      </c>
      <c r="D63" s="2178"/>
      <c r="E63" s="2178">
        <f>'Summary Total Pigs'!D130*N61</f>
        <v>0</v>
      </c>
      <c r="F63" s="2177"/>
      <c r="G63" s="2177"/>
      <c r="H63" s="2177"/>
      <c r="I63" s="2177"/>
      <c r="J63" s="2177">
        <v>0</v>
      </c>
      <c r="K63" s="2177"/>
      <c r="L63" s="2177"/>
      <c r="M63" s="2179">
        <f t="shared" ref="M63:M68" si="19">SUM(C63:L63)</f>
        <v>0</v>
      </c>
      <c r="N63" s="2179"/>
      <c r="O63" s="2179">
        <f>'Summary Total Pigs'!Q127*'Pigs Cost'!N63</f>
        <v>0</v>
      </c>
      <c r="P63" s="2179">
        <f>N63*'Summary Total Pigs'!Z127</f>
        <v>0</v>
      </c>
      <c r="Q63" s="2179">
        <f>N63*'Summary Total Pigs'!AB127</f>
        <v>0</v>
      </c>
      <c r="R63" s="2179">
        <f>'Summary Total Pigs'!AD127*'Pigs Cost'!N63</f>
        <v>0</v>
      </c>
      <c r="S63" s="2179">
        <f>'Summary Total Pigs'!AG127*'Pigs Cost'!N63</f>
        <v>0</v>
      </c>
      <c r="T63" s="2180">
        <f t="shared" ref="T63:T68" si="20">M63+O63+P63+R63+S63+Q63</f>
        <v>0</v>
      </c>
      <c r="U63" s="205"/>
      <c r="V63" s="24">
        <f t="shared" si="5"/>
        <v>0</v>
      </c>
      <c r="Z63" s="300"/>
    </row>
    <row r="64" spans="1:26">
      <c r="A64" s="2172" t="s">
        <v>107</v>
      </c>
      <c r="B64" s="2181" t="s">
        <v>108</v>
      </c>
      <c r="C64" s="2177">
        <f>'[16]Pigs Cost'!$T64</f>
        <v>0</v>
      </c>
      <c r="D64" s="2182"/>
      <c r="E64" s="2182">
        <v>0</v>
      </c>
      <c r="F64" s="2183"/>
      <c r="G64" s="2177"/>
      <c r="H64" s="2177"/>
      <c r="I64" s="2177"/>
      <c r="J64" s="2177">
        <v>0</v>
      </c>
      <c r="K64" s="2177"/>
      <c r="L64" s="2183"/>
      <c r="M64" s="2179">
        <f t="shared" si="19"/>
        <v>0</v>
      </c>
      <c r="N64" s="2179"/>
      <c r="O64" s="2179">
        <f>'Summary Total Pigs'!Q128*'Pigs Cost'!N64</f>
        <v>0</v>
      </c>
      <c r="P64" s="2179">
        <f>N64*'Summary Total Pigs'!Z128</f>
        <v>0</v>
      </c>
      <c r="Q64" s="2179">
        <f>N64*'Summary Total Pigs'!AB128</f>
        <v>0</v>
      </c>
      <c r="R64" s="2179">
        <f>'Summary Total Pigs'!AD128*'Pigs Cost'!N64</f>
        <v>0</v>
      </c>
      <c r="S64" s="2179">
        <f>'Summary Total Pigs'!AG128*'Pigs Cost'!N64</f>
        <v>0</v>
      </c>
      <c r="T64" s="2180">
        <f t="shared" si="20"/>
        <v>0</v>
      </c>
      <c r="U64" s="205"/>
      <c r="V64" s="24">
        <f t="shared" si="5"/>
        <v>0</v>
      </c>
      <c r="Z64" s="300"/>
    </row>
    <row r="65" spans="1:25">
      <c r="A65" s="2172" t="s">
        <v>109</v>
      </c>
      <c r="B65" s="2181" t="s">
        <v>110</v>
      </c>
      <c r="C65" s="2177">
        <f>'[16]Pigs Cost'!$T65</f>
        <v>0</v>
      </c>
      <c r="D65" s="2182"/>
      <c r="E65" s="2182">
        <v>0</v>
      </c>
      <c r="F65" s="2183"/>
      <c r="G65" s="2177"/>
      <c r="H65" s="2177"/>
      <c r="I65" s="2177"/>
      <c r="J65" s="2177">
        <v>0</v>
      </c>
      <c r="K65" s="2177"/>
      <c r="L65" s="2183"/>
      <c r="M65" s="2179">
        <f t="shared" si="19"/>
        <v>0</v>
      </c>
      <c r="N65" s="2179"/>
      <c r="O65" s="2179">
        <f>'Summary Total Pigs'!Q129*'Pigs Cost'!N65</f>
        <v>0</v>
      </c>
      <c r="P65" s="2179">
        <f>N65*'Summary Total Pigs'!Z129</f>
        <v>0</v>
      </c>
      <c r="Q65" s="2179">
        <f>N65*'Summary Total Pigs'!AB129</f>
        <v>0</v>
      </c>
      <c r="R65" s="2179">
        <f>'Summary Total Pigs'!AD129*'Pigs Cost'!N65</f>
        <v>0</v>
      </c>
      <c r="S65" s="2179">
        <f>'Summary Total Pigs'!AG129*'Pigs Cost'!N65</f>
        <v>0</v>
      </c>
      <c r="T65" s="2180">
        <f t="shared" si="20"/>
        <v>0</v>
      </c>
      <c r="U65" s="205"/>
      <c r="V65" s="24">
        <f t="shared" si="5"/>
        <v>0</v>
      </c>
    </row>
    <row r="66" spans="1:25">
      <c r="A66" s="2172" t="s">
        <v>111</v>
      </c>
      <c r="B66" s="2184" t="s">
        <v>106</v>
      </c>
      <c r="C66" s="2177">
        <f>'[16]Pigs Cost'!$T66</f>
        <v>1322329.6485521081</v>
      </c>
      <c r="D66" s="2182"/>
      <c r="E66" s="2182" t="e">
        <f>'Summary Total Pigs'!D130*'Pigs Cost'!N15</f>
        <v>#REF!</v>
      </c>
      <c r="F66" s="2183"/>
      <c r="G66" s="2177"/>
      <c r="H66" s="2177"/>
      <c r="I66" s="2177"/>
      <c r="J66" s="2177" t="e">
        <f>('Summary Total Pigs'!#REF!)/'Summary Total Pigs'!#REF!*I174</f>
        <v>#REF!</v>
      </c>
      <c r="K66" s="2177"/>
      <c r="L66" s="2183"/>
      <c r="M66" s="2179" t="e">
        <f>SUM(C66:L66)</f>
        <v>#REF!</v>
      </c>
      <c r="N66" s="2179" t="e">
        <f>+M66/'Summary Total Pigs'!P130</f>
        <v>#REF!</v>
      </c>
      <c r="O66" s="2179" t="e">
        <f>'Summary Total Pigs'!Q130*'Pigs Cost'!N66</f>
        <v>#REF!</v>
      </c>
      <c r="P66" s="2179" t="e">
        <f>N66*'Summary Total Pigs'!Z130</f>
        <v>#REF!</v>
      </c>
      <c r="Q66" s="2179" t="e">
        <f>N66*'Summary Total Pigs'!AB130</f>
        <v>#REF!</v>
      </c>
      <c r="R66" s="2179" t="e">
        <f>'Summary Total Pigs'!AD130*'Pigs Cost'!N66</f>
        <v>#REF!</v>
      </c>
      <c r="S66" s="2179" t="e">
        <f>'Summary Total Pigs'!AG130*'Pigs Cost'!N66</f>
        <v>#REF!</v>
      </c>
      <c r="T66" s="2180" t="e">
        <f>M66+O66+P66+R66+S66+Q66</f>
        <v>#REF!</v>
      </c>
      <c r="U66" s="205"/>
      <c r="V66" s="24">
        <f>[17]Sheet1!$L166</f>
        <v>1322329.6499999999</v>
      </c>
      <c r="W66" s="24" t="e">
        <f>T66-V66</f>
        <v>#REF!</v>
      </c>
    </row>
    <row r="67" spans="1:25">
      <c r="A67" s="2172" t="s">
        <v>112</v>
      </c>
      <c r="B67" s="2184" t="s">
        <v>106</v>
      </c>
      <c r="C67" s="2177">
        <f>'[16]Pigs Cost'!$T67</f>
        <v>0</v>
      </c>
      <c r="D67" s="2182"/>
      <c r="E67" s="2182">
        <v>0</v>
      </c>
      <c r="F67" s="2183"/>
      <c r="G67" s="2177"/>
      <c r="H67" s="2177"/>
      <c r="I67" s="2177"/>
      <c r="J67" s="2177">
        <v>0</v>
      </c>
      <c r="K67" s="2177"/>
      <c r="L67" s="2183"/>
      <c r="M67" s="2179">
        <f>SUM(C67:L67)</f>
        <v>0</v>
      </c>
      <c r="N67" s="2179">
        <v>0</v>
      </c>
      <c r="O67" s="2179">
        <f>'Summary Total Pigs'!Q131*'Pigs Cost'!N67</f>
        <v>0</v>
      </c>
      <c r="P67" s="2179">
        <f>N67*'Summary Total Pigs'!Z131</f>
        <v>0</v>
      </c>
      <c r="Q67" s="2179">
        <f>N67*'Summary Total Pigs'!AB131</f>
        <v>0</v>
      </c>
      <c r="R67" s="2179">
        <f>'Summary Total Pigs'!AD131*'Pigs Cost'!N67</f>
        <v>0</v>
      </c>
      <c r="S67" s="2179">
        <f>'Summary Total Pigs'!AG131*'Pigs Cost'!N67</f>
        <v>0</v>
      </c>
      <c r="T67" s="2180">
        <f t="shared" si="20"/>
        <v>0</v>
      </c>
      <c r="U67" s="205"/>
      <c r="V67" s="24" t="str">
        <f>[17]Sheet1!$L167</f>
        <v/>
      </c>
      <c r="W67" s="24"/>
    </row>
    <row r="68" spans="1:25" ht="13.9" thickBot="1">
      <c r="A68" s="2174" t="s">
        <v>113</v>
      </c>
      <c r="B68" s="2185"/>
      <c r="C68" s="2177">
        <f>'[16]Pigs Cost'!$T68</f>
        <v>0.12848783537222491</v>
      </c>
      <c r="D68" s="2186"/>
      <c r="E68" s="2186" t="e">
        <f>'Summary Total Pigs'!D132*N18</f>
        <v>#REF!</v>
      </c>
      <c r="F68" s="2187"/>
      <c r="G68" s="2187"/>
      <c r="H68" s="2187"/>
      <c r="I68" s="2187"/>
      <c r="J68" s="2177">
        <v>0</v>
      </c>
      <c r="K68" s="2187"/>
      <c r="L68" s="2187"/>
      <c r="M68" s="2179" t="e">
        <f t="shared" si="19"/>
        <v>#REF!</v>
      </c>
      <c r="N68" s="2189">
        <v>0</v>
      </c>
      <c r="O68" s="2179">
        <f>'Summary Total Pigs'!Q132*'Pigs Cost'!N68</f>
        <v>0</v>
      </c>
      <c r="P68" s="2179">
        <f>N68*'Summary Total Pigs'!Z132</f>
        <v>0</v>
      </c>
      <c r="Q68" s="2179">
        <f>N68*'Summary Total Pigs'!AB132</f>
        <v>0</v>
      </c>
      <c r="R68" s="2179">
        <f>'Summary Total Pigs'!AD132*'Pigs Cost'!N68</f>
        <v>0</v>
      </c>
      <c r="S68" s="2179">
        <f>'Summary Total Pigs'!AG132*'Pigs Cost'!N68</f>
        <v>0</v>
      </c>
      <c r="T68" s="2180" t="e">
        <f t="shared" si="20"/>
        <v>#REF!</v>
      </c>
      <c r="U68" s="205"/>
      <c r="V68" s="24">
        <f>[17]Sheet1!$L168</f>
        <v>0.13</v>
      </c>
      <c r="W68" s="24" t="e">
        <f>T68-V68</f>
        <v>#REF!</v>
      </c>
    </row>
    <row r="69" spans="1:25" ht="13.9" thickBot="1">
      <c r="A69" s="3" t="s">
        <v>115</v>
      </c>
      <c r="B69" s="199"/>
      <c r="C69" s="200">
        <f t="shared" ref="C69:L69" si="21">SUM(C63:C68)</f>
        <v>1322329.7770399435</v>
      </c>
      <c r="D69" s="200">
        <f t="shared" si="21"/>
        <v>0</v>
      </c>
      <c r="E69" s="200" t="e">
        <f t="shared" si="21"/>
        <v>#REF!</v>
      </c>
      <c r="F69" s="200">
        <f t="shared" si="21"/>
        <v>0</v>
      </c>
      <c r="G69" s="200">
        <f t="shared" si="21"/>
        <v>0</v>
      </c>
      <c r="H69" s="201">
        <f t="shared" si="21"/>
        <v>0</v>
      </c>
      <c r="I69" s="201">
        <f t="shared" si="21"/>
        <v>0</v>
      </c>
      <c r="J69" s="201" t="e">
        <f t="shared" si="21"/>
        <v>#REF!</v>
      </c>
      <c r="K69" s="201">
        <f t="shared" si="21"/>
        <v>0</v>
      </c>
      <c r="L69" s="201">
        <f t="shared" si="21"/>
        <v>0</v>
      </c>
      <c r="M69" s="201" t="e">
        <f t="shared" ref="M69:T69" si="22">SUM(M63:M68)</f>
        <v>#REF!</v>
      </c>
      <c r="N69" s="201" t="e">
        <f t="shared" si="22"/>
        <v>#REF!</v>
      </c>
      <c r="O69" s="201" t="e">
        <f t="shared" si="22"/>
        <v>#REF!</v>
      </c>
      <c r="P69" s="201" t="e">
        <f t="shared" si="22"/>
        <v>#REF!</v>
      </c>
      <c r="Q69" s="201" t="e">
        <f t="shared" si="22"/>
        <v>#REF!</v>
      </c>
      <c r="R69" s="201" t="e">
        <f t="shared" si="22"/>
        <v>#REF!</v>
      </c>
      <c r="S69" s="201" t="e">
        <f t="shared" si="22"/>
        <v>#REF!</v>
      </c>
      <c r="T69" s="201" t="e">
        <f t="shared" si="22"/>
        <v>#REF!</v>
      </c>
      <c r="U69" s="205"/>
      <c r="V69" s="24">
        <f>SUM(V63:V68)</f>
        <v>1322329.7799999998</v>
      </c>
    </row>
    <row r="70" spans="1:25">
      <c r="A70" s="1"/>
      <c r="B70" s="184"/>
      <c r="C70" s="202"/>
      <c r="D70" s="202"/>
      <c r="E70" s="202"/>
      <c r="F70" s="202"/>
      <c r="G70" s="202"/>
      <c r="H70" s="202"/>
      <c r="I70" s="202"/>
      <c r="J70" s="202" t="e">
        <f>J69-I174</f>
        <v>#REF!</v>
      </c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5"/>
      <c r="V70" s="24">
        <f t="shared" si="5"/>
        <v>0</v>
      </c>
    </row>
    <row r="71" spans="1:25">
      <c r="A71" s="1"/>
      <c r="B71" s="184"/>
      <c r="C71" s="202"/>
      <c r="D71" s="202"/>
      <c r="E71" s="202"/>
      <c r="F71" s="202"/>
      <c r="G71" s="202"/>
      <c r="H71" s="202"/>
      <c r="I71" s="202"/>
      <c r="J71" s="202"/>
      <c r="K71" s="202"/>
      <c r="L71" s="202" t="e">
        <f>+(G69+H69+I69+K69+L69+J69)-I178</f>
        <v>#REF!</v>
      </c>
      <c r="M71" s="202"/>
      <c r="N71" s="202"/>
      <c r="O71" s="202"/>
      <c r="P71" s="202"/>
      <c r="Q71" s="202"/>
      <c r="R71" s="202"/>
      <c r="S71" s="202"/>
      <c r="T71" s="202"/>
      <c r="U71" s="205"/>
      <c r="V71" s="24">
        <f t="shared" si="5"/>
        <v>0</v>
      </c>
    </row>
    <row r="72" spans="1:25">
      <c r="A72" s="1" t="s">
        <v>86</v>
      </c>
      <c r="B72" s="187" t="s">
        <v>120</v>
      </c>
      <c r="C72" s="205"/>
      <c r="D72" s="205"/>
      <c r="E72" s="205"/>
      <c r="F72" s="205"/>
      <c r="G72" s="205"/>
      <c r="H72" s="205"/>
      <c r="I72" s="205"/>
      <c r="J72" s="205"/>
      <c r="K72" s="205"/>
      <c r="L72" s="205" t="e">
        <f>+(G70+H70+I70+K70+L70+J70)-K190</f>
        <v>#REF!</v>
      </c>
      <c r="M72" s="205"/>
      <c r="N72" s="205"/>
      <c r="O72" s="205"/>
      <c r="P72" s="205"/>
      <c r="Q72" s="205"/>
      <c r="R72" s="205"/>
      <c r="S72" s="205"/>
      <c r="T72" s="205"/>
      <c r="U72" s="205"/>
      <c r="V72" s="24">
        <f t="shared" si="5"/>
        <v>0</v>
      </c>
    </row>
    <row r="73" spans="1:25" ht="13.9" thickBot="1">
      <c r="A73" s="300"/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4">
        <f t="shared" si="5"/>
        <v>0</v>
      </c>
    </row>
    <row r="74" spans="1:25" s="14" customFormat="1" ht="27" thickBot="1">
      <c r="A74" s="12" t="s">
        <v>87</v>
      </c>
      <c r="B74" s="189" t="s">
        <v>88</v>
      </c>
      <c r="C74" s="190" t="str">
        <f>+C62</f>
        <v>OPENING</v>
      </c>
      <c r="D74" s="191" t="s">
        <v>90</v>
      </c>
      <c r="E74" s="192" t="s">
        <v>91</v>
      </c>
      <c r="F74" s="190" t="s">
        <v>92</v>
      </c>
      <c r="G74" s="190" t="s">
        <v>93</v>
      </c>
      <c r="H74" s="190" t="s">
        <v>94</v>
      </c>
      <c r="I74" s="190" t="s">
        <v>95</v>
      </c>
      <c r="J74" s="190" t="s">
        <v>96</v>
      </c>
      <c r="K74" s="190" t="s">
        <v>97</v>
      </c>
      <c r="L74" s="190" t="s">
        <v>98</v>
      </c>
      <c r="M74" s="192" t="s">
        <v>99</v>
      </c>
      <c r="N74" s="192" t="s">
        <v>100</v>
      </c>
      <c r="O74" s="192" t="s">
        <v>101</v>
      </c>
      <c r="P74" s="192" t="s">
        <v>102</v>
      </c>
      <c r="Q74" s="192" t="str">
        <f>Q62</f>
        <v>Deaths</v>
      </c>
      <c r="R74" s="192" t="str">
        <f>R62</f>
        <v>CULLS</v>
      </c>
      <c r="S74" s="192" t="str">
        <f>+S62</f>
        <v>STOCK ADJMNT</v>
      </c>
      <c r="T74" s="195" t="s">
        <v>104</v>
      </c>
      <c r="U74" s="196"/>
      <c r="V74" s="24"/>
      <c r="W74"/>
      <c r="X74"/>
      <c r="Y74"/>
    </row>
    <row r="75" spans="1:25">
      <c r="A75" s="2171" t="s">
        <v>105</v>
      </c>
      <c r="B75" s="2184" t="s">
        <v>106</v>
      </c>
      <c r="C75" s="2177">
        <f>'[16]Pigs Cost'!$T75</f>
        <v>32710112702.689857</v>
      </c>
      <c r="D75" s="2178"/>
      <c r="E75" s="2178" t="e">
        <f>'Summary Total Pigs'!#REF!*N73</f>
        <v>#REF!</v>
      </c>
      <c r="F75" s="2177"/>
      <c r="G75" s="2177"/>
      <c r="H75" s="2177"/>
      <c r="I75" s="2177"/>
      <c r="J75" s="2177" t="e">
        <f>('Summary Total Pigs'!#REF!+'Summary Total Pigs'!#REF!+'Summary Total Pigs'!#REF!+'Summary Total Pigs'!#REF!)/'Summary Total Pigs'!#REF!*'Pigs Cost'!$L$174</f>
        <v>#REF!</v>
      </c>
      <c r="K75" s="2177" t="e">
        <f>('Summary Total Pigs'!#REF!/'Summary Total Pigs'!#REF!)*'Pigs Cost'!$L$175</f>
        <v>#REF!</v>
      </c>
      <c r="L75" s="2177"/>
      <c r="M75" s="2179" t="e">
        <f t="shared" ref="M75:M80" si="23">SUM(C75:L75)</f>
        <v>#REF!</v>
      </c>
      <c r="N75" s="2179" t="e">
        <f>+M75/'Summary Total Pigs'!#REF!</f>
        <v>#REF!</v>
      </c>
      <c r="O75" s="2179" t="e">
        <f>N75*'Summary Total Pigs'!#REF!</f>
        <v>#REF!</v>
      </c>
      <c r="P75" s="2179" t="e">
        <f>N75*'Summary Total Pigs'!#REF!</f>
        <v>#REF!</v>
      </c>
      <c r="Q75" s="2179" t="e">
        <f>'Summary Total Pigs'!#REF!*'Pigs Cost'!N75</f>
        <v>#REF!</v>
      </c>
      <c r="R75" s="2179" t="e">
        <f>N75*'Summary Total Pigs'!#REF!</f>
        <v>#REF!</v>
      </c>
      <c r="S75" s="2179" t="e">
        <f>'Summary Total Pigs'!#REF!*'Pigs Cost'!N75</f>
        <v>#REF!</v>
      </c>
      <c r="T75" s="2180" t="e">
        <f t="shared" ref="T75:T80" si="24">M75+O75+P75+R75+S75+Q75</f>
        <v>#REF!</v>
      </c>
      <c r="U75" s="205"/>
      <c r="V75" s="24">
        <f>[17]Sheet1!$K163</f>
        <v>67797061.430000007</v>
      </c>
      <c r="W75" s="24" t="e">
        <f>T75-V75</f>
        <v>#REF!</v>
      </c>
    </row>
    <row r="76" spans="1:25">
      <c r="A76" s="2172" t="s">
        <v>107</v>
      </c>
      <c r="B76" s="2181" t="s">
        <v>108</v>
      </c>
      <c r="C76" s="2177">
        <f>'[16]Pigs Cost'!$T76</f>
        <v>13394548865.96048</v>
      </c>
      <c r="D76" s="2182"/>
      <c r="E76" s="2182" t="e">
        <f>+'Summary Total Pigs'!#REF!*'Pigs Cost'!N75</f>
        <v>#REF!</v>
      </c>
      <c r="F76" s="2183"/>
      <c r="G76" s="2177"/>
      <c r="H76" s="2177"/>
      <c r="I76" s="2177"/>
      <c r="J76" s="2177" t="e">
        <f>('Summary Total Pigs'!#REF!)/'Summary Total Pigs'!#REF!*'Pigs Cost'!$L$174</f>
        <v>#REF!</v>
      </c>
      <c r="K76" s="2177" t="e">
        <f>('Summary Total Pigs'!#REF!/'Summary Total Pigs'!#REF!)*'Pigs Cost'!$L$175</f>
        <v>#REF!</v>
      </c>
      <c r="L76" s="2183"/>
      <c r="M76" s="2179" t="e">
        <f t="shared" si="23"/>
        <v>#REF!</v>
      </c>
      <c r="N76" s="2179" t="e">
        <f>+M76/'Summary Total Pigs'!#REF!</f>
        <v>#REF!</v>
      </c>
      <c r="O76" s="2179" t="e">
        <f>N76*'Summary Total Pigs'!#REF!</f>
        <v>#REF!</v>
      </c>
      <c r="P76" s="2179" t="e">
        <f>N76*'Summary Total Pigs'!#REF!</f>
        <v>#REF!</v>
      </c>
      <c r="Q76" s="2179" t="e">
        <f>'Summary Total Pigs'!#REF!*'Pigs Cost'!N76</f>
        <v>#REF!</v>
      </c>
      <c r="R76" s="2179" t="e">
        <f>N76*'Summary Total Pigs'!#REF!</f>
        <v>#REF!</v>
      </c>
      <c r="S76" s="2179" t="e">
        <f>'Summary Total Pigs'!#REF!*'Pigs Cost'!N76</f>
        <v>#REF!</v>
      </c>
      <c r="T76" s="2180" t="e">
        <f t="shared" si="24"/>
        <v>#REF!</v>
      </c>
      <c r="U76" s="205"/>
      <c r="V76" s="24">
        <f>[17]Sheet1!$K164</f>
        <v>99474250.090000004</v>
      </c>
      <c r="W76" s="24" t="e">
        <f>T76-V76</f>
        <v>#REF!</v>
      </c>
    </row>
    <row r="77" spans="1:25">
      <c r="A77" s="2172" t="s">
        <v>109</v>
      </c>
      <c r="B77" s="2181" t="s">
        <v>110</v>
      </c>
      <c r="C77" s="2177">
        <f>'[16]Pigs Cost'!$T77</f>
        <v>171330344.89405009</v>
      </c>
      <c r="D77" s="2182"/>
      <c r="E77" s="2182" t="e">
        <f>+'Summary Total Pigs'!#REF!*'Pigs Cost'!N76</f>
        <v>#REF!</v>
      </c>
      <c r="F77" s="2183"/>
      <c r="G77" s="2177"/>
      <c r="H77" s="2177"/>
      <c r="I77" s="2177"/>
      <c r="J77" s="2177" t="e">
        <f>('Summary Total Pigs'!#REF!)/'Summary Total Pigs'!#REF!*'Pigs Cost'!$L$174</f>
        <v>#REF!</v>
      </c>
      <c r="K77" s="2177" t="e">
        <f>('Summary Total Pigs'!#REF!/'Summary Total Pigs'!#REF!)*'Pigs Cost'!$L$175</f>
        <v>#REF!</v>
      </c>
      <c r="L77" s="2183"/>
      <c r="M77" s="2179" t="e">
        <f t="shared" si="23"/>
        <v>#REF!</v>
      </c>
      <c r="N77" s="2179" t="e">
        <f>+M77/'Summary Total Pigs'!#REF!</f>
        <v>#REF!</v>
      </c>
      <c r="O77" s="2192" t="e">
        <f>N77*'Summary Total Pigs'!#REF!</f>
        <v>#REF!</v>
      </c>
      <c r="P77" s="2179" t="e">
        <f>N77*'Summary Total Pigs'!#REF!</f>
        <v>#REF!</v>
      </c>
      <c r="Q77" s="2179" t="e">
        <f>'Summary Total Pigs'!#REF!*'Pigs Cost'!N77</f>
        <v>#REF!</v>
      </c>
      <c r="R77" s="2179" t="e">
        <f>N77*'Summary Total Pigs'!#REF!</f>
        <v>#REF!</v>
      </c>
      <c r="S77" s="2179" t="e">
        <f>'Summary Total Pigs'!#REF!*'Pigs Cost'!N77</f>
        <v>#REF!</v>
      </c>
      <c r="T77" s="2180" t="e">
        <f>M77+O77+P77+R77+S77+Q77</f>
        <v>#REF!</v>
      </c>
      <c r="U77" s="205"/>
      <c r="V77" s="24">
        <f>[17]Sheet1!$K165</f>
        <v>194803227.43000001</v>
      </c>
      <c r="W77" s="24" t="e">
        <f>T77-V77</f>
        <v>#REF!</v>
      </c>
      <c r="X77" s="24"/>
    </row>
    <row r="78" spans="1:25">
      <c r="A78" s="2172" t="s">
        <v>111</v>
      </c>
      <c r="B78" s="2184" t="s">
        <v>106</v>
      </c>
      <c r="C78" s="2177">
        <f>'[16]Pigs Cost'!$T78</f>
        <v>0</v>
      </c>
      <c r="D78" s="2182"/>
      <c r="E78" s="2182" t="e">
        <f>+'Summary Total Pigs'!#REF!*'Pigs Cost'!N77</f>
        <v>#REF!</v>
      </c>
      <c r="F78" s="2183"/>
      <c r="G78" s="2177"/>
      <c r="H78" s="2177"/>
      <c r="I78" s="2177"/>
      <c r="J78" s="2177">
        <v>0</v>
      </c>
      <c r="K78" s="2177" t="e">
        <f>('Summary Total Pigs'!#REF!/'Summary Total Pigs'!#REF!)*'Pigs Cost'!$L$175</f>
        <v>#REF!</v>
      </c>
      <c r="L78" s="2183"/>
      <c r="M78" s="2179" t="e">
        <f t="shared" si="23"/>
        <v>#REF!</v>
      </c>
      <c r="N78" s="2179"/>
      <c r="O78" s="2179" t="e">
        <f>N78*'Summary Total Pigs'!#REF!</f>
        <v>#REF!</v>
      </c>
      <c r="P78" s="2179"/>
      <c r="Q78" s="2179" t="e">
        <f>'Summary Total Pigs'!#REF!*'Pigs Cost'!N78</f>
        <v>#REF!</v>
      </c>
      <c r="R78" s="2179" t="e">
        <f>N78*'Summary Total Pigs'!#REF!</f>
        <v>#REF!</v>
      </c>
      <c r="S78" s="2179" t="e">
        <f>'Summary Total Pigs'!#REF!*'Pigs Cost'!N78</f>
        <v>#REF!</v>
      </c>
      <c r="T78" s="2180" t="e">
        <f t="shared" si="24"/>
        <v>#REF!</v>
      </c>
      <c r="U78" s="205"/>
      <c r="V78" s="24" t="str">
        <f>[17]Sheet1!$K166</f>
        <v/>
      </c>
      <c r="W78" s="24"/>
    </row>
    <row r="79" spans="1:25">
      <c r="A79" s="2172" t="s">
        <v>112</v>
      </c>
      <c r="B79" s="2184" t="s">
        <v>106</v>
      </c>
      <c r="C79" s="2177">
        <f>'[16]Pigs Cost'!$T79</f>
        <v>80.838476654367213</v>
      </c>
      <c r="D79" s="2182"/>
      <c r="E79" s="2182" t="e">
        <f>+'Summary Total Pigs'!#REF!*N56</f>
        <v>#REF!</v>
      </c>
      <c r="F79" s="2183"/>
      <c r="G79" s="2177"/>
      <c r="H79" s="2177"/>
      <c r="I79" s="2177"/>
      <c r="J79" s="2177">
        <v>0</v>
      </c>
      <c r="K79" s="2177" t="e">
        <f>('Summary Total Pigs'!#REF!/'Summary Total Pigs'!#REF!)*'Pigs Cost'!$L$175</f>
        <v>#REF!</v>
      </c>
      <c r="L79" s="2183"/>
      <c r="M79" s="2179" t="e">
        <f t="shared" si="23"/>
        <v>#REF!</v>
      </c>
      <c r="N79" s="2179" t="e">
        <f>+M79/'Summary Total Pigs'!#REF!</f>
        <v>#REF!</v>
      </c>
      <c r="O79" s="2179" t="e">
        <f>N79*'Summary Total Pigs'!#REF!</f>
        <v>#REF!</v>
      </c>
      <c r="P79" s="2179" t="e">
        <f>'Summary Total Pigs'!#REF!*'Pigs Cost'!N79</f>
        <v>#REF!</v>
      </c>
      <c r="Q79" s="2179" t="e">
        <f>'Summary Total Pigs'!#REF!*'Pigs Cost'!N79</f>
        <v>#REF!</v>
      </c>
      <c r="R79" s="2179" t="e">
        <f>N79*'Summary Total Pigs'!#REF!</f>
        <v>#REF!</v>
      </c>
      <c r="S79" s="2179" t="e">
        <f>'Summary Total Pigs'!#REF!*'Pigs Cost'!N79</f>
        <v>#REF!</v>
      </c>
      <c r="T79" s="2180" t="e">
        <f t="shared" si="24"/>
        <v>#REF!</v>
      </c>
      <c r="U79" s="205"/>
      <c r="V79" s="24">
        <f>[17]Sheet1!$K167</f>
        <v>178.67000000000002</v>
      </c>
      <c r="W79" s="24" t="e">
        <f>T79-V79</f>
        <v>#REF!</v>
      </c>
    </row>
    <row r="80" spans="1:25" ht="13.9" thickBot="1">
      <c r="A80" s="2174" t="s">
        <v>113</v>
      </c>
      <c r="B80" s="2185"/>
      <c r="C80" s="2177">
        <f>'[16]Pigs Cost'!$T80</f>
        <v>0.40728136549852967</v>
      </c>
      <c r="D80" s="2186"/>
      <c r="E80" s="2182"/>
      <c r="F80" s="2187"/>
      <c r="G80" s="2187"/>
      <c r="H80" s="2187"/>
      <c r="I80" s="2187"/>
      <c r="J80" s="2177">
        <v>0</v>
      </c>
      <c r="K80" s="2177" t="e">
        <f>('Summary Total Pigs'!#REF!/'Summary Total Pigs'!#REF!)*'Pigs Cost'!$L$175</f>
        <v>#REF!</v>
      </c>
      <c r="L80" s="2187"/>
      <c r="M80" s="2179" t="e">
        <f t="shared" si="23"/>
        <v>#REF!</v>
      </c>
      <c r="N80" s="2179" t="e">
        <f>+M80/'Summary Total Pigs'!#REF!</f>
        <v>#REF!</v>
      </c>
      <c r="O80" s="2179" t="e">
        <f>N80*'Summary Total Pigs'!#REF!</f>
        <v>#REF!</v>
      </c>
      <c r="P80" s="2189"/>
      <c r="Q80" s="2179" t="e">
        <f>'Summary Total Pigs'!#REF!*'Pigs Cost'!N80</f>
        <v>#REF!</v>
      </c>
      <c r="R80" s="2179" t="e">
        <f>N80*'Summary Total Pigs'!#REF!</f>
        <v>#REF!</v>
      </c>
      <c r="S80" s="2179" t="e">
        <f>'Summary Total Pigs'!#REF!*'Pigs Cost'!N80</f>
        <v>#REF!</v>
      </c>
      <c r="T80" s="2180" t="e">
        <f t="shared" si="24"/>
        <v>#REF!</v>
      </c>
      <c r="U80" s="205"/>
      <c r="V80" s="24">
        <f>[17]Sheet1!$K168</f>
        <v>0.54</v>
      </c>
      <c r="W80" s="24" t="e">
        <f>T80-V80</f>
        <v>#REF!</v>
      </c>
      <c r="X80" s="24"/>
    </row>
    <row r="81" spans="1:23" ht="13.9" thickBot="1">
      <c r="A81" s="3" t="s">
        <v>115</v>
      </c>
      <c r="B81" s="199"/>
      <c r="C81" s="200">
        <f>SUM(C75:C80)</f>
        <v>46275991994.790146</v>
      </c>
      <c r="D81" s="200">
        <f>SUM(D75:D80)</f>
        <v>0</v>
      </c>
      <c r="E81" s="200" t="e">
        <f>SUM(E75:E80)</f>
        <v>#REF!</v>
      </c>
      <c r="F81" s="200">
        <f>SUM(F75:F80)</f>
        <v>0</v>
      </c>
      <c r="G81" s="201">
        <f t="shared" ref="G81:T81" si="25">SUM(G75:G80)</f>
        <v>0</v>
      </c>
      <c r="H81" s="201">
        <f t="shared" si="25"/>
        <v>0</v>
      </c>
      <c r="I81" s="201">
        <f t="shared" si="25"/>
        <v>0</v>
      </c>
      <c r="J81" s="201" t="e">
        <f t="shared" si="25"/>
        <v>#REF!</v>
      </c>
      <c r="K81" s="201" t="e">
        <f t="shared" si="25"/>
        <v>#REF!</v>
      </c>
      <c r="L81" s="201">
        <f t="shared" si="25"/>
        <v>0</v>
      </c>
      <c r="M81" s="201" t="e">
        <f t="shared" si="25"/>
        <v>#REF!</v>
      </c>
      <c r="N81" s="201" t="e">
        <f t="shared" si="25"/>
        <v>#REF!</v>
      </c>
      <c r="O81" s="201" t="e">
        <f t="shared" si="25"/>
        <v>#REF!</v>
      </c>
      <c r="P81" s="201" t="e">
        <f t="shared" si="25"/>
        <v>#REF!</v>
      </c>
      <c r="Q81" s="201" t="e">
        <f t="shared" si="25"/>
        <v>#REF!</v>
      </c>
      <c r="R81" s="201" t="e">
        <f t="shared" si="25"/>
        <v>#REF!</v>
      </c>
      <c r="S81" s="201" t="e">
        <f>SUM(S75:S80)</f>
        <v>#REF!</v>
      </c>
      <c r="T81" s="201" t="e">
        <f t="shared" si="25"/>
        <v>#REF!</v>
      </c>
      <c r="U81" s="205"/>
      <c r="V81" s="24">
        <f>SUM(V75:V80)</f>
        <v>362074718.16000009</v>
      </c>
      <c r="W81" s="24" t="e">
        <f>T81-V81</f>
        <v>#REF!</v>
      </c>
    </row>
    <row r="82" spans="1:23">
      <c r="A82" s="300"/>
      <c r="B82" s="205"/>
      <c r="C82" s="205"/>
      <c r="D82" s="205"/>
      <c r="E82" s="205"/>
      <c r="F82" s="205"/>
      <c r="G82" s="205"/>
      <c r="H82" s="205"/>
      <c r="I82" s="205"/>
      <c r="J82" s="205" t="e">
        <f>J81-L174</f>
        <v>#REF!</v>
      </c>
      <c r="K82" s="205" t="e">
        <f>K81-L175</f>
        <v>#REF!</v>
      </c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4">
        <f t="shared" ref="V82:V141" si="26">C82/$B$178</f>
        <v>0</v>
      </c>
    </row>
    <row r="83" spans="1:23" ht="14.25" customHeight="1">
      <c r="A83" s="300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4">
        <f t="shared" si="26"/>
        <v>0</v>
      </c>
    </row>
    <row r="84" spans="1:23">
      <c r="A84" s="1" t="s">
        <v>86</v>
      </c>
      <c r="B84" s="17" t="s">
        <v>141</v>
      </c>
      <c r="C84" s="205"/>
      <c r="D84" s="205" t="e">
        <f>240*N100</f>
        <v>#REF!</v>
      </c>
      <c r="E84" s="205"/>
      <c r="F84" s="205"/>
      <c r="G84" s="205"/>
      <c r="H84" s="205"/>
      <c r="I84" s="205"/>
      <c r="J84" s="205"/>
      <c r="K84" s="205"/>
      <c r="L84" s="205" t="e">
        <f>+(G82+H82+I82+K82+L82+J82)-K202</f>
        <v>#REF!</v>
      </c>
      <c r="M84" s="205"/>
      <c r="N84" s="205"/>
      <c r="O84" s="205" t="e">
        <f>O89/N89</f>
        <v>#REF!</v>
      </c>
      <c r="P84" s="205"/>
      <c r="Q84" s="205"/>
      <c r="R84" s="205"/>
      <c r="S84" s="205"/>
      <c r="T84" s="205"/>
      <c r="U84" s="205"/>
      <c r="V84" s="24">
        <f t="shared" si="26"/>
        <v>0</v>
      </c>
    </row>
    <row r="85" spans="1:23" ht="13.9" thickBot="1">
      <c r="A85" s="300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4">
        <f t="shared" si="26"/>
        <v>0</v>
      </c>
    </row>
    <row r="86" spans="1:23" ht="27" thickBot="1">
      <c r="A86" s="12" t="s">
        <v>87</v>
      </c>
      <c r="B86" s="189" t="s">
        <v>88</v>
      </c>
      <c r="C86" s="190" t="str">
        <f>+C74</f>
        <v>OPENING</v>
      </c>
      <c r="D86" s="191" t="s">
        <v>90</v>
      </c>
      <c r="E86" s="192" t="s">
        <v>91</v>
      </c>
      <c r="F86" s="190" t="s">
        <v>92</v>
      </c>
      <c r="G86" s="190" t="s">
        <v>93</v>
      </c>
      <c r="H86" s="190" t="s">
        <v>94</v>
      </c>
      <c r="I86" s="190" t="s">
        <v>95</v>
      </c>
      <c r="J86" s="190" t="s">
        <v>96</v>
      </c>
      <c r="K86" s="190" t="s">
        <v>97</v>
      </c>
      <c r="L86" s="190" t="s">
        <v>98</v>
      </c>
      <c r="M86" s="192" t="s">
        <v>99</v>
      </c>
      <c r="N86" s="192" t="s">
        <v>100</v>
      </c>
      <c r="O86" s="192" t="s">
        <v>101</v>
      </c>
      <c r="P86" s="192" t="s">
        <v>102</v>
      </c>
      <c r="Q86" s="192" t="str">
        <f>Q74</f>
        <v>Deaths</v>
      </c>
      <c r="R86" s="192" t="str">
        <f>R74</f>
        <v>CULLS</v>
      </c>
      <c r="S86" s="192" t="str">
        <f>+S74</f>
        <v>STOCK ADJMNT</v>
      </c>
      <c r="T86" s="195" t="s">
        <v>104</v>
      </c>
      <c r="U86" s="196"/>
      <c r="V86" s="24"/>
    </row>
    <row r="87" spans="1:23">
      <c r="A87" s="2171" t="s">
        <v>105</v>
      </c>
      <c r="B87" s="2184" t="s">
        <v>106</v>
      </c>
      <c r="C87" s="2177">
        <f>'[16]Pigs Cost'!$T87</f>
        <v>0</v>
      </c>
      <c r="D87" s="2178"/>
      <c r="E87" s="2178"/>
      <c r="F87" s="2177"/>
      <c r="G87" s="2177"/>
      <c r="H87" s="2177"/>
      <c r="I87" s="2177"/>
      <c r="J87" s="2177" t="e">
        <f>('Summary Total Pigs'!#REF!)/'Summary Total Pigs'!#REF!*'Pigs Cost'!$O$174</f>
        <v>#REF!</v>
      </c>
      <c r="K87" s="2177"/>
      <c r="L87" s="2177"/>
      <c r="M87" s="2179" t="e">
        <f t="shared" ref="M87:M92" si="27">SUM(C87:L87)</f>
        <v>#REF!</v>
      </c>
      <c r="N87" s="2179">
        <v>0</v>
      </c>
      <c r="O87" s="2179" t="e">
        <f>N87*'Summary Total Pigs'!#REF!</f>
        <v>#REF!</v>
      </c>
      <c r="P87" s="2179" t="e">
        <f>N87*'Summary Total Pigs'!#REF!</f>
        <v>#REF!</v>
      </c>
      <c r="Q87" s="2179" t="e">
        <f>'Summary Total Pigs'!#REF!*'Pigs Cost'!N87</f>
        <v>#REF!</v>
      </c>
      <c r="R87" s="2179" t="e">
        <f>N87*'Summary Total Pigs'!#REF!</f>
        <v>#REF!</v>
      </c>
      <c r="S87" s="2179" t="e">
        <f>'Summary Total Pigs'!#REF!*'Pigs Cost'!N87</f>
        <v>#REF!</v>
      </c>
      <c r="T87" s="2180" t="e">
        <f t="shared" ref="T87:T92" si="28">M87+O87+P87+R87+S87+Q87</f>
        <v>#REF!</v>
      </c>
      <c r="U87" s="205"/>
      <c r="V87" s="24" t="str">
        <f>[17]Sheet1!$P163</f>
        <v/>
      </c>
    </row>
    <row r="88" spans="1:23">
      <c r="A88" s="2172" t="s">
        <v>107</v>
      </c>
      <c r="B88" s="2181" t="s">
        <v>108</v>
      </c>
      <c r="C88" s="2177">
        <f>'[16]Pigs Cost'!$T88</f>
        <v>0</v>
      </c>
      <c r="D88" s="2182"/>
      <c r="E88" s="2182"/>
      <c r="F88" s="2183"/>
      <c r="G88" s="2177"/>
      <c r="H88" s="2177"/>
      <c r="I88" s="2177"/>
      <c r="J88" s="2177" t="e">
        <f>('Summary Total Pigs'!#REF!)/'Summary Total Pigs'!#REF!*'Pigs Cost'!$O$174</f>
        <v>#REF!</v>
      </c>
      <c r="K88" s="2177"/>
      <c r="L88" s="2183"/>
      <c r="M88" s="2179" t="e">
        <f t="shared" si="27"/>
        <v>#REF!</v>
      </c>
      <c r="N88" s="2179">
        <v>0</v>
      </c>
      <c r="O88" s="2179" t="e">
        <f>N88*'Summary Total Pigs'!#REF!</f>
        <v>#REF!</v>
      </c>
      <c r="P88" s="2179" t="e">
        <f>N88*'Summary Total Pigs'!#REF!</f>
        <v>#REF!</v>
      </c>
      <c r="Q88" s="2179" t="e">
        <f>'Summary Total Pigs'!#REF!*'Pigs Cost'!N88</f>
        <v>#REF!</v>
      </c>
      <c r="R88" s="2179" t="e">
        <f>N88*'Summary Total Pigs'!#REF!</f>
        <v>#REF!</v>
      </c>
      <c r="S88" s="2179" t="e">
        <f>'Summary Total Pigs'!#REF!*'Pigs Cost'!N88</f>
        <v>#REF!</v>
      </c>
      <c r="T88" s="2180" t="e">
        <f t="shared" si="28"/>
        <v>#REF!</v>
      </c>
      <c r="U88" s="205"/>
      <c r="V88" s="24">
        <f>[17]Sheet1!$P164</f>
        <v>0</v>
      </c>
      <c r="W88" s="74" t="e">
        <f>T88-V88</f>
        <v>#REF!</v>
      </c>
    </row>
    <row r="89" spans="1:23">
      <c r="A89" s="2172" t="s">
        <v>109</v>
      </c>
      <c r="B89" s="2181" t="s">
        <v>110</v>
      </c>
      <c r="C89" s="2177">
        <f>'[16]Pigs Cost'!$T89</f>
        <v>24631157326.616066</v>
      </c>
      <c r="D89" s="2182"/>
      <c r="E89" s="2193" t="e">
        <f>'Summary Total Pigs'!#REF!*N101</f>
        <v>#REF!</v>
      </c>
      <c r="F89" s="2183"/>
      <c r="G89" s="2177"/>
      <c r="H89" s="2177"/>
      <c r="I89" s="2177"/>
      <c r="J89" s="2177" t="e">
        <f>('Summary Total Pigs'!#REF!)/'Summary Total Pigs'!#REF!*'Pigs Cost'!$O$174</f>
        <v>#REF!</v>
      </c>
      <c r="K89" s="2177"/>
      <c r="L89" s="2183"/>
      <c r="M89" s="2179" t="e">
        <f t="shared" si="27"/>
        <v>#REF!</v>
      </c>
      <c r="N89" s="2179" t="e">
        <f>M89/'Summary Total Pigs'!#REF!</f>
        <v>#REF!</v>
      </c>
      <c r="O89" s="2179" t="e">
        <f>N89*'Summary Total Pigs'!#REF!</f>
        <v>#REF!</v>
      </c>
      <c r="P89" s="2179" t="e">
        <f>N89*'Summary Total Pigs'!#REF!</f>
        <v>#REF!</v>
      </c>
      <c r="Q89" s="2179" t="e">
        <f>'Summary Total Pigs'!#REF!*'Pigs Cost'!N89</f>
        <v>#REF!</v>
      </c>
      <c r="R89" s="2179" t="e">
        <f>N89*'Summary Total Pigs'!#REF!</f>
        <v>#REF!</v>
      </c>
      <c r="S89" s="2179" t="e">
        <f>'Summary Total Pigs'!#REF!*'Pigs Cost'!N89</f>
        <v>#REF!</v>
      </c>
      <c r="T89" s="2180" t="e">
        <f t="shared" si="28"/>
        <v>#REF!</v>
      </c>
      <c r="U89" s="205"/>
      <c r="V89" s="24">
        <f>[17]Sheet1!$P165</f>
        <v>80264138.930000007</v>
      </c>
      <c r="W89" s="74" t="e">
        <f>T89-V89</f>
        <v>#REF!</v>
      </c>
    </row>
    <row r="90" spans="1:23">
      <c r="A90" s="2172" t="s">
        <v>111</v>
      </c>
      <c r="B90" s="2184" t="s">
        <v>106</v>
      </c>
      <c r="C90" s="2177">
        <f>'[16]Pigs Cost'!$T90</f>
        <v>0</v>
      </c>
      <c r="D90" s="2182"/>
      <c r="E90" s="2182"/>
      <c r="F90" s="2183"/>
      <c r="G90" s="2177"/>
      <c r="H90" s="2177"/>
      <c r="I90" s="2177"/>
      <c r="J90" s="2177" t="e">
        <f>('Summary Total Pigs'!#REF!)/'Summary Total Pigs'!#REF!*'Pigs Cost'!$O$174</f>
        <v>#REF!</v>
      </c>
      <c r="K90" s="2177"/>
      <c r="L90" s="2183"/>
      <c r="M90" s="2179" t="e">
        <f t="shared" si="27"/>
        <v>#REF!</v>
      </c>
      <c r="N90" s="2179"/>
      <c r="O90" s="2179" t="e">
        <f>N90*'Summary Total Pigs'!#REF!</f>
        <v>#REF!</v>
      </c>
      <c r="P90" s="2179" t="e">
        <f>N90*'Summary Total Pigs'!#REF!</f>
        <v>#REF!</v>
      </c>
      <c r="Q90" s="2179" t="e">
        <f>'Summary Total Pigs'!#REF!*'Pigs Cost'!N90</f>
        <v>#REF!</v>
      </c>
      <c r="R90" s="2179" t="e">
        <f>N90*'Summary Total Pigs'!#REF!</f>
        <v>#REF!</v>
      </c>
      <c r="S90" s="2179" t="e">
        <f>'Summary Total Pigs'!#REF!*'Pigs Cost'!N90</f>
        <v>#REF!</v>
      </c>
      <c r="T90" s="2180" t="e">
        <f t="shared" si="28"/>
        <v>#REF!</v>
      </c>
      <c r="U90" s="205"/>
      <c r="V90" s="24" t="str">
        <f>[17]Sheet1!$P166</f>
        <v/>
      </c>
    </row>
    <row r="91" spans="1:23">
      <c r="A91" s="2172" t="s">
        <v>112</v>
      </c>
      <c r="B91" s="2184" t="s">
        <v>106</v>
      </c>
      <c r="C91" s="2177">
        <f>'[16]Pigs Cost'!$T91</f>
        <v>0</v>
      </c>
      <c r="D91" s="2182"/>
      <c r="E91" s="2182"/>
      <c r="F91" s="2183"/>
      <c r="G91" s="2177"/>
      <c r="H91" s="2177"/>
      <c r="I91" s="2177"/>
      <c r="J91" s="2177" t="e">
        <f>('Summary Total Pigs'!#REF!)/'Summary Total Pigs'!#REF!*'Pigs Cost'!$O$174</f>
        <v>#REF!</v>
      </c>
      <c r="K91" s="2177"/>
      <c r="L91" s="2183"/>
      <c r="M91" s="2179" t="e">
        <f t="shared" si="27"/>
        <v>#REF!</v>
      </c>
      <c r="N91" s="2179"/>
      <c r="O91" s="2179" t="e">
        <f>N91*'Summary Total Pigs'!#REF!</f>
        <v>#REF!</v>
      </c>
      <c r="P91" s="2179" t="e">
        <f>N91*'Summary Total Pigs'!#REF!</f>
        <v>#REF!</v>
      </c>
      <c r="Q91" s="2179" t="e">
        <f>'Summary Total Pigs'!#REF!*'Pigs Cost'!N91</f>
        <v>#REF!</v>
      </c>
      <c r="R91" s="2179" t="e">
        <f>N91*'Summary Total Pigs'!#REF!</f>
        <v>#REF!</v>
      </c>
      <c r="S91" s="2179" t="e">
        <f>'Summary Total Pigs'!#REF!*'Pigs Cost'!N91</f>
        <v>#REF!</v>
      </c>
      <c r="T91" s="2180" t="e">
        <f t="shared" si="28"/>
        <v>#REF!</v>
      </c>
      <c r="U91" s="205"/>
      <c r="V91" s="24" t="str">
        <f>[17]Sheet1!$P167</f>
        <v/>
      </c>
    </row>
    <row r="92" spans="1:23" ht="13.9" thickBot="1">
      <c r="A92" s="2174" t="s">
        <v>113</v>
      </c>
      <c r="B92" s="2185"/>
      <c r="C92" s="2177">
        <f>'[16]Pigs Cost'!$T92</f>
        <v>0</v>
      </c>
      <c r="D92" s="2186"/>
      <c r="E92" s="2186"/>
      <c r="F92" s="2187"/>
      <c r="G92" s="2187"/>
      <c r="H92" s="2187"/>
      <c r="I92" s="2187"/>
      <c r="J92" s="2177" t="e">
        <f>('Summary Total Pigs'!#REF!)/'Summary Total Pigs'!#REF!*'Pigs Cost'!$O$174</f>
        <v>#REF!</v>
      </c>
      <c r="K92" s="2187"/>
      <c r="L92" s="2187"/>
      <c r="M92" s="2179" t="e">
        <f t="shared" si="27"/>
        <v>#REF!</v>
      </c>
      <c r="N92" s="2179"/>
      <c r="O92" s="2179" t="e">
        <f>N92*'Summary Total Pigs'!#REF!</f>
        <v>#REF!</v>
      </c>
      <c r="P92" s="2179" t="e">
        <f>N92*'Summary Total Pigs'!#REF!</f>
        <v>#REF!</v>
      </c>
      <c r="Q92" s="2179" t="e">
        <f>'Summary Total Pigs'!#REF!*'Pigs Cost'!N92</f>
        <v>#REF!</v>
      </c>
      <c r="R92" s="2179" t="e">
        <f>N92*'Summary Total Pigs'!#REF!</f>
        <v>#REF!</v>
      </c>
      <c r="S92" s="2179" t="e">
        <f>'Summary Total Pigs'!#REF!*'Pigs Cost'!N92</f>
        <v>#REF!</v>
      </c>
      <c r="T92" s="2180" t="e">
        <f t="shared" si="28"/>
        <v>#REF!</v>
      </c>
      <c r="U92" s="205"/>
      <c r="V92" s="24" t="str">
        <f>[17]Sheet1!$P168</f>
        <v/>
      </c>
    </row>
    <row r="93" spans="1:23" ht="13.9" thickBot="1">
      <c r="A93" s="3" t="s">
        <v>115</v>
      </c>
      <c r="B93" s="199"/>
      <c r="C93" s="200">
        <f>SUM(C87:C92)</f>
        <v>24631157326.616066</v>
      </c>
      <c r="D93" s="200">
        <f t="shared" ref="D93:T93" si="29">SUM(D87:D92)</f>
        <v>0</v>
      </c>
      <c r="E93" s="200" t="e">
        <f t="shared" si="29"/>
        <v>#REF!</v>
      </c>
      <c r="F93" s="200">
        <f t="shared" si="29"/>
        <v>0</v>
      </c>
      <c r="G93" s="201">
        <f t="shared" si="29"/>
        <v>0</v>
      </c>
      <c r="H93" s="201">
        <f t="shared" si="29"/>
        <v>0</v>
      </c>
      <c r="I93" s="201">
        <f t="shared" si="29"/>
        <v>0</v>
      </c>
      <c r="J93" s="201" t="e">
        <f t="shared" si="29"/>
        <v>#REF!</v>
      </c>
      <c r="K93" s="201">
        <f t="shared" si="29"/>
        <v>0</v>
      </c>
      <c r="L93" s="201">
        <f t="shared" si="29"/>
        <v>0</v>
      </c>
      <c r="M93" s="201" t="e">
        <f t="shared" si="29"/>
        <v>#REF!</v>
      </c>
      <c r="N93" s="201" t="e">
        <f t="shared" si="29"/>
        <v>#REF!</v>
      </c>
      <c r="O93" s="201" t="e">
        <f>SUM(O87:O92)</f>
        <v>#REF!</v>
      </c>
      <c r="P93" s="201" t="e">
        <f t="shared" si="29"/>
        <v>#REF!</v>
      </c>
      <c r="Q93" s="201" t="e">
        <f t="shared" si="29"/>
        <v>#REF!</v>
      </c>
      <c r="R93" s="201" t="e">
        <f t="shared" si="29"/>
        <v>#REF!</v>
      </c>
      <c r="S93" s="201" t="e">
        <f>SUM(S87:S92)</f>
        <v>#REF!</v>
      </c>
      <c r="T93" s="201" t="e">
        <f t="shared" si="29"/>
        <v>#REF!</v>
      </c>
      <c r="U93" s="205"/>
      <c r="V93" s="24">
        <f>SUM(V87:V92)</f>
        <v>80264138.930000007</v>
      </c>
      <c r="W93" s="24" t="e">
        <f>T93-V93</f>
        <v>#REF!</v>
      </c>
    </row>
    <row r="94" spans="1:23">
      <c r="A94" s="300"/>
      <c r="B94" s="205"/>
      <c r="C94" s="205"/>
      <c r="D94" s="205"/>
      <c r="E94" s="205"/>
      <c r="F94" s="205"/>
      <c r="G94" s="205"/>
      <c r="H94" s="205"/>
      <c r="I94" s="205"/>
      <c r="J94" s="205" t="e">
        <f>J93-O174</f>
        <v>#REF!</v>
      </c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4">
        <f t="shared" si="26"/>
        <v>0</v>
      </c>
    </row>
    <row r="95" spans="1:23">
      <c r="A95" s="300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 t="e">
        <f>+S93+'IAS 41 Mvmnt Pigs'!K93</f>
        <v>#REF!</v>
      </c>
      <c r="T95" s="205"/>
      <c r="U95" s="205"/>
      <c r="V95" s="24">
        <f t="shared" si="26"/>
        <v>0</v>
      </c>
    </row>
    <row r="96" spans="1:23">
      <c r="A96" s="1" t="s">
        <v>86</v>
      </c>
      <c r="B96" s="187" t="s">
        <v>142</v>
      </c>
      <c r="C96" s="205"/>
      <c r="D96" s="205"/>
      <c r="E96" s="205"/>
      <c r="F96" s="205"/>
      <c r="G96" s="205"/>
      <c r="H96" s="205"/>
      <c r="I96" s="205"/>
      <c r="J96" s="205"/>
      <c r="K96" s="205"/>
      <c r="L96" s="205" t="e">
        <f>+(G94+H94+I94+K94+L94+J94)-K214</f>
        <v>#REF!</v>
      </c>
      <c r="M96" s="205"/>
      <c r="N96" s="205"/>
      <c r="O96" s="205"/>
      <c r="P96" s="205"/>
      <c r="Q96" s="205"/>
      <c r="R96" s="205"/>
      <c r="S96" s="205"/>
      <c r="T96" s="205"/>
      <c r="U96" s="205"/>
      <c r="V96" s="24">
        <f t="shared" si="26"/>
        <v>0</v>
      </c>
    </row>
    <row r="97" spans="1:23" ht="13.9" thickBot="1">
      <c r="A97" s="300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4">
        <f t="shared" si="26"/>
        <v>0</v>
      </c>
    </row>
    <row r="98" spans="1:23" ht="27" thickBot="1">
      <c r="A98" s="12" t="s">
        <v>87</v>
      </c>
      <c r="B98" s="189" t="s">
        <v>88</v>
      </c>
      <c r="C98" s="190" t="str">
        <f>+C86</f>
        <v>OPENING</v>
      </c>
      <c r="D98" s="191" t="s">
        <v>90</v>
      </c>
      <c r="E98" s="192" t="s">
        <v>91</v>
      </c>
      <c r="F98" s="190" t="s">
        <v>92</v>
      </c>
      <c r="G98" s="190" t="s">
        <v>93</v>
      </c>
      <c r="H98" s="190" t="s">
        <v>94</v>
      </c>
      <c r="I98" s="190" t="s">
        <v>95</v>
      </c>
      <c r="J98" s="190" t="s">
        <v>96</v>
      </c>
      <c r="K98" s="190" t="s">
        <v>97</v>
      </c>
      <c r="L98" s="190" t="s">
        <v>98</v>
      </c>
      <c r="M98" s="192" t="s">
        <v>99</v>
      </c>
      <c r="N98" s="192" t="s">
        <v>100</v>
      </c>
      <c r="O98" s="192" t="s">
        <v>101</v>
      </c>
      <c r="P98" s="192" t="s">
        <v>102</v>
      </c>
      <c r="Q98" s="192" t="str">
        <f>Q86</f>
        <v>Deaths</v>
      </c>
      <c r="R98" s="192" t="str">
        <f>R86</f>
        <v>CULLS</v>
      </c>
      <c r="S98" s="192" t="str">
        <f>+S86</f>
        <v>STOCK ADJMNT</v>
      </c>
      <c r="T98" s="195" t="s">
        <v>104</v>
      </c>
      <c r="U98" s="196"/>
      <c r="V98" s="24"/>
    </row>
    <row r="99" spans="1:23">
      <c r="A99" s="2171" t="s">
        <v>105</v>
      </c>
      <c r="B99" s="2184" t="s">
        <v>106</v>
      </c>
      <c r="C99" s="2177">
        <f>'[16]Pigs Cost'!$T99</f>
        <v>0</v>
      </c>
      <c r="D99" s="2178"/>
      <c r="E99" s="2178" t="e">
        <f>'Summary Total Pigs'!#REF!*'Pigs Cost'!N37</f>
        <v>#REF!</v>
      </c>
      <c r="F99" s="2177"/>
      <c r="G99" s="2177"/>
      <c r="H99" s="2177"/>
      <c r="I99" s="2177"/>
      <c r="J99" s="2177" t="e">
        <f>('Summary Total Pigs'!#REF!/'Summary Total Pigs'!#REF!)*'Pigs Cost'!$P$174</f>
        <v>#REF!</v>
      </c>
      <c r="K99" s="2177"/>
      <c r="L99" s="2177"/>
      <c r="M99" s="2179" t="e">
        <f t="shared" ref="M99:M104" si="30">SUM(C99:L99)</f>
        <v>#REF!</v>
      </c>
      <c r="N99" s="2179"/>
      <c r="O99" s="2179" t="e">
        <f>N99*'Summary Total Pigs'!#REF!</f>
        <v>#REF!</v>
      </c>
      <c r="P99" s="2179" t="e">
        <f>N99*'Summary Total Pigs'!#REF!</f>
        <v>#REF!</v>
      </c>
      <c r="Q99" s="2179" t="e">
        <f>'Summary Total Pigs'!#REF!*'Pigs Cost'!N99</f>
        <v>#REF!</v>
      </c>
      <c r="R99" s="2179" t="e">
        <f>N99*'Summary Total Pigs'!#REF!</f>
        <v>#REF!</v>
      </c>
      <c r="S99" s="2179">
        <v>0</v>
      </c>
      <c r="T99" s="2180" t="e">
        <f t="shared" ref="T99:T104" si="31">M99+O99+P99+R99+S99+Q99</f>
        <v>#REF!</v>
      </c>
      <c r="U99" s="205"/>
      <c r="V99" s="24" t="str">
        <f>[17]Sheet1!$N163</f>
        <v/>
      </c>
    </row>
    <row r="100" spans="1:23">
      <c r="A100" s="2172" t="s">
        <v>107</v>
      </c>
      <c r="B100" s="2181" t="s">
        <v>108</v>
      </c>
      <c r="C100" s="2177">
        <f>'[16]Pigs Cost'!$T100</f>
        <v>24683772044.592155</v>
      </c>
      <c r="D100" s="2182"/>
      <c r="E100" s="2179" t="e">
        <f>(603*N37)+(489*N53)</f>
        <v>#REF!</v>
      </c>
      <c r="F100" s="2183"/>
      <c r="G100" s="2177"/>
      <c r="H100" s="2177"/>
      <c r="I100" s="2177"/>
      <c r="J100" s="2177" t="e">
        <f>('Summary Total Pigs'!#REF!/'Summary Total Pigs'!#REF!)*'Pigs Cost'!$P$174</f>
        <v>#REF!</v>
      </c>
      <c r="K100" s="2177"/>
      <c r="L100" s="2183"/>
      <c r="M100" s="2179" t="e">
        <f>SUM(C100:L100)</f>
        <v>#REF!</v>
      </c>
      <c r="N100" s="2179" t="e">
        <f>M100/'Summary Total Pigs'!#REF!</f>
        <v>#REF!</v>
      </c>
      <c r="O100" s="2192" t="e">
        <f>N100*'Summary Total Pigs'!#REF!</f>
        <v>#REF!</v>
      </c>
      <c r="P100" s="2179" t="e">
        <f>N100*'Summary Total Pigs'!#REF!</f>
        <v>#REF!</v>
      </c>
      <c r="Q100" s="2179" t="e">
        <f>'Summary Total Pigs'!#REF!*'Pigs Cost'!N100</f>
        <v>#REF!</v>
      </c>
      <c r="R100" s="2179" t="e">
        <f>N100*'Summary Total Pigs'!#REF!</f>
        <v>#REF!</v>
      </c>
      <c r="S100" s="2179">
        <v>0</v>
      </c>
      <c r="T100" s="2180" t="e">
        <f>M100+O100+P100+R100+S100+Q100</f>
        <v>#REF!</v>
      </c>
      <c r="U100" s="205"/>
      <c r="V100" s="24">
        <f>[17]Sheet1!$N164</f>
        <v>53571797.07</v>
      </c>
      <c r="W100" s="24" t="e">
        <f>T100-V100</f>
        <v>#REF!</v>
      </c>
    </row>
    <row r="101" spans="1:23">
      <c r="A101" s="2172" t="s">
        <v>109</v>
      </c>
      <c r="B101" s="2181" t="s">
        <v>110</v>
      </c>
      <c r="C101" s="2177">
        <f>'[16]Pigs Cost'!$T101</f>
        <v>1322680681.2870636</v>
      </c>
      <c r="D101" s="2182"/>
      <c r="E101" s="2194" t="e">
        <f>'Summary Total Pigs'!#REF!*N100</f>
        <v>#REF!</v>
      </c>
      <c r="F101" s="2183"/>
      <c r="G101" s="2177"/>
      <c r="H101" s="2177"/>
      <c r="I101" s="2177"/>
      <c r="J101" s="2177" t="e">
        <f>('Summary Total Pigs'!#REF!/'Summary Total Pigs'!#REF!)*'Pigs Cost'!$P$174</f>
        <v>#REF!</v>
      </c>
      <c r="K101" s="2177"/>
      <c r="L101" s="2183"/>
      <c r="M101" s="2179" t="e">
        <f t="shared" si="30"/>
        <v>#REF!</v>
      </c>
      <c r="N101" s="2179" t="e">
        <f>M101/'Summary Total Pigs'!#REF!</f>
        <v>#REF!</v>
      </c>
      <c r="O101" s="2192" t="e">
        <f>N101*'Summary Total Pigs'!#REF!</f>
        <v>#REF!</v>
      </c>
      <c r="P101" s="2179" t="e">
        <f>N101*'Summary Total Pigs'!#REF!</f>
        <v>#REF!</v>
      </c>
      <c r="Q101" s="2179" t="e">
        <f>'Summary Total Pigs'!#REF!*'Pigs Cost'!N101</f>
        <v>#REF!</v>
      </c>
      <c r="R101" s="2179" t="e">
        <f>N101*'Summary Total Pigs'!#REF!</f>
        <v>#REF!</v>
      </c>
      <c r="S101" s="2179" t="e">
        <f>'Summary Total Pigs'!#REF!*'Pigs Cost'!N101</f>
        <v>#REF!</v>
      </c>
      <c r="T101" s="2180" t="e">
        <f>M101+O101+P101+R101+S101+Q101</f>
        <v>#REF!</v>
      </c>
      <c r="U101" s="205"/>
      <c r="V101" s="24">
        <f>[17]Sheet1!$N165</f>
        <v>13997083.310000001</v>
      </c>
      <c r="W101" s="24" t="e">
        <f>T101-V101</f>
        <v>#REF!</v>
      </c>
    </row>
    <row r="102" spans="1:23">
      <c r="A102" s="2172" t="s">
        <v>111</v>
      </c>
      <c r="B102" s="2184" t="s">
        <v>106</v>
      </c>
      <c r="C102" s="2177">
        <f>'[16]Pigs Cost'!$T102</f>
        <v>0</v>
      </c>
      <c r="D102" s="2182"/>
      <c r="E102" s="2182"/>
      <c r="F102" s="2183"/>
      <c r="G102" s="2177"/>
      <c r="H102" s="2177"/>
      <c r="I102" s="2177"/>
      <c r="J102" s="2177" t="e">
        <f>('Summary Total Pigs'!#REF!/'Summary Total Pigs'!#REF!)*'Pigs Cost'!$P$174</f>
        <v>#REF!</v>
      </c>
      <c r="K102" s="2177"/>
      <c r="L102" s="2183"/>
      <c r="M102" s="2179" t="e">
        <f t="shared" si="30"/>
        <v>#REF!</v>
      </c>
      <c r="N102" s="2179">
        <v>0</v>
      </c>
      <c r="O102" s="2179" t="e">
        <f>N102*'Summary Total Pigs'!#REF!</f>
        <v>#REF!</v>
      </c>
      <c r="P102" s="2179" t="e">
        <f>N102*'Summary Total Pigs'!#REF!</f>
        <v>#REF!</v>
      </c>
      <c r="Q102" s="2179" t="e">
        <f>'Summary Total Pigs'!#REF!*'Pigs Cost'!N102</f>
        <v>#REF!</v>
      </c>
      <c r="R102" s="2179" t="e">
        <f>N102*'Summary Total Pigs'!#REF!</f>
        <v>#REF!</v>
      </c>
      <c r="S102" s="2179" t="e">
        <f>'Summary Total Pigs'!#REF!*'Pigs Cost'!N102</f>
        <v>#REF!</v>
      </c>
      <c r="T102" s="2180" t="e">
        <f t="shared" si="31"/>
        <v>#REF!</v>
      </c>
      <c r="U102" s="205"/>
      <c r="V102" s="24" t="str">
        <f>[17]Sheet1!$N166</f>
        <v/>
      </c>
    </row>
    <row r="103" spans="1:23">
      <c r="A103" s="2172" t="s">
        <v>112</v>
      </c>
      <c r="B103" s="2184" t="s">
        <v>106</v>
      </c>
      <c r="C103" s="2177">
        <f>'[16]Pigs Cost'!$T103</f>
        <v>0</v>
      </c>
      <c r="D103" s="2182"/>
      <c r="E103" s="2182"/>
      <c r="F103" s="2183"/>
      <c r="G103" s="2177"/>
      <c r="H103" s="2177"/>
      <c r="I103" s="2177"/>
      <c r="J103" s="2177" t="e">
        <f>('Summary Total Pigs'!#REF!/'Summary Total Pigs'!#REF!)*'Pigs Cost'!$P$174</f>
        <v>#REF!</v>
      </c>
      <c r="K103" s="2177"/>
      <c r="L103" s="2183"/>
      <c r="M103" s="2179" t="e">
        <f t="shared" si="30"/>
        <v>#REF!</v>
      </c>
      <c r="N103" s="2179">
        <v>0</v>
      </c>
      <c r="O103" s="2179" t="e">
        <f>N103*'Summary Total Pigs'!#REF!</f>
        <v>#REF!</v>
      </c>
      <c r="P103" s="2179" t="e">
        <f>N103*'Summary Total Pigs'!#REF!</f>
        <v>#REF!</v>
      </c>
      <c r="Q103" s="2179" t="e">
        <f>'Summary Total Pigs'!#REF!*'Pigs Cost'!N103</f>
        <v>#REF!</v>
      </c>
      <c r="R103" s="2179" t="e">
        <f>N103*'Summary Total Pigs'!#REF!</f>
        <v>#REF!</v>
      </c>
      <c r="S103" s="2179" t="e">
        <f>'Summary Total Pigs'!#REF!*'Pigs Cost'!N103</f>
        <v>#REF!</v>
      </c>
      <c r="T103" s="2180" t="e">
        <f t="shared" si="31"/>
        <v>#REF!</v>
      </c>
      <c r="U103" s="205"/>
      <c r="V103" s="24" t="str">
        <f>[17]Sheet1!$N167</f>
        <v/>
      </c>
    </row>
    <row r="104" spans="1:23" ht="13.9" thickBot="1">
      <c r="A104" s="2174" t="s">
        <v>113</v>
      </c>
      <c r="B104" s="2185"/>
      <c r="C104" s="2177">
        <f>'[16]Pigs Cost'!$T104</f>
        <v>0</v>
      </c>
      <c r="D104" s="2186"/>
      <c r="E104" s="2186"/>
      <c r="F104" s="2187"/>
      <c r="G104" s="2187"/>
      <c r="H104" s="2187"/>
      <c r="I104" s="2187"/>
      <c r="J104" s="2177" t="e">
        <f>('Summary Total Pigs'!#REF!/'Summary Total Pigs'!#REF!)*'Pigs Cost'!$P$174</f>
        <v>#REF!</v>
      </c>
      <c r="K104" s="2187"/>
      <c r="L104" s="2187"/>
      <c r="M104" s="2179" t="e">
        <f t="shared" si="30"/>
        <v>#REF!</v>
      </c>
      <c r="N104" s="2179">
        <v>0</v>
      </c>
      <c r="O104" s="2179" t="e">
        <f>N104*'Summary Total Pigs'!#REF!</f>
        <v>#REF!</v>
      </c>
      <c r="P104" s="2179" t="e">
        <f>N104*'Summary Total Pigs'!#REF!</f>
        <v>#REF!</v>
      </c>
      <c r="Q104" s="2179" t="e">
        <f>'Summary Total Pigs'!#REF!*'Pigs Cost'!N104</f>
        <v>#REF!</v>
      </c>
      <c r="R104" s="2179" t="e">
        <f>N104*'Summary Total Pigs'!#REF!</f>
        <v>#REF!</v>
      </c>
      <c r="S104" s="2179" t="e">
        <f>'Summary Total Pigs'!#REF!*'Pigs Cost'!N104</f>
        <v>#REF!</v>
      </c>
      <c r="T104" s="2180" t="e">
        <f t="shared" si="31"/>
        <v>#REF!</v>
      </c>
      <c r="U104" s="205"/>
      <c r="V104" s="24" t="str">
        <f>[17]Sheet1!$N168</f>
        <v/>
      </c>
    </row>
    <row r="105" spans="1:23" ht="13.9" thickBot="1">
      <c r="A105" s="3" t="s">
        <v>115</v>
      </c>
      <c r="B105" s="199"/>
      <c r="C105" s="200">
        <f>SUM(C99:C104)</f>
        <v>26006452725.879219</v>
      </c>
      <c r="D105" s="200">
        <f t="shared" ref="D105:T105" si="32">SUM(D99:D104)</f>
        <v>0</v>
      </c>
      <c r="E105" s="200" t="e">
        <f t="shared" si="32"/>
        <v>#REF!</v>
      </c>
      <c r="F105" s="200">
        <f t="shared" si="32"/>
        <v>0</v>
      </c>
      <c r="G105" s="201">
        <f t="shared" si="32"/>
        <v>0</v>
      </c>
      <c r="H105" s="201">
        <f t="shared" si="32"/>
        <v>0</v>
      </c>
      <c r="I105" s="201">
        <f t="shared" si="32"/>
        <v>0</v>
      </c>
      <c r="J105" s="201" t="e">
        <f t="shared" si="32"/>
        <v>#REF!</v>
      </c>
      <c r="K105" s="201">
        <f t="shared" si="32"/>
        <v>0</v>
      </c>
      <c r="L105" s="201">
        <f t="shared" si="32"/>
        <v>0</v>
      </c>
      <c r="M105" s="201" t="e">
        <f t="shared" si="32"/>
        <v>#REF!</v>
      </c>
      <c r="N105" s="201" t="e">
        <f t="shared" si="32"/>
        <v>#REF!</v>
      </c>
      <c r="O105" s="201" t="e">
        <f t="shared" si="32"/>
        <v>#REF!</v>
      </c>
      <c r="P105" s="201" t="e">
        <f t="shared" si="32"/>
        <v>#REF!</v>
      </c>
      <c r="Q105" s="201" t="e">
        <f t="shared" si="32"/>
        <v>#REF!</v>
      </c>
      <c r="R105" s="201" t="e">
        <f t="shared" si="32"/>
        <v>#REF!</v>
      </c>
      <c r="S105" s="201" t="e">
        <f t="shared" si="32"/>
        <v>#REF!</v>
      </c>
      <c r="T105" s="201" t="e">
        <f t="shared" si="32"/>
        <v>#REF!</v>
      </c>
      <c r="U105" s="205"/>
      <c r="V105" s="24">
        <f>SUM(V100:V104)</f>
        <v>67568880.379999995</v>
      </c>
    </row>
    <row r="106" spans="1:23">
      <c r="A106" s="300"/>
      <c r="B106" s="205"/>
      <c r="C106" s="205"/>
      <c r="D106" s="205"/>
      <c r="E106" s="205"/>
      <c r="F106" s="205"/>
      <c r="G106" s="205"/>
      <c r="H106" s="205"/>
      <c r="I106" s="205"/>
      <c r="J106" s="205" t="e">
        <f>J105-P174</f>
        <v>#REF!</v>
      </c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4">
        <f t="shared" si="26"/>
        <v>0</v>
      </c>
    </row>
    <row r="107" spans="1:23">
      <c r="A107" s="300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4">
        <f t="shared" si="26"/>
        <v>0</v>
      </c>
    </row>
    <row r="108" spans="1:23">
      <c r="A108" s="1" t="s">
        <v>86</v>
      </c>
      <c r="B108" s="187" t="s">
        <v>143</v>
      </c>
      <c r="C108" s="205"/>
      <c r="D108" s="205"/>
      <c r="E108" s="205"/>
      <c r="F108" s="205"/>
      <c r="G108" s="205"/>
      <c r="H108" s="205"/>
      <c r="I108" s="205"/>
      <c r="J108" s="205"/>
      <c r="K108" s="205"/>
      <c r="L108" s="205" t="e">
        <f>+(G106+H106+I106+K106+L106+J106)-K226</f>
        <v>#REF!</v>
      </c>
      <c r="M108" s="205"/>
      <c r="N108" s="205"/>
      <c r="O108" s="205"/>
      <c r="P108" s="205"/>
      <c r="Q108" s="205"/>
      <c r="R108" s="205" t="e">
        <f>+R105+R107</f>
        <v>#REF!</v>
      </c>
      <c r="S108" s="205"/>
      <c r="T108" s="205"/>
      <c r="U108" s="205"/>
      <c r="V108" s="24">
        <f t="shared" si="26"/>
        <v>0</v>
      </c>
    </row>
    <row r="109" spans="1:23" ht="13.9" thickBot="1">
      <c r="A109" s="300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4">
        <f t="shared" si="26"/>
        <v>0</v>
      </c>
    </row>
    <row r="110" spans="1:23" ht="27" thickBot="1">
      <c r="A110" s="12" t="s">
        <v>87</v>
      </c>
      <c r="B110" s="189" t="s">
        <v>88</v>
      </c>
      <c r="C110" s="190" t="str">
        <f>+C98</f>
        <v>OPENING</v>
      </c>
      <c r="D110" s="191" t="s">
        <v>90</v>
      </c>
      <c r="E110" s="192" t="s">
        <v>91</v>
      </c>
      <c r="F110" s="190" t="s">
        <v>92</v>
      </c>
      <c r="G110" s="190" t="s">
        <v>93</v>
      </c>
      <c r="H110" s="190" t="s">
        <v>94</v>
      </c>
      <c r="I110" s="190" t="s">
        <v>95</v>
      </c>
      <c r="J110" s="190" t="s">
        <v>96</v>
      </c>
      <c r="K110" s="190" t="s">
        <v>97</v>
      </c>
      <c r="L110" s="190" t="s">
        <v>98</v>
      </c>
      <c r="M110" s="192" t="s">
        <v>99</v>
      </c>
      <c r="N110" s="192" t="s">
        <v>100</v>
      </c>
      <c r="O110" s="192" t="s">
        <v>101</v>
      </c>
      <c r="P110" s="192" t="s">
        <v>102</v>
      </c>
      <c r="Q110" s="192" t="str">
        <f>Q98</f>
        <v>Deaths</v>
      </c>
      <c r="R110" s="192" t="str">
        <f>R98</f>
        <v>CULLS</v>
      </c>
      <c r="S110" s="192" t="str">
        <f>+S98</f>
        <v>STOCK ADJMNT</v>
      </c>
      <c r="T110" s="195" t="s">
        <v>104</v>
      </c>
      <c r="U110" s="196"/>
      <c r="V110" s="24"/>
    </row>
    <row r="111" spans="1:23">
      <c r="A111" s="2171" t="s">
        <v>105</v>
      </c>
      <c r="B111" s="2184" t="s">
        <v>106</v>
      </c>
      <c r="C111" s="2177">
        <f>'[16]Pigs Cost'!$T111</f>
        <v>0</v>
      </c>
      <c r="D111" s="2178"/>
      <c r="E111" s="2178"/>
      <c r="F111" s="2177"/>
      <c r="G111" s="2177"/>
      <c r="H111" s="2177"/>
      <c r="I111" s="2177"/>
      <c r="J111" s="2177" t="e">
        <f>('Summary Total Pigs'!#REF!/'Summary Total Pigs'!#REF!)*'Pigs Cost'!$R$174</f>
        <v>#REF!</v>
      </c>
      <c r="K111" s="2177"/>
      <c r="L111" s="2177"/>
      <c r="M111" s="2179" t="e">
        <f t="shared" ref="M111:M116" si="33">SUM(C111:L111)</f>
        <v>#REF!</v>
      </c>
      <c r="N111" s="2179"/>
      <c r="O111" s="2179" t="e">
        <f>'Summary Total Pigs'!#REF!*'Pigs Cost'!N111</f>
        <v>#REF!</v>
      </c>
      <c r="P111" s="2179" t="e">
        <f>N111*'Summary Total Pigs'!#REF!</f>
        <v>#REF!</v>
      </c>
      <c r="Q111" s="2179" t="e">
        <f>'Summary Total Pigs'!#REF!*'Pigs Cost'!N111</f>
        <v>#REF!</v>
      </c>
      <c r="R111" s="2179" t="e">
        <f>N111*'Summary Total Pigs'!#REF!</f>
        <v>#REF!</v>
      </c>
      <c r="S111" s="2179" t="e">
        <f>'Summary Total Pigs'!#REF!*'Pigs Cost'!N111</f>
        <v>#REF!</v>
      </c>
      <c r="T111" s="2180" t="e">
        <f t="shared" ref="T111:T116" si="34">M111+O111+P111+R111+S111+Q111</f>
        <v>#REF!</v>
      </c>
      <c r="U111" s="205"/>
      <c r="V111" s="24">
        <f t="shared" si="26"/>
        <v>0</v>
      </c>
    </row>
    <row r="112" spans="1:23">
      <c r="A112" s="2172" t="s">
        <v>107</v>
      </c>
      <c r="B112" s="2181" t="s">
        <v>108</v>
      </c>
      <c r="C112" s="2177">
        <f>'[16]Pigs Cost'!$T112</f>
        <v>0</v>
      </c>
      <c r="D112" s="2182">
        <v>0</v>
      </c>
      <c r="E112" s="2182" t="e">
        <f>'Summary Total Pigs'!#REF!*'Pigs Cost'!N53</f>
        <v>#REF!</v>
      </c>
      <c r="F112" s="2183">
        <v>0</v>
      </c>
      <c r="G112" s="2177">
        <v>0</v>
      </c>
      <c r="H112" s="2177">
        <v>0</v>
      </c>
      <c r="I112" s="2177">
        <v>0</v>
      </c>
      <c r="J112" s="2177" t="e">
        <f>('Summary Total Pigs'!#REF!/'Summary Total Pigs'!#REF!)*'Pigs Cost'!$R$174</f>
        <v>#REF!</v>
      </c>
      <c r="K112" s="2177">
        <v>0</v>
      </c>
      <c r="L112" s="2183">
        <v>0</v>
      </c>
      <c r="M112" s="2179" t="e">
        <f>SUM(C112:L112)</f>
        <v>#REF!</v>
      </c>
      <c r="N112" s="2179">
        <v>0</v>
      </c>
      <c r="O112" s="2179" t="e">
        <f>'Summary Total Pigs'!#REF!*'Pigs Cost'!N112</f>
        <v>#REF!</v>
      </c>
      <c r="P112" s="2179" t="e">
        <f>N112*'Summary Total Pigs'!#REF!</f>
        <v>#REF!</v>
      </c>
      <c r="Q112" s="2179" t="e">
        <f>'Summary Total Pigs'!#REF!*'Pigs Cost'!N112</f>
        <v>#REF!</v>
      </c>
      <c r="R112" s="2179" t="e">
        <f>N112*'Summary Total Pigs'!#REF!</f>
        <v>#REF!</v>
      </c>
      <c r="S112" s="2179" t="e">
        <f>'Summary Total Pigs'!#REF!*'Pigs Cost'!N112</f>
        <v>#REF!</v>
      </c>
      <c r="T112" s="2180" t="e">
        <f t="shared" si="34"/>
        <v>#REF!</v>
      </c>
      <c r="U112" s="205"/>
      <c r="V112" s="24">
        <f t="shared" si="26"/>
        <v>0</v>
      </c>
    </row>
    <row r="113" spans="1:23">
      <c r="A113" s="2172" t="s">
        <v>109</v>
      </c>
      <c r="B113" s="2181" t="s">
        <v>110</v>
      </c>
      <c r="C113" s="2177">
        <f>'[16]Pigs Cost'!$T113</f>
        <v>17777793619.15361</v>
      </c>
      <c r="D113" s="2182"/>
      <c r="E113" s="2193" t="e">
        <f>160*N77+150*N101</f>
        <v>#REF!</v>
      </c>
      <c r="F113" s="2183"/>
      <c r="G113" s="2177"/>
      <c r="H113" s="2177"/>
      <c r="I113" s="2177"/>
      <c r="J113" s="2177" t="e">
        <f>('Summary Total Pigs'!#REF!/'Summary Total Pigs'!#REF!)*'Pigs Cost'!$R$174</f>
        <v>#REF!</v>
      </c>
      <c r="K113" s="2177"/>
      <c r="L113" s="2183"/>
      <c r="M113" s="2179" t="e">
        <f>SUM(C113:L113)</f>
        <v>#REF!</v>
      </c>
      <c r="N113" s="2179" t="e">
        <f>M113/'Summary Total Pigs'!#REF!</f>
        <v>#REF!</v>
      </c>
      <c r="O113" s="2179" t="e">
        <f>'Summary Total Pigs'!#REF!*'Pigs Cost'!N113</f>
        <v>#REF!</v>
      </c>
      <c r="P113" s="2179" t="e">
        <f>N113*'Summary Total Pigs'!#REF!</f>
        <v>#REF!</v>
      </c>
      <c r="Q113" s="2179" t="e">
        <f>'Summary Total Pigs'!#REF!*'Pigs Cost'!N113</f>
        <v>#REF!</v>
      </c>
      <c r="R113" s="2179" t="e">
        <f>N113*'Summary Total Pigs'!#REF!</f>
        <v>#REF!</v>
      </c>
      <c r="S113" s="2179" t="e">
        <f>'Summary Total Pigs'!#REF!*'Pigs Cost'!N113</f>
        <v>#REF!</v>
      </c>
      <c r="T113" s="2180" t="e">
        <f>M113+O113+P113+R113+S113+Q113</f>
        <v>#REF!</v>
      </c>
      <c r="U113" s="205"/>
      <c r="V113" s="24">
        <f>[17]Sheet1!$J$165</f>
        <v>42483417.57</v>
      </c>
      <c r="W113" s="24" t="e">
        <f>T113-V113</f>
        <v>#REF!</v>
      </c>
    </row>
    <row r="114" spans="1:23">
      <c r="A114" s="2172" t="s">
        <v>111</v>
      </c>
      <c r="B114" s="2184" t="s">
        <v>106</v>
      </c>
      <c r="C114" s="2177">
        <f>'[16]Pigs Cost'!$T114</f>
        <v>0</v>
      </c>
      <c r="D114" s="2182"/>
      <c r="E114" s="2182"/>
      <c r="F114" s="2183"/>
      <c r="G114" s="2177"/>
      <c r="H114" s="2177"/>
      <c r="I114" s="2177"/>
      <c r="J114" s="2177" t="e">
        <f>('Summary Total Pigs'!#REF!/'Summary Total Pigs'!#REF!)*'Pigs Cost'!$R$174</f>
        <v>#REF!</v>
      </c>
      <c r="K114" s="2177"/>
      <c r="L114" s="2183"/>
      <c r="M114" s="2179" t="e">
        <f t="shared" si="33"/>
        <v>#REF!</v>
      </c>
      <c r="N114" s="2179">
        <v>0</v>
      </c>
      <c r="O114" s="2179" t="e">
        <f>'Summary Total Pigs'!#REF!*'Pigs Cost'!N114</f>
        <v>#REF!</v>
      </c>
      <c r="P114" s="2179"/>
      <c r="Q114" s="2179" t="e">
        <f>'Summary Total Pigs'!#REF!*'Pigs Cost'!N114</f>
        <v>#REF!</v>
      </c>
      <c r="R114" s="2179" t="e">
        <f>N114*'Summary Total Pigs'!#REF!</f>
        <v>#REF!</v>
      </c>
      <c r="S114" s="2179" t="e">
        <f>'Summary Total Pigs'!#REF!*'Pigs Cost'!N114</f>
        <v>#REF!</v>
      </c>
      <c r="T114" s="2180" t="e">
        <f t="shared" si="34"/>
        <v>#REF!</v>
      </c>
      <c r="U114" s="205"/>
      <c r="V114" s="24">
        <f t="shared" si="26"/>
        <v>0</v>
      </c>
    </row>
    <row r="115" spans="1:23">
      <c r="A115" s="2172" t="s">
        <v>112</v>
      </c>
      <c r="B115" s="2184" t="s">
        <v>106</v>
      </c>
      <c r="C115" s="2177">
        <f>'[16]Pigs Cost'!$T115</f>
        <v>0</v>
      </c>
      <c r="D115" s="2182"/>
      <c r="E115" s="2182"/>
      <c r="F115" s="2183"/>
      <c r="G115" s="2177"/>
      <c r="H115" s="2177"/>
      <c r="I115" s="2177"/>
      <c r="J115" s="2177" t="e">
        <f>('Summary Total Pigs'!#REF!/'Summary Total Pigs'!#REF!)*'Pigs Cost'!$R$174</f>
        <v>#REF!</v>
      </c>
      <c r="K115" s="2177"/>
      <c r="L115" s="2183"/>
      <c r="M115" s="2179" t="e">
        <f t="shared" si="33"/>
        <v>#REF!</v>
      </c>
      <c r="N115" s="2179">
        <v>0</v>
      </c>
      <c r="O115" s="2179" t="e">
        <f>'Summary Total Pigs'!#REF!*'Pigs Cost'!N115</f>
        <v>#REF!</v>
      </c>
      <c r="P115" s="2179" t="e">
        <f>'Summary Total Pigs'!#REF!*'Pigs Cost'!N115</f>
        <v>#REF!</v>
      </c>
      <c r="Q115" s="2179" t="e">
        <f>'Summary Total Pigs'!#REF!*'Pigs Cost'!N115</f>
        <v>#REF!</v>
      </c>
      <c r="R115" s="2179" t="e">
        <f>N115*'Summary Total Pigs'!#REF!</f>
        <v>#REF!</v>
      </c>
      <c r="S115" s="2179" t="e">
        <f>'Summary Total Pigs'!#REF!*'Pigs Cost'!N115</f>
        <v>#REF!</v>
      </c>
      <c r="T115" s="2180" t="e">
        <f t="shared" si="34"/>
        <v>#REF!</v>
      </c>
      <c r="U115" s="205"/>
      <c r="V115" s="24">
        <f t="shared" si="26"/>
        <v>0</v>
      </c>
    </row>
    <row r="116" spans="1:23" ht="13.9" thickBot="1">
      <c r="A116" s="2174" t="s">
        <v>113</v>
      </c>
      <c r="B116" s="2185"/>
      <c r="C116" s="2177">
        <f>'[16]Pigs Cost'!$T116</f>
        <v>0</v>
      </c>
      <c r="D116" s="2186"/>
      <c r="E116" s="2186"/>
      <c r="F116" s="2187"/>
      <c r="G116" s="2187"/>
      <c r="H116" s="2187"/>
      <c r="I116" s="2187"/>
      <c r="J116" s="2177" t="e">
        <f>('Summary Total Pigs'!#REF!/'Summary Total Pigs'!#REF!)*'Pigs Cost'!$R$174</f>
        <v>#REF!</v>
      </c>
      <c r="K116" s="2187"/>
      <c r="L116" s="2187"/>
      <c r="M116" s="2179" t="e">
        <f t="shared" si="33"/>
        <v>#REF!</v>
      </c>
      <c r="N116" s="2179">
        <v>0</v>
      </c>
      <c r="O116" s="2179" t="e">
        <f>'Summary Total Pigs'!#REF!*'Pigs Cost'!N116</f>
        <v>#REF!</v>
      </c>
      <c r="P116" s="2189"/>
      <c r="Q116" s="2179" t="e">
        <f>'Summary Total Pigs'!#REF!*'Pigs Cost'!N116</f>
        <v>#REF!</v>
      </c>
      <c r="R116" s="2179" t="e">
        <f>N116*'Summary Total Pigs'!#REF!</f>
        <v>#REF!</v>
      </c>
      <c r="S116" s="2179" t="e">
        <f>'Summary Total Pigs'!#REF!*'Pigs Cost'!N116</f>
        <v>#REF!</v>
      </c>
      <c r="T116" s="2180" t="e">
        <f t="shared" si="34"/>
        <v>#REF!</v>
      </c>
      <c r="U116" s="205"/>
      <c r="V116" s="24">
        <f t="shared" si="26"/>
        <v>0</v>
      </c>
    </row>
    <row r="117" spans="1:23" ht="13.9" thickBot="1">
      <c r="A117" s="3" t="s">
        <v>115</v>
      </c>
      <c r="B117" s="199"/>
      <c r="C117" s="200">
        <f>SUM(C111:C116)</f>
        <v>17777793619.15361</v>
      </c>
      <c r="D117" s="200">
        <f t="shared" ref="D117:T117" si="35">SUM(D111:D116)</f>
        <v>0</v>
      </c>
      <c r="E117" s="200" t="e">
        <f t="shared" si="35"/>
        <v>#REF!</v>
      </c>
      <c r="F117" s="200">
        <f t="shared" si="35"/>
        <v>0</v>
      </c>
      <c r="G117" s="201">
        <f t="shared" si="35"/>
        <v>0</v>
      </c>
      <c r="H117" s="201">
        <f t="shared" si="35"/>
        <v>0</v>
      </c>
      <c r="I117" s="201">
        <f t="shared" si="35"/>
        <v>0</v>
      </c>
      <c r="J117" s="201" t="e">
        <f t="shared" si="35"/>
        <v>#REF!</v>
      </c>
      <c r="K117" s="201">
        <f t="shared" si="35"/>
        <v>0</v>
      </c>
      <c r="L117" s="201">
        <f t="shared" si="35"/>
        <v>0</v>
      </c>
      <c r="M117" s="201" t="e">
        <f t="shared" si="35"/>
        <v>#REF!</v>
      </c>
      <c r="N117" s="201" t="e">
        <f t="shared" si="35"/>
        <v>#REF!</v>
      </c>
      <c r="O117" s="201" t="e">
        <f>SUM(O111:O116)</f>
        <v>#REF!</v>
      </c>
      <c r="P117" s="201" t="e">
        <f t="shared" si="35"/>
        <v>#REF!</v>
      </c>
      <c r="Q117" s="201" t="e">
        <f t="shared" si="35"/>
        <v>#REF!</v>
      </c>
      <c r="R117" s="201" t="e">
        <f t="shared" si="35"/>
        <v>#REF!</v>
      </c>
      <c r="S117" s="201" t="e">
        <f t="shared" si="35"/>
        <v>#REF!</v>
      </c>
      <c r="T117" s="201" t="e">
        <f t="shared" si="35"/>
        <v>#REF!</v>
      </c>
      <c r="U117" s="205"/>
      <c r="V117" s="24">
        <f t="shared" si="26"/>
        <v>1.777779361915361</v>
      </c>
    </row>
    <row r="118" spans="1:23">
      <c r="A118" s="300"/>
      <c r="B118" s="205"/>
      <c r="C118" s="205"/>
      <c r="D118" s="205"/>
      <c r="E118" s="205"/>
      <c r="F118" s="205"/>
      <c r="G118" s="205"/>
      <c r="H118" s="205"/>
      <c r="I118" s="205"/>
      <c r="J118" s="205" t="e">
        <f>J117-R174</f>
        <v>#REF!</v>
      </c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4">
        <f t="shared" si="26"/>
        <v>0</v>
      </c>
    </row>
    <row r="119" spans="1:23">
      <c r="A119" s="300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4">
        <f t="shared" si="26"/>
        <v>0</v>
      </c>
    </row>
    <row r="120" spans="1:23">
      <c r="A120" s="1" t="s">
        <v>86</v>
      </c>
      <c r="B120" s="187" t="s">
        <v>144</v>
      </c>
      <c r="C120" s="205"/>
      <c r="D120" s="205"/>
      <c r="E120" s="205"/>
      <c r="F120" s="205"/>
      <c r="G120" s="205"/>
      <c r="H120" s="205"/>
      <c r="I120" s="205"/>
      <c r="J120" s="205"/>
      <c r="K120" s="205"/>
      <c r="L120" s="205" t="e">
        <f>+(G118+H118+I118+K118+L118+J118)-K238</f>
        <v>#REF!</v>
      </c>
      <c r="M120" s="205"/>
      <c r="N120" s="205"/>
      <c r="O120" s="205"/>
      <c r="P120" s="205"/>
      <c r="Q120" s="205"/>
      <c r="R120" s="205" t="e">
        <f>+R117+R119</f>
        <v>#REF!</v>
      </c>
      <c r="S120" s="205"/>
      <c r="T120" s="205"/>
      <c r="U120" s="205"/>
      <c r="V120" s="24">
        <f t="shared" si="26"/>
        <v>0</v>
      </c>
    </row>
    <row r="121" spans="1:23" ht="13.9" thickBot="1">
      <c r="A121" s="300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4">
        <f t="shared" si="26"/>
        <v>0</v>
      </c>
    </row>
    <row r="122" spans="1:23" ht="27" thickBot="1">
      <c r="A122" s="12" t="s">
        <v>87</v>
      </c>
      <c r="B122" s="189" t="s">
        <v>88</v>
      </c>
      <c r="C122" s="190" t="str">
        <f>+C110</f>
        <v>OPENING</v>
      </c>
      <c r="D122" s="191" t="s">
        <v>90</v>
      </c>
      <c r="E122" s="192" t="s">
        <v>91</v>
      </c>
      <c r="F122" s="190" t="s">
        <v>92</v>
      </c>
      <c r="G122" s="190" t="s">
        <v>93</v>
      </c>
      <c r="H122" s="190" t="s">
        <v>94</v>
      </c>
      <c r="I122" s="190" t="s">
        <v>95</v>
      </c>
      <c r="J122" s="190" t="s">
        <v>96</v>
      </c>
      <c r="K122" s="190" t="s">
        <v>97</v>
      </c>
      <c r="L122" s="190" t="s">
        <v>98</v>
      </c>
      <c r="M122" s="192" t="s">
        <v>99</v>
      </c>
      <c r="N122" s="192" t="s">
        <v>100</v>
      </c>
      <c r="O122" s="192" t="s">
        <v>101</v>
      </c>
      <c r="P122" s="192" t="s">
        <v>102</v>
      </c>
      <c r="Q122" s="192" t="str">
        <f>Q110</f>
        <v>Deaths</v>
      </c>
      <c r="R122" s="192" t="str">
        <f>R110</f>
        <v>CULLS</v>
      </c>
      <c r="S122" s="192" t="str">
        <f>+S110</f>
        <v>STOCK ADJMNT</v>
      </c>
      <c r="T122" s="195" t="s">
        <v>104</v>
      </c>
      <c r="U122" s="196"/>
      <c r="V122" s="24"/>
    </row>
    <row r="123" spans="1:23">
      <c r="A123" s="2171" t="s">
        <v>105</v>
      </c>
      <c r="B123" s="2184" t="s">
        <v>106</v>
      </c>
      <c r="C123" s="2177">
        <f>'[16]Pigs Cost'!$T123</f>
        <v>0</v>
      </c>
      <c r="D123" s="2178"/>
      <c r="E123" s="2178"/>
      <c r="F123" s="2177"/>
      <c r="G123" s="2177"/>
      <c r="H123" s="2177"/>
      <c r="I123" s="2177"/>
      <c r="J123" s="2177" t="e">
        <f>('Summary Total Pigs'!#REF!/'Summary Total Pigs'!#REF!)*'Pigs Cost'!$N$174</f>
        <v>#REF!</v>
      </c>
      <c r="K123" s="2177"/>
      <c r="L123" s="2177"/>
      <c r="M123" s="2179" t="e">
        <f t="shared" ref="M123:M128" si="36">SUM(C123:L123)</f>
        <v>#REF!</v>
      </c>
      <c r="N123" s="2179" t="e">
        <f>M123/'Summary Total Pigs'!P186</f>
        <v>#REF!</v>
      </c>
      <c r="O123" s="2179" t="e">
        <f>N123*'Summary Total Pigs'!#REF!</f>
        <v>#REF!</v>
      </c>
      <c r="P123" s="2179" t="e">
        <f>N123*'Summary Total Pigs'!#REF!</f>
        <v>#REF!</v>
      </c>
      <c r="Q123" s="2179" t="e">
        <f>'Summary Total Pigs'!#REF!*'Pigs Cost'!N123</f>
        <v>#REF!</v>
      </c>
      <c r="R123" s="2179" t="e">
        <f>'Summary Total Pigs'!#REF!*'Pigs Cost'!M123</f>
        <v>#REF!</v>
      </c>
      <c r="S123" s="2179" t="e">
        <f>'Summary Total Pigs'!#REF!*'Pigs Cost'!N123</f>
        <v>#REF!</v>
      </c>
      <c r="T123" s="2180" t="e">
        <f t="shared" ref="T123:T128" si="37">M123+O123+P123+R123+S123+Q123</f>
        <v>#REF!</v>
      </c>
      <c r="U123" s="205"/>
      <c r="V123" s="24">
        <f t="shared" si="26"/>
        <v>0</v>
      </c>
    </row>
    <row r="124" spans="1:23">
      <c r="A124" s="2172" t="s">
        <v>107</v>
      </c>
      <c r="B124" s="2181" t="s">
        <v>108</v>
      </c>
      <c r="C124" s="2177">
        <f>'[16]Pigs Cost'!$T124</f>
        <v>0</v>
      </c>
      <c r="D124" s="2182">
        <v>0</v>
      </c>
      <c r="E124" s="2182">
        <f>'Summary Total Pigs'!D187*'Pigs Cost'!N65</f>
        <v>0</v>
      </c>
      <c r="F124" s="2183">
        <v>0</v>
      </c>
      <c r="G124" s="2177">
        <v>0</v>
      </c>
      <c r="H124" s="2177">
        <v>0</v>
      </c>
      <c r="I124" s="2177">
        <v>0</v>
      </c>
      <c r="J124" s="2177" t="e">
        <f>('Summary Total Pigs'!#REF!/'Summary Total Pigs'!#REF!)*'Pigs Cost'!$N$174</f>
        <v>#REF!</v>
      </c>
      <c r="K124" s="2177">
        <v>0</v>
      </c>
      <c r="L124" s="2183">
        <v>0</v>
      </c>
      <c r="M124" s="2179" t="e">
        <f t="shared" si="36"/>
        <v>#REF!</v>
      </c>
      <c r="N124" s="2179" t="e">
        <f>M124/'Summary Total Pigs'!P187</f>
        <v>#REF!</v>
      </c>
      <c r="O124" s="2179" t="e">
        <f>N124*'Summary Total Pigs'!#REF!</f>
        <v>#REF!</v>
      </c>
      <c r="P124" s="2179" t="e">
        <f>N124*'Summary Total Pigs'!#REF!</f>
        <v>#REF!</v>
      </c>
      <c r="Q124" s="2179" t="e">
        <f>'Summary Total Pigs'!#REF!*'Pigs Cost'!N124</f>
        <v>#REF!</v>
      </c>
      <c r="R124" s="2179" t="e">
        <f>'Summary Total Pigs'!#REF!*'Pigs Cost'!M124</f>
        <v>#REF!</v>
      </c>
      <c r="S124" s="2179" t="e">
        <f>'Summary Total Pigs'!#REF!*'Pigs Cost'!N124</f>
        <v>#REF!</v>
      </c>
      <c r="T124" s="2180" t="e">
        <f t="shared" si="37"/>
        <v>#REF!</v>
      </c>
      <c r="U124" s="205"/>
      <c r="V124" s="24">
        <f t="shared" si="26"/>
        <v>0</v>
      </c>
    </row>
    <row r="125" spans="1:23">
      <c r="A125" s="2172" t="s">
        <v>109</v>
      </c>
      <c r="B125" s="2181" t="s">
        <v>110</v>
      </c>
      <c r="C125" s="2177">
        <f>'[16]Pigs Cost'!$T125</f>
        <v>9887676100.8797588</v>
      </c>
      <c r="D125" s="2182"/>
      <c r="E125" s="2193" t="e">
        <f>(75*N101)</f>
        <v>#REF!</v>
      </c>
      <c r="F125" s="2183"/>
      <c r="G125" s="2177"/>
      <c r="H125" s="2177"/>
      <c r="I125" s="2177"/>
      <c r="J125" s="2177" t="e">
        <f>('Summary Total Pigs'!#REF!/'Summary Total Pigs'!#REF!)*'Pigs Cost'!$N$174</f>
        <v>#REF!</v>
      </c>
      <c r="K125" s="2177"/>
      <c r="L125" s="2183"/>
      <c r="M125" s="2179" t="e">
        <f t="shared" si="36"/>
        <v>#REF!</v>
      </c>
      <c r="N125" s="2179" t="e">
        <f>M125/'Summary Total Pigs'!P188</f>
        <v>#REF!</v>
      </c>
      <c r="O125" s="2179" t="e">
        <f>N125*'Summary Total Pigs'!#REF!</f>
        <v>#REF!</v>
      </c>
      <c r="P125" s="2179" t="e">
        <f>N125*'Summary Total Pigs'!#REF!</f>
        <v>#REF!</v>
      </c>
      <c r="Q125" s="2179" t="e">
        <f>'Summary Total Pigs'!#REF!*'Pigs Cost'!N125</f>
        <v>#REF!</v>
      </c>
      <c r="R125" s="2179" t="e">
        <f>'Summary Total Pigs'!#REF!*'Pigs Cost'!M125</f>
        <v>#REF!</v>
      </c>
      <c r="S125" s="2179" t="e">
        <f>'Summary Total Pigs'!#REF!*'Pigs Cost'!N125</f>
        <v>#REF!</v>
      </c>
      <c r="T125" s="2180" t="e">
        <f t="shared" si="37"/>
        <v>#REF!</v>
      </c>
      <c r="U125" s="205"/>
      <c r="V125" s="24">
        <f>[17]Sheet1!$H$165</f>
        <v>71900954.040000007</v>
      </c>
      <c r="W125" s="24" t="e">
        <f>T125-V125</f>
        <v>#REF!</v>
      </c>
    </row>
    <row r="126" spans="1:23">
      <c r="A126" s="2172" t="s">
        <v>111</v>
      </c>
      <c r="B126" s="2184" t="s">
        <v>106</v>
      </c>
      <c r="C126" s="2177">
        <f>'[16]Pigs Cost'!$T126</f>
        <v>0</v>
      </c>
      <c r="D126" s="2182"/>
      <c r="E126" s="2182"/>
      <c r="F126" s="2183"/>
      <c r="G126" s="2177"/>
      <c r="H126" s="2177"/>
      <c r="I126" s="2177"/>
      <c r="J126" s="2177" t="e">
        <f>('Summary Total Pigs'!#REF!/'Summary Total Pigs'!#REF!)*'Pigs Cost'!$N$174</f>
        <v>#REF!</v>
      </c>
      <c r="K126" s="2177"/>
      <c r="L126" s="2183"/>
      <c r="M126" s="2179" t="e">
        <f t="shared" si="36"/>
        <v>#REF!</v>
      </c>
      <c r="N126" s="2179" t="e">
        <f>M126/'Summary Total Pigs'!P189</f>
        <v>#REF!</v>
      </c>
      <c r="O126" s="2179" t="e">
        <f>N126*'Summary Total Pigs'!#REF!</f>
        <v>#REF!</v>
      </c>
      <c r="P126" s="2179" t="e">
        <f>N126*'Summary Total Pigs'!#REF!</f>
        <v>#REF!</v>
      </c>
      <c r="Q126" s="2179" t="e">
        <f>'Summary Total Pigs'!#REF!*'Pigs Cost'!N126</f>
        <v>#REF!</v>
      </c>
      <c r="R126" s="2179" t="e">
        <f>'Summary Total Pigs'!#REF!*'Pigs Cost'!M126</f>
        <v>#REF!</v>
      </c>
      <c r="S126" s="2179" t="e">
        <f>'Summary Total Pigs'!#REF!*'Pigs Cost'!N126</f>
        <v>#REF!</v>
      </c>
      <c r="T126" s="2180" t="e">
        <f t="shared" si="37"/>
        <v>#REF!</v>
      </c>
      <c r="U126" s="205"/>
      <c r="V126" s="24">
        <f t="shared" si="26"/>
        <v>0</v>
      </c>
    </row>
    <row r="127" spans="1:23">
      <c r="A127" s="2172" t="s">
        <v>112</v>
      </c>
      <c r="B127" s="2184" t="s">
        <v>106</v>
      </c>
      <c r="C127" s="2177">
        <f>'[16]Pigs Cost'!$T127</f>
        <v>0</v>
      </c>
      <c r="D127" s="2182"/>
      <c r="E127" s="2182"/>
      <c r="F127" s="2183"/>
      <c r="G127" s="2177"/>
      <c r="H127" s="2177"/>
      <c r="I127" s="2177"/>
      <c r="J127" s="2177" t="e">
        <f>('Summary Total Pigs'!#REF!/'Summary Total Pigs'!#REF!)*'Pigs Cost'!$N$174</f>
        <v>#REF!</v>
      </c>
      <c r="K127" s="2177"/>
      <c r="L127" s="2183"/>
      <c r="M127" s="2179" t="e">
        <f t="shared" si="36"/>
        <v>#REF!</v>
      </c>
      <c r="N127" s="2179" t="e">
        <f>M127/'Summary Total Pigs'!P190</f>
        <v>#REF!</v>
      </c>
      <c r="O127" s="2179" t="e">
        <f>N127*'Summary Total Pigs'!#REF!</f>
        <v>#REF!</v>
      </c>
      <c r="P127" s="2179" t="e">
        <f>N127*'Summary Total Pigs'!#REF!</f>
        <v>#REF!</v>
      </c>
      <c r="Q127" s="2179" t="e">
        <f>'Summary Total Pigs'!#REF!*'Pigs Cost'!N127</f>
        <v>#REF!</v>
      </c>
      <c r="R127" s="2179" t="e">
        <f>'Summary Total Pigs'!#REF!*'Pigs Cost'!M127</f>
        <v>#REF!</v>
      </c>
      <c r="S127" s="2179" t="e">
        <f>'Summary Total Pigs'!#REF!*'Pigs Cost'!N127</f>
        <v>#REF!</v>
      </c>
      <c r="T127" s="2180" t="e">
        <f t="shared" si="37"/>
        <v>#REF!</v>
      </c>
      <c r="U127" s="205"/>
      <c r="V127" s="24">
        <f t="shared" si="26"/>
        <v>0</v>
      </c>
    </row>
    <row r="128" spans="1:23" ht="13.9" thickBot="1">
      <c r="A128" s="2174" t="s">
        <v>113</v>
      </c>
      <c r="B128" s="2185"/>
      <c r="C128" s="2177">
        <f>'[16]Pigs Cost'!$T128</f>
        <v>0</v>
      </c>
      <c r="D128" s="2186"/>
      <c r="E128" s="2186"/>
      <c r="F128" s="2187"/>
      <c r="G128" s="2187"/>
      <c r="H128" s="2187"/>
      <c r="I128" s="2187"/>
      <c r="J128" s="2177" t="e">
        <f>('Summary Total Pigs'!#REF!/'Summary Total Pigs'!#REF!)*'Pigs Cost'!$N$174</f>
        <v>#REF!</v>
      </c>
      <c r="K128" s="2187"/>
      <c r="L128" s="2187"/>
      <c r="M128" s="2179" t="e">
        <f t="shared" si="36"/>
        <v>#REF!</v>
      </c>
      <c r="N128" s="2179" t="e">
        <f>M128/'Summary Total Pigs'!P191</f>
        <v>#REF!</v>
      </c>
      <c r="O128" s="2179" t="e">
        <f>N128*'Summary Total Pigs'!#REF!</f>
        <v>#REF!</v>
      </c>
      <c r="P128" s="2179" t="e">
        <f>N128*'Summary Total Pigs'!#REF!</f>
        <v>#REF!</v>
      </c>
      <c r="Q128" s="2179" t="e">
        <f>'Summary Total Pigs'!#REF!*'Pigs Cost'!N128</f>
        <v>#REF!</v>
      </c>
      <c r="R128" s="2179" t="e">
        <f>'Summary Total Pigs'!#REF!*'Pigs Cost'!M128</f>
        <v>#REF!</v>
      </c>
      <c r="S128" s="2179" t="e">
        <f>'Summary Total Pigs'!#REF!*'Pigs Cost'!N128</f>
        <v>#REF!</v>
      </c>
      <c r="T128" s="2180" t="e">
        <f t="shared" si="37"/>
        <v>#REF!</v>
      </c>
      <c r="U128" s="205"/>
      <c r="V128" s="24">
        <f t="shared" si="26"/>
        <v>0</v>
      </c>
    </row>
    <row r="129" spans="1:23" ht="13.9" thickBot="1">
      <c r="A129" s="3" t="s">
        <v>115</v>
      </c>
      <c r="B129" s="199"/>
      <c r="C129" s="200">
        <f t="shared" ref="C129:T129" si="38">SUM(C123:C128)</f>
        <v>9887676100.8797588</v>
      </c>
      <c r="D129" s="200">
        <f t="shared" si="38"/>
        <v>0</v>
      </c>
      <c r="E129" s="200" t="e">
        <f t="shared" si="38"/>
        <v>#REF!</v>
      </c>
      <c r="F129" s="200">
        <f t="shared" si="38"/>
        <v>0</v>
      </c>
      <c r="G129" s="201">
        <f t="shared" si="38"/>
        <v>0</v>
      </c>
      <c r="H129" s="201">
        <f t="shared" si="38"/>
        <v>0</v>
      </c>
      <c r="I129" s="201">
        <f t="shared" si="38"/>
        <v>0</v>
      </c>
      <c r="J129" s="201" t="e">
        <f t="shared" si="38"/>
        <v>#REF!</v>
      </c>
      <c r="K129" s="201">
        <f t="shared" si="38"/>
        <v>0</v>
      </c>
      <c r="L129" s="201">
        <f t="shared" si="38"/>
        <v>0</v>
      </c>
      <c r="M129" s="201" t="e">
        <f t="shared" si="38"/>
        <v>#REF!</v>
      </c>
      <c r="N129" s="201" t="e">
        <f t="shared" si="38"/>
        <v>#REF!</v>
      </c>
      <c r="O129" s="201" t="e">
        <f t="shared" si="38"/>
        <v>#REF!</v>
      </c>
      <c r="P129" s="201" t="e">
        <f t="shared" si="38"/>
        <v>#REF!</v>
      </c>
      <c r="Q129" s="201" t="e">
        <f t="shared" si="38"/>
        <v>#REF!</v>
      </c>
      <c r="R129" s="201" t="e">
        <f t="shared" si="38"/>
        <v>#REF!</v>
      </c>
      <c r="S129" s="201" t="e">
        <f t="shared" si="38"/>
        <v>#REF!</v>
      </c>
      <c r="T129" s="201" t="e">
        <f t="shared" si="38"/>
        <v>#REF!</v>
      </c>
      <c r="U129" s="205"/>
      <c r="V129" s="24">
        <f t="shared" si="26"/>
        <v>0.98876761008797587</v>
      </c>
    </row>
    <row r="130" spans="1:23">
      <c r="A130" s="300"/>
      <c r="B130" s="205"/>
      <c r="C130" s="205"/>
      <c r="D130" s="205"/>
      <c r="E130" s="205"/>
      <c r="F130" s="205"/>
      <c r="G130" s="205"/>
      <c r="H130" s="205"/>
      <c r="I130" s="205"/>
      <c r="J130" s="205" t="e">
        <f>J129-N174</f>
        <v>#REF!</v>
      </c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4">
        <f t="shared" si="26"/>
        <v>0</v>
      </c>
    </row>
    <row r="131" spans="1:23">
      <c r="A131" s="300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4">
        <f t="shared" si="26"/>
        <v>0</v>
      </c>
    </row>
    <row r="132" spans="1:23">
      <c r="A132" s="1" t="s">
        <v>86</v>
      </c>
      <c r="B132" s="187" t="s">
        <v>145</v>
      </c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>
        <f>+R130+R131</f>
        <v>0</v>
      </c>
      <c r="S132" s="205"/>
      <c r="T132" s="205"/>
      <c r="U132" s="205"/>
      <c r="V132" s="24">
        <f t="shared" si="26"/>
        <v>0</v>
      </c>
    </row>
    <row r="133" spans="1:23" ht="13.9" thickBot="1">
      <c r="A133" s="300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4">
        <f t="shared" si="26"/>
        <v>0</v>
      </c>
    </row>
    <row r="134" spans="1:23" ht="27" thickBot="1">
      <c r="A134" s="12" t="s">
        <v>87</v>
      </c>
      <c r="B134" s="189" t="s">
        <v>88</v>
      </c>
      <c r="C134" s="190" t="str">
        <f>C122</f>
        <v>OPENING</v>
      </c>
      <c r="D134" s="191" t="s">
        <v>90</v>
      </c>
      <c r="E134" s="192" t="s">
        <v>91</v>
      </c>
      <c r="F134" s="190" t="s">
        <v>92</v>
      </c>
      <c r="G134" s="190" t="s">
        <v>93</v>
      </c>
      <c r="H134" s="190" t="s">
        <v>94</v>
      </c>
      <c r="I134" s="190" t="s">
        <v>95</v>
      </c>
      <c r="J134" s="190" t="s">
        <v>96</v>
      </c>
      <c r="K134" s="190" t="s">
        <v>97</v>
      </c>
      <c r="L134" s="190" t="s">
        <v>98</v>
      </c>
      <c r="M134" s="192" t="s">
        <v>99</v>
      </c>
      <c r="N134" s="192" t="s">
        <v>100</v>
      </c>
      <c r="O134" s="192" t="s">
        <v>101</v>
      </c>
      <c r="P134" s="192" t="s">
        <v>102</v>
      </c>
      <c r="Q134" s="192" t="str">
        <f>Q122</f>
        <v>Deaths</v>
      </c>
      <c r="R134" s="192" t="str">
        <f>R122</f>
        <v>CULLS</v>
      </c>
      <c r="S134" s="192" t="str">
        <f>S122</f>
        <v>STOCK ADJMNT</v>
      </c>
      <c r="T134" s="195" t="s">
        <v>104</v>
      </c>
      <c r="U134" s="196"/>
      <c r="V134" s="24"/>
    </row>
    <row r="135" spans="1:23">
      <c r="A135" s="2171" t="s">
        <v>105</v>
      </c>
      <c r="B135" s="2184" t="s">
        <v>106</v>
      </c>
      <c r="C135" s="2177">
        <f>'[16]Pigs Cost'!$T135</f>
        <v>0</v>
      </c>
      <c r="D135" s="2178"/>
      <c r="E135" s="2178"/>
      <c r="F135" s="2177"/>
      <c r="G135" s="2177"/>
      <c r="H135" s="2177"/>
      <c r="I135" s="2177"/>
      <c r="J135" s="2177" t="e">
        <f>('Summary Total Pigs'!#REF!/'Summary Total Pigs'!#REF!)*'Pigs Cost'!$S$174</f>
        <v>#REF!</v>
      </c>
      <c r="K135" s="2177"/>
      <c r="L135" s="2177"/>
      <c r="M135" s="2179" t="e">
        <f t="shared" ref="M135:M140" si="39">SUM(C135:L135)</f>
        <v>#REF!</v>
      </c>
      <c r="N135" s="2179"/>
      <c r="O135" s="2179" t="e">
        <f>'Summary Total Pigs'!#REF!*'Pigs Cost'!N135</f>
        <v>#REF!</v>
      </c>
      <c r="P135" s="2179" t="e">
        <f>'Summary Total Pigs'!#REF!*N135</f>
        <v>#REF!</v>
      </c>
      <c r="Q135" s="2179" t="e">
        <f>'Summary Total Pigs'!#REF!*'Pigs Cost'!N135</f>
        <v>#REF!</v>
      </c>
      <c r="R135" s="2179" t="e">
        <f>'Summary Total Pigs'!#REF!*N135</f>
        <v>#REF!</v>
      </c>
      <c r="S135" s="2179" t="e">
        <f>'Summary Total Pigs'!#REF!*N135</f>
        <v>#REF!</v>
      </c>
      <c r="T135" s="2180" t="e">
        <f t="shared" ref="T135:T140" si="40">M135+O135+P135+R135+S135+Q135</f>
        <v>#REF!</v>
      </c>
      <c r="U135" s="205"/>
      <c r="V135" s="24">
        <f t="shared" si="26"/>
        <v>0</v>
      </c>
    </row>
    <row r="136" spans="1:23">
      <c r="A136" s="2172" t="s">
        <v>107</v>
      </c>
      <c r="B136" s="2181" t="s">
        <v>108</v>
      </c>
      <c r="C136" s="2177">
        <f>'[16]Pigs Cost'!$T136</f>
        <v>0</v>
      </c>
      <c r="D136" s="2182">
        <v>0</v>
      </c>
      <c r="E136" s="2182" t="e">
        <f>'Summary Total Pigs'!D202*'Pigs Cost'!N78</f>
        <v>#VALUE!</v>
      </c>
      <c r="F136" s="2183">
        <v>0</v>
      </c>
      <c r="G136" s="2177">
        <v>0</v>
      </c>
      <c r="H136" s="2177">
        <v>0</v>
      </c>
      <c r="I136" s="2177">
        <v>0</v>
      </c>
      <c r="J136" s="2177" t="e">
        <f>('Summary Total Pigs'!#REF!/'Summary Total Pigs'!#REF!)*'Pigs Cost'!$S$174</f>
        <v>#REF!</v>
      </c>
      <c r="K136" s="2177">
        <v>0</v>
      </c>
      <c r="L136" s="2183">
        <v>0</v>
      </c>
      <c r="M136" s="2179" t="e">
        <f t="shared" si="39"/>
        <v>#VALUE!</v>
      </c>
      <c r="N136" s="2179">
        <v>0</v>
      </c>
      <c r="O136" s="2179" t="e">
        <f>'Summary Total Pigs'!#REF!*'Pigs Cost'!N136</f>
        <v>#REF!</v>
      </c>
      <c r="P136" s="2179" t="e">
        <f>'Summary Total Pigs'!#REF!*N136</f>
        <v>#REF!</v>
      </c>
      <c r="Q136" s="2179" t="e">
        <f>'Summary Total Pigs'!#REF!*'Pigs Cost'!N136</f>
        <v>#REF!</v>
      </c>
      <c r="R136" s="2179" t="e">
        <f>'Summary Total Pigs'!#REF!*N136</f>
        <v>#REF!</v>
      </c>
      <c r="S136" s="2179" t="e">
        <f>'Summary Total Pigs'!#REF!*N136</f>
        <v>#REF!</v>
      </c>
      <c r="T136" s="2180" t="e">
        <f t="shared" si="40"/>
        <v>#VALUE!</v>
      </c>
      <c r="U136" s="205"/>
      <c r="V136" s="24">
        <f t="shared" si="26"/>
        <v>0</v>
      </c>
    </row>
    <row r="137" spans="1:23">
      <c r="A137" s="2172" t="s">
        <v>109</v>
      </c>
      <c r="B137" s="2181" t="s">
        <v>110</v>
      </c>
      <c r="C137" s="2177">
        <f>'[16]Pigs Cost'!$T137</f>
        <v>36333275558.589684</v>
      </c>
      <c r="D137" s="2182"/>
      <c r="E137" s="2193" t="e">
        <f>N77*'Summary Total Pigs'!#REF!</f>
        <v>#REF!</v>
      </c>
      <c r="F137" s="2183"/>
      <c r="G137" s="2177"/>
      <c r="H137" s="2177"/>
      <c r="I137" s="2177"/>
      <c r="J137" s="2177" t="e">
        <f>('Summary Total Pigs'!#REF!/'Summary Total Pigs'!#REF!)*'Pigs Cost'!$S$174</f>
        <v>#REF!</v>
      </c>
      <c r="K137" s="2177"/>
      <c r="L137" s="2183"/>
      <c r="M137" s="2179" t="e">
        <f t="shared" si="39"/>
        <v>#REF!</v>
      </c>
      <c r="N137" s="2179" t="e">
        <f>M137/'Summary Total Pigs'!#REF!</f>
        <v>#REF!</v>
      </c>
      <c r="O137" s="2195" t="e">
        <f>'Summary Total Pigs'!#REF!*'Pigs Cost'!N137</f>
        <v>#REF!</v>
      </c>
      <c r="P137" s="2179" t="e">
        <f>'Summary Total Pigs'!#REF!*N137</f>
        <v>#REF!</v>
      </c>
      <c r="Q137" s="2179" t="e">
        <f>'Summary Total Pigs'!#REF!*'Pigs Cost'!N137</f>
        <v>#REF!</v>
      </c>
      <c r="R137" s="2179" t="e">
        <f>'Summary Total Pigs'!#REF!*N137</f>
        <v>#REF!</v>
      </c>
      <c r="S137" s="2179" t="e">
        <f>'Summary Total Pigs'!#REF!*N137</f>
        <v>#REF!</v>
      </c>
      <c r="T137" s="2180" t="e">
        <f>M137+O137+P137+R137+S137+Q137</f>
        <v>#REF!</v>
      </c>
      <c r="U137" s="205"/>
      <c r="V137" s="24">
        <f>[17]Sheet1!$F$165</f>
        <v>153947297.87</v>
      </c>
      <c r="W137" s="24" t="e">
        <f>T137-V137</f>
        <v>#REF!</v>
      </c>
    </row>
    <row r="138" spans="1:23">
      <c r="A138" s="2172" t="s">
        <v>111</v>
      </c>
      <c r="B138" s="2184" t="s">
        <v>106</v>
      </c>
      <c r="C138" s="2177">
        <f>'[16]Pigs Cost'!$T138</f>
        <v>0</v>
      </c>
      <c r="D138" s="2182"/>
      <c r="E138" s="2182"/>
      <c r="F138" s="2183"/>
      <c r="G138" s="2177"/>
      <c r="H138" s="2177"/>
      <c r="I138" s="2177"/>
      <c r="J138" s="2177" t="e">
        <f>('Summary Total Pigs'!#REF!/'Summary Total Pigs'!#REF!)*'Pigs Cost'!$S$174</f>
        <v>#REF!</v>
      </c>
      <c r="K138" s="2177"/>
      <c r="L138" s="2183"/>
      <c r="M138" s="2179" t="e">
        <f t="shared" si="39"/>
        <v>#REF!</v>
      </c>
      <c r="N138" s="2179">
        <v>0</v>
      </c>
      <c r="O138" s="2179" t="e">
        <f>'Summary Total Pigs'!#REF!*'Pigs Cost'!N138</f>
        <v>#REF!</v>
      </c>
      <c r="P138" s="2179" t="e">
        <f>'Summary Total Pigs'!#REF!*N138</f>
        <v>#REF!</v>
      </c>
      <c r="Q138" s="2179" t="e">
        <f>'Summary Total Pigs'!#REF!*'Pigs Cost'!N138</f>
        <v>#REF!</v>
      </c>
      <c r="R138" s="2179" t="e">
        <f>'Summary Total Pigs'!#REF!*N138</f>
        <v>#REF!</v>
      </c>
      <c r="S138" s="2179" t="e">
        <f>'Summary Total Pigs'!#REF!*N138</f>
        <v>#REF!</v>
      </c>
      <c r="T138" s="2180" t="e">
        <f t="shared" si="40"/>
        <v>#REF!</v>
      </c>
      <c r="U138" s="205"/>
      <c r="V138" s="24">
        <f t="shared" si="26"/>
        <v>0</v>
      </c>
    </row>
    <row r="139" spans="1:23">
      <c r="A139" s="2172" t="s">
        <v>112</v>
      </c>
      <c r="B139" s="2184" t="s">
        <v>106</v>
      </c>
      <c r="C139" s="2177">
        <f>'[16]Pigs Cost'!$T139</f>
        <v>0</v>
      </c>
      <c r="D139" s="2182"/>
      <c r="E139" s="2182"/>
      <c r="F139" s="2183"/>
      <c r="G139" s="2177"/>
      <c r="H139" s="2177"/>
      <c r="I139" s="2177"/>
      <c r="J139" s="2177" t="e">
        <f>('Summary Total Pigs'!#REF!/'Summary Total Pigs'!#REF!)*'Pigs Cost'!$S$174</f>
        <v>#REF!</v>
      </c>
      <c r="K139" s="2177"/>
      <c r="L139" s="2183"/>
      <c r="M139" s="2179" t="e">
        <f t="shared" si="39"/>
        <v>#REF!</v>
      </c>
      <c r="N139" s="2179">
        <v>0</v>
      </c>
      <c r="O139" s="2179" t="e">
        <f>'Summary Total Pigs'!#REF!*'Pigs Cost'!N139</f>
        <v>#REF!</v>
      </c>
      <c r="P139" s="2179" t="e">
        <f>'Summary Total Pigs'!#REF!*N139</f>
        <v>#REF!</v>
      </c>
      <c r="Q139" s="2179" t="e">
        <f>'Summary Total Pigs'!#REF!*'Pigs Cost'!N139</f>
        <v>#REF!</v>
      </c>
      <c r="R139" s="2179" t="e">
        <f>'Summary Total Pigs'!#REF!*N139</f>
        <v>#REF!</v>
      </c>
      <c r="S139" s="2179" t="e">
        <f>'Summary Total Pigs'!#REF!*N139</f>
        <v>#REF!</v>
      </c>
      <c r="T139" s="2180" t="e">
        <f t="shared" si="40"/>
        <v>#REF!</v>
      </c>
      <c r="U139" s="205"/>
      <c r="V139" s="24">
        <f t="shared" si="26"/>
        <v>0</v>
      </c>
    </row>
    <row r="140" spans="1:23" ht="13.9" thickBot="1">
      <c r="A140" s="2174" t="s">
        <v>113</v>
      </c>
      <c r="B140" s="2185"/>
      <c r="C140" s="2177">
        <f>'[16]Pigs Cost'!$T140</f>
        <v>0</v>
      </c>
      <c r="D140" s="2186"/>
      <c r="E140" s="2186"/>
      <c r="F140" s="2187"/>
      <c r="G140" s="2187"/>
      <c r="H140" s="2187"/>
      <c r="I140" s="2187"/>
      <c r="J140" s="2177" t="e">
        <f>('Summary Total Pigs'!#REF!/'Summary Total Pigs'!#REF!)*'Pigs Cost'!$S$174</f>
        <v>#REF!</v>
      </c>
      <c r="K140" s="2187"/>
      <c r="L140" s="2187"/>
      <c r="M140" s="2179" t="e">
        <f t="shared" si="39"/>
        <v>#REF!</v>
      </c>
      <c r="N140" s="2179">
        <v>0</v>
      </c>
      <c r="O140" s="2179" t="e">
        <f>'Summary Total Pigs'!#REF!*'Pigs Cost'!N140</f>
        <v>#REF!</v>
      </c>
      <c r="P140" s="2179" t="e">
        <f>'Summary Total Pigs'!#REF!*N140</f>
        <v>#REF!</v>
      </c>
      <c r="Q140" s="2179" t="e">
        <f>'Summary Total Pigs'!#REF!*'Pigs Cost'!N140</f>
        <v>#REF!</v>
      </c>
      <c r="R140" s="2179" t="e">
        <f>'Summary Total Pigs'!#REF!*N140</f>
        <v>#REF!</v>
      </c>
      <c r="S140" s="2179" t="e">
        <f>'Summary Total Pigs'!#REF!*N140</f>
        <v>#REF!</v>
      </c>
      <c r="T140" s="2180" t="e">
        <f t="shared" si="40"/>
        <v>#REF!</v>
      </c>
      <c r="U140" s="205"/>
      <c r="V140" s="24">
        <f t="shared" si="26"/>
        <v>0</v>
      </c>
    </row>
    <row r="141" spans="1:23" ht="13.9" thickBot="1">
      <c r="A141" s="3" t="s">
        <v>115</v>
      </c>
      <c r="B141" s="199"/>
      <c r="C141" s="200">
        <f t="shared" ref="C141:T141" si="41">SUM(C135:C140)</f>
        <v>36333275558.589684</v>
      </c>
      <c r="D141" s="200">
        <f t="shared" si="41"/>
        <v>0</v>
      </c>
      <c r="E141" s="200" t="e">
        <f t="shared" si="41"/>
        <v>#VALUE!</v>
      </c>
      <c r="F141" s="200">
        <f t="shared" si="41"/>
        <v>0</v>
      </c>
      <c r="G141" s="201">
        <f t="shared" si="41"/>
        <v>0</v>
      </c>
      <c r="H141" s="201">
        <f t="shared" si="41"/>
        <v>0</v>
      </c>
      <c r="I141" s="201">
        <f t="shared" si="41"/>
        <v>0</v>
      </c>
      <c r="J141" s="201" t="e">
        <f t="shared" si="41"/>
        <v>#REF!</v>
      </c>
      <c r="K141" s="201">
        <f t="shared" si="41"/>
        <v>0</v>
      </c>
      <c r="L141" s="201">
        <f t="shared" si="41"/>
        <v>0</v>
      </c>
      <c r="M141" s="201" t="e">
        <f t="shared" si="41"/>
        <v>#REF!</v>
      </c>
      <c r="N141" s="201" t="e">
        <f t="shared" si="41"/>
        <v>#REF!</v>
      </c>
      <c r="O141" s="201" t="e">
        <f t="shared" si="41"/>
        <v>#REF!</v>
      </c>
      <c r="P141" s="201" t="e">
        <f t="shared" si="41"/>
        <v>#REF!</v>
      </c>
      <c r="Q141" s="201" t="e">
        <f t="shared" si="41"/>
        <v>#REF!</v>
      </c>
      <c r="R141" s="201" t="e">
        <f t="shared" si="41"/>
        <v>#REF!</v>
      </c>
      <c r="S141" s="201" t="e">
        <f t="shared" si="41"/>
        <v>#REF!</v>
      </c>
      <c r="T141" s="201" t="e">
        <f t="shared" si="41"/>
        <v>#REF!</v>
      </c>
      <c r="U141" s="205"/>
      <c r="V141" s="24">
        <f t="shared" si="26"/>
        <v>3.6333275558589682</v>
      </c>
    </row>
    <row r="142" spans="1:23">
      <c r="A142" s="300"/>
      <c r="B142" s="205"/>
      <c r="C142" s="205"/>
      <c r="D142" s="205"/>
      <c r="E142" s="205"/>
      <c r="F142" s="205"/>
      <c r="G142" s="205"/>
      <c r="H142" s="205"/>
      <c r="I142" s="205"/>
      <c r="J142" s="205" t="e">
        <f>J141-S174</f>
        <v>#REF!</v>
      </c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4">
        <f t="shared" ref="V142:V156" si="42">C142/$B$178</f>
        <v>0</v>
      </c>
    </row>
    <row r="143" spans="1:23">
      <c r="A143" s="300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4">
        <f t="shared" si="42"/>
        <v>0</v>
      </c>
    </row>
    <row r="144" spans="1:23">
      <c r="A144" s="1" t="s">
        <v>86</v>
      </c>
      <c r="B144" s="187" t="s">
        <v>146</v>
      </c>
      <c r="C144" s="205"/>
      <c r="D144" s="205"/>
      <c r="E144" s="205"/>
      <c r="F144" s="205"/>
      <c r="G144" s="205"/>
      <c r="H144" s="205"/>
      <c r="I144" s="205"/>
      <c r="J144" s="205"/>
      <c r="K144" s="205"/>
      <c r="L144" s="205" t="e">
        <f>+(G142+H142+I142+K142+L142+J142)-K263</f>
        <v>#REF!</v>
      </c>
      <c r="M144" s="205"/>
      <c r="N144" s="205"/>
      <c r="O144" s="205"/>
      <c r="P144" s="205"/>
      <c r="Q144" s="205"/>
      <c r="R144" s="205" t="e">
        <f>+R141+R143</f>
        <v>#REF!</v>
      </c>
      <c r="S144" s="205"/>
      <c r="T144" s="205"/>
      <c r="U144" s="205"/>
      <c r="V144" s="24">
        <f t="shared" si="42"/>
        <v>0</v>
      </c>
    </row>
    <row r="145" spans="1:25" ht="13.9" thickBot="1">
      <c r="A145" s="300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4">
        <f t="shared" si="42"/>
        <v>0</v>
      </c>
    </row>
    <row r="146" spans="1:25" ht="27" thickBot="1">
      <c r="A146" s="12" t="s">
        <v>87</v>
      </c>
      <c r="B146" s="189" t="s">
        <v>88</v>
      </c>
      <c r="C146" s="190" t="str">
        <f>C134</f>
        <v>OPENING</v>
      </c>
      <c r="D146" s="191" t="s">
        <v>90</v>
      </c>
      <c r="E146" s="192" t="s">
        <v>91</v>
      </c>
      <c r="F146" s="190" t="s">
        <v>92</v>
      </c>
      <c r="G146" s="190" t="s">
        <v>93</v>
      </c>
      <c r="H146" s="190" t="s">
        <v>94</v>
      </c>
      <c r="I146" s="190" t="s">
        <v>95</v>
      </c>
      <c r="J146" s="190" t="s">
        <v>96</v>
      </c>
      <c r="K146" s="190" t="s">
        <v>97</v>
      </c>
      <c r="L146" s="190" t="s">
        <v>98</v>
      </c>
      <c r="M146" s="192" t="s">
        <v>99</v>
      </c>
      <c r="N146" s="192" t="s">
        <v>100</v>
      </c>
      <c r="O146" s="192" t="s">
        <v>101</v>
      </c>
      <c r="P146" s="192" t="s">
        <v>102</v>
      </c>
      <c r="Q146" s="192" t="str">
        <f>Q134</f>
        <v>Deaths</v>
      </c>
      <c r="R146" s="192" t="str">
        <f>R134</f>
        <v>CULLS</v>
      </c>
      <c r="S146" s="192" t="str">
        <f>+S134</f>
        <v>STOCK ADJMNT</v>
      </c>
      <c r="T146" s="195" t="s">
        <v>104</v>
      </c>
      <c r="U146" s="205"/>
      <c r="V146" s="24"/>
    </row>
    <row r="147" spans="1:25">
      <c r="A147" s="2171" t="s">
        <v>105</v>
      </c>
      <c r="B147" s="2184" t="s">
        <v>106</v>
      </c>
      <c r="C147" s="2177">
        <f>'[16]Pigs Cost'!$T147</f>
        <v>0</v>
      </c>
      <c r="D147" s="2178"/>
      <c r="E147" s="2178"/>
      <c r="F147" s="2177"/>
      <c r="G147" s="2177"/>
      <c r="H147" s="2177"/>
      <c r="I147" s="2177"/>
      <c r="J147" s="2177" t="e">
        <f>('Summary Total Pigs'!#REF!/'Summary Total Pigs'!#REF!)*'Pigs Cost'!$S$174</f>
        <v>#REF!</v>
      </c>
      <c r="K147" s="2177"/>
      <c r="L147" s="2177"/>
      <c r="M147" s="2179" t="e">
        <f t="shared" ref="M147:M152" si="43">SUM(C147:L147)</f>
        <v>#REF!</v>
      </c>
      <c r="N147" s="2179"/>
      <c r="O147" s="2179">
        <f>N147*'Summary Total Pigs'!Q215</f>
        <v>0</v>
      </c>
      <c r="P147" s="2179">
        <f>N147*'Summary Total Pigs'!AB215</f>
        <v>0</v>
      </c>
      <c r="Q147" s="2179" t="e">
        <f>'Summary Total Pigs'!#REF!*'Pigs Cost'!N147</f>
        <v>#REF!</v>
      </c>
      <c r="R147" s="2179">
        <f>N147*'Summary Total Pigs'!AD215</f>
        <v>0</v>
      </c>
      <c r="S147" s="2179">
        <f>'Summary Total Pigs'!AG215*'Pigs Cost'!N147</f>
        <v>0</v>
      </c>
      <c r="T147" s="2180" t="e">
        <f t="shared" ref="T147:T152" si="44">M147+O147+P147+R147+S147+Q147</f>
        <v>#REF!</v>
      </c>
      <c r="U147" s="205"/>
      <c r="V147" s="24">
        <f t="shared" si="42"/>
        <v>0</v>
      </c>
    </row>
    <row r="148" spans="1:25">
      <c r="A148" s="2172" t="s">
        <v>107</v>
      </c>
      <c r="B148" s="2181" t="s">
        <v>108</v>
      </c>
      <c r="C148" s="2177">
        <f>'[16]Pigs Cost'!$T148</f>
        <v>0</v>
      </c>
      <c r="D148" s="2182">
        <v>0</v>
      </c>
      <c r="E148" s="2182">
        <f>'Summary Total Pigs'!D218*'Pigs Cost'!N90</f>
        <v>0</v>
      </c>
      <c r="F148" s="2183">
        <v>0</v>
      </c>
      <c r="G148" s="2177">
        <v>0</v>
      </c>
      <c r="H148" s="2177">
        <v>0</v>
      </c>
      <c r="I148" s="2177">
        <v>0</v>
      </c>
      <c r="J148" s="2177" t="e">
        <f>('Summary Total Pigs'!#REF!/'Summary Total Pigs'!#REF!)*'Pigs Cost'!$S$174</f>
        <v>#REF!</v>
      </c>
      <c r="K148" s="2177">
        <v>0</v>
      </c>
      <c r="L148" s="2183">
        <v>0</v>
      </c>
      <c r="M148" s="2179" t="e">
        <f t="shared" si="43"/>
        <v>#REF!</v>
      </c>
      <c r="N148" s="2179">
        <v>0</v>
      </c>
      <c r="O148" s="2179">
        <f>N148*'Summary Total Pigs'!Q218</f>
        <v>0</v>
      </c>
      <c r="P148" s="2179">
        <f>N148*'Summary Total Pigs'!AB218</f>
        <v>0</v>
      </c>
      <c r="Q148" s="2179" t="e">
        <f>'Summary Total Pigs'!#REF!*'Pigs Cost'!N148</f>
        <v>#REF!</v>
      </c>
      <c r="R148" s="2179">
        <f>N148*'Summary Total Pigs'!AD218</f>
        <v>0</v>
      </c>
      <c r="S148" s="2179">
        <f>'Summary Total Pigs'!AG218*'Pigs Cost'!N148</f>
        <v>0</v>
      </c>
      <c r="T148" s="2180" t="e">
        <f t="shared" si="44"/>
        <v>#REF!</v>
      </c>
      <c r="U148" s="205"/>
      <c r="V148" s="24">
        <f t="shared" si="42"/>
        <v>0</v>
      </c>
    </row>
    <row r="149" spans="1:25">
      <c r="A149" s="2172" t="s">
        <v>109</v>
      </c>
      <c r="B149" s="2181" t="s">
        <v>110</v>
      </c>
      <c r="C149" s="2177">
        <f>'[16]Pigs Cost'!$T149</f>
        <v>7678578775.9843445</v>
      </c>
      <c r="D149" s="2182"/>
      <c r="E149" s="2196" t="e">
        <f>'Summary Total Pigs'!#REF!*N137</f>
        <v>#REF!</v>
      </c>
      <c r="F149" s="2183"/>
      <c r="G149" s="2177"/>
      <c r="H149" s="2177"/>
      <c r="I149" s="2177"/>
      <c r="J149" s="2177" t="e">
        <f>('Summary Total Pigs'!#REF!/'Summary Total Pigs'!#REF!)*'Pigs Cost'!$T$174</f>
        <v>#REF!</v>
      </c>
      <c r="K149" s="2177"/>
      <c r="L149" s="2183"/>
      <c r="M149" s="2179" t="e">
        <f t="shared" si="43"/>
        <v>#REF!</v>
      </c>
      <c r="N149" s="2179">
        <v>0</v>
      </c>
      <c r="O149" s="2179">
        <f>N149*'Summary Total Pigs'!Q219</f>
        <v>0</v>
      </c>
      <c r="P149" s="2179">
        <f>N149*'Summary Total Pigs'!AB219</f>
        <v>0</v>
      </c>
      <c r="Q149" s="2179" t="e">
        <f>'Summary Total Pigs'!#REF!*'Pigs Cost'!N149</f>
        <v>#REF!</v>
      </c>
      <c r="R149" s="2179">
        <f>N149*'Summary Total Pigs'!AD219</f>
        <v>0</v>
      </c>
      <c r="S149" s="2179">
        <f>'Summary Total Pigs'!AG219*'Pigs Cost'!N149</f>
        <v>0</v>
      </c>
      <c r="T149" s="2180" t="e">
        <f>M149+O149+P149+R149+S149+Q149</f>
        <v>#REF!</v>
      </c>
      <c r="U149" s="205"/>
      <c r="V149" s="24">
        <f>[17]Sheet1!$G$165</f>
        <v>29021721.640000001</v>
      </c>
      <c r="W149" s="24" t="e">
        <f>T149-V149</f>
        <v>#REF!</v>
      </c>
    </row>
    <row r="150" spans="1:25">
      <c r="A150" s="2172" t="s">
        <v>111</v>
      </c>
      <c r="B150" s="2184" t="s">
        <v>106</v>
      </c>
      <c r="C150" s="2177">
        <f>'[16]Pigs Cost'!$T150</f>
        <v>0</v>
      </c>
      <c r="D150" s="2182"/>
      <c r="E150" s="2182"/>
      <c r="F150" s="2183"/>
      <c r="G150" s="2177"/>
      <c r="H150" s="2177"/>
      <c r="I150" s="2177"/>
      <c r="J150" s="2177" t="e">
        <f>('Summary Total Pigs'!#REF!/'Summary Total Pigs'!#REF!)*'Pigs Cost'!$S$174</f>
        <v>#REF!</v>
      </c>
      <c r="K150" s="2177"/>
      <c r="L150" s="2183"/>
      <c r="M150" s="2179" t="e">
        <f t="shared" si="43"/>
        <v>#REF!</v>
      </c>
      <c r="N150" s="2179">
        <v>0</v>
      </c>
      <c r="O150" s="2179"/>
      <c r="P150" s="2179"/>
      <c r="Q150" s="2179" t="e">
        <f>'Summary Total Pigs'!#REF!*'Pigs Cost'!N150</f>
        <v>#REF!</v>
      </c>
      <c r="R150" s="2179">
        <f>N150*'Summary Total Pigs'!AD220</f>
        <v>0</v>
      </c>
      <c r="S150" s="2179">
        <f>'Summary Total Pigs'!AG220*'Pigs Cost'!N150</f>
        <v>0</v>
      </c>
      <c r="T150" s="2180" t="e">
        <f t="shared" si="44"/>
        <v>#REF!</v>
      </c>
      <c r="U150" s="205"/>
      <c r="V150" s="24">
        <f t="shared" si="42"/>
        <v>0</v>
      </c>
    </row>
    <row r="151" spans="1:25">
      <c r="A151" s="2172" t="s">
        <v>112</v>
      </c>
      <c r="B151" s="2184" t="s">
        <v>106</v>
      </c>
      <c r="C151" s="2177">
        <f>'[16]Pigs Cost'!$T151</f>
        <v>0</v>
      </c>
      <c r="D151" s="2182"/>
      <c r="E151" s="2182"/>
      <c r="F151" s="2183"/>
      <c r="G151" s="2177"/>
      <c r="H151" s="2177"/>
      <c r="I151" s="2177"/>
      <c r="J151" s="2177"/>
      <c r="K151" s="2177"/>
      <c r="L151" s="2183"/>
      <c r="M151" s="2179">
        <f t="shared" si="43"/>
        <v>0</v>
      </c>
      <c r="N151" s="2179">
        <v>0</v>
      </c>
      <c r="O151" s="2179"/>
      <c r="P151" s="2179">
        <f>'Summary Total Pigs'!AB221*'Pigs Cost'!N151</f>
        <v>0</v>
      </c>
      <c r="Q151" s="2179" t="e">
        <f>'Summary Total Pigs'!#REF!*'Pigs Cost'!N151</f>
        <v>#REF!</v>
      </c>
      <c r="R151" s="2179">
        <f>N151*'Summary Total Pigs'!AD221</f>
        <v>0</v>
      </c>
      <c r="S151" s="2179">
        <f>'Summary Total Pigs'!AG221*'Pigs Cost'!N151</f>
        <v>0</v>
      </c>
      <c r="T151" s="2180" t="e">
        <f t="shared" si="44"/>
        <v>#REF!</v>
      </c>
      <c r="U151" s="205"/>
      <c r="V151" s="24">
        <f t="shared" si="42"/>
        <v>0</v>
      </c>
    </row>
    <row r="152" spans="1:25" ht="13.9" thickBot="1">
      <c r="A152" s="2174" t="s">
        <v>113</v>
      </c>
      <c r="B152" s="2185"/>
      <c r="C152" s="2177">
        <f>'[16]Pigs Cost'!$T152</f>
        <v>0</v>
      </c>
      <c r="D152" s="2186"/>
      <c r="E152" s="2186"/>
      <c r="F152" s="2187"/>
      <c r="G152" s="2187"/>
      <c r="H152" s="2187"/>
      <c r="I152" s="2187"/>
      <c r="J152" s="2177"/>
      <c r="K152" s="2187"/>
      <c r="L152" s="2187"/>
      <c r="M152" s="2179">
        <f t="shared" si="43"/>
        <v>0</v>
      </c>
      <c r="N152" s="2179">
        <v>0</v>
      </c>
      <c r="O152" s="2189"/>
      <c r="P152" s="2189"/>
      <c r="Q152" s="2179" t="e">
        <f>'Summary Total Pigs'!#REF!*'Pigs Cost'!N152</f>
        <v>#REF!</v>
      </c>
      <c r="R152" s="2179">
        <f>N152*'Summary Total Pigs'!AD222</f>
        <v>0</v>
      </c>
      <c r="S152" s="2179">
        <f>'Summary Total Pigs'!AG222*'Pigs Cost'!N152</f>
        <v>0</v>
      </c>
      <c r="T152" s="2180" t="e">
        <f t="shared" si="44"/>
        <v>#REF!</v>
      </c>
      <c r="U152" s="205"/>
      <c r="V152" s="24">
        <f t="shared" si="42"/>
        <v>0</v>
      </c>
    </row>
    <row r="153" spans="1:25" ht="13.9" thickBot="1">
      <c r="A153" s="3" t="s">
        <v>115</v>
      </c>
      <c r="B153" s="199"/>
      <c r="C153" s="200">
        <f t="shared" ref="C153:T153" si="45">SUM(C147:C152)</f>
        <v>7678578775.9843445</v>
      </c>
      <c r="D153" s="200">
        <f t="shared" si="45"/>
        <v>0</v>
      </c>
      <c r="E153" s="200" t="e">
        <f t="shared" si="45"/>
        <v>#REF!</v>
      </c>
      <c r="F153" s="200">
        <f t="shared" si="45"/>
        <v>0</v>
      </c>
      <c r="G153" s="201">
        <f t="shared" si="45"/>
        <v>0</v>
      </c>
      <c r="H153" s="201">
        <f t="shared" si="45"/>
        <v>0</v>
      </c>
      <c r="I153" s="201">
        <f t="shared" si="45"/>
        <v>0</v>
      </c>
      <c r="J153" s="201" t="e">
        <f t="shared" si="45"/>
        <v>#REF!</v>
      </c>
      <c r="K153" s="201">
        <f t="shared" si="45"/>
        <v>0</v>
      </c>
      <c r="L153" s="201">
        <f t="shared" si="45"/>
        <v>0</v>
      </c>
      <c r="M153" s="201" t="e">
        <f t="shared" si="45"/>
        <v>#REF!</v>
      </c>
      <c r="N153" s="201">
        <f t="shared" si="45"/>
        <v>0</v>
      </c>
      <c r="O153" s="201">
        <f t="shared" si="45"/>
        <v>0</v>
      </c>
      <c r="P153" s="201">
        <f t="shared" si="45"/>
        <v>0</v>
      </c>
      <c r="Q153" s="201" t="e">
        <f t="shared" si="45"/>
        <v>#REF!</v>
      </c>
      <c r="R153" s="201">
        <f t="shared" si="45"/>
        <v>0</v>
      </c>
      <c r="S153" s="201">
        <f t="shared" si="45"/>
        <v>0</v>
      </c>
      <c r="T153" s="201" t="e">
        <f t="shared" si="45"/>
        <v>#REF!</v>
      </c>
      <c r="U153" s="205"/>
      <c r="V153" s="24">
        <f t="shared" si="42"/>
        <v>0.76785787759843449</v>
      </c>
    </row>
    <row r="154" spans="1:25">
      <c r="A154" s="300"/>
      <c r="B154" s="205"/>
      <c r="C154" s="205"/>
      <c r="D154" s="205"/>
      <c r="E154" s="205"/>
      <c r="F154" s="205"/>
      <c r="G154" s="205"/>
      <c r="H154" s="205"/>
      <c r="I154" s="205"/>
      <c r="J154" s="205" t="e">
        <f>J153-T174</f>
        <v>#REF!</v>
      </c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4">
        <f t="shared" si="42"/>
        <v>0</v>
      </c>
    </row>
    <row r="155" spans="1:25" s="2" customFormat="1">
      <c r="A155" s="1" t="s">
        <v>86</v>
      </c>
      <c r="B155" s="184"/>
      <c r="C155" s="187"/>
      <c r="D155" s="205"/>
      <c r="E155" s="2176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4">
        <f t="shared" si="42"/>
        <v>0</v>
      </c>
      <c r="W155"/>
      <c r="X155"/>
      <c r="Y155"/>
    </row>
    <row r="156" spans="1:25" s="2" customFormat="1" ht="13.9" thickBot="1">
      <c r="A156" s="300"/>
      <c r="B156" s="203" t="s">
        <v>115</v>
      </c>
      <c r="C156" s="2197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4">
        <f t="shared" si="42"/>
        <v>0</v>
      </c>
      <c r="W156"/>
      <c r="X156"/>
      <c r="Y156"/>
    </row>
    <row r="157" spans="1:25" s="14" customFormat="1" ht="27" thickBot="1">
      <c r="A157" s="2198" t="s">
        <v>121</v>
      </c>
      <c r="B157" s="2199" t="s">
        <v>106</v>
      </c>
      <c r="C157" s="191" t="str">
        <f>+C110</f>
        <v>OPENING</v>
      </c>
      <c r="D157" s="191" t="s">
        <v>90</v>
      </c>
      <c r="E157" s="192" t="s">
        <v>91</v>
      </c>
      <c r="F157" s="190" t="s">
        <v>92</v>
      </c>
      <c r="G157" s="190" t="s">
        <v>93</v>
      </c>
      <c r="H157" s="190" t="s">
        <v>94</v>
      </c>
      <c r="I157" s="190" t="s">
        <v>95</v>
      </c>
      <c r="J157" s="190" t="s">
        <v>96</v>
      </c>
      <c r="K157" s="190" t="s">
        <v>97</v>
      </c>
      <c r="L157" s="190" t="s">
        <v>98</v>
      </c>
      <c r="M157" s="192" t="s">
        <v>99</v>
      </c>
      <c r="N157" s="192" t="s">
        <v>100</v>
      </c>
      <c r="O157" s="192" t="s">
        <v>101</v>
      </c>
      <c r="P157" s="192" t="s">
        <v>102</v>
      </c>
      <c r="Q157" s="192" t="str">
        <f>Q146</f>
        <v>Deaths</v>
      </c>
      <c r="R157" s="192" t="str">
        <f>R74</f>
        <v>CULLS</v>
      </c>
      <c r="S157" s="192" t="str">
        <f>+S86</f>
        <v>STOCK ADJMNT</v>
      </c>
      <c r="T157" s="195" t="s">
        <v>104</v>
      </c>
      <c r="U157" s="196"/>
      <c r="V157" s="24"/>
      <c r="W157"/>
      <c r="X157"/>
      <c r="Y157"/>
    </row>
    <row r="158" spans="1:25" s="2" customFormat="1">
      <c r="A158" s="2171" t="s">
        <v>105</v>
      </c>
      <c r="B158" s="2200" t="s">
        <v>108</v>
      </c>
      <c r="C158" s="2177">
        <f t="shared" ref="C158:D163" si="46">C13+C25+C37+C63+C52+C75+C87+C99+C111+C123+C135+C147</f>
        <v>129397667650.36038</v>
      </c>
      <c r="D158" s="2177">
        <f>D13+D25+D37+D63+D52+D75+D87+D99+D111+D123+D135+D147</f>
        <v>0</v>
      </c>
      <c r="E158" s="2177" t="e">
        <f>E13+E25+E37+E63+E52+E75+E87+E99+E111+E123+E135+E147</f>
        <v>#REF!</v>
      </c>
      <c r="F158" s="2177" t="e">
        <f t="shared" ref="F158:T158" si="47">F13+F25+F37+F63+F52+F75+F87+F99+F111+F123+F135+F147</f>
        <v>#REF!</v>
      </c>
      <c r="G158" s="2177" t="e">
        <f t="shared" si="47"/>
        <v>#REF!</v>
      </c>
      <c r="H158" s="2177" t="e">
        <f t="shared" si="47"/>
        <v>#REF!</v>
      </c>
      <c r="I158" s="2177" t="e">
        <f t="shared" si="47"/>
        <v>#REF!</v>
      </c>
      <c r="J158" s="2177" t="e">
        <f t="shared" si="47"/>
        <v>#REF!</v>
      </c>
      <c r="K158" s="2177" t="e">
        <f t="shared" si="47"/>
        <v>#REF!</v>
      </c>
      <c r="L158" s="2177" t="e">
        <f t="shared" si="47"/>
        <v>#REF!</v>
      </c>
      <c r="M158" s="2177" t="e">
        <f t="shared" si="47"/>
        <v>#REF!</v>
      </c>
      <c r="N158" s="2177" t="e">
        <f t="shared" si="47"/>
        <v>#REF!</v>
      </c>
      <c r="O158" s="2177" t="e">
        <f t="shared" si="47"/>
        <v>#REF!</v>
      </c>
      <c r="P158" s="2177" t="e">
        <f t="shared" si="47"/>
        <v>#REF!</v>
      </c>
      <c r="Q158" s="2177" t="e">
        <f t="shared" ref="Q158:Q163" si="48">Q13+Q25+Q37+Q63+Q52+Q75+Q87+Q99+Q111+Q123+Q135+Q147</f>
        <v>#REF!</v>
      </c>
      <c r="R158" s="2177" t="e">
        <f t="shared" si="47"/>
        <v>#REF!</v>
      </c>
      <c r="S158" s="2177" t="e">
        <f t="shared" si="47"/>
        <v>#REF!</v>
      </c>
      <c r="T158" s="2177" t="e">
        <f t="shared" si="47"/>
        <v>#REF!</v>
      </c>
      <c r="U158" s="205"/>
      <c r="V158" s="24">
        <f>[17]Sheet1!$D163</f>
        <v>396982184.56</v>
      </c>
      <c r="W158" s="24" t="e">
        <f t="shared" ref="W158:W163" si="49">T158-V158</f>
        <v>#REF!</v>
      </c>
      <c r="X158"/>
      <c r="Y158"/>
    </row>
    <row r="159" spans="1:25" s="2" customFormat="1">
      <c r="A159" s="2172" t="s">
        <v>107</v>
      </c>
      <c r="B159" s="2181" t="s">
        <v>110</v>
      </c>
      <c r="C159" s="2177">
        <f t="shared" si="46"/>
        <v>145997717448.76181</v>
      </c>
      <c r="D159" s="2177">
        <f t="shared" si="46"/>
        <v>0</v>
      </c>
      <c r="E159" s="2177" t="e">
        <f t="shared" ref="E159:T159" si="50">E14+E26+E38+E64+E53+E76+E88+E100+E112+E124+E136+E148</f>
        <v>#REF!</v>
      </c>
      <c r="F159" s="2177" t="e">
        <f t="shared" si="50"/>
        <v>#REF!</v>
      </c>
      <c r="G159" s="2177" t="e">
        <f t="shared" si="50"/>
        <v>#REF!</v>
      </c>
      <c r="H159" s="2177" t="e">
        <f t="shared" si="50"/>
        <v>#REF!</v>
      </c>
      <c r="I159" s="2177" t="e">
        <f t="shared" si="50"/>
        <v>#REF!</v>
      </c>
      <c r="J159" s="2177" t="e">
        <f t="shared" si="50"/>
        <v>#REF!</v>
      </c>
      <c r="K159" s="2177" t="e">
        <f t="shared" si="50"/>
        <v>#REF!</v>
      </c>
      <c r="L159" s="2177" t="e">
        <f t="shared" si="50"/>
        <v>#REF!</v>
      </c>
      <c r="M159" s="2177" t="e">
        <f t="shared" si="50"/>
        <v>#REF!</v>
      </c>
      <c r="N159" s="2177" t="e">
        <f t="shared" si="50"/>
        <v>#REF!</v>
      </c>
      <c r="O159" s="2177" t="e">
        <f t="shared" si="50"/>
        <v>#REF!</v>
      </c>
      <c r="P159" s="2177" t="e">
        <f t="shared" si="50"/>
        <v>#REF!</v>
      </c>
      <c r="Q159" s="2177" t="e">
        <f t="shared" si="48"/>
        <v>#REF!</v>
      </c>
      <c r="R159" s="2177" t="e">
        <f t="shared" si="50"/>
        <v>#REF!</v>
      </c>
      <c r="S159" s="2177" t="e">
        <f t="shared" si="50"/>
        <v>#REF!</v>
      </c>
      <c r="T159" s="2177" t="e">
        <f t="shared" si="50"/>
        <v>#REF!</v>
      </c>
      <c r="U159" s="205"/>
      <c r="V159" s="24">
        <f>[17]Sheet1!$D164</f>
        <v>428496317.88999999</v>
      </c>
      <c r="W159" s="24" t="e">
        <f t="shared" si="49"/>
        <v>#REF!</v>
      </c>
      <c r="X159"/>
      <c r="Y159"/>
    </row>
    <row r="160" spans="1:25" s="2" customFormat="1">
      <c r="A160" s="2172" t="s">
        <v>109</v>
      </c>
      <c r="B160" s="2184" t="s">
        <v>106</v>
      </c>
      <c r="C160" s="2177">
        <f t="shared" si="46"/>
        <v>352164678460.43042</v>
      </c>
      <c r="D160" s="2177">
        <f t="shared" si="46"/>
        <v>0</v>
      </c>
      <c r="E160" s="2177" t="e">
        <f t="shared" ref="E160:T160" si="51">E15+E27+E39+E65+E54+E77+E89+E101+E113+E125+E137+E149</f>
        <v>#REF!</v>
      </c>
      <c r="F160" s="2177" t="e">
        <f t="shared" si="51"/>
        <v>#REF!</v>
      </c>
      <c r="G160" s="2177" t="e">
        <f t="shared" si="51"/>
        <v>#REF!</v>
      </c>
      <c r="H160" s="2177" t="e">
        <f t="shared" si="51"/>
        <v>#REF!</v>
      </c>
      <c r="I160" s="2177" t="e">
        <f t="shared" si="51"/>
        <v>#REF!</v>
      </c>
      <c r="J160" s="2177" t="e">
        <f t="shared" si="51"/>
        <v>#REF!</v>
      </c>
      <c r="K160" s="2177" t="e">
        <f t="shared" si="51"/>
        <v>#REF!</v>
      </c>
      <c r="L160" s="2177" t="e">
        <f t="shared" si="51"/>
        <v>#REF!</v>
      </c>
      <c r="M160" s="2177" t="e">
        <f t="shared" si="51"/>
        <v>#REF!</v>
      </c>
      <c r="N160" s="2177" t="e">
        <f t="shared" si="51"/>
        <v>#REF!</v>
      </c>
      <c r="O160" s="2177" t="e">
        <f t="shared" si="51"/>
        <v>#REF!</v>
      </c>
      <c r="P160" s="2177" t="e">
        <f>P15+P27+P39+P65+P54+P77+P89+P101+P113+P125+P137+P149</f>
        <v>#REF!</v>
      </c>
      <c r="Q160" s="2177" t="e">
        <f>Q15+Q27+Q39+Q65+Q54+Q77+Q89+Q101+Q113+Q125+Q137+Q1492</f>
        <v>#REF!</v>
      </c>
      <c r="R160" s="2177" t="e">
        <f t="shared" si="51"/>
        <v>#REF!</v>
      </c>
      <c r="S160" s="2177" t="e">
        <f t="shared" si="51"/>
        <v>#REF!</v>
      </c>
      <c r="T160" s="2177" t="e">
        <f t="shared" si="51"/>
        <v>#REF!</v>
      </c>
      <c r="U160" s="205"/>
      <c r="V160" s="24">
        <f>[17]Sheet1!$D165</f>
        <v>1182675138.26</v>
      </c>
      <c r="W160" s="24" t="e">
        <f t="shared" si="49"/>
        <v>#REF!</v>
      </c>
      <c r="X160"/>
      <c r="Y160"/>
    </row>
    <row r="161" spans="1:25" s="2" customFormat="1">
      <c r="A161" s="2172" t="s">
        <v>111</v>
      </c>
      <c r="B161" s="2184" t="s">
        <v>106</v>
      </c>
      <c r="C161" s="2177">
        <f t="shared" si="46"/>
        <v>3127759647.5233145</v>
      </c>
      <c r="D161" s="2177">
        <f t="shared" si="46"/>
        <v>0</v>
      </c>
      <c r="E161" s="2177" t="e">
        <f t="shared" ref="E161:T161" si="52">E16+E28+E40+E66+E55+E78+E90+E102+E114+E126+E138+E150</f>
        <v>#REF!</v>
      </c>
      <c r="F161" s="2177" t="e">
        <f t="shared" si="52"/>
        <v>#REF!</v>
      </c>
      <c r="G161" s="2177">
        <f t="shared" si="52"/>
        <v>0</v>
      </c>
      <c r="H161" s="2177">
        <f t="shared" si="52"/>
        <v>0</v>
      </c>
      <c r="I161" s="2177">
        <f t="shared" si="52"/>
        <v>0</v>
      </c>
      <c r="J161" s="2177" t="e">
        <f t="shared" si="52"/>
        <v>#REF!</v>
      </c>
      <c r="K161" s="2177" t="e">
        <f t="shared" si="52"/>
        <v>#REF!</v>
      </c>
      <c r="L161" s="2177">
        <f t="shared" si="52"/>
        <v>0</v>
      </c>
      <c r="M161" s="2177" t="e">
        <f t="shared" si="52"/>
        <v>#REF!</v>
      </c>
      <c r="N161" s="2177" t="e">
        <f t="shared" si="52"/>
        <v>#REF!</v>
      </c>
      <c r="O161" s="2177" t="e">
        <f t="shared" si="52"/>
        <v>#REF!</v>
      </c>
      <c r="P161" s="2177" t="e">
        <f t="shared" si="52"/>
        <v>#REF!</v>
      </c>
      <c r="Q161" s="2177" t="e">
        <f t="shared" si="48"/>
        <v>#REF!</v>
      </c>
      <c r="R161" s="2177" t="e">
        <f t="shared" si="52"/>
        <v>#REF!</v>
      </c>
      <c r="S161" s="2177" t="e">
        <f t="shared" si="52"/>
        <v>#REF!</v>
      </c>
      <c r="T161" s="2177" t="e">
        <f t="shared" si="52"/>
        <v>#REF!</v>
      </c>
      <c r="U161" s="205"/>
      <c r="V161" s="24">
        <f>[17]Sheet1!$D166</f>
        <v>14651454.680000002</v>
      </c>
      <c r="W161" s="24" t="e">
        <f t="shared" si="49"/>
        <v>#REF!</v>
      </c>
      <c r="X161"/>
      <c r="Y161"/>
    </row>
    <row r="162" spans="1:25">
      <c r="A162" s="2172" t="s">
        <v>112</v>
      </c>
      <c r="B162" s="2184" t="s">
        <v>106</v>
      </c>
      <c r="C162" s="2177">
        <f t="shared" si="46"/>
        <v>2148264782.0367832</v>
      </c>
      <c r="D162" s="2177">
        <f t="shared" si="46"/>
        <v>0</v>
      </c>
      <c r="E162" s="2177" t="e">
        <f t="shared" ref="E162:T162" si="53">E17+E29+E41+E67+E56+E79+E91+E103+E115+E127+E139+E151</f>
        <v>#REF!</v>
      </c>
      <c r="F162" s="2177" t="e">
        <f t="shared" si="53"/>
        <v>#REF!</v>
      </c>
      <c r="G162" s="2177">
        <f t="shared" si="53"/>
        <v>0</v>
      </c>
      <c r="H162" s="2177" t="e">
        <f t="shared" si="53"/>
        <v>#REF!</v>
      </c>
      <c r="I162" s="2177">
        <f t="shared" si="53"/>
        <v>0</v>
      </c>
      <c r="J162" s="2177" t="e">
        <f t="shared" si="53"/>
        <v>#REF!</v>
      </c>
      <c r="K162" s="2177" t="e">
        <f t="shared" si="53"/>
        <v>#REF!</v>
      </c>
      <c r="L162" s="2177">
        <f t="shared" si="53"/>
        <v>0</v>
      </c>
      <c r="M162" s="2177" t="e">
        <f t="shared" si="53"/>
        <v>#REF!</v>
      </c>
      <c r="N162" s="2177" t="e">
        <f t="shared" si="53"/>
        <v>#REF!</v>
      </c>
      <c r="O162" s="2177" t="e">
        <f t="shared" si="53"/>
        <v>#REF!</v>
      </c>
      <c r="P162" s="2177" t="e">
        <f t="shared" si="53"/>
        <v>#REF!</v>
      </c>
      <c r="Q162" s="2177" t="e">
        <f t="shared" si="48"/>
        <v>#REF!</v>
      </c>
      <c r="R162" s="2177" t="e">
        <f t="shared" si="53"/>
        <v>#REF!</v>
      </c>
      <c r="S162" s="2177" t="e">
        <f t="shared" si="53"/>
        <v>#REF!</v>
      </c>
      <c r="T162" s="2177" t="e">
        <f t="shared" si="53"/>
        <v>#REF!</v>
      </c>
      <c r="U162" s="205"/>
      <c r="V162" s="24">
        <f>[17]Sheet1!$D167</f>
        <v>974773.53</v>
      </c>
      <c r="W162" s="24" t="e">
        <f t="shared" si="49"/>
        <v>#REF!</v>
      </c>
    </row>
    <row r="163" spans="1:25" ht="13.9" thickBot="1">
      <c r="A163" s="2174" t="s">
        <v>113</v>
      </c>
      <c r="B163" s="2185"/>
      <c r="C163" s="2177">
        <f t="shared" si="46"/>
        <v>109059.16394956803</v>
      </c>
      <c r="D163" s="2177">
        <f t="shared" si="46"/>
        <v>0</v>
      </c>
      <c r="E163" s="2177" t="e">
        <f t="shared" ref="E163:T163" si="54">E18+E30+E42+E68+E57+E80+E92+E104+E116+E128+E140+E152</f>
        <v>#REF!</v>
      </c>
      <c r="F163" s="2177">
        <f t="shared" si="54"/>
        <v>0</v>
      </c>
      <c r="G163" s="2177">
        <f t="shared" si="54"/>
        <v>0</v>
      </c>
      <c r="H163" s="2177">
        <f t="shared" si="54"/>
        <v>0</v>
      </c>
      <c r="I163" s="2177">
        <f t="shared" si="54"/>
        <v>0</v>
      </c>
      <c r="J163" s="2177" t="e">
        <f t="shared" si="54"/>
        <v>#REF!</v>
      </c>
      <c r="K163" s="2177" t="e">
        <f t="shared" si="54"/>
        <v>#REF!</v>
      </c>
      <c r="L163" s="2177">
        <f t="shared" si="54"/>
        <v>0</v>
      </c>
      <c r="M163" s="2177" t="e">
        <f t="shared" si="54"/>
        <v>#REF!</v>
      </c>
      <c r="N163" s="2177" t="e">
        <f t="shared" si="54"/>
        <v>#REF!</v>
      </c>
      <c r="O163" s="2177" t="e">
        <f t="shared" si="54"/>
        <v>#REF!</v>
      </c>
      <c r="P163" s="2177" t="e">
        <f t="shared" si="54"/>
        <v>#REF!</v>
      </c>
      <c r="Q163" s="2177" t="e">
        <f t="shared" si="48"/>
        <v>#REF!</v>
      </c>
      <c r="R163" s="2177" t="e">
        <f t="shared" si="54"/>
        <v>#REF!</v>
      </c>
      <c r="S163" s="2177" t="e">
        <f t="shared" si="54"/>
        <v>#REF!</v>
      </c>
      <c r="T163" s="2177" t="e">
        <f t="shared" si="54"/>
        <v>#REF!</v>
      </c>
      <c r="U163" s="205"/>
      <c r="V163" s="24">
        <f>[17]Sheet1!$D168</f>
        <v>109059.29</v>
      </c>
      <c r="W163" s="24" t="e">
        <f t="shared" si="49"/>
        <v>#REF!</v>
      </c>
    </row>
    <row r="164" spans="1:25" ht="13.9" thickBot="1">
      <c r="A164" s="3" t="s">
        <v>115</v>
      </c>
      <c r="B164" s="199"/>
      <c r="C164" s="201">
        <f>SUM(C158:C163)</f>
        <v>632836197048.27661</v>
      </c>
      <c r="D164" s="201">
        <f t="shared" ref="D164:L164" si="55">SUM(D158:D163)</f>
        <v>0</v>
      </c>
      <c r="E164" s="201" t="e">
        <f>SUM(E158:E163)</f>
        <v>#REF!</v>
      </c>
      <c r="F164" s="201" t="e">
        <f t="shared" si="55"/>
        <v>#REF!</v>
      </c>
      <c r="G164" s="201" t="e">
        <f t="shared" si="55"/>
        <v>#REF!</v>
      </c>
      <c r="H164" s="201" t="e">
        <f t="shared" si="55"/>
        <v>#REF!</v>
      </c>
      <c r="I164" s="201" t="e">
        <f t="shared" si="55"/>
        <v>#REF!</v>
      </c>
      <c r="J164" s="201" t="e">
        <f>SUM(J158:J163)</f>
        <v>#REF!</v>
      </c>
      <c r="K164" s="201" t="e">
        <f t="shared" si="55"/>
        <v>#REF!</v>
      </c>
      <c r="L164" s="201" t="e">
        <f t="shared" si="55"/>
        <v>#REF!</v>
      </c>
      <c r="M164" s="201" t="e">
        <f t="shared" ref="M164:S164" si="56">SUM(M158:M163)</f>
        <v>#REF!</v>
      </c>
      <c r="N164" s="201" t="e">
        <f>SUM(N158:N163)</f>
        <v>#REF!</v>
      </c>
      <c r="O164" s="201" t="e">
        <f>SUM(O158:O163)</f>
        <v>#REF!</v>
      </c>
      <c r="P164" s="201" t="e">
        <f t="shared" si="56"/>
        <v>#REF!</v>
      </c>
      <c r="Q164" s="201" t="e">
        <f>SUM(Q158:Q163)</f>
        <v>#REF!</v>
      </c>
      <c r="R164" s="201" t="e">
        <f>SUM(R158:R163)</f>
        <v>#REF!</v>
      </c>
      <c r="S164" s="201" t="e">
        <f t="shared" si="56"/>
        <v>#REF!</v>
      </c>
      <c r="T164" s="201" t="e">
        <f>SUM(T158:T163)</f>
        <v>#REF!</v>
      </c>
      <c r="U164" s="205"/>
      <c r="V164" s="24"/>
      <c r="W164" s="24" t="e">
        <f>SUM(W158:W163)</f>
        <v>#REF!</v>
      </c>
    </row>
    <row r="165" spans="1:25">
      <c r="A165" s="300"/>
      <c r="B165" s="205"/>
      <c r="C165" s="2176">
        <f>C164-'[16]Pigs Cost'!$T$164</f>
        <v>0</v>
      </c>
      <c r="D165" s="205"/>
      <c r="E165" s="205" t="e">
        <f>+O164</f>
        <v>#REF!</v>
      </c>
      <c r="F165" s="205"/>
      <c r="G165" s="205"/>
      <c r="H165" s="205"/>
      <c r="I165" s="205"/>
      <c r="J165" s="205">
        <f>SUM(G174:U174)-M174-U174</f>
        <v>7416265117830000</v>
      </c>
      <c r="K165" s="205"/>
      <c r="L165" s="205"/>
      <c r="M165" s="205"/>
      <c r="N165" s="205"/>
      <c r="O165" s="205" t="e">
        <f>+E164+O164</f>
        <v>#REF!</v>
      </c>
      <c r="P165" s="205"/>
      <c r="Q165" s="205"/>
      <c r="R165" s="205"/>
      <c r="S165" s="205"/>
      <c r="T165" s="205"/>
      <c r="U165" s="205"/>
      <c r="V165" s="219"/>
    </row>
    <row r="166" spans="1:25">
      <c r="A166" s="300"/>
      <c r="B166" s="205"/>
      <c r="C166" s="2176"/>
      <c r="D166" s="205"/>
      <c r="E166" s="205" t="e">
        <f>+E164+E165</f>
        <v>#REF!</v>
      </c>
      <c r="F166" s="205"/>
      <c r="G166" s="205"/>
      <c r="H166" s="205"/>
      <c r="I166" s="205"/>
      <c r="J166" s="205" t="e">
        <f>+J164-J165</f>
        <v>#REF!</v>
      </c>
      <c r="K166" s="205"/>
      <c r="L166" s="202"/>
      <c r="M166" s="205"/>
      <c r="N166" s="205"/>
      <c r="O166" s="205"/>
      <c r="P166" s="205"/>
      <c r="Q166" s="205"/>
      <c r="R166" s="205"/>
      <c r="S166" s="205"/>
      <c r="T166" s="205"/>
      <c r="U166" s="205"/>
      <c r="V166" s="24"/>
      <c r="W166" s="63"/>
    </row>
    <row r="167" spans="1:25">
      <c r="A167" s="300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W167" s="24"/>
    </row>
    <row r="168" spans="1:25">
      <c r="A168" s="300"/>
      <c r="B168" s="205" t="s">
        <v>122</v>
      </c>
      <c r="C168" s="205"/>
      <c r="D168" s="205"/>
      <c r="E168" s="205"/>
      <c r="F168" s="205" t="s">
        <v>123</v>
      </c>
      <c r="G168" s="205" t="s">
        <v>124</v>
      </c>
      <c r="H168" s="205" t="s">
        <v>125</v>
      </c>
      <c r="I168" s="205" t="s">
        <v>126</v>
      </c>
      <c r="J168" s="205" t="s">
        <v>127</v>
      </c>
      <c r="K168" s="205" t="s">
        <v>77</v>
      </c>
      <c r="L168" s="205" t="s">
        <v>128</v>
      </c>
      <c r="M168" s="205" t="s">
        <v>147</v>
      </c>
      <c r="N168" s="204" t="s">
        <v>148</v>
      </c>
      <c r="O168" s="204" t="s">
        <v>149</v>
      </c>
      <c r="P168" s="204" t="s">
        <v>150</v>
      </c>
      <c r="Q168" s="204"/>
      <c r="R168" s="204" t="s">
        <v>151</v>
      </c>
      <c r="S168" s="204" t="s">
        <v>152</v>
      </c>
      <c r="T168" s="205" t="s">
        <v>153</v>
      </c>
      <c r="U168" s="205" t="s">
        <v>154</v>
      </c>
    </row>
    <row r="169" spans="1:25">
      <c r="A169" s="300"/>
      <c r="B169" s="205" t="s">
        <v>129</v>
      </c>
      <c r="C169" s="205"/>
      <c r="D169" s="206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</row>
    <row r="170" spans="1:25">
      <c r="A170" s="300"/>
      <c r="B170" s="205" t="s">
        <v>130</v>
      </c>
      <c r="C170" s="205"/>
      <c r="D170" s="206">
        <f>+J170</f>
        <v>0</v>
      </c>
      <c r="E170" s="207">
        <v>0</v>
      </c>
      <c r="F170" s="205"/>
      <c r="G170" s="205"/>
      <c r="H170" s="205"/>
      <c r="I170" s="205"/>
      <c r="J170" s="205">
        <f>E170</f>
        <v>0</v>
      </c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</row>
    <row r="171" spans="1:25">
      <c r="A171" s="308">
        <f>152892948612.75-152711403534</f>
        <v>181545078.75</v>
      </c>
      <c r="B171" s="205" t="s">
        <v>131</v>
      </c>
      <c r="C171" s="205"/>
      <c r="D171" s="206">
        <f t="shared" ref="D171:D176" si="57">+J171</f>
        <v>0</v>
      </c>
      <c r="E171" s="207"/>
      <c r="F171" s="205"/>
      <c r="G171" s="205"/>
      <c r="H171" s="205"/>
      <c r="I171" s="205"/>
      <c r="J171" s="205">
        <f>E171</f>
        <v>0</v>
      </c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</row>
    <row r="172" spans="1:25">
      <c r="A172" s="308">
        <f>402755349980.95-403234150187.48</f>
        <v>-478800206.52996826</v>
      </c>
      <c r="B172" s="205" t="s">
        <v>16</v>
      </c>
      <c r="C172" s="205"/>
      <c r="D172" s="206">
        <f t="shared" si="57"/>
        <v>0</v>
      </c>
      <c r="E172" s="207"/>
      <c r="F172" s="205"/>
      <c r="G172" s="205"/>
      <c r="H172" s="205"/>
      <c r="I172" s="205"/>
      <c r="J172" s="205">
        <f>E172</f>
        <v>0</v>
      </c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</row>
    <row r="173" spans="1:25">
      <c r="A173" s="300"/>
      <c r="B173" s="205" t="s">
        <v>132</v>
      </c>
      <c r="C173" s="205"/>
      <c r="D173" s="206">
        <f t="shared" si="57"/>
        <v>0</v>
      </c>
      <c r="E173" s="207"/>
      <c r="F173" s="205"/>
      <c r="G173" s="205"/>
      <c r="H173" s="205"/>
      <c r="I173" s="205"/>
      <c r="J173" s="205">
        <f>E173</f>
        <v>0</v>
      </c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</row>
    <row r="174" spans="1:25">
      <c r="A174" s="300"/>
      <c r="B174" s="205" t="s">
        <v>133</v>
      </c>
      <c r="C174" s="205"/>
      <c r="D174" s="206">
        <f>+J174</f>
        <v>7334065117830000</v>
      </c>
      <c r="E174" s="207">
        <f>D194</f>
        <v>7421065117830000</v>
      </c>
      <c r="F174" s="205">
        <f>[18]Summary!$T$11</f>
        <v>2700000000000</v>
      </c>
      <c r="G174" s="205">
        <f>[18]Summary!$T$20</f>
        <v>9900000000000</v>
      </c>
      <c r="H174" s="205">
        <f>[18]Summary!$T$15</f>
        <v>5700000000000</v>
      </c>
      <c r="I174" s="205">
        <f>[18]Summary!$T$24</f>
        <v>300000000000</v>
      </c>
      <c r="J174" s="205">
        <f>E174-F174-G174-H174-I174-K174-L174-M174-N174-O174-P174-R174-S174-T174-U174</f>
        <v>7334065117830000</v>
      </c>
      <c r="K174" s="205">
        <f>[18]Summary!$T$16</f>
        <v>11100000000000</v>
      </c>
      <c r="L174" s="205">
        <f>[18]Summary!$T$12</f>
        <v>5700000000000</v>
      </c>
      <c r="M174" s="205">
        <f>[18]Summary!$T$13</f>
        <v>2100000000000</v>
      </c>
      <c r="N174" s="205">
        <f>[18]Summary!$T$9</f>
        <v>15900000000000</v>
      </c>
      <c r="O174" s="205">
        <f>[18]Summary!$T$19</f>
        <v>10800000000000</v>
      </c>
      <c r="P174" s="205">
        <f>[18]Summary!$T$22</f>
        <v>6600000000000</v>
      </c>
      <c r="Q174" s="205"/>
      <c r="R174" s="205">
        <f>[18]Summary!$T$21</f>
        <v>3300000000000</v>
      </c>
      <c r="S174" s="205">
        <f>[18]Summary!$T$14</f>
        <v>12900000000000</v>
      </c>
      <c r="T174" s="205">
        <v>0</v>
      </c>
      <c r="U174" s="205">
        <f>[19]Oct!$AG$36</f>
        <v>0</v>
      </c>
      <c r="V174" s="160">
        <f>SUM(G174:T174)-J174</f>
        <v>84300000000000</v>
      </c>
    </row>
    <row r="175" spans="1:25">
      <c r="A175" s="300"/>
      <c r="B175" s="205" t="s">
        <v>155</v>
      </c>
      <c r="C175" s="205"/>
      <c r="D175" s="206">
        <f t="shared" si="57"/>
        <v>0</v>
      </c>
      <c r="E175" s="207"/>
      <c r="F175" s="205"/>
      <c r="G175" s="205">
        <v>0</v>
      </c>
      <c r="H175" s="205">
        <v>0</v>
      </c>
      <c r="I175" s="205">
        <f>+'[9]IS - YTD'!L20</f>
        <v>0</v>
      </c>
      <c r="J175" s="205">
        <f>E175</f>
        <v>0</v>
      </c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160">
        <f>[18]Summary!$T$26-[18]Summary!$T$11</f>
        <v>84300000000000</v>
      </c>
    </row>
    <row r="176" spans="1:25">
      <c r="A176" s="300"/>
      <c r="B176" s="205" t="s">
        <v>135</v>
      </c>
      <c r="C176" s="205"/>
      <c r="D176" s="206">
        <f t="shared" si="57"/>
        <v>0</v>
      </c>
      <c r="E176" s="207"/>
      <c r="F176" s="205"/>
      <c r="G176" s="205">
        <f>+'[7]IS - YTD'!M21</f>
        <v>0</v>
      </c>
      <c r="H176" s="205">
        <f>+'[8]IS - YTD'!M21</f>
        <v>0</v>
      </c>
      <c r="I176" s="205">
        <f>+'[9]IS - YTD'!L21</f>
        <v>0</v>
      </c>
      <c r="J176" s="205">
        <f>E176</f>
        <v>0</v>
      </c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160">
        <f>V174-V175</f>
        <v>0</v>
      </c>
    </row>
    <row r="177" spans="1:21">
      <c r="A177" s="300"/>
      <c r="B177" s="205"/>
      <c r="C177" s="205"/>
      <c r="D177" s="205"/>
      <c r="E177" s="208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</row>
    <row r="178" spans="1:21" ht="13.9" thickBot="1">
      <c r="A178" s="300"/>
      <c r="B178" s="2176">
        <v>10000000000</v>
      </c>
      <c r="C178" s="205"/>
      <c r="D178" s="205"/>
      <c r="E178" s="209">
        <f>SUM(E169:E177)</f>
        <v>7421065117830000</v>
      </c>
      <c r="F178" s="209">
        <f t="shared" ref="F178:R178" si="58">SUM(F170:F176)</f>
        <v>2700000000000</v>
      </c>
      <c r="G178" s="209">
        <f t="shared" si="58"/>
        <v>9900000000000</v>
      </c>
      <c r="H178" s="209">
        <f>SUM(H170:H176)</f>
        <v>5700000000000</v>
      </c>
      <c r="I178" s="209">
        <f t="shared" si="58"/>
        <v>300000000000</v>
      </c>
      <c r="J178" s="209">
        <f t="shared" si="58"/>
        <v>7334065117830000</v>
      </c>
      <c r="K178" s="209">
        <f t="shared" si="58"/>
        <v>11100000000000</v>
      </c>
      <c r="L178" s="209">
        <f>SUM(L170:L176)</f>
        <v>5700000000000</v>
      </c>
      <c r="M178" s="209">
        <f t="shared" si="58"/>
        <v>2100000000000</v>
      </c>
      <c r="N178" s="209">
        <f t="shared" si="58"/>
        <v>15900000000000</v>
      </c>
      <c r="O178" s="209">
        <f t="shared" si="58"/>
        <v>10800000000000</v>
      </c>
      <c r="P178" s="209">
        <f t="shared" si="58"/>
        <v>6600000000000</v>
      </c>
      <c r="Q178" s="209"/>
      <c r="R178" s="209">
        <f t="shared" si="58"/>
        <v>3300000000000</v>
      </c>
      <c r="S178" s="209">
        <f>SUM(S170:S176)</f>
        <v>12900000000000</v>
      </c>
      <c r="T178" s="209">
        <f>SUM(T170:T176)</f>
        <v>0</v>
      </c>
      <c r="U178" s="209">
        <f>SUM(U170:U176)</f>
        <v>0</v>
      </c>
    </row>
    <row r="179" spans="1:21">
      <c r="A179" s="300"/>
      <c r="B179" s="205"/>
      <c r="C179" s="205"/>
      <c r="D179" s="205"/>
      <c r="E179" s="205">
        <f>SUM(F178:R178)</f>
        <v>7408165117830000</v>
      </c>
      <c r="F179" s="205"/>
      <c r="G179" s="205"/>
      <c r="H179" s="205"/>
      <c r="I179" s="205"/>
      <c r="J179" s="205"/>
      <c r="K179" s="205"/>
      <c r="L179" s="205"/>
      <c r="M179" s="205"/>
      <c r="N179" s="205"/>
      <c r="O179" s="2176"/>
      <c r="P179" s="205"/>
      <c r="Q179" s="205"/>
      <c r="R179" s="205"/>
      <c r="S179" s="205"/>
      <c r="T179" s="205"/>
      <c r="U179" s="205"/>
    </row>
    <row r="180" spans="1:21">
      <c r="A180" s="2201">
        <f>'[20]Pigs Cost'!$S$129+'[20]IAS 41 Mvmnt Pigs'!$M$129</f>
        <v>1.0327925181340002E+17</v>
      </c>
      <c r="B180" s="205">
        <f>'IAS 41 Mvmnt Pigs'!C165+'Pigs Cost'!C164</f>
        <v>652970561718.94348</v>
      </c>
      <c r="C180" s="205"/>
      <c r="D180" s="205"/>
      <c r="E180" s="205">
        <f>+E178-E179</f>
        <v>12900000000000</v>
      </c>
      <c r="F180" s="205">
        <f>SUM(G175:M175)</f>
        <v>0</v>
      </c>
      <c r="G180" s="205"/>
      <c r="H180" s="205"/>
      <c r="I180" s="205"/>
      <c r="J180" s="205"/>
      <c r="K180" s="205"/>
      <c r="L180" s="205"/>
      <c r="M180" s="205"/>
      <c r="N180" s="205"/>
      <c r="O180" s="2176"/>
      <c r="P180" s="205"/>
      <c r="Q180" s="205"/>
      <c r="R180" s="205"/>
      <c r="S180" s="205"/>
      <c r="T180" s="205"/>
      <c r="U180" s="205"/>
    </row>
    <row r="181" spans="1:21">
      <c r="A181" s="308">
        <f>A180/B178</f>
        <v>10327925.181340002</v>
      </c>
      <c r="B181" s="205">
        <f>'[21]Bio Assets - current29C'!$J$9</f>
        <v>10327999.625859385</v>
      </c>
      <c r="C181" s="205"/>
      <c r="D181" s="205"/>
      <c r="E181" s="205">
        <f>+E180+F180</f>
        <v>12900000000000</v>
      </c>
      <c r="F181" s="205"/>
      <c r="G181" s="205"/>
      <c r="H181" s="205"/>
      <c r="I181" s="205">
        <f>77657267.43+77657267.43+77657267.43+9226.82+17045.83</f>
        <v>232998074.94000003</v>
      </c>
      <c r="J181" s="205"/>
      <c r="K181" s="205"/>
      <c r="L181" s="205"/>
      <c r="M181" s="205"/>
      <c r="N181" s="205"/>
      <c r="O181" s="2176"/>
      <c r="P181" s="205"/>
      <c r="Q181" s="205"/>
      <c r="R181" s="205"/>
      <c r="S181" s="205"/>
      <c r="T181" s="205"/>
      <c r="U181" s="205"/>
    </row>
    <row r="182" spans="1:21">
      <c r="A182" s="300"/>
      <c r="B182" s="205">
        <f>B181-B180</f>
        <v>-652960233719.31763</v>
      </c>
      <c r="C182" s="205"/>
      <c r="D182" s="205"/>
      <c r="E182" s="205"/>
      <c r="F182" s="205">
        <f>F174/$E$174%</f>
        <v>3.6382917507527673E-2</v>
      </c>
      <c r="G182" s="205">
        <f t="shared" ref="G182:R182" si="59">G174/$E$174%</f>
        <v>0.1334040308609348</v>
      </c>
      <c r="H182" s="205">
        <f t="shared" si="59"/>
        <v>7.6808381404780635E-2</v>
      </c>
      <c r="I182" s="205">
        <f t="shared" si="59"/>
        <v>4.0425463897252965E-3</v>
      </c>
      <c r="J182" s="205">
        <f t="shared" si="59"/>
        <v>98.82766154697967</v>
      </c>
      <c r="K182" s="205">
        <f t="shared" si="59"/>
        <v>0.14957421641983598</v>
      </c>
      <c r="L182" s="205">
        <f t="shared" si="59"/>
        <v>7.6808381404780635E-2</v>
      </c>
      <c r="M182" s="205">
        <f t="shared" si="59"/>
        <v>2.8297824728077077E-2</v>
      </c>
      <c r="N182" s="205">
        <f t="shared" si="59"/>
        <v>0.21425495865544072</v>
      </c>
      <c r="O182" s="205">
        <f t="shared" si="59"/>
        <v>0.14553167003011069</v>
      </c>
      <c r="P182" s="205">
        <f t="shared" si="59"/>
        <v>8.8936020573956526E-2</v>
      </c>
      <c r="Q182" s="205"/>
      <c r="R182" s="205">
        <f t="shared" si="59"/>
        <v>4.4468010286978263E-2</v>
      </c>
      <c r="S182" s="205"/>
      <c r="T182" s="205"/>
      <c r="U182" s="205"/>
    </row>
    <row r="183" spans="1:21">
      <c r="A183" s="300"/>
      <c r="B183" s="205" t="s">
        <v>156</v>
      </c>
      <c r="C183" s="205"/>
      <c r="D183" s="205"/>
      <c r="E183" s="207">
        <f>17326562700*1000</f>
        <v>17326562700000</v>
      </c>
      <c r="F183" s="205">
        <f>$E$183*F182%</f>
        <v>6303909014.0310593</v>
      </c>
      <c r="G183" s="205">
        <f t="shared" ref="G183:R183" si="60">$E$183*G182%</f>
        <v>23114333051.44722</v>
      </c>
      <c r="H183" s="205">
        <f t="shared" si="60"/>
        <v>13308252362.954456</v>
      </c>
      <c r="I183" s="205">
        <f t="shared" si="60"/>
        <v>700434334.89233983</v>
      </c>
      <c r="J183" s="205">
        <f t="shared" si="60"/>
        <v>17123436742881.223</v>
      </c>
      <c r="K183" s="205">
        <f t="shared" si="60"/>
        <v>25916070391.016575</v>
      </c>
      <c r="L183" s="205">
        <f t="shared" si="60"/>
        <v>13308252362.954456</v>
      </c>
      <c r="M183" s="205">
        <f t="shared" si="60"/>
        <v>4903040344.2463789</v>
      </c>
      <c r="N183" s="205">
        <f t="shared" si="60"/>
        <v>37123019749.294014</v>
      </c>
      <c r="O183" s="205">
        <f t="shared" si="60"/>
        <v>25215636056.124237</v>
      </c>
      <c r="P183" s="205">
        <f t="shared" si="60"/>
        <v>15409555367.631475</v>
      </c>
      <c r="Q183" s="205"/>
      <c r="R183" s="205">
        <f t="shared" si="60"/>
        <v>7704777683.8157377</v>
      </c>
      <c r="S183" s="205">
        <f>SUM(F183:R183)</f>
        <v>17296444023599.631</v>
      </c>
      <c r="T183" s="205">
        <f>+S183-J183</f>
        <v>173007280718.4082</v>
      </c>
      <c r="U183" s="205"/>
    </row>
    <row r="184" spans="1:21">
      <c r="A184" s="300"/>
      <c r="B184" s="205" t="s">
        <v>157</v>
      </c>
      <c r="C184" s="205"/>
      <c r="D184" s="205"/>
      <c r="E184" s="207">
        <f>12845397900000</f>
        <v>12845397900000</v>
      </c>
      <c r="F184" s="205">
        <f>$E$184*F182%</f>
        <v>4673530521.4706917</v>
      </c>
      <c r="G184" s="205">
        <f t="shared" ref="G184:R184" si="61">$E$184*G182%</f>
        <v>17136278578.72587</v>
      </c>
      <c r="H184" s="205">
        <f t="shared" si="61"/>
        <v>9866342211.993681</v>
      </c>
      <c r="I184" s="205">
        <f t="shared" si="61"/>
        <v>519281169.05229902</v>
      </c>
      <c r="J184" s="205">
        <f t="shared" si="61"/>
        <v>12694806360974.834</v>
      </c>
      <c r="K184" s="205">
        <f t="shared" si="61"/>
        <v>19213403254.935066</v>
      </c>
      <c r="L184" s="205">
        <f t="shared" si="61"/>
        <v>9866342211.993681</v>
      </c>
      <c r="M184" s="205">
        <f t="shared" si="61"/>
        <v>3634968183.3660932</v>
      </c>
      <c r="N184" s="205">
        <f t="shared" si="61"/>
        <v>27521901959.771851</v>
      </c>
      <c r="O184" s="205">
        <f t="shared" si="61"/>
        <v>18694122085.882767</v>
      </c>
      <c r="P184" s="205">
        <f t="shared" si="61"/>
        <v>11424185719.150579</v>
      </c>
      <c r="Q184" s="205"/>
      <c r="R184" s="205">
        <f t="shared" si="61"/>
        <v>5712092859.5752897</v>
      </c>
      <c r="S184" s="205">
        <f>SUM(F184:R184)</f>
        <v>12823068809730.752</v>
      </c>
      <c r="T184" s="205">
        <f>+S184-J184</f>
        <v>128262448755.91797</v>
      </c>
      <c r="U184" s="205"/>
    </row>
    <row r="185" spans="1:21">
      <c r="A185" s="300"/>
      <c r="B185" s="205" t="s">
        <v>158</v>
      </c>
      <c r="C185" s="205"/>
      <c r="D185" s="205"/>
      <c r="E185" s="207">
        <f>(8240547840.91+113882887.2243)*1000</f>
        <v>8354430728134.2998</v>
      </c>
      <c r="F185" s="205">
        <f>$E$185*F182%</f>
        <v>3039585640.0406461</v>
      </c>
      <c r="G185" s="205">
        <f t="shared" ref="G185:R185" si="62">$E$185*G182%</f>
        <v>11145147346.815701</v>
      </c>
      <c r="H185" s="205">
        <f t="shared" si="62"/>
        <v>6416903017.8635845</v>
      </c>
      <c r="I185" s="205">
        <f t="shared" si="62"/>
        <v>337731737.78229392</v>
      </c>
      <c r="J185" s="205">
        <f t="shared" si="62"/>
        <v>8256488524177.4355</v>
      </c>
      <c r="K185" s="205">
        <f t="shared" si="62"/>
        <v>12496074297.944876</v>
      </c>
      <c r="L185" s="205">
        <f t="shared" si="62"/>
        <v>6416903017.8635845</v>
      </c>
      <c r="M185" s="205">
        <f t="shared" si="62"/>
        <v>2364122164.4760575</v>
      </c>
      <c r="N185" s="205">
        <f t="shared" si="62"/>
        <v>17899782102.461578</v>
      </c>
      <c r="O185" s="205">
        <f t="shared" si="62"/>
        <v>12158342560.162584</v>
      </c>
      <c r="P185" s="205">
        <f t="shared" si="62"/>
        <v>7430098231.2104664</v>
      </c>
      <c r="Q185" s="205"/>
      <c r="R185" s="205">
        <f t="shared" si="62"/>
        <v>3715049115.6052332</v>
      </c>
      <c r="S185" s="205">
        <f>SUM(F185:R185)</f>
        <v>8339908263409.6621</v>
      </c>
      <c r="T185" s="205">
        <f>+S185-J185</f>
        <v>83419739232.226563</v>
      </c>
      <c r="U185" s="205"/>
    </row>
    <row r="186" spans="1:21">
      <c r="A186" s="300"/>
      <c r="B186" s="210"/>
      <c r="C186" s="205"/>
      <c r="D186" s="2176"/>
      <c r="E186" s="207">
        <f>4173110.88*1000</f>
        <v>4173110880</v>
      </c>
      <c r="F186" s="205">
        <f>$E$186*F182%</f>
        <v>1518299.4889680622</v>
      </c>
      <c r="G186" s="205">
        <f t="shared" ref="G186:R186" si="63">$E$186*G182%</f>
        <v>5567098.1262162281</v>
      </c>
      <c r="H186" s="205">
        <f t="shared" si="63"/>
        <v>3205298.9211547971</v>
      </c>
      <c r="I186" s="205">
        <f t="shared" si="63"/>
        <v>168699.94321867352</v>
      </c>
      <c r="J186" s="205">
        <f t="shared" si="63"/>
        <v>4124187896.4665852</v>
      </c>
      <c r="K186" s="205">
        <f t="shared" si="63"/>
        <v>6241897.8990909215</v>
      </c>
      <c r="L186" s="205">
        <f t="shared" si="63"/>
        <v>3205298.9211547971</v>
      </c>
      <c r="M186" s="205">
        <f t="shared" si="63"/>
        <v>1180899.6025307148</v>
      </c>
      <c r="N186" s="205">
        <f t="shared" si="63"/>
        <v>8941096.9905896988</v>
      </c>
      <c r="O186" s="205">
        <f t="shared" si="63"/>
        <v>6073197.9558722489</v>
      </c>
      <c r="P186" s="205">
        <f t="shared" si="63"/>
        <v>3711398.7508108178</v>
      </c>
      <c r="Q186" s="205"/>
      <c r="R186" s="205">
        <f t="shared" si="63"/>
        <v>1855699.3754054089</v>
      </c>
      <c r="S186" s="205">
        <f>SUM(F186:R186)</f>
        <v>4165856782.441597</v>
      </c>
      <c r="T186" s="205">
        <f>+S186-J186</f>
        <v>41668885.975011826</v>
      </c>
      <c r="U186" s="205"/>
    </row>
    <row r="187" spans="1:21">
      <c r="A187" s="300"/>
      <c r="B187" s="210"/>
      <c r="C187" s="205"/>
      <c r="D187" s="2176"/>
      <c r="E187" s="207">
        <f>SUM(E183:E186)</f>
        <v>38530564439014.297</v>
      </c>
      <c r="F187" s="205"/>
      <c r="G187" s="205"/>
      <c r="H187" s="205"/>
      <c r="I187" s="205"/>
      <c r="J187" s="205">
        <f>SUM(J183:J186)</f>
        <v>38078855815929.961</v>
      </c>
      <c r="K187" s="205"/>
      <c r="L187" s="205"/>
      <c r="M187" s="205"/>
      <c r="N187" s="205"/>
      <c r="O187" s="205"/>
      <c r="P187" s="205"/>
      <c r="Q187" s="205"/>
      <c r="R187" s="205"/>
      <c r="S187" s="205">
        <f>SUM(S183:S186)</f>
        <v>38463586953522.492</v>
      </c>
      <c r="T187" s="205"/>
      <c r="U187" s="205"/>
    </row>
    <row r="188" spans="1:21">
      <c r="A188" s="300"/>
      <c r="B188" s="210"/>
      <c r="C188" s="205"/>
      <c r="D188" s="2176"/>
      <c r="E188" s="205"/>
      <c r="F188" s="205"/>
      <c r="G188" s="205"/>
      <c r="H188" s="205"/>
      <c r="I188" s="205"/>
      <c r="J188" s="2176">
        <v>14434746679020.002</v>
      </c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</row>
    <row r="189" spans="1:21">
      <c r="A189" s="300"/>
      <c r="B189" s="210"/>
      <c r="C189" s="205"/>
      <c r="D189" s="2176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</row>
    <row r="190" spans="1:21">
      <c r="A190" s="300"/>
      <c r="B190" s="210"/>
      <c r="C190" s="205"/>
      <c r="D190" s="2176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</row>
    <row r="191" spans="1:21">
      <c r="A191" s="210" t="s">
        <v>159</v>
      </c>
      <c r="B191" s="205">
        <f>1548.427</f>
        <v>1548.4269999999999</v>
      </c>
      <c r="C191" s="2176">
        <v>250</v>
      </c>
      <c r="D191" s="205">
        <f>124054.51*1000000</f>
        <v>124054510000</v>
      </c>
      <c r="E191" s="2176">
        <f>[22]Sheet1!$O29</f>
        <v>556230944720</v>
      </c>
      <c r="F191" s="205">
        <f>D191-E191</f>
        <v>-432176434720</v>
      </c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</row>
    <row r="192" spans="1:21">
      <c r="A192" s="210" t="s">
        <v>160</v>
      </c>
      <c r="B192" s="205">
        <f>409.583</f>
        <v>409.58300000000003</v>
      </c>
      <c r="C192" s="2176">
        <v>400</v>
      </c>
      <c r="D192" s="205">
        <f>180549.26*1000000</f>
        <v>180549260000</v>
      </c>
      <c r="E192" s="2176">
        <f>[22]Sheet1!$O30</f>
        <v>288177111971.19</v>
      </c>
      <c r="F192" s="205">
        <f>D192-E192</f>
        <v>-107627851971.19</v>
      </c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</row>
    <row r="193" spans="1:5">
      <c r="A193" s="210" t="s">
        <v>161</v>
      </c>
      <c r="B193" s="205"/>
      <c r="C193" s="205"/>
      <c r="D193" s="2176">
        <f>7420760514.06*1000000</f>
        <v>7420760514060000</v>
      </c>
      <c r="E193" s="205"/>
    </row>
    <row r="194" spans="1:5">
      <c r="A194" s="211"/>
      <c r="B194" s="205"/>
      <c r="C194" s="205"/>
      <c r="D194" s="2176">
        <f>SUM(D191:D193)</f>
        <v>7421065117830000</v>
      </c>
      <c r="E194" s="205"/>
    </row>
    <row r="195" spans="1:5">
      <c r="A195" s="300" t="s">
        <v>1</v>
      </c>
      <c r="B195" s="210"/>
      <c r="C195" s="205"/>
      <c r="D195" s="205"/>
      <c r="E195" s="205"/>
    </row>
    <row r="196" spans="1:5">
      <c r="A196" s="300" t="s">
        <v>1</v>
      </c>
      <c r="B196" s="210"/>
      <c r="C196" s="205"/>
      <c r="D196" s="205"/>
      <c r="E196" s="205"/>
    </row>
    <row r="197" spans="1:5">
      <c r="A197" s="300" t="s">
        <v>1</v>
      </c>
      <c r="B197" s="210"/>
      <c r="C197" s="205"/>
      <c r="D197" s="205"/>
      <c r="E197" s="205"/>
    </row>
    <row r="198" spans="1:5">
      <c r="A198" s="300" t="s">
        <v>1</v>
      </c>
      <c r="B198" s="210"/>
      <c r="C198" s="205"/>
      <c r="D198" s="205"/>
      <c r="E198" s="205"/>
    </row>
    <row r="199" spans="1:5">
      <c r="A199" s="300" t="s">
        <v>1</v>
      </c>
      <c r="B199" s="210"/>
      <c r="C199" s="205"/>
      <c r="D199" s="205"/>
      <c r="E199" s="205"/>
    </row>
    <row r="200" spans="1:5">
      <c r="A200" s="300" t="s">
        <v>1</v>
      </c>
      <c r="B200" s="210"/>
      <c r="C200" s="205"/>
      <c r="D200" s="205"/>
      <c r="E200" s="205"/>
    </row>
    <row r="201" spans="1:5">
      <c r="A201" s="300" t="s">
        <v>1</v>
      </c>
      <c r="B201" s="210"/>
      <c r="C201" s="205"/>
      <c r="D201" s="205"/>
      <c r="E201" s="205"/>
    </row>
    <row r="202" spans="1:5">
      <c r="A202" s="300" t="s">
        <v>1</v>
      </c>
      <c r="B202" s="205"/>
      <c r="C202" s="205"/>
      <c r="D202" s="205"/>
      <c r="E202" s="205"/>
    </row>
    <row r="203" spans="1:5">
      <c r="A203" s="300" t="s">
        <v>1</v>
      </c>
      <c r="B203" s="205"/>
      <c r="C203" s="205"/>
      <c r="D203" s="205"/>
      <c r="E203" s="205"/>
    </row>
    <row r="204" spans="1:5" ht="13.9" thickBot="1">
      <c r="A204" s="300"/>
      <c r="B204" s="205"/>
      <c r="C204" s="205"/>
      <c r="D204" s="2202">
        <f>SUM(D186:D203)</f>
        <v>1.484213023566E+16</v>
      </c>
      <c r="E204" s="2202">
        <f>SUM(E186:E203)</f>
        <v>39379145606585.484</v>
      </c>
    </row>
  </sheetData>
  <phoneticPr fontId="0" type="noConversion"/>
  <pageMargins left="0.25" right="0.25" top="0.25" bottom="0.25" header="0.25" footer="0.25"/>
  <pageSetup scale="31" orientation="landscape" horizontalDpi="300" verticalDpi="300" r:id="rId1"/>
  <headerFooter alignWithMargins="0"/>
  <rowBreaks count="1" manualBreakCount="1">
    <brk id="110" max="20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05"/>
  <sheetViews>
    <sheetView view="pageBreakPreview" workbookViewId="0">
      <pane xSplit="2" topLeftCell="C1" activePane="topRight" state="frozen"/>
      <selection pane="topRight" activeCell="G1" sqref="G1"/>
    </sheetView>
  </sheetViews>
  <sheetFormatPr defaultColWidth="9.140625" defaultRowHeight="13.15"/>
  <cols>
    <col min="1" max="1" width="17.7109375" customWidth="1"/>
    <col min="2" max="2" width="25.5703125" bestFit="1" customWidth="1"/>
    <col min="3" max="3" width="17" style="219" bestFit="1" customWidth="1"/>
    <col min="4" max="4" width="20.7109375" style="219" bestFit="1" customWidth="1"/>
    <col min="5" max="5" width="17" style="219" bestFit="1" customWidth="1"/>
    <col min="6" max="6" width="15.7109375" style="219" bestFit="1" customWidth="1"/>
    <col min="7" max="8" width="16.5703125" style="188" bestFit="1" customWidth="1"/>
    <col min="9" max="9" width="15" style="188" bestFit="1" customWidth="1"/>
    <col min="10" max="10" width="17.7109375" style="188" bestFit="1" customWidth="1"/>
    <col min="11" max="11" width="15.7109375" style="188" bestFit="1" customWidth="1"/>
    <col min="12" max="12" width="17" style="219" bestFit="1" customWidth="1"/>
    <col min="13" max="13" width="18.140625" style="188" bestFit="1" customWidth="1"/>
    <col min="14" max="14" width="17" style="219" bestFit="1" customWidth="1"/>
    <col min="15" max="15" width="21.85546875" style="160" bestFit="1" customWidth="1"/>
    <col min="16" max="16" width="22.42578125" bestFit="1" customWidth="1"/>
    <col min="17" max="17" width="21.85546875" bestFit="1" customWidth="1"/>
    <col min="18" max="18" width="21.42578125" bestFit="1" customWidth="1"/>
  </cols>
  <sheetData>
    <row r="1" spans="1:17" s="1" customFormat="1">
      <c r="A1" s="1" t="s">
        <v>81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55"/>
    </row>
    <row r="2" spans="1:17" s="1" customFormat="1">
      <c r="C2" s="184"/>
      <c r="D2" s="184"/>
      <c r="E2" s="184"/>
      <c r="F2" s="184"/>
      <c r="G2" s="184"/>
      <c r="H2" s="184"/>
      <c r="I2" s="184"/>
      <c r="J2" s="184"/>
      <c r="K2" s="184"/>
      <c r="L2" s="184">
        <f>+'Pigs Cost'!T2</f>
        <v>46226</v>
      </c>
      <c r="M2" s="184"/>
      <c r="N2" s="184"/>
      <c r="O2" s="155"/>
    </row>
    <row r="3" spans="1:17" s="1" customFormat="1">
      <c r="A3" s="1" t="s">
        <v>82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55"/>
    </row>
    <row r="4" spans="1:17" s="1" customFormat="1"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55"/>
    </row>
    <row r="5" spans="1:17" s="1" customFormat="1">
      <c r="A5" s="1" t="s">
        <v>137</v>
      </c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55"/>
    </row>
    <row r="6" spans="1:17" s="1" customFormat="1"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55"/>
    </row>
    <row r="7" spans="1:17" s="1" customFormat="1">
      <c r="C7" s="184"/>
      <c r="D7" s="186"/>
      <c r="E7" s="184"/>
      <c r="F7" s="186"/>
      <c r="G7" s="184"/>
      <c r="H7" s="184"/>
      <c r="I7" s="184"/>
      <c r="J7" s="184"/>
      <c r="K7" s="184"/>
      <c r="L7" s="184"/>
      <c r="M7" s="184"/>
      <c r="N7" s="184"/>
      <c r="O7" s="155"/>
    </row>
    <row r="8" spans="1:17" s="1" customFormat="1">
      <c r="A8" s="1" t="s">
        <v>162</v>
      </c>
      <c r="B8" s="17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55"/>
    </row>
    <row r="9" spans="1:17" s="1" customFormat="1">
      <c r="C9" s="184"/>
      <c r="D9" s="186"/>
      <c r="E9" s="186"/>
      <c r="F9" s="186"/>
      <c r="G9" s="184"/>
      <c r="H9" s="184"/>
      <c r="I9" s="184"/>
      <c r="J9" s="184"/>
      <c r="K9" s="184"/>
      <c r="L9" s="184"/>
      <c r="M9" s="184"/>
      <c r="N9" s="184"/>
      <c r="O9" s="155"/>
    </row>
    <row r="10" spans="1:17" s="1" customFormat="1">
      <c r="A10" s="1" t="s">
        <v>86</v>
      </c>
      <c r="B10" s="17" t="s">
        <v>85</v>
      </c>
      <c r="C10" s="184"/>
      <c r="D10" s="2176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55"/>
    </row>
    <row r="11" spans="1:17" s="1" customFormat="1" ht="13.9" thickBot="1"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55"/>
    </row>
    <row r="12" spans="1:17" s="14" customFormat="1" ht="27" thickBot="1">
      <c r="A12" s="12" t="s">
        <v>87</v>
      </c>
      <c r="B12" s="52" t="s">
        <v>88</v>
      </c>
      <c r="C12" s="190" t="s">
        <v>89</v>
      </c>
      <c r="D12" s="192" t="s">
        <v>91</v>
      </c>
      <c r="E12" s="192" t="s">
        <v>99</v>
      </c>
      <c r="F12" s="192" t="s">
        <v>100</v>
      </c>
      <c r="G12" s="192" t="s">
        <v>101</v>
      </c>
      <c r="H12" s="192" t="s">
        <v>102</v>
      </c>
      <c r="I12" s="192" t="e">
        <f>'Pigs Cost'!Q12</f>
        <v>#REF!</v>
      </c>
      <c r="J12" s="192" t="s">
        <v>139</v>
      </c>
      <c r="K12" s="192" t="s">
        <v>140</v>
      </c>
      <c r="L12" s="212" t="s">
        <v>163</v>
      </c>
      <c r="M12" s="192" t="s">
        <v>164</v>
      </c>
      <c r="N12" s="213" t="s">
        <v>165</v>
      </c>
      <c r="O12" s="158" t="s">
        <v>165</v>
      </c>
    </row>
    <row r="13" spans="1:17" ht="13.9" thickBot="1">
      <c r="A13" s="2171" t="s">
        <v>105</v>
      </c>
      <c r="B13" s="54" t="s">
        <v>106</v>
      </c>
      <c r="C13" s="214">
        <f>'[16]IAS 41 Mvmnt Pigs'!$N13</f>
        <v>129573173.87927049</v>
      </c>
      <c r="D13" s="214"/>
      <c r="E13" s="215">
        <f t="shared" ref="E13:E18" si="0">SUM(C13:D13)</f>
        <v>129573173.87927049</v>
      </c>
      <c r="F13" s="215" t="e">
        <f>$E13/'Summary Total Pigs'!#REF!</f>
        <v>#REF!</v>
      </c>
      <c r="G13" s="2203" t="e">
        <f>'Summary Total Pigs'!#REF!*'IAS 41 Mvmnt Pigs'!F13</f>
        <v>#REF!</v>
      </c>
      <c r="H13" s="2179" t="e">
        <f>$F13*'Summary Total Pigs'!$X12</f>
        <v>#REF!</v>
      </c>
      <c r="I13" s="2179" t="e">
        <f>'Summary Total Pigs'!#REF!*'IAS 41 Mvmnt Pigs'!F13</f>
        <v>#REF!</v>
      </c>
      <c r="J13" s="2179" t="e">
        <f>$F13*'Summary Total Pigs'!$Z12</f>
        <v>#REF!</v>
      </c>
      <c r="K13" s="2179" t="e">
        <f>'Summary Total Pigs'!#REF!*'IAS 41 Mvmnt Pigs'!F13</f>
        <v>#REF!</v>
      </c>
      <c r="L13" s="216" t="e">
        <f t="shared" ref="L13:L18" si="1">E13+G13+H13+J13+K13+I13</f>
        <v>#REF!</v>
      </c>
      <c r="M13" s="2204">
        <v>0</v>
      </c>
      <c r="N13" s="217" t="e">
        <f t="shared" ref="N13:N18" si="2">+L13+M13</f>
        <v>#REF!</v>
      </c>
      <c r="O13" s="159">
        <f>[17]Sheet1!$E169</f>
        <v>287848663.17000002</v>
      </c>
      <c r="P13" s="160" t="e">
        <f t="shared" ref="P13:P19" si="3">N13-O13</f>
        <v>#REF!</v>
      </c>
      <c r="Q13" s="24"/>
    </row>
    <row r="14" spans="1:17" s="2" customFormat="1" ht="13.9" thickBot="1">
      <c r="A14" s="2172" t="s">
        <v>107</v>
      </c>
      <c r="B14" s="2173" t="s">
        <v>108</v>
      </c>
      <c r="C14" s="214">
        <f>'[16]IAS 41 Mvmnt Pigs'!$N14</f>
        <v>2107868412.7812753</v>
      </c>
      <c r="D14" s="2205" t="e">
        <f>'Summary Total Pigs'!D13*F13</f>
        <v>#REF!</v>
      </c>
      <c r="E14" s="215" t="e">
        <f t="shared" si="0"/>
        <v>#REF!</v>
      </c>
      <c r="F14" s="215" t="e">
        <f>$E14/'Summary Total Pigs'!#REF!</f>
        <v>#REF!</v>
      </c>
      <c r="G14" s="2203" t="e">
        <f>'Summary Total Pigs'!#REF!*'IAS 41 Mvmnt Pigs'!F14</f>
        <v>#REF!</v>
      </c>
      <c r="H14" s="2179" t="e">
        <f>$F14*'Summary Total Pigs'!$X13</f>
        <v>#REF!</v>
      </c>
      <c r="I14" s="2179" t="e">
        <f>'Summary Total Pigs'!#REF!*'IAS 41 Mvmnt Pigs'!F14</f>
        <v>#REF!</v>
      </c>
      <c r="J14" s="2179" t="e">
        <f>$F14*'Summary Total Pigs'!$Z13</f>
        <v>#REF!</v>
      </c>
      <c r="K14" s="2179" t="e">
        <f>'Summary Total Pigs'!#REF!*'IAS 41 Mvmnt Pigs'!F14</f>
        <v>#REF!</v>
      </c>
      <c r="L14" s="216" t="e">
        <f t="shared" si="1"/>
        <v>#REF!</v>
      </c>
      <c r="M14" s="2204">
        <v>0</v>
      </c>
      <c r="N14" s="2206" t="e">
        <f t="shared" si="2"/>
        <v>#REF!</v>
      </c>
      <c r="O14" s="159">
        <f>[17]Sheet1!$E170</f>
        <v>4040957959.9499998</v>
      </c>
      <c r="P14" s="160" t="e">
        <f t="shared" si="3"/>
        <v>#REF!</v>
      </c>
      <c r="Q14" s="24"/>
    </row>
    <row r="15" spans="1:17" s="2" customFormat="1" ht="13.9" thickBot="1">
      <c r="A15" s="2172" t="s">
        <v>109</v>
      </c>
      <c r="B15" s="2173" t="s">
        <v>110</v>
      </c>
      <c r="C15" s="214">
        <f>'[16]IAS 41 Mvmnt Pigs'!$N15</f>
        <v>8424727501.0860586</v>
      </c>
      <c r="D15" s="2205" t="e">
        <f>3838*F14+19*F16</f>
        <v>#REF!</v>
      </c>
      <c r="E15" s="215" t="e">
        <f t="shared" si="0"/>
        <v>#REF!</v>
      </c>
      <c r="F15" s="215" t="e">
        <f>$E15/'Summary Total Pigs'!#REF!</f>
        <v>#REF!</v>
      </c>
      <c r="G15" s="2203" t="e">
        <f>'Summary Total Pigs'!#REF!*'IAS 41 Mvmnt Pigs'!F15</f>
        <v>#REF!</v>
      </c>
      <c r="H15" s="2179" t="e">
        <f>'Summary Total Pigs'!X14*'IAS 41 Mvmnt Pigs'!F15</f>
        <v>#REF!</v>
      </c>
      <c r="I15" s="2179" t="e">
        <f>'Summary Total Pigs'!#REF!*'IAS 41 Mvmnt Pigs'!F15</f>
        <v>#REF!</v>
      </c>
      <c r="J15" s="2179" t="e">
        <f>$F15*'Summary Total Pigs'!$Z14</f>
        <v>#REF!</v>
      </c>
      <c r="K15" s="2179" t="e">
        <f>'Summary Total Pigs'!#REF!*'IAS 41 Mvmnt Pigs'!F15</f>
        <v>#REF!</v>
      </c>
      <c r="L15" s="216" t="e">
        <f t="shared" si="1"/>
        <v>#REF!</v>
      </c>
      <c r="M15" s="2204">
        <v>0</v>
      </c>
      <c r="N15" s="2206" t="e">
        <f t="shared" si="2"/>
        <v>#REF!</v>
      </c>
      <c r="O15" s="159">
        <f>[17]Sheet1!$E171</f>
        <v>10392148556.280001</v>
      </c>
      <c r="P15" s="160" t="e">
        <f t="shared" si="3"/>
        <v>#REF!</v>
      </c>
      <c r="Q15" s="24"/>
    </row>
    <row r="16" spans="1:17" s="2" customFormat="1" ht="13.9" thickBot="1">
      <c r="A16" s="2172" t="s">
        <v>111</v>
      </c>
      <c r="B16" s="1657" t="s">
        <v>106</v>
      </c>
      <c r="C16" s="214">
        <f>'[16]IAS 41 Mvmnt Pigs'!$N16</f>
        <v>934431084.90937507</v>
      </c>
      <c r="D16" s="2205" t="e">
        <f>F13*'Summary Total Pigs'!D15</f>
        <v>#REF!</v>
      </c>
      <c r="E16" s="215" t="e">
        <f t="shared" si="0"/>
        <v>#REF!</v>
      </c>
      <c r="F16" s="215" t="e">
        <f>$E16/'Summary Total Pigs'!#REF!</f>
        <v>#REF!</v>
      </c>
      <c r="G16" s="2203" t="e">
        <f>'Summary Total Pigs'!#REF!*'IAS 41 Mvmnt Pigs'!F16</f>
        <v>#REF!</v>
      </c>
      <c r="H16" s="2179" t="e">
        <f>$F16*'Summary Total Pigs'!$X15</f>
        <v>#REF!</v>
      </c>
      <c r="I16" s="2179" t="e">
        <f>'Summary Total Pigs'!#REF!*'IAS 41 Mvmnt Pigs'!F16</f>
        <v>#REF!</v>
      </c>
      <c r="J16" s="2179" t="e">
        <f>$F16*'Summary Total Pigs'!$Z15</f>
        <v>#REF!</v>
      </c>
      <c r="K16" s="2179" t="e">
        <f>'Summary Total Pigs'!#REF!*'IAS 41 Mvmnt Pigs'!F16</f>
        <v>#REF!</v>
      </c>
      <c r="L16" s="216" t="e">
        <f t="shared" si="1"/>
        <v>#REF!</v>
      </c>
      <c r="M16" s="2204">
        <v>0</v>
      </c>
      <c r="N16" s="2206" t="e">
        <f t="shared" si="2"/>
        <v>#REF!</v>
      </c>
      <c r="O16" s="159">
        <f>[17]Sheet1!$E172</f>
        <v>1117423357.96</v>
      </c>
      <c r="P16" s="160" t="e">
        <f t="shared" si="3"/>
        <v>#REF!</v>
      </c>
      <c r="Q16" s="24"/>
    </row>
    <row r="17" spans="1:18" s="2" customFormat="1" ht="13.9" thickBot="1">
      <c r="A17" s="2172" t="s">
        <v>112</v>
      </c>
      <c r="B17" s="54" t="s">
        <v>106</v>
      </c>
      <c r="C17" s="214">
        <f>'[16]IAS 41 Mvmnt Pigs'!$N17</f>
        <v>2024274022.0063608</v>
      </c>
      <c r="D17" s="2205" t="e">
        <f>F16*'Summary Total Pigs'!D16</f>
        <v>#REF!</v>
      </c>
      <c r="E17" s="215" t="e">
        <f t="shared" si="0"/>
        <v>#REF!</v>
      </c>
      <c r="F17" s="215" t="e">
        <f>$E17/'Summary Total Pigs'!#REF!</f>
        <v>#REF!</v>
      </c>
      <c r="G17" s="2179" t="e">
        <f>'Summary Total Pigs'!#REF!*'IAS 41 Mvmnt Pigs'!F17</f>
        <v>#REF!</v>
      </c>
      <c r="H17" s="2179" t="e">
        <f>$F17*'Summary Total Pigs'!$X16</f>
        <v>#REF!</v>
      </c>
      <c r="I17" s="2179" t="e">
        <f>'Summary Total Pigs'!#REF!*'IAS 41 Mvmnt Pigs'!F17</f>
        <v>#REF!</v>
      </c>
      <c r="J17" s="2179" t="e">
        <f>$F17*'Summary Total Pigs'!$Z16</f>
        <v>#REF!</v>
      </c>
      <c r="K17" s="2179" t="e">
        <f>'Summary Total Pigs'!#REF!*'IAS 41 Mvmnt Pigs'!F17</f>
        <v>#REF!</v>
      </c>
      <c r="L17" s="216" t="e">
        <f t="shared" si="1"/>
        <v>#REF!</v>
      </c>
      <c r="M17" s="2204">
        <v>0</v>
      </c>
      <c r="N17" s="2206" t="e">
        <f t="shared" si="2"/>
        <v>#REF!</v>
      </c>
      <c r="O17" s="159">
        <f>[17]Sheet1!$E173</f>
        <v>2092555566.4100001</v>
      </c>
      <c r="P17" s="160" t="e">
        <f t="shared" si="3"/>
        <v>#REF!</v>
      </c>
      <c r="Q17" s="24"/>
      <c r="R17" s="300"/>
    </row>
    <row r="18" spans="1:18" s="2" customFormat="1" ht="13.9" thickBot="1">
      <c r="A18" s="2174" t="s">
        <v>113</v>
      </c>
      <c r="B18" s="971" t="s">
        <v>114</v>
      </c>
      <c r="C18" s="214">
        <f>'[16]IAS 41 Mvmnt Pigs'!$N18</f>
        <v>64762941.459802933</v>
      </c>
      <c r="D18" s="2182" t="e">
        <f>'Summary Total Pigs'!D17*F15</f>
        <v>#REF!</v>
      </c>
      <c r="E18" s="215" t="e">
        <f t="shared" si="0"/>
        <v>#REF!</v>
      </c>
      <c r="F18" s="215" t="e">
        <f>$E18/'Summary Total Pigs'!#REF!</f>
        <v>#REF!</v>
      </c>
      <c r="G18" s="2179" t="e">
        <f>'Summary Total Pigs'!#REF!*'IAS 41 Mvmnt Pigs'!F18</f>
        <v>#REF!</v>
      </c>
      <c r="H18" s="2179" t="e">
        <f>$F18*'Summary Total Pigs'!$X17</f>
        <v>#REF!</v>
      </c>
      <c r="I18" s="2179" t="e">
        <f>'Summary Total Pigs'!#REF!*'IAS 41 Mvmnt Pigs'!F18</f>
        <v>#REF!</v>
      </c>
      <c r="J18" s="2179" t="e">
        <f>$F18*'Summary Total Pigs'!$Z17</f>
        <v>#REF!</v>
      </c>
      <c r="K18" s="2179" t="e">
        <f>'Summary Total Pigs'!#REF!*'IAS 41 Mvmnt Pigs'!F18</f>
        <v>#REF!</v>
      </c>
      <c r="L18" s="216" t="e">
        <f t="shared" si="1"/>
        <v>#REF!</v>
      </c>
      <c r="M18" s="2204">
        <v>0</v>
      </c>
      <c r="N18" s="2206" t="e">
        <f t="shared" si="2"/>
        <v>#REF!</v>
      </c>
      <c r="O18" s="159">
        <f>[17]Sheet1!$E174</f>
        <v>64762941.460000001</v>
      </c>
      <c r="P18" s="160" t="e">
        <f t="shared" si="3"/>
        <v>#REF!</v>
      </c>
      <c r="Q18" s="24"/>
      <c r="R18" s="300"/>
    </row>
    <row r="19" spans="1:18" s="1" customFormat="1" ht="13.9" thickBot="1">
      <c r="A19" s="3" t="s">
        <v>115</v>
      </c>
      <c r="B19" s="55"/>
      <c r="C19" s="200">
        <f t="shared" ref="C19:J19" si="4">SUM(C13:C18)</f>
        <v>13685637136.122143</v>
      </c>
      <c r="D19" s="201" t="e">
        <f>SUM(D13:D18)</f>
        <v>#REF!</v>
      </c>
      <c r="E19" s="201" t="e">
        <f t="shared" si="4"/>
        <v>#REF!</v>
      </c>
      <c r="F19" s="201" t="e">
        <f t="shared" si="4"/>
        <v>#REF!</v>
      </c>
      <c r="G19" s="201" t="e">
        <f>SUM(G13:G18)</f>
        <v>#REF!</v>
      </c>
      <c r="H19" s="201" t="e">
        <f t="shared" si="4"/>
        <v>#REF!</v>
      </c>
      <c r="I19" s="201" t="e">
        <f>SUM(I13:I18)</f>
        <v>#REF!</v>
      </c>
      <c r="J19" s="201" t="e">
        <f t="shared" si="4"/>
        <v>#REF!</v>
      </c>
      <c r="K19" s="201" t="e">
        <f>SUM(K13:K18)</f>
        <v>#REF!</v>
      </c>
      <c r="L19" s="201" t="e">
        <f>SUM(L13:L18)</f>
        <v>#REF!</v>
      </c>
      <c r="M19" s="201">
        <f>SUM(M13:M18)</f>
        <v>0</v>
      </c>
      <c r="N19" s="218" t="e">
        <f>SUM(N13:N18)</f>
        <v>#REF!</v>
      </c>
      <c r="O19" s="161">
        <f>SUM(O13:O18)</f>
        <v>17995697045.23</v>
      </c>
      <c r="P19" s="160" t="e">
        <f t="shared" si="3"/>
        <v>#REF!</v>
      </c>
      <c r="Q19" s="24">
        <f>[17]Sheet1!$E$16</f>
        <v>-17992163377.010002</v>
      </c>
      <c r="R19" s="155"/>
    </row>
    <row r="20" spans="1:18" s="2" customFormat="1">
      <c r="A20" s="300"/>
      <c r="B20" s="300"/>
      <c r="C20" s="205"/>
      <c r="D20" s="205" t="e">
        <f>D19+G19</f>
        <v>#REF!</v>
      </c>
      <c r="E20" s="205"/>
      <c r="F20" s="205"/>
      <c r="G20" s="205"/>
      <c r="H20" s="205"/>
      <c r="I20" s="205"/>
      <c r="J20" s="205"/>
      <c r="K20" s="205"/>
      <c r="L20" s="205" t="e">
        <f>E19+G19+H19+J19+K19+I19</f>
        <v>#REF!</v>
      </c>
      <c r="M20" s="2176"/>
      <c r="N20" s="205"/>
      <c r="O20" s="2201"/>
      <c r="P20" s="300"/>
      <c r="Q20" s="24">
        <f>Q19+M19</f>
        <v>-17992163377.010002</v>
      </c>
      <c r="R20" s="300"/>
    </row>
    <row r="21" spans="1:18" s="2" customFormat="1">
      <c r="A21" s="300"/>
      <c r="B21" s="300"/>
      <c r="C21" s="205"/>
      <c r="D21" s="205"/>
      <c r="E21" s="205"/>
      <c r="F21" s="205"/>
      <c r="G21" s="205"/>
      <c r="H21" s="205"/>
      <c r="I21" s="205"/>
      <c r="J21" s="205"/>
      <c r="K21" s="205"/>
      <c r="L21" s="205" t="e">
        <f>+L19-L20</f>
        <v>#REF!</v>
      </c>
      <c r="M21" s="205"/>
      <c r="N21" s="205"/>
      <c r="O21" s="2201"/>
      <c r="P21" s="300"/>
      <c r="Q21" s="24"/>
      <c r="R21" s="300"/>
    </row>
    <row r="22" spans="1:18" s="2" customFormat="1">
      <c r="A22" s="1" t="s">
        <v>86</v>
      </c>
      <c r="B22" s="17" t="s">
        <v>116</v>
      </c>
      <c r="C22" s="187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201"/>
      <c r="P22" s="300"/>
      <c r="Q22" s="24"/>
      <c r="R22" s="300"/>
    </row>
    <row r="23" spans="1:18" s="2" customFormat="1" ht="13.9" thickBot="1">
      <c r="A23" s="300"/>
      <c r="B23" s="300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201"/>
      <c r="P23" s="300"/>
      <c r="Q23" s="24"/>
      <c r="R23" s="300"/>
    </row>
    <row r="24" spans="1:18" s="14" customFormat="1" ht="27" thickBot="1">
      <c r="A24" s="12" t="s">
        <v>87</v>
      </c>
      <c r="B24" s="52" t="s">
        <v>88</v>
      </c>
      <c r="C24" s="190" t="s">
        <v>89</v>
      </c>
      <c r="D24" s="192" t="s">
        <v>91</v>
      </c>
      <c r="E24" s="192" t="s">
        <v>99</v>
      </c>
      <c r="F24" s="192" t="s">
        <v>100</v>
      </c>
      <c r="G24" s="192" t="s">
        <v>101</v>
      </c>
      <c r="H24" s="192" t="s">
        <v>102</v>
      </c>
      <c r="I24" s="192" t="e">
        <f>I12</f>
        <v>#REF!</v>
      </c>
      <c r="J24" s="192" t="str">
        <f>J12</f>
        <v>CULLS</v>
      </c>
      <c r="K24" s="192" t="str">
        <f>+K12</f>
        <v>STOCK ADJMNT</v>
      </c>
      <c r="L24" s="212" t="s">
        <v>163</v>
      </c>
      <c r="M24" s="192" t="str">
        <f>M12</f>
        <v>CURRENT ADJMNT</v>
      </c>
      <c r="N24" s="213" t="str">
        <f>+N12</f>
        <v>CLOSING BAL</v>
      </c>
      <c r="O24" s="158" t="s">
        <v>165</v>
      </c>
      <c r="Q24" s="24"/>
    </row>
    <row r="25" spans="1:18" s="2" customFormat="1">
      <c r="A25" s="2171" t="s">
        <v>105</v>
      </c>
      <c r="B25" s="54" t="s">
        <v>106</v>
      </c>
      <c r="C25" s="214">
        <f>'[16]IAS 41 Mvmnt Pigs'!$N25</f>
        <v>0</v>
      </c>
      <c r="D25" s="2178" t="e">
        <f>'Summary Total Pigs'!#REF!*M23</f>
        <v>#REF!</v>
      </c>
      <c r="E25" s="215" t="e">
        <f t="shared" ref="E25:E30" si="5">SUM(C25:D25)</f>
        <v>#REF!</v>
      </c>
      <c r="F25" s="215">
        <v>0</v>
      </c>
      <c r="G25" s="2179" t="e">
        <f>'Summary Total Pigs'!#REF!*'IAS 41 Mvmnt Pigs'!F25</f>
        <v>#REF!</v>
      </c>
      <c r="H25" s="2179" t="e">
        <f>F25*'Summary Total Pigs'!#REF!</f>
        <v>#REF!</v>
      </c>
      <c r="I25" s="2179" t="e">
        <f>F25*'Summary Total Pigs'!#REF!</f>
        <v>#REF!</v>
      </c>
      <c r="J25" s="2179" t="e">
        <f>F25*'Summary Total Pigs'!#REF!</f>
        <v>#REF!</v>
      </c>
      <c r="K25" s="2179" t="e">
        <f>'Summary Total Pigs'!#REF!*'IAS 41 Mvmnt Pigs'!F25</f>
        <v>#REF!</v>
      </c>
      <c r="L25" s="216" t="e">
        <f t="shared" ref="L25:L30" si="6">E25+G25+H25+J25+K25+I25</f>
        <v>#REF!</v>
      </c>
      <c r="M25" s="2204">
        <v>0</v>
      </c>
      <c r="N25" s="217" t="e">
        <f t="shared" ref="N25:N30" si="7">+L25+M25</f>
        <v>#REF!</v>
      </c>
      <c r="O25" s="159" t="str">
        <f>[17]Sheet1!$O163</f>
        <v/>
      </c>
      <c r="P25" s="160"/>
      <c r="Q25" s="24"/>
      <c r="R25" s="300"/>
    </row>
    <row r="26" spans="1:18" s="2" customFormat="1">
      <c r="A26" s="2172" t="s">
        <v>107</v>
      </c>
      <c r="B26" s="2173" t="s">
        <v>108</v>
      </c>
      <c r="C26" s="214">
        <f>'[16]IAS 41 Mvmnt Pigs'!$N26</f>
        <v>0</v>
      </c>
      <c r="D26" s="2178">
        <v>0</v>
      </c>
      <c r="E26" s="215">
        <f t="shared" si="5"/>
        <v>0</v>
      </c>
      <c r="F26" s="215">
        <v>0</v>
      </c>
      <c r="G26" s="2179" t="e">
        <f>'Summary Total Pigs'!#REF!*'IAS 41 Mvmnt Pigs'!F26</f>
        <v>#REF!</v>
      </c>
      <c r="H26" s="2179" t="e">
        <f>F26*'Summary Total Pigs'!#REF!</f>
        <v>#REF!</v>
      </c>
      <c r="I26" s="2179" t="e">
        <f>F26*'Summary Total Pigs'!#REF!</f>
        <v>#REF!</v>
      </c>
      <c r="J26" s="2179" t="e">
        <f>F26*'Summary Total Pigs'!#REF!</f>
        <v>#REF!</v>
      </c>
      <c r="K26" s="2179" t="e">
        <f>'Summary Total Pigs'!#REF!*'IAS 41 Mvmnt Pigs'!F26</f>
        <v>#REF!</v>
      </c>
      <c r="L26" s="216" t="e">
        <f t="shared" si="6"/>
        <v>#REF!</v>
      </c>
      <c r="M26" s="2204">
        <v>0</v>
      </c>
      <c r="N26" s="2206" t="e">
        <f t="shared" si="7"/>
        <v>#REF!</v>
      </c>
      <c r="O26" s="2207">
        <v>0</v>
      </c>
      <c r="P26" s="160" t="e">
        <f t="shared" ref="P26:P31" si="8">N26-O26</f>
        <v>#REF!</v>
      </c>
      <c r="Q26" s="24"/>
      <c r="R26" s="300"/>
    </row>
    <row r="27" spans="1:18" s="2" customFormat="1">
      <c r="A27" s="2172" t="s">
        <v>109</v>
      </c>
      <c r="B27" s="2173" t="s">
        <v>110</v>
      </c>
      <c r="C27" s="214">
        <f>'[16]IAS 41 Mvmnt Pigs'!$N27</f>
        <v>381619857.6671083</v>
      </c>
      <c r="D27" s="2188" t="e">
        <f>F101*'Summary Total Pigs'!#REF!</f>
        <v>#REF!</v>
      </c>
      <c r="E27" s="215" t="e">
        <f>SUM(C27:D27)</f>
        <v>#REF!</v>
      </c>
      <c r="F27" s="215" t="e">
        <f>$E27/'Summary Total Pigs'!#REF!</f>
        <v>#REF!</v>
      </c>
      <c r="G27" s="2179" t="e">
        <f>'Summary Total Pigs'!#REF!*'IAS 41 Mvmnt Pigs'!F27</f>
        <v>#REF!</v>
      </c>
      <c r="H27" s="2179" t="e">
        <f>F27*'Summary Total Pigs'!#REF!</f>
        <v>#REF!</v>
      </c>
      <c r="I27" s="2179" t="e">
        <f>F27*'Summary Total Pigs'!#REF!</f>
        <v>#REF!</v>
      </c>
      <c r="J27" s="2179" t="e">
        <f>F27*'Summary Total Pigs'!#REF!</f>
        <v>#REF!</v>
      </c>
      <c r="K27" s="2179" t="e">
        <f>'Summary Total Pigs'!#REF!*'IAS 41 Mvmnt Pigs'!F27</f>
        <v>#REF!</v>
      </c>
      <c r="L27" s="216" t="e">
        <f t="shared" si="6"/>
        <v>#REF!</v>
      </c>
      <c r="M27" s="2204">
        <v>0</v>
      </c>
      <c r="N27" s="2206" t="e">
        <f t="shared" si="7"/>
        <v>#REF!</v>
      </c>
      <c r="O27" s="2207">
        <f>[17]Sheet1!$O$171</f>
        <v>678462273.83000004</v>
      </c>
      <c r="P27" s="160" t="e">
        <f t="shared" si="8"/>
        <v>#REF!</v>
      </c>
      <c r="Q27" s="24"/>
      <c r="R27" s="300"/>
    </row>
    <row r="28" spans="1:18" s="2" customFormat="1">
      <c r="A28" s="2172" t="s">
        <v>111</v>
      </c>
      <c r="B28" s="1657" t="s">
        <v>106</v>
      </c>
      <c r="C28" s="214">
        <f>'[16]IAS 41 Mvmnt Pigs'!$N28</f>
        <v>0</v>
      </c>
      <c r="D28" s="2178" t="e">
        <f>'Summary Total Pigs'!#REF!*M26</f>
        <v>#REF!</v>
      </c>
      <c r="E28" s="215" t="e">
        <f t="shared" si="5"/>
        <v>#REF!</v>
      </c>
      <c r="F28" s="215">
        <v>0</v>
      </c>
      <c r="G28" s="2179" t="e">
        <f>'Summary Total Pigs'!#REF!*'IAS 41 Mvmnt Pigs'!F28</f>
        <v>#REF!</v>
      </c>
      <c r="H28" s="2179" t="e">
        <f>F28*'Summary Total Pigs'!#REF!</f>
        <v>#REF!</v>
      </c>
      <c r="I28" s="2179" t="e">
        <f>F28*'Summary Total Pigs'!#REF!</f>
        <v>#REF!</v>
      </c>
      <c r="J28" s="2179" t="e">
        <f>F28*'Summary Total Pigs'!#REF!</f>
        <v>#REF!</v>
      </c>
      <c r="K28" s="2179" t="e">
        <f>'Summary Total Pigs'!#REF!*'IAS 41 Mvmnt Pigs'!F28</f>
        <v>#REF!</v>
      </c>
      <c r="L28" s="216" t="e">
        <f t="shared" si="6"/>
        <v>#REF!</v>
      </c>
      <c r="M28" s="2204">
        <v>0</v>
      </c>
      <c r="N28" s="2206" t="e">
        <f t="shared" si="7"/>
        <v>#REF!</v>
      </c>
      <c r="O28" s="2207">
        <v>0</v>
      </c>
      <c r="P28" s="160" t="e">
        <f t="shared" si="8"/>
        <v>#REF!</v>
      </c>
      <c r="Q28" s="24"/>
      <c r="R28" s="300"/>
    </row>
    <row r="29" spans="1:18">
      <c r="A29" s="2172" t="s">
        <v>112</v>
      </c>
      <c r="B29" s="54" t="s">
        <v>106</v>
      </c>
      <c r="C29" s="214">
        <f>'[16]IAS 41 Mvmnt Pigs'!$N29</f>
        <v>0</v>
      </c>
      <c r="D29" s="2178">
        <v>0</v>
      </c>
      <c r="E29" s="215">
        <f t="shared" si="5"/>
        <v>0</v>
      </c>
      <c r="F29" s="215">
        <v>0</v>
      </c>
      <c r="G29" s="2179" t="e">
        <f>'Summary Total Pigs'!#REF!*'IAS 41 Mvmnt Pigs'!F29</f>
        <v>#REF!</v>
      </c>
      <c r="H29" s="2179" t="e">
        <f>F29*'Summary Total Pigs'!#REF!</f>
        <v>#REF!</v>
      </c>
      <c r="I29" s="2179" t="e">
        <f>F29*'Summary Total Pigs'!#REF!</f>
        <v>#REF!</v>
      </c>
      <c r="J29" s="2179" t="e">
        <f>F29*'Summary Total Pigs'!#REF!</f>
        <v>#REF!</v>
      </c>
      <c r="K29" s="2179" t="e">
        <f>'Summary Total Pigs'!#REF!*'IAS 41 Mvmnt Pigs'!F29</f>
        <v>#REF!</v>
      </c>
      <c r="L29" s="216" t="e">
        <f t="shared" si="6"/>
        <v>#REF!</v>
      </c>
      <c r="M29" s="2204">
        <v>0</v>
      </c>
      <c r="N29" s="2206" t="e">
        <f t="shared" si="7"/>
        <v>#REF!</v>
      </c>
      <c r="O29" s="2207">
        <v>0</v>
      </c>
      <c r="P29" s="160" t="e">
        <f t="shared" si="8"/>
        <v>#REF!</v>
      </c>
      <c r="Q29" s="24"/>
    </row>
    <row r="30" spans="1:18" ht="13.9" thickBot="1">
      <c r="A30" s="2174" t="s">
        <v>113</v>
      </c>
      <c r="B30" s="971"/>
      <c r="C30" s="214">
        <f>'[16]IAS 41 Mvmnt Pigs'!$N30</f>
        <v>0</v>
      </c>
      <c r="D30" s="2178" t="e">
        <f>'Summary Total Pigs'!#REF!*M28</f>
        <v>#REF!</v>
      </c>
      <c r="E30" s="215" t="e">
        <f t="shared" si="5"/>
        <v>#REF!</v>
      </c>
      <c r="F30" s="215">
        <v>0</v>
      </c>
      <c r="G30" s="2179" t="e">
        <f>'Summary Total Pigs'!#REF!*'IAS 41 Mvmnt Pigs'!F30</f>
        <v>#REF!</v>
      </c>
      <c r="H30" s="2179" t="e">
        <f>F30*'Summary Total Pigs'!#REF!</f>
        <v>#REF!</v>
      </c>
      <c r="I30" s="2179" t="e">
        <f>F30*'Summary Total Pigs'!#REF!</f>
        <v>#REF!</v>
      </c>
      <c r="J30" s="2179" t="e">
        <f>F30*'Summary Total Pigs'!#REF!</f>
        <v>#REF!</v>
      </c>
      <c r="K30" s="2179" t="e">
        <f>'Summary Total Pigs'!#REF!*'IAS 41 Mvmnt Pigs'!F30</f>
        <v>#REF!</v>
      </c>
      <c r="L30" s="216" t="e">
        <f t="shared" si="6"/>
        <v>#REF!</v>
      </c>
      <c r="M30" s="2204">
        <v>0</v>
      </c>
      <c r="N30" s="2206" t="e">
        <f t="shared" si="7"/>
        <v>#REF!</v>
      </c>
      <c r="O30" s="2207">
        <v>0</v>
      </c>
      <c r="P30" s="160" t="e">
        <f t="shared" si="8"/>
        <v>#REF!</v>
      </c>
      <c r="Q30" s="24"/>
    </row>
    <row r="31" spans="1:18" ht="13.9" thickBot="1">
      <c r="A31" s="3" t="s">
        <v>115</v>
      </c>
      <c r="B31" s="55"/>
      <c r="C31" s="200">
        <f>SUM(C25:C30)</f>
        <v>381619857.6671083</v>
      </c>
      <c r="D31" s="201" t="e">
        <f>SUM(D25:D29)</f>
        <v>#REF!</v>
      </c>
      <c r="E31" s="201" t="e">
        <f t="shared" ref="E31:K31" si="9">SUM(E25:E30)</f>
        <v>#REF!</v>
      </c>
      <c r="F31" s="201" t="e">
        <f t="shared" si="9"/>
        <v>#REF!</v>
      </c>
      <c r="G31" s="201" t="e">
        <f t="shared" si="9"/>
        <v>#REF!</v>
      </c>
      <c r="H31" s="201" t="e">
        <f t="shared" si="9"/>
        <v>#REF!</v>
      </c>
      <c r="I31" s="201" t="e">
        <f t="shared" si="9"/>
        <v>#REF!</v>
      </c>
      <c r="J31" s="201" t="e">
        <f t="shared" si="9"/>
        <v>#REF!</v>
      </c>
      <c r="K31" s="201" t="e">
        <f t="shared" si="9"/>
        <v>#REF!</v>
      </c>
      <c r="L31" s="201" t="e">
        <f>SUM(L25:L30)</f>
        <v>#REF!</v>
      </c>
      <c r="M31" s="201">
        <f>SUM(M25:M30)</f>
        <v>0</v>
      </c>
      <c r="N31" s="218" t="e">
        <f>SUM(N25:N30)</f>
        <v>#REF!</v>
      </c>
      <c r="O31" s="161">
        <f>SUM(O26:O30)</f>
        <v>678462273.83000004</v>
      </c>
      <c r="P31" s="160" t="e">
        <f t="shared" si="8"/>
        <v>#REF!</v>
      </c>
      <c r="Q31" s="24">
        <f>[17]Sheet1!$O$16</f>
        <v>-678272787.24000001</v>
      </c>
    </row>
    <row r="32" spans="1:18">
      <c r="A32" s="300"/>
      <c r="B32" s="300"/>
      <c r="G32" s="205"/>
      <c r="H32" s="205"/>
      <c r="I32" s="205"/>
      <c r="J32" s="205"/>
      <c r="K32" s="205"/>
      <c r="M32" s="2176"/>
      <c r="Q32" s="24">
        <f>M31+Q31</f>
        <v>-678272787.24000001</v>
      </c>
    </row>
    <row r="33" spans="1:17">
      <c r="G33" s="205"/>
      <c r="H33" s="205"/>
      <c r="I33" s="205"/>
      <c r="J33" s="205"/>
      <c r="K33" s="205"/>
      <c r="M33" s="205"/>
      <c r="Q33" s="24"/>
    </row>
    <row r="34" spans="1:17">
      <c r="A34" s="1" t="s">
        <v>86</v>
      </c>
      <c r="B34" s="17" t="s">
        <v>117</v>
      </c>
      <c r="E34" s="219">
        <f>21*2127853690</f>
        <v>44684927490</v>
      </c>
      <c r="G34" s="205">
        <f>393+34</f>
        <v>427</v>
      </c>
      <c r="H34" s="205"/>
      <c r="I34" s="205"/>
      <c r="J34" s="205"/>
      <c r="K34" s="205"/>
      <c r="M34" s="205"/>
      <c r="Q34" s="24"/>
    </row>
    <row r="35" spans="1:17" ht="13.9" thickBot="1">
      <c r="G35" s="205"/>
      <c r="H35" s="205"/>
      <c r="I35" s="205"/>
      <c r="J35" s="205"/>
      <c r="K35" s="205"/>
      <c r="M35" s="205"/>
      <c r="Q35" s="24"/>
    </row>
    <row r="36" spans="1:17" s="14" customFormat="1" ht="27" thickBot="1">
      <c r="A36" s="12" t="s">
        <v>87</v>
      </c>
      <c r="B36" s="52" t="s">
        <v>88</v>
      </c>
      <c r="C36" s="190" t="s">
        <v>89</v>
      </c>
      <c r="D36" s="192" t="s">
        <v>91</v>
      </c>
      <c r="E36" s="192" t="s">
        <v>99</v>
      </c>
      <c r="F36" s="192" t="s">
        <v>100</v>
      </c>
      <c r="G36" s="192" t="s">
        <v>101</v>
      </c>
      <c r="H36" s="192" t="s">
        <v>102</v>
      </c>
      <c r="I36" s="192" t="e">
        <f>I24</f>
        <v>#REF!</v>
      </c>
      <c r="J36" s="192" t="str">
        <f>+J24</f>
        <v>CULLS</v>
      </c>
      <c r="K36" s="192" t="str">
        <f>+K24</f>
        <v>STOCK ADJMNT</v>
      </c>
      <c r="L36" s="212" t="s">
        <v>163</v>
      </c>
      <c r="M36" s="192" t="str">
        <f>+M24</f>
        <v>CURRENT ADJMNT</v>
      </c>
      <c r="N36" s="213" t="str">
        <f>+N24</f>
        <v>CLOSING BAL</v>
      </c>
      <c r="O36" s="158" t="s">
        <v>165</v>
      </c>
      <c r="Q36" s="24"/>
    </row>
    <row r="37" spans="1:17" ht="13.9" thickBot="1">
      <c r="A37" s="2171" t="s">
        <v>105</v>
      </c>
      <c r="B37" s="54" t="s">
        <v>106</v>
      </c>
      <c r="C37" s="214">
        <f>'[16]IAS 41 Mvmnt Pigs'!$N37</f>
        <v>16928587.688634574</v>
      </c>
      <c r="D37" s="2178"/>
      <c r="E37" s="215">
        <f t="shared" ref="E37:E42" si="10">SUM(C37:D37)</f>
        <v>16928587.688634574</v>
      </c>
      <c r="F37" s="215" t="e">
        <f>$E37/'Summary Total Pigs'!#REF!</f>
        <v>#REF!</v>
      </c>
      <c r="G37" s="2179" t="e">
        <f>'Summary Total Pigs'!N50*'IAS 41 Mvmnt Pigs'!F37</f>
        <v>#REF!</v>
      </c>
      <c r="H37" s="2179" t="e">
        <f>'Summary Total Pigs'!#REF!*F37</f>
        <v>#REF!</v>
      </c>
      <c r="I37" s="2179" t="e">
        <f>F37*'Summary Total Pigs'!W50</f>
        <v>#REF!</v>
      </c>
      <c r="J37" s="2179" t="e">
        <f>'Summary Total Pigs'!X50*'IAS 41 Mvmnt Pigs'!F37</f>
        <v>#REF!</v>
      </c>
      <c r="K37" s="2179" t="e">
        <f>'Summary Total Pigs'!AD50*'IAS 41 Mvmnt Pigs'!F37</f>
        <v>#REF!</v>
      </c>
      <c r="L37" s="216" t="e">
        <f t="shared" ref="L37:L42" si="11">E37+G37+H37+J37+K37+I37</f>
        <v>#REF!</v>
      </c>
      <c r="M37" s="2204">
        <v>0</v>
      </c>
      <c r="N37" s="217" t="e">
        <f t="shared" ref="N37:N42" si="12">+L37+M37</f>
        <v>#REF!</v>
      </c>
      <c r="O37" s="159">
        <f>[17]Sheet1!$Q169</f>
        <v>32013467.809999999</v>
      </c>
      <c r="P37" s="160" t="e">
        <f t="shared" ref="P37:P43" si="13">N37-O37</f>
        <v>#REF!</v>
      </c>
      <c r="Q37" s="24"/>
    </row>
    <row r="38" spans="1:17" ht="13.9" thickBot="1">
      <c r="A38" s="2172" t="s">
        <v>107</v>
      </c>
      <c r="B38" s="2173" t="s">
        <v>108</v>
      </c>
      <c r="C38" s="214">
        <f>'[16]IAS 41 Mvmnt Pigs'!$N38</f>
        <v>0</v>
      </c>
      <c r="D38" s="2182"/>
      <c r="E38" s="215">
        <f t="shared" si="10"/>
        <v>0</v>
      </c>
      <c r="F38" s="215"/>
      <c r="G38" s="2179">
        <f>'Summary Total Pigs'!N51*'IAS 41 Mvmnt Pigs'!F38</f>
        <v>0</v>
      </c>
      <c r="H38" s="2179" t="e">
        <f>'Summary Total Pigs'!#REF!*'IAS 41 Mvmnt Pigs'!F38</f>
        <v>#REF!</v>
      </c>
      <c r="I38" s="2179">
        <f>F38*'Summary Total Pigs'!W51</f>
        <v>0</v>
      </c>
      <c r="J38" s="2179">
        <f>'Summary Total Pigs'!X51*'IAS 41 Mvmnt Pigs'!F38</f>
        <v>0</v>
      </c>
      <c r="K38" s="2179">
        <f>'Summary Total Pigs'!AD51*'IAS 41 Mvmnt Pigs'!F38</f>
        <v>0</v>
      </c>
      <c r="L38" s="216" t="e">
        <f t="shared" si="11"/>
        <v>#REF!</v>
      </c>
      <c r="M38" s="2204">
        <v>0</v>
      </c>
      <c r="N38" s="2206" t="e">
        <f t="shared" si="12"/>
        <v>#REF!</v>
      </c>
      <c r="O38" s="159" t="str">
        <f>[17]Sheet1!$Q170</f>
        <v/>
      </c>
      <c r="P38" s="160"/>
      <c r="Q38" s="24"/>
    </row>
    <row r="39" spans="1:17" ht="13.9" thickBot="1">
      <c r="A39" s="2172" t="s">
        <v>109</v>
      </c>
      <c r="B39" s="2173" t="s">
        <v>110</v>
      </c>
      <c r="C39" s="214">
        <f>'[16]IAS 41 Mvmnt Pigs'!$N39</f>
        <v>5.9604644775390627E-18</v>
      </c>
      <c r="D39" s="2182"/>
      <c r="E39" s="215">
        <f t="shared" si="10"/>
        <v>5.9604644775390627E-18</v>
      </c>
      <c r="F39" s="215"/>
      <c r="G39" s="2179">
        <f>'Summary Total Pigs'!N52*'IAS 41 Mvmnt Pigs'!F39</f>
        <v>0</v>
      </c>
      <c r="H39" s="2179" t="e">
        <f>'Summary Total Pigs'!#REF!*'IAS 41 Mvmnt Pigs'!F39</f>
        <v>#REF!</v>
      </c>
      <c r="I39" s="2179">
        <f>F39*'Summary Total Pigs'!W52</f>
        <v>0</v>
      </c>
      <c r="J39" s="2179">
        <f>'Summary Total Pigs'!X52*'IAS 41 Mvmnt Pigs'!F39</f>
        <v>0</v>
      </c>
      <c r="K39" s="2179">
        <f>'Summary Total Pigs'!AD52*'IAS 41 Mvmnt Pigs'!F39</f>
        <v>0</v>
      </c>
      <c r="L39" s="216" t="e">
        <f t="shared" si="11"/>
        <v>#REF!</v>
      </c>
      <c r="M39" s="2204">
        <v>0</v>
      </c>
      <c r="N39" s="2206" t="e">
        <f t="shared" si="12"/>
        <v>#REF!</v>
      </c>
      <c r="O39" s="159" t="str">
        <f>[17]Sheet1!$Q171</f>
        <v/>
      </c>
      <c r="P39" s="160"/>
      <c r="Q39" s="24"/>
    </row>
    <row r="40" spans="1:17" ht="13.9" thickBot="1">
      <c r="A40" s="2172" t="s">
        <v>111</v>
      </c>
      <c r="B40" s="1657" t="s">
        <v>106</v>
      </c>
      <c r="C40" s="214">
        <f>'[16]IAS 41 Mvmnt Pigs'!$N40</f>
        <v>0</v>
      </c>
      <c r="D40" s="2182" t="e">
        <f>F66*'Summary Total Pigs'!D53</f>
        <v>#REF!</v>
      </c>
      <c r="E40" s="215" t="e">
        <f t="shared" si="10"/>
        <v>#REF!</v>
      </c>
      <c r="F40" s="215" t="e">
        <f>$E40/'Summary Total Pigs'!#REF!</f>
        <v>#REF!</v>
      </c>
      <c r="G40" s="2179" t="e">
        <f>'Summary Total Pigs'!N53*'IAS 41 Mvmnt Pigs'!F40</f>
        <v>#REF!</v>
      </c>
      <c r="H40" s="2179" t="e">
        <f>'Summary Total Pigs'!#REF!*'IAS 41 Mvmnt Pigs'!F40</f>
        <v>#REF!</v>
      </c>
      <c r="I40" s="2179" t="e">
        <f>F40*'Summary Total Pigs'!W53</f>
        <v>#REF!</v>
      </c>
      <c r="J40" s="2179" t="e">
        <f>'Summary Total Pigs'!X53*'IAS 41 Mvmnt Pigs'!F40</f>
        <v>#REF!</v>
      </c>
      <c r="K40" s="2179" t="e">
        <f>'Summary Total Pigs'!AD53*'IAS 41 Mvmnt Pigs'!F40</f>
        <v>#REF!</v>
      </c>
      <c r="L40" s="216" t="e">
        <f t="shared" si="11"/>
        <v>#REF!</v>
      </c>
      <c r="M40" s="2204">
        <v>0</v>
      </c>
      <c r="N40" s="2206" t="e">
        <f t="shared" si="12"/>
        <v>#REF!</v>
      </c>
      <c r="O40" s="159" t="str">
        <f>[17]Sheet1!$Q172</f>
        <v/>
      </c>
      <c r="P40" s="160"/>
      <c r="Q40" s="24"/>
    </row>
    <row r="41" spans="1:17" ht="13.9" thickBot="1">
      <c r="A41" s="2172" t="s">
        <v>112</v>
      </c>
      <c r="B41" s="54" t="s">
        <v>106</v>
      </c>
      <c r="C41" s="214">
        <f>'[16]IAS 41 Mvmnt Pigs'!$N41</f>
        <v>396906057.67470962</v>
      </c>
      <c r="D41" s="2182" t="e">
        <f>F40*'Summary Total Pigs'!D54</f>
        <v>#REF!</v>
      </c>
      <c r="E41" s="215" t="e">
        <f t="shared" si="10"/>
        <v>#REF!</v>
      </c>
      <c r="F41" s="215" t="e">
        <f>$E41/'Summary Total Pigs'!#REF!</f>
        <v>#REF!</v>
      </c>
      <c r="G41" s="2179" t="e">
        <f>'Summary Total Pigs'!N54*'IAS 41 Mvmnt Pigs'!F41</f>
        <v>#REF!</v>
      </c>
      <c r="H41" s="2179" t="e">
        <f>'Summary Total Pigs'!#REF!*'IAS 41 Mvmnt Pigs'!F41</f>
        <v>#REF!</v>
      </c>
      <c r="I41" s="2179" t="e">
        <f>F41*'Summary Total Pigs'!W54</f>
        <v>#REF!</v>
      </c>
      <c r="J41" s="2179" t="e">
        <f>'Summary Total Pigs'!X54*'IAS 41 Mvmnt Pigs'!F41</f>
        <v>#REF!</v>
      </c>
      <c r="K41" s="2179" t="e">
        <f>'Summary Total Pigs'!AD54*'IAS 41 Mvmnt Pigs'!F41</f>
        <v>#REF!</v>
      </c>
      <c r="L41" s="216" t="e">
        <f t="shared" si="11"/>
        <v>#REF!</v>
      </c>
      <c r="M41" s="2204">
        <v>0</v>
      </c>
      <c r="N41" s="2206" t="e">
        <f>+L41+M41</f>
        <v>#REF!</v>
      </c>
      <c r="O41" s="159">
        <f>[17]Sheet1!$Q173</f>
        <v>422666787.38999999</v>
      </c>
      <c r="P41" s="160" t="e">
        <f t="shared" si="13"/>
        <v>#REF!</v>
      </c>
      <c r="Q41" s="24"/>
    </row>
    <row r="42" spans="1:17" ht="13.9" thickBot="1">
      <c r="A42" s="2174" t="s">
        <v>113</v>
      </c>
      <c r="B42" s="971"/>
      <c r="C42" s="214">
        <f>'[16]IAS 41 Mvmnt Pigs'!$N42</f>
        <v>6081749.9867221266</v>
      </c>
      <c r="D42" s="2182"/>
      <c r="E42" s="215">
        <f t="shared" si="10"/>
        <v>6081749.9867221266</v>
      </c>
      <c r="F42" s="215" t="e">
        <f>$E42/'Summary Total Pigs'!#REF!</f>
        <v>#REF!</v>
      </c>
      <c r="G42" s="2179" t="e">
        <f>'Summary Total Pigs'!N55*'IAS 41 Mvmnt Pigs'!F42</f>
        <v>#REF!</v>
      </c>
      <c r="H42" s="2179" t="e">
        <f>'Summary Total Pigs'!#REF!*'IAS 41 Mvmnt Pigs'!$F42</f>
        <v>#REF!</v>
      </c>
      <c r="I42" s="2179" t="e">
        <f>F42*'Summary Total Pigs'!W55</f>
        <v>#REF!</v>
      </c>
      <c r="J42" s="2179" t="e">
        <f>'Summary Total Pigs'!X55*'IAS 41 Mvmnt Pigs'!F42</f>
        <v>#REF!</v>
      </c>
      <c r="K42" s="2179" t="e">
        <f>'Summary Total Pigs'!AD55*'IAS 41 Mvmnt Pigs'!F42</f>
        <v>#REF!</v>
      </c>
      <c r="L42" s="216" t="e">
        <f t="shared" si="11"/>
        <v>#REF!</v>
      </c>
      <c r="M42" s="2204">
        <v>0</v>
      </c>
      <c r="N42" s="2206" t="e">
        <f t="shared" si="12"/>
        <v>#REF!</v>
      </c>
      <c r="O42" s="159">
        <f>[17]Sheet1!$Q174</f>
        <v>6081750</v>
      </c>
      <c r="P42" s="160" t="e">
        <f t="shared" si="13"/>
        <v>#REF!</v>
      </c>
      <c r="Q42" s="24"/>
    </row>
    <row r="43" spans="1:17" ht="13.9" thickBot="1">
      <c r="A43" s="3" t="s">
        <v>115</v>
      </c>
      <c r="B43" s="55"/>
      <c r="C43" s="200">
        <f>SUM(C37:C42)</f>
        <v>419916395.3500663</v>
      </c>
      <c r="D43" s="201" t="e">
        <f>SUM(D37:D41)</f>
        <v>#REF!</v>
      </c>
      <c r="E43" s="201" t="e">
        <f t="shared" ref="E43:N43" si="14">SUM(E37:E42)</f>
        <v>#REF!</v>
      </c>
      <c r="F43" s="201" t="e">
        <f t="shared" si="14"/>
        <v>#REF!</v>
      </c>
      <c r="G43" s="201" t="e">
        <f t="shared" si="14"/>
        <v>#REF!</v>
      </c>
      <c r="H43" s="201" t="e">
        <f t="shared" si="14"/>
        <v>#REF!</v>
      </c>
      <c r="I43" s="201" t="e">
        <f t="shared" si="14"/>
        <v>#REF!</v>
      </c>
      <c r="J43" s="201" t="e">
        <f t="shared" si="14"/>
        <v>#REF!</v>
      </c>
      <c r="K43" s="201" t="e">
        <f t="shared" si="14"/>
        <v>#REF!</v>
      </c>
      <c r="L43" s="201" t="e">
        <f>SUM(L37:L42)</f>
        <v>#REF!</v>
      </c>
      <c r="M43" s="201">
        <f>SUM(M37:M42)</f>
        <v>0</v>
      </c>
      <c r="N43" s="218" t="e">
        <f t="shared" si="14"/>
        <v>#REF!</v>
      </c>
      <c r="O43" s="161">
        <f>SUM(O37:O42)</f>
        <v>460762005.19999999</v>
      </c>
      <c r="P43" s="160" t="e">
        <f t="shared" si="13"/>
        <v>#REF!</v>
      </c>
      <c r="Q43" s="24">
        <f>[17]Sheet1!$Q$16</f>
        <v>-460594704.31999999</v>
      </c>
    </row>
    <row r="44" spans="1:17">
      <c r="A44" s="1"/>
      <c r="B44" s="1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Q44" s="24">
        <f>M43+Q43</f>
        <v>-460594704.31999999</v>
      </c>
    </row>
    <row r="45" spans="1:17" ht="12.75" hidden="1" customHeight="1">
      <c r="A45" s="1"/>
      <c r="B45" s="1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Q45" s="24"/>
    </row>
    <row r="46" spans="1:17">
      <c r="A46" s="1"/>
      <c r="B46" s="1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Q46" s="24"/>
    </row>
    <row r="47" spans="1:17">
      <c r="A47" s="300"/>
      <c r="B47" s="300"/>
      <c r="G47" s="205"/>
      <c r="H47" s="205"/>
      <c r="I47" s="205"/>
      <c r="J47" s="205"/>
      <c r="K47" s="205"/>
      <c r="M47" s="205"/>
      <c r="Q47" s="24"/>
    </row>
    <row r="48" spans="1:17">
      <c r="G48" s="205"/>
      <c r="H48" s="205"/>
      <c r="I48" s="205"/>
      <c r="J48" s="205"/>
      <c r="K48" s="205"/>
      <c r="M48" s="205"/>
      <c r="Q48" s="24"/>
    </row>
    <row r="49" spans="1:18">
      <c r="A49" s="1" t="s">
        <v>86</v>
      </c>
      <c r="B49" s="17" t="s">
        <v>118</v>
      </c>
      <c r="G49" s="205"/>
      <c r="H49" s="205"/>
      <c r="I49" s="205"/>
      <c r="J49" s="205"/>
      <c r="K49" s="205"/>
      <c r="M49" s="205"/>
      <c r="Q49" s="24"/>
    </row>
    <row r="50" spans="1:18" ht="13.9" thickBot="1">
      <c r="G50" s="205"/>
      <c r="H50" s="205"/>
      <c r="I50" s="205"/>
      <c r="J50" s="205"/>
      <c r="K50" s="205"/>
      <c r="M50" s="205"/>
      <c r="Q50" s="24"/>
    </row>
    <row r="51" spans="1:18" s="14" customFormat="1" ht="27" thickBot="1">
      <c r="A51" s="12" t="s">
        <v>87</v>
      </c>
      <c r="B51" s="52" t="s">
        <v>88</v>
      </c>
      <c r="C51" s="190" t="s">
        <v>89</v>
      </c>
      <c r="D51" s="192" t="s">
        <v>91</v>
      </c>
      <c r="E51" s="192" t="s">
        <v>99</v>
      </c>
      <c r="F51" s="192" t="s">
        <v>100</v>
      </c>
      <c r="G51" s="192" t="s">
        <v>101</v>
      </c>
      <c r="H51" s="192" t="s">
        <v>102</v>
      </c>
      <c r="I51" s="192" t="e">
        <f>I36</f>
        <v>#REF!</v>
      </c>
      <c r="J51" s="192" t="str">
        <f>+J36</f>
        <v>CULLS</v>
      </c>
      <c r="K51" s="192" t="str">
        <f>+K36</f>
        <v>STOCK ADJMNT</v>
      </c>
      <c r="L51" s="212" t="s">
        <v>163</v>
      </c>
      <c r="M51" s="192" t="str">
        <f>+M36</f>
        <v>CURRENT ADJMNT</v>
      </c>
      <c r="N51" s="213" t="str">
        <f>+N36</f>
        <v>CLOSING BAL</v>
      </c>
      <c r="O51" s="158" t="s">
        <v>165</v>
      </c>
      <c r="Q51" s="24"/>
    </row>
    <row r="52" spans="1:18" ht="13.9" thickBot="1">
      <c r="A52" s="2171" t="s">
        <v>105</v>
      </c>
      <c r="B52" s="54" t="s">
        <v>106</v>
      </c>
      <c r="C52" s="214">
        <f>'[16]IAS 41 Mvmnt Pigs'!$N52</f>
        <v>14314484.209072195</v>
      </c>
      <c r="D52" s="2178" t="e">
        <f>'Summary Total Pigs'!D89*F37</f>
        <v>#REF!</v>
      </c>
      <c r="E52" s="215" t="e">
        <f t="shared" ref="E52:E57" si="15">SUM(C52:D52)</f>
        <v>#REF!</v>
      </c>
      <c r="F52" s="215" t="e">
        <f>$E52/'Summary Total Pigs'!$M89</f>
        <v>#REF!</v>
      </c>
      <c r="G52" s="2179" t="e">
        <f>'Summary Total Pigs'!N89*'IAS 41 Mvmnt Pigs'!F52</f>
        <v>#REF!</v>
      </c>
      <c r="H52" s="2179" t="e">
        <f>'Summary Total Pigs'!#REF!*'IAS 41 Mvmnt Pigs'!F52</f>
        <v>#REF!</v>
      </c>
      <c r="I52" s="2179" t="e">
        <f>F52*'Summary Total Pigs'!#REF!</f>
        <v>#REF!</v>
      </c>
      <c r="J52" s="2179" t="e">
        <f>'Summary Total Pigs'!Z89*'IAS 41 Mvmnt Pigs'!F52</f>
        <v>#REF!</v>
      </c>
      <c r="K52" s="2179" t="e">
        <f>'Summary Total Pigs'!#REF!*'IAS 41 Mvmnt Pigs'!F52</f>
        <v>#REF!</v>
      </c>
      <c r="L52" s="216" t="e">
        <f t="shared" ref="L52:L57" si="16">E52+G52+H52+J52+K52+I52</f>
        <v>#REF!</v>
      </c>
      <c r="M52" s="2204">
        <v>0</v>
      </c>
      <c r="N52" s="217" t="e">
        <f t="shared" ref="N52:N57" si="17">+L52+M52</f>
        <v>#REF!</v>
      </c>
      <c r="O52" s="159">
        <f>[17]Sheet1!$M169</f>
        <v>30151785.899999999</v>
      </c>
      <c r="P52" s="160" t="e">
        <f t="shared" ref="P52:P57" si="18">N52-O52</f>
        <v>#REF!</v>
      </c>
      <c r="Q52" s="24"/>
    </row>
    <row r="53" spans="1:18" ht="13.9" thickBot="1">
      <c r="A53" s="2172" t="s">
        <v>107</v>
      </c>
      <c r="B53" s="2173" t="s">
        <v>108</v>
      </c>
      <c r="C53" s="214">
        <f>'[16]IAS 41 Mvmnt Pigs'!$N53</f>
        <v>181332081.69535086</v>
      </c>
      <c r="D53" s="2178" t="e">
        <f>'Summary Total Pigs'!D90*F52</f>
        <v>#REF!</v>
      </c>
      <c r="E53" s="215" t="e">
        <f t="shared" si="15"/>
        <v>#REF!</v>
      </c>
      <c r="F53" s="215" t="e">
        <f>$E53/'Summary Total Pigs'!$M90</f>
        <v>#REF!</v>
      </c>
      <c r="G53" s="2179" t="e">
        <f>'Summary Total Pigs'!N90*'IAS 41 Mvmnt Pigs'!F53</f>
        <v>#REF!</v>
      </c>
      <c r="H53" s="2179" t="e">
        <f>'Summary Total Pigs'!#REF!*'IAS 41 Mvmnt Pigs'!F53</f>
        <v>#REF!</v>
      </c>
      <c r="I53" s="2179" t="e">
        <f>F53*'Summary Total Pigs'!#REF!</f>
        <v>#REF!</v>
      </c>
      <c r="J53" s="2179" t="e">
        <f>'Summary Total Pigs'!Z90*'IAS 41 Mvmnt Pigs'!F53</f>
        <v>#REF!</v>
      </c>
      <c r="K53" s="2179" t="e">
        <f>'Summary Total Pigs'!#REF!*'IAS 41 Mvmnt Pigs'!F53</f>
        <v>#REF!</v>
      </c>
      <c r="L53" s="216" t="e">
        <f t="shared" si="16"/>
        <v>#REF!</v>
      </c>
      <c r="M53" s="2204">
        <v>0</v>
      </c>
      <c r="N53" s="2206" t="e">
        <f t="shared" si="17"/>
        <v>#REF!</v>
      </c>
      <c r="O53" s="159">
        <f>[17]Sheet1!$M170</f>
        <v>312581969.39999998</v>
      </c>
      <c r="P53" s="160" t="e">
        <f t="shared" si="18"/>
        <v>#REF!</v>
      </c>
      <c r="Q53" s="24"/>
    </row>
    <row r="54" spans="1:18" ht="13.9" thickBot="1">
      <c r="A54" s="2172" t="s">
        <v>109</v>
      </c>
      <c r="B54" s="2173" t="s">
        <v>110</v>
      </c>
      <c r="C54" s="214">
        <f>'[16]IAS 41 Mvmnt Pigs'!$N54</f>
        <v>374818253.77489108</v>
      </c>
      <c r="D54" s="2188" t="e">
        <f>'Summary Total Pigs'!D91*F77</f>
        <v>#REF!</v>
      </c>
      <c r="E54" s="215" t="e">
        <f t="shared" si="15"/>
        <v>#REF!</v>
      </c>
      <c r="F54" s="215" t="e">
        <f>$E54/'Summary Total Pigs'!$M91</f>
        <v>#REF!</v>
      </c>
      <c r="G54" s="2179" t="e">
        <f>'Summary Total Pigs'!N94*'IAS 41 Mvmnt Pigs'!F54</f>
        <v>#REF!</v>
      </c>
      <c r="H54" s="2179" t="e">
        <f>'Summary Total Pigs'!#REF!*'IAS 41 Mvmnt Pigs'!F54</f>
        <v>#REF!</v>
      </c>
      <c r="I54" s="2179" t="e">
        <f>F54*'Summary Total Pigs'!#REF!</f>
        <v>#REF!</v>
      </c>
      <c r="J54" s="2179" t="e">
        <f>'Summary Total Pigs'!Z91*'IAS 41 Mvmnt Pigs'!F54</f>
        <v>#REF!</v>
      </c>
      <c r="K54" s="2179" t="e">
        <f>'Summary Total Pigs'!#REF!*'IAS 41 Mvmnt Pigs'!F54</f>
        <v>#REF!</v>
      </c>
      <c r="L54" s="216" t="e">
        <f t="shared" si="16"/>
        <v>#REF!</v>
      </c>
      <c r="M54" s="2204">
        <v>0</v>
      </c>
      <c r="N54" s="2206" t="e">
        <f t="shared" si="17"/>
        <v>#REF!</v>
      </c>
      <c r="O54" s="159">
        <f>[17]Sheet1!$M171</f>
        <v>298631872.44999999</v>
      </c>
      <c r="P54" s="160" t="e">
        <f>N54-O54</f>
        <v>#REF!</v>
      </c>
      <c r="Q54" s="24"/>
    </row>
    <row r="55" spans="1:18" ht="13.9" thickBot="1">
      <c r="A55" s="2172" t="s">
        <v>111</v>
      </c>
      <c r="B55" s="1657" t="s">
        <v>106</v>
      </c>
      <c r="C55" s="214">
        <f>'[16]IAS 41 Mvmnt Pigs'!$N55</f>
        <v>4052510.6523161307</v>
      </c>
      <c r="D55" s="2178" t="e">
        <f>10*F15+15*F54</f>
        <v>#REF!</v>
      </c>
      <c r="E55" s="215" t="e">
        <f t="shared" si="15"/>
        <v>#REF!</v>
      </c>
      <c r="F55" s="215" t="e">
        <f>$E55/'Summary Total Pigs'!$M92</f>
        <v>#REF!</v>
      </c>
      <c r="G55" s="2179" t="e">
        <f>'Summary Total Pigs'!N92*'IAS 41 Mvmnt Pigs'!F55</f>
        <v>#REF!</v>
      </c>
      <c r="H55" s="2179" t="e">
        <f>'Summary Total Pigs'!#REF!*'IAS 41 Mvmnt Pigs'!F55</f>
        <v>#REF!</v>
      </c>
      <c r="I55" s="2179" t="e">
        <f>F55*'Summary Total Pigs'!#REF!</f>
        <v>#REF!</v>
      </c>
      <c r="J55" s="2179" t="e">
        <f>'Summary Total Pigs'!Z92*'IAS 41 Mvmnt Pigs'!F55</f>
        <v>#REF!</v>
      </c>
      <c r="K55" s="2179" t="e">
        <f>'Summary Total Pigs'!#REF!*'IAS 41 Mvmnt Pigs'!F55</f>
        <v>#REF!</v>
      </c>
      <c r="L55" s="216" t="e">
        <f t="shared" si="16"/>
        <v>#REF!</v>
      </c>
      <c r="M55" s="2204">
        <v>0</v>
      </c>
      <c r="N55" s="2206" t="e">
        <f t="shared" si="17"/>
        <v>#REF!</v>
      </c>
      <c r="O55" s="159">
        <f>[17]Sheet1!$M172</f>
        <v>12816047.060000001</v>
      </c>
      <c r="P55" s="160" t="e">
        <f>N55-O55</f>
        <v>#REF!</v>
      </c>
      <c r="Q55" s="24"/>
    </row>
    <row r="56" spans="1:18" ht="13.9" thickBot="1">
      <c r="A56" s="2172" t="s">
        <v>112</v>
      </c>
      <c r="B56" s="54" t="s">
        <v>106</v>
      </c>
      <c r="C56" s="214">
        <f>'[16]IAS 41 Mvmnt Pigs'!$N56</f>
        <v>436694122.60970402</v>
      </c>
      <c r="D56" s="2178" t="e">
        <f>F55*'Summary Total Pigs'!D93</f>
        <v>#REF!</v>
      </c>
      <c r="E56" s="215" t="e">
        <f t="shared" si="15"/>
        <v>#REF!</v>
      </c>
      <c r="F56" s="215" t="e">
        <f>$E56/'Summary Total Pigs'!$M93</f>
        <v>#REF!</v>
      </c>
      <c r="G56" s="2179" t="e">
        <f>'Summary Total Pigs'!N93*'IAS 41 Mvmnt Pigs'!F56</f>
        <v>#REF!</v>
      </c>
      <c r="H56" s="2179" t="e">
        <f>'Summary Total Pigs'!#REF!*'IAS 41 Mvmnt Pigs'!F56</f>
        <v>#REF!</v>
      </c>
      <c r="I56" s="2179" t="e">
        <f>F56*'Summary Total Pigs'!#REF!</f>
        <v>#REF!</v>
      </c>
      <c r="J56" s="2179" t="e">
        <f>'Summary Total Pigs'!Z93*'IAS 41 Mvmnt Pigs'!F56</f>
        <v>#REF!</v>
      </c>
      <c r="K56" s="2179" t="e">
        <f>'Summary Total Pigs'!#REF!*'IAS 41 Mvmnt Pigs'!F56</f>
        <v>#REF!</v>
      </c>
      <c r="L56" s="216" t="e">
        <f t="shared" si="16"/>
        <v>#REF!</v>
      </c>
      <c r="M56" s="2204">
        <v>0</v>
      </c>
      <c r="N56" s="2206" t="e">
        <f t="shared" si="17"/>
        <v>#REF!</v>
      </c>
      <c r="O56" s="159">
        <f>[17]Sheet1!$M173</f>
        <v>479424251.37000006</v>
      </c>
      <c r="P56" s="160" t="e">
        <f>N56-O56</f>
        <v>#REF!</v>
      </c>
      <c r="Q56" s="24"/>
      <c r="R56" s="263"/>
    </row>
    <row r="57" spans="1:18" ht="13.9" thickBot="1">
      <c r="A57" s="2174" t="s">
        <v>113</v>
      </c>
      <c r="B57" s="971"/>
      <c r="C57" s="214">
        <f>'[16]IAS 41 Mvmnt Pigs'!$N57</f>
        <v>6081749.9252945744</v>
      </c>
      <c r="D57" s="2178" t="e">
        <f>'Summary Total Pigs'!D94*F56</f>
        <v>#REF!</v>
      </c>
      <c r="E57" s="215" t="e">
        <f t="shared" si="15"/>
        <v>#REF!</v>
      </c>
      <c r="F57" s="215" t="e">
        <f>$E57/'Summary Total Pigs'!$M94</f>
        <v>#REF!</v>
      </c>
      <c r="G57" s="2179" t="e">
        <f>'Summary Total Pigs'!#REF!*'IAS 41 Mvmnt Pigs'!F57</f>
        <v>#REF!</v>
      </c>
      <c r="H57" s="2179" t="e">
        <f>'Summary Total Pigs'!#REF!*'IAS 41 Mvmnt Pigs'!F57</f>
        <v>#REF!</v>
      </c>
      <c r="I57" s="2179" t="e">
        <f>F57*'Summary Total Pigs'!#REF!</f>
        <v>#REF!</v>
      </c>
      <c r="J57" s="2179" t="e">
        <f>'Summary Total Pigs'!Z94*'IAS 41 Mvmnt Pigs'!F57</f>
        <v>#REF!</v>
      </c>
      <c r="K57" s="2179" t="e">
        <f>'Summary Total Pigs'!#REF!*'IAS 41 Mvmnt Pigs'!F57</f>
        <v>#REF!</v>
      </c>
      <c r="L57" s="216" t="e">
        <f t="shared" si="16"/>
        <v>#REF!</v>
      </c>
      <c r="M57" s="2204">
        <v>0</v>
      </c>
      <c r="N57" s="2206" t="e">
        <f t="shared" si="17"/>
        <v>#REF!</v>
      </c>
      <c r="O57" s="159">
        <f>[17]Sheet1!$M174</f>
        <v>6081749.9199999999</v>
      </c>
      <c r="P57" s="160" t="e">
        <f t="shared" si="18"/>
        <v>#REF!</v>
      </c>
      <c r="Q57" s="24"/>
      <c r="R57" s="263"/>
    </row>
    <row r="58" spans="1:18" ht="13.9" thickBot="1">
      <c r="A58" s="3" t="s">
        <v>115</v>
      </c>
      <c r="B58" s="55"/>
      <c r="C58" s="200">
        <f>SUM(C52:C57)</f>
        <v>1017293202.8666288</v>
      </c>
      <c r="D58" s="201" t="e">
        <f>SUM(D52:D56)</f>
        <v>#REF!</v>
      </c>
      <c r="E58" s="201" t="e">
        <f t="shared" ref="E58:J58" si="19">SUM(E52:E57)</f>
        <v>#REF!</v>
      </c>
      <c r="F58" s="201" t="e">
        <f t="shared" si="19"/>
        <v>#REF!</v>
      </c>
      <c r="G58" s="201" t="e">
        <f>SUM(G52:G57)</f>
        <v>#REF!</v>
      </c>
      <c r="H58" s="201" t="e">
        <f t="shared" si="19"/>
        <v>#REF!</v>
      </c>
      <c r="I58" s="201" t="e">
        <f t="shared" si="19"/>
        <v>#REF!</v>
      </c>
      <c r="J58" s="201" t="e">
        <f t="shared" si="19"/>
        <v>#REF!</v>
      </c>
      <c r="K58" s="201" t="e">
        <f>SUM(K52:K57)</f>
        <v>#REF!</v>
      </c>
      <c r="L58" s="201" t="e">
        <f>SUM(L52:L57)</f>
        <v>#REF!</v>
      </c>
      <c r="M58" s="201">
        <f>SUM(M52:M57)</f>
        <v>0</v>
      </c>
      <c r="N58" s="218" t="e">
        <f>SUM(N52:N57)</f>
        <v>#REF!</v>
      </c>
      <c r="O58" s="161">
        <f>SUM(O52:O57)</f>
        <v>1139687676.1000001</v>
      </c>
      <c r="P58" s="160" t="e">
        <f>N58-O58</f>
        <v>#REF!</v>
      </c>
      <c r="Q58" s="24">
        <f>[17]Sheet1!$M$16</f>
        <v>-1139447575.73</v>
      </c>
    </row>
    <row r="59" spans="1:18">
      <c r="A59" s="1"/>
      <c r="B59" s="1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Q59" s="24">
        <f>M58+Q58</f>
        <v>-1139447575.73</v>
      </c>
    </row>
    <row r="60" spans="1:18">
      <c r="A60" s="1" t="s">
        <v>86</v>
      </c>
      <c r="B60" s="17" t="s">
        <v>119</v>
      </c>
      <c r="G60" s="205"/>
      <c r="H60" s="205"/>
      <c r="I60" s="205"/>
      <c r="J60" s="205"/>
      <c r="K60" s="205"/>
      <c r="M60" s="205"/>
      <c r="Q60" s="24"/>
    </row>
    <row r="61" spans="1:18" ht="13.9" thickBot="1">
      <c r="G61" s="205"/>
      <c r="H61" s="205"/>
      <c r="I61" s="205"/>
      <c r="J61" s="205"/>
      <c r="K61" s="205"/>
      <c r="M61" s="205"/>
      <c r="Q61" s="24"/>
    </row>
    <row r="62" spans="1:18" s="14" customFormat="1" ht="27" thickBot="1">
      <c r="A62" s="12" t="s">
        <v>87</v>
      </c>
      <c r="B62" s="52" t="s">
        <v>88</v>
      </c>
      <c r="C62" s="190" t="s">
        <v>89</v>
      </c>
      <c r="D62" s="192" t="s">
        <v>91</v>
      </c>
      <c r="E62" s="192" t="s">
        <v>99</v>
      </c>
      <c r="F62" s="192" t="s">
        <v>100</v>
      </c>
      <c r="G62" s="192" t="s">
        <v>101</v>
      </c>
      <c r="H62" s="192" t="s">
        <v>102</v>
      </c>
      <c r="I62" s="192" t="e">
        <f>I51</f>
        <v>#REF!</v>
      </c>
      <c r="J62" s="192" t="str">
        <f>+J51</f>
        <v>CULLS</v>
      </c>
      <c r="K62" s="192" t="str">
        <f>+K51</f>
        <v>STOCK ADJMNT</v>
      </c>
      <c r="L62" s="212" t="s">
        <v>163</v>
      </c>
      <c r="M62" s="192" t="str">
        <f>+M51</f>
        <v>CURRENT ADJMNT</v>
      </c>
      <c r="N62" s="213" t="str">
        <f>+N51</f>
        <v>CLOSING BAL</v>
      </c>
      <c r="O62" s="158" t="s">
        <v>165</v>
      </c>
      <c r="Q62" s="24"/>
    </row>
    <row r="63" spans="1:18">
      <c r="A63" s="2171" t="s">
        <v>105</v>
      </c>
      <c r="B63" s="54" t="s">
        <v>106</v>
      </c>
      <c r="C63" s="214">
        <f>'[16]IAS 41 Mvmnt Pigs'!$N63</f>
        <v>0</v>
      </c>
      <c r="D63" s="2178"/>
      <c r="E63" s="215">
        <f t="shared" ref="E63:E68" si="20">SUM(C63:D63)</f>
        <v>0</v>
      </c>
      <c r="F63" s="215"/>
      <c r="G63" s="2179">
        <f>'Summary Total Pigs'!Q127*'IAS 41 Mvmnt Pigs'!F63</f>
        <v>0</v>
      </c>
      <c r="H63" s="2179">
        <f>'Summary Total Pigs'!Z127*'IAS 41 Mvmnt Pigs'!F63</f>
        <v>0</v>
      </c>
      <c r="I63" s="2179">
        <f>F63*'Summary Total Pigs'!AB127</f>
        <v>0</v>
      </c>
      <c r="J63" s="2179">
        <f>'Summary Total Pigs'!AD127*'IAS 41 Mvmnt Pigs'!F63</f>
        <v>0</v>
      </c>
      <c r="K63" s="2179">
        <f>'Summary Total Pigs'!AG127*'IAS 41 Mvmnt Pigs'!F63</f>
        <v>0</v>
      </c>
      <c r="L63" s="216">
        <f t="shared" ref="L63:L68" si="21">E63+G63+H63+J63+K63+I63</f>
        <v>0</v>
      </c>
      <c r="M63" s="2204">
        <v>0</v>
      </c>
      <c r="N63" s="217">
        <f t="shared" ref="N63:N68" si="22">+L63+M63</f>
        <v>0</v>
      </c>
      <c r="O63" s="159">
        <v>0</v>
      </c>
      <c r="P63" s="160">
        <f t="shared" ref="P63:P69" si="23">N63-O63</f>
        <v>0</v>
      </c>
      <c r="Q63" s="24"/>
    </row>
    <row r="64" spans="1:18">
      <c r="A64" s="2172" t="s">
        <v>107</v>
      </c>
      <c r="B64" s="2173" t="s">
        <v>108</v>
      </c>
      <c r="C64" s="214">
        <f>'[16]IAS 41 Mvmnt Pigs'!$N64</f>
        <v>0</v>
      </c>
      <c r="D64" s="2182">
        <v>0</v>
      </c>
      <c r="E64" s="215">
        <f t="shared" si="20"/>
        <v>0</v>
      </c>
      <c r="F64" s="215"/>
      <c r="G64" s="2179">
        <f>'Summary Total Pigs'!Q128*'IAS 41 Mvmnt Pigs'!F64</f>
        <v>0</v>
      </c>
      <c r="H64" s="2179">
        <f>'Summary Total Pigs'!Z128*'IAS 41 Mvmnt Pigs'!F64</f>
        <v>0</v>
      </c>
      <c r="I64" s="2179">
        <f>F64*'Summary Total Pigs'!AB128</f>
        <v>0</v>
      </c>
      <c r="J64" s="2179">
        <f>'Summary Total Pigs'!AD128*'IAS 41 Mvmnt Pigs'!F64</f>
        <v>0</v>
      </c>
      <c r="K64" s="2179">
        <f>'Summary Total Pigs'!AG128*'IAS 41 Mvmnt Pigs'!F64</f>
        <v>0</v>
      </c>
      <c r="L64" s="216">
        <f t="shared" si="21"/>
        <v>0</v>
      </c>
      <c r="M64" s="2204">
        <v>0</v>
      </c>
      <c r="N64" s="2206">
        <f t="shared" si="22"/>
        <v>0</v>
      </c>
      <c r="O64" s="2207">
        <v>0</v>
      </c>
      <c r="P64" s="160">
        <f t="shared" si="23"/>
        <v>0</v>
      </c>
      <c r="Q64" s="24"/>
    </row>
    <row r="65" spans="1:17">
      <c r="A65" s="2172" t="s">
        <v>109</v>
      </c>
      <c r="B65" s="2173" t="s">
        <v>110</v>
      </c>
      <c r="C65" s="214">
        <f>'[16]IAS 41 Mvmnt Pigs'!$N65</f>
        <v>0</v>
      </c>
      <c r="D65" s="2182">
        <v>0</v>
      </c>
      <c r="E65" s="215">
        <f t="shared" si="20"/>
        <v>0</v>
      </c>
      <c r="F65" s="215"/>
      <c r="G65" s="2179">
        <f>'Summary Total Pigs'!Q129*'IAS 41 Mvmnt Pigs'!F65</f>
        <v>0</v>
      </c>
      <c r="H65" s="2179">
        <f>'Summary Total Pigs'!Z129*'IAS 41 Mvmnt Pigs'!F65</f>
        <v>0</v>
      </c>
      <c r="I65" s="2179">
        <f>F65*'Summary Total Pigs'!AB129</f>
        <v>0</v>
      </c>
      <c r="J65" s="2179">
        <f>'Summary Total Pigs'!AD129*'IAS 41 Mvmnt Pigs'!F65</f>
        <v>0</v>
      </c>
      <c r="K65" s="2179">
        <f>'Summary Total Pigs'!AG129*'IAS 41 Mvmnt Pigs'!F65</f>
        <v>0</v>
      </c>
      <c r="L65" s="216">
        <f t="shared" si="21"/>
        <v>0</v>
      </c>
      <c r="M65" s="2204">
        <v>0</v>
      </c>
      <c r="N65" s="2206">
        <f t="shared" si="22"/>
        <v>0</v>
      </c>
      <c r="O65" s="2207">
        <v>0</v>
      </c>
      <c r="P65" s="160">
        <f t="shared" si="23"/>
        <v>0</v>
      </c>
      <c r="Q65" s="24"/>
    </row>
    <row r="66" spans="1:17">
      <c r="A66" s="2172" t="s">
        <v>111</v>
      </c>
      <c r="B66" s="1657" t="s">
        <v>106</v>
      </c>
      <c r="C66" s="214">
        <f>'[16]IAS 41 Mvmnt Pigs'!$N66</f>
        <v>184571657.85144788</v>
      </c>
      <c r="D66" s="2182" t="e">
        <f>'Summary Total Pigs'!D130*'IAS 41 Mvmnt Pigs'!F15</f>
        <v>#REF!</v>
      </c>
      <c r="E66" s="215" t="e">
        <f t="shared" si="20"/>
        <v>#REF!</v>
      </c>
      <c r="F66" s="215" t="e">
        <f>+E66/'Summary Total Pigs'!P130</f>
        <v>#REF!</v>
      </c>
      <c r="G66" s="2179" t="e">
        <f>'Summary Total Pigs'!Q130*'IAS 41 Mvmnt Pigs'!F66</f>
        <v>#REF!</v>
      </c>
      <c r="H66" s="2179" t="e">
        <f>'Summary Total Pigs'!Z130*'IAS 41 Mvmnt Pigs'!F66</f>
        <v>#REF!</v>
      </c>
      <c r="I66" s="2179" t="e">
        <f>F66*'Summary Total Pigs'!AB130</f>
        <v>#REF!</v>
      </c>
      <c r="J66" s="2179" t="e">
        <f>'Summary Total Pigs'!AD130*'IAS 41 Mvmnt Pigs'!F66</f>
        <v>#REF!</v>
      </c>
      <c r="K66" s="2179" t="e">
        <f>'Summary Total Pigs'!AG130*'IAS 41 Mvmnt Pigs'!F66</f>
        <v>#REF!</v>
      </c>
      <c r="L66" s="216" t="e">
        <f t="shared" si="21"/>
        <v>#REF!</v>
      </c>
      <c r="M66" s="2204">
        <v>0</v>
      </c>
      <c r="N66" s="2206" t="e">
        <f t="shared" si="22"/>
        <v>#REF!</v>
      </c>
      <c r="O66" s="2207">
        <f>[17]Sheet1!$L$172</f>
        <v>184571657.84</v>
      </c>
      <c r="P66" s="160" t="e">
        <f t="shared" si="23"/>
        <v>#REF!</v>
      </c>
      <c r="Q66" s="24"/>
    </row>
    <row r="67" spans="1:17">
      <c r="A67" s="2172" t="s">
        <v>112</v>
      </c>
      <c r="B67" s="54" t="s">
        <v>106</v>
      </c>
      <c r="C67" s="214">
        <f>'[16]IAS 41 Mvmnt Pigs'!$N67</f>
        <v>0</v>
      </c>
      <c r="D67" s="2182">
        <v>0</v>
      </c>
      <c r="E67" s="215">
        <f t="shared" si="20"/>
        <v>0</v>
      </c>
      <c r="F67" s="215"/>
      <c r="G67" s="2179">
        <f>'Summary Total Pigs'!Q131*'IAS 41 Mvmnt Pigs'!F67</f>
        <v>0</v>
      </c>
      <c r="H67" s="2179">
        <f>'Summary Total Pigs'!Z131*'IAS 41 Mvmnt Pigs'!F67</f>
        <v>0</v>
      </c>
      <c r="I67" s="2179">
        <f>F67*'Summary Total Pigs'!AB131</f>
        <v>0</v>
      </c>
      <c r="J67" s="2179">
        <f>'Summary Total Pigs'!AD131*'IAS 41 Mvmnt Pigs'!F67</f>
        <v>0</v>
      </c>
      <c r="K67" s="2179">
        <f>'Summary Total Pigs'!AG131*'IAS 41 Mvmnt Pigs'!F67</f>
        <v>0</v>
      </c>
      <c r="L67" s="216">
        <f t="shared" si="21"/>
        <v>0</v>
      </c>
      <c r="M67" s="2204">
        <v>0</v>
      </c>
      <c r="N67" s="2206">
        <f t="shared" si="22"/>
        <v>0</v>
      </c>
      <c r="O67" s="2207">
        <v>0</v>
      </c>
      <c r="P67" s="160">
        <f t="shared" si="23"/>
        <v>0</v>
      </c>
      <c r="Q67" s="24"/>
    </row>
    <row r="68" spans="1:17" ht="13.9" thickBot="1">
      <c r="A68" s="2174" t="s">
        <v>113</v>
      </c>
      <c r="B68" s="971"/>
      <c r="C68" s="214">
        <f>'[16]IAS 41 Mvmnt Pigs'!$N68</f>
        <v>2027249.8715121646</v>
      </c>
      <c r="D68" s="2186" t="e">
        <f>'Summary Total Pigs'!D132*F18</f>
        <v>#REF!</v>
      </c>
      <c r="E68" s="215" t="e">
        <f t="shared" si="20"/>
        <v>#REF!</v>
      </c>
      <c r="F68" s="215">
        <v>0</v>
      </c>
      <c r="G68" s="2179">
        <f>'Summary Total Pigs'!Q132*'IAS 41 Mvmnt Pigs'!F68</f>
        <v>0</v>
      </c>
      <c r="H68" s="2179">
        <f>'Summary Total Pigs'!Z132*'IAS 41 Mvmnt Pigs'!F68</f>
        <v>0</v>
      </c>
      <c r="I68" s="2179">
        <f>F68*'Summary Total Pigs'!AB132</f>
        <v>0</v>
      </c>
      <c r="J68" s="2179">
        <f>'Summary Total Pigs'!AD132*'IAS 41 Mvmnt Pigs'!F68</f>
        <v>0</v>
      </c>
      <c r="K68" s="2179">
        <f>'Summary Total Pigs'!AG132*'IAS 41 Mvmnt Pigs'!F68</f>
        <v>0</v>
      </c>
      <c r="L68" s="216" t="e">
        <f t="shared" si="21"/>
        <v>#REF!</v>
      </c>
      <c r="M68" s="2204">
        <v>0</v>
      </c>
      <c r="N68" s="2206" t="e">
        <f t="shared" si="22"/>
        <v>#REF!</v>
      </c>
      <c r="O68" s="2207">
        <f>[17]Sheet1!$L$174</f>
        <v>2027249.87</v>
      </c>
      <c r="P68" s="160" t="e">
        <f t="shared" si="23"/>
        <v>#REF!</v>
      </c>
      <c r="Q68" s="24"/>
    </row>
    <row r="69" spans="1:17" ht="13.9" thickBot="1">
      <c r="A69" s="3" t="s">
        <v>115</v>
      </c>
      <c r="B69" s="55"/>
      <c r="C69" s="200">
        <f>SUM(C63:C68)</f>
        <v>186598907.72296005</v>
      </c>
      <c r="D69" s="201" t="e">
        <f>SUM(D63:D67)</f>
        <v>#REF!</v>
      </c>
      <c r="E69" s="201" t="e">
        <f t="shared" ref="E69:L69" si="24">SUM(E63:E68)</f>
        <v>#REF!</v>
      </c>
      <c r="F69" s="201" t="e">
        <f t="shared" si="24"/>
        <v>#REF!</v>
      </c>
      <c r="G69" s="201" t="e">
        <f t="shared" si="24"/>
        <v>#REF!</v>
      </c>
      <c r="H69" s="201" t="e">
        <f t="shared" si="24"/>
        <v>#REF!</v>
      </c>
      <c r="I69" s="201" t="e">
        <f t="shared" si="24"/>
        <v>#REF!</v>
      </c>
      <c r="J69" s="201" t="e">
        <f t="shared" si="24"/>
        <v>#REF!</v>
      </c>
      <c r="K69" s="201" t="e">
        <f>SUM(K63:K68)</f>
        <v>#REF!</v>
      </c>
      <c r="L69" s="201" t="e">
        <f t="shared" si="24"/>
        <v>#REF!</v>
      </c>
      <c r="M69" s="201">
        <f>SUM(M63:M68)</f>
        <v>0</v>
      </c>
      <c r="N69" s="218" t="e">
        <f>SUM(N63:N68)</f>
        <v>#REF!</v>
      </c>
      <c r="O69" s="161">
        <f>SUM(O63:O68)</f>
        <v>186598907.71000001</v>
      </c>
      <c r="P69" s="160" t="e">
        <f t="shared" si="23"/>
        <v>#REF!</v>
      </c>
      <c r="Q69" s="24">
        <f>[17]Sheet1!$L$16</f>
        <v>-186545746.05000001</v>
      </c>
    </row>
    <row r="70" spans="1:17">
      <c r="A70" s="1"/>
      <c r="B70" s="1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Q70" s="24">
        <f>Q69+M69</f>
        <v>-186545746.05000001</v>
      </c>
    </row>
    <row r="71" spans="1:17">
      <c r="A71" s="1"/>
      <c r="B71" s="1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Q71" s="24"/>
    </row>
    <row r="72" spans="1:17">
      <c r="A72" s="1" t="s">
        <v>86</v>
      </c>
      <c r="B72" s="17" t="s">
        <v>120</v>
      </c>
      <c r="G72" s="205"/>
      <c r="H72" s="205"/>
      <c r="I72" s="205"/>
      <c r="J72" s="205"/>
      <c r="K72" s="205"/>
      <c r="M72" s="205"/>
      <c r="Q72" s="24"/>
    </row>
    <row r="73" spans="1:17" ht="13.9" thickBot="1">
      <c r="G73" s="205"/>
      <c r="H73" s="205"/>
      <c r="I73" s="205"/>
      <c r="J73" s="205"/>
      <c r="K73" s="205"/>
      <c r="M73" s="205"/>
      <c r="Q73" s="24"/>
    </row>
    <row r="74" spans="1:17" s="14" customFormat="1" ht="27" thickBot="1">
      <c r="A74" s="12" t="s">
        <v>87</v>
      </c>
      <c r="B74" s="52" t="s">
        <v>88</v>
      </c>
      <c r="C74" s="190" t="s">
        <v>89</v>
      </c>
      <c r="D74" s="192" t="s">
        <v>91</v>
      </c>
      <c r="E74" s="192" t="s">
        <v>99</v>
      </c>
      <c r="F74" s="192" t="s">
        <v>100</v>
      </c>
      <c r="G74" s="192" t="s">
        <v>101</v>
      </c>
      <c r="H74" s="192" t="s">
        <v>102</v>
      </c>
      <c r="I74" s="192" t="e">
        <f>I62</f>
        <v>#REF!</v>
      </c>
      <c r="J74" s="192" t="str">
        <f>+J62</f>
        <v>CULLS</v>
      </c>
      <c r="K74" s="192" t="str">
        <f>+K62</f>
        <v>STOCK ADJMNT</v>
      </c>
      <c r="L74" s="212" t="s">
        <v>163</v>
      </c>
      <c r="M74" s="192" t="str">
        <f>+M62</f>
        <v>CURRENT ADJMNT</v>
      </c>
      <c r="N74" s="213" t="str">
        <f>+N62</f>
        <v>CLOSING BAL</v>
      </c>
      <c r="O74" s="158" t="s">
        <v>165</v>
      </c>
      <c r="Q74" s="24"/>
    </row>
    <row r="75" spans="1:17" ht="13.9" thickBot="1">
      <c r="A75" s="2171" t="s">
        <v>105</v>
      </c>
      <c r="B75" s="54" t="s">
        <v>106</v>
      </c>
      <c r="C75" s="214">
        <f>'[16]IAS 41 Mvmnt Pigs'!$N75</f>
        <v>-1415941.4420229411</v>
      </c>
      <c r="D75" s="2177"/>
      <c r="E75" s="215">
        <f t="shared" ref="E75:E80" si="25">SUM(C75:D75)</f>
        <v>-1415941.4420229411</v>
      </c>
      <c r="F75" s="215" t="e">
        <f>E75/'Summary Total Pigs'!#REF!</f>
        <v>#REF!</v>
      </c>
      <c r="G75" s="2179" t="e">
        <f>'Summary Total Pigs'!#REF!*'IAS 41 Mvmnt Pigs'!F75</f>
        <v>#REF!</v>
      </c>
      <c r="H75" s="2179" t="e">
        <f>'Summary Total Pigs'!#REF!*'IAS 41 Mvmnt Pigs'!F75</f>
        <v>#REF!</v>
      </c>
      <c r="I75" s="2179" t="e">
        <f>F75*'Summary Total Pigs'!#REF!</f>
        <v>#REF!</v>
      </c>
      <c r="J75" s="2179" t="e">
        <f>'Summary Total Pigs'!#REF!*'IAS 41 Mvmnt Pigs'!F75</f>
        <v>#REF!</v>
      </c>
      <c r="K75" s="2179" t="e">
        <f>'Summary Total Pigs'!#REF!*'IAS 41 Mvmnt Pigs'!F75</f>
        <v>#REF!</v>
      </c>
      <c r="L75" s="216" t="e">
        <f t="shared" ref="L75:L80" si="26">E75+G75+H75+J75+K75+I75</f>
        <v>#REF!</v>
      </c>
      <c r="M75" s="2204">
        <v>0</v>
      </c>
      <c r="N75" s="217" t="e">
        <f t="shared" ref="N75:N80" si="27">+L75+M75</f>
        <v>#REF!</v>
      </c>
      <c r="O75" s="159">
        <f>[17]Sheet1!$K169</f>
        <v>-1415941.44</v>
      </c>
      <c r="P75" s="160" t="e">
        <f t="shared" ref="P75:P81" si="28">N75-O75</f>
        <v>#REF!</v>
      </c>
      <c r="Q75" s="24"/>
    </row>
    <row r="76" spans="1:17" ht="13.9" thickBot="1">
      <c r="A76" s="2172" t="s">
        <v>107</v>
      </c>
      <c r="B76" s="2173" t="s">
        <v>108</v>
      </c>
      <c r="C76" s="214">
        <f>'[16]IAS 41 Mvmnt Pigs'!$N76</f>
        <v>546343080.33016217</v>
      </c>
      <c r="D76" s="2177" t="e">
        <f>'Summary Total Pigs'!#REF!*'IAS 41 Mvmnt Pigs'!F75</f>
        <v>#REF!</v>
      </c>
      <c r="E76" s="215" t="e">
        <f t="shared" si="25"/>
        <v>#REF!</v>
      </c>
      <c r="F76" s="215" t="e">
        <f>E76/'Summary Total Pigs'!#REF!</f>
        <v>#REF!</v>
      </c>
      <c r="G76" s="2179" t="e">
        <f>'Summary Total Pigs'!#REF!*'IAS 41 Mvmnt Pigs'!F76</f>
        <v>#REF!</v>
      </c>
      <c r="H76" s="2179" t="e">
        <f>'Summary Total Pigs'!#REF!*'IAS 41 Mvmnt Pigs'!F76</f>
        <v>#REF!</v>
      </c>
      <c r="I76" s="2179" t="e">
        <f>F76*'Summary Total Pigs'!#REF!</f>
        <v>#REF!</v>
      </c>
      <c r="J76" s="2179" t="e">
        <f>'Summary Total Pigs'!#REF!*'IAS 41 Mvmnt Pigs'!F76</f>
        <v>#REF!</v>
      </c>
      <c r="K76" s="2179" t="e">
        <f>'Summary Total Pigs'!#REF!*'IAS 41 Mvmnt Pigs'!F76</f>
        <v>#REF!</v>
      </c>
      <c r="L76" s="216" t="e">
        <f t="shared" si="26"/>
        <v>#REF!</v>
      </c>
      <c r="M76" s="2204">
        <v>0</v>
      </c>
      <c r="N76" s="2206" t="e">
        <f t="shared" si="27"/>
        <v>#REF!</v>
      </c>
      <c r="O76" s="159">
        <f>[17]Sheet1!$K170</f>
        <v>624503749.89999998</v>
      </c>
      <c r="P76" s="160" t="e">
        <f t="shared" si="28"/>
        <v>#REF!</v>
      </c>
      <c r="Q76" s="24"/>
    </row>
    <row r="77" spans="1:17" ht="13.9" thickBot="1">
      <c r="A77" s="2172" t="s">
        <v>109</v>
      </c>
      <c r="B77" s="2173" t="s">
        <v>110</v>
      </c>
      <c r="C77" s="214">
        <f>'[16]IAS 41 Mvmnt Pigs'!$N77</f>
        <v>110598406.74247408</v>
      </c>
      <c r="D77" s="2177" t="e">
        <f>'Summary Total Pigs'!#REF!*'IAS 41 Mvmnt Pigs'!F76</f>
        <v>#REF!</v>
      </c>
      <c r="E77" s="215" t="e">
        <f t="shared" si="25"/>
        <v>#REF!</v>
      </c>
      <c r="F77" s="215" t="e">
        <f>E77/'Summary Total Pigs'!#REF!</f>
        <v>#REF!</v>
      </c>
      <c r="G77" s="2192" t="e">
        <f>'Summary Total Pigs'!#REF!*'IAS 41 Mvmnt Pigs'!F77</f>
        <v>#REF!</v>
      </c>
      <c r="H77" s="2179" t="e">
        <f>'Summary Total Pigs'!#REF!*'IAS 41 Mvmnt Pigs'!F77</f>
        <v>#REF!</v>
      </c>
      <c r="I77" s="2179" t="e">
        <f>F77*'Summary Total Pigs'!#REF!</f>
        <v>#REF!</v>
      </c>
      <c r="J77" s="2179" t="e">
        <f>'Summary Total Pigs'!#REF!*'IAS 41 Mvmnt Pigs'!F77</f>
        <v>#REF!</v>
      </c>
      <c r="K77" s="2179" t="e">
        <f>'Summary Total Pigs'!#REF!*'IAS 41 Mvmnt Pigs'!F77</f>
        <v>#REF!</v>
      </c>
      <c r="L77" s="216" t="e">
        <f t="shared" si="26"/>
        <v>#REF!</v>
      </c>
      <c r="M77" s="2204">
        <v>0</v>
      </c>
      <c r="N77" s="2206" t="e">
        <f t="shared" si="27"/>
        <v>#REF!</v>
      </c>
      <c r="O77" s="159">
        <f>[17]Sheet1!$K171</f>
        <v>1656946772.5799999</v>
      </c>
      <c r="P77" s="160" t="e">
        <f t="shared" si="28"/>
        <v>#REF!</v>
      </c>
      <c r="Q77" s="24"/>
    </row>
    <row r="78" spans="1:17" ht="13.9" thickBot="1">
      <c r="A78" s="2172" t="s">
        <v>111</v>
      </c>
      <c r="B78" s="1657" t="s">
        <v>106</v>
      </c>
      <c r="C78" s="214">
        <f>'[16]IAS 41 Mvmnt Pigs'!$N78</f>
        <v>0</v>
      </c>
      <c r="D78" s="2177" t="e">
        <f>'Summary Total Pigs'!#REF!*'IAS 41 Mvmnt Pigs'!F77</f>
        <v>#REF!</v>
      </c>
      <c r="E78" s="215" t="e">
        <f t="shared" si="25"/>
        <v>#REF!</v>
      </c>
      <c r="F78" s="215"/>
      <c r="G78" s="2179" t="e">
        <f>'Summary Total Pigs'!#REF!*'IAS 41 Mvmnt Pigs'!F78</f>
        <v>#REF!</v>
      </c>
      <c r="H78" s="2179" t="e">
        <f>'Summary Total Pigs'!#REF!*'IAS 41 Mvmnt Pigs'!F78</f>
        <v>#REF!</v>
      </c>
      <c r="I78" s="2179" t="e">
        <f>F78*'Summary Total Pigs'!#REF!</f>
        <v>#REF!</v>
      </c>
      <c r="J78" s="2179" t="e">
        <f>'Summary Total Pigs'!#REF!*'IAS 41 Mvmnt Pigs'!F78</f>
        <v>#REF!</v>
      </c>
      <c r="K78" s="2179" t="e">
        <f>'Summary Total Pigs'!#REF!*'IAS 41 Mvmnt Pigs'!F78</f>
        <v>#REF!</v>
      </c>
      <c r="L78" s="216" t="e">
        <f t="shared" si="26"/>
        <v>#REF!</v>
      </c>
      <c r="M78" s="2204">
        <v>0</v>
      </c>
      <c r="N78" s="2206" t="e">
        <f t="shared" si="27"/>
        <v>#REF!</v>
      </c>
      <c r="O78" s="159" t="str">
        <f>[17]Sheet1!$K172</f>
        <v/>
      </c>
      <c r="P78" s="160"/>
      <c r="Q78" s="24"/>
    </row>
    <row r="79" spans="1:17" ht="13.9" thickBot="1">
      <c r="A79" s="2172" t="s">
        <v>112</v>
      </c>
      <c r="B79" s="54" t="s">
        <v>106</v>
      </c>
      <c r="C79" s="214">
        <f>'[16]IAS 41 Mvmnt Pigs'!$N79</f>
        <v>240399504.08073336</v>
      </c>
      <c r="D79" s="2177" t="e">
        <f>'Summary Total Pigs'!#REF!*F56</f>
        <v>#REF!</v>
      </c>
      <c r="E79" s="215" t="e">
        <f t="shared" si="25"/>
        <v>#REF!</v>
      </c>
      <c r="F79" s="215" t="e">
        <f>E79/'Summary Total Pigs'!#REF!</f>
        <v>#REF!</v>
      </c>
      <c r="G79" s="2179" t="e">
        <f>'Summary Total Pigs'!#REF!*'IAS 41 Mvmnt Pigs'!F79</f>
        <v>#REF!</v>
      </c>
      <c r="H79" s="2179" t="e">
        <f>'Summary Total Pigs'!#REF!*'IAS 41 Mvmnt Pigs'!F79</f>
        <v>#REF!</v>
      </c>
      <c r="I79" s="2179" t="e">
        <f>F79*'Summary Total Pigs'!#REF!</f>
        <v>#REF!</v>
      </c>
      <c r="J79" s="2179" t="e">
        <f>'Summary Total Pigs'!#REF!*'IAS 41 Mvmnt Pigs'!F79</f>
        <v>#REF!</v>
      </c>
      <c r="K79" s="2179" t="e">
        <f>'Summary Total Pigs'!#REF!*'IAS 41 Mvmnt Pigs'!F79</f>
        <v>#REF!</v>
      </c>
      <c r="L79" s="216" t="e">
        <f t="shared" si="26"/>
        <v>#REF!</v>
      </c>
      <c r="M79" s="2204">
        <v>0</v>
      </c>
      <c r="N79" s="2206" t="e">
        <f t="shared" si="27"/>
        <v>#REF!</v>
      </c>
      <c r="O79" s="159">
        <f>[17]Sheet1!$K173</f>
        <v>531359221.35000002</v>
      </c>
      <c r="P79" s="160" t="e">
        <f t="shared" si="28"/>
        <v>#REF!</v>
      </c>
      <c r="Q79" s="24"/>
    </row>
    <row r="80" spans="1:17" ht="13.9" thickBot="1">
      <c r="A80" s="2174" t="s">
        <v>113</v>
      </c>
      <c r="B80" s="971"/>
      <c r="C80" s="214">
        <f>'[16]IAS 41 Mvmnt Pigs'!$N80</f>
        <v>12163499.592718635</v>
      </c>
      <c r="D80" s="2177" t="e">
        <f>'Summary Total Pigs'!#REF!*'IAS 41 Mvmnt Pigs'!F79</f>
        <v>#REF!</v>
      </c>
      <c r="E80" s="215" t="e">
        <f t="shared" si="25"/>
        <v>#REF!</v>
      </c>
      <c r="F80" s="215" t="e">
        <f>E80/'Summary Total Pigs'!#REF!</f>
        <v>#REF!</v>
      </c>
      <c r="G80" s="2179" t="e">
        <f>'Summary Total Pigs'!#REF!*'IAS 41 Mvmnt Pigs'!F80</f>
        <v>#REF!</v>
      </c>
      <c r="H80" s="2179" t="e">
        <f>'Summary Total Pigs'!#REF!*'IAS 41 Mvmnt Pigs'!F80</f>
        <v>#REF!</v>
      </c>
      <c r="I80" s="2179" t="e">
        <f>F80*'Summary Total Pigs'!#REF!</f>
        <v>#REF!</v>
      </c>
      <c r="J80" s="2179" t="e">
        <f>'Summary Total Pigs'!#REF!*'IAS 41 Mvmnt Pigs'!F80</f>
        <v>#REF!</v>
      </c>
      <c r="K80" s="2179" t="e">
        <f>'Summary Total Pigs'!#REF!*'IAS 41 Mvmnt Pigs'!F80</f>
        <v>#REF!</v>
      </c>
      <c r="L80" s="216" t="e">
        <f t="shared" si="26"/>
        <v>#REF!</v>
      </c>
      <c r="M80" s="2204">
        <v>0</v>
      </c>
      <c r="N80" s="2208" t="e">
        <f t="shared" si="27"/>
        <v>#REF!</v>
      </c>
      <c r="O80" s="159">
        <f>[17]Sheet1!$K174</f>
        <v>16217999.460000001</v>
      </c>
      <c r="P80" s="160" t="e">
        <f t="shared" si="28"/>
        <v>#REF!</v>
      </c>
      <c r="Q80" s="24"/>
    </row>
    <row r="81" spans="1:18" ht="13.9" thickBot="1">
      <c r="A81" s="3" t="s">
        <v>115</v>
      </c>
      <c r="B81" s="55"/>
      <c r="C81" s="200">
        <f>SUM(C75:C80)</f>
        <v>908088549.30406523</v>
      </c>
      <c r="D81" s="201" t="e">
        <f>SUM(D75:D79)</f>
        <v>#REF!</v>
      </c>
      <c r="E81" s="201" t="e">
        <f t="shared" ref="E81:J81" si="29">SUM(E75:E80)</f>
        <v>#REF!</v>
      </c>
      <c r="F81" s="201" t="e">
        <f t="shared" si="29"/>
        <v>#REF!</v>
      </c>
      <c r="G81" s="201" t="e">
        <f t="shared" si="29"/>
        <v>#REF!</v>
      </c>
      <c r="H81" s="201" t="e">
        <f t="shared" si="29"/>
        <v>#REF!</v>
      </c>
      <c r="I81" s="201" t="e">
        <f t="shared" si="29"/>
        <v>#REF!</v>
      </c>
      <c r="J81" s="201" t="e">
        <f t="shared" si="29"/>
        <v>#REF!</v>
      </c>
      <c r="K81" s="201" t="e">
        <f>SUM(K75:K80)</f>
        <v>#REF!</v>
      </c>
      <c r="L81" s="201" t="e">
        <f>SUM(L75:L80)</f>
        <v>#REF!</v>
      </c>
      <c r="M81" s="201">
        <f>SUM(M75:M80)</f>
        <v>0</v>
      </c>
      <c r="N81" s="2199" t="e">
        <f>SUM(N75:N80)</f>
        <v>#REF!</v>
      </c>
      <c r="O81" s="2209">
        <f>SUM(O75:O80)</f>
        <v>2827611801.8499999</v>
      </c>
      <c r="P81" s="160" t="e">
        <f t="shared" si="28"/>
        <v>#REF!</v>
      </c>
      <c r="Q81" s="24">
        <f>[17]Sheet1!$K$16</f>
        <v>-2827035595.8499999</v>
      </c>
    </row>
    <row r="82" spans="1:18">
      <c r="G82" s="205"/>
      <c r="H82" s="205"/>
      <c r="I82" s="205"/>
      <c r="J82" s="205"/>
      <c r="K82" s="205"/>
      <c r="M82" s="2176"/>
      <c r="Q82" s="24">
        <f>M81+Q81</f>
        <v>-2827035595.8499999</v>
      </c>
    </row>
    <row r="83" spans="1:18">
      <c r="G83" s="205"/>
      <c r="H83" s="205"/>
      <c r="I83" s="205"/>
      <c r="J83" s="205"/>
      <c r="K83" s="205"/>
      <c r="M83" s="205"/>
      <c r="Q83" s="24"/>
    </row>
    <row r="84" spans="1:18">
      <c r="A84" s="1" t="s">
        <v>86</v>
      </c>
      <c r="B84" s="17" t="s">
        <v>141</v>
      </c>
      <c r="G84" s="205"/>
      <c r="H84" s="205"/>
      <c r="I84" s="205"/>
      <c r="J84" s="205"/>
      <c r="K84" s="205"/>
      <c r="M84" s="205"/>
      <c r="Q84" s="24"/>
    </row>
    <row r="85" spans="1:18" ht="13.9" thickBot="1">
      <c r="G85" s="205"/>
      <c r="H85" s="205"/>
      <c r="I85" s="205"/>
      <c r="J85" s="205"/>
      <c r="K85" s="205"/>
      <c r="M85" s="205"/>
      <c r="Q85" s="24"/>
    </row>
    <row r="86" spans="1:18" ht="27" thickBot="1">
      <c r="A86" s="12" t="s">
        <v>87</v>
      </c>
      <c r="B86" s="52" t="s">
        <v>88</v>
      </c>
      <c r="C86" s="190" t="s">
        <v>89</v>
      </c>
      <c r="D86" s="192" t="s">
        <v>91</v>
      </c>
      <c r="E86" s="192" t="s">
        <v>99</v>
      </c>
      <c r="F86" s="192" t="s">
        <v>100</v>
      </c>
      <c r="G86" s="192" t="s">
        <v>101</v>
      </c>
      <c r="H86" s="192" t="s">
        <v>102</v>
      </c>
      <c r="I86" s="192" t="e">
        <f>I74</f>
        <v>#REF!</v>
      </c>
      <c r="J86" s="192" t="str">
        <f>+J74</f>
        <v>CULLS</v>
      </c>
      <c r="K86" s="192" t="str">
        <f>+K74</f>
        <v>STOCK ADJMNT</v>
      </c>
      <c r="L86" s="212" t="s">
        <v>163</v>
      </c>
      <c r="M86" s="192" t="str">
        <f>+M74</f>
        <v>CURRENT ADJMNT</v>
      </c>
      <c r="N86" s="213" t="str">
        <f>+N74</f>
        <v>CLOSING BAL</v>
      </c>
      <c r="O86" s="158" t="s">
        <v>165</v>
      </c>
      <c r="Q86" s="24"/>
    </row>
    <row r="87" spans="1:18" ht="13.9" thickBot="1">
      <c r="A87" s="2171" t="s">
        <v>105</v>
      </c>
      <c r="B87" s="54" t="s">
        <v>106</v>
      </c>
      <c r="C87" s="214">
        <f>'[16]IAS 41 Mvmnt Pigs'!$N87</f>
        <v>0</v>
      </c>
      <c r="D87" s="2178"/>
      <c r="E87" s="215">
        <f t="shared" ref="E87:E92" si="30">SUM(C87:D87)</f>
        <v>0</v>
      </c>
      <c r="F87" s="215"/>
      <c r="G87" s="2179" t="e">
        <f>'Summary Total Pigs'!#REF!*'IAS 41 Mvmnt Pigs'!F87</f>
        <v>#REF!</v>
      </c>
      <c r="H87" s="2179" t="e">
        <f>'Summary Total Pigs'!#REF!*'IAS 41 Mvmnt Pigs'!F87</f>
        <v>#REF!</v>
      </c>
      <c r="I87" s="2179" t="e">
        <f>F87*'Summary Total Pigs'!#REF!</f>
        <v>#REF!</v>
      </c>
      <c r="J87" s="2179">
        <f>F87*'Summary Total Pigs'!AD200</f>
        <v>0</v>
      </c>
      <c r="K87" s="2179" t="e">
        <f>'Summary Total Pigs'!#REF!*'IAS 41 Mvmnt Pigs'!F87</f>
        <v>#REF!</v>
      </c>
      <c r="L87" s="216" t="e">
        <f t="shared" ref="L87:L92" si="31">E87+G87+H87+J87+K87+I87</f>
        <v>#REF!</v>
      </c>
      <c r="M87" s="2204">
        <v>0</v>
      </c>
      <c r="N87" s="217" t="e">
        <f t="shared" ref="N87:N92" si="32">+L87+M87</f>
        <v>#REF!</v>
      </c>
      <c r="O87" s="159" t="str">
        <f>[17]Sheet1!$P169</f>
        <v/>
      </c>
      <c r="P87" s="160"/>
      <c r="Q87" s="24"/>
    </row>
    <row r="88" spans="1:18" ht="13.9" thickBot="1">
      <c r="A88" s="2172" t="s">
        <v>107</v>
      </c>
      <c r="B88" s="2173" t="s">
        <v>108</v>
      </c>
      <c r="C88" s="214">
        <f>'[16]IAS 41 Mvmnt Pigs'!$N88</f>
        <v>0</v>
      </c>
      <c r="D88" s="2182"/>
      <c r="E88" s="215">
        <f t="shared" si="30"/>
        <v>0</v>
      </c>
      <c r="F88" s="215">
        <v>0</v>
      </c>
      <c r="G88" s="2179" t="e">
        <f>'Summary Total Pigs'!#REF!*'IAS 41 Mvmnt Pigs'!F88</f>
        <v>#REF!</v>
      </c>
      <c r="H88" s="2179" t="e">
        <f>'Summary Total Pigs'!#REF!*'IAS 41 Mvmnt Pigs'!F88</f>
        <v>#REF!</v>
      </c>
      <c r="I88" s="2179" t="e">
        <f>F88*'Summary Total Pigs'!#REF!</f>
        <v>#REF!</v>
      </c>
      <c r="J88" s="2179">
        <f>F88*'Summary Total Pigs'!AD201</f>
        <v>0</v>
      </c>
      <c r="K88" s="2179" t="e">
        <f>'Summary Total Pigs'!#REF!*'IAS 41 Mvmnt Pigs'!F88</f>
        <v>#REF!</v>
      </c>
      <c r="L88" s="216" t="e">
        <f t="shared" si="31"/>
        <v>#REF!</v>
      </c>
      <c r="M88" s="2204">
        <v>0</v>
      </c>
      <c r="N88" s="2206" t="e">
        <f t="shared" si="32"/>
        <v>#REF!</v>
      </c>
      <c r="O88" s="159" t="str">
        <f>[17]Sheet1!$P170</f>
        <v/>
      </c>
      <c r="P88" s="160"/>
      <c r="Q88" s="24"/>
    </row>
    <row r="89" spans="1:18" ht="13.9" thickBot="1">
      <c r="A89" s="2172" t="s">
        <v>109</v>
      </c>
      <c r="B89" s="2173" t="s">
        <v>110</v>
      </c>
      <c r="C89" s="214">
        <f>'[16]IAS 41 Mvmnt Pigs'!$N89</f>
        <v>654043432.93664718</v>
      </c>
      <c r="D89" s="2193" t="e">
        <f>'Summary Total Pigs'!#REF!*F101</f>
        <v>#REF!</v>
      </c>
      <c r="E89" s="215" t="e">
        <f t="shared" si="30"/>
        <v>#REF!</v>
      </c>
      <c r="F89" s="215" t="e">
        <f>E89/'Summary Total Pigs'!#REF!</f>
        <v>#REF!</v>
      </c>
      <c r="G89" s="2179" t="e">
        <f>'Summary Total Pigs'!#REF!*'IAS 41 Mvmnt Pigs'!F89</f>
        <v>#REF!</v>
      </c>
      <c r="H89" s="2179" t="e">
        <f>'Summary Total Pigs'!#REF!*'IAS 41 Mvmnt Pigs'!F89</f>
        <v>#REF!</v>
      </c>
      <c r="I89" s="2179" t="e">
        <f>F89*'Summary Total Pigs'!#REF!</f>
        <v>#REF!</v>
      </c>
      <c r="J89" s="2179" t="e">
        <f>F89*'Summary Total Pigs'!AD202</f>
        <v>#REF!</v>
      </c>
      <c r="K89" s="2179" t="e">
        <f>'Summary Total Pigs'!#REF!*'IAS 41 Mvmnt Pigs'!F89</f>
        <v>#REF!</v>
      </c>
      <c r="L89" s="216" t="e">
        <f t="shared" si="31"/>
        <v>#REF!</v>
      </c>
      <c r="M89" s="2204">
        <v>0</v>
      </c>
      <c r="N89" s="2206" t="e">
        <f>+L89+M89</f>
        <v>#REF!</v>
      </c>
      <c r="O89" s="159">
        <f>[17]Sheet1!$P171</f>
        <v>676860861.07000005</v>
      </c>
      <c r="P89" s="160" t="e">
        <f>N89-O89</f>
        <v>#REF!</v>
      </c>
      <c r="Q89" s="24"/>
      <c r="R89" s="74">
        <v>31319482586743.246</v>
      </c>
    </row>
    <row r="90" spans="1:18" ht="13.9" thickBot="1">
      <c r="A90" s="2172" t="s">
        <v>111</v>
      </c>
      <c r="B90" s="1657" t="s">
        <v>106</v>
      </c>
      <c r="C90" s="214">
        <f>'[16]IAS 41 Mvmnt Pigs'!$N90</f>
        <v>0</v>
      </c>
      <c r="D90" s="2182"/>
      <c r="E90" s="215">
        <f t="shared" si="30"/>
        <v>0</v>
      </c>
      <c r="F90" s="215"/>
      <c r="G90" s="2179" t="e">
        <f>'Summary Total Pigs'!#REF!*'IAS 41 Mvmnt Pigs'!F90</f>
        <v>#REF!</v>
      </c>
      <c r="H90" s="2179" t="e">
        <f>'Summary Total Pigs'!#REF!*'IAS 41 Mvmnt Pigs'!F90</f>
        <v>#REF!</v>
      </c>
      <c r="I90" s="2179" t="e">
        <f>F90*'Summary Total Pigs'!#REF!</f>
        <v>#REF!</v>
      </c>
      <c r="J90" s="2179">
        <f>F90*'Summary Total Pigs'!AD203</f>
        <v>0</v>
      </c>
      <c r="K90" s="2179" t="e">
        <f>'Summary Total Pigs'!#REF!*'IAS 41 Mvmnt Pigs'!F90</f>
        <v>#REF!</v>
      </c>
      <c r="L90" s="216" t="e">
        <f t="shared" si="31"/>
        <v>#REF!</v>
      </c>
      <c r="M90" s="2204">
        <v>0</v>
      </c>
      <c r="N90" s="2206" t="e">
        <f t="shared" si="32"/>
        <v>#REF!</v>
      </c>
      <c r="O90" s="159" t="str">
        <f>[17]Sheet1!$P172</f>
        <v/>
      </c>
      <c r="P90" s="160"/>
      <c r="Q90" s="24"/>
    </row>
    <row r="91" spans="1:18" ht="13.9" thickBot="1">
      <c r="A91" s="2172" t="s">
        <v>112</v>
      </c>
      <c r="B91" s="54" t="s">
        <v>106</v>
      </c>
      <c r="C91" s="214">
        <f>'[16]IAS 41 Mvmnt Pigs'!$N91</f>
        <v>0</v>
      </c>
      <c r="D91" s="2182"/>
      <c r="E91" s="215">
        <f t="shared" si="30"/>
        <v>0</v>
      </c>
      <c r="F91" s="215"/>
      <c r="G91" s="2179" t="e">
        <f>'Summary Total Pigs'!#REF!*'IAS 41 Mvmnt Pigs'!F91</f>
        <v>#REF!</v>
      </c>
      <c r="H91" s="2179" t="e">
        <f>'Summary Total Pigs'!#REF!*'IAS 41 Mvmnt Pigs'!F91</f>
        <v>#REF!</v>
      </c>
      <c r="I91" s="2179" t="e">
        <f>F91*'Summary Total Pigs'!#REF!</f>
        <v>#REF!</v>
      </c>
      <c r="J91" s="2179">
        <f>F91*'Summary Total Pigs'!AD205</f>
        <v>0</v>
      </c>
      <c r="K91" s="2179" t="e">
        <f>'Summary Total Pigs'!#REF!*'IAS 41 Mvmnt Pigs'!F91</f>
        <v>#REF!</v>
      </c>
      <c r="L91" s="216" t="e">
        <f t="shared" si="31"/>
        <v>#REF!</v>
      </c>
      <c r="M91" s="2204">
        <v>0</v>
      </c>
      <c r="N91" s="2206" t="e">
        <f t="shared" si="32"/>
        <v>#REF!</v>
      </c>
      <c r="O91" s="159" t="str">
        <f>[17]Sheet1!$P173</f>
        <v/>
      </c>
      <c r="P91" s="160"/>
      <c r="Q91" s="24"/>
    </row>
    <row r="92" spans="1:18" ht="13.9" thickBot="1">
      <c r="A92" s="2174" t="s">
        <v>113</v>
      </c>
      <c r="B92" s="971"/>
      <c r="C92" s="214">
        <f>'[16]IAS 41 Mvmnt Pigs'!$N92</f>
        <v>0</v>
      </c>
      <c r="D92" s="2186"/>
      <c r="E92" s="215">
        <f t="shared" si="30"/>
        <v>0</v>
      </c>
      <c r="F92" s="215"/>
      <c r="G92" s="2179" t="e">
        <f>'Summary Total Pigs'!#REF!*'IAS 41 Mvmnt Pigs'!F92</f>
        <v>#REF!</v>
      </c>
      <c r="H92" s="2179" t="e">
        <f>'Summary Total Pigs'!#REF!*'IAS 41 Mvmnt Pigs'!F92</f>
        <v>#REF!</v>
      </c>
      <c r="I92" s="2179" t="e">
        <f>F92*'Summary Total Pigs'!#REF!</f>
        <v>#REF!</v>
      </c>
      <c r="J92" s="2179">
        <f>F92*'Summary Total Pigs'!AD207</f>
        <v>0</v>
      </c>
      <c r="K92" s="2179" t="e">
        <f>'Summary Total Pigs'!#REF!*'IAS 41 Mvmnt Pigs'!F92</f>
        <v>#REF!</v>
      </c>
      <c r="L92" s="216" t="e">
        <f t="shared" si="31"/>
        <v>#REF!</v>
      </c>
      <c r="M92" s="2204">
        <v>0</v>
      </c>
      <c r="N92" s="2206" t="e">
        <f t="shared" si="32"/>
        <v>#REF!</v>
      </c>
      <c r="O92" s="159" t="str">
        <f>[17]Sheet1!$P174</f>
        <v/>
      </c>
      <c r="P92" s="160"/>
      <c r="Q92" s="24"/>
    </row>
    <row r="93" spans="1:18" ht="13.9" thickBot="1">
      <c r="A93" s="3" t="s">
        <v>115</v>
      </c>
      <c r="B93" s="55"/>
      <c r="C93" s="200">
        <f>SUM(C87:C92)</f>
        <v>654043432.93664718</v>
      </c>
      <c r="D93" s="201" t="e">
        <f>SUM(D87:D91)</f>
        <v>#REF!</v>
      </c>
      <c r="E93" s="201" t="e">
        <f t="shared" ref="E93:K93" si="33">SUM(E87:E92)</f>
        <v>#REF!</v>
      </c>
      <c r="F93" s="201" t="e">
        <f t="shared" si="33"/>
        <v>#REF!</v>
      </c>
      <c r="G93" s="201" t="e">
        <f t="shared" si="33"/>
        <v>#REF!</v>
      </c>
      <c r="H93" s="201" t="e">
        <f t="shared" si="33"/>
        <v>#REF!</v>
      </c>
      <c r="I93" s="201" t="e">
        <f t="shared" si="33"/>
        <v>#REF!</v>
      </c>
      <c r="J93" s="201" t="e">
        <f t="shared" si="33"/>
        <v>#REF!</v>
      </c>
      <c r="K93" s="201" t="e">
        <f t="shared" si="33"/>
        <v>#REF!</v>
      </c>
      <c r="L93" s="201" t="e">
        <f>SUM(L87:L92)</f>
        <v>#REF!</v>
      </c>
      <c r="M93" s="201">
        <f>SUM(M87:M92)</f>
        <v>0</v>
      </c>
      <c r="N93" s="201" t="e">
        <f>SUM(N87:N92)</f>
        <v>#REF!</v>
      </c>
      <c r="O93" s="157">
        <f>SUM(O87:O92)</f>
        <v>676860861.07000005</v>
      </c>
      <c r="P93" s="160" t="e">
        <f>N93-O93</f>
        <v>#REF!</v>
      </c>
      <c r="Q93" s="24">
        <f>[17]Sheet1!$P$16</f>
        <v>-676689444.89999998</v>
      </c>
    </row>
    <row r="94" spans="1:18">
      <c r="G94" s="205"/>
      <c r="H94" s="205"/>
      <c r="I94" s="205"/>
      <c r="J94" s="205"/>
      <c r="K94" s="205"/>
      <c r="M94" s="2176"/>
      <c r="Q94" s="24">
        <f>M93+Q93</f>
        <v>-676689444.89999998</v>
      </c>
    </row>
    <row r="95" spans="1:18">
      <c r="D95" s="220" t="e">
        <f>G94+(297*F37)</f>
        <v>#REF!</v>
      </c>
      <c r="G95" s="205"/>
      <c r="H95" s="205"/>
      <c r="I95" s="205"/>
      <c r="J95" s="205"/>
      <c r="K95" s="205"/>
      <c r="M95" s="205"/>
      <c r="Q95" s="24"/>
    </row>
    <row r="96" spans="1:18">
      <c r="A96" s="1" t="s">
        <v>86</v>
      </c>
      <c r="B96" s="17" t="s">
        <v>142</v>
      </c>
      <c r="G96" s="205"/>
      <c r="H96" s="205"/>
      <c r="I96" s="205"/>
      <c r="J96" s="205"/>
      <c r="K96" s="205"/>
      <c r="M96" s="205"/>
      <c r="Q96" s="24"/>
    </row>
    <row r="97" spans="1:17" ht="13.9" thickBot="1">
      <c r="G97" s="205"/>
      <c r="H97" s="205"/>
      <c r="I97" s="205"/>
      <c r="J97" s="205"/>
      <c r="K97" s="205"/>
      <c r="M97" s="205"/>
      <c r="Q97" s="24"/>
    </row>
    <row r="98" spans="1:17" ht="27" thickBot="1">
      <c r="A98" s="12" t="s">
        <v>87</v>
      </c>
      <c r="B98" s="52" t="s">
        <v>88</v>
      </c>
      <c r="C98" s="190" t="s">
        <v>89</v>
      </c>
      <c r="D98" s="192" t="s">
        <v>91</v>
      </c>
      <c r="E98" s="192" t="s">
        <v>99</v>
      </c>
      <c r="F98" s="192" t="s">
        <v>100</v>
      </c>
      <c r="G98" s="192" t="s">
        <v>101</v>
      </c>
      <c r="H98" s="192" t="s">
        <v>102</v>
      </c>
      <c r="I98" s="192" t="e">
        <f>I86</f>
        <v>#REF!</v>
      </c>
      <c r="J98" s="192" t="str">
        <f>+J86</f>
        <v>CULLS</v>
      </c>
      <c r="K98" s="192" t="str">
        <f>+K86</f>
        <v>STOCK ADJMNT</v>
      </c>
      <c r="L98" s="212" t="s">
        <v>163</v>
      </c>
      <c r="M98" s="192" t="str">
        <f>+M86</f>
        <v>CURRENT ADJMNT</v>
      </c>
      <c r="N98" s="213" t="str">
        <f>+N86</f>
        <v>CLOSING BAL</v>
      </c>
      <c r="O98" s="158" t="s">
        <v>165</v>
      </c>
      <c r="Q98" s="24"/>
    </row>
    <row r="99" spans="1:17">
      <c r="A99" s="2171" t="s">
        <v>105</v>
      </c>
      <c r="B99" s="54" t="s">
        <v>106</v>
      </c>
      <c r="C99" s="214">
        <f>'[16]IAS 41 Mvmnt Pigs'!$N99</f>
        <v>0</v>
      </c>
      <c r="D99" s="2178" t="e">
        <f>'Summary Total Pigs'!#REF!*'Pigs Cost'!M37</f>
        <v>#REF!</v>
      </c>
      <c r="E99" s="215" t="e">
        <f t="shared" ref="E99:E104" si="34">SUM(C99:D99)</f>
        <v>#REF!</v>
      </c>
      <c r="F99" s="215"/>
      <c r="G99" s="2179" t="e">
        <f>F99*'Summary Total Pigs'!#REF!</f>
        <v>#REF!</v>
      </c>
      <c r="H99" s="2179" t="e">
        <f>'Summary Total Pigs'!#REF!*F99</f>
        <v>#REF!</v>
      </c>
      <c r="I99" s="2179" t="e">
        <f>F99*'Summary Total Pigs'!#REF!</f>
        <v>#REF!</v>
      </c>
      <c r="J99" s="2179" t="e">
        <f>F99*'Summary Total Pigs'!#REF!</f>
        <v>#REF!</v>
      </c>
      <c r="K99" s="2179" t="e">
        <f>'Summary Total Pigs'!#REF!*'IAS 41 Mvmnt Pigs'!F99</f>
        <v>#REF!</v>
      </c>
      <c r="L99" s="216" t="e">
        <f t="shared" ref="L99:L104" si="35">E99+G99+H99+J99+K99+I99</f>
        <v>#REF!</v>
      </c>
      <c r="M99" s="2204">
        <v>0</v>
      </c>
      <c r="N99" s="217" t="e">
        <f t="shared" ref="N99:N104" si="36">+L99+M99</f>
        <v>#REF!</v>
      </c>
      <c r="O99" s="159">
        <v>0</v>
      </c>
      <c r="P99" s="160" t="e">
        <f t="shared" ref="P99:P105" si="37">N99-O99</f>
        <v>#REF!</v>
      </c>
      <c r="Q99" s="24"/>
    </row>
    <row r="100" spans="1:17">
      <c r="A100" s="2172" t="s">
        <v>107</v>
      </c>
      <c r="B100" s="2173" t="s">
        <v>108</v>
      </c>
      <c r="C100" s="214">
        <f>'[16]IAS 41 Mvmnt Pigs'!$N100</f>
        <v>692822364.20666194</v>
      </c>
      <c r="D100" s="2179" t="e">
        <f>(603*F37)+(489*F53)</f>
        <v>#REF!</v>
      </c>
      <c r="E100" s="215" t="e">
        <f t="shared" si="34"/>
        <v>#REF!</v>
      </c>
      <c r="F100" s="215" t="e">
        <f>E100/'Summary Total Pigs'!#REF!</f>
        <v>#REF!</v>
      </c>
      <c r="G100" s="2179" t="e">
        <f>F100*'Summary Total Pigs'!#REF!</f>
        <v>#REF!</v>
      </c>
      <c r="H100" s="2179" t="e">
        <f>'Summary Total Pigs'!#REF!*F100</f>
        <v>#REF!</v>
      </c>
      <c r="I100" s="2179" t="e">
        <f>F100*'Summary Total Pigs'!#REF!</f>
        <v>#REF!</v>
      </c>
      <c r="J100" s="2179" t="e">
        <f>F100*'Summary Total Pigs'!#REF!</f>
        <v>#REF!</v>
      </c>
      <c r="K100" s="2179" t="e">
        <f>'Summary Total Pigs'!#REF!*'IAS 41 Mvmnt Pigs'!F100</f>
        <v>#REF!</v>
      </c>
      <c r="L100" s="216" t="e">
        <f t="shared" si="35"/>
        <v>#REF!</v>
      </c>
      <c r="M100" s="2204">
        <v>0</v>
      </c>
      <c r="N100" s="2206" t="e">
        <f t="shared" si="36"/>
        <v>#REF!</v>
      </c>
      <c r="O100" s="2207">
        <f>[17]Sheet1!$N170</f>
        <v>1033289002.9400001</v>
      </c>
      <c r="P100" s="160" t="e">
        <f t="shared" si="37"/>
        <v>#REF!</v>
      </c>
      <c r="Q100" s="24"/>
    </row>
    <row r="101" spans="1:17">
      <c r="A101" s="2172" t="s">
        <v>109</v>
      </c>
      <c r="B101" s="2173" t="s">
        <v>110</v>
      </c>
      <c r="C101" s="214">
        <f>'[16]IAS 41 Mvmnt Pigs'!$N101</f>
        <v>63912102.174108744</v>
      </c>
      <c r="D101" s="2176" t="e">
        <f>'Summary Total Pigs'!#REF!*F100</f>
        <v>#REF!</v>
      </c>
      <c r="E101" s="215" t="e">
        <f t="shared" si="34"/>
        <v>#REF!</v>
      </c>
      <c r="F101" s="215" t="e">
        <f>E101/'Summary Total Pigs'!#REF!</f>
        <v>#REF!</v>
      </c>
      <c r="G101" s="2179" t="e">
        <f>F101*'Summary Total Pigs'!#REF!</f>
        <v>#REF!</v>
      </c>
      <c r="H101" s="2179" t="e">
        <f>'Summary Total Pigs'!#REF!*F101</f>
        <v>#REF!</v>
      </c>
      <c r="I101" s="2179" t="e">
        <f>F101*'Summary Total Pigs'!#REF!</f>
        <v>#REF!</v>
      </c>
      <c r="J101" s="2179" t="e">
        <f>F101*'Summary Total Pigs'!#REF!</f>
        <v>#REF!</v>
      </c>
      <c r="K101" s="2179" t="e">
        <f>'Summary Total Pigs'!#REF!*'IAS 41 Mvmnt Pigs'!F101</f>
        <v>#REF!</v>
      </c>
      <c r="L101" s="216" t="e">
        <f t="shared" si="35"/>
        <v>#REF!</v>
      </c>
      <c r="M101" s="2204">
        <v>0</v>
      </c>
      <c r="N101" s="2206" t="e">
        <f t="shared" si="36"/>
        <v>#REF!</v>
      </c>
      <c r="O101" s="2207">
        <f>[17]Sheet1!$N171</f>
        <v>303252916.68000001</v>
      </c>
      <c r="P101" s="160" t="e">
        <f t="shared" si="37"/>
        <v>#REF!</v>
      </c>
      <c r="Q101" s="24"/>
    </row>
    <row r="102" spans="1:17">
      <c r="A102" s="2172" t="s">
        <v>111</v>
      </c>
      <c r="B102" s="1657" t="s">
        <v>106</v>
      </c>
      <c r="C102" s="214">
        <f>'[16]IAS 41 Mvmnt Pigs'!$N102</f>
        <v>0</v>
      </c>
      <c r="D102" s="2182"/>
      <c r="E102" s="215">
        <f t="shared" si="34"/>
        <v>0</v>
      </c>
      <c r="F102" s="215"/>
      <c r="G102" s="2179" t="e">
        <f>F102*'Summary Total Pigs'!#REF!</f>
        <v>#REF!</v>
      </c>
      <c r="H102" s="2179" t="e">
        <f>'Summary Total Pigs'!#REF!*F102</f>
        <v>#REF!</v>
      </c>
      <c r="I102" s="2179" t="e">
        <f>F102*'Summary Total Pigs'!#REF!</f>
        <v>#REF!</v>
      </c>
      <c r="J102" s="2179" t="e">
        <f>F102*'Summary Total Pigs'!#REF!</f>
        <v>#REF!</v>
      </c>
      <c r="K102" s="2179" t="e">
        <f>'Summary Total Pigs'!#REF!*'IAS 41 Mvmnt Pigs'!F102</f>
        <v>#REF!</v>
      </c>
      <c r="L102" s="216" t="e">
        <f t="shared" si="35"/>
        <v>#REF!</v>
      </c>
      <c r="M102" s="2204">
        <v>0</v>
      </c>
      <c r="N102" s="2206" t="e">
        <f t="shared" si="36"/>
        <v>#REF!</v>
      </c>
      <c r="O102" s="2207">
        <v>0</v>
      </c>
      <c r="P102" s="160" t="e">
        <f t="shared" si="37"/>
        <v>#REF!</v>
      </c>
      <c r="Q102" s="24"/>
    </row>
    <row r="103" spans="1:17">
      <c r="A103" s="2172" t="s">
        <v>112</v>
      </c>
      <c r="B103" s="54" t="s">
        <v>106</v>
      </c>
      <c r="C103" s="214">
        <f>'[16]IAS 41 Mvmnt Pigs'!$N103</f>
        <v>0</v>
      </c>
      <c r="D103" s="2182"/>
      <c r="E103" s="215">
        <f t="shared" si="34"/>
        <v>0</v>
      </c>
      <c r="F103" s="215"/>
      <c r="G103" s="2179" t="e">
        <f>F103*'Summary Total Pigs'!#REF!</f>
        <v>#REF!</v>
      </c>
      <c r="H103" s="2179" t="e">
        <f>'Summary Total Pigs'!#REF!*'IAS 41 Mvmnt Pigs'!F103</f>
        <v>#REF!</v>
      </c>
      <c r="I103" s="2179" t="e">
        <f>F103*'Summary Total Pigs'!#REF!</f>
        <v>#REF!</v>
      </c>
      <c r="J103" s="2179" t="e">
        <f>F103*'Summary Total Pigs'!#REF!</f>
        <v>#REF!</v>
      </c>
      <c r="K103" s="2179" t="e">
        <f>'Summary Total Pigs'!#REF!*'IAS 41 Mvmnt Pigs'!F103</f>
        <v>#REF!</v>
      </c>
      <c r="L103" s="216" t="e">
        <f t="shared" si="35"/>
        <v>#REF!</v>
      </c>
      <c r="M103" s="2204">
        <v>0</v>
      </c>
      <c r="N103" s="2206" t="e">
        <f t="shared" si="36"/>
        <v>#REF!</v>
      </c>
      <c r="O103" s="2207">
        <v>0</v>
      </c>
      <c r="P103" s="160" t="e">
        <f t="shared" si="37"/>
        <v>#REF!</v>
      </c>
      <c r="Q103" s="24"/>
    </row>
    <row r="104" spans="1:17" ht="13.9" thickBot="1">
      <c r="A104" s="2174" t="s">
        <v>113</v>
      </c>
      <c r="B104" s="971"/>
      <c r="C104" s="214">
        <f>'[16]IAS 41 Mvmnt Pigs'!$N104</f>
        <v>0</v>
      </c>
      <c r="D104" s="2186"/>
      <c r="E104" s="215">
        <f t="shared" si="34"/>
        <v>0</v>
      </c>
      <c r="F104" s="215"/>
      <c r="G104" s="2179" t="e">
        <f>F104*'Summary Total Pigs'!#REF!</f>
        <v>#REF!</v>
      </c>
      <c r="H104" s="2179" t="e">
        <f>'Summary Total Pigs'!#REF!*'IAS 41 Mvmnt Pigs'!F104</f>
        <v>#REF!</v>
      </c>
      <c r="I104" s="2179" t="e">
        <f>F104*'Summary Total Pigs'!#REF!</f>
        <v>#REF!</v>
      </c>
      <c r="J104" s="2179" t="e">
        <f>F104*'Summary Total Pigs'!#REF!</f>
        <v>#REF!</v>
      </c>
      <c r="K104" s="2179" t="e">
        <f>'Summary Total Pigs'!#REF!*'IAS 41 Mvmnt Pigs'!F104</f>
        <v>#REF!</v>
      </c>
      <c r="L104" s="216" t="e">
        <f t="shared" si="35"/>
        <v>#REF!</v>
      </c>
      <c r="M104" s="2204">
        <v>0</v>
      </c>
      <c r="N104" s="2206" t="e">
        <f t="shared" si="36"/>
        <v>#REF!</v>
      </c>
      <c r="O104" s="2207">
        <v>0</v>
      </c>
      <c r="P104" s="160" t="e">
        <f t="shared" si="37"/>
        <v>#REF!</v>
      </c>
      <c r="Q104" s="24"/>
    </row>
    <row r="105" spans="1:17" ht="13.9" thickBot="1">
      <c r="A105" s="3" t="s">
        <v>115</v>
      </c>
      <c r="B105" s="55"/>
      <c r="C105" s="200">
        <f>SUM(C99:C104)</f>
        <v>756734466.38077068</v>
      </c>
      <c r="D105" s="201" t="e">
        <f>SUM(D99:D103)</f>
        <v>#REF!</v>
      </c>
      <c r="E105" s="201" t="e">
        <f t="shared" ref="E105:N105" si="38">SUM(E99:E104)</f>
        <v>#REF!</v>
      </c>
      <c r="F105" s="201" t="e">
        <f t="shared" si="38"/>
        <v>#REF!</v>
      </c>
      <c r="G105" s="201" t="e">
        <f t="shared" si="38"/>
        <v>#REF!</v>
      </c>
      <c r="H105" s="201" t="e">
        <f t="shared" si="38"/>
        <v>#REF!</v>
      </c>
      <c r="I105" s="201" t="e">
        <f t="shared" si="38"/>
        <v>#REF!</v>
      </c>
      <c r="J105" s="201" t="e">
        <f t="shared" si="38"/>
        <v>#REF!</v>
      </c>
      <c r="K105" s="201" t="e">
        <f t="shared" si="38"/>
        <v>#REF!</v>
      </c>
      <c r="L105" s="201" t="e">
        <f t="shared" si="38"/>
        <v>#REF!</v>
      </c>
      <c r="M105" s="201">
        <f>SUM(M99:M104)</f>
        <v>0</v>
      </c>
      <c r="N105" s="201" t="e">
        <f t="shared" si="38"/>
        <v>#REF!</v>
      </c>
      <c r="O105" s="157">
        <f>SUM(O99:O104)</f>
        <v>1336541919.6200001</v>
      </c>
      <c r="P105" s="160" t="e">
        <f t="shared" si="37"/>
        <v>#REF!</v>
      </c>
      <c r="Q105" s="24">
        <f>[17]Sheet1!$N$16</f>
        <v>-1336470062.9400001</v>
      </c>
    </row>
    <row r="106" spans="1:17">
      <c r="G106" s="205"/>
      <c r="H106" s="205"/>
      <c r="I106" s="205"/>
      <c r="J106" s="205"/>
      <c r="K106" s="205"/>
      <c r="M106" s="2176"/>
      <c r="Q106" s="24">
        <f>M105+Q105</f>
        <v>-1336470062.9400001</v>
      </c>
    </row>
    <row r="107" spans="1:17">
      <c r="G107" s="205"/>
      <c r="H107" s="205"/>
      <c r="I107" s="205"/>
      <c r="J107" s="205"/>
      <c r="K107" s="205"/>
      <c r="M107" s="205"/>
      <c r="Q107" s="24"/>
    </row>
    <row r="108" spans="1:17">
      <c r="A108" s="1" t="s">
        <v>86</v>
      </c>
      <c r="B108" s="17" t="s">
        <v>143</v>
      </c>
      <c r="G108" s="205"/>
      <c r="H108" s="205"/>
      <c r="I108" s="205"/>
      <c r="J108" s="205"/>
      <c r="K108" s="205"/>
      <c r="M108" s="205"/>
      <c r="Q108" s="24"/>
    </row>
    <row r="109" spans="1:17" ht="13.9" thickBot="1">
      <c r="G109" s="205"/>
      <c r="H109" s="205"/>
      <c r="I109" s="205"/>
      <c r="J109" s="205"/>
      <c r="K109" s="205"/>
      <c r="M109" s="205"/>
      <c r="Q109" s="24"/>
    </row>
    <row r="110" spans="1:17" ht="27" thickBot="1">
      <c r="A110" s="12" t="s">
        <v>87</v>
      </c>
      <c r="B110" s="52" t="s">
        <v>88</v>
      </c>
      <c r="C110" s="190" t="s">
        <v>89</v>
      </c>
      <c r="D110" s="192" t="s">
        <v>91</v>
      </c>
      <c r="E110" s="192" t="s">
        <v>99</v>
      </c>
      <c r="F110" s="192" t="s">
        <v>100</v>
      </c>
      <c r="G110" s="192" t="s">
        <v>101</v>
      </c>
      <c r="H110" s="192" t="s">
        <v>102</v>
      </c>
      <c r="I110" s="192" t="e">
        <f>I98</f>
        <v>#REF!</v>
      </c>
      <c r="J110" s="192" t="str">
        <f>+J98</f>
        <v>CULLS</v>
      </c>
      <c r="K110" s="192" t="str">
        <f>+K98</f>
        <v>STOCK ADJMNT</v>
      </c>
      <c r="L110" s="212" t="s">
        <v>163</v>
      </c>
      <c r="M110" s="192" t="str">
        <f>+M98</f>
        <v>CURRENT ADJMNT</v>
      </c>
      <c r="N110" s="213" t="str">
        <f>+N98</f>
        <v>CLOSING BAL</v>
      </c>
      <c r="O110" s="158" t="s">
        <v>165</v>
      </c>
      <c r="Q110" s="24"/>
    </row>
    <row r="111" spans="1:17">
      <c r="A111" s="2171" t="s">
        <v>105</v>
      </c>
      <c r="B111" s="54" t="s">
        <v>106</v>
      </c>
      <c r="C111" s="214">
        <f>'[16]IAS 41 Mvmnt Pigs'!$N111</f>
        <v>0</v>
      </c>
      <c r="D111" s="214" t="e">
        <f>'Summary Total Pigs'!#REF!*'IAS 41 Mvmnt Pigs'!F76</f>
        <v>#REF!</v>
      </c>
      <c r="E111" s="221" t="e">
        <f t="shared" ref="E111:E116" si="39">SUM(C111:D111)</f>
        <v>#REF!</v>
      </c>
      <c r="F111" s="222"/>
      <c r="G111" s="2179" t="e">
        <f>'Summary Total Pigs'!#REF!*'IAS 41 Mvmnt Pigs'!F111</f>
        <v>#REF!</v>
      </c>
      <c r="H111" s="2179" t="e">
        <f>'Summary Total Pigs'!#REF!*'IAS 41 Mvmnt Pigs'!F111</f>
        <v>#REF!</v>
      </c>
      <c r="I111" s="2179" t="e">
        <f>F111*'Summary Total Pigs'!#REF!</f>
        <v>#REF!</v>
      </c>
      <c r="J111" s="2179">
        <f>F111*'Summary Total Pigs'!AD228</f>
        <v>0</v>
      </c>
      <c r="K111" s="2179" t="e">
        <f>'Summary Total Pigs'!#REF!*'IAS 41 Mvmnt Pigs'!F111</f>
        <v>#REF!</v>
      </c>
      <c r="L111" s="216" t="e">
        <f t="shared" ref="L111:L116" si="40">E111+G111+H111+J111+K111+I111</f>
        <v>#REF!</v>
      </c>
      <c r="M111" s="2204">
        <v>0</v>
      </c>
      <c r="N111" s="217" t="e">
        <f t="shared" ref="N111:N116" si="41">+L111+M111</f>
        <v>#REF!</v>
      </c>
      <c r="O111" s="159">
        <v>0</v>
      </c>
      <c r="P111" s="160" t="e">
        <f t="shared" ref="P111:P117" si="42">N111-O111</f>
        <v>#REF!</v>
      </c>
      <c r="Q111" s="24"/>
    </row>
    <row r="112" spans="1:17">
      <c r="A112" s="2172" t="s">
        <v>107</v>
      </c>
      <c r="B112" s="2173" t="s">
        <v>108</v>
      </c>
      <c r="C112" s="214">
        <f>'[16]IAS 41 Mvmnt Pigs'!$N112</f>
        <v>0</v>
      </c>
      <c r="D112" s="214" t="e">
        <f>'Summary Total Pigs'!#REF!*'IAS 41 Mvmnt Pigs'!F53</f>
        <v>#REF!</v>
      </c>
      <c r="E112" s="214">
        <v>0</v>
      </c>
      <c r="F112" s="222">
        <v>0</v>
      </c>
      <c r="G112" s="2179" t="e">
        <f>'Summary Total Pigs'!#REF!*'IAS 41 Mvmnt Pigs'!F112</f>
        <v>#REF!</v>
      </c>
      <c r="H112" s="2179" t="e">
        <f>'Summary Total Pigs'!#REF!*'IAS 41 Mvmnt Pigs'!F112</f>
        <v>#REF!</v>
      </c>
      <c r="I112" s="2179" t="e">
        <f>F112*'Summary Total Pigs'!#REF!</f>
        <v>#REF!</v>
      </c>
      <c r="J112" s="2179">
        <f>F112*'Summary Total Pigs'!AD229</f>
        <v>0</v>
      </c>
      <c r="K112" s="2179" t="e">
        <f>'Summary Total Pigs'!#REF!*'IAS 41 Mvmnt Pigs'!F112</f>
        <v>#REF!</v>
      </c>
      <c r="L112" s="216" t="e">
        <f t="shared" si="40"/>
        <v>#REF!</v>
      </c>
      <c r="M112" s="2204">
        <v>0</v>
      </c>
      <c r="N112" s="2206" t="e">
        <f t="shared" si="41"/>
        <v>#REF!</v>
      </c>
      <c r="O112" s="2207">
        <v>0</v>
      </c>
      <c r="P112" s="160" t="e">
        <f t="shared" si="42"/>
        <v>#REF!</v>
      </c>
      <c r="Q112" s="24"/>
    </row>
    <row r="113" spans="1:17">
      <c r="A113" s="2172" t="s">
        <v>109</v>
      </c>
      <c r="B113" s="2173" t="s">
        <v>110</v>
      </c>
      <c r="C113" s="214">
        <f>'[16]IAS 41 Mvmnt Pigs'!$N113</f>
        <v>348511908.26521152</v>
      </c>
      <c r="D113" s="2193" t="e">
        <f>160*F77+150*F101</f>
        <v>#REF!</v>
      </c>
      <c r="E113" s="214" t="e">
        <f t="shared" si="39"/>
        <v>#REF!</v>
      </c>
      <c r="F113" s="222" t="e">
        <f>E113/'Summary Total Pigs'!#REF!</f>
        <v>#REF!</v>
      </c>
      <c r="G113" s="2179" t="e">
        <f>'Summary Total Pigs'!#REF!*'IAS 41 Mvmnt Pigs'!F113</f>
        <v>#REF!</v>
      </c>
      <c r="H113" s="2179" t="e">
        <f>'Summary Total Pigs'!#REF!*'IAS 41 Mvmnt Pigs'!F113</f>
        <v>#REF!</v>
      </c>
      <c r="I113" s="2179" t="e">
        <f>F113*'Summary Total Pigs'!#REF!</f>
        <v>#REF!</v>
      </c>
      <c r="J113" s="2179" t="e">
        <f>F113*'Summary Total Pigs'!AD230</f>
        <v>#REF!</v>
      </c>
      <c r="K113" s="2179" t="e">
        <f>'Summary Total Pigs'!#REF!*'IAS 41 Mvmnt Pigs'!F113</f>
        <v>#REF!</v>
      </c>
      <c r="L113" s="216" t="e">
        <f t="shared" si="40"/>
        <v>#REF!</v>
      </c>
      <c r="M113" s="2204">
        <v>0</v>
      </c>
      <c r="N113" s="2206" t="e">
        <f t="shared" si="41"/>
        <v>#REF!</v>
      </c>
      <c r="O113" s="2207">
        <f>[17]Sheet1!$J$171</f>
        <v>389516582.43000001</v>
      </c>
      <c r="P113" s="160" t="e">
        <f t="shared" si="42"/>
        <v>#REF!</v>
      </c>
      <c r="Q113" s="24"/>
    </row>
    <row r="114" spans="1:17">
      <c r="A114" s="2172" t="s">
        <v>111</v>
      </c>
      <c r="B114" s="1657" t="s">
        <v>106</v>
      </c>
      <c r="C114" s="214">
        <f>'[16]IAS 41 Mvmnt Pigs'!$N114</f>
        <v>0</v>
      </c>
      <c r="D114" s="214"/>
      <c r="E114" s="214">
        <f t="shared" si="39"/>
        <v>0</v>
      </c>
      <c r="F114" s="222"/>
      <c r="G114" s="2179" t="e">
        <f>'Summary Total Pigs'!#REF!*'IAS 41 Mvmnt Pigs'!F114</f>
        <v>#REF!</v>
      </c>
      <c r="H114" s="2179" t="e">
        <f>'Summary Total Pigs'!#REF!*'IAS 41 Mvmnt Pigs'!F114</f>
        <v>#REF!</v>
      </c>
      <c r="I114" s="2179" t="e">
        <f>F114*'Summary Total Pigs'!#REF!</f>
        <v>#REF!</v>
      </c>
      <c r="J114" s="2179">
        <f>F114*'Summary Total Pigs'!AD231</f>
        <v>0</v>
      </c>
      <c r="K114" s="2179" t="e">
        <f>'Summary Total Pigs'!#REF!*'IAS 41 Mvmnt Pigs'!F114</f>
        <v>#REF!</v>
      </c>
      <c r="L114" s="216" t="e">
        <f t="shared" si="40"/>
        <v>#REF!</v>
      </c>
      <c r="M114" s="2204">
        <v>0</v>
      </c>
      <c r="N114" s="2206" t="e">
        <f t="shared" si="41"/>
        <v>#REF!</v>
      </c>
      <c r="O114" s="2207">
        <v>0</v>
      </c>
      <c r="P114" s="160" t="e">
        <f t="shared" si="42"/>
        <v>#REF!</v>
      </c>
      <c r="Q114" s="24"/>
    </row>
    <row r="115" spans="1:17">
      <c r="A115" s="2172" t="s">
        <v>112</v>
      </c>
      <c r="B115" s="54" t="s">
        <v>106</v>
      </c>
      <c r="C115" s="214">
        <f>'[16]IAS 41 Mvmnt Pigs'!$N115</f>
        <v>0</v>
      </c>
      <c r="D115" s="214">
        <v>0</v>
      </c>
      <c r="E115" s="214">
        <f t="shared" si="39"/>
        <v>0</v>
      </c>
      <c r="F115" s="222"/>
      <c r="G115" s="2179" t="e">
        <f>'Summary Total Pigs'!#REF!*'IAS 41 Mvmnt Pigs'!F115</f>
        <v>#REF!</v>
      </c>
      <c r="H115" s="2179" t="e">
        <f>'Summary Total Pigs'!#REF!*'IAS 41 Mvmnt Pigs'!F115</f>
        <v>#REF!</v>
      </c>
      <c r="I115" s="2179" t="e">
        <f>F115*'Summary Total Pigs'!#REF!</f>
        <v>#REF!</v>
      </c>
      <c r="J115" s="2179">
        <f>F115*'Summary Total Pigs'!AD232</f>
        <v>0</v>
      </c>
      <c r="K115" s="2179" t="e">
        <f>'Summary Total Pigs'!#REF!*'IAS 41 Mvmnt Pigs'!F115</f>
        <v>#REF!</v>
      </c>
      <c r="L115" s="216" t="e">
        <f t="shared" si="40"/>
        <v>#REF!</v>
      </c>
      <c r="M115" s="2204">
        <v>0</v>
      </c>
      <c r="N115" s="2206" t="e">
        <f t="shared" si="41"/>
        <v>#REF!</v>
      </c>
      <c r="O115" s="2207">
        <v>0</v>
      </c>
      <c r="P115" s="160" t="e">
        <f t="shared" si="42"/>
        <v>#REF!</v>
      </c>
      <c r="Q115" s="24"/>
    </row>
    <row r="116" spans="1:17" ht="13.9" thickBot="1">
      <c r="A116" s="2174" t="s">
        <v>113</v>
      </c>
      <c r="B116" s="971"/>
      <c r="C116" s="214">
        <f>'[16]IAS 41 Mvmnt Pigs'!$N116</f>
        <v>0</v>
      </c>
      <c r="D116" s="214">
        <v>0</v>
      </c>
      <c r="E116" s="223">
        <f t="shared" si="39"/>
        <v>0</v>
      </c>
      <c r="F116" s="222"/>
      <c r="G116" s="2179" t="e">
        <f>'Summary Total Pigs'!#REF!*'IAS 41 Mvmnt Pigs'!F116</f>
        <v>#REF!</v>
      </c>
      <c r="H116" s="2179" t="e">
        <f>'Summary Total Pigs'!#REF!*'IAS 41 Mvmnt Pigs'!F116</f>
        <v>#REF!</v>
      </c>
      <c r="I116" s="2179" t="e">
        <f>F116*'Summary Total Pigs'!#REF!</f>
        <v>#REF!</v>
      </c>
      <c r="J116" s="2179">
        <f>F116*'Summary Total Pigs'!AD233</f>
        <v>0</v>
      </c>
      <c r="K116" s="2179" t="e">
        <f>'Summary Total Pigs'!#REF!*'IAS 41 Mvmnt Pigs'!F116</f>
        <v>#REF!</v>
      </c>
      <c r="L116" s="216" t="e">
        <f t="shared" si="40"/>
        <v>#REF!</v>
      </c>
      <c r="M116" s="2204">
        <v>0</v>
      </c>
      <c r="N116" s="2206" t="e">
        <f t="shared" si="41"/>
        <v>#REF!</v>
      </c>
      <c r="O116" s="2207">
        <v>0</v>
      </c>
      <c r="P116" s="160" t="e">
        <f t="shared" si="42"/>
        <v>#REF!</v>
      </c>
      <c r="Q116" s="24"/>
    </row>
    <row r="117" spans="1:17" ht="13.9" thickBot="1">
      <c r="A117" s="3" t="s">
        <v>115</v>
      </c>
      <c r="B117" s="55"/>
      <c r="C117" s="200">
        <f>SUM(C111:C116)</f>
        <v>348511908.26521152</v>
      </c>
      <c r="D117" s="201" t="e">
        <f>SUM(D111:D115)</f>
        <v>#REF!</v>
      </c>
      <c r="E117" s="201" t="e">
        <f t="shared" ref="E117:N117" si="43">SUM(E111:E116)</f>
        <v>#REF!</v>
      </c>
      <c r="F117" s="201" t="e">
        <f t="shared" si="43"/>
        <v>#REF!</v>
      </c>
      <c r="G117" s="201" t="e">
        <f t="shared" si="43"/>
        <v>#REF!</v>
      </c>
      <c r="H117" s="201" t="e">
        <f t="shared" si="43"/>
        <v>#REF!</v>
      </c>
      <c r="I117" s="201" t="e">
        <f t="shared" si="43"/>
        <v>#REF!</v>
      </c>
      <c r="J117" s="201" t="e">
        <f t="shared" si="43"/>
        <v>#REF!</v>
      </c>
      <c r="K117" s="201" t="e">
        <f t="shared" si="43"/>
        <v>#REF!</v>
      </c>
      <c r="L117" s="201" t="e">
        <f t="shared" si="43"/>
        <v>#REF!</v>
      </c>
      <c r="M117" s="201">
        <f>SUM(M111:M116)</f>
        <v>0</v>
      </c>
      <c r="N117" s="201" t="e">
        <f t="shared" si="43"/>
        <v>#REF!</v>
      </c>
      <c r="O117" s="157">
        <f>SUM(O111:O116)</f>
        <v>389516582.43000001</v>
      </c>
      <c r="P117" s="160" t="e">
        <f t="shared" si="42"/>
        <v>#REF!</v>
      </c>
      <c r="Q117" s="24">
        <f>[17]Sheet1!$J$16</f>
        <v>-389462894.67000002</v>
      </c>
    </row>
    <row r="118" spans="1:17">
      <c r="B118" s="74"/>
      <c r="G118" s="205"/>
      <c r="H118" s="205"/>
      <c r="I118" s="205"/>
      <c r="J118" s="205"/>
      <c r="K118" s="205"/>
      <c r="M118" s="2176"/>
      <c r="Q118" s="24">
        <f>Q117+M117</f>
        <v>-389462894.67000002</v>
      </c>
    </row>
    <row r="119" spans="1:17">
      <c r="B119" s="74"/>
      <c r="G119" s="205"/>
      <c r="H119" s="205"/>
      <c r="I119" s="205"/>
      <c r="J119" s="205"/>
      <c r="K119" s="205"/>
      <c r="M119" s="2176"/>
      <c r="Q119" s="24"/>
    </row>
    <row r="120" spans="1:17">
      <c r="A120" s="1" t="s">
        <v>86</v>
      </c>
      <c r="B120" s="17" t="s">
        <v>144</v>
      </c>
      <c r="G120" s="205"/>
      <c r="H120" s="205"/>
      <c r="I120" s="205"/>
      <c r="J120" s="205"/>
      <c r="K120" s="205"/>
      <c r="M120" s="205"/>
      <c r="Q120" s="24"/>
    </row>
    <row r="121" spans="1:17" ht="13.9" thickBot="1">
      <c r="G121" s="205"/>
      <c r="H121" s="205"/>
      <c r="I121" s="205"/>
      <c r="J121" s="205"/>
      <c r="K121" s="205"/>
      <c r="M121" s="205"/>
      <c r="Q121" s="24"/>
    </row>
    <row r="122" spans="1:17" ht="27" thickBot="1">
      <c r="A122" s="12" t="s">
        <v>87</v>
      </c>
      <c r="B122" s="52" t="s">
        <v>88</v>
      </c>
      <c r="C122" s="190" t="s">
        <v>89</v>
      </c>
      <c r="D122" s="192" t="s">
        <v>91</v>
      </c>
      <c r="E122" s="192" t="s">
        <v>99</v>
      </c>
      <c r="F122" s="192" t="s">
        <v>100</v>
      </c>
      <c r="G122" s="192" t="s">
        <v>101</v>
      </c>
      <c r="H122" s="192" t="s">
        <v>102</v>
      </c>
      <c r="I122" s="192" t="e">
        <f>I110</f>
        <v>#REF!</v>
      </c>
      <c r="J122" s="192" t="str">
        <f>+J110</f>
        <v>CULLS</v>
      </c>
      <c r="K122" s="192" t="str">
        <f>+K110</f>
        <v>STOCK ADJMNT</v>
      </c>
      <c r="L122" s="212" t="s">
        <v>163</v>
      </c>
      <c r="M122" s="192" t="str">
        <f>+M110</f>
        <v>CURRENT ADJMNT</v>
      </c>
      <c r="N122" s="213" t="str">
        <f>+N110</f>
        <v>CLOSING BAL</v>
      </c>
      <c r="O122" s="158" t="s">
        <v>165</v>
      </c>
      <c r="Q122" s="24"/>
    </row>
    <row r="123" spans="1:17">
      <c r="A123" s="2171" t="s">
        <v>105</v>
      </c>
      <c r="B123" s="54" t="s">
        <v>106</v>
      </c>
      <c r="C123" s="214">
        <f>'[16]IAS 41 Mvmnt Pigs'!$N123</f>
        <v>0</v>
      </c>
      <c r="D123" s="2178"/>
      <c r="E123" s="221">
        <f>SUM(C123:D123)</f>
        <v>0</v>
      </c>
      <c r="F123" s="222"/>
      <c r="G123" s="2179" t="e">
        <f>'Summary Total Pigs'!#REF!*'IAS 41 Mvmnt Pigs'!F123</f>
        <v>#REF!</v>
      </c>
      <c r="H123" s="2179" t="e">
        <f>'Summary Total Pigs'!#REF!*'IAS 41 Mvmnt Pigs'!F123</f>
        <v>#REF!</v>
      </c>
      <c r="I123" s="2179" t="e">
        <f>F123*'Summary Total Pigs'!#REF!</f>
        <v>#REF!</v>
      </c>
      <c r="J123" s="2179">
        <f>F123*'Summary Total Pigs'!AD240</f>
        <v>0</v>
      </c>
      <c r="K123" s="2179" t="e">
        <f>'Summary Total Pigs'!#REF!*'IAS 41 Mvmnt Pigs'!F123</f>
        <v>#REF!</v>
      </c>
      <c r="L123" s="216" t="e">
        <f t="shared" ref="L123:L128" si="44">E123+G123+H123+J123+K123+I123</f>
        <v>#REF!</v>
      </c>
      <c r="M123" s="2204">
        <v>0</v>
      </c>
      <c r="N123" s="217" t="e">
        <f t="shared" ref="N123:N128" si="45">+L123+M123</f>
        <v>#REF!</v>
      </c>
      <c r="O123" s="159">
        <v>0</v>
      </c>
      <c r="P123" s="160" t="e">
        <f t="shared" ref="P123:P129" si="46">N123-O123</f>
        <v>#REF!</v>
      </c>
      <c r="Q123" s="24"/>
    </row>
    <row r="124" spans="1:17">
      <c r="A124" s="2172" t="s">
        <v>107</v>
      </c>
      <c r="B124" s="2173" t="s">
        <v>108</v>
      </c>
      <c r="C124" s="214">
        <f>'[16]IAS 41 Mvmnt Pigs'!$N124</f>
        <v>0</v>
      </c>
      <c r="D124" s="2182">
        <f>'Summary Total Pigs'!C187*'Pigs Cost'!M65</f>
        <v>0</v>
      </c>
      <c r="E124" s="214">
        <v>0</v>
      </c>
      <c r="F124" s="222">
        <v>0</v>
      </c>
      <c r="G124" s="2179" t="e">
        <f>'Summary Total Pigs'!#REF!*'IAS 41 Mvmnt Pigs'!F124</f>
        <v>#REF!</v>
      </c>
      <c r="H124" s="2179" t="e">
        <f>'Summary Total Pigs'!#REF!*'IAS 41 Mvmnt Pigs'!F124</f>
        <v>#REF!</v>
      </c>
      <c r="I124" s="2179" t="e">
        <f>F124*'Summary Total Pigs'!#REF!</f>
        <v>#REF!</v>
      </c>
      <c r="J124" s="2179">
        <f>F124*'Summary Total Pigs'!AD241</f>
        <v>0</v>
      </c>
      <c r="K124" s="2179" t="e">
        <f>'Summary Total Pigs'!#REF!*'IAS 41 Mvmnt Pigs'!F124</f>
        <v>#REF!</v>
      </c>
      <c r="L124" s="216" t="e">
        <f t="shared" si="44"/>
        <v>#REF!</v>
      </c>
      <c r="M124" s="2204">
        <v>0</v>
      </c>
      <c r="N124" s="2206" t="e">
        <f t="shared" si="45"/>
        <v>#REF!</v>
      </c>
      <c r="O124" s="2207">
        <v>0</v>
      </c>
      <c r="P124" s="160" t="e">
        <f t="shared" si="46"/>
        <v>#REF!</v>
      </c>
      <c r="Q124" s="24"/>
    </row>
    <row r="125" spans="1:17">
      <c r="A125" s="2172" t="s">
        <v>109</v>
      </c>
      <c r="B125" s="2173" t="s">
        <v>110</v>
      </c>
      <c r="C125" s="214">
        <f>'[16]IAS 41 Mvmnt Pigs'!$N125</f>
        <v>208373962.84009868</v>
      </c>
      <c r="D125" s="2193" t="e">
        <f>(75*F101)</f>
        <v>#REF!</v>
      </c>
      <c r="E125" s="214" t="e">
        <f>SUM(C125:D125)</f>
        <v>#REF!</v>
      </c>
      <c r="F125" s="222" t="e">
        <f>E125/'Summary Total Pigs'!#REF!</f>
        <v>#REF!</v>
      </c>
      <c r="G125" s="2179" t="e">
        <f>'Summary Total Pigs'!#REF!*'IAS 41 Mvmnt Pigs'!F125</f>
        <v>#REF!</v>
      </c>
      <c r="H125" s="2179" t="e">
        <f>'Summary Total Pigs'!#REF!*'IAS 41 Mvmnt Pigs'!F125</f>
        <v>#REF!</v>
      </c>
      <c r="I125" s="2179" t="e">
        <f>F125*'Summary Total Pigs'!#REF!</f>
        <v>#REF!</v>
      </c>
      <c r="J125" s="2179" t="e">
        <f>F125*'Summary Total Pigs'!AD242</f>
        <v>#REF!</v>
      </c>
      <c r="K125" s="2179" t="e">
        <f>'Summary Total Pigs'!#REF!*'IAS 41 Mvmnt Pigs'!F125</f>
        <v>#REF!</v>
      </c>
      <c r="L125" s="216" t="e">
        <f t="shared" si="44"/>
        <v>#REF!</v>
      </c>
      <c r="M125" s="2204">
        <v>0</v>
      </c>
      <c r="N125" s="2206" t="e">
        <f t="shared" si="45"/>
        <v>#REF!</v>
      </c>
      <c r="O125" s="2207">
        <f>[17]Sheet1!$H$171</f>
        <v>202599045.94999999</v>
      </c>
      <c r="P125" s="160" t="e">
        <f t="shared" si="46"/>
        <v>#REF!</v>
      </c>
      <c r="Q125" s="24"/>
    </row>
    <row r="126" spans="1:17">
      <c r="A126" s="2172" t="s">
        <v>111</v>
      </c>
      <c r="B126" s="1657" t="s">
        <v>106</v>
      </c>
      <c r="C126" s="214">
        <f>'[16]IAS 41 Mvmnt Pigs'!$N126</f>
        <v>0</v>
      </c>
      <c r="D126" s="2182"/>
      <c r="E126" s="214">
        <f>SUM(C126:D126)</f>
        <v>0</v>
      </c>
      <c r="F126" s="222"/>
      <c r="G126" s="2179" t="e">
        <f>'Summary Total Pigs'!#REF!*'IAS 41 Mvmnt Pigs'!F126</f>
        <v>#REF!</v>
      </c>
      <c r="H126" s="2179" t="e">
        <f>'Summary Total Pigs'!#REF!*'IAS 41 Mvmnt Pigs'!F126</f>
        <v>#REF!</v>
      </c>
      <c r="I126" s="2179" t="e">
        <f>F126*'Summary Total Pigs'!#REF!</f>
        <v>#REF!</v>
      </c>
      <c r="J126" s="2179">
        <f>F126*'Summary Total Pigs'!AD243</f>
        <v>0</v>
      </c>
      <c r="K126" s="2179" t="e">
        <f>'Summary Total Pigs'!#REF!*'IAS 41 Mvmnt Pigs'!F126</f>
        <v>#REF!</v>
      </c>
      <c r="L126" s="216" t="e">
        <f t="shared" si="44"/>
        <v>#REF!</v>
      </c>
      <c r="M126" s="2204">
        <v>0</v>
      </c>
      <c r="N126" s="2206" t="e">
        <f t="shared" si="45"/>
        <v>#REF!</v>
      </c>
      <c r="O126" s="2207">
        <v>0</v>
      </c>
      <c r="P126" s="160" t="e">
        <f t="shared" si="46"/>
        <v>#REF!</v>
      </c>
      <c r="Q126" s="24"/>
    </row>
    <row r="127" spans="1:17">
      <c r="A127" s="2172" t="s">
        <v>112</v>
      </c>
      <c r="B127" s="54" t="s">
        <v>106</v>
      </c>
      <c r="C127" s="214">
        <f>'[16]IAS 41 Mvmnt Pigs'!$N127</f>
        <v>0</v>
      </c>
      <c r="D127" s="2182"/>
      <c r="E127" s="214">
        <f>SUM(C127:D127)</f>
        <v>0</v>
      </c>
      <c r="F127" s="222"/>
      <c r="G127" s="2179" t="e">
        <f>'Summary Total Pigs'!#REF!*'IAS 41 Mvmnt Pigs'!F127</f>
        <v>#REF!</v>
      </c>
      <c r="H127" s="2179" t="e">
        <f>'Summary Total Pigs'!#REF!*'IAS 41 Mvmnt Pigs'!F127</f>
        <v>#REF!</v>
      </c>
      <c r="I127" s="2179" t="e">
        <f>F127*'Summary Total Pigs'!#REF!</f>
        <v>#REF!</v>
      </c>
      <c r="J127" s="2179">
        <f>F127*'Summary Total Pigs'!AD244</f>
        <v>0</v>
      </c>
      <c r="K127" s="2179" t="e">
        <f>'Summary Total Pigs'!#REF!*'IAS 41 Mvmnt Pigs'!F127</f>
        <v>#REF!</v>
      </c>
      <c r="L127" s="216" t="e">
        <f t="shared" si="44"/>
        <v>#REF!</v>
      </c>
      <c r="M127" s="2204">
        <v>0</v>
      </c>
      <c r="N127" s="2206" t="e">
        <f t="shared" si="45"/>
        <v>#REF!</v>
      </c>
      <c r="O127" s="2207">
        <v>0</v>
      </c>
      <c r="P127" s="160" t="e">
        <f t="shared" si="46"/>
        <v>#REF!</v>
      </c>
      <c r="Q127" s="24"/>
    </row>
    <row r="128" spans="1:17" ht="13.9" thickBot="1">
      <c r="A128" s="2174" t="s">
        <v>113</v>
      </c>
      <c r="B128" s="971"/>
      <c r="C128" s="214">
        <f>'[16]IAS 41 Mvmnt Pigs'!$N128</f>
        <v>0</v>
      </c>
      <c r="D128" s="2186"/>
      <c r="E128" s="223">
        <f>SUM(C128:D128)</f>
        <v>0</v>
      </c>
      <c r="F128" s="222"/>
      <c r="G128" s="2179" t="e">
        <f>'Summary Total Pigs'!#REF!*'IAS 41 Mvmnt Pigs'!F128</f>
        <v>#REF!</v>
      </c>
      <c r="H128" s="2179" t="e">
        <f>'Summary Total Pigs'!#REF!*'IAS 41 Mvmnt Pigs'!F128</f>
        <v>#REF!</v>
      </c>
      <c r="I128" s="2179" t="e">
        <f>F128*'Summary Total Pigs'!#REF!</f>
        <v>#REF!</v>
      </c>
      <c r="J128" s="2179">
        <f>F128*'Summary Total Pigs'!AD245</f>
        <v>0</v>
      </c>
      <c r="K128" s="2179" t="e">
        <f>'Summary Total Pigs'!#REF!*'IAS 41 Mvmnt Pigs'!F128</f>
        <v>#REF!</v>
      </c>
      <c r="L128" s="216" t="e">
        <f t="shared" si="44"/>
        <v>#REF!</v>
      </c>
      <c r="M128" s="2204">
        <v>0</v>
      </c>
      <c r="N128" s="2206" t="e">
        <f t="shared" si="45"/>
        <v>#REF!</v>
      </c>
      <c r="O128" s="2207">
        <v>0</v>
      </c>
      <c r="P128" s="160" t="e">
        <f t="shared" si="46"/>
        <v>#REF!</v>
      </c>
      <c r="Q128" s="24"/>
    </row>
    <row r="129" spans="1:17" ht="13.9" thickBot="1">
      <c r="A129" s="3" t="s">
        <v>115</v>
      </c>
      <c r="B129" s="55"/>
      <c r="C129" s="200">
        <f>SUM(C123:C128)</f>
        <v>208373962.84009868</v>
      </c>
      <c r="D129" s="201" t="e">
        <f>SUM(D123:D127)</f>
        <v>#REF!</v>
      </c>
      <c r="E129" s="201" t="e">
        <f t="shared" ref="E129:N129" si="47">SUM(E123:E128)</f>
        <v>#REF!</v>
      </c>
      <c r="F129" s="201" t="e">
        <f t="shared" si="47"/>
        <v>#REF!</v>
      </c>
      <c r="G129" s="201" t="e">
        <f t="shared" si="47"/>
        <v>#REF!</v>
      </c>
      <c r="H129" s="201" t="e">
        <f t="shared" si="47"/>
        <v>#REF!</v>
      </c>
      <c r="I129" s="201" t="e">
        <f t="shared" si="47"/>
        <v>#REF!</v>
      </c>
      <c r="J129" s="201" t="e">
        <f t="shared" si="47"/>
        <v>#REF!</v>
      </c>
      <c r="K129" s="201" t="e">
        <f>SUM(K123:K128)</f>
        <v>#REF!</v>
      </c>
      <c r="L129" s="201" t="e">
        <f t="shared" si="47"/>
        <v>#REF!</v>
      </c>
      <c r="M129" s="201">
        <f t="shared" si="47"/>
        <v>0</v>
      </c>
      <c r="N129" s="201" t="e">
        <f t="shared" si="47"/>
        <v>#REF!</v>
      </c>
      <c r="O129" s="157">
        <f>SUM(O123:O128)</f>
        <v>202599045.94999999</v>
      </c>
      <c r="P129" s="160" t="e">
        <f t="shared" si="46"/>
        <v>#REF!</v>
      </c>
      <c r="Q129" s="24">
        <f>[17]Sheet1!$H$16</f>
        <v>-202532987.44999999</v>
      </c>
    </row>
    <row r="130" spans="1:17">
      <c r="B130" s="74"/>
      <c r="G130" s="205"/>
      <c r="H130" s="205"/>
      <c r="I130" s="205"/>
      <c r="J130" s="205"/>
      <c r="K130" s="205"/>
      <c r="M130" s="2176"/>
      <c r="Q130" s="24">
        <f>M129+Q129</f>
        <v>-202532987.44999999</v>
      </c>
    </row>
    <row r="131" spans="1:17">
      <c r="B131" s="74"/>
      <c r="G131" s="205"/>
      <c r="H131" s="205"/>
      <c r="I131" s="205"/>
      <c r="J131" s="205"/>
      <c r="K131" s="205"/>
      <c r="M131" s="2176"/>
      <c r="Q131" s="24"/>
    </row>
    <row r="132" spans="1:17">
      <c r="A132" s="1" t="s">
        <v>86</v>
      </c>
      <c r="B132" s="17" t="s">
        <v>145</v>
      </c>
      <c r="G132" s="205"/>
      <c r="H132" s="205"/>
      <c r="I132" s="205"/>
      <c r="J132" s="205"/>
      <c r="K132" s="205"/>
      <c r="M132" s="205"/>
      <c r="Q132" s="24"/>
    </row>
    <row r="133" spans="1:17" ht="13.9" thickBot="1">
      <c r="G133" s="205"/>
      <c r="H133" s="205"/>
      <c r="I133" s="205"/>
      <c r="J133" s="205"/>
      <c r="K133" s="205"/>
      <c r="M133" s="205"/>
      <c r="Q133" s="24"/>
    </row>
    <row r="134" spans="1:17" ht="27" thickBot="1">
      <c r="A134" s="12" t="s">
        <v>87</v>
      </c>
      <c r="B134" s="52" t="s">
        <v>88</v>
      </c>
      <c r="C134" s="190" t="s">
        <v>89</v>
      </c>
      <c r="D134" s="192" t="s">
        <v>91</v>
      </c>
      <c r="E134" s="192" t="s">
        <v>99</v>
      </c>
      <c r="F134" s="192" t="s">
        <v>100</v>
      </c>
      <c r="G134" s="192" t="s">
        <v>101</v>
      </c>
      <c r="H134" s="192" t="s">
        <v>102</v>
      </c>
      <c r="I134" s="192" t="e">
        <f>I122</f>
        <v>#REF!</v>
      </c>
      <c r="J134" s="192" t="str">
        <f>+J122</f>
        <v>CULLS</v>
      </c>
      <c r="K134" s="192" t="str">
        <f>+K122</f>
        <v>STOCK ADJMNT</v>
      </c>
      <c r="L134" s="212" t="s">
        <v>163</v>
      </c>
      <c r="M134" s="192" t="str">
        <f>+M122</f>
        <v>CURRENT ADJMNT</v>
      </c>
      <c r="N134" s="213" t="str">
        <f>+N122</f>
        <v>CLOSING BAL</v>
      </c>
      <c r="O134" s="158" t="s">
        <v>165</v>
      </c>
      <c r="Q134" s="24"/>
    </row>
    <row r="135" spans="1:17">
      <c r="A135" s="2171" t="s">
        <v>105</v>
      </c>
      <c r="B135" s="54" t="s">
        <v>106</v>
      </c>
      <c r="C135" s="214">
        <f>'[16]IAS 41 Mvmnt Pigs'!$N135</f>
        <v>0</v>
      </c>
      <c r="D135" s="2178"/>
      <c r="E135" s="221">
        <f>SUM(C135:D135)</f>
        <v>0</v>
      </c>
      <c r="F135" s="222"/>
      <c r="G135" s="2179" t="e">
        <f>'Summary Total Pigs'!#REF!*'IAS 41 Mvmnt Pigs'!F135</f>
        <v>#REF!</v>
      </c>
      <c r="H135" s="2179" t="e">
        <f>'Summary Total Pigs'!#REF!*'IAS 41 Mvmnt Pigs'!F135</f>
        <v>#REF!</v>
      </c>
      <c r="I135" s="2179" t="e">
        <f>F135*'Summary Total Pigs'!#REF!</f>
        <v>#REF!</v>
      </c>
      <c r="J135" s="2179">
        <f>F135*'Summary Total Pigs'!AD252</f>
        <v>0</v>
      </c>
      <c r="K135" s="2179" t="e">
        <f>'Summary Total Pigs'!#REF!*'IAS 41 Mvmnt Pigs'!F135</f>
        <v>#REF!</v>
      </c>
      <c r="L135" s="216" t="e">
        <f t="shared" ref="L135:L140" si="48">E135+G135+H135+J135+K135+I135</f>
        <v>#REF!</v>
      </c>
      <c r="M135" s="2204">
        <v>0</v>
      </c>
      <c r="N135" s="217" t="e">
        <f t="shared" ref="N135:N140" si="49">+L135+M135</f>
        <v>#REF!</v>
      </c>
      <c r="O135" s="159">
        <v>0</v>
      </c>
      <c r="P135" s="160" t="e">
        <f t="shared" ref="P135:P141" si="50">N135-O135</f>
        <v>#REF!</v>
      </c>
      <c r="Q135" s="24"/>
    </row>
    <row r="136" spans="1:17">
      <c r="A136" s="2172" t="s">
        <v>107</v>
      </c>
      <c r="B136" s="2173" t="s">
        <v>108</v>
      </c>
      <c r="C136" s="214">
        <f>'[16]IAS 41 Mvmnt Pigs'!$N136</f>
        <v>0</v>
      </c>
      <c r="D136" s="2182" t="e">
        <f>'Summary Total Pigs'!C202*'Pigs Cost'!M78</f>
        <v>#REF!</v>
      </c>
      <c r="E136" s="214">
        <v>0</v>
      </c>
      <c r="F136" s="222">
        <v>0</v>
      </c>
      <c r="G136" s="2179" t="e">
        <f>'Summary Total Pigs'!#REF!*'IAS 41 Mvmnt Pigs'!F136</f>
        <v>#REF!</v>
      </c>
      <c r="H136" s="2179" t="e">
        <f>'Summary Total Pigs'!#REF!*'IAS 41 Mvmnt Pigs'!F136</f>
        <v>#REF!</v>
      </c>
      <c r="I136" s="2179" t="e">
        <f>F136*'Summary Total Pigs'!#REF!</f>
        <v>#REF!</v>
      </c>
      <c r="J136" s="2179">
        <f>F136*'Summary Total Pigs'!AD253</f>
        <v>0</v>
      </c>
      <c r="K136" s="2179" t="e">
        <f>'Summary Total Pigs'!#REF!*'IAS 41 Mvmnt Pigs'!F136</f>
        <v>#REF!</v>
      </c>
      <c r="L136" s="216" t="e">
        <f t="shared" si="48"/>
        <v>#REF!</v>
      </c>
      <c r="M136" s="2204">
        <v>0</v>
      </c>
      <c r="N136" s="2206" t="e">
        <f t="shared" si="49"/>
        <v>#REF!</v>
      </c>
      <c r="O136" s="2207">
        <v>0</v>
      </c>
      <c r="P136" s="160" t="e">
        <f t="shared" si="50"/>
        <v>#REF!</v>
      </c>
      <c r="Q136" s="24"/>
    </row>
    <row r="137" spans="1:17">
      <c r="A137" s="2172" t="s">
        <v>109</v>
      </c>
      <c r="B137" s="2173" t="s">
        <v>110</v>
      </c>
      <c r="C137" s="214">
        <f>'[16]IAS 41 Mvmnt Pigs'!$N137</f>
        <v>1411173955.2447891</v>
      </c>
      <c r="D137" s="2193" t="e">
        <f>'Summary Total Pigs'!#REF!*F77</f>
        <v>#REF!</v>
      </c>
      <c r="E137" s="214" t="e">
        <f>SUM(C137:D137)</f>
        <v>#REF!</v>
      </c>
      <c r="F137" s="222" t="e">
        <f>E137/'Summary Total Pigs'!#REF!</f>
        <v>#REF!</v>
      </c>
      <c r="G137" s="2195" t="e">
        <f>'Summary Total Pigs'!#REF!*'IAS 41 Mvmnt Pigs'!F137</f>
        <v>#REF!</v>
      </c>
      <c r="H137" s="2179" t="e">
        <f>'Summary Total Pigs'!#REF!*'IAS 41 Mvmnt Pigs'!F137</f>
        <v>#REF!</v>
      </c>
      <c r="I137" s="2179" t="e">
        <f>F137*'Summary Total Pigs'!#REF!</f>
        <v>#REF!</v>
      </c>
      <c r="J137" s="2179" t="e">
        <f>F137*'Summary Total Pigs'!AD254</f>
        <v>#REF!</v>
      </c>
      <c r="K137" s="2179" t="e">
        <f>'Summary Total Pigs'!#REF!*'IAS 41 Mvmnt Pigs'!F137</f>
        <v>#REF!</v>
      </c>
      <c r="L137" s="216" t="e">
        <f t="shared" si="48"/>
        <v>#REF!</v>
      </c>
      <c r="M137" s="2204">
        <v>0</v>
      </c>
      <c r="N137" s="2206" t="e">
        <f t="shared" si="49"/>
        <v>#REF!</v>
      </c>
      <c r="O137" s="2207">
        <f>[17]Sheet1!$F$171</f>
        <v>730302702.13</v>
      </c>
      <c r="P137" s="160" t="e">
        <f t="shared" si="50"/>
        <v>#REF!</v>
      </c>
      <c r="Q137" s="24"/>
    </row>
    <row r="138" spans="1:17">
      <c r="A138" s="2172" t="s">
        <v>111</v>
      </c>
      <c r="B138" s="1657" t="s">
        <v>106</v>
      </c>
      <c r="C138" s="214">
        <f>'[16]IAS 41 Mvmnt Pigs'!$N138</f>
        <v>0</v>
      </c>
      <c r="D138" s="2182"/>
      <c r="E138" s="214">
        <f>SUM(C138:D138)</f>
        <v>0</v>
      </c>
      <c r="F138" s="222"/>
      <c r="G138" s="2179" t="e">
        <f>'Summary Total Pigs'!#REF!*'IAS 41 Mvmnt Pigs'!F138</f>
        <v>#REF!</v>
      </c>
      <c r="H138" s="2179" t="e">
        <f>'Summary Total Pigs'!#REF!*'IAS 41 Mvmnt Pigs'!F138</f>
        <v>#REF!</v>
      </c>
      <c r="I138" s="2179" t="e">
        <f>F138*'Summary Total Pigs'!#REF!</f>
        <v>#REF!</v>
      </c>
      <c r="J138" s="2179">
        <f>F138*'Summary Total Pigs'!AD255</f>
        <v>0</v>
      </c>
      <c r="K138" s="2179" t="e">
        <f>'Summary Total Pigs'!#REF!*'IAS 41 Mvmnt Pigs'!F138</f>
        <v>#REF!</v>
      </c>
      <c r="L138" s="216" t="e">
        <f t="shared" si="48"/>
        <v>#REF!</v>
      </c>
      <c r="M138" s="2204">
        <v>0</v>
      </c>
      <c r="N138" s="2206" t="e">
        <f t="shared" si="49"/>
        <v>#REF!</v>
      </c>
      <c r="O138" s="2207">
        <v>0</v>
      </c>
      <c r="P138" s="160" t="e">
        <f t="shared" si="50"/>
        <v>#REF!</v>
      </c>
      <c r="Q138" s="24"/>
    </row>
    <row r="139" spans="1:17">
      <c r="A139" s="2172" t="s">
        <v>112</v>
      </c>
      <c r="B139" s="54" t="s">
        <v>106</v>
      </c>
      <c r="C139" s="214">
        <f>'[16]IAS 41 Mvmnt Pigs'!$N139</f>
        <v>0</v>
      </c>
      <c r="D139" s="2182"/>
      <c r="E139" s="214">
        <f>SUM(C139:D139)</f>
        <v>0</v>
      </c>
      <c r="F139" s="222"/>
      <c r="G139" s="2179" t="e">
        <f>'Summary Total Pigs'!#REF!*'IAS 41 Mvmnt Pigs'!F139</f>
        <v>#REF!</v>
      </c>
      <c r="H139" s="2179" t="e">
        <f>'Summary Total Pigs'!#REF!*'IAS 41 Mvmnt Pigs'!F139</f>
        <v>#REF!</v>
      </c>
      <c r="I139" s="2179" t="e">
        <f>F139*'Summary Total Pigs'!#REF!</f>
        <v>#REF!</v>
      </c>
      <c r="J139" s="2179">
        <f>F139*'Summary Total Pigs'!AD256</f>
        <v>0</v>
      </c>
      <c r="K139" s="2179" t="e">
        <f>'Summary Total Pigs'!#REF!*'IAS 41 Mvmnt Pigs'!F139</f>
        <v>#REF!</v>
      </c>
      <c r="L139" s="216" t="e">
        <f t="shared" si="48"/>
        <v>#REF!</v>
      </c>
      <c r="M139" s="2204">
        <v>0</v>
      </c>
      <c r="N139" s="2206" t="e">
        <f t="shared" si="49"/>
        <v>#REF!</v>
      </c>
      <c r="O139" s="2207">
        <v>0</v>
      </c>
      <c r="P139" s="160" t="e">
        <f t="shared" si="50"/>
        <v>#REF!</v>
      </c>
      <c r="Q139" s="24"/>
    </row>
    <row r="140" spans="1:17" ht="13.9" thickBot="1">
      <c r="A140" s="2174" t="s">
        <v>113</v>
      </c>
      <c r="B140" s="971"/>
      <c r="C140" s="214">
        <f>'[16]IAS 41 Mvmnt Pigs'!$N140</f>
        <v>0</v>
      </c>
      <c r="D140" s="2186"/>
      <c r="E140" s="223">
        <f>SUM(C140:D140)</f>
        <v>0</v>
      </c>
      <c r="F140" s="222"/>
      <c r="G140" s="2179" t="e">
        <f>'Summary Total Pigs'!#REF!*'IAS 41 Mvmnt Pigs'!F140</f>
        <v>#REF!</v>
      </c>
      <c r="H140" s="2179" t="e">
        <f>'Summary Total Pigs'!#REF!*'IAS 41 Mvmnt Pigs'!F140</f>
        <v>#REF!</v>
      </c>
      <c r="I140" s="2179" t="e">
        <f>F140*'Summary Total Pigs'!#REF!</f>
        <v>#REF!</v>
      </c>
      <c r="J140" s="2179">
        <f>F140*'Summary Total Pigs'!AD257</f>
        <v>0</v>
      </c>
      <c r="K140" s="2179" t="e">
        <f>'Summary Total Pigs'!#REF!*'IAS 41 Mvmnt Pigs'!F140</f>
        <v>#REF!</v>
      </c>
      <c r="L140" s="216" t="e">
        <f t="shared" si="48"/>
        <v>#REF!</v>
      </c>
      <c r="M140" s="2204">
        <v>0</v>
      </c>
      <c r="N140" s="2206" t="e">
        <f t="shared" si="49"/>
        <v>#REF!</v>
      </c>
      <c r="O140" s="2207">
        <v>0</v>
      </c>
      <c r="P140" s="160" t="e">
        <f t="shared" si="50"/>
        <v>#REF!</v>
      </c>
      <c r="Q140" s="24"/>
    </row>
    <row r="141" spans="1:17" ht="13.9" thickBot="1">
      <c r="A141" s="3" t="s">
        <v>115</v>
      </c>
      <c r="B141" s="55"/>
      <c r="C141" s="200">
        <f>SUM(C135:C140)</f>
        <v>1411173955.2447891</v>
      </c>
      <c r="D141" s="201" t="e">
        <f>SUM(D135:D139)</f>
        <v>#REF!</v>
      </c>
      <c r="E141" s="201" t="e">
        <f t="shared" ref="E141:K141" si="51">SUM(E135:E140)</f>
        <v>#REF!</v>
      </c>
      <c r="F141" s="201" t="e">
        <f t="shared" si="51"/>
        <v>#REF!</v>
      </c>
      <c r="G141" s="201" t="e">
        <f t="shared" si="51"/>
        <v>#REF!</v>
      </c>
      <c r="H141" s="201" t="e">
        <f t="shared" si="51"/>
        <v>#REF!</v>
      </c>
      <c r="I141" s="201" t="e">
        <f t="shared" si="51"/>
        <v>#REF!</v>
      </c>
      <c r="J141" s="201" t="e">
        <f t="shared" si="51"/>
        <v>#REF!</v>
      </c>
      <c r="K141" s="201" t="e">
        <f t="shared" si="51"/>
        <v>#REF!</v>
      </c>
      <c r="L141" s="201" t="e">
        <f>SUM(L135:L140)</f>
        <v>#REF!</v>
      </c>
      <c r="M141" s="201">
        <f>SUM(M135:M140)</f>
        <v>0</v>
      </c>
      <c r="N141" s="201" t="e">
        <f>SUM(N135:N140)</f>
        <v>#REF!</v>
      </c>
      <c r="O141" s="157">
        <f>SUM(O135:O140)</f>
        <v>730302702.13</v>
      </c>
      <c r="P141" s="160" t="e">
        <f t="shared" si="50"/>
        <v>#REF!</v>
      </c>
      <c r="Q141" s="24">
        <f>[17]Sheet1!$F$16</f>
        <v>-730068005.36000001</v>
      </c>
    </row>
    <row r="142" spans="1:17">
      <c r="A142" s="1"/>
      <c r="B142" s="1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  <c r="N142" s="202"/>
      <c r="Q142" s="24">
        <f>M141+Q141</f>
        <v>-730068005.36000001</v>
      </c>
    </row>
    <row r="143" spans="1:17">
      <c r="A143" s="1"/>
      <c r="B143" s="1"/>
      <c r="C143" s="202"/>
      <c r="D143" s="202"/>
      <c r="E143" s="202"/>
      <c r="F143" s="202"/>
      <c r="G143" s="202"/>
      <c r="H143" s="202"/>
      <c r="I143" s="202"/>
      <c r="J143" s="202"/>
      <c r="K143" s="202"/>
      <c r="L143" s="202"/>
      <c r="M143" s="202"/>
      <c r="N143" s="202"/>
      <c r="Q143" s="24"/>
    </row>
    <row r="144" spans="1:17">
      <c r="A144" s="1" t="s">
        <v>86</v>
      </c>
      <c r="B144" s="17" t="s">
        <v>146</v>
      </c>
      <c r="G144" s="205"/>
      <c r="H144" s="205"/>
      <c r="I144" s="205"/>
      <c r="J144" s="205"/>
      <c r="K144" s="205"/>
      <c r="M144" s="205"/>
      <c r="Q144" s="24"/>
    </row>
    <row r="145" spans="1:17" ht="13.9" thickBot="1">
      <c r="G145" s="205"/>
      <c r="H145" s="205"/>
      <c r="I145" s="205"/>
      <c r="J145" s="205"/>
      <c r="K145" s="205"/>
      <c r="M145" s="205"/>
      <c r="Q145" s="24"/>
    </row>
    <row r="146" spans="1:17" ht="27" thickBot="1">
      <c r="A146" s="12" t="s">
        <v>87</v>
      </c>
      <c r="B146" s="52" t="s">
        <v>88</v>
      </c>
      <c r="C146" s="190" t="s">
        <v>89</v>
      </c>
      <c r="D146" s="192" t="s">
        <v>91</v>
      </c>
      <c r="E146" s="192" t="s">
        <v>99</v>
      </c>
      <c r="F146" s="192" t="s">
        <v>100</v>
      </c>
      <c r="G146" s="192" t="s">
        <v>101</v>
      </c>
      <c r="H146" s="192" t="s">
        <v>102</v>
      </c>
      <c r="I146" s="192" t="e">
        <f>I134</f>
        <v>#REF!</v>
      </c>
      <c r="J146" s="192" t="str">
        <f>+J134</f>
        <v>CULLS</v>
      </c>
      <c r="K146" s="192" t="str">
        <f>+K134</f>
        <v>STOCK ADJMNT</v>
      </c>
      <c r="L146" s="212" t="s">
        <v>163</v>
      </c>
      <c r="M146" s="192" t="str">
        <f>+M134</f>
        <v>CURRENT ADJMNT</v>
      </c>
      <c r="N146" s="213" t="str">
        <f>+N134</f>
        <v>CLOSING BAL</v>
      </c>
      <c r="O146" s="158" t="s">
        <v>165</v>
      </c>
      <c r="Q146" s="24"/>
    </row>
    <row r="147" spans="1:17">
      <c r="A147" s="2171" t="s">
        <v>105</v>
      </c>
      <c r="B147" s="54" t="s">
        <v>106</v>
      </c>
      <c r="C147" s="214">
        <f>'[16]IAS 41 Mvmnt Pigs'!$N147</f>
        <v>0</v>
      </c>
      <c r="D147" s="2178"/>
      <c r="E147" s="221">
        <f>SUM(C147:D147)</f>
        <v>0</v>
      </c>
      <c r="F147" s="222"/>
      <c r="G147" s="2179" t="e">
        <f>'Summary Total Pigs'!#REF!*'IAS 41 Mvmnt Pigs'!F147</f>
        <v>#REF!</v>
      </c>
      <c r="H147" s="2179" t="e">
        <f>'Summary Total Pigs'!#REF!*'IAS 41 Mvmnt Pigs'!F147</f>
        <v>#REF!</v>
      </c>
      <c r="I147" s="2179" t="e">
        <f>F147*'Summary Total Pigs'!#REF!</f>
        <v>#REF!</v>
      </c>
      <c r="J147" s="2179">
        <f>F147*'Summary Total Pigs'!AD264</f>
        <v>0</v>
      </c>
      <c r="K147" s="2179" t="e">
        <f>'Summary Total Pigs'!#REF!*'IAS 41 Mvmnt Pigs'!F147</f>
        <v>#REF!</v>
      </c>
      <c r="L147" s="216" t="e">
        <f t="shared" ref="L147:L152" si="52">E147+G147+H147+J147+K147+I147</f>
        <v>#REF!</v>
      </c>
      <c r="M147" s="2204">
        <v>0</v>
      </c>
      <c r="N147" s="217" t="e">
        <f t="shared" ref="N147:N152" si="53">+L147+M147</f>
        <v>#REF!</v>
      </c>
      <c r="O147" s="159">
        <v>0</v>
      </c>
      <c r="P147" s="160" t="e">
        <f t="shared" ref="P147:P153" si="54">N147-O147</f>
        <v>#REF!</v>
      </c>
      <c r="Q147" s="24"/>
    </row>
    <row r="148" spans="1:17">
      <c r="A148" s="2172" t="s">
        <v>107</v>
      </c>
      <c r="B148" s="2173" t="s">
        <v>108</v>
      </c>
      <c r="C148" s="214">
        <f>'[16]IAS 41 Mvmnt Pigs'!$N148</f>
        <v>0</v>
      </c>
      <c r="D148" s="2182" t="e">
        <f>'Summary Total Pigs'!C218*'Pigs Cost'!M90</f>
        <v>#REF!</v>
      </c>
      <c r="E148" s="214">
        <v>0</v>
      </c>
      <c r="F148" s="222">
        <v>0</v>
      </c>
      <c r="G148" s="2179" t="e">
        <f>'Summary Total Pigs'!#REF!*'IAS 41 Mvmnt Pigs'!F148</f>
        <v>#REF!</v>
      </c>
      <c r="H148" s="2179" t="e">
        <f>'Summary Total Pigs'!#REF!*'IAS 41 Mvmnt Pigs'!F148</f>
        <v>#REF!</v>
      </c>
      <c r="I148" s="2179" t="e">
        <f>F148*'Summary Total Pigs'!#REF!</f>
        <v>#REF!</v>
      </c>
      <c r="J148" s="2179">
        <f>F148*'Summary Total Pigs'!AD265</f>
        <v>0</v>
      </c>
      <c r="K148" s="2179" t="e">
        <f>'Summary Total Pigs'!#REF!*'IAS 41 Mvmnt Pigs'!F148</f>
        <v>#REF!</v>
      </c>
      <c r="L148" s="216" t="e">
        <f t="shared" si="52"/>
        <v>#REF!</v>
      </c>
      <c r="M148" s="2204">
        <v>0</v>
      </c>
      <c r="N148" s="2206" t="e">
        <f t="shared" si="53"/>
        <v>#REF!</v>
      </c>
      <c r="O148" s="2207">
        <v>0</v>
      </c>
      <c r="P148" s="160" t="e">
        <f t="shared" si="54"/>
        <v>#REF!</v>
      </c>
      <c r="Q148" s="24"/>
    </row>
    <row r="149" spans="1:17">
      <c r="A149" s="2172" t="s">
        <v>109</v>
      </c>
      <c r="B149" s="2173" t="s">
        <v>110</v>
      </c>
      <c r="C149" s="214">
        <f>'[16]IAS 41 Mvmnt Pigs'!$N149</f>
        <v>156372895.96636966</v>
      </c>
      <c r="D149" s="2196" t="e">
        <f>'Summary Total Pigs'!#REF!*F137</f>
        <v>#REF!</v>
      </c>
      <c r="E149" s="214" t="e">
        <f>SUM(C149:D149)</f>
        <v>#REF!</v>
      </c>
      <c r="F149" s="222"/>
      <c r="G149" s="2179" t="e">
        <f>'Summary Total Pigs'!#REF!*'IAS 41 Mvmnt Pigs'!F149</f>
        <v>#REF!</v>
      </c>
      <c r="H149" s="2179" t="e">
        <f>'Summary Total Pigs'!#REF!*'IAS 41 Mvmnt Pigs'!F149</f>
        <v>#REF!</v>
      </c>
      <c r="I149" s="2179" t="e">
        <f>F149*'Summary Total Pigs'!#REF!</f>
        <v>#REF!</v>
      </c>
      <c r="J149" s="2179">
        <f>F149*'Summary Total Pigs'!AD266</f>
        <v>0</v>
      </c>
      <c r="K149" s="2179" t="e">
        <f>'Summary Total Pigs'!#REF!*'IAS 41 Mvmnt Pigs'!F149</f>
        <v>#REF!</v>
      </c>
      <c r="L149" s="216" t="e">
        <f t="shared" si="52"/>
        <v>#REF!</v>
      </c>
      <c r="M149" s="2204">
        <v>0</v>
      </c>
      <c r="N149" s="2206" t="e">
        <f>+L149+M149</f>
        <v>#REF!</v>
      </c>
      <c r="O149" s="2207">
        <f>[17]Sheet1!$G$171</f>
        <v>141978278.37</v>
      </c>
      <c r="P149" s="160" t="e">
        <f t="shared" si="54"/>
        <v>#REF!</v>
      </c>
      <c r="Q149" s="24"/>
    </row>
    <row r="150" spans="1:17">
      <c r="A150" s="2172" t="s">
        <v>111</v>
      </c>
      <c r="B150" s="1657" t="s">
        <v>106</v>
      </c>
      <c r="C150" s="214">
        <f>'[16]IAS 41 Mvmnt Pigs'!$N150</f>
        <v>0</v>
      </c>
      <c r="D150" s="2182"/>
      <c r="E150" s="214">
        <f>SUM(C150:D150)</f>
        <v>0</v>
      </c>
      <c r="F150" s="222"/>
      <c r="G150" s="2179" t="e">
        <f>'Summary Total Pigs'!#REF!*'IAS 41 Mvmnt Pigs'!F150</f>
        <v>#REF!</v>
      </c>
      <c r="H150" s="2179" t="e">
        <f>'Summary Total Pigs'!#REF!*'IAS 41 Mvmnt Pigs'!F150</f>
        <v>#REF!</v>
      </c>
      <c r="I150" s="2179" t="e">
        <f>F150*'Summary Total Pigs'!#REF!</f>
        <v>#REF!</v>
      </c>
      <c r="J150" s="2179">
        <f>F150*'Summary Total Pigs'!AD267</f>
        <v>0</v>
      </c>
      <c r="K150" s="2179" t="e">
        <f>'Summary Total Pigs'!#REF!*'IAS 41 Mvmnt Pigs'!F150</f>
        <v>#REF!</v>
      </c>
      <c r="L150" s="216" t="e">
        <f t="shared" si="52"/>
        <v>#REF!</v>
      </c>
      <c r="M150" s="2204">
        <v>0</v>
      </c>
      <c r="N150" s="2206" t="e">
        <f t="shared" si="53"/>
        <v>#REF!</v>
      </c>
      <c r="O150" s="2207">
        <v>0</v>
      </c>
      <c r="P150" s="160" t="e">
        <f t="shared" si="54"/>
        <v>#REF!</v>
      </c>
      <c r="Q150" s="24"/>
    </row>
    <row r="151" spans="1:17">
      <c r="A151" s="2172" t="s">
        <v>112</v>
      </c>
      <c r="B151" s="54" t="s">
        <v>106</v>
      </c>
      <c r="C151" s="214">
        <f>'[16]IAS 41 Mvmnt Pigs'!$N151</f>
        <v>0</v>
      </c>
      <c r="D151" s="2182"/>
      <c r="E151" s="214">
        <f>SUM(C151:D151)</f>
        <v>0</v>
      </c>
      <c r="F151" s="222"/>
      <c r="G151" s="2179" t="e">
        <f>'Summary Total Pigs'!#REF!*'IAS 41 Mvmnt Pigs'!F151</f>
        <v>#REF!</v>
      </c>
      <c r="H151" s="2179" t="e">
        <f>'Summary Total Pigs'!#REF!*'IAS 41 Mvmnt Pigs'!F151</f>
        <v>#REF!</v>
      </c>
      <c r="I151" s="2179" t="e">
        <f>F151*'Summary Total Pigs'!#REF!</f>
        <v>#REF!</v>
      </c>
      <c r="J151" s="2179">
        <f>F151*'Summary Total Pigs'!AD268</f>
        <v>0</v>
      </c>
      <c r="K151" s="2179" t="e">
        <f>'Summary Total Pigs'!#REF!*'IAS 41 Mvmnt Pigs'!F151</f>
        <v>#REF!</v>
      </c>
      <c r="L151" s="216" t="e">
        <f t="shared" si="52"/>
        <v>#REF!</v>
      </c>
      <c r="M151" s="2204">
        <v>0</v>
      </c>
      <c r="N151" s="2206" t="e">
        <f t="shared" si="53"/>
        <v>#REF!</v>
      </c>
      <c r="O151" s="2207">
        <v>0</v>
      </c>
      <c r="P151" s="160" t="e">
        <f t="shared" si="54"/>
        <v>#REF!</v>
      </c>
      <c r="Q151" s="24"/>
    </row>
    <row r="152" spans="1:17" ht="13.9" thickBot="1">
      <c r="A152" s="2174" t="s">
        <v>113</v>
      </c>
      <c r="B152" s="971"/>
      <c r="C152" s="214">
        <f>'[16]IAS 41 Mvmnt Pigs'!$N152</f>
        <v>0</v>
      </c>
      <c r="D152" s="2186"/>
      <c r="E152" s="223">
        <f>SUM(C152:D152)</f>
        <v>0</v>
      </c>
      <c r="F152" s="222"/>
      <c r="G152" s="2179" t="e">
        <f>'Summary Total Pigs'!#REF!*'IAS 41 Mvmnt Pigs'!F152</f>
        <v>#REF!</v>
      </c>
      <c r="H152" s="2179" t="e">
        <f>'Summary Total Pigs'!#REF!*'IAS 41 Mvmnt Pigs'!F152</f>
        <v>#REF!</v>
      </c>
      <c r="I152" s="2179" t="e">
        <f>F152*'Summary Total Pigs'!#REF!</f>
        <v>#REF!</v>
      </c>
      <c r="J152" s="2179">
        <f>F152*'Summary Total Pigs'!AD269</f>
        <v>0</v>
      </c>
      <c r="K152" s="2179" t="e">
        <f>'Summary Total Pigs'!#REF!*'IAS 41 Mvmnt Pigs'!F152</f>
        <v>#REF!</v>
      </c>
      <c r="L152" s="216" t="e">
        <f t="shared" si="52"/>
        <v>#REF!</v>
      </c>
      <c r="M152" s="2204">
        <v>0</v>
      </c>
      <c r="N152" s="2206" t="e">
        <f t="shared" si="53"/>
        <v>#REF!</v>
      </c>
      <c r="O152" s="2207">
        <v>0</v>
      </c>
      <c r="P152" s="160" t="e">
        <f t="shared" si="54"/>
        <v>#REF!</v>
      </c>
      <c r="Q152" s="24"/>
    </row>
    <row r="153" spans="1:17" ht="13.9" thickBot="1">
      <c r="A153" s="3" t="s">
        <v>115</v>
      </c>
      <c r="B153" s="55"/>
      <c r="C153" s="200">
        <f>SUM(C147:C152)</f>
        <v>156372895.96636966</v>
      </c>
      <c r="D153" s="201" t="e">
        <f>SUM(D147:D151)</f>
        <v>#REF!</v>
      </c>
      <c r="E153" s="201" t="e">
        <f t="shared" ref="E153:N153" si="55">SUM(E147:E152)</f>
        <v>#REF!</v>
      </c>
      <c r="F153" s="201">
        <f t="shared" si="55"/>
        <v>0</v>
      </c>
      <c r="G153" s="201" t="e">
        <f t="shared" si="55"/>
        <v>#REF!</v>
      </c>
      <c r="H153" s="201" t="e">
        <f t="shared" si="55"/>
        <v>#REF!</v>
      </c>
      <c r="I153" s="201" t="e">
        <f t="shared" si="55"/>
        <v>#REF!</v>
      </c>
      <c r="J153" s="201">
        <f t="shared" si="55"/>
        <v>0</v>
      </c>
      <c r="K153" s="201" t="e">
        <f t="shared" si="55"/>
        <v>#REF!</v>
      </c>
      <c r="L153" s="201" t="e">
        <f t="shared" si="55"/>
        <v>#REF!</v>
      </c>
      <c r="M153" s="201">
        <f t="shared" si="55"/>
        <v>0</v>
      </c>
      <c r="N153" s="201" t="e">
        <f t="shared" si="55"/>
        <v>#REF!</v>
      </c>
      <c r="O153" s="157">
        <f>SUM(O147:O152)</f>
        <v>141978278.37</v>
      </c>
      <c r="P153" s="160" t="e">
        <f t="shared" si="54"/>
        <v>#REF!</v>
      </c>
      <c r="Q153" s="24">
        <f>[17]Sheet1!$G$16</f>
        <v>-141950471.88999999</v>
      </c>
    </row>
    <row r="154" spans="1:17">
      <c r="A154" s="1"/>
      <c r="B154" s="1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  <c r="M154" s="202"/>
      <c r="N154" s="202"/>
      <c r="Q154" s="24">
        <f>M153+Q153</f>
        <v>-141950471.88999999</v>
      </c>
    </row>
    <row r="155" spans="1:17">
      <c r="A155" s="1"/>
      <c r="B155" s="1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Q155" s="24"/>
    </row>
    <row r="156" spans="1:17" s="2" customFormat="1">
      <c r="A156" s="1" t="s">
        <v>86</v>
      </c>
      <c r="B156" s="1"/>
      <c r="C156" s="187" t="s">
        <v>115</v>
      </c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201"/>
      <c r="P156" s="300"/>
      <c r="Q156" s="24"/>
    </row>
    <row r="157" spans="1:17" s="2" customFormat="1" ht="13.9" thickBot="1">
      <c r="A157" s="143"/>
      <c r="B157" s="91" t="s">
        <v>115</v>
      </c>
      <c r="C157" s="2197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201"/>
      <c r="P157" s="300"/>
      <c r="Q157" s="24"/>
    </row>
    <row r="158" spans="1:17" s="14" customFormat="1" ht="27" thickBot="1">
      <c r="A158" s="12" t="s">
        <v>87</v>
      </c>
      <c r="B158" s="52" t="s">
        <v>88</v>
      </c>
      <c r="C158" s="190" t="s">
        <v>89</v>
      </c>
      <c r="D158" s="192" t="s">
        <v>91</v>
      </c>
      <c r="E158" s="192" t="s">
        <v>99</v>
      </c>
      <c r="F158" s="192" t="s">
        <v>100</v>
      </c>
      <c r="G158" s="192" t="s">
        <v>101</v>
      </c>
      <c r="H158" s="192" t="s">
        <v>102</v>
      </c>
      <c r="I158" s="192" t="e">
        <f>I146</f>
        <v>#REF!</v>
      </c>
      <c r="J158" s="192" t="str">
        <f>+J74</f>
        <v>CULLS</v>
      </c>
      <c r="K158" s="192" t="str">
        <f>+K86</f>
        <v>STOCK ADJMNT</v>
      </c>
      <c r="L158" s="212" t="s">
        <v>163</v>
      </c>
      <c r="M158" s="192" t="str">
        <f>+M86</f>
        <v>CURRENT ADJMNT</v>
      </c>
      <c r="N158" s="213" t="str">
        <f>+N86</f>
        <v>CLOSING BAL</v>
      </c>
      <c r="O158" s="158" t="s">
        <v>165</v>
      </c>
      <c r="Q158" s="24"/>
    </row>
    <row r="159" spans="1:17" s="2" customFormat="1">
      <c r="A159" s="2171" t="s">
        <v>105</v>
      </c>
      <c r="B159" s="54" t="s">
        <v>106</v>
      </c>
      <c r="C159" s="214">
        <f t="shared" ref="C159:C164" si="56">C13+C25+C37+C63+C52+C75+C87+C99+C111+C123+C135+C147</f>
        <v>159400304.33495432</v>
      </c>
      <c r="D159" s="214" t="e">
        <f t="shared" ref="D159:M159" si="57">D13+D25+D37+D63+D52+D75+D87+D99+D111+D123+D135+D147</f>
        <v>#REF!</v>
      </c>
      <c r="E159" s="214" t="e">
        <f t="shared" si="57"/>
        <v>#REF!</v>
      </c>
      <c r="F159" s="214" t="e">
        <f t="shared" si="57"/>
        <v>#REF!</v>
      </c>
      <c r="G159" s="214" t="e">
        <f t="shared" si="57"/>
        <v>#REF!</v>
      </c>
      <c r="H159" s="214" t="e">
        <f t="shared" si="57"/>
        <v>#REF!</v>
      </c>
      <c r="I159" s="214" t="e">
        <f t="shared" ref="I159:I164" si="58">I13+I25+I37+I63+I52+I75+I87+I99+I111+I123+I135+I147</f>
        <v>#REF!</v>
      </c>
      <c r="J159" s="214" t="e">
        <f t="shared" si="57"/>
        <v>#REF!</v>
      </c>
      <c r="K159" s="214" t="e">
        <f t="shared" si="57"/>
        <v>#REF!</v>
      </c>
      <c r="L159" s="214" t="e">
        <f t="shared" si="57"/>
        <v>#REF!</v>
      </c>
      <c r="M159" s="214">
        <f t="shared" si="57"/>
        <v>0</v>
      </c>
      <c r="N159" s="214" t="e">
        <f t="shared" ref="N159:O164" si="59">N13+N25+N37+N63+N52+N75+N87+N99+N111+N123+N135+N147</f>
        <v>#REF!</v>
      </c>
      <c r="O159" s="214" t="e">
        <f t="shared" si="59"/>
        <v>#VALUE!</v>
      </c>
      <c r="P159" s="160" t="e">
        <f t="shared" ref="P159:P165" si="60">N159-O159</f>
        <v>#REF!</v>
      </c>
      <c r="Q159" s="24"/>
    </row>
    <row r="160" spans="1:17" s="2" customFormat="1">
      <c r="A160" s="2172" t="s">
        <v>107</v>
      </c>
      <c r="B160" s="2173" t="s">
        <v>108</v>
      </c>
      <c r="C160" s="214">
        <f t="shared" si="56"/>
        <v>3528365939.0134497</v>
      </c>
      <c r="D160" s="214" t="e">
        <f>D14+D26+D38+D64+D53+D76+D88+D100+D112+D124+D136+D148</f>
        <v>#REF!</v>
      </c>
      <c r="E160" s="214" t="e">
        <f t="shared" ref="E160:L160" si="61">E14+E26+E38+E64+E53+E76+E88+E100+E112+E124+E136+E148</f>
        <v>#REF!</v>
      </c>
      <c r="F160" s="214" t="e">
        <f t="shared" si="61"/>
        <v>#REF!</v>
      </c>
      <c r="G160" s="214" t="e">
        <f t="shared" si="61"/>
        <v>#REF!</v>
      </c>
      <c r="H160" s="214" t="e">
        <f t="shared" si="61"/>
        <v>#REF!</v>
      </c>
      <c r="I160" s="214" t="e">
        <f t="shared" si="58"/>
        <v>#REF!</v>
      </c>
      <c r="J160" s="214" t="e">
        <f t="shared" si="61"/>
        <v>#REF!</v>
      </c>
      <c r="K160" s="214" t="e">
        <f t="shared" si="61"/>
        <v>#REF!</v>
      </c>
      <c r="L160" s="214" t="e">
        <f t="shared" si="61"/>
        <v>#REF!</v>
      </c>
      <c r="M160" s="214">
        <f>M14+M26+M38+M64+M53+M76+M88+M100+M112+M124+M136+M148</f>
        <v>0</v>
      </c>
      <c r="N160" s="214" t="e">
        <f t="shared" si="59"/>
        <v>#REF!</v>
      </c>
      <c r="O160" s="214" t="e">
        <f t="shared" si="59"/>
        <v>#VALUE!</v>
      </c>
      <c r="P160" s="160" t="e">
        <f t="shared" si="60"/>
        <v>#REF!</v>
      </c>
      <c r="Q160" s="24"/>
    </row>
    <row r="161" spans="1:17" s="2" customFormat="1">
      <c r="A161" s="2172" t="s">
        <v>109</v>
      </c>
      <c r="B161" s="2173" t="s">
        <v>110</v>
      </c>
      <c r="C161" s="214">
        <f t="shared" si="56"/>
        <v>12134152276.697756</v>
      </c>
      <c r="D161" s="214" t="e">
        <f t="shared" ref="D161:M161" si="62">D15+D27+D39+D65+D54+D77+D89+D101+D113+D125+D137+D149</f>
        <v>#REF!</v>
      </c>
      <c r="E161" s="214" t="e">
        <f t="shared" si="62"/>
        <v>#REF!</v>
      </c>
      <c r="F161" s="214" t="e">
        <f t="shared" si="62"/>
        <v>#REF!</v>
      </c>
      <c r="G161" s="214" t="e">
        <f t="shared" si="62"/>
        <v>#REF!</v>
      </c>
      <c r="H161" s="214" t="e">
        <f t="shared" si="62"/>
        <v>#REF!</v>
      </c>
      <c r="I161" s="214" t="e">
        <f>I15+I27+I39+I65+I54+I77+I89+I101+I113+I125+I137+I149</f>
        <v>#REF!</v>
      </c>
      <c r="J161" s="214" t="e">
        <f t="shared" si="62"/>
        <v>#REF!</v>
      </c>
      <c r="K161" s="214" t="e">
        <f t="shared" si="62"/>
        <v>#REF!</v>
      </c>
      <c r="L161" s="214" t="e">
        <f>L15+L27+L39+L65+L54+L77+L89+L101+L113+L125+L137+L149</f>
        <v>#REF!</v>
      </c>
      <c r="M161" s="214">
        <f t="shared" si="62"/>
        <v>0</v>
      </c>
      <c r="N161" s="214" t="e">
        <f t="shared" si="59"/>
        <v>#REF!</v>
      </c>
      <c r="O161" s="214" t="e">
        <f t="shared" si="59"/>
        <v>#VALUE!</v>
      </c>
      <c r="P161" s="160" t="e">
        <f t="shared" si="60"/>
        <v>#REF!</v>
      </c>
      <c r="Q161" s="24"/>
    </row>
    <row r="162" spans="1:17" s="2" customFormat="1">
      <c r="A162" s="2172" t="s">
        <v>111</v>
      </c>
      <c r="B162" s="1657" t="s">
        <v>106</v>
      </c>
      <c r="C162" s="214">
        <f t="shared" si="56"/>
        <v>1123055253.4131391</v>
      </c>
      <c r="D162" s="214" t="e">
        <f t="shared" ref="D162:M162" si="63">D16+D28+D40+D66+D55+D78+D90+D102+D114+D126+D138+D150</f>
        <v>#REF!</v>
      </c>
      <c r="E162" s="214" t="e">
        <f t="shared" si="63"/>
        <v>#REF!</v>
      </c>
      <c r="F162" s="214" t="e">
        <f t="shared" si="63"/>
        <v>#REF!</v>
      </c>
      <c r="G162" s="214" t="e">
        <f t="shared" si="63"/>
        <v>#REF!</v>
      </c>
      <c r="H162" s="214" t="e">
        <f t="shared" si="63"/>
        <v>#REF!</v>
      </c>
      <c r="I162" s="214" t="e">
        <f t="shared" si="58"/>
        <v>#REF!</v>
      </c>
      <c r="J162" s="214" t="e">
        <f t="shared" si="63"/>
        <v>#REF!</v>
      </c>
      <c r="K162" s="214" t="e">
        <f t="shared" si="63"/>
        <v>#REF!</v>
      </c>
      <c r="L162" s="214" t="e">
        <f t="shared" si="63"/>
        <v>#REF!</v>
      </c>
      <c r="M162" s="214">
        <f t="shared" si="63"/>
        <v>0</v>
      </c>
      <c r="N162" s="214" t="e">
        <f t="shared" si="59"/>
        <v>#REF!</v>
      </c>
      <c r="O162" s="214" t="e">
        <f t="shared" si="59"/>
        <v>#VALUE!</v>
      </c>
      <c r="P162" s="160" t="e">
        <f t="shared" si="60"/>
        <v>#REF!</v>
      </c>
      <c r="Q162" s="24"/>
    </row>
    <row r="163" spans="1:17">
      <c r="A163" s="2172" t="s">
        <v>112</v>
      </c>
      <c r="B163" s="54" t="s">
        <v>106</v>
      </c>
      <c r="C163" s="214">
        <f t="shared" si="56"/>
        <v>3098273706.3715076</v>
      </c>
      <c r="D163" s="214" t="e">
        <f>D17+D29+D41+D67+D56+D79+D91+D103+D115+D127+D139+D151</f>
        <v>#REF!</v>
      </c>
      <c r="E163" s="214" t="e">
        <f t="shared" ref="E163:M163" si="64">E17+E29+E41+E67+E56+E79+E91+E103+E115+E127+E139+E151</f>
        <v>#REF!</v>
      </c>
      <c r="F163" s="214" t="e">
        <f t="shared" si="64"/>
        <v>#REF!</v>
      </c>
      <c r="G163" s="214" t="e">
        <f t="shared" si="64"/>
        <v>#REF!</v>
      </c>
      <c r="H163" s="214" t="e">
        <f t="shared" si="64"/>
        <v>#REF!</v>
      </c>
      <c r="I163" s="214" t="e">
        <f t="shared" si="58"/>
        <v>#REF!</v>
      </c>
      <c r="J163" s="214" t="e">
        <f t="shared" si="64"/>
        <v>#REF!</v>
      </c>
      <c r="K163" s="214" t="e">
        <f t="shared" si="64"/>
        <v>#REF!</v>
      </c>
      <c r="L163" s="214" t="e">
        <f t="shared" si="64"/>
        <v>#REF!</v>
      </c>
      <c r="M163" s="214">
        <f t="shared" si="64"/>
        <v>0</v>
      </c>
      <c r="N163" s="214" t="e">
        <f t="shared" si="59"/>
        <v>#REF!</v>
      </c>
      <c r="O163" s="214" t="e">
        <f t="shared" si="59"/>
        <v>#VALUE!</v>
      </c>
      <c r="P163" s="160" t="e">
        <f t="shared" si="60"/>
        <v>#REF!</v>
      </c>
      <c r="Q163" s="24"/>
    </row>
    <row r="164" spans="1:17" ht="13.9" thickBot="1">
      <c r="A164" s="2174" t="s">
        <v>113</v>
      </c>
      <c r="B164" s="971" t="s">
        <v>114</v>
      </c>
      <c r="C164" s="214">
        <f t="shared" si="56"/>
        <v>91117190.836050436</v>
      </c>
      <c r="D164" s="214" t="e">
        <f t="shared" ref="D164:M164" si="65">D18+D30+D42+D68+D57+D80+D92+D104+D116+D128+D140+D152</f>
        <v>#REF!</v>
      </c>
      <c r="E164" s="214" t="e">
        <f t="shared" si="65"/>
        <v>#REF!</v>
      </c>
      <c r="F164" s="214" t="e">
        <f t="shared" si="65"/>
        <v>#REF!</v>
      </c>
      <c r="G164" s="214" t="e">
        <f t="shared" si="65"/>
        <v>#REF!</v>
      </c>
      <c r="H164" s="214" t="e">
        <f t="shared" si="65"/>
        <v>#REF!</v>
      </c>
      <c r="I164" s="214" t="e">
        <f t="shared" si="58"/>
        <v>#REF!</v>
      </c>
      <c r="J164" s="214" t="e">
        <f t="shared" si="65"/>
        <v>#REF!</v>
      </c>
      <c r="K164" s="214" t="e">
        <f t="shared" si="65"/>
        <v>#REF!</v>
      </c>
      <c r="L164" s="214" t="e">
        <f t="shared" si="65"/>
        <v>#REF!</v>
      </c>
      <c r="M164" s="214">
        <f t="shared" si="65"/>
        <v>0</v>
      </c>
      <c r="N164" s="214" t="e">
        <f t="shared" si="59"/>
        <v>#REF!</v>
      </c>
      <c r="O164" s="214" t="e">
        <f t="shared" si="59"/>
        <v>#VALUE!</v>
      </c>
      <c r="P164" s="160" t="e">
        <f t="shared" si="60"/>
        <v>#REF!</v>
      </c>
      <c r="Q164" s="24"/>
    </row>
    <row r="165" spans="1:17" ht="13.9" thickBot="1">
      <c r="A165" s="3" t="s">
        <v>115</v>
      </c>
      <c r="B165" s="55"/>
      <c r="C165" s="201">
        <f t="shared" ref="C165:J165" si="66">SUM(C159:C164)</f>
        <v>20134364670.666859</v>
      </c>
      <c r="D165" s="201" t="e">
        <f t="shared" si="66"/>
        <v>#REF!</v>
      </c>
      <c r="E165" s="201" t="e">
        <f t="shared" si="66"/>
        <v>#REF!</v>
      </c>
      <c r="F165" s="201" t="e">
        <f t="shared" si="66"/>
        <v>#REF!</v>
      </c>
      <c r="G165" s="201" t="e">
        <f t="shared" si="66"/>
        <v>#REF!</v>
      </c>
      <c r="H165" s="201" t="e">
        <f t="shared" si="66"/>
        <v>#REF!</v>
      </c>
      <c r="I165" s="201" t="e">
        <f>SUM(I159:I164)</f>
        <v>#REF!</v>
      </c>
      <c r="J165" s="201" t="e">
        <f t="shared" si="66"/>
        <v>#REF!</v>
      </c>
      <c r="K165" s="201" t="e">
        <f>SUM(K159:K164)</f>
        <v>#REF!</v>
      </c>
      <c r="L165" s="201" t="e">
        <f>SUM(L159:L164)</f>
        <v>#REF!</v>
      </c>
      <c r="M165" s="201">
        <f>SUM(M159:M164)</f>
        <v>0</v>
      </c>
      <c r="N165" s="201" t="e">
        <f>SUM(N159:N164)</f>
        <v>#REF!</v>
      </c>
      <c r="O165" s="201" t="e">
        <f>SUM(O159:O164)</f>
        <v>#VALUE!</v>
      </c>
      <c r="P165" s="160" t="e">
        <f t="shared" si="60"/>
        <v>#REF!</v>
      </c>
    </row>
    <row r="166" spans="1:17">
      <c r="B166" s="290">
        <v>10000000000</v>
      </c>
      <c r="C166" s="219">
        <f>C165-'[16]IAS 41 Mvmnt Pigs'!$N$165</f>
        <v>0</v>
      </c>
      <c r="D166" s="219" t="e">
        <f>+D165+G165</f>
        <v>#REF!</v>
      </c>
      <c r="G166" s="205"/>
      <c r="H166" s="205"/>
      <c r="I166" s="205"/>
      <c r="J166" s="205"/>
      <c r="K166" s="205"/>
      <c r="M166" s="205"/>
      <c r="O166" s="160">
        <v>-2</v>
      </c>
    </row>
    <row r="169" spans="1:17" hidden="1">
      <c r="G169" s="205"/>
      <c r="H169" s="205"/>
      <c r="I169" s="205"/>
      <c r="J169" s="205"/>
      <c r="K169" s="205"/>
      <c r="M169" s="205"/>
    </row>
    <row r="170" spans="1:17" hidden="1">
      <c r="G170" s="205"/>
      <c r="H170" s="205"/>
      <c r="I170" s="205"/>
      <c r="J170" s="205"/>
      <c r="K170" s="205"/>
      <c r="M170" s="205"/>
    </row>
    <row r="171" spans="1:17" s="64" customFormat="1" hidden="1">
      <c r="C171" s="224"/>
      <c r="D171" s="225"/>
      <c r="E171" s="224"/>
      <c r="F171" s="224"/>
      <c r="G171" s="205"/>
      <c r="H171" s="205"/>
      <c r="I171" s="205"/>
      <c r="J171" s="205"/>
      <c r="K171" s="205"/>
      <c r="L171" s="224"/>
      <c r="M171" s="205"/>
      <c r="N171" s="224"/>
      <c r="O171" s="162"/>
    </row>
    <row r="172" spans="1:17" s="66" customFormat="1" hidden="1">
      <c r="C172" s="226"/>
      <c r="D172" s="225"/>
      <c r="E172" s="226"/>
      <c r="F172" s="226"/>
      <c r="G172" s="205"/>
      <c r="H172" s="205"/>
      <c r="I172" s="205"/>
      <c r="J172" s="205"/>
      <c r="K172" s="205"/>
      <c r="L172" s="226"/>
      <c r="M172" s="205"/>
      <c r="N172" s="226"/>
      <c r="O172" s="163"/>
    </row>
    <row r="173" spans="1:17" s="67" customFormat="1" hidden="1">
      <c r="C173" s="227"/>
      <c r="D173" s="225"/>
      <c r="E173" s="227"/>
      <c r="F173" s="227"/>
      <c r="G173" s="205"/>
      <c r="H173" s="205"/>
      <c r="I173" s="205"/>
      <c r="J173" s="205"/>
      <c r="K173" s="205"/>
      <c r="L173" s="227"/>
      <c r="M173" s="205"/>
      <c r="N173" s="227"/>
      <c r="O173" s="164"/>
    </row>
    <row r="174" spans="1:17" s="68" customFormat="1" hidden="1">
      <c r="C174" s="228"/>
      <c r="D174" s="225"/>
      <c r="E174" s="228"/>
      <c r="F174" s="228"/>
      <c r="G174" s="205"/>
      <c r="H174" s="205"/>
      <c r="I174" s="205"/>
      <c r="J174" s="205"/>
      <c r="K174" s="205"/>
      <c r="L174" s="228"/>
      <c r="M174" s="205"/>
      <c r="N174" s="228"/>
      <c r="O174" s="165"/>
    </row>
    <row r="175" spans="1:17" s="69" customFormat="1" hidden="1">
      <c r="C175" s="229"/>
      <c r="D175" s="225"/>
      <c r="E175" s="229"/>
      <c r="F175" s="229"/>
      <c r="G175" s="205"/>
      <c r="H175" s="205"/>
      <c r="I175" s="205"/>
      <c r="J175" s="205"/>
      <c r="K175" s="205"/>
      <c r="L175" s="229"/>
      <c r="M175" s="205"/>
      <c r="N175" s="229"/>
      <c r="O175" s="166"/>
    </row>
    <row r="176" spans="1:17" s="71" customFormat="1" hidden="1">
      <c r="B176" s="64"/>
      <c r="C176" s="230"/>
      <c r="D176" s="225"/>
      <c r="E176" s="230"/>
      <c r="F176" s="230"/>
      <c r="G176" s="205"/>
      <c r="H176" s="205"/>
      <c r="I176" s="205"/>
      <c r="J176" s="205"/>
      <c r="K176" s="205"/>
      <c r="L176" s="230"/>
      <c r="M176" s="205"/>
      <c r="N176" s="230"/>
      <c r="O176" s="167"/>
    </row>
    <row r="177" spans="2:15" s="72" customFormat="1" hidden="1">
      <c r="C177" s="231"/>
      <c r="D177" s="225"/>
      <c r="E177" s="231"/>
      <c r="F177" s="231"/>
      <c r="G177" s="205"/>
      <c r="H177" s="205"/>
      <c r="I177" s="205"/>
      <c r="J177" s="205"/>
      <c r="K177" s="205"/>
      <c r="L177" s="231"/>
      <c r="M177" s="205"/>
      <c r="N177" s="231"/>
      <c r="O177" s="168"/>
    </row>
    <row r="178" spans="2:15" hidden="1">
      <c r="D178" s="208"/>
      <c r="G178" s="205"/>
      <c r="H178" s="205"/>
      <c r="I178" s="205"/>
      <c r="J178" s="205"/>
      <c r="K178" s="205"/>
      <c r="M178" s="205"/>
    </row>
    <row r="179" spans="2:15" ht="13.9" hidden="1" thickBot="1">
      <c r="D179" s="209"/>
      <c r="G179" s="205"/>
      <c r="H179" s="205"/>
      <c r="I179" s="205"/>
      <c r="J179" s="205"/>
      <c r="K179" s="205"/>
      <c r="M179" s="205"/>
    </row>
    <row r="180" spans="2:15" hidden="1">
      <c r="G180" s="205"/>
      <c r="H180" s="205"/>
      <c r="I180" s="205"/>
      <c r="J180" s="205"/>
      <c r="K180" s="205"/>
      <c r="M180" s="205"/>
    </row>
    <row r="181" spans="2:15" hidden="1">
      <c r="G181" s="205"/>
      <c r="H181" s="205"/>
      <c r="I181" s="205"/>
      <c r="J181" s="205"/>
      <c r="K181" s="205"/>
      <c r="M181" s="205"/>
    </row>
    <row r="182" spans="2:15" hidden="1">
      <c r="G182" s="205"/>
      <c r="H182" s="205"/>
      <c r="I182" s="205"/>
      <c r="J182" s="205"/>
      <c r="K182" s="205"/>
      <c r="M182" s="205"/>
    </row>
    <row r="183" spans="2:15" hidden="1">
      <c r="G183" s="205"/>
      <c r="H183" s="205"/>
      <c r="I183" s="205"/>
      <c r="J183" s="205"/>
      <c r="K183" s="205"/>
      <c r="M183" s="205"/>
    </row>
    <row r="184" spans="2:15" hidden="1">
      <c r="G184" s="205"/>
      <c r="H184" s="205"/>
      <c r="I184" s="205"/>
      <c r="J184" s="205"/>
      <c r="K184" s="205"/>
      <c r="M184" s="205"/>
    </row>
    <row r="185" spans="2:15" hidden="1">
      <c r="G185" s="205"/>
      <c r="H185" s="205"/>
      <c r="I185" s="205"/>
      <c r="J185" s="205"/>
      <c r="K185" s="205"/>
      <c r="M185" s="205"/>
    </row>
    <row r="186" spans="2:15" hidden="1">
      <c r="G186" s="205"/>
      <c r="H186" s="205"/>
      <c r="I186" s="205"/>
      <c r="J186" s="205"/>
      <c r="K186" s="205"/>
      <c r="M186" s="205"/>
    </row>
    <row r="187" spans="2:15" hidden="1">
      <c r="B187" s="37"/>
      <c r="G187" s="205"/>
      <c r="H187" s="205"/>
      <c r="I187" s="205"/>
      <c r="J187" s="205"/>
      <c r="K187" s="205"/>
      <c r="M187" s="205"/>
    </row>
    <row r="188" spans="2:15" hidden="1">
      <c r="B188" s="37"/>
      <c r="G188" s="205"/>
      <c r="H188" s="205"/>
      <c r="I188" s="205"/>
      <c r="J188" s="205"/>
      <c r="K188" s="205"/>
      <c r="M188" s="205"/>
    </row>
    <row r="189" spans="2:15" hidden="1">
      <c r="B189" s="37"/>
      <c r="G189" s="205"/>
      <c r="H189" s="205"/>
      <c r="I189" s="205"/>
      <c r="J189" s="205"/>
      <c r="K189" s="205"/>
      <c r="M189" s="205"/>
    </row>
    <row r="190" spans="2:15" hidden="1">
      <c r="B190" s="37"/>
      <c r="G190" s="205"/>
      <c r="H190" s="205"/>
      <c r="I190" s="205"/>
      <c r="J190" s="205"/>
      <c r="K190" s="205"/>
      <c r="M190" s="205"/>
    </row>
    <row r="191" spans="2:15" hidden="1">
      <c r="B191" s="37"/>
      <c r="G191" s="205"/>
      <c r="H191" s="205"/>
      <c r="I191" s="205"/>
      <c r="J191" s="205"/>
      <c r="K191" s="205"/>
      <c r="M191" s="205"/>
    </row>
    <row r="192" spans="2:15" hidden="1">
      <c r="B192" s="38"/>
      <c r="D192" s="232"/>
      <c r="G192" s="205"/>
      <c r="H192" s="205"/>
      <c r="I192" s="205"/>
      <c r="J192" s="205"/>
      <c r="K192" s="205"/>
      <c r="M192" s="205"/>
    </row>
    <row r="193" spans="2:4" hidden="1">
      <c r="B193" s="38"/>
      <c r="D193" s="232"/>
    </row>
    <row r="194" spans="2:4" hidden="1">
      <c r="B194" s="38"/>
    </row>
    <row r="195" spans="2:4" hidden="1">
      <c r="B195" s="37"/>
    </row>
    <row r="196" spans="2:4" hidden="1">
      <c r="B196" s="37"/>
    </row>
    <row r="197" spans="2:4" hidden="1">
      <c r="B197" s="37"/>
    </row>
    <row r="198" spans="2:4" hidden="1">
      <c r="B198" s="37"/>
    </row>
    <row r="199" spans="2:4" hidden="1">
      <c r="B199" s="37"/>
    </row>
    <row r="200" spans="2:4" hidden="1">
      <c r="B200" s="37"/>
    </row>
    <row r="201" spans="2:4" hidden="1">
      <c r="B201" s="37"/>
    </row>
    <row r="202" spans="2:4" hidden="1">
      <c r="B202" s="37"/>
    </row>
    <row r="203" spans="2:4" hidden="1"/>
    <row r="204" spans="2:4" hidden="1"/>
    <row r="205" spans="2:4" ht="13.9" hidden="1" thickBot="1">
      <c r="D205" s="233"/>
    </row>
  </sheetData>
  <phoneticPr fontId="19" type="noConversion"/>
  <pageMargins left="0.25" right="0.25" top="0.25" bottom="0.5" header="0.25" footer="0.25"/>
  <pageSetup paperSize="9" scale="50" orientation="landscape" verticalDpi="300" r:id="rId1"/>
  <headerFooter alignWithMargins="0"/>
  <rowBreaks count="2" manualBreakCount="2">
    <brk id="82" max="12" man="1"/>
    <brk id="166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01"/>
  <sheetViews>
    <sheetView view="pageBreakPreview" topLeftCell="A10" zoomScaleSheetLayoutView="100" workbookViewId="0">
      <pane xSplit="2" ySplit="3" topLeftCell="C158" activePane="bottomRight" state="frozen"/>
      <selection pane="bottomRight" activeCell="B173" sqref="B173"/>
      <selection pane="bottomLeft" activeCell="A13" sqref="A13"/>
      <selection pane="topRight" activeCell="C10" sqref="C10"/>
    </sheetView>
  </sheetViews>
  <sheetFormatPr defaultColWidth="9.140625" defaultRowHeight="13.15"/>
  <cols>
    <col min="1" max="1" width="17.7109375" style="80" customWidth="1"/>
    <col min="2" max="2" width="32.28515625" style="198" bestFit="1" customWidth="1"/>
    <col min="3" max="3" width="24" style="198" customWidth="1"/>
    <col min="4" max="4" width="18.140625" style="198" customWidth="1"/>
    <col min="5" max="12" width="20.7109375" style="198" customWidth="1"/>
    <col min="13" max="13" width="17" style="198" customWidth="1"/>
    <col min="14" max="14" width="15.7109375" style="198" bestFit="1" customWidth="1"/>
    <col min="15" max="16" width="20.7109375" style="198" customWidth="1"/>
    <col min="17" max="17" width="16.5703125" style="198" bestFit="1" customWidth="1"/>
    <col min="18" max="18" width="20.7109375" style="198" customWidth="1"/>
    <col min="19" max="19" width="22.28515625" style="198" bestFit="1" customWidth="1"/>
    <col min="20" max="20" width="20.7109375" style="198" customWidth="1"/>
    <col min="21" max="21" width="8.85546875" style="198" bestFit="1" customWidth="1"/>
    <col min="22" max="22" width="20.85546875" bestFit="1" customWidth="1"/>
    <col min="23" max="23" width="20.7109375" bestFit="1" customWidth="1"/>
    <col min="24" max="24" width="11.28515625" bestFit="1" customWidth="1"/>
    <col min="26" max="16384" width="9.140625" style="80"/>
  </cols>
  <sheetData>
    <row r="1" spans="1:25" s="1" customFormat="1">
      <c r="A1" s="1" t="s">
        <v>81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/>
      <c r="W1"/>
      <c r="X1"/>
      <c r="Y1"/>
    </row>
    <row r="2" spans="1:25" s="1" customFormat="1"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5">
        <f>+'Summary Total Pigs'!C3</f>
        <v>46226</v>
      </c>
      <c r="U2" s="184"/>
      <c r="V2"/>
      <c r="W2"/>
      <c r="X2"/>
      <c r="Y2"/>
    </row>
    <row r="3" spans="1:25" s="1" customFormat="1">
      <c r="A3" s="1" t="s">
        <v>136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/>
      <c r="W3"/>
      <c r="X3"/>
      <c r="Y3"/>
    </row>
    <row r="4" spans="1:25" s="1" customFormat="1"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/>
      <c r="W4"/>
      <c r="X4"/>
      <c r="Y4"/>
    </row>
    <row r="5" spans="1:25" s="1" customFormat="1">
      <c r="A5" s="1" t="s">
        <v>137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/>
      <c r="W5"/>
      <c r="X5"/>
      <c r="Y5"/>
    </row>
    <row r="6" spans="1:25" s="1" customFormat="1"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/>
      <c r="W6"/>
      <c r="X6"/>
      <c r="Y6"/>
    </row>
    <row r="7" spans="1:25" s="1" customFormat="1">
      <c r="A7" s="1" t="str">
        <f>[23]USD!$A$7</f>
        <v>COST USD</v>
      </c>
      <c r="B7" s="184"/>
      <c r="C7" s="184"/>
      <c r="D7" s="184"/>
      <c r="E7" s="186"/>
      <c r="F7" s="184"/>
      <c r="G7" s="184"/>
      <c r="H7" s="184"/>
      <c r="I7" s="184"/>
      <c r="J7" s="184"/>
      <c r="K7" s="184"/>
      <c r="L7" s="184"/>
      <c r="M7" s="184"/>
      <c r="N7" s="186"/>
      <c r="O7" s="184"/>
      <c r="P7" s="184"/>
      <c r="Q7" s="184"/>
      <c r="R7" s="184"/>
      <c r="S7" s="184"/>
      <c r="T7" s="184"/>
      <c r="U7" s="184"/>
      <c r="V7"/>
      <c r="W7"/>
      <c r="X7"/>
      <c r="Y7"/>
    </row>
    <row r="8" spans="1:25" s="1" customFormat="1">
      <c r="B8" s="187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6"/>
      <c r="N8" s="184"/>
      <c r="O8" s="184"/>
      <c r="P8" s="184"/>
      <c r="Q8" s="184"/>
      <c r="R8" s="184"/>
      <c r="S8" s="184"/>
      <c r="T8" s="184"/>
      <c r="U8" s="184"/>
      <c r="V8"/>
      <c r="W8"/>
      <c r="X8"/>
      <c r="Y8"/>
    </row>
    <row r="9" spans="1:25" s="1" customFormat="1">
      <c r="B9" s="184"/>
      <c r="C9" s="184"/>
      <c r="D9" s="184"/>
      <c r="E9" s="186"/>
      <c r="F9" s="184"/>
      <c r="G9" s="184"/>
      <c r="H9" s="184"/>
      <c r="I9" s="184"/>
      <c r="J9" s="184"/>
      <c r="K9" s="184"/>
      <c r="L9" s="184"/>
      <c r="M9" s="186"/>
      <c r="N9" s="186"/>
      <c r="O9" s="184"/>
      <c r="P9" s="184"/>
      <c r="Q9" s="184"/>
      <c r="R9" s="184"/>
      <c r="S9" s="184"/>
      <c r="T9" s="184"/>
      <c r="U9" s="184"/>
      <c r="V9"/>
      <c r="W9"/>
      <c r="X9"/>
      <c r="Y9"/>
    </row>
    <row r="10" spans="1:25" s="1" customFormat="1">
      <c r="A10" s="1" t="s">
        <v>86</v>
      </c>
      <c r="B10" s="187" t="s">
        <v>85</v>
      </c>
      <c r="C10" s="184"/>
      <c r="D10" s="205"/>
      <c r="E10" s="2176"/>
      <c r="F10" s="184"/>
      <c r="G10" s="184"/>
      <c r="H10" s="184"/>
      <c r="I10" s="184"/>
      <c r="J10" s="184"/>
      <c r="K10" s="184"/>
      <c r="L10" s="184"/>
      <c r="M10" s="184"/>
      <c r="N10" s="186"/>
      <c r="O10" s="184"/>
      <c r="P10" s="184"/>
      <c r="Q10" s="184"/>
      <c r="R10" s="184"/>
      <c r="S10" s="184"/>
      <c r="T10" s="184"/>
      <c r="U10" s="184"/>
      <c r="V10"/>
      <c r="W10"/>
      <c r="X10"/>
      <c r="Y10"/>
    </row>
    <row r="11" spans="1:25" s="1" customFormat="1" ht="13.9" thickBot="1">
      <c r="B11" s="184"/>
      <c r="C11" s="184" t="s">
        <v>138</v>
      </c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/>
      <c r="W11"/>
      <c r="X11"/>
      <c r="Y11"/>
    </row>
    <row r="12" spans="1:25" s="14" customFormat="1" ht="27" thickBot="1">
      <c r="A12" s="12" t="s">
        <v>87</v>
      </c>
      <c r="B12" s="189" t="s">
        <v>88</v>
      </c>
      <c r="C12" s="190" t="s">
        <v>89</v>
      </c>
      <c r="D12" s="191" t="s">
        <v>90</v>
      </c>
      <c r="E12" s="192" t="s">
        <v>91</v>
      </c>
      <c r="F12" s="190" t="s">
        <v>92</v>
      </c>
      <c r="G12" s="190" t="s">
        <v>93</v>
      </c>
      <c r="H12" s="190" t="s">
        <v>94</v>
      </c>
      <c r="I12" s="190" t="s">
        <v>95</v>
      </c>
      <c r="J12" s="190" t="s">
        <v>96</v>
      </c>
      <c r="K12" s="190" t="s">
        <v>97</v>
      </c>
      <c r="L12" s="190" t="s">
        <v>98</v>
      </c>
      <c r="M12" s="192" t="s">
        <v>99</v>
      </c>
      <c r="N12" s="192" t="s">
        <v>100</v>
      </c>
      <c r="O12" s="192" t="s">
        <v>101</v>
      </c>
      <c r="P12" s="192" t="s">
        <v>102</v>
      </c>
      <c r="Q12" s="192" t="e">
        <f>'Summary Total Pigs'!#REF!</f>
        <v>#REF!</v>
      </c>
      <c r="R12" s="193" t="s">
        <v>139</v>
      </c>
      <c r="S12" s="194" t="s">
        <v>140</v>
      </c>
      <c r="T12" s="195" t="s">
        <v>104</v>
      </c>
      <c r="U12" s="196"/>
      <c r="V12"/>
      <c r="W12"/>
      <c r="X12"/>
      <c r="Y12"/>
    </row>
    <row r="13" spans="1:25">
      <c r="A13" s="2171" t="s">
        <v>105</v>
      </c>
      <c r="B13" s="197" t="s">
        <v>106</v>
      </c>
      <c r="C13" s="2177">
        <f>[16]USD!$T13</f>
        <v>170498.13886458441</v>
      </c>
      <c r="D13" s="2178"/>
      <c r="E13" s="2178"/>
      <c r="F13" s="2177">
        <f>E170</f>
        <v>0</v>
      </c>
      <c r="G13" s="2177" t="e">
        <f>('Summary Total Pigs'!AE12+'Summary Total Pigs'!AE15+'Summary Total Pigs'!AE16+'Summary Total Pigs'!AE17)/'Summary Total Pigs'!#REF!*'Pigs Cost'!E171</f>
        <v>#REF!</v>
      </c>
      <c r="H13" s="2177" t="e">
        <f>('Summary Total Pigs'!AE12+'Summary Total Pigs'!AE15+'Summary Total Pigs'!AE16+'Summary Total Pigs'!AE17)/'Summary Total Pigs'!#REF!*'Pigs Cost'!E172</f>
        <v>#REF!</v>
      </c>
      <c r="I13" s="2177">
        <f>E173/3</f>
        <v>0</v>
      </c>
      <c r="J13" s="2177" t="e">
        <f>('Summary Total Pigs'!AE12+'Summary Total Pigs'!AE15+'Summary Total Pigs'!AE16+'Summary Total Pigs'!AE17)/'Summary Total Pigs'!#REF!*J174</f>
        <v>#REF!</v>
      </c>
      <c r="K13" s="2177" t="e">
        <f>('Summary Total Pigs'!AE12+'Summary Total Pigs'!AE15+'Summary Total Pigs'!AE16+'Summary Total Pigs'!AE17)/'Summary Total Pigs'!#REF!*'Pigs Cost'!E175</f>
        <v>#REF!</v>
      </c>
      <c r="L13" s="2177" t="e">
        <f>('Summary Total Pigs'!AE12+'Summary Total Pigs'!AE15+'Summary Total Pigs'!AE16+'Summary Total Pigs'!AE17)/'Summary Total Pigs'!#REF!*'Pigs Cost'!J176</f>
        <v>#REF!</v>
      </c>
      <c r="M13" s="2179" t="e">
        <f t="shared" ref="M13:M18" si="0">SUM(C13:L13)</f>
        <v>#REF!</v>
      </c>
      <c r="N13" s="2179" t="e">
        <f>M13/'Summary Total Pigs'!#REF!</f>
        <v>#REF!</v>
      </c>
      <c r="O13" s="2179" t="e">
        <f>N13*'Summary Total Pigs'!#REF!</f>
        <v>#REF!</v>
      </c>
      <c r="P13" s="2179" t="e">
        <f>N13*'Summary Total Pigs'!X12</f>
        <v>#REF!</v>
      </c>
      <c r="Q13" s="2179" t="e">
        <f>'Summary Total Pigs'!#REF!*N13</f>
        <v>#REF!</v>
      </c>
      <c r="R13" s="2179" t="e">
        <f>N13*'Summary Total Pigs'!Z12</f>
        <v>#REF!</v>
      </c>
      <c r="S13" s="2179" t="e">
        <f>'Summary Total Pigs'!#REF!*N13</f>
        <v>#REF!</v>
      </c>
      <c r="T13" s="2180" t="e">
        <f t="shared" ref="T13:T18" si="1">M13+O13+P13+R13+S13+Q13</f>
        <v>#REF!</v>
      </c>
      <c r="U13" s="205"/>
      <c r="V13" s="24">
        <f>C13/$B$178</f>
        <v>1.7049813886458441E-5</v>
      </c>
    </row>
    <row r="14" spans="1:25" s="2" customFormat="1">
      <c r="A14" s="2172" t="s">
        <v>107</v>
      </c>
      <c r="B14" s="2181" t="s">
        <v>108</v>
      </c>
      <c r="C14" s="2177">
        <f>[16]USD!$T14</f>
        <v>327744.46283310658</v>
      </c>
      <c r="D14" s="2182"/>
      <c r="E14" s="2182" t="e">
        <f>'Summary Total Pigs'!D13*N13</f>
        <v>#REF!</v>
      </c>
      <c r="F14" s="205"/>
      <c r="G14" s="2183" t="e">
        <f>'Summary Total Pigs'!AE13/'Summary Total Pigs'!#REF!*'Pigs Cost'!E171</f>
        <v>#REF!</v>
      </c>
      <c r="H14" s="2183" t="e">
        <f>'Summary Total Pigs'!AE13/'Summary Total Pigs'!#REF!*'Pigs Cost'!E172</f>
        <v>#REF!</v>
      </c>
      <c r="I14" s="2183">
        <f>I13</f>
        <v>0</v>
      </c>
      <c r="J14" s="2183" t="e">
        <f>'Summary Total Pigs'!AE13/'Summary Total Pigs'!#REF!*J174</f>
        <v>#REF!</v>
      </c>
      <c r="K14" s="2177" t="e">
        <f>('Summary Total Pigs'!AE13)/'Summary Total Pigs'!#REF!*'Pigs Cost'!E175</f>
        <v>#REF!</v>
      </c>
      <c r="L14" s="2183" t="e">
        <f>'Summary Total Pigs'!AE13/'Summary Total Pigs'!#REF!*'Pigs Cost'!J176</f>
        <v>#REF!</v>
      </c>
      <c r="M14" s="2179" t="e">
        <f t="shared" si="0"/>
        <v>#REF!</v>
      </c>
      <c r="N14" s="2179" t="e">
        <f>M14/'Summary Total Pigs'!#REF!</f>
        <v>#REF!</v>
      </c>
      <c r="O14" s="2179" t="e">
        <f>N14*'Summary Total Pigs'!#REF!</f>
        <v>#REF!</v>
      </c>
      <c r="P14" s="2179" t="e">
        <f>N14*'Summary Total Pigs'!X13</f>
        <v>#REF!</v>
      </c>
      <c r="Q14" s="2179" t="e">
        <f>'Summary Total Pigs'!#REF!*N14</f>
        <v>#REF!</v>
      </c>
      <c r="R14" s="2179" t="e">
        <f>N14*'Summary Total Pigs'!Z13</f>
        <v>#REF!</v>
      </c>
      <c r="S14" s="2179" t="e">
        <f>'Summary Total Pigs'!#REF!*N14</f>
        <v>#REF!</v>
      </c>
      <c r="T14" s="2180" t="e">
        <f t="shared" si="1"/>
        <v>#REF!</v>
      </c>
      <c r="U14" s="205"/>
      <c r="V14" s="24">
        <f t="shared" ref="V14:V77" si="2">C14/$B$178</f>
        <v>3.2774446283310656E-5</v>
      </c>
      <c r="W14"/>
      <c r="X14"/>
      <c r="Y14"/>
    </row>
    <row r="15" spans="1:25" s="2" customFormat="1">
      <c r="A15" s="2172" t="s">
        <v>109</v>
      </c>
      <c r="B15" s="2181" t="s">
        <v>110</v>
      </c>
      <c r="C15" s="2177">
        <f>[16]USD!$T15</f>
        <v>1109796.2627127846</v>
      </c>
      <c r="D15" s="2182"/>
      <c r="E15" s="2182" t="e">
        <f>3838*N14+19*N16</f>
        <v>#REF!</v>
      </c>
      <c r="F15" s="2183"/>
      <c r="G15" s="2183" t="e">
        <f>'Summary Total Pigs'!AE14/'Summary Total Pigs'!#REF!*'Pigs Cost'!E171</f>
        <v>#REF!</v>
      </c>
      <c r="H15" s="2183" t="e">
        <f>'Summary Total Pigs'!AE14/'Summary Total Pigs'!#REF!*'Pigs Cost'!E172</f>
        <v>#REF!</v>
      </c>
      <c r="I15" s="2183">
        <f>I14</f>
        <v>0</v>
      </c>
      <c r="J15" s="2183" t="e">
        <f>'Summary Total Pigs'!AE14/'Summary Total Pigs'!#REF!*J174</f>
        <v>#REF!</v>
      </c>
      <c r="K15" s="2177" t="e">
        <f>('Summary Total Pigs'!AE14)/'Summary Total Pigs'!#REF!*'Pigs Cost'!E175</f>
        <v>#REF!</v>
      </c>
      <c r="L15" s="2183" t="e">
        <f>'Summary Total Pigs'!AE14/'Summary Total Pigs'!#REF!*'Pigs Cost'!J176</f>
        <v>#REF!</v>
      </c>
      <c r="M15" s="2179" t="e">
        <f t="shared" si="0"/>
        <v>#REF!</v>
      </c>
      <c r="N15" s="2179" t="e">
        <f>M15/'Summary Total Pigs'!#REF!</f>
        <v>#REF!</v>
      </c>
      <c r="O15" s="2179" t="e">
        <f>N15*'Summary Total Pigs'!#REF!</f>
        <v>#REF!</v>
      </c>
      <c r="P15" s="2179" t="e">
        <f>N15*'Summary Total Pigs'!X14</f>
        <v>#REF!</v>
      </c>
      <c r="Q15" s="2179" t="e">
        <f>'Summary Total Pigs'!#REF!*N15</f>
        <v>#REF!</v>
      </c>
      <c r="R15" s="2179" t="e">
        <f>N15*'Summary Total Pigs'!Z14</f>
        <v>#REF!</v>
      </c>
      <c r="S15" s="2179" t="e">
        <f>'Summary Total Pigs'!#REF!*N15</f>
        <v>#REF!</v>
      </c>
      <c r="T15" s="2180" t="e">
        <f t="shared" si="1"/>
        <v>#REF!</v>
      </c>
      <c r="U15" s="205"/>
      <c r="V15" s="24">
        <f t="shared" si="2"/>
        <v>1.1097962627127846E-4</v>
      </c>
      <c r="W15"/>
      <c r="X15"/>
      <c r="Y15"/>
    </row>
    <row r="16" spans="1:25" s="2" customFormat="1">
      <c r="A16" s="2172" t="s">
        <v>111</v>
      </c>
      <c r="B16" s="2184" t="s">
        <v>106</v>
      </c>
      <c r="C16" s="2177">
        <f>[16]USD!$T16</f>
        <v>56382.006752052264</v>
      </c>
      <c r="D16" s="2182">
        <v>0</v>
      </c>
      <c r="E16" s="2182" t="e">
        <f>106*N13</f>
        <v>#REF!</v>
      </c>
      <c r="F16" s="2183"/>
      <c r="G16" s="2183">
        <v>0</v>
      </c>
      <c r="H16" s="2183">
        <v>0</v>
      </c>
      <c r="I16" s="2183">
        <v>0</v>
      </c>
      <c r="J16" s="2183">
        <v>0</v>
      </c>
      <c r="K16" s="2177">
        <v>0</v>
      </c>
      <c r="L16" s="2183">
        <v>0</v>
      </c>
      <c r="M16" s="2179" t="e">
        <f t="shared" si="0"/>
        <v>#REF!</v>
      </c>
      <c r="N16" s="2179" t="e">
        <f>M16/'Summary Total Pigs'!#REF!</f>
        <v>#REF!</v>
      </c>
      <c r="O16" s="2179" t="e">
        <f>N16*'Summary Total Pigs'!#REF!</f>
        <v>#REF!</v>
      </c>
      <c r="P16" s="2179" t="e">
        <f>'Summary Total Pigs'!X15*N16</f>
        <v>#REF!</v>
      </c>
      <c r="Q16" s="2179" t="e">
        <f>'Summary Total Pigs'!#REF!*N16</f>
        <v>#REF!</v>
      </c>
      <c r="R16" s="2179" t="e">
        <f>N16*'Summary Total Pigs'!Z15</f>
        <v>#REF!</v>
      </c>
      <c r="S16" s="2179" t="e">
        <f>'Summary Total Pigs'!#REF!*N16</f>
        <v>#REF!</v>
      </c>
      <c r="T16" s="2180" t="e">
        <f t="shared" si="1"/>
        <v>#REF!</v>
      </c>
      <c r="U16" s="205"/>
      <c r="V16" s="24">
        <f t="shared" si="2"/>
        <v>5.6382006752052264E-6</v>
      </c>
      <c r="W16"/>
      <c r="X16"/>
      <c r="Y16"/>
    </row>
    <row r="17" spans="1:26" s="2" customFormat="1">
      <c r="A17" s="2172" t="s">
        <v>112</v>
      </c>
      <c r="B17" s="197" t="s">
        <v>106</v>
      </c>
      <c r="C17" s="2177">
        <f>[16]USD!$T17</f>
        <v>150254.38608118135</v>
      </c>
      <c r="D17" s="2182"/>
      <c r="E17" s="2182" t="e">
        <f>'Summary Total Pigs'!D16*N16</f>
        <v>#REF!</v>
      </c>
      <c r="F17" s="2183"/>
      <c r="G17" s="2183">
        <v>0</v>
      </c>
      <c r="H17" s="2183">
        <v>0</v>
      </c>
      <c r="I17" s="2183">
        <f>I16</f>
        <v>0</v>
      </c>
      <c r="J17" s="2183">
        <v>0</v>
      </c>
      <c r="K17" s="2177">
        <v>0</v>
      </c>
      <c r="L17" s="2183">
        <v>0</v>
      </c>
      <c r="M17" s="2179" t="e">
        <f t="shared" si="0"/>
        <v>#REF!</v>
      </c>
      <c r="N17" s="2179" t="e">
        <f>M17/'Summary Total Pigs'!#REF!</f>
        <v>#REF!</v>
      </c>
      <c r="O17" s="2179" t="e">
        <f>N17*'Summary Total Pigs'!#REF!</f>
        <v>#REF!</v>
      </c>
      <c r="P17" s="2179" t="e">
        <f>N17*'Summary Total Pigs'!X16</f>
        <v>#REF!</v>
      </c>
      <c r="Q17" s="2179" t="e">
        <f>'Summary Total Pigs'!#REF!*N17</f>
        <v>#REF!</v>
      </c>
      <c r="R17" s="2179" t="e">
        <f>N17*'Summary Total Pigs'!Z16</f>
        <v>#REF!</v>
      </c>
      <c r="S17" s="2179" t="e">
        <f>'Summary Total Pigs'!#REF!*N17</f>
        <v>#REF!</v>
      </c>
      <c r="T17" s="2180" t="e">
        <f t="shared" si="1"/>
        <v>#REF!</v>
      </c>
      <c r="U17" s="205"/>
      <c r="V17" s="24">
        <f t="shared" si="2"/>
        <v>1.5025438608118135E-5</v>
      </c>
      <c r="W17"/>
      <c r="X17"/>
      <c r="Y17"/>
      <c r="Z17" s="300"/>
    </row>
    <row r="18" spans="1:26" s="2" customFormat="1" ht="13.9" thickBot="1">
      <c r="A18" s="2174" t="s">
        <v>113</v>
      </c>
      <c r="B18" s="2185" t="s">
        <v>114</v>
      </c>
      <c r="C18" s="2177">
        <f>[16]USD!$T18</f>
        <v>4774.3467862888829</v>
      </c>
      <c r="D18" s="2186"/>
      <c r="E18" s="2182" t="e">
        <f>'Summary Total Pigs'!D17*N15</f>
        <v>#REF!</v>
      </c>
      <c r="F18" s="2187">
        <v>0</v>
      </c>
      <c r="G18" s="2183">
        <v>0</v>
      </c>
      <c r="H18" s="2183">
        <v>0</v>
      </c>
      <c r="I18" s="2183">
        <f>I17</f>
        <v>0</v>
      </c>
      <c r="J18" s="2183">
        <v>0</v>
      </c>
      <c r="K18" s="2177">
        <v>0</v>
      </c>
      <c r="L18" s="2183">
        <v>0</v>
      </c>
      <c r="M18" s="2179" t="e">
        <f t="shared" si="0"/>
        <v>#REF!</v>
      </c>
      <c r="N18" s="2179" t="e">
        <f>M18/'Summary Total Pigs'!#REF!</f>
        <v>#REF!</v>
      </c>
      <c r="O18" s="2179" t="e">
        <f>N18*'Summary Total Pigs'!Q218</f>
        <v>#REF!</v>
      </c>
      <c r="P18" s="2179" t="e">
        <f>N18*'Summary Total Pigs'!X17</f>
        <v>#REF!</v>
      </c>
      <c r="Q18" s="2179" t="e">
        <f>'Summary Total Pigs'!#REF!*N18</f>
        <v>#REF!</v>
      </c>
      <c r="R18" s="2179" t="e">
        <f>N18*'Summary Total Pigs'!Z17</f>
        <v>#REF!</v>
      </c>
      <c r="S18" s="2179" t="e">
        <f>'Summary Total Pigs'!#REF!*N18</f>
        <v>#REF!</v>
      </c>
      <c r="T18" s="2180" t="e">
        <f t="shared" si="1"/>
        <v>#REF!</v>
      </c>
      <c r="U18" s="205"/>
      <c r="V18" s="24">
        <f t="shared" si="2"/>
        <v>4.7743467862888828E-7</v>
      </c>
      <c r="W18"/>
      <c r="X18"/>
      <c r="Y18"/>
      <c r="Z18" s="300"/>
    </row>
    <row r="19" spans="1:26" s="1" customFormat="1" ht="13.9" thickBot="1">
      <c r="A19" s="3" t="s">
        <v>115</v>
      </c>
      <c r="B19" s="199"/>
      <c r="C19" s="200">
        <f>SUM(C13:C18)</f>
        <v>1819449.604029998</v>
      </c>
      <c r="D19" s="201">
        <f t="shared" ref="D19:L19" si="3">SUM(D13:D18)</f>
        <v>0</v>
      </c>
      <c r="E19" s="201" t="e">
        <f>SUM(E13:E18)</f>
        <v>#REF!</v>
      </c>
      <c r="F19" s="201">
        <f t="shared" si="3"/>
        <v>0</v>
      </c>
      <c r="G19" s="201" t="e">
        <f t="shared" si="3"/>
        <v>#REF!</v>
      </c>
      <c r="H19" s="201" t="e">
        <f t="shared" si="3"/>
        <v>#REF!</v>
      </c>
      <c r="I19" s="201">
        <f t="shared" si="3"/>
        <v>0</v>
      </c>
      <c r="J19" s="201" t="e">
        <f t="shared" si="3"/>
        <v>#REF!</v>
      </c>
      <c r="K19" s="201" t="e">
        <f t="shared" si="3"/>
        <v>#REF!</v>
      </c>
      <c r="L19" s="201" t="e">
        <f t="shared" si="3"/>
        <v>#REF!</v>
      </c>
      <c r="M19" s="201" t="e">
        <f t="shared" ref="M19:T19" si="4">SUM(M13:M18)</f>
        <v>#REF!</v>
      </c>
      <c r="N19" s="201" t="e">
        <f t="shared" si="4"/>
        <v>#REF!</v>
      </c>
      <c r="O19" s="201" t="e">
        <f>SUM(O13:O18)</f>
        <v>#REF!</v>
      </c>
      <c r="P19" s="201" t="e">
        <f>SUM(P13:P18)</f>
        <v>#REF!</v>
      </c>
      <c r="Q19" s="201" t="e">
        <f>SUM(Q13:Q18)</f>
        <v>#REF!</v>
      </c>
      <c r="R19" s="201" t="e">
        <f t="shared" si="4"/>
        <v>#REF!</v>
      </c>
      <c r="S19" s="201" t="e">
        <f t="shared" si="4"/>
        <v>#REF!</v>
      </c>
      <c r="T19" s="201" t="e">
        <f t="shared" si="4"/>
        <v>#REF!</v>
      </c>
      <c r="U19" s="184"/>
      <c r="V19" s="24">
        <f t="shared" si="2"/>
        <v>1.8194496040299979E-4</v>
      </c>
      <c r="W19"/>
      <c r="X19"/>
      <c r="Y19"/>
      <c r="Z19" s="50"/>
    </row>
    <row r="20" spans="1:26" s="2" customFormat="1">
      <c r="A20" s="300"/>
      <c r="B20" s="205"/>
      <c r="C20" s="205"/>
      <c r="D20" s="205"/>
      <c r="E20" s="205" t="e">
        <f>E19+O19</f>
        <v>#REF!</v>
      </c>
      <c r="F20" s="205">
        <f>F19-E170</f>
        <v>0</v>
      </c>
      <c r="G20" s="205" t="e">
        <f>G19-E171</f>
        <v>#REF!</v>
      </c>
      <c r="H20" s="205" t="e">
        <f>H19-E172</f>
        <v>#REF!</v>
      </c>
      <c r="I20" s="205">
        <f>I19-E173</f>
        <v>0</v>
      </c>
      <c r="J20" s="205" t="e">
        <f>J19-J174</f>
        <v>#REF!</v>
      </c>
      <c r="K20" s="205" t="e">
        <f>K19-E175</f>
        <v>#REF!</v>
      </c>
      <c r="L20" s="205" t="e">
        <f>L19-E176</f>
        <v>#REF!</v>
      </c>
      <c r="M20" s="205" t="e">
        <f>'Summary Total Pigs'!#REF!*N15</f>
        <v>#REF!</v>
      </c>
      <c r="N20" s="205"/>
      <c r="O20" s="205"/>
      <c r="P20" s="2176"/>
      <c r="Q20" s="2176"/>
      <c r="R20" s="2176"/>
      <c r="S20" s="2176"/>
      <c r="T20" s="2176"/>
      <c r="U20" s="205"/>
      <c r="V20" s="24">
        <f t="shared" si="2"/>
        <v>0</v>
      </c>
      <c r="W20"/>
      <c r="X20"/>
      <c r="Y20"/>
      <c r="Z20" s="300"/>
    </row>
    <row r="21" spans="1:26" s="2" customFormat="1">
      <c r="A21" s="300"/>
      <c r="B21" s="205"/>
      <c r="C21" s="205"/>
      <c r="D21" s="205"/>
      <c r="E21" s="205"/>
      <c r="F21" s="205"/>
      <c r="G21" s="205"/>
      <c r="H21" s="205"/>
      <c r="I21" s="205"/>
      <c r="J21" s="205"/>
      <c r="K21" s="205"/>
      <c r="L21" s="205" t="e">
        <f>+(G19+H19+I19+K19+L19+J19+F19)-J178</f>
        <v>#REF!</v>
      </c>
      <c r="M21" s="205" t="e">
        <f>E20-M20</f>
        <v>#REF!</v>
      </c>
      <c r="N21" s="205"/>
      <c r="O21" s="205"/>
      <c r="P21" s="2176"/>
      <c r="Q21" s="2176"/>
      <c r="R21" s="2176"/>
      <c r="S21" s="2176"/>
      <c r="T21" s="2176"/>
      <c r="U21" s="205"/>
      <c r="V21" s="24">
        <f t="shared" si="2"/>
        <v>0</v>
      </c>
      <c r="W21"/>
      <c r="X21"/>
      <c r="Y21"/>
      <c r="Z21" s="300"/>
    </row>
    <row r="22" spans="1:26" s="2" customFormat="1">
      <c r="A22" s="1" t="s">
        <v>86</v>
      </c>
      <c r="B22" s="187" t="s">
        <v>116</v>
      </c>
      <c r="C22" s="187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176"/>
      <c r="Q22" s="2176"/>
      <c r="R22" s="2176"/>
      <c r="S22" s="2176"/>
      <c r="T22" s="2176"/>
      <c r="U22" s="205"/>
      <c r="V22" s="24">
        <f t="shared" si="2"/>
        <v>0</v>
      </c>
      <c r="W22"/>
      <c r="X22"/>
      <c r="Y22"/>
      <c r="Z22" s="300"/>
    </row>
    <row r="23" spans="1:26" s="2" customFormat="1" ht="13.9" thickBot="1">
      <c r="A23" s="300"/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176"/>
      <c r="Q23" s="2176"/>
      <c r="R23" s="2176"/>
      <c r="S23" s="2176"/>
      <c r="T23" s="2176"/>
      <c r="U23" s="205"/>
      <c r="V23" s="24">
        <f t="shared" si="2"/>
        <v>0</v>
      </c>
      <c r="W23"/>
      <c r="X23"/>
      <c r="Y23"/>
      <c r="Z23" s="300"/>
    </row>
    <row r="24" spans="1:26" s="14" customFormat="1" ht="27" thickBot="1">
      <c r="A24" s="12" t="s">
        <v>87</v>
      </c>
      <c r="B24" s="189" t="s">
        <v>88</v>
      </c>
      <c r="C24" s="190" t="str">
        <f>+C12</f>
        <v>OPENING</v>
      </c>
      <c r="D24" s="191" t="s">
        <v>90</v>
      </c>
      <c r="E24" s="192" t="s">
        <v>91</v>
      </c>
      <c r="F24" s="190" t="s">
        <v>92</v>
      </c>
      <c r="G24" s="190" t="s">
        <v>93</v>
      </c>
      <c r="H24" s="190" t="s">
        <v>94</v>
      </c>
      <c r="I24" s="190" t="s">
        <v>95</v>
      </c>
      <c r="J24" s="190" t="s">
        <v>96</v>
      </c>
      <c r="K24" s="190" t="s">
        <v>97</v>
      </c>
      <c r="L24" s="190" t="s">
        <v>98</v>
      </c>
      <c r="M24" s="192" t="s">
        <v>99</v>
      </c>
      <c r="N24" s="192" t="s">
        <v>100</v>
      </c>
      <c r="O24" s="192" t="s">
        <v>101</v>
      </c>
      <c r="P24" s="192" t="s">
        <v>102</v>
      </c>
      <c r="Q24" s="192" t="e">
        <f>'Summary Total Pigs'!#REF!</f>
        <v>#REF!</v>
      </c>
      <c r="R24" s="192" t="str">
        <f>R12</f>
        <v>CULLS</v>
      </c>
      <c r="S24" s="192" t="str">
        <f>+S12</f>
        <v>STOCK ADJMNT</v>
      </c>
      <c r="T24" s="195" t="s">
        <v>104</v>
      </c>
      <c r="U24" s="196"/>
      <c r="V24" s="24" t="e">
        <f t="shared" si="2"/>
        <v>#VALUE!</v>
      </c>
      <c r="W24"/>
      <c r="X24"/>
      <c r="Y24"/>
    </row>
    <row r="25" spans="1:26" s="2" customFormat="1">
      <c r="A25" s="2171" t="s">
        <v>105</v>
      </c>
      <c r="B25" s="2184" t="s">
        <v>106</v>
      </c>
      <c r="C25" s="2177">
        <f>[16]USD!$T25</f>
        <v>0</v>
      </c>
      <c r="D25" s="2178"/>
      <c r="E25" s="2178" t="e">
        <f>'Summary Total Pigs'!#REF!*N23</f>
        <v>#REF!</v>
      </c>
      <c r="F25" s="2177"/>
      <c r="G25" s="2177" t="e">
        <f>('Summary Total Pigs'!#REF!+'Summary Total Pigs'!#REF!)/'Summary Total Pigs'!#REF!*$G$171</f>
        <v>#REF!</v>
      </c>
      <c r="H25" s="2177" t="e">
        <f>('Summary Total Pigs'!#REF!+'Summary Total Pigs'!#REF!)/'Summary Total Pigs'!#REF!*'Pigs Cost'!$G$172</f>
        <v>#REF!</v>
      </c>
      <c r="I25" s="2177" t="e">
        <f>('Summary Total Pigs'!#REF!+'Summary Total Pigs'!#REF!)/'Summary Total Pigs'!#REF!*'Pigs Cost'!$G$173</f>
        <v>#REF!</v>
      </c>
      <c r="J25" s="2177" t="e">
        <f>('Summary Total Pigs'!#REF!)/'Summary Total Pigs'!#REF!*$G$174</f>
        <v>#REF!</v>
      </c>
      <c r="K25" s="2177" t="e">
        <f>('Summary Total Pigs'!#REF!/'Summary Total Pigs'!#REF!)*'Pigs Cost'!$G$175</f>
        <v>#REF!</v>
      </c>
      <c r="L25" s="2177" t="e">
        <f>('Summary Total Pigs'!#REF!+'Summary Total Pigs'!#REF!)/'Summary Total Pigs'!#REF!*G176</f>
        <v>#REF!</v>
      </c>
      <c r="M25" s="2179" t="e">
        <f t="shared" ref="M25:M30" si="5">SUM(C25:L25)</f>
        <v>#REF!</v>
      </c>
      <c r="N25" s="2179">
        <v>0</v>
      </c>
      <c r="O25" s="2179" t="e">
        <f>N25*'Summary Total Pigs'!#REF!</f>
        <v>#REF!</v>
      </c>
      <c r="P25" s="2179" t="e">
        <f>N25*'Summary Total Pigs'!#REF!</f>
        <v>#REF!</v>
      </c>
      <c r="Q25" s="2179" t="e">
        <f>N25*'Summary Total Pigs'!#REF!</f>
        <v>#REF!</v>
      </c>
      <c r="R25" s="2179" t="e">
        <f>N25*'Summary Total Pigs'!#REF!</f>
        <v>#REF!</v>
      </c>
      <c r="S25" s="2179" t="e">
        <f>'Summary Total Pigs'!#REF!*'Pigs Cost'!N25</f>
        <v>#REF!</v>
      </c>
      <c r="T25" s="2180" t="e">
        <f t="shared" ref="T25:T30" si="6">M25+O25+P25+R25+S25+Q25</f>
        <v>#REF!</v>
      </c>
      <c r="U25" s="205"/>
      <c r="V25" s="24">
        <f t="shared" si="2"/>
        <v>0</v>
      </c>
      <c r="W25"/>
      <c r="X25"/>
      <c r="Y25"/>
      <c r="Z25" s="300"/>
    </row>
    <row r="26" spans="1:26" s="2" customFormat="1">
      <c r="A26" s="2172" t="s">
        <v>107</v>
      </c>
      <c r="B26" s="2181" t="s">
        <v>108</v>
      </c>
      <c r="C26" s="2177">
        <f>[16]USD!$T26</f>
        <v>0</v>
      </c>
      <c r="D26" s="2182"/>
      <c r="E26" s="2178">
        <v>0</v>
      </c>
      <c r="F26" s="2183"/>
      <c r="G26" s="2177" t="e">
        <f>('Summary Total Pigs'!#REF!)/'Summary Total Pigs'!#REF!*$G$171</f>
        <v>#REF!</v>
      </c>
      <c r="H26" s="2177" t="e">
        <f>('Summary Total Pigs'!#REF!)/'Summary Total Pigs'!#REF!*'Pigs Cost'!G172</f>
        <v>#REF!</v>
      </c>
      <c r="I26" s="2177" t="e">
        <f>('Summary Total Pigs'!#REF!)/'Summary Total Pigs'!#REF!*'Pigs Cost'!$G$173</f>
        <v>#REF!</v>
      </c>
      <c r="J26" s="2177" t="e">
        <f>('Summary Total Pigs'!#REF!)/'Summary Total Pigs'!#REF!*$G$174</f>
        <v>#REF!</v>
      </c>
      <c r="K26" s="2177" t="e">
        <f>('Summary Total Pigs'!#REF!/'Summary Total Pigs'!#REF!)*'Pigs Cost'!$G$175</f>
        <v>#REF!</v>
      </c>
      <c r="L26" s="2183"/>
      <c r="M26" s="2179" t="e">
        <f>SUM(C26:L26)</f>
        <v>#REF!</v>
      </c>
      <c r="N26" s="2179">
        <v>0</v>
      </c>
      <c r="O26" s="2179" t="e">
        <f>N26*'Summary Total Pigs'!#REF!</f>
        <v>#REF!</v>
      </c>
      <c r="P26" s="2179" t="e">
        <f>N26*'Summary Total Pigs'!#REF!</f>
        <v>#REF!</v>
      </c>
      <c r="Q26" s="2179" t="e">
        <f>N26*'Summary Total Pigs'!#REF!</f>
        <v>#REF!</v>
      </c>
      <c r="R26" s="2179" t="e">
        <f>N26*'Summary Total Pigs'!#REF!</f>
        <v>#REF!</v>
      </c>
      <c r="S26" s="2179" t="e">
        <f>'Summary Total Pigs'!#REF!*'Pigs Cost'!N26</f>
        <v>#REF!</v>
      </c>
      <c r="T26" s="2180" t="e">
        <f t="shared" si="6"/>
        <v>#REF!</v>
      </c>
      <c r="U26" s="205"/>
      <c r="V26" s="24">
        <f t="shared" si="2"/>
        <v>0</v>
      </c>
      <c r="W26"/>
      <c r="X26"/>
      <c r="Y26"/>
      <c r="Z26" s="300"/>
    </row>
    <row r="27" spans="1:26" s="2" customFormat="1">
      <c r="A27" s="2172" t="s">
        <v>109</v>
      </c>
      <c r="B27" s="2181" t="s">
        <v>110</v>
      </c>
      <c r="C27" s="2177">
        <f>[16]USD!$T27</f>
        <v>20589.681754798934</v>
      </c>
      <c r="D27" s="2182"/>
      <c r="E27" s="2178" t="e">
        <f>N101*'Summary Total Pigs'!#REF!</f>
        <v>#REF!</v>
      </c>
      <c r="F27" s="2183"/>
      <c r="G27" s="2177" t="e">
        <f>('Summary Total Pigs'!#REF!)/'Summary Total Pigs'!#REF!*$G$171</f>
        <v>#REF!</v>
      </c>
      <c r="H27" s="2183" t="e">
        <f>('Summary Total Pigs'!#REF!)/'Summary Total Pigs'!#REF!*'Pigs Cost'!$G$172</f>
        <v>#REF!</v>
      </c>
      <c r="I27" s="2177" t="e">
        <f>('Summary Total Pigs'!#REF!)/'Summary Total Pigs'!#REF!*'Pigs Cost'!$G$173</f>
        <v>#REF!</v>
      </c>
      <c r="J27" s="2177" t="e">
        <f>('Summary Total Pigs'!#REF!)/'Summary Total Pigs'!#REF!*$G$174</f>
        <v>#REF!</v>
      </c>
      <c r="K27" s="2177" t="e">
        <f>('Summary Total Pigs'!#REF!/'Summary Total Pigs'!#REF!)*'Pigs Cost'!$G$175</f>
        <v>#REF!</v>
      </c>
      <c r="L27" s="2183" t="e">
        <f>'Summary Total Pigs'!#REF!/'Summary Total Pigs'!#REF!*G176</f>
        <v>#REF!</v>
      </c>
      <c r="M27" s="2179" t="e">
        <f t="shared" si="5"/>
        <v>#REF!</v>
      </c>
      <c r="N27" s="2179" t="e">
        <f>M27/'Summary Total Pigs'!#REF!</f>
        <v>#REF!</v>
      </c>
      <c r="O27" s="2179" t="e">
        <f>N27*'Summary Total Pigs'!#REF!</f>
        <v>#REF!</v>
      </c>
      <c r="P27" s="2179" t="e">
        <f>N27*'Summary Total Pigs'!#REF!</f>
        <v>#REF!</v>
      </c>
      <c r="Q27" s="2179" t="e">
        <f>N27*'Summary Total Pigs'!#REF!</f>
        <v>#REF!</v>
      </c>
      <c r="R27" s="2179" t="e">
        <f>N27*'Summary Total Pigs'!#REF!</f>
        <v>#REF!</v>
      </c>
      <c r="S27" s="2179" t="e">
        <f>'Summary Total Pigs'!#REF!*'Pigs Cost'!N27</f>
        <v>#REF!</v>
      </c>
      <c r="T27" s="2180" t="e">
        <f t="shared" si="6"/>
        <v>#REF!</v>
      </c>
      <c r="U27" s="205"/>
      <c r="V27" s="24">
        <f t="shared" si="2"/>
        <v>2.0589681754798933E-6</v>
      </c>
      <c r="W27"/>
      <c r="X27"/>
      <c r="Y27"/>
      <c r="Z27" s="300"/>
    </row>
    <row r="28" spans="1:26" s="2" customFormat="1">
      <c r="A28" s="2172" t="s">
        <v>111</v>
      </c>
      <c r="B28" s="2184" t="s">
        <v>106</v>
      </c>
      <c r="C28" s="2177">
        <f>[16]USD!$T28</f>
        <v>0</v>
      </c>
      <c r="D28" s="2182"/>
      <c r="E28" s="2178" t="e">
        <f>'Summary Total Pigs'!#REF!*N26</f>
        <v>#REF!</v>
      </c>
      <c r="F28" s="2183"/>
      <c r="G28" s="2177"/>
      <c r="H28" s="2183"/>
      <c r="I28" s="2177"/>
      <c r="J28" s="2177"/>
      <c r="K28" s="2177" t="e">
        <f>('Summary Total Pigs'!#REF!/'Summary Total Pigs'!#REF!)*'Pigs Cost'!$G$175</f>
        <v>#REF!</v>
      </c>
      <c r="L28" s="2183"/>
      <c r="M28" s="2179">
        <v>0</v>
      </c>
      <c r="N28" s="2179"/>
      <c r="O28" s="2179" t="e">
        <f>N28*'Summary Total Pigs'!#REF!</f>
        <v>#REF!</v>
      </c>
      <c r="P28" s="2179" t="e">
        <f>N28*'Summary Total Pigs'!#REF!</f>
        <v>#REF!</v>
      </c>
      <c r="Q28" s="2179" t="e">
        <f>N28*'Summary Total Pigs'!#REF!</f>
        <v>#REF!</v>
      </c>
      <c r="R28" s="2179" t="e">
        <f>N28*'Summary Total Pigs'!#REF!</f>
        <v>#REF!</v>
      </c>
      <c r="S28" s="2179" t="e">
        <f>'Summary Total Pigs'!#REF!*'Pigs Cost'!N28</f>
        <v>#REF!</v>
      </c>
      <c r="T28" s="2180" t="e">
        <f t="shared" si="6"/>
        <v>#REF!</v>
      </c>
      <c r="U28" s="205"/>
      <c r="V28" s="24">
        <f t="shared" si="2"/>
        <v>0</v>
      </c>
      <c r="W28"/>
      <c r="X28"/>
      <c r="Y28"/>
      <c r="Z28" s="300"/>
    </row>
    <row r="29" spans="1:26">
      <c r="A29" s="2172" t="s">
        <v>112</v>
      </c>
      <c r="B29" s="2184" t="s">
        <v>106</v>
      </c>
      <c r="C29" s="2177">
        <f>[16]USD!$T29</f>
        <v>0</v>
      </c>
      <c r="D29" s="2182"/>
      <c r="E29" s="2178">
        <v>0</v>
      </c>
      <c r="F29" s="2183"/>
      <c r="G29" s="2177"/>
      <c r="H29" s="2183" t="e">
        <f>('Summary Total Pigs'!#REF!)/'Summary Total Pigs'!#REF!*'Pigs Cost'!$G$172</f>
        <v>#REF!</v>
      </c>
      <c r="I29" s="2183"/>
      <c r="J29" s="2177"/>
      <c r="K29" s="2177" t="e">
        <f>('Summary Total Pigs'!#REF!/'Summary Total Pigs'!#REF!)*'Pigs Cost'!$G$175</f>
        <v>#REF!</v>
      </c>
      <c r="L29" s="2183"/>
      <c r="M29" s="2179" t="e">
        <f t="shared" si="5"/>
        <v>#REF!</v>
      </c>
      <c r="N29" s="2179"/>
      <c r="O29" s="2179" t="e">
        <f>N29*'Summary Total Pigs'!#REF!</f>
        <v>#REF!</v>
      </c>
      <c r="P29" s="2179" t="e">
        <f>N29*'Summary Total Pigs'!#REF!</f>
        <v>#REF!</v>
      </c>
      <c r="Q29" s="2179" t="e">
        <f>N29*'Summary Total Pigs'!#REF!</f>
        <v>#REF!</v>
      </c>
      <c r="R29" s="2179" t="e">
        <f>N29*'Summary Total Pigs'!#REF!</f>
        <v>#REF!</v>
      </c>
      <c r="S29" s="2179" t="e">
        <f>'Summary Total Pigs'!#REF!*'Pigs Cost'!N29</f>
        <v>#REF!</v>
      </c>
      <c r="T29" s="2180" t="e">
        <f t="shared" si="6"/>
        <v>#REF!</v>
      </c>
      <c r="U29" s="205"/>
      <c r="V29" s="24">
        <f t="shared" si="2"/>
        <v>0</v>
      </c>
      <c r="Z29" s="300"/>
    </row>
    <row r="30" spans="1:26" ht="13.9" thickBot="1">
      <c r="A30" s="2174" t="s">
        <v>113</v>
      </c>
      <c r="B30" s="2185"/>
      <c r="C30" s="2177">
        <f>[16]USD!$T30</f>
        <v>0</v>
      </c>
      <c r="D30" s="2186"/>
      <c r="E30" s="2178" t="e">
        <f>'Summary Total Pigs'!#REF!*N28</f>
        <v>#REF!</v>
      </c>
      <c r="F30" s="2187"/>
      <c r="G30" s="2187"/>
      <c r="H30" s="2187"/>
      <c r="I30" s="2187"/>
      <c r="J30" s="2187"/>
      <c r="K30" s="2177" t="e">
        <f>('Summary Total Pigs'!#REF!/'Summary Total Pigs'!#REF!)*'Pigs Cost'!$G$175</f>
        <v>#REF!</v>
      </c>
      <c r="L30" s="2187"/>
      <c r="M30" s="2179" t="e">
        <f t="shared" si="5"/>
        <v>#REF!</v>
      </c>
      <c r="N30" s="2179"/>
      <c r="O30" s="2179" t="e">
        <f>N30*'Summary Total Pigs'!#REF!</f>
        <v>#REF!</v>
      </c>
      <c r="P30" s="2189"/>
      <c r="Q30" s="2179" t="e">
        <f>N30*'Summary Total Pigs'!#REF!</f>
        <v>#REF!</v>
      </c>
      <c r="R30" s="2179" t="e">
        <f>N30*'Summary Total Pigs'!#REF!</f>
        <v>#REF!</v>
      </c>
      <c r="S30" s="2179" t="e">
        <f>'Summary Total Pigs'!#REF!*'Pigs Cost'!N30</f>
        <v>#REF!</v>
      </c>
      <c r="T30" s="2180" t="e">
        <f t="shared" si="6"/>
        <v>#REF!</v>
      </c>
      <c r="U30" s="205"/>
      <c r="V30" s="24">
        <f t="shared" si="2"/>
        <v>0</v>
      </c>
      <c r="Z30" s="300"/>
    </row>
    <row r="31" spans="1:26" ht="13.9" thickBot="1">
      <c r="A31" s="3" t="s">
        <v>115</v>
      </c>
      <c r="B31" s="199"/>
      <c r="C31" s="200">
        <f>SUM(C25:C30)</f>
        <v>20589.681754798934</v>
      </c>
      <c r="D31" s="200">
        <f>SUM(D25:D30)</f>
        <v>0</v>
      </c>
      <c r="E31" s="200" t="e">
        <f>SUM(E25:E30)</f>
        <v>#REF!</v>
      </c>
      <c r="F31" s="200">
        <f>SUM(F25:F30)</f>
        <v>0</v>
      </c>
      <c r="G31" s="201" t="e">
        <f t="shared" ref="G31:T31" si="7">SUM(G25:G30)</f>
        <v>#REF!</v>
      </c>
      <c r="H31" s="201" t="e">
        <f t="shared" si="7"/>
        <v>#REF!</v>
      </c>
      <c r="I31" s="201" t="e">
        <f t="shared" si="7"/>
        <v>#REF!</v>
      </c>
      <c r="J31" s="201" t="e">
        <f t="shared" si="7"/>
        <v>#REF!</v>
      </c>
      <c r="K31" s="201" t="e">
        <f t="shared" si="7"/>
        <v>#REF!</v>
      </c>
      <c r="L31" s="201" t="e">
        <f t="shared" si="7"/>
        <v>#REF!</v>
      </c>
      <c r="M31" s="201" t="e">
        <f t="shared" si="7"/>
        <v>#REF!</v>
      </c>
      <c r="N31" s="201" t="e">
        <f t="shared" si="7"/>
        <v>#REF!</v>
      </c>
      <c r="O31" s="201" t="e">
        <f t="shared" si="7"/>
        <v>#REF!</v>
      </c>
      <c r="P31" s="201" t="e">
        <f t="shared" si="7"/>
        <v>#REF!</v>
      </c>
      <c r="Q31" s="201" t="e">
        <f>SUM(Q25:Q30)</f>
        <v>#REF!</v>
      </c>
      <c r="R31" s="201" t="e">
        <f t="shared" si="7"/>
        <v>#REF!</v>
      </c>
      <c r="S31" s="201" t="e">
        <f t="shared" si="7"/>
        <v>#REF!</v>
      </c>
      <c r="T31" s="201" t="e">
        <f t="shared" si="7"/>
        <v>#REF!</v>
      </c>
      <c r="U31" s="205"/>
      <c r="V31" s="24">
        <f t="shared" si="2"/>
        <v>2.0589681754798933E-6</v>
      </c>
      <c r="Z31" s="903"/>
    </row>
    <row r="32" spans="1:26">
      <c r="A32" s="300"/>
      <c r="B32" s="205"/>
      <c r="C32" s="205"/>
      <c r="D32" s="205"/>
      <c r="E32" s="205"/>
      <c r="F32" s="205"/>
      <c r="G32" s="205"/>
      <c r="H32" s="205"/>
      <c r="I32" s="205"/>
      <c r="J32" s="205" t="e">
        <f>J31-G174</f>
        <v>#REF!</v>
      </c>
      <c r="K32" s="205" t="e">
        <f>+K31-G175</f>
        <v>#REF!</v>
      </c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4">
        <f t="shared" si="2"/>
        <v>0</v>
      </c>
      <c r="Z32" s="300"/>
    </row>
    <row r="33" spans="1:25">
      <c r="A33" s="300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 t="e">
        <f>+(G31+H31+I31+K31+L31+J31)-G178</f>
        <v>#REF!</v>
      </c>
      <c r="M33" s="205"/>
      <c r="N33" s="205"/>
      <c r="O33" s="205"/>
      <c r="P33" s="205"/>
      <c r="Q33" s="205"/>
      <c r="R33" s="205"/>
      <c r="S33" s="205"/>
      <c r="T33" s="205"/>
      <c r="U33" s="205"/>
      <c r="V33" s="24">
        <f t="shared" si="2"/>
        <v>0</v>
      </c>
    </row>
    <row r="34" spans="1:25">
      <c r="A34" s="1" t="s">
        <v>86</v>
      </c>
      <c r="B34" s="187" t="s">
        <v>117</v>
      </c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4">
        <f t="shared" si="2"/>
        <v>0</v>
      </c>
    </row>
    <row r="35" spans="1:25" ht="13.9" thickBot="1">
      <c r="A35" s="300"/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4">
        <f t="shared" si="2"/>
        <v>0</v>
      </c>
    </row>
    <row r="36" spans="1:25" s="14" customFormat="1" ht="27" thickBot="1">
      <c r="A36" s="12" t="s">
        <v>87</v>
      </c>
      <c r="B36" s="189" t="s">
        <v>88</v>
      </c>
      <c r="C36" s="190" t="str">
        <f>+C24</f>
        <v>OPENING</v>
      </c>
      <c r="D36" s="191" t="s">
        <v>90</v>
      </c>
      <c r="E36" s="192" t="s">
        <v>91</v>
      </c>
      <c r="F36" s="190" t="s">
        <v>92</v>
      </c>
      <c r="G36" s="190" t="s">
        <v>93</v>
      </c>
      <c r="H36" s="190" t="s">
        <v>94</v>
      </c>
      <c r="I36" s="190" t="s">
        <v>95</v>
      </c>
      <c r="J36" s="190" t="s">
        <v>96</v>
      </c>
      <c r="K36" s="190" t="s">
        <v>97</v>
      </c>
      <c r="L36" s="190" t="s">
        <v>98</v>
      </c>
      <c r="M36" s="192" t="s">
        <v>99</v>
      </c>
      <c r="N36" s="192" t="s">
        <v>100</v>
      </c>
      <c r="O36" s="192" t="s">
        <v>101</v>
      </c>
      <c r="P36" s="192" t="s">
        <v>102</v>
      </c>
      <c r="Q36" s="192" t="str">
        <f>'Summary Total Pigs'!W49</f>
        <v>Deaths</v>
      </c>
      <c r="R36" s="192" t="str">
        <f>R24</f>
        <v>CULLS</v>
      </c>
      <c r="S36" s="192" t="str">
        <f>+S24</f>
        <v>STOCK ADJMNT</v>
      </c>
      <c r="T36" s="195" t="s">
        <v>104</v>
      </c>
      <c r="U36" s="196"/>
      <c r="V36" s="24" t="e">
        <f t="shared" si="2"/>
        <v>#VALUE!</v>
      </c>
      <c r="W36"/>
      <c r="X36"/>
      <c r="Y36"/>
    </row>
    <row r="37" spans="1:25">
      <c r="A37" s="2171" t="s">
        <v>105</v>
      </c>
      <c r="B37" s="2184" t="s">
        <v>106</v>
      </c>
      <c r="C37" s="2177">
        <f>[16]USD!$T37</f>
        <v>347.53471732136859</v>
      </c>
      <c r="D37" s="2178"/>
      <c r="E37" s="2178">
        <f>'Summary Total Pigs'!D50*N35</f>
        <v>0</v>
      </c>
      <c r="F37" s="2177" t="e">
        <f>+$H$169*'Summary Total Pigs'!#REF!/'Summary Total Pigs'!#REF!</f>
        <v>#REF!</v>
      </c>
      <c r="G37" s="2177">
        <f>('Summary Total Pigs'!AE50+'Summary Total Pigs'!AE54)/'Summary Total Pigs'!AE56*'Pigs Cost'!$H$171</f>
        <v>0</v>
      </c>
      <c r="H37" s="2177">
        <f>('Summary Total Pigs'!AE50+'Summary Total Pigs'!$AE$54)/'Summary Total Pigs'!$AE$56*'Pigs Cost'!$H$172</f>
        <v>0</v>
      </c>
      <c r="I37" s="2177">
        <f>('Summary Total Pigs'!AE50+'Summary Total Pigs'!$AE$54)/'Summary Total Pigs'!$AE$56*'Pigs Cost'!$H$173</f>
        <v>0</v>
      </c>
      <c r="J37" s="2177">
        <f>('Summary Total Pigs'!AE50+'Summary Total Pigs'!AE53+'Summary Total Pigs'!AE54+'Summary Total Pigs'!AE55)/'Summary Total Pigs'!$AE$56*$H$174</f>
        <v>2286.0913705583757</v>
      </c>
      <c r="K37" s="2177">
        <f>('Summary Total Pigs'!AE50+'Summary Total Pigs'!$AE$54)/'Summary Total Pigs'!$AE$56*'Pigs Cost'!$H$175</f>
        <v>0</v>
      </c>
      <c r="L37" s="2177">
        <f>('Summary Total Pigs'!$AE$50+'Summary Total Pigs'!$AE$54)/'Summary Total Pigs'!$AE$56*'Pigs Cost'!$H$176</f>
        <v>0</v>
      </c>
      <c r="M37" s="2179" t="e">
        <f t="shared" ref="M37:M42" si="8">SUM(C37:L37)</f>
        <v>#REF!</v>
      </c>
      <c r="N37" s="2179" t="e">
        <f>M37/'Summary Total Pigs'!#REF!</f>
        <v>#REF!</v>
      </c>
      <c r="O37" s="2179" t="e">
        <f>'Summary Total Pigs'!N50*N37</f>
        <v>#REF!</v>
      </c>
      <c r="P37" s="2179" t="e">
        <f>N37*'Summary Total Pigs'!#REF!</f>
        <v>#REF!</v>
      </c>
      <c r="Q37" s="2179" t="e">
        <f>N37*'Summary Total Pigs'!W50</f>
        <v>#REF!</v>
      </c>
      <c r="R37" s="2179" t="e">
        <f>'Summary Total Pigs'!X50*N37</f>
        <v>#REF!</v>
      </c>
      <c r="S37" s="2179" t="e">
        <f>'Summary Total Pigs'!AD50*'Pigs Cost'!N37</f>
        <v>#REF!</v>
      </c>
      <c r="T37" s="2180" t="e">
        <f t="shared" ref="T37:T42" si="9">M37+O37+P37+R37+S37+Q37</f>
        <v>#REF!</v>
      </c>
      <c r="U37" s="205"/>
      <c r="V37" s="24">
        <f t="shared" si="2"/>
        <v>3.475347173213686E-8</v>
      </c>
    </row>
    <row r="38" spans="1:25">
      <c r="A38" s="2172" t="s">
        <v>107</v>
      </c>
      <c r="B38" s="2181" t="s">
        <v>108</v>
      </c>
      <c r="C38" s="2177">
        <f>[16]USD!$T38</f>
        <v>-1.1368683772161603E-13</v>
      </c>
      <c r="D38" s="2182"/>
      <c r="E38" s="2182" t="e">
        <f>'Summary Total Pigs'!D51*N37</f>
        <v>#REF!</v>
      </c>
      <c r="F38" s="2177" t="e">
        <f>+$H$169*'Summary Total Pigs'!#REF!/'Summary Total Pigs'!#REF!</f>
        <v>#REF!</v>
      </c>
      <c r="G38" s="2177">
        <f>('Summary Total Pigs'!AE51)/'Summary Total Pigs'!$AE$56*'Pigs Cost'!$H$171</f>
        <v>0</v>
      </c>
      <c r="H38" s="2177">
        <f>('Summary Total Pigs'!AE51)/'Summary Total Pigs'!$AE$56*'Pigs Cost'!$H$172</f>
        <v>0</v>
      </c>
      <c r="I38" s="2177">
        <f>('Summary Total Pigs'!AE51)/'Summary Total Pigs'!$AE$56*'Pigs Cost'!$H$173</f>
        <v>0</v>
      </c>
      <c r="J38" s="2177">
        <f>('Summary Total Pigs'!AE51)/'Summary Total Pigs'!$AE$56*'Pigs Cost'!$H$174</f>
        <v>1471065989847.7158</v>
      </c>
      <c r="K38" s="2177">
        <f>('Summary Total Pigs'!AE51)/'Summary Total Pigs'!$AE$56*'Pigs Cost'!$H$175</f>
        <v>0</v>
      </c>
      <c r="L38" s="2177">
        <f>('Summary Total Pigs'!AE51)/'Summary Total Pigs'!$AE$56*'Pigs Cost'!$H$176</f>
        <v>0</v>
      </c>
      <c r="M38" s="2179" t="e">
        <f t="shared" si="8"/>
        <v>#REF!</v>
      </c>
      <c r="N38" s="2179"/>
      <c r="O38" s="2179">
        <f>'Summary Total Pigs'!N51*N38</f>
        <v>0</v>
      </c>
      <c r="P38" s="2179" t="e">
        <f>N38*'Summary Total Pigs'!#REF!</f>
        <v>#REF!</v>
      </c>
      <c r="Q38" s="2179">
        <f>N38*'Summary Total Pigs'!W51</f>
        <v>0</v>
      </c>
      <c r="R38" s="2179">
        <f>'Summary Total Pigs'!X51*N38</f>
        <v>0</v>
      </c>
      <c r="S38" s="2179">
        <f>'Summary Total Pigs'!AD51*'Pigs Cost'!N38</f>
        <v>0</v>
      </c>
      <c r="T38" s="2180" t="e">
        <f t="shared" si="9"/>
        <v>#REF!</v>
      </c>
      <c r="U38" s="205"/>
      <c r="V38" s="24">
        <f t="shared" si="2"/>
        <v>-1.1368683772161603E-23</v>
      </c>
    </row>
    <row r="39" spans="1:25">
      <c r="A39" s="2172" t="s">
        <v>109</v>
      </c>
      <c r="B39" s="2181" t="s">
        <v>110</v>
      </c>
      <c r="C39" s="2177">
        <f>[16]USD!$T39</f>
        <v>0</v>
      </c>
      <c r="D39" s="2182"/>
      <c r="E39" s="2182"/>
      <c r="F39" s="2177" t="e">
        <f>+$H$169*'Summary Total Pigs'!#REF!/'Summary Total Pigs'!#REF!</f>
        <v>#REF!</v>
      </c>
      <c r="G39" s="2177">
        <f>('Summary Total Pigs'!AE52)/'Summary Total Pigs'!$AE$56*'Pigs Cost'!$H$171</f>
        <v>0</v>
      </c>
      <c r="H39" s="2177">
        <f>('Summary Total Pigs'!AE52)/'Summary Total Pigs'!$AE$56*'Pigs Cost'!$H$172</f>
        <v>0</v>
      </c>
      <c r="I39" s="2177">
        <f>('Summary Total Pigs'!AE52)/'Summary Total Pigs'!$AE$56*'Pigs Cost'!$H$173</f>
        <v>0</v>
      </c>
      <c r="J39" s="2177">
        <f>('Summary Total Pigs'!AE52)/'Summary Total Pigs'!$AE$56*'Pigs Cost'!$H$174</f>
        <v>2800126903553.2993</v>
      </c>
      <c r="K39" s="2177">
        <f>('Summary Total Pigs'!AE52)/'Summary Total Pigs'!$AE$56*'Pigs Cost'!$H$175</f>
        <v>0</v>
      </c>
      <c r="L39" s="2177">
        <f>('Summary Total Pigs'!AE52)/'Summary Total Pigs'!$AE$56*'Pigs Cost'!$H$176</f>
        <v>0</v>
      </c>
      <c r="M39" s="2179" t="e">
        <f t="shared" si="8"/>
        <v>#REF!</v>
      </c>
      <c r="N39" s="2179"/>
      <c r="O39" s="2179">
        <f>'Summary Total Pigs'!N52*N39</f>
        <v>0</v>
      </c>
      <c r="P39" s="2179" t="e">
        <f>N39*'Summary Total Pigs'!#REF!</f>
        <v>#REF!</v>
      </c>
      <c r="Q39" s="2179">
        <f>N39*'Summary Total Pigs'!W52</f>
        <v>0</v>
      </c>
      <c r="R39" s="2179">
        <f>'Summary Total Pigs'!X52*N39</f>
        <v>0</v>
      </c>
      <c r="S39" s="2179">
        <f>'Summary Total Pigs'!AD52*'Pigs Cost'!N39</f>
        <v>0</v>
      </c>
      <c r="T39" s="2180" t="e">
        <f>M39+O39+P39+R39+S39+Q39</f>
        <v>#REF!</v>
      </c>
      <c r="U39" s="205"/>
      <c r="V39" s="24">
        <f t="shared" si="2"/>
        <v>0</v>
      </c>
    </row>
    <row r="40" spans="1:25">
      <c r="A40" s="2172" t="s">
        <v>111</v>
      </c>
      <c r="B40" s="2184" t="s">
        <v>106</v>
      </c>
      <c r="C40" s="2177">
        <f>[16]USD!$T40</f>
        <v>1594.9131305208607</v>
      </c>
      <c r="D40" s="2182"/>
      <c r="E40" s="205" t="e">
        <f>N66*'Summary Total Pigs'!D53</f>
        <v>#REF!</v>
      </c>
      <c r="F40" s="2177" t="e">
        <f>+$H$169*'Summary Total Pigs'!#REF!/'Summary Total Pigs'!#REF!</f>
        <v>#REF!</v>
      </c>
      <c r="G40" s="2177">
        <f>('Summary Total Pigs'!AE53)/'Summary Total Pigs'!$AE$56*'Pigs Cost'!$H$171</f>
        <v>0</v>
      </c>
      <c r="H40" s="2177">
        <f>('Summary Total Pigs'!AE53)/'Summary Total Pigs'!$AE$56*'Pigs Cost'!$H$172</f>
        <v>0</v>
      </c>
      <c r="I40" s="2177">
        <f>('Summary Total Pigs'!AE53)/'Summary Total Pigs'!$AE$56*'Pigs Cost'!$H$173</f>
        <v>0</v>
      </c>
      <c r="J40" s="2177">
        <v>0</v>
      </c>
      <c r="K40" s="2177">
        <f>('Summary Total Pigs'!AE53)/'Summary Total Pigs'!$AE$56*'Pigs Cost'!$H$175</f>
        <v>0</v>
      </c>
      <c r="L40" s="2177">
        <f>('Summary Total Pigs'!AE53)/'Summary Total Pigs'!$AE$56*'Pigs Cost'!$H$176</f>
        <v>0</v>
      </c>
      <c r="M40" s="2179" t="e">
        <f t="shared" si="8"/>
        <v>#REF!</v>
      </c>
      <c r="N40" s="2179" t="e">
        <f>M40/'Summary Total Pigs'!#REF!</f>
        <v>#REF!</v>
      </c>
      <c r="O40" s="2179" t="e">
        <f>'Summary Total Pigs'!N53*N40</f>
        <v>#REF!</v>
      </c>
      <c r="P40" s="2179" t="e">
        <f>N40*'Summary Total Pigs'!#REF!</f>
        <v>#REF!</v>
      </c>
      <c r="Q40" s="2179" t="e">
        <f>N40*'Summary Total Pigs'!W53</f>
        <v>#REF!</v>
      </c>
      <c r="R40" s="2179" t="e">
        <f>'Summary Total Pigs'!X53*N40</f>
        <v>#REF!</v>
      </c>
      <c r="S40" s="2179" t="e">
        <f>'Summary Total Pigs'!AD53*'Pigs Cost'!N40</f>
        <v>#REF!</v>
      </c>
      <c r="T40" s="2180" t="e">
        <f>M40+O40+P40+R40+S40+Q40</f>
        <v>#REF!</v>
      </c>
      <c r="U40" s="205"/>
      <c r="V40" s="24">
        <f t="shared" si="2"/>
        <v>1.5949131305208607E-7</v>
      </c>
    </row>
    <row r="41" spans="1:25">
      <c r="A41" s="2172" t="s">
        <v>112</v>
      </c>
      <c r="B41" s="2184" t="s">
        <v>106</v>
      </c>
      <c r="C41" s="2177">
        <f>[16]USD!$T41</f>
        <v>28570.93287229913</v>
      </c>
      <c r="D41" s="2182"/>
      <c r="E41" s="2182" t="e">
        <f>N40*'Summary Total Pigs'!D54</f>
        <v>#REF!</v>
      </c>
      <c r="F41" s="2177" t="e">
        <f>+$H$169*'Summary Total Pigs'!#REF!/'Summary Total Pigs'!#REF!</f>
        <v>#REF!</v>
      </c>
      <c r="G41" s="2183"/>
      <c r="H41" s="2183"/>
      <c r="I41" s="2183"/>
      <c r="J41" s="2177">
        <v>0</v>
      </c>
      <c r="K41" s="2177">
        <f>('Summary Total Pigs'!AE53)/'Summary Total Pigs'!$AE$56*'Pigs Cost'!$H$175</f>
        <v>0</v>
      </c>
      <c r="L41" s="2183">
        <f>H176</f>
        <v>0</v>
      </c>
      <c r="M41" s="2179" t="e">
        <f t="shared" si="8"/>
        <v>#REF!</v>
      </c>
      <c r="N41" s="2179" t="e">
        <f>M41/'Summary Total Pigs'!#REF!</f>
        <v>#REF!</v>
      </c>
      <c r="O41" s="2179" t="e">
        <f>'Summary Total Pigs'!N54*N41</f>
        <v>#REF!</v>
      </c>
      <c r="P41" s="2179" t="e">
        <f>N41*'Summary Total Pigs'!#REF!</f>
        <v>#REF!</v>
      </c>
      <c r="Q41" s="2179" t="e">
        <f>N41*'Summary Total Pigs'!W54</f>
        <v>#REF!</v>
      </c>
      <c r="R41" s="2179" t="e">
        <f>'Summary Total Pigs'!X54*N41</f>
        <v>#REF!</v>
      </c>
      <c r="S41" s="2179" t="e">
        <f>'Summary Total Pigs'!AD54*'Pigs Cost'!N41</f>
        <v>#REF!</v>
      </c>
      <c r="T41" s="2180" t="e">
        <f t="shared" si="9"/>
        <v>#REF!</v>
      </c>
      <c r="U41" s="205"/>
      <c r="V41" s="24">
        <f t="shared" si="2"/>
        <v>2.8570932872299132E-6</v>
      </c>
    </row>
    <row r="42" spans="1:25" ht="13.9" thickBot="1">
      <c r="A42" s="2174" t="s">
        <v>113</v>
      </c>
      <c r="B42" s="2185"/>
      <c r="C42" s="2177">
        <f>[16]USD!$T42</f>
        <v>455.72579999999999</v>
      </c>
      <c r="D42" s="2186"/>
      <c r="E42" s="2186"/>
      <c r="F42" s="2187"/>
      <c r="G42" s="2187"/>
      <c r="H42" s="2187"/>
      <c r="I42" s="2187"/>
      <c r="J42" s="2177">
        <v>0</v>
      </c>
      <c r="K42" s="2187"/>
      <c r="L42" s="2187"/>
      <c r="M42" s="2179">
        <f t="shared" si="8"/>
        <v>455.72579999999999</v>
      </c>
      <c r="N42" s="2179" t="e">
        <f>M42/'Summary Total Pigs'!#REF!</f>
        <v>#REF!</v>
      </c>
      <c r="O42" s="2179" t="e">
        <f>'Summary Total Pigs'!N55*N42</f>
        <v>#REF!</v>
      </c>
      <c r="P42" s="2179" t="e">
        <f>N42*'Summary Total Pigs'!#REF!</f>
        <v>#REF!</v>
      </c>
      <c r="Q42" s="2179" t="e">
        <f>N42*'Summary Total Pigs'!W55</f>
        <v>#REF!</v>
      </c>
      <c r="R42" s="2179" t="e">
        <f>'Summary Total Pigs'!X55*N42</f>
        <v>#REF!</v>
      </c>
      <c r="S42" s="2179" t="e">
        <f>'Summary Total Pigs'!AD55*'Pigs Cost'!N42</f>
        <v>#REF!</v>
      </c>
      <c r="T42" s="2180" t="e">
        <f t="shared" si="9"/>
        <v>#REF!</v>
      </c>
      <c r="U42" s="205"/>
      <c r="V42" s="24">
        <f t="shared" si="2"/>
        <v>4.5572579999999999E-8</v>
      </c>
    </row>
    <row r="43" spans="1:25" ht="13.9" thickBot="1">
      <c r="A43" s="3" t="s">
        <v>115</v>
      </c>
      <c r="B43" s="199"/>
      <c r="C43" s="200">
        <f>SUM(C37:C42)</f>
        <v>30969.106520141358</v>
      </c>
      <c r="D43" s="200">
        <f>SUM(D37:D42)</f>
        <v>0</v>
      </c>
      <c r="E43" s="200" t="e">
        <f>SUM(E37:E42)</f>
        <v>#REF!</v>
      </c>
      <c r="F43" s="201" t="e">
        <f t="shared" ref="F43:T43" si="10">SUM(F37:F42)</f>
        <v>#REF!</v>
      </c>
      <c r="G43" s="201">
        <f t="shared" si="10"/>
        <v>0</v>
      </c>
      <c r="H43" s="201">
        <f t="shared" si="10"/>
        <v>0</v>
      </c>
      <c r="I43" s="201">
        <f t="shared" si="10"/>
        <v>0</v>
      </c>
      <c r="J43" s="201">
        <f t="shared" si="10"/>
        <v>4271192895687.1064</v>
      </c>
      <c r="K43" s="201">
        <f t="shared" si="10"/>
        <v>0</v>
      </c>
      <c r="L43" s="201">
        <f t="shared" si="10"/>
        <v>0</v>
      </c>
      <c r="M43" s="201" t="e">
        <f t="shared" si="10"/>
        <v>#REF!</v>
      </c>
      <c r="N43" s="201" t="e">
        <f t="shared" si="10"/>
        <v>#REF!</v>
      </c>
      <c r="O43" s="201" t="e">
        <f t="shared" si="10"/>
        <v>#REF!</v>
      </c>
      <c r="P43" s="201" t="e">
        <f t="shared" si="10"/>
        <v>#REF!</v>
      </c>
      <c r="Q43" s="201" t="e">
        <f>SUM(Q37:Q42)</f>
        <v>#REF!</v>
      </c>
      <c r="R43" s="201" t="e">
        <f t="shared" si="10"/>
        <v>#REF!</v>
      </c>
      <c r="S43" s="201" t="e">
        <f t="shared" si="10"/>
        <v>#REF!</v>
      </c>
      <c r="T43" s="201" t="e">
        <f t="shared" si="10"/>
        <v>#REF!</v>
      </c>
      <c r="U43" s="205"/>
      <c r="V43" s="24">
        <f t="shared" si="2"/>
        <v>3.0969106520141358E-6</v>
      </c>
    </row>
    <row r="44" spans="1:25">
      <c r="A44" s="1"/>
      <c r="B44" s="184"/>
      <c r="C44" s="202"/>
      <c r="D44" s="202"/>
      <c r="E44" s="202"/>
      <c r="F44" s="202"/>
      <c r="G44" s="202"/>
      <c r="H44" s="202"/>
      <c r="I44" s="202"/>
      <c r="J44" s="202">
        <f>J43-H174</f>
        <v>4271192886567.1064</v>
      </c>
      <c r="K44" s="202"/>
      <c r="L44" s="202"/>
      <c r="M44" s="202"/>
      <c r="N44" s="202"/>
      <c r="O44" s="202"/>
      <c r="P44" s="202">
        <v>0</v>
      </c>
      <c r="Q44" s="202"/>
      <c r="R44" s="202"/>
      <c r="S44" s="202"/>
      <c r="T44" s="202"/>
      <c r="U44" s="205"/>
      <c r="V44" s="24">
        <f t="shared" si="2"/>
        <v>0</v>
      </c>
    </row>
    <row r="45" spans="1:25" ht="16.5" hidden="1" customHeight="1">
      <c r="A45" s="1"/>
      <c r="B45" s="184"/>
      <c r="C45" s="202"/>
      <c r="D45" s="202"/>
      <c r="E45" s="202"/>
      <c r="F45" s="202"/>
      <c r="G45" s="202"/>
      <c r="H45" s="202"/>
      <c r="I45" s="202"/>
      <c r="J45" s="202"/>
      <c r="K45" s="202"/>
      <c r="L45" s="202">
        <f>+(G43+H43+I43+K43+L43+J43)-H178</f>
        <v>4271192886567.1064</v>
      </c>
      <c r="M45" s="202"/>
      <c r="N45" s="202"/>
      <c r="O45" s="202"/>
      <c r="P45" s="202"/>
      <c r="Q45" s="202"/>
      <c r="R45" s="202"/>
      <c r="S45" s="202"/>
      <c r="T45" s="202"/>
      <c r="U45" s="205"/>
      <c r="V45" s="24">
        <f t="shared" si="2"/>
        <v>0</v>
      </c>
    </row>
    <row r="46" spans="1:25" ht="16.5" hidden="1" customHeight="1">
      <c r="A46" s="1"/>
      <c r="B46" s="184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5"/>
      <c r="V46" s="24">
        <f t="shared" si="2"/>
        <v>0</v>
      </c>
    </row>
    <row r="47" spans="1:25" hidden="1">
      <c r="A47" s="300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4">
        <f t="shared" si="2"/>
        <v>0</v>
      </c>
    </row>
    <row r="48" spans="1:25">
      <c r="A48" s="300"/>
      <c r="B48" s="205"/>
      <c r="C48" s="2176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4">
        <f t="shared" si="2"/>
        <v>0</v>
      </c>
    </row>
    <row r="49" spans="1:26">
      <c r="A49" s="1" t="s">
        <v>86</v>
      </c>
      <c r="B49" s="187" t="s">
        <v>118</v>
      </c>
      <c r="C49" s="205"/>
      <c r="D49" s="205"/>
      <c r="E49" s="2190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4">
        <f t="shared" si="2"/>
        <v>0</v>
      </c>
      <c r="Z49" s="300"/>
    </row>
    <row r="50" spans="1:26" ht="13.9" thickBot="1">
      <c r="A50" s="300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4">
        <f t="shared" si="2"/>
        <v>0</v>
      </c>
      <c r="Z50" s="300"/>
    </row>
    <row r="51" spans="1:26" s="14" customFormat="1" ht="27" thickBot="1">
      <c r="A51" s="12" t="s">
        <v>87</v>
      </c>
      <c r="B51" s="189" t="s">
        <v>88</v>
      </c>
      <c r="C51" s="190" t="str">
        <f>+C36</f>
        <v>OPENING</v>
      </c>
      <c r="D51" s="191" t="s">
        <v>90</v>
      </c>
      <c r="E51" s="192" t="s">
        <v>91</v>
      </c>
      <c r="F51" s="190" t="s">
        <v>92</v>
      </c>
      <c r="G51" s="190" t="s">
        <v>93</v>
      </c>
      <c r="H51" s="190" t="s">
        <v>94</v>
      </c>
      <c r="I51" s="190" t="s">
        <v>95</v>
      </c>
      <c r="J51" s="190" t="s">
        <v>96</v>
      </c>
      <c r="K51" s="190" t="s">
        <v>97</v>
      </c>
      <c r="L51" s="190" t="s">
        <v>98</v>
      </c>
      <c r="M51" s="192" t="s">
        <v>99</v>
      </c>
      <c r="N51" s="192" t="s">
        <v>100</v>
      </c>
      <c r="O51" s="192" t="s">
        <v>101</v>
      </c>
      <c r="P51" s="192" t="s">
        <v>102</v>
      </c>
      <c r="Q51" s="192" t="str">
        <f>Q36</f>
        <v>Deaths</v>
      </c>
      <c r="R51" s="192" t="str">
        <f>R36</f>
        <v>CULLS</v>
      </c>
      <c r="S51" s="192" t="str">
        <f>+S36</f>
        <v>STOCK ADJMNT</v>
      </c>
      <c r="T51" s="195" t="s">
        <v>104</v>
      </c>
      <c r="U51" s="196"/>
      <c r="V51" s="24" t="e">
        <f t="shared" si="2"/>
        <v>#VALUE!</v>
      </c>
      <c r="W51"/>
      <c r="X51"/>
      <c r="Y51"/>
    </row>
    <row r="52" spans="1:26">
      <c r="A52" s="2171" t="s">
        <v>105</v>
      </c>
      <c r="B52" s="2184" t="s">
        <v>106</v>
      </c>
      <c r="C52" s="2177">
        <f>[16]USD!$T52</f>
        <v>5268.2208091690864</v>
      </c>
      <c r="D52" s="2178"/>
      <c r="E52" s="2178" t="e">
        <f>'Summary Total Pigs'!D89*N37</f>
        <v>#REF!</v>
      </c>
      <c r="F52" s="2177"/>
      <c r="G52" s="2177">
        <f>('Summary Total Pigs'!$AE$89+'Summary Total Pigs'!$AE$93)/'Summary Total Pigs'!$AE$95*'Pigs Cost'!$H$171</f>
        <v>0</v>
      </c>
      <c r="H52" s="2177">
        <f>('Summary Total Pigs'!$AE$89+'Summary Total Pigs'!$AE$93)/'Summary Total Pigs'!$AE$95*'Pigs Cost'!$K$172</f>
        <v>0</v>
      </c>
      <c r="I52" s="2177">
        <f>('Summary Total Pigs'!$AE$89+'Summary Total Pigs'!$AE$93)/'Summary Total Pigs'!$AE$95*'Pigs Cost'!$K$173</f>
        <v>0</v>
      </c>
      <c r="J52" s="2177">
        <f>('Summary Total Pigs'!AE89+'Summary Total Pigs'!AE92+'Summary Total Pigs'!AE93+'Summary Total Pigs'!AE94)/'Summary Total Pigs'!$AE$95*$K$174</f>
        <v>5952.3837576267615</v>
      </c>
      <c r="K52" s="2177">
        <f>('Summary Total Pigs'!AE89)/'Summary Total Pigs'!$AE$95*'Pigs Cost'!$K$175</f>
        <v>0</v>
      </c>
      <c r="L52" s="2177">
        <f>('Summary Total Pigs'!$AE$89+'Summary Total Pigs'!$AE$93)/'Summary Total Pigs'!$AE$95*'Pigs Cost'!$K$176</f>
        <v>0</v>
      </c>
      <c r="M52" s="2179" t="e">
        <f t="shared" ref="M52:M57" si="11">SUM(C52:L52)</f>
        <v>#REF!</v>
      </c>
      <c r="N52" s="2179" t="e">
        <f>M52/'Summary Total Pigs'!M89</f>
        <v>#REF!</v>
      </c>
      <c r="O52" s="2179" t="e">
        <f>'Summary Total Pigs'!N89*N52</f>
        <v>#REF!</v>
      </c>
      <c r="P52" s="2179"/>
      <c r="Q52" s="2179" t="e">
        <f>N52*'Summary Total Pigs'!#REF!</f>
        <v>#REF!</v>
      </c>
      <c r="R52" s="2179" t="e">
        <f>N52*'Summary Total Pigs'!Z89</f>
        <v>#REF!</v>
      </c>
      <c r="S52" s="2179" t="e">
        <f>'Summary Total Pigs'!#REF!*N52</f>
        <v>#REF!</v>
      </c>
      <c r="T52" s="2180" t="e">
        <f t="shared" ref="T52:T57" si="12">M52+O52+P52+R52+S52+Q52</f>
        <v>#REF!</v>
      </c>
      <c r="U52" s="205"/>
      <c r="V52" s="24">
        <f t="shared" si="2"/>
        <v>5.2682208091690864E-7</v>
      </c>
      <c r="Z52" s="300"/>
    </row>
    <row r="53" spans="1:26">
      <c r="A53" s="2172" t="s">
        <v>107</v>
      </c>
      <c r="B53" s="2181" t="s">
        <v>108</v>
      </c>
      <c r="C53" s="2177">
        <f>[16]USD!$T53</f>
        <v>9194.002098104218</v>
      </c>
      <c r="D53" s="2182"/>
      <c r="E53" s="2178" t="e">
        <f>'Summary Total Pigs'!D90*N52</f>
        <v>#REF!</v>
      </c>
      <c r="F53" s="2183"/>
      <c r="G53" s="2177">
        <f>('Summary Total Pigs'!AE90)/'Summary Total Pigs'!$AE$95*'Pigs Cost'!$H$171</f>
        <v>0</v>
      </c>
      <c r="H53" s="2177">
        <f>('Summary Total Pigs'!AE90)/'Summary Total Pigs'!$AE$95*'Pigs Cost'!$K$172</f>
        <v>0</v>
      </c>
      <c r="I53" s="2177">
        <f>('Summary Total Pigs'!AE90)/'Summary Total Pigs'!$AE$95*'Pigs Cost'!$K$173</f>
        <v>0</v>
      </c>
      <c r="J53" s="2177">
        <f>('Summary Total Pigs'!AE90)/'Summary Total Pigs'!$AE$95*$K$174</f>
        <v>3729.114243635599</v>
      </c>
      <c r="K53" s="2177">
        <f>('Summary Total Pigs'!$AE$90)/'Summary Total Pigs'!$AE$95*'Pigs Cost'!$K$175</f>
        <v>0</v>
      </c>
      <c r="L53" s="2177">
        <f>('Summary Total Pigs'!AE90)/'Summary Total Pigs'!$AE$95*'Pigs Cost'!$K$175</f>
        <v>0</v>
      </c>
      <c r="M53" s="2179" t="e">
        <f t="shared" si="11"/>
        <v>#REF!</v>
      </c>
      <c r="N53" s="2179" t="e">
        <f>M53/'Summary Total Pigs'!M90</f>
        <v>#REF!</v>
      </c>
      <c r="O53" s="2179" t="e">
        <f>'Summary Total Pigs'!N90*N53</f>
        <v>#REF!</v>
      </c>
      <c r="P53" s="2179">
        <v>0</v>
      </c>
      <c r="Q53" s="2179" t="e">
        <f>N53*'Summary Total Pigs'!#REF!</f>
        <v>#REF!</v>
      </c>
      <c r="R53" s="2179" t="e">
        <f>N53*'Summary Total Pigs'!Z90</f>
        <v>#REF!</v>
      </c>
      <c r="S53" s="2179" t="e">
        <f>'Summary Total Pigs'!#REF!*N53</f>
        <v>#REF!</v>
      </c>
      <c r="T53" s="2180" t="e">
        <f t="shared" si="12"/>
        <v>#REF!</v>
      </c>
      <c r="U53" s="205"/>
      <c r="V53" s="24">
        <f t="shared" si="2"/>
        <v>9.1940020981042181E-7</v>
      </c>
      <c r="Z53" s="300"/>
    </row>
    <row r="54" spans="1:26">
      <c r="A54" s="2172" t="s">
        <v>109</v>
      </c>
      <c r="B54" s="2181" t="s">
        <v>110</v>
      </c>
      <c r="C54" s="2177">
        <f>[16]USD!$T54</f>
        <v>18907.91244244422</v>
      </c>
      <c r="D54" s="2182"/>
      <c r="E54" s="2178" t="e">
        <f>'Summary Total Pigs'!D91*N77</f>
        <v>#REF!</v>
      </c>
      <c r="F54" s="2183"/>
      <c r="G54" s="2177">
        <f>('Summary Total Pigs'!AE91)/'Summary Total Pigs'!$AE$95*'Pigs Cost'!$H$171</f>
        <v>0</v>
      </c>
      <c r="H54" s="2177">
        <f>('Summary Total Pigs'!AE91)/'Summary Total Pigs'!$AE$95*'Pigs Cost'!$K$172</f>
        <v>0</v>
      </c>
      <c r="I54" s="2177">
        <f>('Summary Total Pigs'!AE91)/'Summary Total Pigs'!$AE$95*'Pigs Cost'!$K$173</f>
        <v>0</v>
      </c>
      <c r="J54" s="2177">
        <f>('Summary Total Pigs'!AE91)/'Summary Total Pigs'!$AE$95*$K$174</f>
        <v>8078.501998737639</v>
      </c>
      <c r="K54" s="2177">
        <f>('Summary Total Pigs'!AE91)/'Summary Total Pigs'!$AE$95*'Pigs Cost'!$K$175</f>
        <v>0</v>
      </c>
      <c r="L54" s="2177">
        <f>('Summary Total Pigs'!AE91)/'Summary Total Pigs'!$AE$95*'Pigs Cost'!$K$175</f>
        <v>0</v>
      </c>
      <c r="M54" s="2179" t="e">
        <f>SUM(C54:L54)</f>
        <v>#REF!</v>
      </c>
      <c r="N54" s="2179" t="e">
        <f>M54/'Summary Total Pigs'!M91</f>
        <v>#REF!</v>
      </c>
      <c r="O54" s="2179" t="e">
        <f>'Summary Total Pigs'!N94*N54</f>
        <v>#REF!</v>
      </c>
      <c r="P54" s="2179" t="e">
        <f>'Summary Total Pigs'!#REF!*N54</f>
        <v>#REF!</v>
      </c>
      <c r="Q54" s="2179" t="e">
        <f>N54*'Summary Total Pigs'!#REF!</f>
        <v>#REF!</v>
      </c>
      <c r="R54" s="2179" t="e">
        <f>N54*'Summary Total Pigs'!Z91</f>
        <v>#REF!</v>
      </c>
      <c r="S54" s="2179" t="e">
        <f>'Summary Total Pigs'!#REF!*N54</f>
        <v>#REF!</v>
      </c>
      <c r="T54" s="2180" t="e">
        <f t="shared" si="12"/>
        <v>#REF!</v>
      </c>
      <c r="U54" s="205"/>
      <c r="V54" s="24">
        <f t="shared" si="2"/>
        <v>1.8907912442444219E-6</v>
      </c>
      <c r="Z54" s="300"/>
    </row>
    <row r="55" spans="1:26">
      <c r="A55" s="2172" t="s">
        <v>111</v>
      </c>
      <c r="B55" s="2184" t="s">
        <v>106</v>
      </c>
      <c r="C55" s="2177">
        <f>[16]USD!$T55</f>
        <v>-370.42678697717565</v>
      </c>
      <c r="D55" s="2182"/>
      <c r="E55" s="2178" t="e">
        <f>15*N54+10*N15</f>
        <v>#REF!</v>
      </c>
      <c r="F55" s="2183"/>
      <c r="G55" s="2177">
        <f>('Summary Total Pigs'!AE92)/'Summary Total Pigs'!$AE$95*'Pigs Cost'!$K$171</f>
        <v>0</v>
      </c>
      <c r="H55" s="2177">
        <f>('Summary Total Pigs'!AE92)/'Summary Total Pigs'!$AE$95*'Pigs Cost'!$K$172</f>
        <v>0</v>
      </c>
      <c r="I55" s="2177">
        <f>('Summary Total Pigs'!AE92)/'Summary Total Pigs'!$AE$95*'Pigs Cost'!$K$173</f>
        <v>0</v>
      </c>
      <c r="J55" s="2177">
        <v>0</v>
      </c>
      <c r="K55" s="2177">
        <f>('Summary Total Pigs'!AE92)/'Summary Total Pigs'!$AE$95*'Pigs Cost'!$K$175</f>
        <v>0</v>
      </c>
      <c r="L55" s="2177">
        <f>('Summary Total Pigs'!AE92)/'Summary Total Pigs'!$AE$95*'Pigs Cost'!$K$176</f>
        <v>0</v>
      </c>
      <c r="M55" s="2179" t="e">
        <f t="shared" si="11"/>
        <v>#REF!</v>
      </c>
      <c r="N55" s="2179" t="e">
        <f>M55/'Summary Total Pigs'!M92</f>
        <v>#REF!</v>
      </c>
      <c r="O55" s="2179" t="e">
        <f>'Summary Total Pigs'!N92*N55</f>
        <v>#REF!</v>
      </c>
      <c r="P55" s="2179" t="e">
        <f>'Summary Total Pigs'!#REF!*N55</f>
        <v>#REF!</v>
      </c>
      <c r="Q55" s="2179" t="e">
        <f>N55*'Summary Total Pigs'!#REF!</f>
        <v>#REF!</v>
      </c>
      <c r="R55" s="2179" t="e">
        <f>N55*'Summary Total Pigs'!Z92</f>
        <v>#REF!</v>
      </c>
      <c r="S55" s="2179" t="e">
        <f>'Summary Total Pigs'!#REF!*N55</f>
        <v>#REF!</v>
      </c>
      <c r="T55" s="2180" t="e">
        <f t="shared" si="12"/>
        <v>#REF!</v>
      </c>
      <c r="U55" s="205"/>
      <c r="V55" s="24">
        <f t="shared" si="2"/>
        <v>-3.7042678697717569E-8</v>
      </c>
      <c r="Z55" s="300"/>
    </row>
    <row r="56" spans="1:26">
      <c r="A56" s="2172" t="s">
        <v>112</v>
      </c>
      <c r="B56" s="2184" t="s">
        <v>106</v>
      </c>
      <c r="C56" s="2177">
        <f>[16]USD!$T56</f>
        <v>26248.310380790586</v>
      </c>
      <c r="D56" s="2182"/>
      <c r="E56" s="2178" t="e">
        <f>N55*'Summary Total Pigs'!D93</f>
        <v>#REF!</v>
      </c>
      <c r="F56" s="2183"/>
      <c r="G56" s="2183"/>
      <c r="H56" s="2177">
        <f>('Summary Total Pigs'!AE93)/'Summary Total Pigs'!$AE$95*'Pigs Cost'!$H$171</f>
        <v>0</v>
      </c>
      <c r="I56" s="2177"/>
      <c r="J56" s="2177">
        <v>0</v>
      </c>
      <c r="K56" s="2177">
        <f>('Summary Total Pigs'!AE93)/'Summary Total Pigs'!$AE$95*'Pigs Cost'!$K$175</f>
        <v>0</v>
      </c>
      <c r="L56" s="2177">
        <f>('Summary Total Pigs'!AE93)/'Summary Total Pigs'!$AE$95*'Pigs Cost'!$K$176</f>
        <v>0</v>
      </c>
      <c r="M56" s="2179" t="e">
        <f>SUM(C56:L56)</f>
        <v>#REF!</v>
      </c>
      <c r="N56" s="2179" t="e">
        <f>M56/'Summary Total Pigs'!M93</f>
        <v>#REF!</v>
      </c>
      <c r="O56" s="2179" t="e">
        <f>'Summary Total Pigs'!N93*N56</f>
        <v>#REF!</v>
      </c>
      <c r="P56" s="205" t="e">
        <f>'Summary Total Pigs'!#REF!*N56</f>
        <v>#REF!</v>
      </c>
      <c r="Q56" s="2179" t="e">
        <f>N56*'Summary Total Pigs'!#REF!</f>
        <v>#REF!</v>
      </c>
      <c r="R56" s="2179" t="e">
        <f>N56*'Summary Total Pigs'!Z93</f>
        <v>#REF!</v>
      </c>
      <c r="S56" s="2179" t="e">
        <f>'Summary Total Pigs'!#REF!*N56</f>
        <v>#REF!</v>
      </c>
      <c r="T56" s="2180" t="e">
        <f t="shared" si="12"/>
        <v>#REF!</v>
      </c>
      <c r="U56" s="205"/>
      <c r="V56" s="24">
        <f t="shared" si="2"/>
        <v>2.6248310380790587E-6</v>
      </c>
      <c r="Z56" s="300"/>
    </row>
    <row r="57" spans="1:26" ht="13.9" thickBot="1">
      <c r="A57" s="2174" t="s">
        <v>113</v>
      </c>
      <c r="B57" s="2185"/>
      <c r="C57" s="2177">
        <f>[16]USD!$T57</f>
        <v>455.72580000000011</v>
      </c>
      <c r="D57" s="2186"/>
      <c r="E57" s="2178" t="e">
        <f>'Summary Total Pigs'!D94*N56</f>
        <v>#REF!</v>
      </c>
      <c r="F57" s="2187"/>
      <c r="G57" s="2187"/>
      <c r="H57" s="2187"/>
      <c r="I57" s="2187"/>
      <c r="J57" s="2177">
        <v>0</v>
      </c>
      <c r="K57" s="2187"/>
      <c r="L57" s="2187"/>
      <c r="M57" s="2179" t="e">
        <f t="shared" si="11"/>
        <v>#REF!</v>
      </c>
      <c r="N57" s="2179" t="e">
        <f>M57/'Summary Total Pigs'!M94</f>
        <v>#REF!</v>
      </c>
      <c r="O57" s="2179" t="e">
        <f>'Summary Total Pigs'!#REF!*N57</f>
        <v>#REF!</v>
      </c>
      <c r="P57" s="2179" t="e">
        <f>N57*'Summary Total Pigs'!#REF!</f>
        <v>#REF!</v>
      </c>
      <c r="Q57" s="2179" t="e">
        <f>N57*'Summary Total Pigs'!#REF!</f>
        <v>#REF!</v>
      </c>
      <c r="R57" s="2179" t="e">
        <f>N57*'Summary Total Pigs'!Z94</f>
        <v>#REF!</v>
      </c>
      <c r="S57" s="2179" t="e">
        <f>'Summary Total Pigs'!#REF!*N57</f>
        <v>#REF!</v>
      </c>
      <c r="T57" s="2180" t="e">
        <f t="shared" si="12"/>
        <v>#REF!</v>
      </c>
      <c r="U57" s="205"/>
      <c r="V57" s="24">
        <f t="shared" si="2"/>
        <v>4.5572580000000012E-8</v>
      </c>
      <c r="Z57" s="300"/>
    </row>
    <row r="58" spans="1:26" ht="13.9" thickBot="1">
      <c r="A58" s="3" t="s">
        <v>115</v>
      </c>
      <c r="B58" s="199"/>
      <c r="C58" s="200">
        <f>SUM(C52:C57)</f>
        <v>59703.74474353093</v>
      </c>
      <c r="D58" s="200">
        <f>SUM(D52:D57)</f>
        <v>0</v>
      </c>
      <c r="E58" s="200" t="e">
        <f>SUM(E52:E57)</f>
        <v>#REF!</v>
      </c>
      <c r="F58" s="200">
        <f>SUM(F52:F57)</f>
        <v>0</v>
      </c>
      <c r="G58" s="200">
        <f>SUM(G52:G57)</f>
        <v>0</v>
      </c>
      <c r="H58" s="201">
        <f t="shared" ref="H58:T58" si="13">SUM(H52:H57)</f>
        <v>0</v>
      </c>
      <c r="I58" s="201">
        <f>SUM(I52:I57)</f>
        <v>0</v>
      </c>
      <c r="J58" s="201">
        <f t="shared" si="13"/>
        <v>17760</v>
      </c>
      <c r="K58" s="201">
        <f t="shared" si="13"/>
        <v>0</v>
      </c>
      <c r="L58" s="201">
        <f t="shared" si="13"/>
        <v>0</v>
      </c>
      <c r="M58" s="201" t="e">
        <f t="shared" si="13"/>
        <v>#REF!</v>
      </c>
      <c r="N58" s="201" t="e">
        <f t="shared" si="13"/>
        <v>#REF!</v>
      </c>
      <c r="O58" s="201" t="e">
        <f t="shared" si="13"/>
        <v>#REF!</v>
      </c>
      <c r="P58" s="201" t="e">
        <f t="shared" si="13"/>
        <v>#REF!</v>
      </c>
      <c r="Q58" s="201" t="e">
        <f>SUM(Q52:Q57)</f>
        <v>#REF!</v>
      </c>
      <c r="R58" s="201" t="e">
        <f t="shared" si="13"/>
        <v>#REF!</v>
      </c>
      <c r="S58" s="201" t="e">
        <f>SUM(S52:S57)</f>
        <v>#REF!</v>
      </c>
      <c r="T58" s="201" t="e">
        <f t="shared" si="13"/>
        <v>#REF!</v>
      </c>
      <c r="U58" s="205"/>
      <c r="V58" s="24">
        <f t="shared" si="2"/>
        <v>5.9703744743530933E-6</v>
      </c>
      <c r="Z58" s="2191"/>
    </row>
    <row r="59" spans="1:26">
      <c r="A59" s="1"/>
      <c r="B59" s="184"/>
      <c r="C59" s="202"/>
      <c r="D59" s="202"/>
      <c r="E59" s="202"/>
      <c r="F59" s="202"/>
      <c r="G59" s="202"/>
      <c r="H59" s="202"/>
      <c r="I59" s="202"/>
      <c r="J59" s="202">
        <f>J58-K174</f>
        <v>0</v>
      </c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5"/>
      <c r="V59" s="24">
        <f t="shared" si="2"/>
        <v>0</v>
      </c>
      <c r="Z59" s="300"/>
    </row>
    <row r="60" spans="1:26">
      <c r="A60" s="1" t="s">
        <v>86</v>
      </c>
      <c r="B60" s="187" t="s">
        <v>119</v>
      </c>
      <c r="C60" s="205"/>
      <c r="D60" s="2176"/>
      <c r="E60" s="205" t="e">
        <f>-16*N16</f>
        <v>#REF!</v>
      </c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4">
        <f t="shared" si="2"/>
        <v>0</v>
      </c>
      <c r="Z60" s="300"/>
    </row>
    <row r="61" spans="1:26" ht="13.9" thickBot="1">
      <c r="A61" s="300"/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4">
        <f t="shared" si="2"/>
        <v>0</v>
      </c>
      <c r="Z61" s="300"/>
    </row>
    <row r="62" spans="1:26" s="14" customFormat="1" ht="27" thickBot="1">
      <c r="A62" s="12" t="s">
        <v>87</v>
      </c>
      <c r="B62" s="189" t="s">
        <v>88</v>
      </c>
      <c r="C62" s="190" t="str">
        <f>+C51</f>
        <v>OPENING</v>
      </c>
      <c r="D62" s="191" t="s">
        <v>90</v>
      </c>
      <c r="E62" s="192" t="s">
        <v>91</v>
      </c>
      <c r="F62" s="190" t="s">
        <v>92</v>
      </c>
      <c r="G62" s="190" t="s">
        <v>93</v>
      </c>
      <c r="H62" s="190" t="s">
        <v>94</v>
      </c>
      <c r="I62" s="190" t="s">
        <v>95</v>
      </c>
      <c r="J62" s="190" t="s">
        <v>96</v>
      </c>
      <c r="K62" s="190" t="s">
        <v>97</v>
      </c>
      <c r="L62" s="190" t="s">
        <v>98</v>
      </c>
      <c r="M62" s="192" t="s">
        <v>99</v>
      </c>
      <c r="N62" s="192" t="s">
        <v>100</v>
      </c>
      <c r="O62" s="192" t="s">
        <v>101</v>
      </c>
      <c r="P62" s="192" t="s">
        <v>102</v>
      </c>
      <c r="Q62" s="192" t="str">
        <f>Q51</f>
        <v>Deaths</v>
      </c>
      <c r="R62" s="192" t="str">
        <f>R51</f>
        <v>CULLS</v>
      </c>
      <c r="S62" s="192" t="str">
        <f>+S51</f>
        <v>STOCK ADJMNT</v>
      </c>
      <c r="T62" s="195" t="s">
        <v>104</v>
      </c>
      <c r="U62" s="196"/>
      <c r="V62" s="24" t="e">
        <f t="shared" si="2"/>
        <v>#VALUE!</v>
      </c>
      <c r="W62"/>
      <c r="X62"/>
      <c r="Y62"/>
    </row>
    <row r="63" spans="1:26">
      <c r="A63" s="2171" t="s">
        <v>105</v>
      </c>
      <c r="B63" s="2184" t="s">
        <v>106</v>
      </c>
      <c r="C63" s="2177">
        <f>[16]USD!$T63</f>
        <v>0</v>
      </c>
      <c r="D63" s="2178"/>
      <c r="E63" s="2178">
        <f>'Summary Total Pigs'!D130*N61</f>
        <v>0</v>
      </c>
      <c r="F63" s="2177"/>
      <c r="G63" s="2177"/>
      <c r="H63" s="2177"/>
      <c r="I63" s="2177"/>
      <c r="J63" s="2177">
        <v>0</v>
      </c>
      <c r="K63" s="2177"/>
      <c r="L63" s="2177"/>
      <c r="M63" s="2179">
        <f t="shared" ref="M63:M68" si="14">SUM(C63:L63)</f>
        <v>0</v>
      </c>
      <c r="N63" s="2179"/>
      <c r="O63" s="2179">
        <f>'Summary Total Pigs'!Q127*N63</f>
        <v>0</v>
      </c>
      <c r="P63" s="2179">
        <f>N63*'Summary Total Pigs'!Z127</f>
        <v>0</v>
      </c>
      <c r="Q63" s="2179">
        <f>N63*'Summary Total Pigs'!AB127</f>
        <v>0</v>
      </c>
      <c r="R63" s="2179">
        <f>'Summary Total Pigs'!AD127*N63</f>
        <v>0</v>
      </c>
      <c r="S63" s="2179">
        <f>'Summary Total Pigs'!AG127*'Pigs Cost'!N63</f>
        <v>0</v>
      </c>
      <c r="T63" s="2180">
        <f t="shared" ref="T63:T68" si="15">M63+O63+P63+R63+S63+Q63</f>
        <v>0</v>
      </c>
      <c r="U63" s="205"/>
      <c r="V63" s="24">
        <f t="shared" si="2"/>
        <v>0</v>
      </c>
      <c r="Z63" s="300"/>
    </row>
    <row r="64" spans="1:26">
      <c r="A64" s="2172" t="s">
        <v>107</v>
      </c>
      <c r="B64" s="2181" t="s">
        <v>108</v>
      </c>
      <c r="C64" s="2177">
        <f>[16]USD!$T64</f>
        <v>0</v>
      </c>
      <c r="D64" s="2182"/>
      <c r="E64" s="2182">
        <v>0</v>
      </c>
      <c r="F64" s="2183"/>
      <c r="G64" s="2177"/>
      <c r="H64" s="2177"/>
      <c r="I64" s="2177"/>
      <c r="J64" s="2177">
        <v>0</v>
      </c>
      <c r="K64" s="2177"/>
      <c r="L64" s="2183"/>
      <c r="M64" s="2179">
        <f t="shared" si="14"/>
        <v>0</v>
      </c>
      <c r="N64" s="2179"/>
      <c r="O64" s="2179">
        <f>'Summary Total Pigs'!Q128*N64</f>
        <v>0</v>
      </c>
      <c r="P64" s="2179">
        <f>N64*'Summary Total Pigs'!Z128</f>
        <v>0</v>
      </c>
      <c r="Q64" s="2179">
        <f>N64*'Summary Total Pigs'!AB128</f>
        <v>0</v>
      </c>
      <c r="R64" s="2179">
        <f>'Summary Total Pigs'!AD128*N64</f>
        <v>0</v>
      </c>
      <c r="S64" s="2179">
        <f>'Summary Total Pigs'!AG128*'Pigs Cost'!N64</f>
        <v>0</v>
      </c>
      <c r="T64" s="2180">
        <f t="shared" si="15"/>
        <v>0</v>
      </c>
      <c r="U64" s="205"/>
      <c r="V64" s="24">
        <f t="shared" si="2"/>
        <v>0</v>
      </c>
      <c r="Z64" s="300"/>
    </row>
    <row r="65" spans="1:25">
      <c r="A65" s="2172" t="s">
        <v>109</v>
      </c>
      <c r="B65" s="2181" t="s">
        <v>110</v>
      </c>
      <c r="C65" s="2177">
        <f>[16]USD!$T65</f>
        <v>0</v>
      </c>
      <c r="D65" s="2182"/>
      <c r="E65" s="2182">
        <v>0</v>
      </c>
      <c r="F65" s="2183"/>
      <c r="G65" s="2177"/>
      <c r="H65" s="2177"/>
      <c r="I65" s="2177"/>
      <c r="J65" s="2177">
        <v>0</v>
      </c>
      <c r="K65" s="2177"/>
      <c r="L65" s="2183"/>
      <c r="M65" s="2179">
        <f t="shared" si="14"/>
        <v>0</v>
      </c>
      <c r="N65" s="2179"/>
      <c r="O65" s="2179">
        <f>'Summary Total Pigs'!Q129*N65</f>
        <v>0</v>
      </c>
      <c r="P65" s="2179">
        <f>N65*'Summary Total Pigs'!Z129</f>
        <v>0</v>
      </c>
      <c r="Q65" s="2179">
        <f>N65*'Summary Total Pigs'!AB129</f>
        <v>0</v>
      </c>
      <c r="R65" s="2179">
        <f>'Summary Total Pigs'!AD129*N65</f>
        <v>0</v>
      </c>
      <c r="S65" s="2179">
        <f>'Summary Total Pigs'!AG129*'Pigs Cost'!N65</f>
        <v>0</v>
      </c>
      <c r="T65" s="2180">
        <f t="shared" si="15"/>
        <v>0</v>
      </c>
      <c r="U65" s="205"/>
      <c r="V65" s="24">
        <f t="shared" si="2"/>
        <v>0</v>
      </c>
    </row>
    <row r="66" spans="1:25">
      <c r="A66" s="2172" t="s">
        <v>111</v>
      </c>
      <c r="B66" s="2184" t="s">
        <v>106</v>
      </c>
      <c r="C66" s="2177">
        <f>[16]USD!$T66</f>
        <v>13603.670819148516</v>
      </c>
      <c r="D66" s="2182"/>
      <c r="E66" s="2182" t="e">
        <f>'Summary Total Pigs'!D130*N15</f>
        <v>#REF!</v>
      </c>
      <c r="F66" s="2183"/>
      <c r="G66" s="2177"/>
      <c r="H66" s="2177"/>
      <c r="I66" s="2177"/>
      <c r="J66" s="2177">
        <f>USD!I174</f>
        <v>480</v>
      </c>
      <c r="K66" s="2177"/>
      <c r="L66" s="2183"/>
      <c r="M66" s="2179" t="e">
        <f>SUM(C66:L66)</f>
        <v>#REF!</v>
      </c>
      <c r="N66" s="2179" t="e">
        <f>+M66/'Summary Total Pigs'!P130</f>
        <v>#REF!</v>
      </c>
      <c r="O66" s="2179" t="e">
        <f>'Summary Total Pigs'!Q130*N66</f>
        <v>#REF!</v>
      </c>
      <c r="P66" s="2179" t="e">
        <f>N66*'Summary Total Pigs'!Z130</f>
        <v>#REF!</v>
      </c>
      <c r="Q66" s="2179" t="e">
        <f>N66*'Summary Total Pigs'!AB130</f>
        <v>#REF!</v>
      </c>
      <c r="R66" s="2179" t="e">
        <f>'Summary Total Pigs'!AD130*N66</f>
        <v>#REF!</v>
      </c>
      <c r="S66" s="2179" t="e">
        <f>'Summary Total Pigs'!AG130*'Pigs Cost'!N66</f>
        <v>#REF!</v>
      </c>
      <c r="T66" s="2180" t="e">
        <f t="shared" si="15"/>
        <v>#REF!</v>
      </c>
      <c r="U66" s="205"/>
      <c r="V66" s="24">
        <f t="shared" si="2"/>
        <v>1.3603670819148515E-6</v>
      </c>
    </row>
    <row r="67" spans="1:25">
      <c r="A67" s="2172" t="s">
        <v>112</v>
      </c>
      <c r="B67" s="2184" t="s">
        <v>106</v>
      </c>
      <c r="C67" s="2177">
        <f>[16]USD!$T67</f>
        <v>0</v>
      </c>
      <c r="D67" s="2182"/>
      <c r="E67" s="2182">
        <v>0</v>
      </c>
      <c r="F67" s="2183"/>
      <c r="G67" s="2177"/>
      <c r="H67" s="2177"/>
      <c r="I67" s="2177"/>
      <c r="J67" s="2177">
        <v>0</v>
      </c>
      <c r="K67" s="2177"/>
      <c r="L67" s="2183"/>
      <c r="M67" s="2179">
        <f>SUM(C67:L67)</f>
        <v>0</v>
      </c>
      <c r="N67" s="2179">
        <v>0</v>
      </c>
      <c r="O67" s="2179">
        <f>'Summary Total Pigs'!Q131*N67</f>
        <v>0</v>
      </c>
      <c r="P67" s="2179">
        <f>N67*'Summary Total Pigs'!Z131</f>
        <v>0</v>
      </c>
      <c r="Q67" s="2179">
        <f>N67*'Summary Total Pigs'!AB131</f>
        <v>0</v>
      </c>
      <c r="R67" s="2179">
        <f>'Summary Total Pigs'!AD131*N67</f>
        <v>0</v>
      </c>
      <c r="S67" s="2179">
        <f>'Summary Total Pigs'!AG131*'Pigs Cost'!N67</f>
        <v>0</v>
      </c>
      <c r="T67" s="2180">
        <f t="shared" si="15"/>
        <v>0</v>
      </c>
      <c r="U67" s="205"/>
      <c r="V67" s="24">
        <f t="shared" si="2"/>
        <v>0</v>
      </c>
    </row>
    <row r="68" spans="1:25" ht="13.9" thickBot="1">
      <c r="A68" s="2174" t="s">
        <v>113</v>
      </c>
      <c r="B68" s="2185"/>
      <c r="C68" s="2177">
        <f>[16]USD!$T68</f>
        <v>151.90859999999998</v>
      </c>
      <c r="D68" s="2186"/>
      <c r="E68" s="2186" t="e">
        <f>'Summary Total Pigs'!D132*N18</f>
        <v>#REF!</v>
      </c>
      <c r="F68" s="2187"/>
      <c r="G68" s="2187"/>
      <c r="H68" s="2187"/>
      <c r="I68" s="2187"/>
      <c r="J68" s="2177">
        <v>0</v>
      </c>
      <c r="K68" s="2187"/>
      <c r="L68" s="2187"/>
      <c r="M68" s="2179" t="e">
        <f t="shared" si="14"/>
        <v>#REF!</v>
      </c>
      <c r="N68" s="2189">
        <v>0</v>
      </c>
      <c r="O68" s="2179">
        <f>'Summary Total Pigs'!Q132*N68</f>
        <v>0</v>
      </c>
      <c r="P68" s="2179">
        <f>N68*'Summary Total Pigs'!Z132</f>
        <v>0</v>
      </c>
      <c r="Q68" s="2179">
        <f>N68*'Summary Total Pigs'!AB132</f>
        <v>0</v>
      </c>
      <c r="R68" s="2179">
        <f>'Summary Total Pigs'!AD132*N68</f>
        <v>0</v>
      </c>
      <c r="S68" s="2179">
        <f>'Summary Total Pigs'!AG132*'Pigs Cost'!N68</f>
        <v>0</v>
      </c>
      <c r="T68" s="2180" t="e">
        <f t="shared" si="15"/>
        <v>#REF!</v>
      </c>
      <c r="U68" s="205"/>
      <c r="V68" s="24">
        <f t="shared" si="2"/>
        <v>1.5190859999999999E-8</v>
      </c>
    </row>
    <row r="69" spans="1:25" ht="13.9" thickBot="1">
      <c r="A69" s="3" t="s">
        <v>115</v>
      </c>
      <c r="B69" s="199"/>
      <c r="C69" s="200">
        <f>SUM(C63:C68)</f>
        <v>13755.579419148517</v>
      </c>
      <c r="D69" s="200">
        <f>SUM(D63:D68)</f>
        <v>0</v>
      </c>
      <c r="E69" s="200" t="e">
        <f>SUM(E63:E68)</f>
        <v>#REF!</v>
      </c>
      <c r="F69" s="200">
        <f>SUM(F63:F68)</f>
        <v>0</v>
      </c>
      <c r="G69" s="200">
        <f>SUM(G63:G68)</f>
        <v>0</v>
      </c>
      <c r="H69" s="201">
        <f t="shared" ref="H69:T69" si="16">SUM(H63:H68)</f>
        <v>0</v>
      </c>
      <c r="I69" s="201">
        <f t="shared" si="16"/>
        <v>0</v>
      </c>
      <c r="J69" s="201">
        <f t="shared" si="16"/>
        <v>480</v>
      </c>
      <c r="K69" s="201">
        <f t="shared" si="16"/>
        <v>0</v>
      </c>
      <c r="L69" s="201">
        <f t="shared" si="16"/>
        <v>0</v>
      </c>
      <c r="M69" s="201" t="e">
        <f t="shared" si="16"/>
        <v>#REF!</v>
      </c>
      <c r="N69" s="201" t="e">
        <f t="shared" si="16"/>
        <v>#REF!</v>
      </c>
      <c r="O69" s="201" t="e">
        <f t="shared" si="16"/>
        <v>#REF!</v>
      </c>
      <c r="P69" s="201" t="e">
        <f t="shared" si="16"/>
        <v>#REF!</v>
      </c>
      <c r="Q69" s="201" t="e">
        <f t="shared" si="16"/>
        <v>#REF!</v>
      </c>
      <c r="R69" s="201" t="e">
        <f t="shared" si="16"/>
        <v>#REF!</v>
      </c>
      <c r="S69" s="201" t="e">
        <f t="shared" si="16"/>
        <v>#REF!</v>
      </c>
      <c r="T69" s="201" t="e">
        <f t="shared" si="16"/>
        <v>#REF!</v>
      </c>
      <c r="U69" s="205"/>
      <c r="V69" s="24">
        <f t="shared" si="2"/>
        <v>1.3755579419148517E-6</v>
      </c>
    </row>
    <row r="70" spans="1:25">
      <c r="A70" s="1"/>
      <c r="B70" s="184"/>
      <c r="C70" s="202"/>
      <c r="D70" s="202"/>
      <c r="E70" s="202"/>
      <c r="F70" s="202"/>
      <c r="G70" s="202"/>
      <c r="H70" s="202"/>
      <c r="I70" s="202"/>
      <c r="J70" s="202">
        <f>J69-I174</f>
        <v>0</v>
      </c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5"/>
      <c r="V70" s="24">
        <f t="shared" si="2"/>
        <v>0</v>
      </c>
    </row>
    <row r="71" spans="1:25">
      <c r="A71" s="1"/>
      <c r="B71" s="184"/>
      <c r="C71" s="202"/>
      <c r="D71" s="202"/>
      <c r="E71" s="202"/>
      <c r="F71" s="202"/>
      <c r="G71" s="202"/>
      <c r="H71" s="202"/>
      <c r="I71" s="202"/>
      <c r="J71" s="202"/>
      <c r="K71" s="202"/>
      <c r="L71" s="202">
        <f>+(G69+H69+I69+K69+L69+J69)-I178</f>
        <v>0</v>
      </c>
      <c r="M71" s="202"/>
      <c r="N71" s="202"/>
      <c r="O71" s="202"/>
      <c r="P71" s="202"/>
      <c r="Q71" s="202"/>
      <c r="R71" s="202"/>
      <c r="S71" s="202"/>
      <c r="T71" s="202"/>
      <c r="U71" s="205"/>
      <c r="V71" s="24">
        <f t="shared" si="2"/>
        <v>0</v>
      </c>
    </row>
    <row r="72" spans="1:25">
      <c r="A72" s="1" t="s">
        <v>86</v>
      </c>
      <c r="B72" s="187" t="s">
        <v>120</v>
      </c>
      <c r="C72" s="205"/>
      <c r="D72" s="205"/>
      <c r="E72" s="205"/>
      <c r="F72" s="205"/>
      <c r="G72" s="205"/>
      <c r="H72" s="205"/>
      <c r="I72" s="205"/>
      <c r="J72" s="205"/>
      <c r="K72" s="205"/>
      <c r="L72" s="205">
        <f>+(G70+H70+I70+K70+L70+J70)-K190</f>
        <v>0</v>
      </c>
      <c r="M72" s="205"/>
      <c r="N72" s="205"/>
      <c r="O72" s="205"/>
      <c r="P72" s="205"/>
      <c r="Q72" s="205"/>
      <c r="R72" s="205"/>
      <c r="S72" s="205"/>
      <c r="T72" s="205"/>
      <c r="U72" s="205"/>
      <c r="V72" s="24">
        <f t="shared" si="2"/>
        <v>0</v>
      </c>
    </row>
    <row r="73" spans="1:25" ht="13.9" thickBot="1">
      <c r="A73" s="300"/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4">
        <f t="shared" si="2"/>
        <v>0</v>
      </c>
    </row>
    <row r="74" spans="1:25" s="14" customFormat="1" ht="27" thickBot="1">
      <c r="A74" s="12" t="s">
        <v>87</v>
      </c>
      <c r="B74" s="189" t="s">
        <v>88</v>
      </c>
      <c r="C74" s="190" t="str">
        <f>+C62</f>
        <v>OPENING</v>
      </c>
      <c r="D74" s="191" t="s">
        <v>90</v>
      </c>
      <c r="E74" s="192" t="s">
        <v>91</v>
      </c>
      <c r="F74" s="190" t="s">
        <v>92</v>
      </c>
      <c r="G74" s="190" t="s">
        <v>93</v>
      </c>
      <c r="H74" s="190" t="s">
        <v>94</v>
      </c>
      <c r="I74" s="190" t="s">
        <v>95</v>
      </c>
      <c r="J74" s="190" t="s">
        <v>96</v>
      </c>
      <c r="K74" s="190" t="s">
        <v>97</v>
      </c>
      <c r="L74" s="190" t="s">
        <v>98</v>
      </c>
      <c r="M74" s="192" t="s">
        <v>99</v>
      </c>
      <c r="N74" s="192" t="s">
        <v>100</v>
      </c>
      <c r="O74" s="192" t="s">
        <v>101</v>
      </c>
      <c r="P74" s="192" t="s">
        <v>102</v>
      </c>
      <c r="Q74" s="192" t="str">
        <f>Q62</f>
        <v>Deaths</v>
      </c>
      <c r="R74" s="192" t="str">
        <f>R62</f>
        <v>CULLS</v>
      </c>
      <c r="S74" s="192" t="str">
        <f>+S62</f>
        <v>STOCK ADJMNT</v>
      </c>
      <c r="T74" s="195" t="s">
        <v>104</v>
      </c>
      <c r="U74" s="196"/>
      <c r="V74" s="24" t="e">
        <f t="shared" si="2"/>
        <v>#VALUE!</v>
      </c>
      <c r="W74"/>
      <c r="X74"/>
      <c r="Y74"/>
    </row>
    <row r="75" spans="1:25">
      <c r="A75" s="2171" t="s">
        <v>105</v>
      </c>
      <c r="B75" s="2184" t="s">
        <v>106</v>
      </c>
      <c r="C75" s="2177">
        <f>[16]USD!$T75</f>
        <v>8543.703026321662</v>
      </c>
      <c r="D75" s="2178"/>
      <c r="E75" s="2178" t="e">
        <f>'Summary Total Pigs'!#REF!*N73</f>
        <v>#REF!</v>
      </c>
      <c r="F75" s="2177"/>
      <c r="G75" s="2177"/>
      <c r="H75" s="2177"/>
      <c r="I75" s="2177"/>
      <c r="J75" s="2177" t="e">
        <f>('Summary Total Pigs'!#REF!+'Summary Total Pigs'!#REF!+'Summary Total Pigs'!#REF!+'Summary Total Pigs'!#REF!)/'Summary Total Pigs'!#REF!*$L$174</f>
        <v>#REF!</v>
      </c>
      <c r="K75" s="2177" t="e">
        <f>('Summary Total Pigs'!#REF!/'Summary Total Pigs'!#REF!)*'Pigs Cost'!$L$175</f>
        <v>#REF!</v>
      </c>
      <c r="L75" s="2177"/>
      <c r="M75" s="2179" t="e">
        <f t="shared" ref="M75:M80" si="17">SUM(C75:L75)</f>
        <v>#REF!</v>
      </c>
      <c r="N75" s="2179" t="e">
        <f>+M75/'Summary Total Pigs'!#REF!</f>
        <v>#REF!</v>
      </c>
      <c r="O75" s="2179" t="e">
        <f>N75*'Summary Total Pigs'!#REF!</f>
        <v>#REF!</v>
      </c>
      <c r="P75" s="2179" t="e">
        <f>N75*'Summary Total Pigs'!#REF!</f>
        <v>#REF!</v>
      </c>
      <c r="Q75" s="2179" t="e">
        <f>'Summary Total Pigs'!#REF!*'Pigs Cost'!N75</f>
        <v>#REF!</v>
      </c>
      <c r="R75" s="2179" t="e">
        <f>N75*'Summary Total Pigs'!#REF!</f>
        <v>#REF!</v>
      </c>
      <c r="S75" s="2179" t="e">
        <f>'Summary Total Pigs'!#REF!*'Pigs Cost'!N75</f>
        <v>#REF!</v>
      </c>
      <c r="T75" s="2180" t="e">
        <f t="shared" ref="T75:T80" si="18">M75+O75+P75+R75+S75+Q75</f>
        <v>#REF!</v>
      </c>
      <c r="U75" s="205"/>
      <c r="V75" s="24">
        <f t="shared" si="2"/>
        <v>8.5437030263216618E-7</v>
      </c>
    </row>
    <row r="76" spans="1:25">
      <c r="A76" s="2172" t="s">
        <v>107</v>
      </c>
      <c r="B76" s="2181" t="s">
        <v>108</v>
      </c>
      <c r="C76" s="2177">
        <f>[16]USD!$T76</f>
        <v>35951.326366069021</v>
      </c>
      <c r="D76" s="2182"/>
      <c r="E76" s="2182" t="e">
        <f>+'Summary Total Pigs'!#REF!*N75</f>
        <v>#REF!</v>
      </c>
      <c r="F76" s="2183"/>
      <c r="G76" s="2177"/>
      <c r="H76" s="2177"/>
      <c r="I76" s="2177"/>
      <c r="J76" s="2177" t="e">
        <f>('Summary Total Pigs'!#REF!)/'Summary Total Pigs'!#REF!*$L$174</f>
        <v>#REF!</v>
      </c>
      <c r="K76" s="2177" t="e">
        <f>('Summary Total Pigs'!#REF!/'Summary Total Pigs'!#REF!)*'Pigs Cost'!$L$175</f>
        <v>#REF!</v>
      </c>
      <c r="L76" s="2183"/>
      <c r="M76" s="2179" t="e">
        <f t="shared" si="17"/>
        <v>#REF!</v>
      </c>
      <c r="N76" s="2179" t="e">
        <f>+M76/'Summary Total Pigs'!#REF!</f>
        <v>#REF!</v>
      </c>
      <c r="O76" s="2179" t="e">
        <f>N76*'Summary Total Pigs'!#REF!</f>
        <v>#REF!</v>
      </c>
      <c r="P76" s="2179" t="e">
        <f>N76*'Summary Total Pigs'!#REF!</f>
        <v>#REF!</v>
      </c>
      <c r="Q76" s="2179" t="e">
        <f>'Summary Total Pigs'!#REF!*N76</f>
        <v>#REF!</v>
      </c>
      <c r="R76" s="2179" t="e">
        <f>N76*'Summary Total Pigs'!#REF!</f>
        <v>#REF!</v>
      </c>
      <c r="S76" s="2179" t="e">
        <f>'Summary Total Pigs'!#REF!*'Pigs Cost'!N76</f>
        <v>#REF!</v>
      </c>
      <c r="T76" s="2180" t="e">
        <f t="shared" si="18"/>
        <v>#REF!</v>
      </c>
      <c r="U76" s="205"/>
      <c r="V76" s="24">
        <f t="shared" si="2"/>
        <v>3.595132636606902E-6</v>
      </c>
    </row>
    <row r="77" spans="1:25">
      <c r="A77" s="2172" t="s">
        <v>109</v>
      </c>
      <c r="B77" s="2181" t="s">
        <v>110</v>
      </c>
      <c r="C77" s="2177">
        <f>[16]USD!$T77</f>
        <v>10195.535383081622</v>
      </c>
      <c r="D77" s="2182"/>
      <c r="E77" s="2182" t="e">
        <f>+'Summary Total Pigs'!#REF!*N76</f>
        <v>#REF!</v>
      </c>
      <c r="F77" s="2183"/>
      <c r="G77" s="2177"/>
      <c r="H77" s="2177"/>
      <c r="I77" s="2177"/>
      <c r="J77" s="2177" t="e">
        <f>('Summary Total Pigs'!#REF!)/'Summary Total Pigs'!#REF!*$L$174</f>
        <v>#REF!</v>
      </c>
      <c r="K77" s="2177" t="e">
        <f>('Summary Total Pigs'!#REF!/'Summary Total Pigs'!#REF!)*'Pigs Cost'!$L$175</f>
        <v>#REF!</v>
      </c>
      <c r="L77" s="2183"/>
      <c r="M77" s="2179" t="e">
        <f t="shared" si="17"/>
        <v>#REF!</v>
      </c>
      <c r="N77" s="2179" t="e">
        <f>+M77/'Summary Total Pigs'!#REF!</f>
        <v>#REF!</v>
      </c>
      <c r="O77" s="2179" t="e">
        <f>N77*'Summary Total Pigs'!#REF!</f>
        <v>#REF!</v>
      </c>
      <c r="P77" s="2179" t="e">
        <f>N77*'Summary Total Pigs'!#REF!</f>
        <v>#REF!</v>
      </c>
      <c r="Q77" s="2179" t="e">
        <f>'Summary Total Pigs'!#REF!*N77</f>
        <v>#REF!</v>
      </c>
      <c r="R77" s="2179" t="e">
        <f>N77*'Summary Total Pigs'!#REF!</f>
        <v>#REF!</v>
      </c>
      <c r="S77" s="2179" t="e">
        <f>'Summary Total Pigs'!#REF!*N77</f>
        <v>#REF!</v>
      </c>
      <c r="T77" s="2180" t="e">
        <f t="shared" si="18"/>
        <v>#REF!</v>
      </c>
      <c r="U77" s="205"/>
      <c r="V77" s="24">
        <f t="shared" si="2"/>
        <v>1.0195535383081622E-6</v>
      </c>
    </row>
    <row r="78" spans="1:25">
      <c r="A78" s="2172" t="s">
        <v>111</v>
      </c>
      <c r="B78" s="2184" t="s">
        <v>106</v>
      </c>
      <c r="C78" s="2177">
        <f>[16]USD!$T78</f>
        <v>0</v>
      </c>
      <c r="D78" s="2182"/>
      <c r="E78" s="2182" t="e">
        <f>+'Summary Total Pigs'!#REF!*N77</f>
        <v>#REF!</v>
      </c>
      <c r="F78" s="2183"/>
      <c r="G78" s="2177"/>
      <c r="H78" s="2177"/>
      <c r="I78" s="2177"/>
      <c r="J78" s="2177">
        <v>0</v>
      </c>
      <c r="K78" s="2177" t="e">
        <f>('Summary Total Pigs'!#REF!/'Summary Total Pigs'!#REF!)*'Pigs Cost'!$L$175</f>
        <v>#REF!</v>
      </c>
      <c r="L78" s="2183"/>
      <c r="M78" s="2179" t="e">
        <f t="shared" si="17"/>
        <v>#REF!</v>
      </c>
      <c r="N78" s="2179"/>
      <c r="O78" s="2179" t="e">
        <f>N78*'Summary Total Pigs'!#REF!</f>
        <v>#REF!</v>
      </c>
      <c r="P78" s="2179" t="e">
        <f>N78*'Summary Total Pigs'!#REF!</f>
        <v>#REF!</v>
      </c>
      <c r="Q78" s="2179" t="e">
        <f>'Summary Total Pigs'!#REF!*'Pigs Cost'!N78</f>
        <v>#REF!</v>
      </c>
      <c r="R78" s="2179" t="e">
        <f>N78*'Summary Total Pigs'!#REF!</f>
        <v>#REF!</v>
      </c>
      <c r="S78" s="2179" t="e">
        <f>'Summary Total Pigs'!#REF!*'Pigs Cost'!N78</f>
        <v>#REF!</v>
      </c>
      <c r="T78" s="2180" t="e">
        <f t="shared" si="18"/>
        <v>#REF!</v>
      </c>
      <c r="U78" s="205"/>
      <c r="V78" s="24">
        <f t="shared" ref="V78:V141" si="19">C78/$B$178</f>
        <v>0</v>
      </c>
    </row>
    <row r="79" spans="1:25">
      <c r="A79" s="2172" t="s">
        <v>112</v>
      </c>
      <c r="B79" s="2184" t="s">
        <v>106</v>
      </c>
      <c r="C79" s="2177">
        <f>[16]USD!$T79</f>
        <v>31106.307730852219</v>
      </c>
      <c r="D79" s="2182"/>
      <c r="E79" s="2182" t="e">
        <f>+'Summary Total Pigs'!#REF!*N56</f>
        <v>#REF!</v>
      </c>
      <c r="F79" s="2183"/>
      <c r="G79" s="2177"/>
      <c r="H79" s="2177"/>
      <c r="I79" s="2177"/>
      <c r="J79" s="2177">
        <v>0</v>
      </c>
      <c r="K79" s="2177" t="e">
        <f>('Summary Total Pigs'!#REF!/'Summary Total Pigs'!#REF!)*'Pigs Cost'!$L$175</f>
        <v>#REF!</v>
      </c>
      <c r="L79" s="2183"/>
      <c r="M79" s="2179" t="e">
        <f t="shared" si="17"/>
        <v>#REF!</v>
      </c>
      <c r="N79" s="2179" t="e">
        <f>+M79/'Summary Total Pigs'!#REF!</f>
        <v>#REF!</v>
      </c>
      <c r="O79" s="2179" t="e">
        <f>N79*'Summary Total Pigs'!#REF!</f>
        <v>#REF!</v>
      </c>
      <c r="P79" s="2179" t="e">
        <f>N79*'Summary Total Pigs'!#REF!</f>
        <v>#REF!</v>
      </c>
      <c r="Q79" s="2179" t="e">
        <f>'Summary Total Pigs'!#REF!*N79</f>
        <v>#REF!</v>
      </c>
      <c r="R79" s="2179" t="e">
        <f>N79*'Summary Total Pigs'!#REF!</f>
        <v>#REF!</v>
      </c>
      <c r="S79" s="2179" t="e">
        <f>'Summary Total Pigs'!#REF!*'Pigs Cost'!N79</f>
        <v>#REF!</v>
      </c>
      <c r="T79" s="2180" t="e">
        <f t="shared" si="18"/>
        <v>#REF!</v>
      </c>
      <c r="U79" s="205"/>
      <c r="V79" s="24">
        <f t="shared" si="19"/>
        <v>3.1106307730852217E-6</v>
      </c>
    </row>
    <row r="80" spans="1:25" ht="13.9" thickBot="1">
      <c r="A80" s="2174" t="s">
        <v>113</v>
      </c>
      <c r="B80" s="2185"/>
      <c r="C80" s="2177">
        <f>[16]USD!$T80</f>
        <v>911.45159999999987</v>
      </c>
      <c r="D80" s="2186"/>
      <c r="E80" s="2182"/>
      <c r="F80" s="2187"/>
      <c r="G80" s="2187"/>
      <c r="H80" s="2187"/>
      <c r="I80" s="2187"/>
      <c r="J80" s="2177">
        <v>0</v>
      </c>
      <c r="K80" s="2177" t="e">
        <f>('Summary Total Pigs'!#REF!/'Summary Total Pigs'!#REF!)*'Pigs Cost'!$L$175</f>
        <v>#REF!</v>
      </c>
      <c r="L80" s="2187"/>
      <c r="M80" s="2179" t="e">
        <f t="shared" si="17"/>
        <v>#REF!</v>
      </c>
      <c r="N80" s="2179" t="e">
        <f>+M80/'Summary Total Pigs'!#REF!</f>
        <v>#REF!</v>
      </c>
      <c r="O80" s="2179" t="e">
        <f>N80*'Summary Total Pigs'!#REF!</f>
        <v>#REF!</v>
      </c>
      <c r="P80" s="2179" t="e">
        <f>N80*'Summary Total Pigs'!#REF!</f>
        <v>#REF!</v>
      </c>
      <c r="Q80" s="2179" t="e">
        <f>'Summary Total Pigs'!#REF!*'Pigs Cost'!N80</f>
        <v>#REF!</v>
      </c>
      <c r="R80" s="2179" t="e">
        <f>N80*'Summary Total Pigs'!#REF!</f>
        <v>#REF!</v>
      </c>
      <c r="S80" s="2179" t="e">
        <f>'Summary Total Pigs'!#REF!*'Pigs Cost'!N80</f>
        <v>#REF!</v>
      </c>
      <c r="T80" s="2180" t="e">
        <f t="shared" si="18"/>
        <v>#REF!</v>
      </c>
      <c r="U80" s="205"/>
      <c r="V80" s="24">
        <f t="shared" si="19"/>
        <v>9.1145159999999985E-8</v>
      </c>
    </row>
    <row r="81" spans="1:22" ht="13.9" thickBot="1">
      <c r="A81" s="3" t="s">
        <v>115</v>
      </c>
      <c r="B81" s="199"/>
      <c r="C81" s="200">
        <f>SUM(C75:C80)</f>
        <v>86708.324106324522</v>
      </c>
      <c r="D81" s="200">
        <f>SUM(D75:D80)</f>
        <v>0</v>
      </c>
      <c r="E81" s="200" t="e">
        <f>SUM(E75:E80)</f>
        <v>#REF!</v>
      </c>
      <c r="F81" s="200">
        <f>SUM(F75:F80)</f>
        <v>0</v>
      </c>
      <c r="G81" s="201">
        <f t="shared" ref="G81:T81" si="20">SUM(G75:G80)</f>
        <v>0</v>
      </c>
      <c r="H81" s="201">
        <f t="shared" si="20"/>
        <v>0</v>
      </c>
      <c r="I81" s="201">
        <f t="shared" si="20"/>
        <v>0</v>
      </c>
      <c r="J81" s="201" t="e">
        <f t="shared" si="20"/>
        <v>#REF!</v>
      </c>
      <c r="K81" s="201" t="e">
        <f t="shared" si="20"/>
        <v>#REF!</v>
      </c>
      <c r="L81" s="201">
        <f t="shared" si="20"/>
        <v>0</v>
      </c>
      <c r="M81" s="201" t="e">
        <f t="shared" si="20"/>
        <v>#REF!</v>
      </c>
      <c r="N81" s="201" t="e">
        <f t="shared" si="20"/>
        <v>#REF!</v>
      </c>
      <c r="O81" s="201" t="e">
        <f t="shared" si="20"/>
        <v>#REF!</v>
      </c>
      <c r="P81" s="201" t="e">
        <f t="shared" si="20"/>
        <v>#REF!</v>
      </c>
      <c r="Q81" s="201" t="e">
        <f t="shared" si="20"/>
        <v>#REF!</v>
      </c>
      <c r="R81" s="201" t="e">
        <f t="shared" si="20"/>
        <v>#REF!</v>
      </c>
      <c r="S81" s="201" t="e">
        <f>SUM(S75:S80)</f>
        <v>#REF!</v>
      </c>
      <c r="T81" s="201" t="e">
        <f t="shared" si="20"/>
        <v>#REF!</v>
      </c>
      <c r="U81" s="205"/>
      <c r="V81" s="24">
        <f t="shared" si="19"/>
        <v>8.6708324106324529E-6</v>
      </c>
    </row>
    <row r="82" spans="1:22">
      <c r="A82" s="300"/>
      <c r="B82" s="205"/>
      <c r="C82" s="205"/>
      <c r="D82" s="205"/>
      <c r="E82" s="205"/>
      <c r="F82" s="205"/>
      <c r="G82" s="205"/>
      <c r="H82" s="205"/>
      <c r="I82" s="205"/>
      <c r="J82" s="205" t="e">
        <f>J81-L174</f>
        <v>#REF!</v>
      </c>
      <c r="K82" s="205" t="e">
        <f>K81-L175</f>
        <v>#REF!</v>
      </c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4">
        <f t="shared" si="19"/>
        <v>0</v>
      </c>
    </row>
    <row r="83" spans="1:22">
      <c r="A83" s="300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4">
        <f t="shared" si="19"/>
        <v>0</v>
      </c>
    </row>
    <row r="84" spans="1:22">
      <c r="A84" s="1" t="s">
        <v>86</v>
      </c>
      <c r="B84" s="17" t="s">
        <v>141</v>
      </c>
      <c r="C84" s="205"/>
      <c r="D84" s="205" t="e">
        <f>240*N100</f>
        <v>#REF!</v>
      </c>
      <c r="E84" s="205"/>
      <c r="F84" s="205"/>
      <c r="G84" s="205"/>
      <c r="H84" s="205"/>
      <c r="I84" s="205"/>
      <c r="J84" s="205"/>
      <c r="K84" s="205"/>
      <c r="L84" s="205" t="e">
        <f>+(G82+H82+I82+K82+L82+J82)-K202</f>
        <v>#REF!</v>
      </c>
      <c r="M84" s="205"/>
      <c r="N84" s="205"/>
      <c r="O84" s="205" t="e">
        <f>O89/N89</f>
        <v>#REF!</v>
      </c>
      <c r="P84" s="205"/>
      <c r="Q84" s="205"/>
      <c r="R84" s="205"/>
      <c r="S84" s="205"/>
      <c r="T84" s="205"/>
      <c r="U84" s="205"/>
      <c r="V84" s="24">
        <f t="shared" si="19"/>
        <v>0</v>
      </c>
    </row>
    <row r="85" spans="1:22" ht="13.9" thickBot="1">
      <c r="A85" s="300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4">
        <f t="shared" si="19"/>
        <v>0</v>
      </c>
    </row>
    <row r="86" spans="1:22" ht="27" thickBot="1">
      <c r="A86" s="12" t="s">
        <v>87</v>
      </c>
      <c r="B86" s="189" t="s">
        <v>88</v>
      </c>
      <c r="C86" s="190" t="str">
        <f>+C74</f>
        <v>OPENING</v>
      </c>
      <c r="D86" s="191" t="s">
        <v>90</v>
      </c>
      <c r="E86" s="192" t="s">
        <v>91</v>
      </c>
      <c r="F86" s="190" t="s">
        <v>92</v>
      </c>
      <c r="G86" s="190" t="s">
        <v>93</v>
      </c>
      <c r="H86" s="190" t="s">
        <v>94</v>
      </c>
      <c r="I86" s="190" t="s">
        <v>95</v>
      </c>
      <c r="J86" s="190" t="s">
        <v>96</v>
      </c>
      <c r="K86" s="190" t="s">
        <v>97</v>
      </c>
      <c r="L86" s="190" t="s">
        <v>98</v>
      </c>
      <c r="M86" s="192" t="s">
        <v>99</v>
      </c>
      <c r="N86" s="192" t="s">
        <v>100</v>
      </c>
      <c r="O86" s="192" t="s">
        <v>101</v>
      </c>
      <c r="P86" s="192" t="s">
        <v>102</v>
      </c>
      <c r="Q86" s="192" t="str">
        <f>Q74</f>
        <v>Deaths</v>
      </c>
      <c r="R86" s="192" t="str">
        <f>R74</f>
        <v>CULLS</v>
      </c>
      <c r="S86" s="192" t="str">
        <f>+S74</f>
        <v>STOCK ADJMNT</v>
      </c>
      <c r="T86" s="195" t="s">
        <v>104</v>
      </c>
      <c r="U86" s="196"/>
      <c r="V86" s="24" t="e">
        <f t="shared" si="19"/>
        <v>#VALUE!</v>
      </c>
    </row>
    <row r="87" spans="1:22">
      <c r="A87" s="2171" t="s">
        <v>105</v>
      </c>
      <c r="B87" s="2184" t="s">
        <v>106</v>
      </c>
      <c r="C87" s="2177">
        <f>[16]USD!$T87</f>
        <v>0</v>
      </c>
      <c r="D87" s="2178"/>
      <c r="E87" s="2178"/>
      <c r="F87" s="2177"/>
      <c r="G87" s="2177"/>
      <c r="H87" s="2177"/>
      <c r="I87" s="2177"/>
      <c r="J87" s="2177" t="e">
        <f>('Summary Total Pigs'!#REF!)/'Summary Total Pigs'!#REF!*'Pigs Cost'!$O$174</f>
        <v>#REF!</v>
      </c>
      <c r="K87" s="2177"/>
      <c r="L87" s="2177"/>
      <c r="M87" s="2179" t="e">
        <f t="shared" ref="M87:M92" si="21">SUM(C87:L87)</f>
        <v>#REF!</v>
      </c>
      <c r="N87" s="2179">
        <v>0</v>
      </c>
      <c r="O87" s="2179" t="e">
        <f>N87*'Summary Total Pigs'!#REF!</f>
        <v>#REF!</v>
      </c>
      <c r="P87" s="2179" t="e">
        <f>N87*'Summary Total Pigs'!#REF!</f>
        <v>#REF!</v>
      </c>
      <c r="Q87" s="2179" t="e">
        <f>'Summary Total Pigs'!#REF!*N87</f>
        <v>#REF!</v>
      </c>
      <c r="R87" s="2179" t="e">
        <f>N87*'Summary Total Pigs'!#REF!</f>
        <v>#REF!</v>
      </c>
      <c r="S87" s="2179" t="e">
        <f>'Summary Total Pigs'!#REF!*N87</f>
        <v>#REF!</v>
      </c>
      <c r="T87" s="2180" t="e">
        <f t="shared" ref="T87:T92" si="22">M87+O87+P87+R87+S87+Q87</f>
        <v>#REF!</v>
      </c>
      <c r="U87" s="205"/>
      <c r="V87" s="24">
        <f t="shared" si="19"/>
        <v>0</v>
      </c>
    </row>
    <row r="88" spans="1:22">
      <c r="A88" s="2172" t="s">
        <v>107</v>
      </c>
      <c r="B88" s="2181" t="s">
        <v>108</v>
      </c>
      <c r="C88" s="2177">
        <f>[16]USD!$T88</f>
        <v>0</v>
      </c>
      <c r="D88" s="2182"/>
      <c r="E88" s="2182"/>
      <c r="F88" s="2183"/>
      <c r="G88" s="2177"/>
      <c r="H88" s="2177"/>
      <c r="I88" s="2177"/>
      <c r="J88" s="2177" t="e">
        <f>('Summary Total Pigs'!#REF!)/'Summary Total Pigs'!#REF!*'Pigs Cost'!$O$174</f>
        <v>#REF!</v>
      </c>
      <c r="K88" s="2177"/>
      <c r="L88" s="2183"/>
      <c r="M88" s="2179" t="e">
        <f t="shared" si="21"/>
        <v>#REF!</v>
      </c>
      <c r="N88" s="2179">
        <v>0</v>
      </c>
      <c r="O88" s="2179" t="e">
        <f>N88*'Summary Total Pigs'!#REF!</f>
        <v>#REF!</v>
      </c>
      <c r="P88" s="2179" t="e">
        <f>N88*'Summary Total Pigs'!#REF!</f>
        <v>#REF!</v>
      </c>
      <c r="Q88" s="2179" t="e">
        <f>'Summary Total Pigs'!#REF!*N88</f>
        <v>#REF!</v>
      </c>
      <c r="R88" s="2179" t="e">
        <f>N88*'Summary Total Pigs'!#REF!</f>
        <v>#REF!</v>
      </c>
      <c r="S88" s="2179" t="e">
        <f>'Summary Total Pigs'!#REF!*N88</f>
        <v>#REF!</v>
      </c>
      <c r="T88" s="2180" t="e">
        <f t="shared" si="22"/>
        <v>#REF!</v>
      </c>
      <c r="U88" s="205"/>
      <c r="V88" s="24">
        <f t="shared" si="19"/>
        <v>0</v>
      </c>
    </row>
    <row r="89" spans="1:22">
      <c r="A89" s="2172" t="s">
        <v>109</v>
      </c>
      <c r="B89" s="2181" t="s">
        <v>110</v>
      </c>
      <c r="C89" s="2177">
        <f>[16]USD!$T89</f>
        <v>34065.564962069708</v>
      </c>
      <c r="D89" s="2182"/>
      <c r="E89" s="2182" t="e">
        <f>'Summary Total Pigs'!#REF!*N101</f>
        <v>#REF!</v>
      </c>
      <c r="F89" s="2183"/>
      <c r="G89" s="2177"/>
      <c r="H89" s="2177"/>
      <c r="I89" s="2177"/>
      <c r="J89" s="2177" t="e">
        <f>('Summary Total Pigs'!#REF!)/'Summary Total Pigs'!#REF!*$O$174</f>
        <v>#REF!</v>
      </c>
      <c r="K89" s="2177"/>
      <c r="L89" s="2183"/>
      <c r="M89" s="2179" t="e">
        <f t="shared" si="21"/>
        <v>#REF!</v>
      </c>
      <c r="N89" s="2179" t="e">
        <f>M89/'Summary Total Pigs'!#REF!</f>
        <v>#REF!</v>
      </c>
      <c r="O89" s="2179" t="e">
        <f>N89*'Summary Total Pigs'!#REF!</f>
        <v>#REF!</v>
      </c>
      <c r="P89" s="2179" t="e">
        <f>N89*'Summary Total Pigs'!#REF!</f>
        <v>#REF!</v>
      </c>
      <c r="Q89" s="2179" t="e">
        <f>'Summary Total Pigs'!#REF!*N89</f>
        <v>#REF!</v>
      </c>
      <c r="R89" s="2179" t="e">
        <f>N89*'Summary Total Pigs'!#REF!</f>
        <v>#REF!</v>
      </c>
      <c r="S89" s="2179" t="e">
        <f>'Summary Total Pigs'!#REF!*N89</f>
        <v>#REF!</v>
      </c>
      <c r="T89" s="2180" t="e">
        <f t="shared" si="22"/>
        <v>#REF!</v>
      </c>
      <c r="U89" s="205"/>
      <c r="V89" s="24">
        <f t="shared" si="19"/>
        <v>3.4065564962069707E-6</v>
      </c>
    </row>
    <row r="90" spans="1:22">
      <c r="A90" s="2172" t="s">
        <v>111</v>
      </c>
      <c r="B90" s="2184" t="s">
        <v>106</v>
      </c>
      <c r="C90" s="2177">
        <f>[16]USD!$T90</f>
        <v>0</v>
      </c>
      <c r="D90" s="2182"/>
      <c r="E90" s="2182"/>
      <c r="F90" s="2183"/>
      <c r="G90" s="2177"/>
      <c r="H90" s="2177"/>
      <c r="I90" s="2177"/>
      <c r="J90" s="2177" t="e">
        <f>('Summary Total Pigs'!#REF!)/'Summary Total Pigs'!#REF!*'Pigs Cost'!$O$174</f>
        <v>#REF!</v>
      </c>
      <c r="K90" s="2177"/>
      <c r="L90" s="2183"/>
      <c r="M90" s="2179" t="e">
        <f t="shared" si="21"/>
        <v>#REF!</v>
      </c>
      <c r="N90" s="2179"/>
      <c r="O90" s="2179" t="e">
        <f>N90*'Summary Total Pigs'!#REF!</f>
        <v>#REF!</v>
      </c>
      <c r="P90" s="2179" t="e">
        <f>N90*'Summary Total Pigs'!#REF!</f>
        <v>#REF!</v>
      </c>
      <c r="Q90" s="2179" t="e">
        <f>'Summary Total Pigs'!#REF!*N90</f>
        <v>#REF!</v>
      </c>
      <c r="R90" s="2179" t="e">
        <f>N90*'Summary Total Pigs'!#REF!</f>
        <v>#REF!</v>
      </c>
      <c r="S90" s="2179" t="e">
        <f>'Summary Total Pigs'!#REF!*N90</f>
        <v>#REF!</v>
      </c>
      <c r="T90" s="2180" t="e">
        <f t="shared" si="22"/>
        <v>#REF!</v>
      </c>
      <c r="U90" s="205"/>
      <c r="V90" s="24">
        <f t="shared" si="19"/>
        <v>0</v>
      </c>
    </row>
    <row r="91" spans="1:22">
      <c r="A91" s="2172" t="s">
        <v>112</v>
      </c>
      <c r="B91" s="2184" t="s">
        <v>106</v>
      </c>
      <c r="C91" s="2177">
        <f>[16]USD!$T91</f>
        <v>0</v>
      </c>
      <c r="D91" s="2182"/>
      <c r="E91" s="2182"/>
      <c r="F91" s="2183"/>
      <c r="G91" s="2177"/>
      <c r="H91" s="2177"/>
      <c r="I91" s="2177"/>
      <c r="J91" s="2177" t="e">
        <f>('Summary Total Pigs'!#REF!)/'Summary Total Pigs'!#REF!*'Pigs Cost'!$O$174</f>
        <v>#REF!</v>
      </c>
      <c r="K91" s="2177"/>
      <c r="L91" s="2183"/>
      <c r="M91" s="2179" t="e">
        <f t="shared" si="21"/>
        <v>#REF!</v>
      </c>
      <c r="N91" s="2179"/>
      <c r="O91" s="2179" t="e">
        <f>N91*'Summary Total Pigs'!#REF!</f>
        <v>#REF!</v>
      </c>
      <c r="P91" s="2179" t="e">
        <f>N91*'Summary Total Pigs'!#REF!</f>
        <v>#REF!</v>
      </c>
      <c r="Q91" s="2179" t="e">
        <f>'Summary Total Pigs'!#REF!*N91</f>
        <v>#REF!</v>
      </c>
      <c r="R91" s="2179" t="e">
        <f>N91*'Summary Total Pigs'!#REF!</f>
        <v>#REF!</v>
      </c>
      <c r="S91" s="2179" t="e">
        <f>'Summary Total Pigs'!#REF!*N91</f>
        <v>#REF!</v>
      </c>
      <c r="T91" s="2180" t="e">
        <f t="shared" si="22"/>
        <v>#REF!</v>
      </c>
      <c r="U91" s="205"/>
      <c r="V91" s="24">
        <f t="shared" si="19"/>
        <v>0</v>
      </c>
    </row>
    <row r="92" spans="1:22" ht="13.9" thickBot="1">
      <c r="A92" s="2174" t="s">
        <v>113</v>
      </c>
      <c r="B92" s="2185"/>
      <c r="C92" s="2177">
        <f>[16]USD!$T92</f>
        <v>0</v>
      </c>
      <c r="D92" s="2186"/>
      <c r="E92" s="2186"/>
      <c r="F92" s="2187"/>
      <c r="G92" s="2187"/>
      <c r="H92" s="2187"/>
      <c r="I92" s="2187"/>
      <c r="J92" s="2177" t="e">
        <f>('Summary Total Pigs'!#REF!)/'Summary Total Pigs'!#REF!*'Pigs Cost'!$O$174</f>
        <v>#REF!</v>
      </c>
      <c r="K92" s="2187"/>
      <c r="L92" s="2187"/>
      <c r="M92" s="2179" t="e">
        <f t="shared" si="21"/>
        <v>#REF!</v>
      </c>
      <c r="N92" s="2179"/>
      <c r="O92" s="2179" t="e">
        <f>N92*'Summary Total Pigs'!#REF!</f>
        <v>#REF!</v>
      </c>
      <c r="P92" s="2179" t="e">
        <f>N92*'Summary Total Pigs'!#REF!</f>
        <v>#REF!</v>
      </c>
      <c r="Q92" s="2179" t="e">
        <f>'Summary Total Pigs'!#REF!*N92</f>
        <v>#REF!</v>
      </c>
      <c r="R92" s="2179" t="e">
        <f>N92*'Summary Total Pigs'!#REF!</f>
        <v>#REF!</v>
      </c>
      <c r="S92" s="2179" t="e">
        <f>'Summary Total Pigs'!#REF!*N92</f>
        <v>#REF!</v>
      </c>
      <c r="T92" s="2180" t="e">
        <f t="shared" si="22"/>
        <v>#REF!</v>
      </c>
      <c r="U92" s="205"/>
      <c r="V92" s="24">
        <f t="shared" si="19"/>
        <v>0</v>
      </c>
    </row>
    <row r="93" spans="1:22" ht="13.9" thickBot="1">
      <c r="A93" s="3" t="s">
        <v>115</v>
      </c>
      <c r="B93" s="199"/>
      <c r="C93" s="200">
        <f>SUM(C87:C92)</f>
        <v>34065.564962069708</v>
      </c>
      <c r="D93" s="200">
        <f t="shared" ref="D93:T93" si="23">SUM(D87:D92)</f>
        <v>0</v>
      </c>
      <c r="E93" s="200" t="e">
        <f t="shared" si="23"/>
        <v>#REF!</v>
      </c>
      <c r="F93" s="200">
        <f t="shared" si="23"/>
        <v>0</v>
      </c>
      <c r="G93" s="201">
        <f t="shared" si="23"/>
        <v>0</v>
      </c>
      <c r="H93" s="201">
        <f t="shared" si="23"/>
        <v>0</v>
      </c>
      <c r="I93" s="201">
        <f t="shared" si="23"/>
        <v>0</v>
      </c>
      <c r="J93" s="201" t="e">
        <f t="shared" si="23"/>
        <v>#REF!</v>
      </c>
      <c r="K93" s="201">
        <f t="shared" si="23"/>
        <v>0</v>
      </c>
      <c r="L93" s="201">
        <f t="shared" si="23"/>
        <v>0</v>
      </c>
      <c r="M93" s="201" t="e">
        <f t="shared" si="23"/>
        <v>#REF!</v>
      </c>
      <c r="N93" s="201" t="e">
        <f t="shared" si="23"/>
        <v>#REF!</v>
      </c>
      <c r="O93" s="201" t="e">
        <f>SUM(O87:O92)</f>
        <v>#REF!</v>
      </c>
      <c r="P93" s="201" t="e">
        <f t="shared" si="23"/>
        <v>#REF!</v>
      </c>
      <c r="Q93" s="201"/>
      <c r="R93" s="201" t="e">
        <f t="shared" si="23"/>
        <v>#REF!</v>
      </c>
      <c r="S93" s="201" t="e">
        <f>SUM(S87:S92)</f>
        <v>#REF!</v>
      </c>
      <c r="T93" s="201" t="e">
        <f t="shared" si="23"/>
        <v>#REF!</v>
      </c>
      <c r="U93" s="205"/>
      <c r="V93" s="24">
        <f t="shared" si="19"/>
        <v>3.4065564962069707E-6</v>
      </c>
    </row>
    <row r="94" spans="1:22">
      <c r="A94" s="300"/>
      <c r="B94" s="205"/>
      <c r="C94" s="205"/>
      <c r="D94" s="205"/>
      <c r="E94" s="205"/>
      <c r="F94" s="205"/>
      <c r="G94" s="205"/>
      <c r="H94" s="205"/>
      <c r="I94" s="205"/>
      <c r="J94" s="205" t="e">
        <f>J93-O174</f>
        <v>#REF!</v>
      </c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4">
        <f t="shared" si="19"/>
        <v>0</v>
      </c>
    </row>
    <row r="95" spans="1:22">
      <c r="A95" s="300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 t="e">
        <f>+S93+'IAS 41 Mvmnt Pigs'!K93</f>
        <v>#REF!</v>
      </c>
      <c r="T95" s="205"/>
      <c r="U95" s="205"/>
      <c r="V95" s="24">
        <f t="shared" si="19"/>
        <v>0</v>
      </c>
    </row>
    <row r="96" spans="1:22">
      <c r="A96" s="1" t="s">
        <v>86</v>
      </c>
      <c r="B96" s="187" t="s">
        <v>142</v>
      </c>
      <c r="C96" s="205"/>
      <c r="D96" s="205"/>
      <c r="E96" s="205"/>
      <c r="F96" s="205"/>
      <c r="G96" s="205"/>
      <c r="H96" s="205"/>
      <c r="I96" s="205"/>
      <c r="J96" s="205"/>
      <c r="K96" s="205"/>
      <c r="L96" s="205" t="e">
        <f>+(G94+H94+I94+K94+L94+J94)-K214</f>
        <v>#REF!</v>
      </c>
      <c r="M96" s="205"/>
      <c r="N96" s="205"/>
      <c r="O96" s="205"/>
      <c r="P96" s="205"/>
      <c r="Q96" s="205"/>
      <c r="R96" s="205"/>
      <c r="S96" s="205"/>
      <c r="T96" s="205"/>
      <c r="U96" s="205"/>
      <c r="V96" s="24">
        <f t="shared" si="19"/>
        <v>0</v>
      </c>
    </row>
    <row r="97" spans="1:22" ht="13.9" thickBot="1">
      <c r="A97" s="300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4">
        <f t="shared" si="19"/>
        <v>0</v>
      </c>
    </row>
    <row r="98" spans="1:22" ht="27" thickBot="1">
      <c r="A98" s="12" t="s">
        <v>87</v>
      </c>
      <c r="B98" s="189" t="s">
        <v>88</v>
      </c>
      <c r="C98" s="190" t="str">
        <f>+C86</f>
        <v>OPENING</v>
      </c>
      <c r="D98" s="191" t="s">
        <v>90</v>
      </c>
      <c r="E98" s="192" t="s">
        <v>91</v>
      </c>
      <c r="F98" s="190" t="s">
        <v>92</v>
      </c>
      <c r="G98" s="190" t="s">
        <v>93</v>
      </c>
      <c r="H98" s="190" t="s">
        <v>94</v>
      </c>
      <c r="I98" s="190" t="s">
        <v>95</v>
      </c>
      <c r="J98" s="190" t="s">
        <v>96</v>
      </c>
      <c r="K98" s="190" t="s">
        <v>97</v>
      </c>
      <c r="L98" s="190" t="s">
        <v>98</v>
      </c>
      <c r="M98" s="192" t="s">
        <v>99</v>
      </c>
      <c r="N98" s="192" t="s">
        <v>100</v>
      </c>
      <c r="O98" s="192" t="s">
        <v>101</v>
      </c>
      <c r="P98" s="192" t="s">
        <v>102</v>
      </c>
      <c r="Q98" s="192" t="str">
        <f>Q86</f>
        <v>Deaths</v>
      </c>
      <c r="R98" s="192" t="str">
        <f>R86</f>
        <v>CULLS</v>
      </c>
      <c r="S98" s="192" t="str">
        <f>+S86</f>
        <v>STOCK ADJMNT</v>
      </c>
      <c r="T98" s="195" t="s">
        <v>104</v>
      </c>
      <c r="U98" s="196"/>
      <c r="V98" s="24" t="e">
        <f t="shared" si="19"/>
        <v>#VALUE!</v>
      </c>
    </row>
    <row r="99" spans="1:22">
      <c r="A99" s="2171" t="s">
        <v>105</v>
      </c>
      <c r="B99" s="2184" t="s">
        <v>106</v>
      </c>
      <c r="C99" s="2177">
        <f>[16]USD!$T99</f>
        <v>0</v>
      </c>
      <c r="D99" s="2178"/>
      <c r="E99" s="2178" t="e">
        <f>'Summary Total Pigs'!#REF!*N37</f>
        <v>#REF!</v>
      </c>
      <c r="F99" s="2177"/>
      <c r="G99" s="2177"/>
      <c r="H99" s="2177"/>
      <c r="I99" s="2177"/>
      <c r="J99" s="2177" t="e">
        <f>('Summary Total Pigs'!#REF!/'Summary Total Pigs'!#REF!)*'Pigs Cost'!$P$174</f>
        <v>#REF!</v>
      </c>
      <c r="K99" s="2177"/>
      <c r="L99" s="2177"/>
      <c r="M99" s="2179" t="e">
        <f t="shared" ref="M99:M104" si="24">SUM(C99:L99)</f>
        <v>#REF!</v>
      </c>
      <c r="N99" s="2179"/>
      <c r="O99" s="2179" t="e">
        <f>N99*'Summary Total Pigs'!#REF!</f>
        <v>#REF!</v>
      </c>
      <c r="P99" s="2179" t="e">
        <f>N99*'Summary Total Pigs'!#REF!</f>
        <v>#REF!</v>
      </c>
      <c r="Q99" s="2179" t="e">
        <f>N99*'Summary Total Pigs'!#REF!</f>
        <v>#REF!</v>
      </c>
      <c r="R99" s="2179">
        <v>0</v>
      </c>
      <c r="S99" s="2179">
        <v>0</v>
      </c>
      <c r="T99" s="2180" t="e">
        <f t="shared" ref="T99:T104" si="25">M99+O99+P99+R99+S99+Q99</f>
        <v>#REF!</v>
      </c>
      <c r="U99" s="205"/>
      <c r="V99" s="24">
        <f t="shared" si="19"/>
        <v>0</v>
      </c>
    </row>
    <row r="100" spans="1:22">
      <c r="A100" s="2172" t="s">
        <v>107</v>
      </c>
      <c r="B100" s="2181" t="s">
        <v>108</v>
      </c>
      <c r="C100" s="2177">
        <f>[16]USD!$T100</f>
        <v>21769.159767633369</v>
      </c>
      <c r="D100" s="2182"/>
      <c r="E100" s="2179" t="e">
        <f>(603*N37)+(489*N53)</f>
        <v>#REF!</v>
      </c>
      <c r="F100" s="2183"/>
      <c r="G100" s="2177"/>
      <c r="H100" s="2177"/>
      <c r="I100" s="2177"/>
      <c r="J100" s="2177" t="e">
        <f>('Summary Total Pigs'!#REF!/'Summary Total Pigs'!#REF!)*$P$174</f>
        <v>#REF!</v>
      </c>
      <c r="K100" s="2177"/>
      <c r="L100" s="2183"/>
      <c r="M100" s="2179" t="e">
        <f>SUM(C100:L100)</f>
        <v>#REF!</v>
      </c>
      <c r="N100" s="2179" t="e">
        <f>M100/'Summary Total Pigs'!#REF!</f>
        <v>#REF!</v>
      </c>
      <c r="O100" s="2179" t="e">
        <f>N100*'Summary Total Pigs'!#REF!</f>
        <v>#REF!</v>
      </c>
      <c r="P100" s="2179" t="e">
        <f>N100*'Summary Total Pigs'!#REF!</f>
        <v>#REF!</v>
      </c>
      <c r="Q100" s="2179" t="e">
        <f>N100*'Summary Total Pigs'!#REF!</f>
        <v>#REF!</v>
      </c>
      <c r="R100" s="2179">
        <v>0</v>
      </c>
      <c r="S100" s="2179">
        <v>0</v>
      </c>
      <c r="T100" s="2180" t="e">
        <f t="shared" si="25"/>
        <v>#REF!</v>
      </c>
      <c r="U100" s="205"/>
      <c r="V100" s="24">
        <f t="shared" si="19"/>
        <v>2.176915976763337E-6</v>
      </c>
    </row>
    <row r="101" spans="1:22">
      <c r="A101" s="2172" t="s">
        <v>109</v>
      </c>
      <c r="B101" s="2181" t="s">
        <v>110</v>
      </c>
      <c r="C101" s="2177">
        <f>[16]USD!$T101</f>
        <v>1695.5030677183622</v>
      </c>
      <c r="D101" s="2182"/>
      <c r="E101" s="2176" t="e">
        <f>'Summary Total Pigs'!#REF!*N100</f>
        <v>#REF!</v>
      </c>
      <c r="F101" s="2183"/>
      <c r="G101" s="2177"/>
      <c r="H101" s="2177"/>
      <c r="I101" s="2177"/>
      <c r="J101" s="2177" t="e">
        <f>('Summary Total Pigs'!#REF!/'Summary Total Pigs'!#REF!)*$P$174</f>
        <v>#REF!</v>
      </c>
      <c r="K101" s="2177"/>
      <c r="L101" s="2183"/>
      <c r="M101" s="2179" t="e">
        <f t="shared" si="24"/>
        <v>#REF!</v>
      </c>
      <c r="N101" s="2179" t="e">
        <f>M101/'Summary Total Pigs'!#REF!</f>
        <v>#REF!</v>
      </c>
      <c r="O101" s="2192" t="e">
        <f>N101*'Summary Total Pigs'!#REF!</f>
        <v>#REF!</v>
      </c>
      <c r="P101" s="2179" t="e">
        <f>N101*'Summary Total Pigs'!#REF!</f>
        <v>#REF!</v>
      </c>
      <c r="Q101" s="2179" t="e">
        <f>N101*'Summary Total Pigs'!#REF!</f>
        <v>#REF!</v>
      </c>
      <c r="R101" s="2179" t="e">
        <f>N101*'Summary Total Pigs'!#REF!</f>
        <v>#REF!</v>
      </c>
      <c r="S101" s="2179" t="e">
        <f>'Summary Total Pigs'!#REF!*N101</f>
        <v>#REF!</v>
      </c>
      <c r="T101" s="2180" t="e">
        <f t="shared" si="25"/>
        <v>#REF!</v>
      </c>
      <c r="U101" s="205"/>
      <c r="V101" s="24">
        <f t="shared" si="19"/>
        <v>1.6955030677183623E-7</v>
      </c>
    </row>
    <row r="102" spans="1:22">
      <c r="A102" s="2172" t="s">
        <v>111</v>
      </c>
      <c r="B102" s="2184" t="s">
        <v>106</v>
      </c>
      <c r="C102" s="2177">
        <f>[16]USD!$T102</f>
        <v>0</v>
      </c>
      <c r="D102" s="2182"/>
      <c r="E102" s="2182"/>
      <c r="F102" s="2183"/>
      <c r="G102" s="2177"/>
      <c r="H102" s="2177"/>
      <c r="I102" s="2177"/>
      <c r="J102" s="2177" t="e">
        <f>('Summary Total Pigs'!#REF!/'Summary Total Pigs'!#REF!)*'Pigs Cost'!$P$174</f>
        <v>#REF!</v>
      </c>
      <c r="K102" s="2177"/>
      <c r="L102" s="2183"/>
      <c r="M102" s="2179" t="e">
        <f t="shared" si="24"/>
        <v>#REF!</v>
      </c>
      <c r="N102" s="2179">
        <v>0</v>
      </c>
      <c r="O102" s="2179" t="e">
        <f>N102*'Summary Total Pigs'!#REF!</f>
        <v>#REF!</v>
      </c>
      <c r="P102" s="2179" t="e">
        <f>N102*'Summary Total Pigs'!#REF!</f>
        <v>#REF!</v>
      </c>
      <c r="Q102" s="2179" t="e">
        <f>N102*'Summary Total Pigs'!#REF!</f>
        <v>#REF!</v>
      </c>
      <c r="R102" s="2179" t="e">
        <f>N102*'Summary Total Pigs'!#REF!</f>
        <v>#REF!</v>
      </c>
      <c r="S102" s="2179" t="e">
        <f>'Summary Total Pigs'!#REF!*N102</f>
        <v>#REF!</v>
      </c>
      <c r="T102" s="2180" t="e">
        <f t="shared" si="25"/>
        <v>#REF!</v>
      </c>
      <c r="U102" s="205"/>
      <c r="V102" s="24">
        <f t="shared" si="19"/>
        <v>0</v>
      </c>
    </row>
    <row r="103" spans="1:22">
      <c r="A103" s="2172" t="s">
        <v>112</v>
      </c>
      <c r="B103" s="2184" t="s">
        <v>106</v>
      </c>
      <c r="C103" s="2177">
        <f>[16]USD!$T103</f>
        <v>0</v>
      </c>
      <c r="D103" s="2182"/>
      <c r="E103" s="2182"/>
      <c r="F103" s="2183"/>
      <c r="G103" s="2177"/>
      <c r="H103" s="2177"/>
      <c r="I103" s="2177"/>
      <c r="J103" s="2177" t="e">
        <f>('Summary Total Pigs'!#REF!/'Summary Total Pigs'!#REF!)*'Pigs Cost'!$P$174</f>
        <v>#REF!</v>
      </c>
      <c r="K103" s="2177"/>
      <c r="L103" s="2183"/>
      <c r="M103" s="2179" t="e">
        <f t="shared" si="24"/>
        <v>#REF!</v>
      </c>
      <c r="N103" s="2179">
        <v>0</v>
      </c>
      <c r="O103" s="2179" t="e">
        <f>N103*'Summary Total Pigs'!#REF!</f>
        <v>#REF!</v>
      </c>
      <c r="P103" s="2179" t="e">
        <f>N103*'Summary Total Pigs'!#REF!</f>
        <v>#REF!</v>
      </c>
      <c r="Q103" s="2179" t="e">
        <f>N103*'Summary Total Pigs'!#REF!</f>
        <v>#REF!</v>
      </c>
      <c r="R103" s="2179" t="e">
        <f>N103*'Summary Total Pigs'!#REF!</f>
        <v>#REF!</v>
      </c>
      <c r="S103" s="2179" t="e">
        <f>'Summary Total Pigs'!#REF!*N103</f>
        <v>#REF!</v>
      </c>
      <c r="T103" s="2180" t="e">
        <f t="shared" si="25"/>
        <v>#REF!</v>
      </c>
      <c r="U103" s="205"/>
      <c r="V103" s="24">
        <f t="shared" si="19"/>
        <v>0</v>
      </c>
    </row>
    <row r="104" spans="1:22" ht="13.9" thickBot="1">
      <c r="A104" s="2174" t="s">
        <v>113</v>
      </c>
      <c r="B104" s="2185"/>
      <c r="C104" s="2177">
        <f>[16]USD!$T104</f>
        <v>0</v>
      </c>
      <c r="D104" s="2186"/>
      <c r="E104" s="2186"/>
      <c r="F104" s="2187"/>
      <c r="G104" s="2187"/>
      <c r="H104" s="2187"/>
      <c r="I104" s="2187"/>
      <c r="J104" s="2177" t="e">
        <f>('Summary Total Pigs'!#REF!/'Summary Total Pigs'!#REF!)*'Pigs Cost'!$P$174</f>
        <v>#REF!</v>
      </c>
      <c r="K104" s="2187"/>
      <c r="L104" s="2187"/>
      <c r="M104" s="2179" t="e">
        <f t="shared" si="24"/>
        <v>#REF!</v>
      </c>
      <c r="N104" s="2179">
        <v>0</v>
      </c>
      <c r="O104" s="2179" t="e">
        <f>N104*'Summary Total Pigs'!#REF!</f>
        <v>#REF!</v>
      </c>
      <c r="P104" s="2189"/>
      <c r="Q104" s="2179" t="e">
        <f>N104*'Summary Total Pigs'!#REF!</f>
        <v>#REF!</v>
      </c>
      <c r="R104" s="2179" t="e">
        <f>N104*'Summary Total Pigs'!#REF!</f>
        <v>#REF!</v>
      </c>
      <c r="S104" s="2179" t="e">
        <f>'Summary Total Pigs'!#REF!*N104</f>
        <v>#REF!</v>
      </c>
      <c r="T104" s="2180" t="e">
        <f t="shared" si="25"/>
        <v>#REF!</v>
      </c>
      <c r="U104" s="205"/>
      <c r="V104" s="24">
        <f t="shared" si="19"/>
        <v>0</v>
      </c>
    </row>
    <row r="105" spans="1:22" ht="13.9" thickBot="1">
      <c r="A105" s="3" t="s">
        <v>115</v>
      </c>
      <c r="B105" s="199"/>
      <c r="C105" s="200">
        <f>SUM(C99:C104)</f>
        <v>23464.66283535173</v>
      </c>
      <c r="D105" s="200">
        <f t="shared" ref="D105:T105" si="26">SUM(D99:D104)</f>
        <v>0</v>
      </c>
      <c r="E105" s="200" t="e">
        <f t="shared" si="26"/>
        <v>#REF!</v>
      </c>
      <c r="F105" s="200">
        <f t="shared" si="26"/>
        <v>0</v>
      </c>
      <c r="G105" s="201">
        <f t="shared" si="26"/>
        <v>0</v>
      </c>
      <c r="H105" s="201">
        <f t="shared" si="26"/>
        <v>0</v>
      </c>
      <c r="I105" s="201">
        <f t="shared" si="26"/>
        <v>0</v>
      </c>
      <c r="J105" s="201" t="e">
        <f t="shared" si="26"/>
        <v>#REF!</v>
      </c>
      <c r="K105" s="201">
        <f t="shared" si="26"/>
        <v>0</v>
      </c>
      <c r="L105" s="201">
        <f t="shared" si="26"/>
        <v>0</v>
      </c>
      <c r="M105" s="201" t="e">
        <f t="shared" si="26"/>
        <v>#REF!</v>
      </c>
      <c r="N105" s="201" t="e">
        <f t="shared" si="26"/>
        <v>#REF!</v>
      </c>
      <c r="O105" s="201" t="e">
        <f t="shared" si="26"/>
        <v>#REF!</v>
      </c>
      <c r="P105" s="201" t="e">
        <f t="shared" si="26"/>
        <v>#REF!</v>
      </c>
      <c r="Q105" s="201" t="e">
        <f t="shared" si="26"/>
        <v>#REF!</v>
      </c>
      <c r="R105" s="201" t="e">
        <f t="shared" si="26"/>
        <v>#REF!</v>
      </c>
      <c r="S105" s="201" t="e">
        <f>SUM(S99:S104)</f>
        <v>#REF!</v>
      </c>
      <c r="T105" s="201" t="e">
        <f t="shared" si="26"/>
        <v>#REF!</v>
      </c>
      <c r="U105" s="205"/>
      <c r="V105" s="24">
        <f t="shared" si="19"/>
        <v>2.3464662835351729E-6</v>
      </c>
    </row>
    <row r="106" spans="1:22">
      <c r="A106" s="300"/>
      <c r="B106" s="205"/>
      <c r="C106" s="205"/>
      <c r="D106" s="205"/>
      <c r="E106" s="205"/>
      <c r="F106" s="205"/>
      <c r="G106" s="205"/>
      <c r="H106" s="205"/>
      <c r="I106" s="205"/>
      <c r="J106" s="205" t="e">
        <f>J105-P174</f>
        <v>#REF!</v>
      </c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4">
        <f t="shared" si="19"/>
        <v>0</v>
      </c>
    </row>
    <row r="107" spans="1:22">
      <c r="A107" s="300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4">
        <f t="shared" si="19"/>
        <v>0</v>
      </c>
    </row>
    <row r="108" spans="1:22">
      <c r="A108" s="1" t="s">
        <v>86</v>
      </c>
      <c r="B108" s="187" t="s">
        <v>143</v>
      </c>
      <c r="C108" s="205"/>
      <c r="D108" s="205"/>
      <c r="E108" s="205"/>
      <c r="F108" s="205"/>
      <c r="G108" s="205"/>
      <c r="H108" s="205"/>
      <c r="I108" s="205"/>
      <c r="J108" s="205"/>
      <c r="K108" s="205"/>
      <c r="L108" s="205" t="e">
        <f>+(G106+H106+I106+K106+L106+J106)-K226</f>
        <v>#REF!</v>
      </c>
      <c r="M108" s="205"/>
      <c r="N108" s="205"/>
      <c r="O108" s="205"/>
      <c r="P108" s="205"/>
      <c r="Q108" s="205"/>
      <c r="R108" s="205" t="e">
        <f>+R105+R107</f>
        <v>#REF!</v>
      </c>
      <c r="S108" s="205"/>
      <c r="T108" s="205"/>
      <c r="U108" s="205"/>
      <c r="V108" s="24">
        <f t="shared" si="19"/>
        <v>0</v>
      </c>
    </row>
    <row r="109" spans="1:22" ht="13.9" thickBot="1">
      <c r="A109" s="300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4">
        <f t="shared" si="19"/>
        <v>0</v>
      </c>
    </row>
    <row r="110" spans="1:22" ht="27" thickBot="1">
      <c r="A110" s="12" t="s">
        <v>87</v>
      </c>
      <c r="B110" s="189" t="s">
        <v>88</v>
      </c>
      <c r="C110" s="190" t="str">
        <f>+C98</f>
        <v>OPENING</v>
      </c>
      <c r="D110" s="191" t="s">
        <v>90</v>
      </c>
      <c r="E110" s="192" t="s">
        <v>91</v>
      </c>
      <c r="F110" s="190" t="s">
        <v>92</v>
      </c>
      <c r="G110" s="190" t="s">
        <v>93</v>
      </c>
      <c r="H110" s="190" t="s">
        <v>94</v>
      </c>
      <c r="I110" s="190" t="s">
        <v>95</v>
      </c>
      <c r="J110" s="190" t="s">
        <v>96</v>
      </c>
      <c r="K110" s="190" t="s">
        <v>97</v>
      </c>
      <c r="L110" s="190" t="s">
        <v>98</v>
      </c>
      <c r="M110" s="192" t="s">
        <v>99</v>
      </c>
      <c r="N110" s="192" t="s">
        <v>100</v>
      </c>
      <c r="O110" s="192" t="s">
        <v>101</v>
      </c>
      <c r="P110" s="192" t="s">
        <v>102</v>
      </c>
      <c r="Q110" s="192" t="str">
        <f>Q98</f>
        <v>Deaths</v>
      </c>
      <c r="R110" s="192" t="str">
        <f>R98</f>
        <v>CULLS</v>
      </c>
      <c r="S110" s="192" t="str">
        <f>+S98</f>
        <v>STOCK ADJMNT</v>
      </c>
      <c r="T110" s="195" t="s">
        <v>104</v>
      </c>
      <c r="U110" s="196"/>
      <c r="V110" s="24" t="e">
        <f t="shared" si="19"/>
        <v>#VALUE!</v>
      </c>
    </row>
    <row r="111" spans="1:22">
      <c r="A111" s="2171" t="s">
        <v>105</v>
      </c>
      <c r="B111" s="2184" t="s">
        <v>106</v>
      </c>
      <c r="C111" s="2177">
        <f>[16]USD!$T111</f>
        <v>0</v>
      </c>
      <c r="D111" s="2178"/>
      <c r="E111" s="2178"/>
      <c r="F111" s="2177"/>
      <c r="G111" s="2177"/>
      <c r="H111" s="2177"/>
      <c r="I111" s="2177"/>
      <c r="J111" s="2177" t="e">
        <f>('Summary Total Pigs'!#REF!/'Summary Total Pigs'!#REF!)*'Pigs Cost'!$R$174</f>
        <v>#REF!</v>
      </c>
      <c r="K111" s="2177"/>
      <c r="L111" s="2177"/>
      <c r="M111" s="2179" t="e">
        <f t="shared" ref="M111:M116" si="27">SUM(C111:L111)</f>
        <v>#REF!</v>
      </c>
      <c r="N111" s="2179"/>
      <c r="O111" s="2179" t="e">
        <f>'Summary Total Pigs'!#REF!*N111</f>
        <v>#REF!</v>
      </c>
      <c r="P111" s="2179" t="e">
        <f>N111*'Summary Total Pigs'!#REF!</f>
        <v>#REF!</v>
      </c>
      <c r="Q111" s="2179" t="e">
        <f>N111*'Summary Total Pigs'!#REF!</f>
        <v>#REF!</v>
      </c>
      <c r="R111" s="2179" t="e">
        <f>N111*'Summary Total Pigs'!#REF!</f>
        <v>#REF!</v>
      </c>
      <c r="S111" s="2179" t="e">
        <f>'Summary Total Pigs'!#REF!*N111</f>
        <v>#REF!</v>
      </c>
      <c r="T111" s="2180" t="e">
        <f t="shared" ref="T111:T116" si="28">M111+O111+P111+R111+S111+Q111</f>
        <v>#REF!</v>
      </c>
      <c r="U111" s="205"/>
      <c r="V111" s="24">
        <f t="shared" si="19"/>
        <v>0</v>
      </c>
    </row>
    <row r="112" spans="1:22">
      <c r="A112" s="2172" t="s">
        <v>107</v>
      </c>
      <c r="B112" s="2181" t="s">
        <v>108</v>
      </c>
      <c r="C112" s="2177">
        <f>[16]USD!$T112</f>
        <v>0</v>
      </c>
      <c r="D112" s="2182">
        <v>0</v>
      </c>
      <c r="E112" s="2182" t="e">
        <f>'Summary Total Pigs'!#REF!*'Pigs Cost'!N53</f>
        <v>#REF!</v>
      </c>
      <c r="F112" s="2183">
        <v>0</v>
      </c>
      <c r="G112" s="2177">
        <v>0</v>
      </c>
      <c r="H112" s="2177">
        <v>0</v>
      </c>
      <c r="I112" s="2177">
        <v>0</v>
      </c>
      <c r="J112" s="2177" t="e">
        <f>('Summary Total Pigs'!#REF!/'Summary Total Pigs'!#REF!)*'Pigs Cost'!$R$174</f>
        <v>#REF!</v>
      </c>
      <c r="K112" s="2177">
        <v>0</v>
      </c>
      <c r="L112" s="2183">
        <v>0</v>
      </c>
      <c r="M112" s="2179" t="e">
        <f>SUM(C112:L112)</f>
        <v>#REF!</v>
      </c>
      <c r="N112" s="2179">
        <v>0</v>
      </c>
      <c r="O112" s="2179" t="e">
        <f>'Summary Total Pigs'!#REF!*N112</f>
        <v>#REF!</v>
      </c>
      <c r="P112" s="2179" t="e">
        <f>N112*'Summary Total Pigs'!#REF!</f>
        <v>#REF!</v>
      </c>
      <c r="Q112" s="2179" t="e">
        <f>N112*'Summary Total Pigs'!#REF!</f>
        <v>#REF!</v>
      </c>
      <c r="R112" s="2179" t="e">
        <f>N112*'Summary Total Pigs'!#REF!</f>
        <v>#REF!</v>
      </c>
      <c r="S112" s="2179" t="e">
        <f>'Summary Total Pigs'!#REF!*N112</f>
        <v>#REF!</v>
      </c>
      <c r="T112" s="2180" t="e">
        <f t="shared" si="28"/>
        <v>#REF!</v>
      </c>
      <c r="U112" s="205"/>
      <c r="V112" s="24">
        <f t="shared" si="19"/>
        <v>0</v>
      </c>
    </row>
    <row r="113" spans="1:22">
      <c r="A113" s="2172" t="s">
        <v>109</v>
      </c>
      <c r="B113" s="2181" t="s">
        <v>110</v>
      </c>
      <c r="C113" s="2177">
        <f>[16]USD!$T113</f>
        <v>13120.189485789087</v>
      </c>
      <c r="D113" s="2182"/>
      <c r="E113" s="2193" t="e">
        <f>160*N77+150*N101</f>
        <v>#REF!</v>
      </c>
      <c r="F113" s="2183"/>
      <c r="G113" s="2177"/>
      <c r="H113" s="2177"/>
      <c r="I113" s="2177"/>
      <c r="J113" s="2177" t="e">
        <f>('Summary Total Pigs'!#REF!/'Summary Total Pigs'!#REF!)*$R$174</f>
        <v>#REF!</v>
      </c>
      <c r="K113" s="2177"/>
      <c r="L113" s="2183"/>
      <c r="M113" s="2179" t="e">
        <f>SUM(C113:L113)</f>
        <v>#REF!</v>
      </c>
      <c r="N113" s="2179" t="e">
        <f>M113/'Summary Total Pigs'!#REF!</f>
        <v>#REF!</v>
      </c>
      <c r="O113" s="2179" t="e">
        <f>'Summary Total Pigs'!#REF!*N113</f>
        <v>#REF!</v>
      </c>
      <c r="P113" s="2179" t="e">
        <f>N113*'Summary Total Pigs'!#REF!</f>
        <v>#REF!</v>
      </c>
      <c r="Q113" s="2179" t="e">
        <f>N113*'Summary Total Pigs'!#REF!</f>
        <v>#REF!</v>
      </c>
      <c r="R113" s="2179" t="e">
        <f>N113*'Summary Total Pigs'!#REF!</f>
        <v>#REF!</v>
      </c>
      <c r="S113" s="2179" t="e">
        <f>'Summary Total Pigs'!#REF!*N113</f>
        <v>#REF!</v>
      </c>
      <c r="T113" s="2180" t="e">
        <f t="shared" si="28"/>
        <v>#REF!</v>
      </c>
      <c r="U113" s="205"/>
      <c r="V113" s="24">
        <f t="shared" si="19"/>
        <v>1.3120189485789087E-6</v>
      </c>
    </row>
    <row r="114" spans="1:22">
      <c r="A114" s="2172" t="s">
        <v>111</v>
      </c>
      <c r="B114" s="2184" t="s">
        <v>106</v>
      </c>
      <c r="C114" s="2177">
        <f>[16]USD!$T114</f>
        <v>0</v>
      </c>
      <c r="D114" s="2182"/>
      <c r="E114" s="2182"/>
      <c r="F114" s="2183"/>
      <c r="G114" s="2177"/>
      <c r="H114" s="2177"/>
      <c r="I114" s="2177"/>
      <c r="J114" s="2177" t="e">
        <f>('Summary Total Pigs'!#REF!/'Summary Total Pigs'!#REF!)*'Pigs Cost'!$R$174</f>
        <v>#REF!</v>
      </c>
      <c r="K114" s="2177"/>
      <c r="L114" s="2183"/>
      <c r="M114" s="2179" t="e">
        <f t="shared" si="27"/>
        <v>#REF!</v>
      </c>
      <c r="N114" s="2179">
        <v>0</v>
      </c>
      <c r="O114" s="2179" t="e">
        <f>'Summary Total Pigs'!#REF!*N114</f>
        <v>#REF!</v>
      </c>
      <c r="P114" s="2179"/>
      <c r="Q114" s="2179" t="e">
        <f>N114*'Summary Total Pigs'!#REF!</f>
        <v>#REF!</v>
      </c>
      <c r="R114" s="2179" t="e">
        <f>N114*'Summary Total Pigs'!#REF!</f>
        <v>#REF!</v>
      </c>
      <c r="S114" s="2179" t="e">
        <f>'Summary Total Pigs'!#REF!*N114</f>
        <v>#REF!</v>
      </c>
      <c r="T114" s="2180" t="e">
        <f t="shared" si="28"/>
        <v>#REF!</v>
      </c>
      <c r="U114" s="205"/>
      <c r="V114" s="24">
        <f t="shared" si="19"/>
        <v>0</v>
      </c>
    </row>
    <row r="115" spans="1:22">
      <c r="A115" s="2172" t="s">
        <v>112</v>
      </c>
      <c r="B115" s="2184" t="s">
        <v>106</v>
      </c>
      <c r="C115" s="2177">
        <f>[16]USD!$T115</f>
        <v>0</v>
      </c>
      <c r="D115" s="2182"/>
      <c r="E115" s="2182"/>
      <c r="F115" s="2183"/>
      <c r="G115" s="2177"/>
      <c r="H115" s="2177"/>
      <c r="I115" s="2177"/>
      <c r="J115" s="2177" t="e">
        <f>('Summary Total Pigs'!#REF!/'Summary Total Pigs'!#REF!)*'Pigs Cost'!$R$174</f>
        <v>#REF!</v>
      </c>
      <c r="K115" s="2177"/>
      <c r="L115" s="2183"/>
      <c r="M115" s="2179" t="e">
        <f t="shared" si="27"/>
        <v>#REF!</v>
      </c>
      <c r="N115" s="2179">
        <v>0</v>
      </c>
      <c r="O115" s="2179" t="e">
        <f>'Summary Total Pigs'!#REF!*N115</f>
        <v>#REF!</v>
      </c>
      <c r="P115" s="2179" t="e">
        <f>'Summary Total Pigs'!#REF!*'Pigs Cost'!N115</f>
        <v>#REF!</v>
      </c>
      <c r="Q115" s="2179" t="e">
        <f>N115*'Summary Total Pigs'!#REF!</f>
        <v>#REF!</v>
      </c>
      <c r="R115" s="2179" t="e">
        <f>N115*'Summary Total Pigs'!#REF!</f>
        <v>#REF!</v>
      </c>
      <c r="S115" s="2179" t="e">
        <f>'Summary Total Pigs'!#REF!*N115</f>
        <v>#REF!</v>
      </c>
      <c r="T115" s="2180" t="e">
        <f t="shared" si="28"/>
        <v>#REF!</v>
      </c>
      <c r="U115" s="205"/>
      <c r="V115" s="24">
        <f t="shared" si="19"/>
        <v>0</v>
      </c>
    </row>
    <row r="116" spans="1:22" ht="13.9" thickBot="1">
      <c r="A116" s="2174" t="s">
        <v>113</v>
      </c>
      <c r="B116" s="2185"/>
      <c r="C116" s="2177">
        <f>[16]USD!$T116</f>
        <v>0</v>
      </c>
      <c r="D116" s="2186"/>
      <c r="E116" s="2186"/>
      <c r="F116" s="2187"/>
      <c r="G116" s="2187"/>
      <c r="H116" s="2187"/>
      <c r="I116" s="2187"/>
      <c r="J116" s="2177" t="e">
        <f>('Summary Total Pigs'!#REF!/'Summary Total Pigs'!#REF!)*'Pigs Cost'!$R$174</f>
        <v>#REF!</v>
      </c>
      <c r="K116" s="2187"/>
      <c r="L116" s="2187"/>
      <c r="M116" s="2179" t="e">
        <f t="shared" si="27"/>
        <v>#REF!</v>
      </c>
      <c r="N116" s="2179">
        <v>0</v>
      </c>
      <c r="O116" s="2179" t="e">
        <f>'Summary Total Pigs'!#REF!*N116</f>
        <v>#REF!</v>
      </c>
      <c r="P116" s="2189"/>
      <c r="Q116" s="2179" t="e">
        <f>N116*'Summary Total Pigs'!#REF!</f>
        <v>#REF!</v>
      </c>
      <c r="R116" s="2179" t="e">
        <f>N116*'Summary Total Pigs'!#REF!</f>
        <v>#REF!</v>
      </c>
      <c r="S116" s="2179" t="e">
        <f>'Summary Total Pigs'!#REF!*N116</f>
        <v>#REF!</v>
      </c>
      <c r="T116" s="2180" t="e">
        <f t="shared" si="28"/>
        <v>#REF!</v>
      </c>
      <c r="U116" s="205"/>
      <c r="V116" s="24">
        <f t="shared" si="19"/>
        <v>0</v>
      </c>
    </row>
    <row r="117" spans="1:22" ht="13.9" thickBot="1">
      <c r="A117" s="3" t="s">
        <v>115</v>
      </c>
      <c r="B117" s="199"/>
      <c r="C117" s="200">
        <f>SUM(C111:C116)</f>
        <v>13120.189485789087</v>
      </c>
      <c r="D117" s="200">
        <f t="shared" ref="D117:T117" si="29">SUM(D111:D116)</f>
        <v>0</v>
      </c>
      <c r="E117" s="200" t="e">
        <f t="shared" si="29"/>
        <v>#REF!</v>
      </c>
      <c r="F117" s="200">
        <f t="shared" si="29"/>
        <v>0</v>
      </c>
      <c r="G117" s="201">
        <f t="shared" si="29"/>
        <v>0</v>
      </c>
      <c r="H117" s="201">
        <f t="shared" si="29"/>
        <v>0</v>
      </c>
      <c r="I117" s="201">
        <f t="shared" si="29"/>
        <v>0</v>
      </c>
      <c r="J117" s="201" t="e">
        <f t="shared" si="29"/>
        <v>#REF!</v>
      </c>
      <c r="K117" s="201">
        <f t="shared" si="29"/>
        <v>0</v>
      </c>
      <c r="L117" s="201">
        <f t="shared" si="29"/>
        <v>0</v>
      </c>
      <c r="M117" s="201" t="e">
        <f t="shared" si="29"/>
        <v>#REF!</v>
      </c>
      <c r="N117" s="201" t="e">
        <f t="shared" si="29"/>
        <v>#REF!</v>
      </c>
      <c r="O117" s="201" t="e">
        <f>SUM(O111:O116)</f>
        <v>#REF!</v>
      </c>
      <c r="P117" s="201" t="e">
        <f t="shared" si="29"/>
        <v>#REF!</v>
      </c>
      <c r="Q117" s="201" t="e">
        <f t="shared" si="29"/>
        <v>#REF!</v>
      </c>
      <c r="R117" s="201" t="e">
        <f t="shared" si="29"/>
        <v>#REF!</v>
      </c>
      <c r="S117" s="201" t="e">
        <f t="shared" si="29"/>
        <v>#REF!</v>
      </c>
      <c r="T117" s="201" t="e">
        <f t="shared" si="29"/>
        <v>#REF!</v>
      </c>
      <c r="U117" s="205"/>
      <c r="V117" s="24">
        <f t="shared" si="19"/>
        <v>1.3120189485789087E-6</v>
      </c>
    </row>
    <row r="118" spans="1:22">
      <c r="A118" s="300"/>
      <c r="B118" s="205"/>
      <c r="C118" s="205"/>
      <c r="D118" s="205"/>
      <c r="E118" s="205"/>
      <c r="F118" s="205"/>
      <c r="G118" s="205"/>
      <c r="H118" s="205"/>
      <c r="I118" s="205"/>
      <c r="J118" s="205" t="e">
        <f>J117-R174</f>
        <v>#REF!</v>
      </c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4">
        <f t="shared" si="19"/>
        <v>0</v>
      </c>
    </row>
    <row r="119" spans="1:22">
      <c r="A119" s="300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4">
        <f t="shared" si="19"/>
        <v>0</v>
      </c>
    </row>
    <row r="120" spans="1:22">
      <c r="A120" s="1" t="s">
        <v>86</v>
      </c>
      <c r="B120" s="187" t="s">
        <v>144</v>
      </c>
      <c r="C120" s="205"/>
      <c r="D120" s="205"/>
      <c r="E120" s="205"/>
      <c r="F120" s="205"/>
      <c r="G120" s="205"/>
      <c r="H120" s="205"/>
      <c r="I120" s="205"/>
      <c r="J120" s="205"/>
      <c r="K120" s="205"/>
      <c r="L120" s="205" t="e">
        <f>+(G118+H118+I118+K118+L118+J118)-K238</f>
        <v>#REF!</v>
      </c>
      <c r="M120" s="205"/>
      <c r="N120" s="205"/>
      <c r="O120" s="205"/>
      <c r="P120" s="205"/>
      <c r="Q120" s="205"/>
      <c r="R120" s="205" t="e">
        <f>+R117+R119</f>
        <v>#REF!</v>
      </c>
      <c r="S120" s="205"/>
      <c r="T120" s="205"/>
      <c r="U120" s="205"/>
      <c r="V120" s="24">
        <f t="shared" si="19"/>
        <v>0</v>
      </c>
    </row>
    <row r="121" spans="1:22" ht="13.9" thickBot="1">
      <c r="A121" s="300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4">
        <f t="shared" si="19"/>
        <v>0</v>
      </c>
    </row>
    <row r="122" spans="1:22" ht="27" thickBot="1">
      <c r="A122" s="12" t="s">
        <v>87</v>
      </c>
      <c r="B122" s="189" t="s">
        <v>88</v>
      </c>
      <c r="C122" s="190" t="str">
        <f>+C110</f>
        <v>OPENING</v>
      </c>
      <c r="D122" s="191" t="s">
        <v>90</v>
      </c>
      <c r="E122" s="192" t="s">
        <v>91</v>
      </c>
      <c r="F122" s="190" t="s">
        <v>92</v>
      </c>
      <c r="G122" s="190" t="s">
        <v>93</v>
      </c>
      <c r="H122" s="190" t="s">
        <v>94</v>
      </c>
      <c r="I122" s="190" t="s">
        <v>95</v>
      </c>
      <c r="J122" s="190" t="s">
        <v>96</v>
      </c>
      <c r="K122" s="190" t="s">
        <v>97</v>
      </c>
      <c r="L122" s="190" t="s">
        <v>98</v>
      </c>
      <c r="M122" s="192" t="s">
        <v>99</v>
      </c>
      <c r="N122" s="192" t="s">
        <v>100</v>
      </c>
      <c r="O122" s="192" t="s">
        <v>101</v>
      </c>
      <c r="P122" s="192" t="s">
        <v>102</v>
      </c>
      <c r="Q122" s="192" t="str">
        <f>Q110</f>
        <v>Deaths</v>
      </c>
      <c r="R122" s="192" t="str">
        <f>R110</f>
        <v>CULLS</v>
      </c>
      <c r="S122" s="192" t="str">
        <f>+S110</f>
        <v>STOCK ADJMNT</v>
      </c>
      <c r="T122" s="195" t="s">
        <v>104</v>
      </c>
      <c r="U122" s="196"/>
      <c r="V122" s="24" t="e">
        <f t="shared" si="19"/>
        <v>#VALUE!</v>
      </c>
    </row>
    <row r="123" spans="1:22">
      <c r="A123" s="2171" t="s">
        <v>105</v>
      </c>
      <c r="B123" s="2184" t="s">
        <v>106</v>
      </c>
      <c r="C123" s="2177">
        <f>[16]USD!$T123</f>
        <v>0</v>
      </c>
      <c r="D123" s="2178"/>
      <c r="E123" s="2178"/>
      <c r="F123" s="2177"/>
      <c r="G123" s="2177"/>
      <c r="H123" s="2177"/>
      <c r="I123" s="2177"/>
      <c r="J123" s="2177" t="e">
        <f>('Summary Total Pigs'!#REF!/'Summary Total Pigs'!#REF!)*'Pigs Cost'!$N$174</f>
        <v>#REF!</v>
      </c>
      <c r="K123" s="2177"/>
      <c r="L123" s="2177"/>
      <c r="M123" s="2179" t="e">
        <f t="shared" ref="M123:M128" si="30">SUM(C123:L123)</f>
        <v>#REF!</v>
      </c>
      <c r="N123" s="2179" t="e">
        <f>M123/'Summary Total Pigs'!P186</f>
        <v>#REF!</v>
      </c>
      <c r="O123" s="2179" t="e">
        <f>N123*'Summary Total Pigs'!#REF!</f>
        <v>#REF!</v>
      </c>
      <c r="P123" s="2179" t="e">
        <f>N123*'Summary Total Pigs'!#REF!</f>
        <v>#REF!</v>
      </c>
      <c r="Q123" s="2179"/>
      <c r="R123" s="2179" t="e">
        <f>'Summary Total Pigs'!#REF!*M123</f>
        <v>#REF!</v>
      </c>
      <c r="S123" s="2179" t="e">
        <f>'Summary Total Pigs'!#REF!*N123</f>
        <v>#REF!</v>
      </c>
      <c r="T123" s="2180" t="e">
        <f t="shared" ref="T123:T128" si="31">M123+O123+P123+R123+S123+Q123</f>
        <v>#REF!</v>
      </c>
      <c r="U123" s="205"/>
      <c r="V123" s="24">
        <f t="shared" si="19"/>
        <v>0</v>
      </c>
    </row>
    <row r="124" spans="1:22">
      <c r="A124" s="2172" t="s">
        <v>107</v>
      </c>
      <c r="B124" s="2181" t="s">
        <v>108</v>
      </c>
      <c r="C124" s="2177">
        <f>[16]USD!$T124</f>
        <v>0</v>
      </c>
      <c r="D124" s="2182">
        <v>0</v>
      </c>
      <c r="E124" s="2182">
        <f>'Summary Total Pigs'!D187*'Pigs Cost'!N65</f>
        <v>0</v>
      </c>
      <c r="F124" s="2183">
        <v>0</v>
      </c>
      <c r="G124" s="2177">
        <v>0</v>
      </c>
      <c r="H124" s="2177">
        <v>0</v>
      </c>
      <c r="I124" s="2177">
        <v>0</v>
      </c>
      <c r="J124" s="2177" t="e">
        <f>('Summary Total Pigs'!#REF!/'Summary Total Pigs'!#REF!)*'Pigs Cost'!$N$174</f>
        <v>#REF!</v>
      </c>
      <c r="K124" s="2177">
        <v>0</v>
      </c>
      <c r="L124" s="2183">
        <v>0</v>
      </c>
      <c r="M124" s="2179" t="e">
        <f t="shared" si="30"/>
        <v>#REF!</v>
      </c>
      <c r="N124" s="2179" t="e">
        <f>M124/'Summary Total Pigs'!P187</f>
        <v>#REF!</v>
      </c>
      <c r="O124" s="2179" t="e">
        <f>N124*'Summary Total Pigs'!#REF!</f>
        <v>#REF!</v>
      </c>
      <c r="P124" s="2179" t="e">
        <f>N124*'Summary Total Pigs'!#REF!</f>
        <v>#REF!</v>
      </c>
      <c r="Q124" s="2179"/>
      <c r="R124" s="2179" t="e">
        <f>'Summary Total Pigs'!#REF!*M124</f>
        <v>#REF!</v>
      </c>
      <c r="S124" s="2179" t="e">
        <f>'Summary Total Pigs'!#REF!*N124</f>
        <v>#REF!</v>
      </c>
      <c r="T124" s="2180" t="e">
        <f t="shared" si="31"/>
        <v>#REF!</v>
      </c>
      <c r="U124" s="205"/>
      <c r="V124" s="24">
        <f t="shared" si="19"/>
        <v>0</v>
      </c>
    </row>
    <row r="125" spans="1:22">
      <c r="A125" s="2172" t="s">
        <v>109</v>
      </c>
      <c r="B125" s="2181" t="s">
        <v>110</v>
      </c>
      <c r="C125" s="2177">
        <f>[16]USD!$T125</f>
        <v>20295.448850123536</v>
      </c>
      <c r="D125" s="2182"/>
      <c r="E125" s="2193" t="e">
        <f>75*N101</f>
        <v>#REF!</v>
      </c>
      <c r="F125" s="2183"/>
      <c r="G125" s="2177"/>
      <c r="H125" s="2177"/>
      <c r="I125" s="2177"/>
      <c r="J125" s="2177" t="e">
        <f>('Summary Total Pigs'!#REF!/'Summary Total Pigs'!#REF!)*$N$174</f>
        <v>#REF!</v>
      </c>
      <c r="K125" s="2177"/>
      <c r="L125" s="2183"/>
      <c r="M125" s="2179" t="e">
        <f t="shared" si="30"/>
        <v>#REF!</v>
      </c>
      <c r="N125" s="2179" t="e">
        <f>M125/'Summary Total Pigs'!P188</f>
        <v>#REF!</v>
      </c>
      <c r="O125" s="2179" t="e">
        <f>N125*'Summary Total Pigs'!#REF!</f>
        <v>#REF!</v>
      </c>
      <c r="P125" s="2179" t="e">
        <f>N125*'Summary Total Pigs'!#REF!</f>
        <v>#REF!</v>
      </c>
      <c r="Q125" s="2179"/>
      <c r="R125" s="2179" t="e">
        <f>'Summary Total Pigs'!#REF!*M125</f>
        <v>#REF!</v>
      </c>
      <c r="S125" s="2179" t="e">
        <f>'Summary Total Pigs'!#REF!*N125</f>
        <v>#REF!</v>
      </c>
      <c r="T125" s="2180" t="e">
        <f t="shared" si="31"/>
        <v>#REF!</v>
      </c>
      <c r="U125" s="205"/>
      <c r="V125" s="24">
        <f t="shared" si="19"/>
        <v>2.0295448850123534E-6</v>
      </c>
    </row>
    <row r="126" spans="1:22">
      <c r="A126" s="2172" t="s">
        <v>111</v>
      </c>
      <c r="B126" s="2184" t="s">
        <v>106</v>
      </c>
      <c r="C126" s="2177">
        <f>[16]USD!$T126</f>
        <v>0</v>
      </c>
      <c r="D126" s="2182"/>
      <c r="E126" s="2182"/>
      <c r="F126" s="2183"/>
      <c r="G126" s="2177"/>
      <c r="H126" s="2177"/>
      <c r="I126" s="2177"/>
      <c r="J126" s="2177" t="e">
        <f>('Summary Total Pigs'!#REF!/'Summary Total Pigs'!#REF!)*'Pigs Cost'!$N$174</f>
        <v>#REF!</v>
      </c>
      <c r="K126" s="2177"/>
      <c r="L126" s="2183"/>
      <c r="M126" s="2179" t="e">
        <f t="shared" si="30"/>
        <v>#REF!</v>
      </c>
      <c r="N126" s="2179" t="e">
        <f>M126/'Summary Total Pigs'!P189</f>
        <v>#REF!</v>
      </c>
      <c r="O126" s="2179" t="e">
        <f>N126*'Summary Total Pigs'!#REF!</f>
        <v>#REF!</v>
      </c>
      <c r="P126" s="2179" t="e">
        <f>N126*'Summary Total Pigs'!#REF!</f>
        <v>#REF!</v>
      </c>
      <c r="Q126" s="2179"/>
      <c r="R126" s="2179" t="e">
        <f>'Summary Total Pigs'!#REF!*M126</f>
        <v>#REF!</v>
      </c>
      <c r="S126" s="2179" t="e">
        <f>'Summary Total Pigs'!#REF!*N126</f>
        <v>#REF!</v>
      </c>
      <c r="T126" s="2180" t="e">
        <f t="shared" si="31"/>
        <v>#REF!</v>
      </c>
      <c r="U126" s="205"/>
      <c r="V126" s="24">
        <f t="shared" si="19"/>
        <v>0</v>
      </c>
    </row>
    <row r="127" spans="1:22">
      <c r="A127" s="2172" t="s">
        <v>112</v>
      </c>
      <c r="B127" s="2184" t="s">
        <v>106</v>
      </c>
      <c r="C127" s="2177">
        <f>[16]USD!$T127</f>
        <v>0</v>
      </c>
      <c r="D127" s="2182"/>
      <c r="E127" s="2182"/>
      <c r="F127" s="2183"/>
      <c r="G127" s="2177"/>
      <c r="H127" s="2177"/>
      <c r="I127" s="2177"/>
      <c r="J127" s="2177" t="e">
        <f>('Summary Total Pigs'!#REF!/'Summary Total Pigs'!#REF!)*'Pigs Cost'!$N$174</f>
        <v>#REF!</v>
      </c>
      <c r="K127" s="2177"/>
      <c r="L127" s="2183"/>
      <c r="M127" s="2179" t="e">
        <f t="shared" si="30"/>
        <v>#REF!</v>
      </c>
      <c r="N127" s="2179" t="e">
        <f>M127/'Summary Total Pigs'!P190</f>
        <v>#REF!</v>
      </c>
      <c r="O127" s="2179" t="e">
        <f>N127*'Summary Total Pigs'!#REF!</f>
        <v>#REF!</v>
      </c>
      <c r="P127" s="2179" t="e">
        <f>N127*'Summary Total Pigs'!#REF!</f>
        <v>#REF!</v>
      </c>
      <c r="Q127" s="2179"/>
      <c r="R127" s="2179" t="e">
        <f>'Summary Total Pigs'!#REF!*M127</f>
        <v>#REF!</v>
      </c>
      <c r="S127" s="2179" t="e">
        <f>'Summary Total Pigs'!#REF!*N127</f>
        <v>#REF!</v>
      </c>
      <c r="T127" s="2180" t="e">
        <f t="shared" si="31"/>
        <v>#REF!</v>
      </c>
      <c r="U127" s="205"/>
      <c r="V127" s="24">
        <f t="shared" si="19"/>
        <v>0</v>
      </c>
    </row>
    <row r="128" spans="1:22" ht="13.9" thickBot="1">
      <c r="A128" s="2174" t="s">
        <v>113</v>
      </c>
      <c r="B128" s="2185"/>
      <c r="C128" s="2177">
        <f>[16]USD!$T128</f>
        <v>0</v>
      </c>
      <c r="D128" s="2186"/>
      <c r="E128" s="2186"/>
      <c r="F128" s="2187"/>
      <c r="G128" s="2187"/>
      <c r="H128" s="2187"/>
      <c r="I128" s="2187"/>
      <c r="J128" s="2177" t="e">
        <f>('Summary Total Pigs'!#REF!/'Summary Total Pigs'!#REF!)*'Pigs Cost'!$N$174</f>
        <v>#REF!</v>
      </c>
      <c r="K128" s="2187"/>
      <c r="L128" s="2187"/>
      <c r="M128" s="2179" t="e">
        <f t="shared" si="30"/>
        <v>#REF!</v>
      </c>
      <c r="N128" s="2179" t="e">
        <f>M128/'Summary Total Pigs'!P191</f>
        <v>#REF!</v>
      </c>
      <c r="O128" s="2179" t="e">
        <f>N128*'Summary Total Pigs'!#REF!</f>
        <v>#REF!</v>
      </c>
      <c r="P128" s="2179" t="e">
        <f>N128*'Summary Total Pigs'!#REF!</f>
        <v>#REF!</v>
      </c>
      <c r="Q128" s="2179"/>
      <c r="R128" s="2179" t="e">
        <f>'Summary Total Pigs'!#REF!*M128</f>
        <v>#REF!</v>
      </c>
      <c r="S128" s="2179" t="e">
        <f>'Summary Total Pigs'!#REF!*N128</f>
        <v>#REF!</v>
      </c>
      <c r="T128" s="2180" t="e">
        <f t="shared" si="31"/>
        <v>#REF!</v>
      </c>
      <c r="U128" s="205"/>
      <c r="V128" s="24">
        <f t="shared" si="19"/>
        <v>0</v>
      </c>
    </row>
    <row r="129" spans="1:22" ht="13.9" thickBot="1">
      <c r="A129" s="3" t="s">
        <v>115</v>
      </c>
      <c r="B129" s="199"/>
      <c r="C129" s="200">
        <f t="shared" ref="C129:T129" si="32">SUM(C123:C128)</f>
        <v>20295.448850123536</v>
      </c>
      <c r="D129" s="200">
        <f t="shared" si="32"/>
        <v>0</v>
      </c>
      <c r="E129" s="200" t="e">
        <f t="shared" si="32"/>
        <v>#REF!</v>
      </c>
      <c r="F129" s="200">
        <f t="shared" si="32"/>
        <v>0</v>
      </c>
      <c r="G129" s="201">
        <f t="shared" si="32"/>
        <v>0</v>
      </c>
      <c r="H129" s="201">
        <f t="shared" si="32"/>
        <v>0</v>
      </c>
      <c r="I129" s="201">
        <f t="shared" si="32"/>
        <v>0</v>
      </c>
      <c r="J129" s="201" t="e">
        <f t="shared" si="32"/>
        <v>#REF!</v>
      </c>
      <c r="K129" s="201">
        <f t="shared" si="32"/>
        <v>0</v>
      </c>
      <c r="L129" s="201">
        <f t="shared" si="32"/>
        <v>0</v>
      </c>
      <c r="M129" s="201" t="e">
        <f t="shared" si="32"/>
        <v>#REF!</v>
      </c>
      <c r="N129" s="201" t="e">
        <f t="shared" si="32"/>
        <v>#REF!</v>
      </c>
      <c r="O129" s="201" t="e">
        <f t="shared" si="32"/>
        <v>#REF!</v>
      </c>
      <c r="P129" s="201" t="e">
        <f t="shared" si="32"/>
        <v>#REF!</v>
      </c>
      <c r="Q129" s="201"/>
      <c r="R129" s="201" t="e">
        <f t="shared" si="32"/>
        <v>#REF!</v>
      </c>
      <c r="S129" s="201" t="e">
        <f t="shared" si="32"/>
        <v>#REF!</v>
      </c>
      <c r="T129" s="201" t="e">
        <f t="shared" si="32"/>
        <v>#REF!</v>
      </c>
      <c r="U129" s="205"/>
      <c r="V129" s="24">
        <f t="shared" si="19"/>
        <v>2.0295448850123534E-6</v>
      </c>
    </row>
    <row r="130" spans="1:22">
      <c r="A130" s="300"/>
      <c r="B130" s="205"/>
      <c r="C130" s="205"/>
      <c r="D130" s="205"/>
      <c r="E130" s="205"/>
      <c r="F130" s="205"/>
      <c r="G130" s="205"/>
      <c r="H130" s="205"/>
      <c r="I130" s="205"/>
      <c r="J130" s="205" t="e">
        <f>J129-N174</f>
        <v>#REF!</v>
      </c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4">
        <f t="shared" si="19"/>
        <v>0</v>
      </c>
    </row>
    <row r="131" spans="1:22">
      <c r="A131" s="300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4">
        <f t="shared" si="19"/>
        <v>0</v>
      </c>
    </row>
    <row r="132" spans="1:22">
      <c r="A132" s="1" t="s">
        <v>86</v>
      </c>
      <c r="B132" s="187" t="s">
        <v>145</v>
      </c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>
        <f>+R130+R131</f>
        <v>0</v>
      </c>
      <c r="S132" s="205"/>
      <c r="T132" s="205"/>
      <c r="U132" s="205"/>
      <c r="V132" s="24">
        <f t="shared" si="19"/>
        <v>0</v>
      </c>
    </row>
    <row r="133" spans="1:22" ht="13.9" thickBot="1">
      <c r="A133" s="300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4">
        <f t="shared" si="19"/>
        <v>0</v>
      </c>
    </row>
    <row r="134" spans="1:22" ht="27" thickBot="1">
      <c r="A134" s="12" t="s">
        <v>87</v>
      </c>
      <c r="B134" s="189" t="s">
        <v>88</v>
      </c>
      <c r="C134" s="190" t="str">
        <f>C122</f>
        <v>OPENING</v>
      </c>
      <c r="D134" s="191" t="s">
        <v>90</v>
      </c>
      <c r="E134" s="192" t="s">
        <v>91</v>
      </c>
      <c r="F134" s="190" t="s">
        <v>92</v>
      </c>
      <c r="G134" s="190" t="s">
        <v>93</v>
      </c>
      <c r="H134" s="190" t="s">
        <v>94</v>
      </c>
      <c r="I134" s="190" t="s">
        <v>95</v>
      </c>
      <c r="J134" s="190" t="s">
        <v>96</v>
      </c>
      <c r="K134" s="190" t="s">
        <v>97</v>
      </c>
      <c r="L134" s="190" t="s">
        <v>98</v>
      </c>
      <c r="M134" s="192" t="s">
        <v>99</v>
      </c>
      <c r="N134" s="192" t="s">
        <v>100</v>
      </c>
      <c r="O134" s="192" t="s">
        <v>101</v>
      </c>
      <c r="P134" s="192" t="s">
        <v>102</v>
      </c>
      <c r="Q134" s="192" t="str">
        <f>Q122</f>
        <v>Deaths</v>
      </c>
      <c r="R134" s="192" t="str">
        <f>R122</f>
        <v>CULLS</v>
      </c>
      <c r="S134" s="192" t="str">
        <f>S122</f>
        <v>STOCK ADJMNT</v>
      </c>
      <c r="T134" s="195" t="s">
        <v>104</v>
      </c>
      <c r="U134" s="196"/>
      <c r="V134" s="24" t="e">
        <f t="shared" si="19"/>
        <v>#VALUE!</v>
      </c>
    </row>
    <row r="135" spans="1:22">
      <c r="A135" s="2171" t="s">
        <v>105</v>
      </c>
      <c r="B135" s="2184" t="s">
        <v>106</v>
      </c>
      <c r="C135" s="2177">
        <f>[16]USD!$T135</f>
        <v>0</v>
      </c>
      <c r="D135" s="2178"/>
      <c r="E135" s="2178"/>
      <c r="F135" s="2177"/>
      <c r="G135" s="2177"/>
      <c r="H135" s="2177"/>
      <c r="I135" s="2177"/>
      <c r="J135" s="2177" t="e">
        <f>('Summary Total Pigs'!#REF!/'Summary Total Pigs'!#REF!)*'Pigs Cost'!$S$174</f>
        <v>#REF!</v>
      </c>
      <c r="K135" s="2177"/>
      <c r="L135" s="2177"/>
      <c r="M135" s="2179" t="e">
        <f t="shared" ref="M135:M140" si="33">SUM(C135:L135)</f>
        <v>#REF!</v>
      </c>
      <c r="N135" s="2179"/>
      <c r="O135" s="2179" t="e">
        <f>'Summary Total Pigs'!#REF!*N135</f>
        <v>#REF!</v>
      </c>
      <c r="P135" s="2179" t="e">
        <f>'Summary Total Pigs'!#REF!*N135</f>
        <v>#REF!</v>
      </c>
      <c r="Q135" s="2179" t="e">
        <f>N135*'Summary Total Pigs'!#REF!</f>
        <v>#REF!</v>
      </c>
      <c r="R135" s="2179" t="e">
        <f>'Summary Total Pigs'!#REF!*N135</f>
        <v>#REF!</v>
      </c>
      <c r="S135" s="2179" t="e">
        <f>'Summary Total Pigs'!#REF!*N135</f>
        <v>#REF!</v>
      </c>
      <c r="T135" s="2180" t="e">
        <f t="shared" ref="T135:T140" si="34">M135+O135+P135+R135+S135+Q135</f>
        <v>#REF!</v>
      </c>
      <c r="U135" s="205"/>
      <c r="V135" s="24">
        <f t="shared" si="19"/>
        <v>0</v>
      </c>
    </row>
    <row r="136" spans="1:22">
      <c r="A136" s="2172" t="s">
        <v>107</v>
      </c>
      <c r="B136" s="2181" t="s">
        <v>108</v>
      </c>
      <c r="C136" s="2177">
        <f>[16]USD!$T136</f>
        <v>0</v>
      </c>
      <c r="D136" s="2182">
        <v>0</v>
      </c>
      <c r="E136" s="2182" t="e">
        <f>'Summary Total Pigs'!D202*'Pigs Cost'!N78</f>
        <v>#VALUE!</v>
      </c>
      <c r="F136" s="2183">
        <v>0</v>
      </c>
      <c r="G136" s="2177">
        <v>0</v>
      </c>
      <c r="H136" s="2177">
        <v>0</v>
      </c>
      <c r="I136" s="2177">
        <v>0</v>
      </c>
      <c r="J136" s="2177" t="e">
        <f>('Summary Total Pigs'!#REF!/'Summary Total Pigs'!#REF!)*'Pigs Cost'!$S$174</f>
        <v>#REF!</v>
      </c>
      <c r="K136" s="2177">
        <v>0</v>
      </c>
      <c r="L136" s="2183">
        <v>0</v>
      </c>
      <c r="M136" s="2179" t="e">
        <f t="shared" si="33"/>
        <v>#VALUE!</v>
      </c>
      <c r="N136" s="2179">
        <v>0</v>
      </c>
      <c r="O136" s="2179" t="e">
        <f>'Summary Total Pigs'!#REF!*N136</f>
        <v>#REF!</v>
      </c>
      <c r="P136" s="2179" t="e">
        <f>'Summary Total Pigs'!#REF!*N136</f>
        <v>#REF!</v>
      </c>
      <c r="Q136" s="2179" t="e">
        <f>N136*'Summary Total Pigs'!#REF!</f>
        <v>#REF!</v>
      </c>
      <c r="R136" s="2179" t="e">
        <f>'Summary Total Pigs'!#REF!*N136</f>
        <v>#REF!</v>
      </c>
      <c r="S136" s="2179" t="e">
        <f>'Summary Total Pigs'!#REF!*N136</f>
        <v>#REF!</v>
      </c>
      <c r="T136" s="2180" t="e">
        <f t="shared" si="34"/>
        <v>#VALUE!</v>
      </c>
      <c r="U136" s="205"/>
      <c r="V136" s="24">
        <f t="shared" si="19"/>
        <v>0</v>
      </c>
    </row>
    <row r="137" spans="1:22">
      <c r="A137" s="2172" t="s">
        <v>109</v>
      </c>
      <c r="B137" s="2181" t="s">
        <v>110</v>
      </c>
      <c r="C137" s="2177">
        <f>[16]USD!$T137</f>
        <v>124804.55208741239</v>
      </c>
      <c r="D137" s="2182"/>
      <c r="E137" s="2193" t="e">
        <f>N77*'Summary Total Pigs'!#REF!</f>
        <v>#REF!</v>
      </c>
      <c r="F137" s="2183"/>
      <c r="G137" s="2177"/>
      <c r="H137" s="2177"/>
      <c r="I137" s="2177"/>
      <c r="J137" s="2177" t="e">
        <f>('Summary Total Pigs'!#REF!/'Summary Total Pigs'!#REF!)*$S$174</f>
        <v>#REF!</v>
      </c>
      <c r="K137" s="2177"/>
      <c r="L137" s="2183"/>
      <c r="M137" s="2179" t="e">
        <f t="shared" si="33"/>
        <v>#REF!</v>
      </c>
      <c r="N137" s="2179" t="e">
        <f>M137/'Summary Total Pigs'!#REF!</f>
        <v>#REF!</v>
      </c>
      <c r="O137" s="2195" t="e">
        <f>'Summary Total Pigs'!#REF!*N137</f>
        <v>#REF!</v>
      </c>
      <c r="P137" s="2179" t="e">
        <f>'Summary Total Pigs'!#REF!*N137</f>
        <v>#REF!</v>
      </c>
      <c r="Q137" s="2179" t="e">
        <f>N137*'Summary Total Pigs'!#REF!</f>
        <v>#REF!</v>
      </c>
      <c r="R137" s="2179" t="e">
        <f>'Summary Total Pigs'!#REF!*N137</f>
        <v>#REF!</v>
      </c>
      <c r="S137" s="2179" t="e">
        <f>'Summary Total Pigs'!#REF!*N137</f>
        <v>#REF!</v>
      </c>
      <c r="T137" s="2180" t="e">
        <f t="shared" si="34"/>
        <v>#REF!</v>
      </c>
      <c r="U137" s="205"/>
      <c r="V137" s="24">
        <f t="shared" si="19"/>
        <v>1.248045520874124E-5</v>
      </c>
    </row>
    <row r="138" spans="1:22">
      <c r="A138" s="2172" t="s">
        <v>111</v>
      </c>
      <c r="B138" s="2184" t="s">
        <v>106</v>
      </c>
      <c r="C138" s="2177">
        <f>[16]USD!$T138</f>
        <v>0</v>
      </c>
      <c r="D138" s="2182"/>
      <c r="E138" s="2182"/>
      <c r="F138" s="2183"/>
      <c r="G138" s="2177"/>
      <c r="H138" s="2177"/>
      <c r="I138" s="2177"/>
      <c r="J138" s="2177" t="e">
        <f>('Summary Total Pigs'!#REF!/'Summary Total Pigs'!#REF!)*'Pigs Cost'!$S$174</f>
        <v>#REF!</v>
      </c>
      <c r="K138" s="2177"/>
      <c r="L138" s="2183"/>
      <c r="M138" s="2179" t="e">
        <f t="shared" si="33"/>
        <v>#REF!</v>
      </c>
      <c r="N138" s="2179">
        <v>0</v>
      </c>
      <c r="O138" s="2179" t="e">
        <f>'Summary Total Pigs'!#REF!*N138</f>
        <v>#REF!</v>
      </c>
      <c r="P138" s="2179" t="e">
        <f>'Summary Total Pigs'!#REF!*N138</f>
        <v>#REF!</v>
      </c>
      <c r="Q138" s="2179" t="e">
        <f>N138*'Summary Total Pigs'!#REF!</f>
        <v>#REF!</v>
      </c>
      <c r="R138" s="2179" t="e">
        <f>'Summary Total Pigs'!#REF!*N138</f>
        <v>#REF!</v>
      </c>
      <c r="S138" s="2179" t="e">
        <f>'Summary Total Pigs'!#REF!*N138</f>
        <v>#REF!</v>
      </c>
      <c r="T138" s="2180" t="e">
        <f t="shared" si="34"/>
        <v>#REF!</v>
      </c>
      <c r="U138" s="205"/>
      <c r="V138" s="24">
        <f t="shared" si="19"/>
        <v>0</v>
      </c>
    </row>
    <row r="139" spans="1:22">
      <c r="A139" s="2172" t="s">
        <v>112</v>
      </c>
      <c r="B139" s="2184" t="s">
        <v>106</v>
      </c>
      <c r="C139" s="2177">
        <f>[16]USD!$T139</f>
        <v>0</v>
      </c>
      <c r="D139" s="2182"/>
      <c r="E139" s="2182"/>
      <c r="F139" s="2183"/>
      <c r="G139" s="2177"/>
      <c r="H139" s="2177"/>
      <c r="I139" s="2177"/>
      <c r="J139" s="2177" t="e">
        <f>('Summary Total Pigs'!#REF!/'Summary Total Pigs'!#REF!)*'Pigs Cost'!$S$174</f>
        <v>#REF!</v>
      </c>
      <c r="K139" s="2177"/>
      <c r="L139" s="2183"/>
      <c r="M139" s="2179" t="e">
        <f t="shared" si="33"/>
        <v>#REF!</v>
      </c>
      <c r="N139" s="2179">
        <v>0</v>
      </c>
      <c r="O139" s="2179" t="e">
        <f>'Summary Total Pigs'!#REF!*N139</f>
        <v>#REF!</v>
      </c>
      <c r="P139" s="2179" t="e">
        <f>'Summary Total Pigs'!#REF!*N139</f>
        <v>#REF!</v>
      </c>
      <c r="Q139" s="2179" t="e">
        <f>N139*'Summary Total Pigs'!#REF!</f>
        <v>#REF!</v>
      </c>
      <c r="R139" s="2179" t="e">
        <f>'Summary Total Pigs'!#REF!*N139</f>
        <v>#REF!</v>
      </c>
      <c r="S139" s="2179" t="e">
        <f>'Summary Total Pigs'!#REF!*N139</f>
        <v>#REF!</v>
      </c>
      <c r="T139" s="2180" t="e">
        <f t="shared" si="34"/>
        <v>#REF!</v>
      </c>
      <c r="U139" s="205"/>
      <c r="V139" s="24">
        <f t="shared" si="19"/>
        <v>0</v>
      </c>
    </row>
    <row r="140" spans="1:22" ht="13.9" thickBot="1">
      <c r="A140" s="2174" t="s">
        <v>113</v>
      </c>
      <c r="B140" s="2185"/>
      <c r="C140" s="2177">
        <f>[16]USD!$T140</f>
        <v>0</v>
      </c>
      <c r="D140" s="2186"/>
      <c r="E140" s="2186"/>
      <c r="F140" s="2187"/>
      <c r="G140" s="2187"/>
      <c r="H140" s="2187"/>
      <c r="I140" s="2187"/>
      <c r="J140" s="2177" t="e">
        <f>('Summary Total Pigs'!#REF!/'Summary Total Pigs'!#REF!)*'Pigs Cost'!$S$174</f>
        <v>#REF!</v>
      </c>
      <c r="K140" s="2187"/>
      <c r="L140" s="2187"/>
      <c r="M140" s="2179" t="e">
        <f t="shared" si="33"/>
        <v>#REF!</v>
      </c>
      <c r="N140" s="2179">
        <v>0</v>
      </c>
      <c r="O140" s="2179" t="e">
        <f>'Summary Total Pigs'!#REF!*N140</f>
        <v>#REF!</v>
      </c>
      <c r="P140" s="2179" t="e">
        <f>'Summary Total Pigs'!#REF!*N140</f>
        <v>#REF!</v>
      </c>
      <c r="Q140" s="2179" t="e">
        <f>N140*'Summary Total Pigs'!#REF!</f>
        <v>#REF!</v>
      </c>
      <c r="R140" s="2179" t="e">
        <f>'Summary Total Pigs'!#REF!*N140</f>
        <v>#REF!</v>
      </c>
      <c r="S140" s="2179" t="e">
        <f>'Summary Total Pigs'!#REF!*N140</f>
        <v>#REF!</v>
      </c>
      <c r="T140" s="2180" t="e">
        <f t="shared" si="34"/>
        <v>#REF!</v>
      </c>
      <c r="U140" s="205"/>
      <c r="V140" s="24">
        <f t="shared" si="19"/>
        <v>0</v>
      </c>
    </row>
    <row r="141" spans="1:22" ht="13.9" thickBot="1">
      <c r="A141" s="3" t="s">
        <v>115</v>
      </c>
      <c r="B141" s="199"/>
      <c r="C141" s="200">
        <f t="shared" ref="C141:T141" si="35">SUM(C135:C140)</f>
        <v>124804.55208741239</v>
      </c>
      <c r="D141" s="200">
        <f t="shared" si="35"/>
        <v>0</v>
      </c>
      <c r="E141" s="200" t="e">
        <f t="shared" si="35"/>
        <v>#VALUE!</v>
      </c>
      <c r="F141" s="200">
        <f t="shared" si="35"/>
        <v>0</v>
      </c>
      <c r="G141" s="201">
        <f t="shared" si="35"/>
        <v>0</v>
      </c>
      <c r="H141" s="201">
        <f t="shared" si="35"/>
        <v>0</v>
      </c>
      <c r="I141" s="201">
        <f t="shared" si="35"/>
        <v>0</v>
      </c>
      <c r="J141" s="201" t="e">
        <f t="shared" si="35"/>
        <v>#REF!</v>
      </c>
      <c r="K141" s="201">
        <f t="shared" si="35"/>
        <v>0</v>
      </c>
      <c r="L141" s="201">
        <f t="shared" si="35"/>
        <v>0</v>
      </c>
      <c r="M141" s="201" t="e">
        <f t="shared" si="35"/>
        <v>#REF!</v>
      </c>
      <c r="N141" s="201" t="e">
        <f t="shared" si="35"/>
        <v>#REF!</v>
      </c>
      <c r="O141" s="201" t="e">
        <f t="shared" si="35"/>
        <v>#REF!</v>
      </c>
      <c r="P141" s="201" t="e">
        <f t="shared" si="35"/>
        <v>#REF!</v>
      </c>
      <c r="Q141" s="201" t="e">
        <f>SUM(Q135:Q140)</f>
        <v>#REF!</v>
      </c>
      <c r="R141" s="201" t="e">
        <f t="shared" si="35"/>
        <v>#REF!</v>
      </c>
      <c r="S141" s="201" t="e">
        <f t="shared" si="35"/>
        <v>#REF!</v>
      </c>
      <c r="T141" s="201" t="e">
        <f t="shared" si="35"/>
        <v>#REF!</v>
      </c>
      <c r="U141" s="205"/>
      <c r="V141" s="24">
        <f t="shared" si="19"/>
        <v>1.248045520874124E-5</v>
      </c>
    </row>
    <row r="142" spans="1:22">
      <c r="A142" s="300"/>
      <c r="B142" s="205"/>
      <c r="C142" s="205"/>
      <c r="D142" s="205"/>
      <c r="E142" s="205"/>
      <c r="F142" s="205"/>
      <c r="G142" s="205"/>
      <c r="H142" s="205"/>
      <c r="I142" s="205"/>
      <c r="J142" s="205" t="e">
        <f>J141-S174</f>
        <v>#REF!</v>
      </c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4">
        <f t="shared" ref="V142:V156" si="36">C142/$B$178</f>
        <v>0</v>
      </c>
    </row>
    <row r="143" spans="1:22">
      <c r="A143" s="300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4">
        <f t="shared" si="36"/>
        <v>0</v>
      </c>
    </row>
    <row r="144" spans="1:22">
      <c r="A144" s="1" t="s">
        <v>86</v>
      </c>
      <c r="B144" s="187" t="s">
        <v>146</v>
      </c>
      <c r="C144" s="205"/>
      <c r="D144" s="205"/>
      <c r="E144" s="205"/>
      <c r="F144" s="205"/>
      <c r="G144" s="205"/>
      <c r="H144" s="205"/>
      <c r="I144" s="205"/>
      <c r="J144" s="205"/>
      <c r="K144" s="205"/>
      <c r="L144" s="205" t="e">
        <f>+(G142+H142+I142+K142+L142+J142)-K263</f>
        <v>#REF!</v>
      </c>
      <c r="M144" s="205"/>
      <c r="N144" s="205"/>
      <c r="O144" s="205"/>
      <c r="P144" s="205"/>
      <c r="Q144" s="205"/>
      <c r="R144" s="205" t="e">
        <f>+R141+R143</f>
        <v>#REF!</v>
      </c>
      <c r="S144" s="205"/>
      <c r="T144" s="205"/>
      <c r="U144" s="205"/>
      <c r="V144" s="24">
        <f t="shared" si="36"/>
        <v>0</v>
      </c>
    </row>
    <row r="145" spans="1:25" ht="13.9" thickBot="1">
      <c r="A145" s="300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4">
        <f t="shared" si="36"/>
        <v>0</v>
      </c>
    </row>
    <row r="146" spans="1:25" ht="27" thickBot="1">
      <c r="A146" s="12" t="s">
        <v>87</v>
      </c>
      <c r="B146" s="189" t="s">
        <v>88</v>
      </c>
      <c r="C146" s="190" t="str">
        <f>C134</f>
        <v>OPENING</v>
      </c>
      <c r="D146" s="191" t="s">
        <v>90</v>
      </c>
      <c r="E146" s="192" t="s">
        <v>91</v>
      </c>
      <c r="F146" s="190" t="s">
        <v>92</v>
      </c>
      <c r="G146" s="190" t="s">
        <v>93</v>
      </c>
      <c r="H146" s="190" t="s">
        <v>94</v>
      </c>
      <c r="I146" s="190" t="s">
        <v>95</v>
      </c>
      <c r="J146" s="190" t="s">
        <v>96</v>
      </c>
      <c r="K146" s="190" t="s">
        <v>97</v>
      </c>
      <c r="L146" s="190" t="s">
        <v>98</v>
      </c>
      <c r="M146" s="192" t="s">
        <v>99</v>
      </c>
      <c r="N146" s="192" t="s">
        <v>100</v>
      </c>
      <c r="O146" s="192" t="s">
        <v>101</v>
      </c>
      <c r="P146" s="192" t="s">
        <v>102</v>
      </c>
      <c r="Q146" s="192" t="str">
        <f>Q134</f>
        <v>Deaths</v>
      </c>
      <c r="R146" s="192" t="str">
        <f>R134</f>
        <v>CULLS</v>
      </c>
      <c r="S146" s="192" t="str">
        <f>+S134</f>
        <v>STOCK ADJMNT</v>
      </c>
      <c r="T146" s="195" t="s">
        <v>104</v>
      </c>
      <c r="U146" s="205"/>
      <c r="V146" s="24" t="e">
        <f t="shared" si="36"/>
        <v>#VALUE!</v>
      </c>
    </row>
    <row r="147" spans="1:25">
      <c r="A147" s="2171" t="s">
        <v>105</v>
      </c>
      <c r="B147" s="2184" t="s">
        <v>106</v>
      </c>
      <c r="C147" s="2177">
        <f>[16]USD!$T147</f>
        <v>0</v>
      </c>
      <c r="D147" s="2178"/>
      <c r="E147" s="2178"/>
      <c r="F147" s="2177"/>
      <c r="G147" s="2177"/>
      <c r="H147" s="2177"/>
      <c r="I147" s="2177"/>
      <c r="J147" s="2177" t="e">
        <f>('Summary Total Pigs'!#REF!/'Summary Total Pigs'!#REF!)*'Pigs Cost'!$S$174</f>
        <v>#REF!</v>
      </c>
      <c r="K147" s="2177"/>
      <c r="L147" s="2177"/>
      <c r="M147" s="2179" t="e">
        <f t="shared" ref="M147:M152" si="37">SUM(C147:L147)</f>
        <v>#REF!</v>
      </c>
      <c r="N147" s="2179"/>
      <c r="O147" s="2179">
        <f>N147*'Summary Total Pigs'!Q215</f>
        <v>0</v>
      </c>
      <c r="P147" s="2179">
        <f>N147*'Summary Total Pigs'!AB215</f>
        <v>0</v>
      </c>
      <c r="Q147" s="2179" t="e">
        <f>N147*'Summary Total Pigs'!#REF!</f>
        <v>#REF!</v>
      </c>
      <c r="R147" s="2179">
        <f>N147*'Summary Total Pigs'!AD215</f>
        <v>0</v>
      </c>
      <c r="S147" s="2179">
        <f>'Summary Total Pigs'!AG215*N147</f>
        <v>0</v>
      </c>
      <c r="T147" s="2180" t="e">
        <f t="shared" ref="T147:T152" si="38">M147+O147+P147+R147+S147+Q147</f>
        <v>#REF!</v>
      </c>
      <c r="U147" s="205"/>
      <c r="V147" s="24">
        <f t="shared" si="36"/>
        <v>0</v>
      </c>
    </row>
    <row r="148" spans="1:25">
      <c r="A148" s="2172" t="s">
        <v>107</v>
      </c>
      <c r="B148" s="2181" t="s">
        <v>108</v>
      </c>
      <c r="C148" s="2177">
        <f>[16]USD!$T148</f>
        <v>0</v>
      </c>
      <c r="D148" s="2182">
        <v>0</v>
      </c>
      <c r="E148" s="2182">
        <f>'Summary Total Pigs'!D218*'Pigs Cost'!N90</f>
        <v>0</v>
      </c>
      <c r="F148" s="2183">
        <v>0</v>
      </c>
      <c r="G148" s="2177">
        <v>0</v>
      </c>
      <c r="H148" s="2177">
        <v>0</v>
      </c>
      <c r="I148" s="2177">
        <v>0</v>
      </c>
      <c r="J148" s="2177" t="e">
        <f>('Summary Total Pigs'!#REF!/'Summary Total Pigs'!#REF!)*'Pigs Cost'!$S$174</f>
        <v>#REF!</v>
      </c>
      <c r="K148" s="2177">
        <v>0</v>
      </c>
      <c r="L148" s="2183">
        <v>0</v>
      </c>
      <c r="M148" s="2179" t="e">
        <f t="shared" si="37"/>
        <v>#REF!</v>
      </c>
      <c r="N148" s="2179">
        <v>0</v>
      </c>
      <c r="O148" s="2179">
        <f>N148*'Summary Total Pigs'!Q218</f>
        <v>0</v>
      </c>
      <c r="P148" s="2179">
        <f>N148*'Summary Total Pigs'!AB218</f>
        <v>0</v>
      </c>
      <c r="Q148" s="2179" t="e">
        <f>N148*'Summary Total Pigs'!#REF!</f>
        <v>#REF!</v>
      </c>
      <c r="R148" s="2179">
        <f>N148*'Summary Total Pigs'!AD218</f>
        <v>0</v>
      </c>
      <c r="S148" s="2179">
        <f>'Summary Total Pigs'!AG218*N148</f>
        <v>0</v>
      </c>
      <c r="T148" s="2180" t="e">
        <f t="shared" si="38"/>
        <v>#REF!</v>
      </c>
      <c r="U148" s="205"/>
      <c r="V148" s="24">
        <f t="shared" si="36"/>
        <v>0</v>
      </c>
    </row>
    <row r="149" spans="1:25">
      <c r="A149" s="2172" t="s">
        <v>109</v>
      </c>
      <c r="B149" s="2181" t="s">
        <v>110</v>
      </c>
      <c r="C149" s="2177">
        <f>[16]USD!$T149</f>
        <v>7565.5788229224345</v>
      </c>
      <c r="D149" s="2182"/>
      <c r="E149" s="2196" t="e">
        <f>'Summary Total Pigs'!#REF!*N137</f>
        <v>#REF!</v>
      </c>
      <c r="F149" s="2183"/>
      <c r="G149" s="2177"/>
      <c r="H149" s="2177"/>
      <c r="I149" s="2177"/>
      <c r="J149" s="2177" t="e">
        <f>('Summary Total Pigs'!#REF!/'Summary Total Pigs'!#REF!)*$T$174</f>
        <v>#REF!</v>
      </c>
      <c r="K149" s="2177"/>
      <c r="L149" s="2183"/>
      <c r="M149" s="2179" t="e">
        <f t="shared" si="37"/>
        <v>#REF!</v>
      </c>
      <c r="N149" s="2179">
        <v>0</v>
      </c>
      <c r="O149" s="2179">
        <f>N149*'Summary Total Pigs'!Q219</f>
        <v>0</v>
      </c>
      <c r="P149" s="2179">
        <f>N149*'Summary Total Pigs'!AB219</f>
        <v>0</v>
      </c>
      <c r="Q149" s="2179" t="e">
        <f>N149*'Summary Total Pigs'!#REF!</f>
        <v>#REF!</v>
      </c>
      <c r="R149" s="2179">
        <f>N149*'Summary Total Pigs'!AD219</f>
        <v>0</v>
      </c>
      <c r="S149" s="2179">
        <f>'Summary Total Pigs'!AG219*N149</f>
        <v>0</v>
      </c>
      <c r="T149" s="2180" t="e">
        <f t="shared" si="38"/>
        <v>#REF!</v>
      </c>
      <c r="U149" s="205"/>
      <c r="V149" s="24">
        <f t="shared" si="36"/>
        <v>7.565578822922434E-7</v>
      </c>
    </row>
    <row r="150" spans="1:25">
      <c r="A150" s="2172" t="s">
        <v>111</v>
      </c>
      <c r="B150" s="2184" t="s">
        <v>106</v>
      </c>
      <c r="C150" s="2177">
        <f>[16]USD!$T150</f>
        <v>0</v>
      </c>
      <c r="D150" s="2182"/>
      <c r="E150" s="2182"/>
      <c r="F150" s="2183"/>
      <c r="G150" s="2177"/>
      <c r="H150" s="2177"/>
      <c r="I150" s="2177"/>
      <c r="J150" s="2177" t="e">
        <f>('Summary Total Pigs'!#REF!/'Summary Total Pigs'!#REF!)*'Pigs Cost'!$S$174</f>
        <v>#REF!</v>
      </c>
      <c r="K150" s="2177"/>
      <c r="L150" s="2183"/>
      <c r="M150" s="2179" t="e">
        <f t="shared" si="37"/>
        <v>#REF!</v>
      </c>
      <c r="N150" s="2179">
        <v>0</v>
      </c>
      <c r="O150" s="2179"/>
      <c r="P150" s="2179"/>
      <c r="Q150" s="2179" t="e">
        <f>N150*'Summary Total Pigs'!#REF!</f>
        <v>#REF!</v>
      </c>
      <c r="R150" s="2179">
        <f>N150*'Summary Total Pigs'!AD220</f>
        <v>0</v>
      </c>
      <c r="S150" s="2179">
        <f>'Summary Total Pigs'!AG220*N150</f>
        <v>0</v>
      </c>
      <c r="T150" s="2180" t="e">
        <f t="shared" si="38"/>
        <v>#REF!</v>
      </c>
      <c r="U150" s="205"/>
      <c r="V150" s="24">
        <f t="shared" si="36"/>
        <v>0</v>
      </c>
    </row>
    <row r="151" spans="1:25">
      <c r="A151" s="2172" t="s">
        <v>112</v>
      </c>
      <c r="B151" s="2184" t="s">
        <v>106</v>
      </c>
      <c r="C151" s="2177">
        <f>[16]USD!$T151</f>
        <v>0</v>
      </c>
      <c r="D151" s="2182"/>
      <c r="E151" s="2182"/>
      <c r="F151" s="2183"/>
      <c r="G151" s="2177"/>
      <c r="H151" s="2177"/>
      <c r="I151" s="2177"/>
      <c r="J151" s="2177"/>
      <c r="K151" s="2177"/>
      <c r="L151" s="2183"/>
      <c r="M151" s="2179">
        <f t="shared" si="37"/>
        <v>0</v>
      </c>
      <c r="N151" s="2179">
        <v>0</v>
      </c>
      <c r="O151" s="2179"/>
      <c r="P151" s="2179">
        <f>'Summary Total Pigs'!AB221*'Pigs Cost'!N151</f>
        <v>0</v>
      </c>
      <c r="Q151" s="2179" t="e">
        <f>N151*'Summary Total Pigs'!#REF!</f>
        <v>#REF!</v>
      </c>
      <c r="R151" s="2179">
        <f>N151*'Summary Total Pigs'!AD221</f>
        <v>0</v>
      </c>
      <c r="S151" s="2179">
        <f>'Summary Total Pigs'!AG221*N151</f>
        <v>0</v>
      </c>
      <c r="T151" s="2180" t="e">
        <f t="shared" si="38"/>
        <v>#REF!</v>
      </c>
      <c r="U151" s="205"/>
      <c r="V151" s="24">
        <f t="shared" si="36"/>
        <v>0</v>
      </c>
    </row>
    <row r="152" spans="1:25" ht="13.9" thickBot="1">
      <c r="A152" s="2174" t="s">
        <v>113</v>
      </c>
      <c r="B152" s="2185"/>
      <c r="C152" s="2177">
        <f>[16]USD!$T152</f>
        <v>0</v>
      </c>
      <c r="D152" s="2186"/>
      <c r="E152" s="2186"/>
      <c r="F152" s="2187"/>
      <c r="G152" s="2187"/>
      <c r="H152" s="2187"/>
      <c r="I152" s="2187"/>
      <c r="J152" s="2177"/>
      <c r="K152" s="2187"/>
      <c r="L152" s="2187"/>
      <c r="M152" s="2179">
        <f t="shared" si="37"/>
        <v>0</v>
      </c>
      <c r="N152" s="2179">
        <v>0</v>
      </c>
      <c r="O152" s="2189"/>
      <c r="P152" s="2189"/>
      <c r="Q152" s="2179" t="e">
        <f>N152*'Summary Total Pigs'!#REF!</f>
        <v>#REF!</v>
      </c>
      <c r="R152" s="2179">
        <f>N152*'Summary Total Pigs'!AD222</f>
        <v>0</v>
      </c>
      <c r="S152" s="2179">
        <f>'Summary Total Pigs'!AG222*N152</f>
        <v>0</v>
      </c>
      <c r="T152" s="2180" t="e">
        <f t="shared" si="38"/>
        <v>#REF!</v>
      </c>
      <c r="U152" s="205"/>
      <c r="V152" s="24">
        <f t="shared" si="36"/>
        <v>0</v>
      </c>
    </row>
    <row r="153" spans="1:25" ht="13.9" thickBot="1">
      <c r="A153" s="3" t="s">
        <v>115</v>
      </c>
      <c r="B153" s="199"/>
      <c r="C153" s="200">
        <f t="shared" ref="C153:T153" si="39">SUM(C147:C152)</f>
        <v>7565.5788229224345</v>
      </c>
      <c r="D153" s="200">
        <f t="shared" si="39"/>
        <v>0</v>
      </c>
      <c r="E153" s="200" t="e">
        <f t="shared" si="39"/>
        <v>#REF!</v>
      </c>
      <c r="F153" s="200">
        <f t="shared" si="39"/>
        <v>0</v>
      </c>
      <c r="G153" s="201">
        <f t="shared" si="39"/>
        <v>0</v>
      </c>
      <c r="H153" s="201">
        <f t="shared" si="39"/>
        <v>0</v>
      </c>
      <c r="I153" s="201">
        <f t="shared" si="39"/>
        <v>0</v>
      </c>
      <c r="J153" s="201" t="e">
        <f t="shared" si="39"/>
        <v>#REF!</v>
      </c>
      <c r="K153" s="201">
        <f t="shared" si="39"/>
        <v>0</v>
      </c>
      <c r="L153" s="201">
        <f t="shared" si="39"/>
        <v>0</v>
      </c>
      <c r="M153" s="201" t="e">
        <f t="shared" si="39"/>
        <v>#REF!</v>
      </c>
      <c r="N153" s="201">
        <f t="shared" si="39"/>
        <v>0</v>
      </c>
      <c r="O153" s="201">
        <f t="shared" si="39"/>
        <v>0</v>
      </c>
      <c r="P153" s="201">
        <f t="shared" si="39"/>
        <v>0</v>
      </c>
      <c r="Q153" s="201" t="e">
        <f t="shared" si="39"/>
        <v>#REF!</v>
      </c>
      <c r="R153" s="201">
        <f t="shared" si="39"/>
        <v>0</v>
      </c>
      <c r="S153" s="201">
        <f t="shared" si="39"/>
        <v>0</v>
      </c>
      <c r="T153" s="201" t="e">
        <f t="shared" si="39"/>
        <v>#REF!</v>
      </c>
      <c r="U153" s="205"/>
      <c r="V153" s="24">
        <f t="shared" si="36"/>
        <v>7.565578822922434E-7</v>
      </c>
    </row>
    <row r="154" spans="1:25">
      <c r="A154" s="300"/>
      <c r="B154" s="205"/>
      <c r="C154" s="205"/>
      <c r="D154" s="205"/>
      <c r="E154" s="205"/>
      <c r="F154" s="205"/>
      <c r="G154" s="205"/>
      <c r="H154" s="205"/>
      <c r="I154" s="205"/>
      <c r="J154" s="205" t="e">
        <f>J153-T174</f>
        <v>#REF!</v>
      </c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4">
        <f t="shared" si="36"/>
        <v>0</v>
      </c>
    </row>
    <row r="155" spans="1:25" s="2" customFormat="1">
      <c r="A155" s="1" t="s">
        <v>86</v>
      </c>
      <c r="B155" s="184" t="s">
        <v>166</v>
      </c>
      <c r="C155" s="187"/>
      <c r="D155" s="205"/>
      <c r="E155" s="2176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4">
        <f t="shared" si="36"/>
        <v>0</v>
      </c>
      <c r="W155"/>
      <c r="X155"/>
      <c r="Y155"/>
    </row>
    <row r="156" spans="1:25" s="2" customFormat="1" ht="13.9" thickBot="1">
      <c r="A156" s="300"/>
      <c r="B156" s="203" t="s">
        <v>115</v>
      </c>
      <c r="C156" s="2197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4">
        <f t="shared" si="36"/>
        <v>0</v>
      </c>
      <c r="W156"/>
      <c r="X156"/>
      <c r="Y156"/>
    </row>
    <row r="157" spans="1:25" s="14" customFormat="1" ht="27" thickBot="1">
      <c r="A157" s="2198" t="s">
        <v>121</v>
      </c>
      <c r="B157" s="2199" t="s">
        <v>106</v>
      </c>
      <c r="C157" s="191" t="str">
        <f>+C110</f>
        <v>OPENING</v>
      </c>
      <c r="D157" s="191" t="s">
        <v>90</v>
      </c>
      <c r="E157" s="192" t="s">
        <v>91</v>
      </c>
      <c r="F157" s="190" t="s">
        <v>92</v>
      </c>
      <c r="G157" s="190" t="s">
        <v>93</v>
      </c>
      <c r="H157" s="190" t="s">
        <v>94</v>
      </c>
      <c r="I157" s="190" t="s">
        <v>95</v>
      </c>
      <c r="J157" s="190" t="s">
        <v>96</v>
      </c>
      <c r="K157" s="190" t="s">
        <v>97</v>
      </c>
      <c r="L157" s="190" t="s">
        <v>98</v>
      </c>
      <c r="M157" s="192" t="s">
        <v>99</v>
      </c>
      <c r="N157" s="192" t="s">
        <v>100</v>
      </c>
      <c r="O157" s="192" t="s">
        <v>101</v>
      </c>
      <c r="P157" s="192" t="s">
        <v>102</v>
      </c>
      <c r="Q157" s="192" t="str">
        <f>Q146</f>
        <v>Deaths</v>
      </c>
      <c r="R157" s="192" t="str">
        <f>R74</f>
        <v>CULLS</v>
      </c>
      <c r="S157" s="192" t="str">
        <f>+S86</f>
        <v>STOCK ADJMNT</v>
      </c>
      <c r="T157" s="195" t="s">
        <v>104</v>
      </c>
      <c r="U157" s="196"/>
      <c r="V157" s="24"/>
      <c r="W157"/>
      <c r="X157"/>
      <c r="Y157"/>
    </row>
    <row r="158" spans="1:25" s="2" customFormat="1">
      <c r="A158" s="2171" t="s">
        <v>105</v>
      </c>
      <c r="B158" s="2200" t="s">
        <v>108</v>
      </c>
      <c r="C158" s="2177">
        <f t="shared" ref="C158:R163" si="40">C13+C25+C37+C63+C52+C75+C87+C99+C111+C123+C135+C147</f>
        <v>184657.59741739652</v>
      </c>
      <c r="D158" s="2177">
        <f t="shared" ref="D158:T158" si="41">D13+D25+D37+D63+D52+D75+D87+D99+D111+D123+D135+D147</f>
        <v>0</v>
      </c>
      <c r="E158" s="2177" t="e">
        <f t="shared" si="41"/>
        <v>#REF!</v>
      </c>
      <c r="F158" s="2177" t="e">
        <f t="shared" si="41"/>
        <v>#REF!</v>
      </c>
      <c r="G158" s="2177" t="e">
        <f t="shared" si="41"/>
        <v>#REF!</v>
      </c>
      <c r="H158" s="2177" t="e">
        <f t="shared" si="41"/>
        <v>#REF!</v>
      </c>
      <c r="I158" s="2177" t="e">
        <f t="shared" si="41"/>
        <v>#REF!</v>
      </c>
      <c r="J158" s="2177" t="e">
        <f t="shared" si="41"/>
        <v>#REF!</v>
      </c>
      <c r="K158" s="2177" t="e">
        <f t="shared" si="41"/>
        <v>#REF!</v>
      </c>
      <c r="L158" s="2177" t="e">
        <f t="shared" si="41"/>
        <v>#REF!</v>
      </c>
      <c r="M158" s="2177" t="e">
        <f t="shared" si="41"/>
        <v>#REF!</v>
      </c>
      <c r="N158" s="2177" t="e">
        <f t="shared" si="41"/>
        <v>#REF!</v>
      </c>
      <c r="O158" s="2177" t="e">
        <f t="shared" si="41"/>
        <v>#REF!</v>
      </c>
      <c r="P158" s="2177" t="e">
        <f t="shared" si="41"/>
        <v>#REF!</v>
      </c>
      <c r="Q158" s="2177" t="e">
        <f t="shared" si="41"/>
        <v>#REF!</v>
      </c>
      <c r="R158" s="2177" t="e">
        <f t="shared" si="41"/>
        <v>#REF!</v>
      </c>
      <c r="S158" s="2177" t="e">
        <f t="shared" si="41"/>
        <v>#REF!</v>
      </c>
      <c r="T158" s="2177" t="e">
        <f t="shared" si="41"/>
        <v>#REF!</v>
      </c>
      <c r="U158" s="205"/>
      <c r="V158" s="24"/>
      <c r="W158"/>
      <c r="X158"/>
      <c r="Y158"/>
    </row>
    <row r="159" spans="1:25" s="2" customFormat="1">
      <c r="A159" s="2172" t="s">
        <v>107</v>
      </c>
      <c r="B159" s="2181" t="s">
        <v>110</v>
      </c>
      <c r="C159" s="2177">
        <f t="shared" si="40"/>
        <v>394658.95106491318</v>
      </c>
      <c r="D159" s="2177">
        <f t="shared" si="40"/>
        <v>0</v>
      </c>
      <c r="E159" s="2177" t="e">
        <f t="shared" si="40"/>
        <v>#REF!</v>
      </c>
      <c r="F159" s="2177" t="e">
        <f t="shared" si="40"/>
        <v>#REF!</v>
      </c>
      <c r="G159" s="2177" t="e">
        <f t="shared" si="40"/>
        <v>#REF!</v>
      </c>
      <c r="H159" s="2177" t="e">
        <f t="shared" si="40"/>
        <v>#REF!</v>
      </c>
      <c r="I159" s="2177" t="e">
        <f t="shared" si="40"/>
        <v>#REF!</v>
      </c>
      <c r="J159" s="2177" t="e">
        <f t="shared" si="40"/>
        <v>#REF!</v>
      </c>
      <c r="K159" s="2177" t="e">
        <f t="shared" si="40"/>
        <v>#REF!</v>
      </c>
      <c r="L159" s="2177" t="e">
        <f t="shared" si="40"/>
        <v>#REF!</v>
      </c>
      <c r="M159" s="2177" t="e">
        <f t="shared" si="40"/>
        <v>#REF!</v>
      </c>
      <c r="N159" s="2177" t="e">
        <f t="shared" si="40"/>
        <v>#REF!</v>
      </c>
      <c r="O159" s="2177" t="e">
        <f t="shared" si="40"/>
        <v>#REF!</v>
      </c>
      <c r="P159" s="2177" t="e">
        <f t="shared" si="40"/>
        <v>#REF!</v>
      </c>
      <c r="Q159" s="2177" t="e">
        <f>Q14+Q26+Q38+Q64+Q53+Q76+Q88+Q100+Q112+Q124+Q136+Q148</f>
        <v>#REF!</v>
      </c>
      <c r="R159" s="2177" t="e">
        <f t="shared" si="40"/>
        <v>#REF!</v>
      </c>
      <c r="S159" s="2177" t="e">
        <f t="shared" ref="S159:T163" si="42">S14+S26+S38+S64+S53+S76+S88+S100+S112+S124+S136+S148</f>
        <v>#REF!</v>
      </c>
      <c r="T159" s="2177" t="e">
        <f t="shared" si="42"/>
        <v>#REF!</v>
      </c>
      <c r="U159" s="205"/>
      <c r="V159" s="24"/>
      <c r="W159"/>
      <c r="X159"/>
      <c r="Y159"/>
    </row>
    <row r="160" spans="1:25" s="2" customFormat="1">
      <c r="A160" s="2172" t="s">
        <v>109</v>
      </c>
      <c r="B160" s="2184" t="s">
        <v>106</v>
      </c>
      <c r="C160" s="2177">
        <f t="shared" si="40"/>
        <v>1361036.2295691445</v>
      </c>
      <c r="D160" s="2177">
        <f t="shared" si="40"/>
        <v>0</v>
      </c>
      <c r="E160" s="2177" t="e">
        <f t="shared" si="40"/>
        <v>#REF!</v>
      </c>
      <c r="F160" s="2177" t="e">
        <f t="shared" si="40"/>
        <v>#REF!</v>
      </c>
      <c r="G160" s="2177" t="e">
        <f t="shared" si="40"/>
        <v>#REF!</v>
      </c>
      <c r="H160" s="2177" t="e">
        <f t="shared" si="40"/>
        <v>#REF!</v>
      </c>
      <c r="I160" s="2177" t="e">
        <f t="shared" si="40"/>
        <v>#REF!</v>
      </c>
      <c r="J160" s="2177" t="e">
        <f t="shared" si="40"/>
        <v>#REF!</v>
      </c>
      <c r="K160" s="2177" t="e">
        <f t="shared" si="40"/>
        <v>#REF!</v>
      </c>
      <c r="L160" s="2177" t="e">
        <f t="shared" si="40"/>
        <v>#REF!</v>
      </c>
      <c r="M160" s="2177" t="e">
        <f t="shared" si="40"/>
        <v>#REF!</v>
      </c>
      <c r="N160" s="2177" t="e">
        <f t="shared" si="40"/>
        <v>#REF!</v>
      </c>
      <c r="O160" s="2177" t="e">
        <f t="shared" si="40"/>
        <v>#REF!</v>
      </c>
      <c r="P160" s="2177" t="e">
        <f t="shared" si="40"/>
        <v>#REF!</v>
      </c>
      <c r="Q160" s="2177" t="e">
        <f>Q15+Q27+Q39+Q65+Q54+Q77+Q89+Q101+Q113+Q125+Q137+Q149</f>
        <v>#REF!</v>
      </c>
      <c r="R160" s="2177" t="e">
        <f t="shared" si="40"/>
        <v>#REF!</v>
      </c>
      <c r="S160" s="2177" t="e">
        <f t="shared" si="42"/>
        <v>#REF!</v>
      </c>
      <c r="T160" s="2177" t="e">
        <f t="shared" si="42"/>
        <v>#REF!</v>
      </c>
      <c r="U160" s="205"/>
      <c r="V160" s="24"/>
      <c r="W160"/>
      <c r="X160"/>
      <c r="Y160"/>
    </row>
    <row r="161" spans="1:25" s="2" customFormat="1">
      <c r="A161" s="2172" t="s">
        <v>111</v>
      </c>
      <c r="B161" s="2184" t="s">
        <v>106</v>
      </c>
      <c r="C161" s="2177">
        <f t="shared" si="40"/>
        <v>71210.163914744466</v>
      </c>
      <c r="D161" s="2177">
        <f t="shared" si="40"/>
        <v>0</v>
      </c>
      <c r="E161" s="2177" t="e">
        <f t="shared" si="40"/>
        <v>#REF!</v>
      </c>
      <c r="F161" s="2177" t="e">
        <f t="shared" si="40"/>
        <v>#REF!</v>
      </c>
      <c r="G161" s="2177">
        <f t="shared" si="40"/>
        <v>0</v>
      </c>
      <c r="H161" s="2177">
        <f t="shared" si="40"/>
        <v>0</v>
      </c>
      <c r="I161" s="2177">
        <f t="shared" si="40"/>
        <v>0</v>
      </c>
      <c r="J161" s="2177" t="e">
        <f t="shared" si="40"/>
        <v>#REF!</v>
      </c>
      <c r="K161" s="2177" t="e">
        <f t="shared" si="40"/>
        <v>#REF!</v>
      </c>
      <c r="L161" s="2177">
        <f t="shared" si="40"/>
        <v>0</v>
      </c>
      <c r="M161" s="2177" t="e">
        <f t="shared" si="40"/>
        <v>#REF!</v>
      </c>
      <c r="N161" s="2177" t="e">
        <f t="shared" si="40"/>
        <v>#REF!</v>
      </c>
      <c r="O161" s="2177" t="e">
        <f t="shared" si="40"/>
        <v>#REF!</v>
      </c>
      <c r="P161" s="2177" t="e">
        <f t="shared" si="40"/>
        <v>#REF!</v>
      </c>
      <c r="Q161" s="2177" t="e">
        <f>Q16+Q28+Q40+Q66+Q55+Q78+Q90+Q102+Q114+Q126+Q138+Q150</f>
        <v>#REF!</v>
      </c>
      <c r="R161" s="2177" t="e">
        <f t="shared" si="40"/>
        <v>#REF!</v>
      </c>
      <c r="S161" s="2177" t="e">
        <f t="shared" si="42"/>
        <v>#REF!</v>
      </c>
      <c r="T161" s="2177" t="e">
        <f t="shared" si="42"/>
        <v>#REF!</v>
      </c>
      <c r="U161" s="205"/>
      <c r="V161" s="24"/>
      <c r="W161"/>
      <c r="X161"/>
      <c r="Y161"/>
    </row>
    <row r="162" spans="1:25">
      <c r="A162" s="2172" t="s">
        <v>112</v>
      </c>
      <c r="B162" s="2184" t="s">
        <v>106</v>
      </c>
      <c r="C162" s="2177">
        <f t="shared" si="40"/>
        <v>236179.93706512329</v>
      </c>
      <c r="D162" s="2177">
        <f t="shared" si="40"/>
        <v>0</v>
      </c>
      <c r="E162" s="2177" t="e">
        <f t="shared" si="40"/>
        <v>#REF!</v>
      </c>
      <c r="F162" s="2177" t="e">
        <f t="shared" si="40"/>
        <v>#REF!</v>
      </c>
      <c r="G162" s="2177">
        <f t="shared" si="40"/>
        <v>0</v>
      </c>
      <c r="H162" s="2177" t="e">
        <f t="shared" si="40"/>
        <v>#REF!</v>
      </c>
      <c r="I162" s="2177">
        <f t="shared" si="40"/>
        <v>0</v>
      </c>
      <c r="J162" s="2177" t="e">
        <f t="shared" si="40"/>
        <v>#REF!</v>
      </c>
      <c r="K162" s="2177" t="e">
        <f t="shared" si="40"/>
        <v>#REF!</v>
      </c>
      <c r="L162" s="2177">
        <f t="shared" si="40"/>
        <v>0</v>
      </c>
      <c r="M162" s="2177" t="e">
        <f t="shared" si="40"/>
        <v>#REF!</v>
      </c>
      <c r="N162" s="2177" t="e">
        <f t="shared" si="40"/>
        <v>#REF!</v>
      </c>
      <c r="O162" s="2177" t="e">
        <f t="shared" si="40"/>
        <v>#REF!</v>
      </c>
      <c r="P162" s="2177" t="e">
        <f t="shared" si="40"/>
        <v>#REF!</v>
      </c>
      <c r="Q162" s="2177" t="e">
        <f>Q17+Q29+Q41+Q67+Q56+Q79+Q91+Q103+Q115+Q127+Q139+Q151</f>
        <v>#REF!</v>
      </c>
      <c r="R162" s="2177" t="e">
        <f t="shared" si="40"/>
        <v>#REF!</v>
      </c>
      <c r="S162" s="2177" t="e">
        <f t="shared" si="42"/>
        <v>#REF!</v>
      </c>
      <c r="T162" s="2177" t="e">
        <f t="shared" si="42"/>
        <v>#REF!</v>
      </c>
      <c r="U162" s="205"/>
      <c r="V162" s="24"/>
    </row>
    <row r="163" spans="1:25" ht="13.9" thickBot="1">
      <c r="A163" s="2174" t="s">
        <v>113</v>
      </c>
      <c r="B163" s="2185"/>
      <c r="C163" s="2177">
        <f t="shared" si="40"/>
        <v>6749.1585862888824</v>
      </c>
      <c r="D163" s="2177">
        <f t="shared" si="40"/>
        <v>0</v>
      </c>
      <c r="E163" s="2177" t="e">
        <f t="shared" si="40"/>
        <v>#REF!</v>
      </c>
      <c r="F163" s="2177">
        <f t="shared" si="40"/>
        <v>0</v>
      </c>
      <c r="G163" s="2177">
        <f t="shared" si="40"/>
        <v>0</v>
      </c>
      <c r="H163" s="2177">
        <f t="shared" si="40"/>
        <v>0</v>
      </c>
      <c r="I163" s="2177">
        <f t="shared" si="40"/>
        <v>0</v>
      </c>
      <c r="J163" s="2177" t="e">
        <f t="shared" si="40"/>
        <v>#REF!</v>
      </c>
      <c r="K163" s="2177" t="e">
        <f t="shared" si="40"/>
        <v>#REF!</v>
      </c>
      <c r="L163" s="2177">
        <f t="shared" si="40"/>
        <v>0</v>
      </c>
      <c r="M163" s="2177" t="e">
        <f t="shared" si="40"/>
        <v>#REF!</v>
      </c>
      <c r="N163" s="2177" t="e">
        <f t="shared" si="40"/>
        <v>#REF!</v>
      </c>
      <c r="O163" s="2177" t="e">
        <f t="shared" si="40"/>
        <v>#REF!</v>
      </c>
      <c r="P163" s="2177" t="e">
        <f t="shared" si="40"/>
        <v>#REF!</v>
      </c>
      <c r="Q163" s="2177" t="e">
        <f>Q18+Q30+Q42+Q68+Q57+Q80+Q92+Q104+Q116+Q128+Q140+Q152</f>
        <v>#REF!</v>
      </c>
      <c r="R163" s="2177" t="e">
        <f t="shared" si="40"/>
        <v>#REF!</v>
      </c>
      <c r="S163" s="2177" t="e">
        <f t="shared" si="42"/>
        <v>#REF!</v>
      </c>
      <c r="T163" s="2177" t="e">
        <f t="shared" si="42"/>
        <v>#REF!</v>
      </c>
      <c r="U163" s="205"/>
      <c r="V163" s="24"/>
    </row>
    <row r="164" spans="1:25" ht="13.9" thickBot="1">
      <c r="A164" s="3" t="s">
        <v>115</v>
      </c>
      <c r="B164" s="199"/>
      <c r="C164" s="201">
        <f>SUM(C158:C163)</f>
        <v>2254492.0376176108</v>
      </c>
      <c r="D164" s="201">
        <f t="shared" ref="D164:M164" si="43">SUM(D158:D163)</f>
        <v>0</v>
      </c>
      <c r="E164" s="201" t="e">
        <f>SUM(E158:E163)</f>
        <v>#REF!</v>
      </c>
      <c r="F164" s="201" t="e">
        <f t="shared" si="43"/>
        <v>#REF!</v>
      </c>
      <c r="G164" s="201" t="e">
        <f t="shared" si="43"/>
        <v>#REF!</v>
      </c>
      <c r="H164" s="201" t="e">
        <f t="shared" si="43"/>
        <v>#REF!</v>
      </c>
      <c r="I164" s="201" t="e">
        <f t="shared" si="43"/>
        <v>#REF!</v>
      </c>
      <c r="J164" s="201" t="e">
        <f>SUM(J158:J163)</f>
        <v>#REF!</v>
      </c>
      <c r="K164" s="201" t="e">
        <f t="shared" si="43"/>
        <v>#REF!</v>
      </c>
      <c r="L164" s="201" t="e">
        <f t="shared" si="43"/>
        <v>#REF!</v>
      </c>
      <c r="M164" s="201" t="e">
        <f t="shared" si="43"/>
        <v>#REF!</v>
      </c>
      <c r="N164" s="201" t="e">
        <f>SUM(N158:N163)/6</f>
        <v>#REF!</v>
      </c>
      <c r="O164" s="201" t="e">
        <f t="shared" ref="O164:T164" si="44">SUM(O158:O163)</f>
        <v>#REF!</v>
      </c>
      <c r="P164" s="201" t="e">
        <f t="shared" si="44"/>
        <v>#REF!</v>
      </c>
      <c r="Q164" s="201" t="e">
        <f t="shared" si="44"/>
        <v>#REF!</v>
      </c>
      <c r="R164" s="201" t="e">
        <f t="shared" si="44"/>
        <v>#REF!</v>
      </c>
      <c r="S164" s="201" t="e">
        <f t="shared" si="44"/>
        <v>#REF!</v>
      </c>
      <c r="T164" s="201" t="e">
        <f t="shared" si="44"/>
        <v>#REF!</v>
      </c>
      <c r="U164" s="205"/>
      <c r="V164" s="24"/>
    </row>
    <row r="165" spans="1:25">
      <c r="A165" s="300"/>
      <c r="B165" s="205"/>
      <c r="C165" s="2176">
        <f>C164-[16]USD!$T$164</f>
        <v>0</v>
      </c>
      <c r="D165" s="205"/>
      <c r="E165" s="205" t="e">
        <f>+O164</f>
        <v>#REF!</v>
      </c>
      <c r="F165" s="205"/>
      <c r="G165" s="205"/>
      <c r="H165" s="205"/>
      <c r="I165" s="205"/>
      <c r="J165" s="205">
        <f>SUM(G174:U174)-M174</f>
        <v>521646.43954448728</v>
      </c>
      <c r="K165" s="205"/>
      <c r="L165" s="205"/>
      <c r="M165" s="205"/>
      <c r="N165" s="205"/>
      <c r="O165" s="205" t="e">
        <f>+E164+O164</f>
        <v>#REF!</v>
      </c>
      <c r="P165" s="205"/>
      <c r="Q165" s="205"/>
      <c r="R165" s="205"/>
      <c r="S165" s="205"/>
      <c r="T165" s="205"/>
      <c r="U165" s="205"/>
      <c r="V165" s="219"/>
    </row>
    <row r="166" spans="1:25">
      <c r="A166" s="300"/>
      <c r="B166" s="205"/>
      <c r="C166" s="2176"/>
      <c r="D166" s="205"/>
      <c r="E166" s="205" t="e">
        <f>+E164+E165</f>
        <v>#REF!</v>
      </c>
      <c r="F166" s="205"/>
      <c r="G166" s="205"/>
      <c r="H166" s="205"/>
      <c r="I166" s="205"/>
      <c r="J166" s="205" t="e">
        <f>+J164-J165</f>
        <v>#REF!</v>
      </c>
      <c r="K166" s="205">
        <f>U174</f>
        <v>0</v>
      </c>
      <c r="L166" s="202" t="e">
        <f>J166+K166</f>
        <v>#REF!</v>
      </c>
      <c r="M166" s="205"/>
      <c r="N166" s="205"/>
      <c r="O166" s="205"/>
      <c r="P166" s="205"/>
      <c r="Q166" s="205"/>
      <c r="R166" s="205"/>
      <c r="S166" s="205"/>
      <c r="T166" s="205"/>
      <c r="U166" s="205"/>
      <c r="V166" s="24"/>
      <c r="W166" s="63"/>
    </row>
    <row r="167" spans="1:25">
      <c r="A167" s="300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W167" s="24"/>
    </row>
    <row r="168" spans="1:25">
      <c r="A168" s="300"/>
      <c r="B168" s="205" t="s">
        <v>122</v>
      </c>
      <c r="C168" s="205"/>
      <c r="D168" s="205"/>
      <c r="E168" s="205"/>
      <c r="F168" s="205" t="s">
        <v>123</v>
      </c>
      <c r="G168" s="205" t="s">
        <v>124</v>
      </c>
      <c r="H168" s="205" t="s">
        <v>125</v>
      </c>
      <c r="I168" s="205" t="s">
        <v>126</v>
      </c>
      <c r="J168" s="205" t="s">
        <v>127</v>
      </c>
      <c r="K168" s="205" t="s">
        <v>77</v>
      </c>
      <c r="L168" s="205" t="s">
        <v>128</v>
      </c>
      <c r="M168" s="205" t="s">
        <v>147</v>
      </c>
      <c r="N168" s="204" t="s">
        <v>148</v>
      </c>
      <c r="O168" s="204" t="s">
        <v>149</v>
      </c>
      <c r="P168" s="204" t="s">
        <v>150</v>
      </c>
      <c r="Q168" s="204"/>
      <c r="R168" s="204" t="s">
        <v>151</v>
      </c>
      <c r="S168" s="204" t="s">
        <v>152</v>
      </c>
      <c r="T168" s="205" t="s">
        <v>153</v>
      </c>
      <c r="U168" s="205" t="s">
        <v>154</v>
      </c>
    </row>
    <row r="169" spans="1:25">
      <c r="A169" s="300"/>
      <c r="B169" s="205" t="s">
        <v>129</v>
      </c>
      <c r="C169" s="205"/>
      <c r="D169" s="206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</row>
    <row r="170" spans="1:25">
      <c r="A170" s="300"/>
      <c r="B170" s="205" t="s">
        <v>130</v>
      </c>
      <c r="C170" s="205"/>
      <c r="D170" s="206">
        <f>+J170</f>
        <v>0</v>
      </c>
      <c r="E170" s="207">
        <v>0</v>
      </c>
      <c r="F170" s="205"/>
      <c r="G170" s="205"/>
      <c r="H170" s="205"/>
      <c r="I170" s="205"/>
      <c r="J170" s="205">
        <f>E170</f>
        <v>0</v>
      </c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</row>
    <row r="171" spans="1:25">
      <c r="A171" s="308">
        <f>152892948612.75-152711403534</f>
        <v>181545078.75</v>
      </c>
      <c r="B171" s="205" t="s">
        <v>131</v>
      </c>
      <c r="C171" s="205"/>
      <c r="D171" s="206">
        <f t="shared" ref="D171:D176" si="45">+J171</f>
        <v>0</v>
      </c>
      <c r="E171" s="207"/>
      <c r="F171" s="205"/>
      <c r="G171" s="205"/>
      <c r="H171" s="205"/>
      <c r="I171" s="205"/>
      <c r="J171" s="205">
        <f>E171</f>
        <v>0</v>
      </c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</row>
    <row r="172" spans="1:25">
      <c r="A172" s="308">
        <f>402755349980.95-403234150187.48</f>
        <v>-478800206.52996826</v>
      </c>
      <c r="B172" s="205" t="s">
        <v>16</v>
      </c>
      <c r="C172" s="205"/>
      <c r="D172" s="206">
        <f t="shared" si="45"/>
        <v>0</v>
      </c>
      <c r="E172" s="207"/>
      <c r="F172" s="205"/>
      <c r="G172" s="205"/>
      <c r="H172" s="205"/>
      <c r="I172" s="205"/>
      <c r="J172" s="205">
        <f>E172</f>
        <v>0</v>
      </c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</row>
    <row r="173" spans="1:25">
      <c r="A173" s="300"/>
      <c r="B173" s="205" t="s">
        <v>132</v>
      </c>
      <c r="C173" s="205"/>
      <c r="D173" s="206">
        <f t="shared" si="45"/>
        <v>0</v>
      </c>
      <c r="E173" s="207"/>
      <c r="F173" s="205"/>
      <c r="G173" s="205"/>
      <c r="H173" s="205"/>
      <c r="I173" s="205"/>
      <c r="J173" s="205">
        <f>E173</f>
        <v>0</v>
      </c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</row>
    <row r="174" spans="1:25">
      <c r="A174" s="300"/>
      <c r="B174" s="205" t="s">
        <v>133</v>
      </c>
      <c r="C174" s="205"/>
      <c r="D174" s="206">
        <f>+J174</f>
        <v>415566.43954448728</v>
      </c>
      <c r="E174" s="207">
        <f>[24]Stock!$N$52</f>
        <v>529326.43954448728</v>
      </c>
      <c r="F174" s="205">
        <f>[18]Summary!$V$11</f>
        <v>4320</v>
      </c>
      <c r="G174" s="205">
        <f>[18]Summary!$V$20</f>
        <v>15840</v>
      </c>
      <c r="H174" s="205">
        <f>[18]Summary!$V$15</f>
        <v>9120</v>
      </c>
      <c r="I174" s="205">
        <f>[18]Summary!$V$24</f>
        <v>480</v>
      </c>
      <c r="J174" s="205">
        <f>E174-F174-G174-H174-I174-K174-L174-M174-N174-O174-P174-R174-S174-T174-U174</f>
        <v>415566.43954448728</v>
      </c>
      <c r="K174" s="205">
        <f>[18]Summary!$V$16</f>
        <v>17760</v>
      </c>
      <c r="L174" s="205">
        <f>[18]Summary!$V$12</f>
        <v>9120</v>
      </c>
      <c r="M174" s="205">
        <f>[18]Summary!$V$13</f>
        <v>3360</v>
      </c>
      <c r="N174" s="205"/>
      <c r="O174" s="205">
        <f>[18]Summary!$V$19</f>
        <v>17280</v>
      </c>
      <c r="P174" s="205">
        <f>[18]Summary!$V$22</f>
        <v>10560</v>
      </c>
      <c r="Q174" s="205">
        <f>'Pigs Cost'!Q$174/$G$190</f>
        <v>0</v>
      </c>
      <c r="R174" s="205">
        <f>[18]Summary!$V$21</f>
        <v>5280</v>
      </c>
      <c r="S174" s="205">
        <f>[18]Summary!$V$14</f>
        <v>20640</v>
      </c>
      <c r="T174" s="205">
        <f>'Pigs Cost'!T$174/$G$190</f>
        <v>0</v>
      </c>
      <c r="U174" s="205">
        <f>'Pigs Cost'!U$174/$G$190</f>
        <v>0</v>
      </c>
      <c r="V174" s="205"/>
    </row>
    <row r="175" spans="1:25">
      <c r="A175" s="300"/>
      <c r="B175" s="205" t="s">
        <v>155</v>
      </c>
      <c r="C175" s="205"/>
      <c r="D175" s="206">
        <f t="shared" si="45"/>
        <v>0</v>
      </c>
      <c r="E175" s="207"/>
      <c r="F175" s="205"/>
      <c r="G175" s="205">
        <v>0</v>
      </c>
      <c r="H175" s="205">
        <v>0</v>
      </c>
      <c r="I175" s="205">
        <f>+'[9]IS - YTD'!L20</f>
        <v>0</v>
      </c>
      <c r="J175" s="205">
        <f>E175</f>
        <v>0</v>
      </c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160">
        <f>[25]aug!$N$56</f>
        <v>1878319.1415141602</v>
      </c>
    </row>
    <row r="176" spans="1:25">
      <c r="A176" s="300"/>
      <c r="B176" s="205" t="s">
        <v>135</v>
      </c>
      <c r="C176" s="205"/>
      <c r="D176" s="206">
        <f t="shared" si="45"/>
        <v>0</v>
      </c>
      <c r="E176" s="207"/>
      <c r="F176" s="205"/>
      <c r="G176" s="205">
        <f>+'[7]IS - YTD'!M21</f>
        <v>0</v>
      </c>
      <c r="H176" s="205">
        <f>+'[8]IS - YTD'!M21</f>
        <v>0</v>
      </c>
      <c r="I176" s="205">
        <f>+'[9]IS - YTD'!L21</f>
        <v>0</v>
      </c>
      <c r="J176" s="205">
        <f>E176</f>
        <v>0</v>
      </c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160">
        <f>V174-V175</f>
        <v>-1878319.1415141602</v>
      </c>
    </row>
    <row r="177" spans="1:21">
      <c r="A177" s="300"/>
      <c r="B177" s="205"/>
      <c r="C177" s="205"/>
      <c r="D177" s="205"/>
      <c r="E177" s="208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</row>
    <row r="178" spans="1:21" ht="13.9" thickBot="1">
      <c r="A178" s="300"/>
      <c r="B178" s="2176">
        <v>10000000000</v>
      </c>
      <c r="C178" s="205"/>
      <c r="D178" s="205"/>
      <c r="E178" s="209">
        <f>SUM(E169:E177)</f>
        <v>529326.43954448728</v>
      </c>
      <c r="F178" s="209">
        <f t="shared" ref="F178:R178" si="46">SUM(F170:F176)</f>
        <v>4320</v>
      </c>
      <c r="G178" s="209">
        <f t="shared" si="46"/>
        <v>15840</v>
      </c>
      <c r="H178" s="209">
        <f>SUM(H170:H176)</f>
        <v>9120</v>
      </c>
      <c r="I178" s="209">
        <f t="shared" si="46"/>
        <v>480</v>
      </c>
      <c r="J178" s="209">
        <f t="shared" si="46"/>
        <v>415566.43954448728</v>
      </c>
      <c r="K178" s="209">
        <f t="shared" si="46"/>
        <v>17760</v>
      </c>
      <c r="L178" s="209">
        <f>SUM(L170:L176)</f>
        <v>9120</v>
      </c>
      <c r="M178" s="209">
        <f t="shared" si="46"/>
        <v>3360</v>
      </c>
      <c r="N178" s="209">
        <f t="shared" si="46"/>
        <v>0</v>
      </c>
      <c r="O178" s="209">
        <f t="shared" si="46"/>
        <v>17280</v>
      </c>
      <c r="P178" s="209">
        <f t="shared" si="46"/>
        <v>10560</v>
      </c>
      <c r="Q178" s="209"/>
      <c r="R178" s="209">
        <f t="shared" si="46"/>
        <v>5280</v>
      </c>
      <c r="S178" s="209">
        <f>SUM(S170:S176)</f>
        <v>20640</v>
      </c>
      <c r="T178" s="209">
        <f>SUM(T170:T176)</f>
        <v>0</v>
      </c>
      <c r="U178" s="209">
        <f>SUM(U170:U176)</f>
        <v>0</v>
      </c>
    </row>
    <row r="179" spans="1:21">
      <c r="A179" s="300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176"/>
      <c r="P179" s="205"/>
      <c r="Q179" s="205"/>
      <c r="R179" s="205"/>
      <c r="S179" s="205"/>
      <c r="T179" s="205"/>
      <c r="U179" s="205"/>
    </row>
    <row r="180" spans="1:21">
      <c r="A180" s="2201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176"/>
      <c r="P180" s="205"/>
      <c r="Q180" s="205"/>
      <c r="R180" s="205"/>
      <c r="S180" s="205"/>
      <c r="T180" s="205"/>
      <c r="U180" s="205"/>
    </row>
    <row r="181" spans="1:21">
      <c r="A181" s="308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176"/>
      <c r="P181" s="205"/>
      <c r="Q181" s="205"/>
      <c r="R181" s="205"/>
      <c r="S181" s="205"/>
      <c r="T181" s="205"/>
      <c r="U181" s="205"/>
    </row>
    <row r="183" spans="1:21">
      <c r="A183" s="300"/>
      <c r="B183" s="205"/>
      <c r="C183" s="205"/>
      <c r="D183" s="205"/>
      <c r="E183" s="207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</row>
    <row r="184" spans="1:21">
      <c r="A184" s="300"/>
      <c r="B184" s="205"/>
      <c r="C184" s="205"/>
      <c r="D184" s="205"/>
      <c r="E184" s="207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</row>
    <row r="185" spans="1:21">
      <c r="A185" s="300"/>
      <c r="B185" s="210"/>
      <c r="C185" s="205"/>
      <c r="D185" s="2176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</row>
    <row r="186" spans="1:21">
      <c r="A186" s="300"/>
      <c r="B186" s="210"/>
      <c r="C186" s="205"/>
      <c r="D186" s="2176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</row>
    <row r="187" spans="1:21">
      <c r="A187" s="300"/>
      <c r="B187" s="210"/>
      <c r="C187" s="205"/>
      <c r="D187" s="205"/>
      <c r="E187" s="2176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</row>
    <row r="188" spans="1:21">
      <c r="A188" s="300"/>
      <c r="B188" s="211"/>
      <c r="C188" s="205"/>
      <c r="D188" s="205"/>
      <c r="E188" s="2176"/>
      <c r="F188" s="205"/>
      <c r="G188" s="205"/>
      <c r="H188" s="205"/>
      <c r="I188" s="205"/>
      <c r="J188" s="2176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</row>
    <row r="189" spans="1:21">
      <c r="A189" s="300"/>
      <c r="B189" s="210"/>
      <c r="C189" s="205"/>
      <c r="D189" s="2176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</row>
    <row r="190" spans="1:21">
      <c r="A190" s="300"/>
      <c r="B190" s="210"/>
      <c r="C190" s="205"/>
      <c r="D190" s="2176"/>
      <c r="E190" s="205"/>
      <c r="F190" s="205"/>
      <c r="G190" s="205">
        <v>300000000000</v>
      </c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</row>
    <row r="191" spans="1:21">
      <c r="A191" s="300"/>
      <c r="B191" s="211"/>
      <c r="C191" s="205"/>
      <c r="D191" s="74"/>
      <c r="E191" s="2176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</row>
    <row r="192" spans="1:21">
      <c r="A192" s="300"/>
      <c r="B192" s="211"/>
      <c r="C192" s="205"/>
      <c r="D192" s="74"/>
      <c r="E192" s="2176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</row>
    <row r="193" spans="2:5">
      <c r="B193" s="211"/>
      <c r="C193" s="205"/>
      <c r="D193" s="308"/>
      <c r="E193" s="205"/>
    </row>
    <row r="194" spans="2:5">
      <c r="B194" s="210"/>
      <c r="C194" s="205"/>
      <c r="D194" s="308"/>
      <c r="E194" s="205"/>
    </row>
    <row r="195" spans="2:5">
      <c r="B195" s="210"/>
      <c r="C195" s="205"/>
      <c r="D195" s="205"/>
      <c r="E195" s="205"/>
    </row>
    <row r="196" spans="2:5">
      <c r="B196" s="210"/>
      <c r="C196" s="205"/>
      <c r="D196" s="2176"/>
      <c r="E196" s="205"/>
    </row>
    <row r="197" spans="2:5">
      <c r="B197" s="210"/>
      <c r="C197" s="205"/>
      <c r="D197" s="2176"/>
      <c r="E197" s="205"/>
    </row>
    <row r="198" spans="2:5">
      <c r="B198" s="210"/>
      <c r="C198" s="205"/>
      <c r="D198" s="205"/>
      <c r="E198" s="2176"/>
    </row>
    <row r="199" spans="2:5">
      <c r="B199" s="211"/>
      <c r="C199" s="205"/>
      <c r="D199" s="205"/>
      <c r="E199" s="2176"/>
    </row>
    <row r="200" spans="2:5">
      <c r="B200" s="210"/>
      <c r="C200" s="205"/>
      <c r="D200" s="205"/>
      <c r="E200" s="205"/>
    </row>
    <row r="201" spans="2:5">
      <c r="B201" s="210"/>
      <c r="C201" s="205"/>
      <c r="D201" s="205"/>
      <c r="E201" s="205"/>
    </row>
  </sheetData>
  <phoneticPr fontId="31" type="noConversion"/>
  <pageMargins left="0.7" right="0.7" top="0.75" bottom="0.75" header="0.3" footer="0.3"/>
  <pageSetup paperSize="9" scale="31" orientation="landscape" r:id="rId1"/>
  <rowBreaks count="1" manualBreakCount="1">
    <brk id="105" max="19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1:E2"/>
  <sheetViews>
    <sheetView workbookViewId="0">
      <selection activeCell="C26" sqref="C26"/>
    </sheetView>
  </sheetViews>
  <sheetFormatPr defaultRowHeight="13.15"/>
  <sheetData>
    <row r="1" spans="2:5">
      <c r="C1" t="s">
        <v>167</v>
      </c>
      <c r="D1" t="s">
        <v>168</v>
      </c>
      <c r="E1" t="s">
        <v>169</v>
      </c>
    </row>
    <row r="2" spans="2:5">
      <c r="B2">
        <v>2947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J12"/>
  <sheetViews>
    <sheetView workbookViewId="0">
      <selection activeCell="H19" sqref="H19"/>
    </sheetView>
  </sheetViews>
  <sheetFormatPr defaultRowHeight="13.15"/>
  <sheetData>
    <row r="1" spans="1:10" ht="13.9">
      <c r="B1" s="424"/>
      <c r="C1" s="424"/>
      <c r="D1" s="424" t="s">
        <v>170</v>
      </c>
      <c r="E1" s="424" t="s">
        <v>171</v>
      </c>
      <c r="F1" s="424" t="s">
        <v>172</v>
      </c>
      <c r="G1" s="424"/>
      <c r="H1" s="424"/>
      <c r="I1" s="424" t="s">
        <v>173</v>
      </c>
    </row>
    <row r="2" spans="1:10" ht="13.9">
      <c r="B2" s="424" t="s">
        <v>174</v>
      </c>
      <c r="C2" s="389">
        <v>2</v>
      </c>
      <c r="D2" s="389"/>
      <c r="E2" s="389"/>
      <c r="F2" s="389"/>
      <c r="G2" s="389"/>
      <c r="H2" s="389">
        <f t="shared" ref="H2:H8" si="0">SUM(C2:F2)</f>
        <v>2</v>
      </c>
      <c r="I2">
        <v>2</v>
      </c>
    </row>
    <row r="3" spans="1:10" ht="13.9">
      <c r="B3" s="424" t="s">
        <v>175</v>
      </c>
      <c r="C3" s="389">
        <v>1</v>
      </c>
      <c r="D3" s="389"/>
      <c r="E3" s="389"/>
      <c r="F3" s="389"/>
      <c r="G3" s="389"/>
      <c r="H3" s="389">
        <f t="shared" si="0"/>
        <v>1</v>
      </c>
      <c r="I3">
        <v>1</v>
      </c>
    </row>
    <row r="4" spans="1:10" ht="13.9">
      <c r="B4" s="424" t="s">
        <v>172</v>
      </c>
      <c r="C4" s="389">
        <v>1</v>
      </c>
      <c r="D4" s="389">
        <v>-1</v>
      </c>
      <c r="E4" s="424">
        <v>1</v>
      </c>
      <c r="F4" s="389"/>
      <c r="G4" s="389"/>
      <c r="H4" s="389">
        <f t="shared" si="0"/>
        <v>1</v>
      </c>
      <c r="I4" s="389">
        <v>1</v>
      </c>
    </row>
    <row r="5" spans="1:10" ht="13.9">
      <c r="B5" s="353" t="s">
        <v>176</v>
      </c>
      <c r="C5" s="354">
        <v>1</v>
      </c>
      <c r="D5" s="354"/>
      <c r="E5" s="354"/>
      <c r="F5" s="354"/>
      <c r="G5" s="354"/>
      <c r="H5" s="389">
        <f t="shared" si="0"/>
        <v>1</v>
      </c>
      <c r="I5">
        <v>1</v>
      </c>
    </row>
    <row r="6" spans="1:10" ht="13.9">
      <c r="B6" s="353" t="s">
        <v>177</v>
      </c>
      <c r="C6" s="354">
        <v>3</v>
      </c>
      <c r="D6" s="354"/>
      <c r="E6" s="433">
        <v>-1</v>
      </c>
      <c r="F6" s="354">
        <v>-1</v>
      </c>
      <c r="G6" s="354"/>
      <c r="H6" s="389">
        <f t="shared" si="0"/>
        <v>1</v>
      </c>
      <c r="I6" s="354">
        <v>1</v>
      </c>
    </row>
    <row r="7" spans="1:10" ht="13.9">
      <c r="B7" s="353" t="s">
        <v>178</v>
      </c>
      <c r="C7" s="354">
        <v>3</v>
      </c>
      <c r="D7" s="354">
        <v>-1</v>
      </c>
      <c r="E7" s="354"/>
      <c r="F7" s="354"/>
      <c r="G7" s="433"/>
      <c r="H7" s="389">
        <f t="shared" si="0"/>
        <v>2</v>
      </c>
      <c r="I7">
        <v>0</v>
      </c>
    </row>
    <row r="8" spans="1:10" ht="13.9">
      <c r="B8" s="353" t="s">
        <v>171</v>
      </c>
      <c r="C8" s="354"/>
      <c r="D8" s="354"/>
      <c r="E8" s="354">
        <v>1</v>
      </c>
      <c r="F8" s="354"/>
      <c r="G8" s="354"/>
      <c r="H8" s="389">
        <f t="shared" si="0"/>
        <v>1</v>
      </c>
      <c r="I8">
        <v>1</v>
      </c>
    </row>
    <row r="9" spans="1:10" ht="13.9">
      <c r="B9" s="353"/>
      <c r="C9" s="354"/>
      <c r="D9" s="354"/>
      <c r="E9" s="354"/>
      <c r="F9" s="354"/>
      <c r="G9" s="354"/>
      <c r="H9" s="389"/>
    </row>
    <row r="10" spans="1:10" ht="13.9">
      <c r="B10" s="353"/>
      <c r="C10" s="354"/>
      <c r="D10" s="354"/>
      <c r="E10" s="354"/>
      <c r="F10" s="354"/>
      <c r="G10" s="354"/>
      <c r="H10" s="389"/>
    </row>
    <row r="11" spans="1:10">
      <c r="B11" s="306"/>
      <c r="C11" s="81">
        <f>SUM(C2:C8)</f>
        <v>11</v>
      </c>
      <c r="D11" s="81">
        <f>SUM(D2:D8)</f>
        <v>-2</v>
      </c>
      <c r="E11" s="81">
        <f>SUM(E2:E8)</f>
        <v>1</v>
      </c>
      <c r="F11" s="81">
        <f>SUM(F2:F8)</f>
        <v>-1</v>
      </c>
      <c r="G11" s="81"/>
      <c r="H11" s="81">
        <f>SUM(H2:H8)</f>
        <v>9</v>
      </c>
      <c r="I11" s="81">
        <f>SUM(I2:I10)</f>
        <v>7</v>
      </c>
      <c r="J11" s="94">
        <f>+H11-I11</f>
        <v>2</v>
      </c>
    </row>
    <row r="12" spans="1:10">
      <c r="A12" s="306"/>
      <c r="B12" s="306"/>
      <c r="C12" s="306"/>
      <c r="D12" s="306"/>
      <c r="E12" s="306"/>
      <c r="F12" s="306"/>
      <c r="G12" s="306"/>
      <c r="H12" s="306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"/>
  <sheetViews>
    <sheetView workbookViewId="0"/>
  </sheetViews>
  <sheetFormatPr defaultRowHeight="13.15"/>
  <sheetData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92D050"/>
  </sheetPr>
  <dimension ref="A2:P90"/>
  <sheetViews>
    <sheetView topLeftCell="A39" zoomScale="80" zoomScaleNormal="80" zoomScaleSheetLayoutView="100" workbookViewId="0">
      <selection activeCell="O54" sqref="O54"/>
    </sheetView>
  </sheetViews>
  <sheetFormatPr defaultRowHeight="13.15"/>
  <cols>
    <col min="1" max="1" width="20.140625" customWidth="1"/>
    <col min="2" max="2" width="15.28515625" customWidth="1"/>
    <col min="3" max="3" width="15" bestFit="1" customWidth="1"/>
    <col min="4" max="4" width="15.85546875" customWidth="1"/>
    <col min="5" max="5" width="17.42578125" customWidth="1"/>
    <col min="6" max="6" width="14" hidden="1" customWidth="1"/>
    <col min="7" max="7" width="20.28515625" hidden="1" customWidth="1"/>
    <col min="8" max="8" width="21" hidden="1" customWidth="1"/>
    <col min="9" max="9" width="15" hidden="1" customWidth="1"/>
    <col min="11" max="11" width="19.140625" style="23" customWidth="1"/>
    <col min="12" max="12" width="10.42578125" bestFit="1" customWidth="1"/>
    <col min="14" max="14" width="13.140625" bestFit="1" customWidth="1"/>
  </cols>
  <sheetData>
    <row r="2" spans="1:15">
      <c r="A2" s="1936" t="s">
        <v>179</v>
      </c>
      <c r="B2" s="1936" t="s">
        <v>180</v>
      </c>
      <c r="C2" s="1936" t="s">
        <v>181</v>
      </c>
      <c r="D2" s="1936" t="s">
        <v>182</v>
      </c>
      <c r="E2" s="716" t="s">
        <v>183</v>
      </c>
      <c r="F2" s="31"/>
      <c r="G2" s="31"/>
      <c r="K2" s="31" t="s">
        <v>184</v>
      </c>
      <c r="L2" s="1" t="s">
        <v>185</v>
      </c>
    </row>
    <row r="3" spans="1:15">
      <c r="A3" s="1937" t="s">
        <v>127</v>
      </c>
      <c r="B3" s="1938"/>
      <c r="C3" s="1850"/>
      <c r="D3" s="1850"/>
      <c r="E3" s="1939">
        <f>SUM('Grasmere Valuation '!H9)</f>
        <v>435825.55067264562</v>
      </c>
      <c r="F3" s="23"/>
      <c r="G3" s="23"/>
    </row>
    <row r="4" spans="1:15">
      <c r="A4" s="1937" t="s">
        <v>186</v>
      </c>
      <c r="B4" s="1938"/>
      <c r="C4" s="1850"/>
      <c r="D4" s="1850"/>
      <c r="E4" s="1939">
        <f>SUM('Villa Valuation'!H9)</f>
        <v>78870.421524663689</v>
      </c>
      <c r="F4" s="23"/>
      <c r="G4" s="23"/>
    </row>
    <row r="5" spans="1:15">
      <c r="A5" s="1937" t="s">
        <v>187</v>
      </c>
      <c r="B5" s="1938"/>
      <c r="C5" s="1850"/>
      <c r="D5" s="1850"/>
      <c r="E5" s="1939">
        <f>SUM('Lionhead Valuation'!H9)</f>
        <v>216111.49955156946</v>
      </c>
      <c r="F5" s="23"/>
      <c r="G5" s="23"/>
    </row>
    <row r="6" spans="1:15">
      <c r="A6" s="1937" t="s">
        <v>188</v>
      </c>
      <c r="B6" s="1938"/>
      <c r="C6" s="1850"/>
      <c r="D6" s="1850"/>
      <c r="E6" s="1939">
        <f>SUM('Lionhead Ext. Valuation'!H9)</f>
        <v>0</v>
      </c>
      <c r="F6" s="23"/>
      <c r="G6" s="23"/>
    </row>
    <row r="7" spans="1:15">
      <c r="A7" s="1937" t="s">
        <v>189</v>
      </c>
      <c r="B7" s="1938"/>
      <c r="C7" s="1850"/>
      <c r="D7" s="1850"/>
      <c r="E7" s="1939">
        <f>SUM('Richlands Valuation'!H9)</f>
        <v>198132.13901345298</v>
      </c>
      <c r="F7" s="23"/>
      <c r="G7" s="23"/>
    </row>
    <row r="8" spans="1:15">
      <c r="A8" s="1940" t="s">
        <v>190</v>
      </c>
      <c r="B8" s="392"/>
      <c r="C8" s="1850"/>
      <c r="D8" s="1850"/>
      <c r="E8" s="1939">
        <f>SUM('Learig Valuation'!H9)</f>
        <v>0</v>
      </c>
      <c r="F8" s="23"/>
      <c r="G8" s="23"/>
    </row>
    <row r="9" spans="1:15">
      <c r="A9" s="1940" t="s">
        <v>191</v>
      </c>
      <c r="B9" s="392"/>
      <c r="C9" s="1850"/>
      <c r="D9" s="1850"/>
      <c r="E9" s="1939">
        <f>'Porta Valuation'!H9</f>
        <v>184576.22421524662</v>
      </c>
      <c r="F9" s="23"/>
      <c r="G9" s="23"/>
      <c r="M9" s="22">
        <f>+B22+B34</f>
        <v>84288</v>
      </c>
      <c r="N9">
        <f>+SUM('Summary Total Pigs'!AF186:AF188)</f>
        <v>84288</v>
      </c>
    </row>
    <row r="10" spans="1:15">
      <c r="A10" s="1940" t="s">
        <v>192</v>
      </c>
      <c r="B10" s="392"/>
      <c r="C10" s="1850"/>
      <c r="D10" s="1850"/>
      <c r="E10" s="1939">
        <f>'Multiplier Valuation'!H9</f>
        <v>90223.636771300429</v>
      </c>
      <c r="F10" s="23"/>
      <c r="G10" s="23"/>
      <c r="M10" s="94">
        <f>+B45+B56</f>
        <v>8105</v>
      </c>
      <c r="N10">
        <f>+SUM('Summary Total Pigs'!AF189:AF191)</f>
        <v>8105</v>
      </c>
      <c r="O10" s="94">
        <f>+N10-M10</f>
        <v>0</v>
      </c>
    </row>
    <row r="11" spans="1:15" s="1" customFormat="1">
      <c r="A11" s="1941" t="s">
        <v>71</v>
      </c>
      <c r="B11" s="394"/>
      <c r="C11" s="716">
        <f>SUM(C3:C8)</f>
        <v>0</v>
      </c>
      <c r="D11" s="716"/>
      <c r="E11" s="1942">
        <f>SUM(E3:I10)</f>
        <v>1203739.4717488787</v>
      </c>
      <c r="F11" s="31"/>
      <c r="G11" s="31"/>
      <c r="K11" s="31"/>
    </row>
    <row r="12" spans="1:15" s="1" customFormat="1">
      <c r="A12" s="1941"/>
      <c r="B12" s="394"/>
      <c r="C12" s="716"/>
      <c r="D12" s="716"/>
      <c r="E12" s="716"/>
      <c r="F12" s="31"/>
      <c r="G12" s="31"/>
      <c r="K12" s="31"/>
    </row>
    <row r="13" spans="1:15" s="1" customFormat="1">
      <c r="A13" s="1941" t="s">
        <v>193</v>
      </c>
      <c r="B13" s="394" t="str">
        <f>+B2</f>
        <v># Pigs</v>
      </c>
      <c r="C13" s="394" t="str">
        <f>+C2</f>
        <v>CDM</v>
      </c>
      <c r="D13" s="394" t="str">
        <f>+D2</f>
        <v>Ave.</v>
      </c>
      <c r="E13" s="394" t="str">
        <f>+E2</f>
        <v>Value</v>
      </c>
      <c r="F13" s="31"/>
      <c r="G13" s="31"/>
      <c r="K13" s="31"/>
    </row>
    <row r="14" spans="1:15" s="1" customFormat="1">
      <c r="A14" s="1940" t="str">
        <f>+A3</f>
        <v>Grasmere</v>
      </c>
      <c r="B14" s="392">
        <f>SUM('Grasmere Valuation '!E10:E26)</f>
        <v>18979</v>
      </c>
      <c r="C14" s="1943">
        <f>SUM('Grasmere Valuation '!F10:F26)</f>
        <v>322518.84753781412</v>
      </c>
      <c r="D14" s="1850">
        <f t="shared" ref="D14:D20" si="0">+E14/C14</f>
        <v>6.4886201773795129</v>
      </c>
      <c r="E14" s="1943">
        <f>SUM('Grasmere Valuation '!H10:H26)</f>
        <v>2092702.3017190476</v>
      </c>
      <c r="F14" s="31">
        <f>+B14-'Summary Total Pigs'!AF12</f>
        <v>13783</v>
      </c>
      <c r="G14" s="31"/>
      <c r="K14" s="23">
        <f>'SUMMARY '!B14</f>
        <v>18979</v>
      </c>
      <c r="L14" s="621">
        <f>B14-K14</f>
        <v>0</v>
      </c>
    </row>
    <row r="15" spans="1:15" s="1" customFormat="1">
      <c r="A15" s="1940" t="str">
        <f>+A4</f>
        <v>Villa</v>
      </c>
      <c r="B15" s="392">
        <f>SUM('Villa Valuation'!E10:E26)</f>
        <v>3281</v>
      </c>
      <c r="C15" s="1943">
        <f>SUM('Villa Valuation'!F10:F26)</f>
        <v>66891.850590168062</v>
      </c>
      <c r="D15" s="1850">
        <f t="shared" si="0"/>
        <v>5.1262314245459866</v>
      </c>
      <c r="E15" s="1943">
        <f>SUM('Villa Valuation'!H10:H26)</f>
        <v>342903.1065413545</v>
      </c>
      <c r="F15" s="31">
        <f>+B15-'Summary Total Pigs'!AF89</f>
        <v>2264</v>
      </c>
      <c r="G15" s="31"/>
      <c r="K15" s="23">
        <f>'SUMMARY '!B15</f>
        <v>3281</v>
      </c>
      <c r="L15" s="621">
        <f t="shared" ref="L15:L21" si="1">B15-K15</f>
        <v>0</v>
      </c>
    </row>
    <row r="16" spans="1:15" s="1" customFormat="1">
      <c r="A16" s="1940" t="str">
        <f>+A5</f>
        <v>Lionshead</v>
      </c>
      <c r="B16" s="392">
        <f>SUM('Lionhead Valuation'!E10:E26)</f>
        <v>10458</v>
      </c>
      <c r="C16" s="1943">
        <f>SUM('Lionhead Valuation'!F10:F26)</f>
        <v>189248.58828131124</v>
      </c>
      <c r="D16" s="1850">
        <f t="shared" si="0"/>
        <v>6.6479937213167126</v>
      </c>
      <c r="E16" s="1943">
        <f>SUM('Lionhead Valuation'!H10:H26)</f>
        <v>1258123.4266622087</v>
      </c>
      <c r="F16" s="31">
        <f>+B16-'Summary Total Pigs'!AF50</f>
        <v>8123</v>
      </c>
      <c r="G16" s="31"/>
      <c r="K16" s="23">
        <f>'SUMMARY '!B16</f>
        <v>10458</v>
      </c>
      <c r="L16" s="621">
        <f t="shared" si="1"/>
        <v>0</v>
      </c>
    </row>
    <row r="17" spans="1:12" s="1" customFormat="1">
      <c r="A17" s="1940" t="s">
        <v>194</v>
      </c>
      <c r="B17" s="392">
        <f>SUM('Lionhead Ext. Valuation'!E10:E26)</f>
        <v>2147</v>
      </c>
      <c r="C17" s="1943">
        <f>SUM('Lionhead Ext. Valuation'!F10:F26)</f>
        <v>53797.767243780268</v>
      </c>
      <c r="D17" s="1850">
        <f t="shared" si="0"/>
        <v>5.8789453436741184</v>
      </c>
      <c r="E17" s="1943">
        <f>SUM('Lionhead Ext. Valuation'!H10:H26)</f>
        <v>316274.13323788601</v>
      </c>
      <c r="F17" s="31"/>
      <c r="G17" s="31"/>
      <c r="K17" s="23">
        <f>'SUMMARY '!B17</f>
        <v>2147</v>
      </c>
      <c r="L17" s="621">
        <f t="shared" si="1"/>
        <v>0</v>
      </c>
    </row>
    <row r="18" spans="1:12" s="1" customFormat="1">
      <c r="A18" s="1940" t="str">
        <f>+A7</f>
        <v>Richlands</v>
      </c>
      <c r="B18" s="392">
        <f>SUM('Richlands Valuation'!E10:E26)</f>
        <v>9586</v>
      </c>
      <c r="C18" s="1943">
        <f>SUM('Richlands Valuation'!F10:F26)</f>
        <v>176726.282729356</v>
      </c>
      <c r="D18" s="1850">
        <f t="shared" si="0"/>
        <v>6.5300820742838264</v>
      </c>
      <c r="E18" s="1943">
        <f>SUM('Richlands Valuation'!H10:H26)</f>
        <v>1154037.130905783</v>
      </c>
      <c r="F18" s="31">
        <f>+B18-'Summary Total Pigs'!AF108</f>
        <v>7470</v>
      </c>
      <c r="G18" s="31"/>
      <c r="K18" s="23">
        <f>'SUMMARY '!B18</f>
        <v>9586</v>
      </c>
      <c r="L18" s="621">
        <f t="shared" si="1"/>
        <v>0</v>
      </c>
    </row>
    <row r="19" spans="1:12" s="1" customFormat="1">
      <c r="A19" s="1940" t="str">
        <f>+A8</f>
        <v>Learig</v>
      </c>
      <c r="B19" s="392">
        <f>SUM('Learig Valuation'!E10:E26)</f>
        <v>5009</v>
      </c>
      <c r="C19" s="1943">
        <f>SUM('Learig Valuation'!F10:F26)</f>
        <v>118239.66170883429</v>
      </c>
      <c r="D19" s="1850">
        <f t="shared" si="0"/>
        <v>6.1369978982540507</v>
      </c>
      <c r="E19" s="1943">
        <f>SUM('Learig Valuation'!H10:H26)</f>
        <v>725636.55539738596</v>
      </c>
      <c r="F19" s="31">
        <f>+B19-'Summary Total Pigs'!AF31</f>
        <v>5009</v>
      </c>
      <c r="G19" s="31"/>
      <c r="K19" s="23">
        <f>'SUMMARY '!B19</f>
        <v>5009</v>
      </c>
      <c r="L19" s="621">
        <f t="shared" si="1"/>
        <v>0</v>
      </c>
    </row>
    <row r="20" spans="1:12" s="1" customFormat="1">
      <c r="A20" s="1940" t="s">
        <v>191</v>
      </c>
      <c r="B20" s="392">
        <f>SUM('Porta Valuation'!E10:E26)</f>
        <v>11034</v>
      </c>
      <c r="C20" s="392">
        <f>SUM('Porta Valuation'!F10:F26)</f>
        <v>207625.02574546641</v>
      </c>
      <c r="D20" s="1850">
        <f t="shared" si="0"/>
        <v>5.8980413599906063</v>
      </c>
      <c r="E20" s="392">
        <f>SUM('Porta Valuation'!H10:H26)</f>
        <v>1224580.9892158753</v>
      </c>
      <c r="F20" s="31"/>
      <c r="G20" s="31"/>
      <c r="K20" s="23">
        <f>'SUMMARY '!B20</f>
        <v>11034</v>
      </c>
      <c r="L20" s="621">
        <f t="shared" si="1"/>
        <v>0</v>
      </c>
    </row>
    <row r="21" spans="1:12" s="1" customFormat="1">
      <c r="A21" s="1940" t="s">
        <v>192</v>
      </c>
      <c r="B21" s="392">
        <f>SUM('Multiplier Valuation'!E10:E26)</f>
        <v>3819</v>
      </c>
      <c r="C21" s="392">
        <f>SUM('Multiplier Valuation'!F10:F26)</f>
        <v>69998.18660557548</v>
      </c>
      <c r="D21" s="1850">
        <f>+IFERROR(E21/C21,0)</f>
        <v>6.2491611205713173</v>
      </c>
      <c r="E21" s="392">
        <f>SUM('Multiplier Valuation'!H10:H26)</f>
        <v>437429.94624605827</v>
      </c>
      <c r="F21" s="31"/>
      <c r="G21" s="31"/>
      <c r="K21" s="23">
        <f>'SUMMARY '!B21</f>
        <v>3819</v>
      </c>
      <c r="L21" s="621">
        <f t="shared" si="1"/>
        <v>0</v>
      </c>
    </row>
    <row r="22" spans="1:12" s="1" customFormat="1">
      <c r="A22" s="1941" t="str">
        <f>+A11</f>
        <v>Total</v>
      </c>
      <c r="B22" s="394">
        <f>SUM(B14:B21)</f>
        <v>64313</v>
      </c>
      <c r="C22" s="394">
        <f>SUM(C14:C21)</f>
        <v>1205046.2104423058</v>
      </c>
      <c r="D22" s="1941">
        <f>E22/C22</f>
        <v>6.2667203336159139</v>
      </c>
      <c r="E22" s="394">
        <f>SUM(E14:E21)</f>
        <v>7551687.5899255993</v>
      </c>
      <c r="F22" s="31"/>
      <c r="G22" s="31"/>
      <c r="K22" s="31"/>
    </row>
    <row r="23" spans="1:12" s="1" customFormat="1" hidden="1">
      <c r="A23" s="1941"/>
      <c r="B23" s="394"/>
      <c r="C23" s="716"/>
      <c r="D23" s="716"/>
      <c r="E23" s="716"/>
      <c r="F23" s="31"/>
      <c r="G23" s="31"/>
      <c r="K23" s="31"/>
    </row>
    <row r="24" spans="1:12">
      <c r="A24" s="276"/>
      <c r="B24" s="276"/>
      <c r="C24" s="276"/>
      <c r="D24" s="276"/>
      <c r="E24" s="276"/>
      <c r="I24" s="1316"/>
    </row>
    <row r="25" spans="1:12">
      <c r="A25" s="1936" t="s">
        <v>195</v>
      </c>
      <c r="B25" s="1936" t="s">
        <v>180</v>
      </c>
      <c r="C25" s="1936" t="s">
        <v>181</v>
      </c>
      <c r="D25" s="1936" t="str">
        <f>+D2</f>
        <v>Ave.</v>
      </c>
      <c r="E25" s="716" t="s">
        <v>183</v>
      </c>
      <c r="F25" s="31"/>
      <c r="G25" s="31"/>
    </row>
    <row r="26" spans="1:12">
      <c r="A26" s="1851" t="str">
        <f>+A3</f>
        <v>Grasmere</v>
      </c>
      <c r="B26" s="1944">
        <f>SUM('Grasmere Valuation '!E27:E40)</f>
        <v>5920</v>
      </c>
      <c r="C26" s="1939">
        <f>SUM('Grasmere Valuation '!F27:F40)</f>
        <v>489108.44546616642</v>
      </c>
      <c r="D26" s="1850">
        <f>+E26/C26</f>
        <v>2.5156472990380316</v>
      </c>
      <c r="E26" s="1939">
        <f>SUM('Grasmere Valuation '!H27:H40)</f>
        <v>1230424.3397736519</v>
      </c>
      <c r="F26" s="23">
        <f>SUM('Summary Total Pigs'!AF13:AF14)-B26</f>
        <v>13783</v>
      </c>
      <c r="G26" s="23"/>
      <c r="K26" s="23">
        <f>'SUMMARY '!B26</f>
        <v>5920</v>
      </c>
      <c r="L26" s="621">
        <f t="shared" ref="L26:L33" si="2">B26-K26</f>
        <v>0</v>
      </c>
    </row>
    <row r="27" spans="1:12">
      <c r="A27" s="1851" t="str">
        <f>+A4</f>
        <v>Villa</v>
      </c>
      <c r="B27" s="1944">
        <f>SUM('Villa Valuation'!E27:E41)</f>
        <v>896</v>
      </c>
      <c r="C27" s="1939">
        <f>SUM('Villa Valuation'!F27:F41)</f>
        <v>74935.297789536242</v>
      </c>
      <c r="D27" s="1850">
        <f t="shared" ref="D27:D31" si="3">+E27/C27</f>
        <v>2.5057680217858818</v>
      </c>
      <c r="E27" s="1939">
        <f>SUM('Villa Valuation'!H27:H41)</f>
        <v>187770.4729040222</v>
      </c>
      <c r="F27" s="23">
        <f>SUM('Summary Total Pigs'!AF90:AF91)-B27</f>
        <v>2264</v>
      </c>
      <c r="G27" s="23"/>
      <c r="K27" s="23">
        <f>'SUMMARY '!B27</f>
        <v>896</v>
      </c>
      <c r="L27" s="621">
        <f t="shared" si="2"/>
        <v>0</v>
      </c>
    </row>
    <row r="28" spans="1:12">
      <c r="A28" s="1851" t="str">
        <f>+A5</f>
        <v>Lionshead</v>
      </c>
      <c r="B28" s="1944">
        <f>SUM('Lionhead Valuation'!E27:E41)</f>
        <v>3096</v>
      </c>
      <c r="C28" s="1939">
        <f>SUM('Lionhead Valuation'!F27:F41)</f>
        <v>233685.8598730955</v>
      </c>
      <c r="D28" s="1850">
        <f t="shared" si="3"/>
        <v>2.5124800553900397</v>
      </c>
      <c r="E28" s="1939">
        <f>SUM('Lionhead Valuation'!H27:H41)</f>
        <v>587131.06215782405</v>
      </c>
      <c r="F28" s="23">
        <f>SUM('Summary Total Pigs'!AF51:AF52)-B28</f>
        <v>8123</v>
      </c>
      <c r="G28" s="23">
        <f>+I28/H28</f>
        <v>2.5124552485701224</v>
      </c>
      <c r="H28" s="621">
        <f>+C28+C29</f>
        <v>317133.92492021632</v>
      </c>
      <c r="I28" s="621">
        <f>+E28+E29</f>
        <v>796784.7941654406</v>
      </c>
      <c r="K28" s="23">
        <f>'SUMMARY '!B28</f>
        <v>3096</v>
      </c>
      <c r="L28" s="621">
        <f t="shared" si="2"/>
        <v>0</v>
      </c>
    </row>
    <row r="29" spans="1:12">
      <c r="A29" s="1851" t="s">
        <v>194</v>
      </c>
      <c r="B29" s="1944">
        <f>SUM('Lionhead Ext. Valuation'!E27:E41)</f>
        <v>1123</v>
      </c>
      <c r="C29" s="1939">
        <f>SUM('Lionhead Ext. Valuation'!F27:F41)</f>
        <v>83448.065047120792</v>
      </c>
      <c r="D29" s="1850">
        <f t="shared" si="3"/>
        <v>2.5123857801763405</v>
      </c>
      <c r="E29" s="1939">
        <f>SUM('Lionhead Ext. Valuation'!H27:H41)</f>
        <v>209653.73200761658</v>
      </c>
      <c r="F29" s="23">
        <f>SUM('Summary Total Pigs'!AE69:AE71)-B29</f>
        <v>2147</v>
      </c>
      <c r="G29" s="23"/>
      <c r="K29" s="23">
        <f>'SUMMARY '!B29</f>
        <v>1123</v>
      </c>
      <c r="L29" s="621">
        <f t="shared" si="2"/>
        <v>0</v>
      </c>
    </row>
    <row r="30" spans="1:12">
      <c r="A30" s="1851" t="str">
        <f>+A7</f>
        <v>Richlands</v>
      </c>
      <c r="B30" s="1944">
        <f>SUM('Richlands Valuation'!E27:E41)</f>
        <v>2159</v>
      </c>
      <c r="C30" s="1939">
        <f>SUM('Richlands Valuation'!F27:F41)</f>
        <v>174040.44328510106</v>
      </c>
      <c r="D30" s="1850">
        <f t="shared" si="3"/>
        <v>2.5075584643557285</v>
      </c>
      <c r="E30" s="1939">
        <f>SUM('Richlands Valuation'!H27:H41)</f>
        <v>436416.58669977827</v>
      </c>
      <c r="F30" s="23">
        <f>SUM('Summary Total Pigs'!AF109:AF110)-B30</f>
        <v>7470</v>
      </c>
      <c r="G30" s="23"/>
      <c r="K30" s="23">
        <f>'SUMMARY '!B30</f>
        <v>2159</v>
      </c>
      <c r="L30" s="621">
        <f t="shared" si="2"/>
        <v>0</v>
      </c>
    </row>
    <row r="31" spans="1:12">
      <c r="A31" s="1851" t="str">
        <f>+A8</f>
        <v>Learig</v>
      </c>
      <c r="B31" s="1944">
        <f>SUM('Learig Valuation'!E27:E40)</f>
        <v>2254</v>
      </c>
      <c r="C31" s="1939">
        <f>SUM('Learig Valuation'!F27:F40)</f>
        <v>188714.75535427581</v>
      </c>
      <c r="D31" s="1850">
        <f t="shared" si="3"/>
        <v>2.4991803584031205</v>
      </c>
      <c r="E31" s="1939">
        <f>SUM('Learig Valuation'!H27:H40)</f>
        <v>471632.20992225618</v>
      </c>
      <c r="F31" s="23">
        <f>SUM('Summary Total Pigs'!AF32:AF33)-B31</f>
        <v>5009</v>
      </c>
      <c r="G31" s="23"/>
      <c r="K31" s="23">
        <f>'SUMMARY '!B31</f>
        <v>2254</v>
      </c>
      <c r="L31" s="621">
        <f t="shared" si="2"/>
        <v>0</v>
      </c>
    </row>
    <row r="32" spans="1:12">
      <c r="A32" s="1851" t="s">
        <v>191</v>
      </c>
      <c r="B32" s="1944">
        <f>SUM('Porta Valuation'!E27:E40)</f>
        <v>3205</v>
      </c>
      <c r="C32" s="1944">
        <f>SUM('Porta Valuation'!F27:F40)</f>
        <v>267874.92655760422</v>
      </c>
      <c r="D32" s="1850">
        <f>+IFERROR(E32/C32,0)</f>
        <v>2.517328915229037</v>
      </c>
      <c r="E32" s="1850">
        <f>SUM('Porta Valuation'!H27:H40)</f>
        <v>674329.29828831181</v>
      </c>
      <c r="F32" s="23"/>
      <c r="G32" s="23"/>
      <c r="K32" s="23">
        <f>'SUMMARY '!B32</f>
        <v>3205</v>
      </c>
      <c r="L32" s="621">
        <f t="shared" si="2"/>
        <v>0</v>
      </c>
    </row>
    <row r="33" spans="1:16">
      <c r="A33" s="1851" t="s">
        <v>192</v>
      </c>
      <c r="B33" s="1944">
        <f>SUM('Multiplier Valuation'!E27:E40)</f>
        <v>1322</v>
      </c>
      <c r="C33" s="1944">
        <f>SUM('Multiplier Valuation'!F27:F40)</f>
        <v>114148.45934103658</v>
      </c>
      <c r="D33" s="1850">
        <f>+IFERROR(E33/C33,0)</f>
        <v>2.5146001924607781</v>
      </c>
      <c r="E33" s="1944">
        <f>SUM('Multiplier Valuation'!H27:H40)</f>
        <v>287037.73782807187</v>
      </c>
      <c r="F33" s="23"/>
      <c r="G33" s="23"/>
      <c r="K33" s="23">
        <f>'SUMMARY '!B33</f>
        <v>1322</v>
      </c>
      <c r="L33" s="621">
        <f t="shared" si="2"/>
        <v>0</v>
      </c>
      <c r="N33" s="22">
        <f>+B34+B22-SUM('Summary Total Pigs'!AE186:AE188)</f>
        <v>0</v>
      </c>
    </row>
    <row r="34" spans="1:16" s="1" customFormat="1">
      <c r="A34" s="1941" t="str">
        <f>+A11</f>
        <v>Total</v>
      </c>
      <c r="B34" s="394">
        <f>SUM(B26:B33)</f>
        <v>19975</v>
      </c>
      <c r="C34" s="394">
        <f>SUM(C26:C33)</f>
        <v>1625956.2527139368</v>
      </c>
      <c r="D34" s="716">
        <f>+E34/C34</f>
        <v>2.5119958994986082</v>
      </c>
      <c r="E34" s="716">
        <f>SUM(E26:E33)</f>
        <v>4084395.4395815325</v>
      </c>
      <c r="F34" s="31">
        <f>'[26]Selling Price Working'!$K$19</f>
        <v>2.2478369134790346</v>
      </c>
      <c r="G34" s="31">
        <f>C34*F34</f>
        <v>3654884.4845524328</v>
      </c>
      <c r="H34" s="31">
        <f>E34-G34</f>
        <v>429510.95502909971</v>
      </c>
      <c r="K34" s="23"/>
      <c r="O34" s="48"/>
    </row>
    <row r="35" spans="1:16" ht="7.15" customHeight="1">
      <c r="A35" s="276"/>
      <c r="B35" s="276"/>
      <c r="C35" s="276"/>
      <c r="D35" s="276"/>
      <c r="E35" s="276"/>
    </row>
    <row r="36" spans="1:16">
      <c r="A36" s="1945" t="s">
        <v>196</v>
      </c>
      <c r="B36" s="1936" t="str">
        <f>+B25</f>
        <v># Pigs</v>
      </c>
      <c r="C36" s="1936" t="str">
        <f>+C25</f>
        <v>CDM</v>
      </c>
      <c r="D36" s="1936" t="s">
        <v>197</v>
      </c>
      <c r="E36" s="716" t="str">
        <f>+E25</f>
        <v>Value</v>
      </c>
      <c r="G36" s="693"/>
    </row>
    <row r="37" spans="1:16">
      <c r="A37" s="1851" t="str">
        <f>+A26</f>
        <v>Grasmere</v>
      </c>
      <c r="B37" s="275">
        <f>SUM('Grasmere Valuation '!E41:E44)</f>
        <v>2794</v>
      </c>
      <c r="C37" s="1939">
        <f>(B37*150)</f>
        <v>419100</v>
      </c>
      <c r="D37" s="1850">
        <f>'Grasmere Valuation '!G41</f>
        <v>2.0499999999999998</v>
      </c>
      <c r="E37" s="1939">
        <f>(C37*D37)</f>
        <v>859154.99999999988</v>
      </c>
      <c r="F37" s="94"/>
      <c r="G37" s="94"/>
      <c r="K37" s="23">
        <f>'SUMMARY '!B37</f>
        <v>2794</v>
      </c>
      <c r="L37" s="621">
        <f>B37-K37</f>
        <v>0</v>
      </c>
      <c r="N37" s="94">
        <f>+'Grasmere Batch Mvnt'!J121</f>
        <v>2820</v>
      </c>
      <c r="O37" s="94">
        <f>+B37+B48</f>
        <v>2822</v>
      </c>
      <c r="P37" s="94">
        <f>+O37-N37</f>
        <v>2</v>
      </c>
    </row>
    <row r="38" spans="1:16">
      <c r="A38" s="1851" t="str">
        <f>+A27</f>
        <v>Villa</v>
      </c>
      <c r="B38" s="275">
        <f>SUM('Villa Valuation'!E44:E48)</f>
        <v>576</v>
      </c>
      <c r="C38" s="1939">
        <f>SUM('Villa Valuation'!F44:F49)</f>
        <v>86400</v>
      </c>
      <c r="D38" s="1850">
        <f t="shared" ref="D38:D44" si="4">D37</f>
        <v>2.0499999999999998</v>
      </c>
      <c r="E38" s="1939">
        <f>C38*D38</f>
        <v>177119.99999999997</v>
      </c>
      <c r="G38" s="94"/>
      <c r="K38" s="23">
        <f>'SUMMARY '!B38</f>
        <v>576</v>
      </c>
      <c r="L38" s="621">
        <f t="shared" ref="L38:L44" si="5">B38-K38</f>
        <v>0</v>
      </c>
      <c r="N38" s="94">
        <f>+'Villa Batch Mvnt'!I7</f>
        <v>576</v>
      </c>
      <c r="O38" s="94">
        <f t="shared" ref="O38:O44" si="6">+B38+B49</f>
        <v>576</v>
      </c>
      <c r="P38" s="94">
        <f t="shared" ref="P38:P44" si="7">+O38-N38</f>
        <v>0</v>
      </c>
    </row>
    <row r="39" spans="1:16">
      <c r="A39" s="1851" t="str">
        <f>+A28</f>
        <v>Lionshead</v>
      </c>
      <c r="B39" s="276">
        <f>SUM('Lionhead Valuation'!E55:E59)</f>
        <v>1412</v>
      </c>
      <c r="C39" s="1939">
        <f>SUM('Lionhead Valuation'!F55:F59)</f>
        <v>211800</v>
      </c>
      <c r="D39" s="1850">
        <f t="shared" si="4"/>
        <v>2.0499999999999998</v>
      </c>
      <c r="E39" s="1939">
        <f>C39*D39</f>
        <v>434189.99999999994</v>
      </c>
      <c r="G39" s="94"/>
      <c r="K39" s="23">
        <f>'SUMMARY '!B39</f>
        <v>1412</v>
      </c>
      <c r="L39" s="621">
        <f t="shared" si="5"/>
        <v>0</v>
      </c>
      <c r="N39" s="94">
        <f>+'Lionheads Batch Mvnt'!I7</f>
        <v>1418</v>
      </c>
      <c r="O39" s="94">
        <f t="shared" si="6"/>
        <v>1412</v>
      </c>
      <c r="P39" s="94">
        <f t="shared" si="7"/>
        <v>-6</v>
      </c>
    </row>
    <row r="40" spans="1:16">
      <c r="A40" s="1851" t="s">
        <v>194</v>
      </c>
      <c r="B40" s="276">
        <f>SUM('Lionhead Ext. Valuation'!E44:E48)</f>
        <v>0</v>
      </c>
      <c r="C40" s="1939">
        <f>SUM('Lionhead Ext. Valuation'!F44:F48)</f>
        <v>0</v>
      </c>
      <c r="D40" s="1850">
        <f t="shared" si="4"/>
        <v>2.0499999999999998</v>
      </c>
      <c r="E40" s="1939">
        <f t="shared" ref="E40" si="8">C40*D40</f>
        <v>0</v>
      </c>
      <c r="G40" s="94"/>
      <c r="K40" s="23">
        <f>'SUMMARY '!B40</f>
        <v>0</v>
      </c>
      <c r="L40" s="621">
        <f t="shared" si="5"/>
        <v>0</v>
      </c>
      <c r="N40" s="94">
        <f>+'Lionheads Ext. Batch Mvnt'!I7</f>
        <v>0</v>
      </c>
      <c r="O40" s="94">
        <f t="shared" si="6"/>
        <v>0</v>
      </c>
      <c r="P40" s="94">
        <f t="shared" si="7"/>
        <v>0</v>
      </c>
    </row>
    <row r="41" spans="1:16">
      <c r="A41" s="1851" t="str">
        <f>+A30</f>
        <v>Richlands</v>
      </c>
      <c r="B41" s="276">
        <f>SUM('Richlands Valuation'!E82:E86)</f>
        <v>1262</v>
      </c>
      <c r="C41" s="1939">
        <f>SUM('Richlands Valuation'!F82:F86)</f>
        <v>189300</v>
      </c>
      <c r="D41" s="1850">
        <f t="shared" si="4"/>
        <v>2.0499999999999998</v>
      </c>
      <c r="E41" s="1939">
        <f>C41*D41</f>
        <v>388064.99999999994</v>
      </c>
      <c r="F41" s="24"/>
      <c r="G41" s="94"/>
      <c r="K41" s="23">
        <f>'SUMMARY '!B41</f>
        <v>1262</v>
      </c>
      <c r="L41" s="621">
        <f t="shared" si="5"/>
        <v>0</v>
      </c>
      <c r="N41" s="94">
        <f>+'Richlands Batch Mvnt'!I7</f>
        <v>1272</v>
      </c>
      <c r="O41" s="94">
        <f t="shared" si="6"/>
        <v>1266</v>
      </c>
      <c r="P41" s="94">
        <f t="shared" si="7"/>
        <v>-6</v>
      </c>
    </row>
    <row r="42" spans="1:16">
      <c r="A42" s="1851" t="str">
        <f>+A31</f>
        <v>Learig</v>
      </c>
      <c r="B42" s="275">
        <f>SUM('Learig Valuation'!E41:E44)</f>
        <v>0</v>
      </c>
      <c r="C42" s="1939">
        <f>SUM('Learig Valuation'!F41:F44)</f>
        <v>0</v>
      </c>
      <c r="D42" s="1850">
        <f t="shared" si="4"/>
        <v>2.0499999999999998</v>
      </c>
      <c r="E42" s="1939">
        <f>C42*D42</f>
        <v>0</v>
      </c>
      <c r="F42" s="24"/>
      <c r="G42" s="94"/>
      <c r="K42" s="23">
        <f>'SUMMARY '!B42</f>
        <v>0</v>
      </c>
      <c r="L42" s="621">
        <f t="shared" si="5"/>
        <v>0</v>
      </c>
      <c r="N42" s="94">
        <f>+'Learig Batch Mvnt'!J6</f>
        <v>0</v>
      </c>
      <c r="O42" s="94">
        <f t="shared" si="6"/>
        <v>0</v>
      </c>
      <c r="P42" s="94">
        <f t="shared" si="7"/>
        <v>0</v>
      </c>
    </row>
    <row r="43" spans="1:16">
      <c r="A43" s="1851" t="s">
        <v>191</v>
      </c>
      <c r="B43" s="275">
        <f>SUM('Porta Valuation'!E82:E86)</f>
        <v>775</v>
      </c>
      <c r="C43" s="275">
        <f>SUM('Porta Valuation'!F82:F86)</f>
        <v>116250</v>
      </c>
      <c r="D43" s="1850">
        <f t="shared" si="4"/>
        <v>2.0499999999999998</v>
      </c>
      <c r="E43" s="1939">
        <f>C43*D43</f>
        <v>238312.49999999997</v>
      </c>
      <c r="F43" s="24"/>
      <c r="G43" s="94"/>
      <c r="K43" s="23">
        <f>'SUMMARY '!B43</f>
        <v>775</v>
      </c>
      <c r="L43" s="621">
        <f t="shared" si="5"/>
        <v>0</v>
      </c>
      <c r="N43" s="94">
        <f>+'Porta Batch Mvnt'!I7</f>
        <v>1326</v>
      </c>
      <c r="O43" s="94">
        <f t="shared" si="6"/>
        <v>1337</v>
      </c>
      <c r="P43" s="94">
        <f t="shared" si="7"/>
        <v>11</v>
      </c>
    </row>
    <row r="44" spans="1:16">
      <c r="A44" s="1851" t="s">
        <v>192</v>
      </c>
      <c r="B44" s="275">
        <f>SUM('Multiplier Valuation'!E86:E90)</f>
        <v>194</v>
      </c>
      <c r="C44" s="275">
        <f>SUM('Multiplier Valuation'!F86:F90)</f>
        <v>29100</v>
      </c>
      <c r="D44" s="1850">
        <f t="shared" si="4"/>
        <v>2.0499999999999998</v>
      </c>
      <c r="E44" s="1939">
        <f>C44*D44</f>
        <v>59654.999999999993</v>
      </c>
      <c r="F44" s="24"/>
      <c r="G44" s="94"/>
      <c r="K44" s="23">
        <f>'SUMMARY '!B44</f>
        <v>194</v>
      </c>
      <c r="L44" s="621">
        <f t="shared" si="5"/>
        <v>0</v>
      </c>
      <c r="M44" s="94"/>
      <c r="N44" s="94">
        <f>+'Multiplier Batch Mvnt'!I7</f>
        <v>693</v>
      </c>
      <c r="O44" s="94">
        <f t="shared" si="6"/>
        <v>692</v>
      </c>
      <c r="P44" s="94">
        <f t="shared" si="7"/>
        <v>-1</v>
      </c>
    </row>
    <row r="45" spans="1:16" s="1" customFormat="1">
      <c r="A45" s="1941" t="str">
        <f>+A34</f>
        <v>Total</v>
      </c>
      <c r="B45" s="180">
        <f>SUM(B37:B44)</f>
        <v>7013</v>
      </c>
      <c r="C45" s="180">
        <f>SUM(C37:C44)</f>
        <v>1051950</v>
      </c>
      <c r="D45" s="716">
        <f t="shared" ref="D45" si="9">+E45/C45</f>
        <v>2.0499999999999994</v>
      </c>
      <c r="E45" s="1942">
        <f>SUM(E37:E44)</f>
        <v>2156497.4999999995</v>
      </c>
      <c r="F45" s="50">
        <f>'[27]Pig Costing December 2023'!$BB$68-E45</f>
        <v>-547783.49999999953</v>
      </c>
      <c r="K45" s="23"/>
    </row>
    <row r="46" spans="1:16" ht="4.9000000000000004" customHeight="1">
      <c r="A46" s="276"/>
      <c r="B46" s="276"/>
      <c r="C46" s="276"/>
      <c r="D46" s="276"/>
      <c r="E46" s="1939"/>
      <c r="F46" s="23">
        <f>SUM('Summary Total Pigs'!AE189:AE191)</f>
        <v>8105</v>
      </c>
      <c r="G46" s="23">
        <f>SUM('Summary Total Pigs'!C189:C191)</f>
        <v>8028</v>
      </c>
    </row>
    <row r="47" spans="1:16">
      <c r="A47" s="1945" t="s">
        <v>198</v>
      </c>
      <c r="B47" s="1936" t="str">
        <f>+B36</f>
        <v># Pigs</v>
      </c>
      <c r="C47" s="1936" t="s">
        <v>199</v>
      </c>
      <c r="D47" s="1936" t="s">
        <v>200</v>
      </c>
      <c r="E47" s="716" t="str">
        <f>+E36</f>
        <v>Value</v>
      </c>
      <c r="F47" s="23">
        <f>F46-B56</f>
        <v>7013</v>
      </c>
      <c r="G47" s="23">
        <f>G46-'[28]SUMMARY '!$B$46</f>
        <v>7608</v>
      </c>
      <c r="N47" s="23"/>
    </row>
    <row r="48" spans="1:16">
      <c r="A48" s="1937" t="s">
        <v>114</v>
      </c>
      <c r="B48" s="275">
        <f>+'Grasmere Imported Boars'!D31+'Grasmere Imported Boars'!D30+'Grasmere Imported Boars'!D35+'Grasmere Imported Boars'!D34</f>
        <v>28</v>
      </c>
      <c r="C48" s="1939"/>
      <c r="D48" s="1850"/>
      <c r="E48" s="1939"/>
      <c r="F48" s="23">
        <f>'Summary Total Pigs'!AE189</f>
        <v>1890</v>
      </c>
      <c r="G48" s="23">
        <f>'Summary Total Pigs'!C189</f>
        <v>1841</v>
      </c>
      <c r="H48" s="23"/>
      <c r="K48" s="23">
        <f>'SUMMARY '!B48</f>
        <v>28</v>
      </c>
      <c r="L48" s="621">
        <f t="shared" ref="L48" si="10">B48-K48</f>
        <v>0</v>
      </c>
      <c r="N48" s="94"/>
    </row>
    <row r="49" spans="1:15">
      <c r="A49" s="1937" t="str">
        <f>+A4</f>
        <v>Villa</v>
      </c>
      <c r="B49" s="276"/>
      <c r="C49" s="1850"/>
      <c r="D49" s="1850"/>
      <c r="E49" s="1939">
        <f>+C49+D49</f>
        <v>0</v>
      </c>
      <c r="F49" s="23">
        <f>F47-F48</f>
        <v>5123</v>
      </c>
      <c r="G49" s="23">
        <f>G47-G48</f>
        <v>5767</v>
      </c>
      <c r="H49" s="23"/>
      <c r="K49" s="23">
        <f>'SUMMARY '!B49</f>
        <v>0</v>
      </c>
      <c r="L49" s="621">
        <f t="shared" ref="L49:L55" si="11">B49-K49</f>
        <v>0</v>
      </c>
    </row>
    <row r="50" spans="1:15">
      <c r="A50" s="1937" t="str">
        <f>+A5</f>
        <v>Lionshead</v>
      </c>
      <c r="B50" s="275">
        <v>0</v>
      </c>
      <c r="C50" s="1850">
        <v>0</v>
      </c>
      <c r="D50" s="1850">
        <f>SUM('Summary Valuation'!C86:C94)</f>
        <v>0</v>
      </c>
      <c r="E50" s="1939">
        <f>+C50+D50</f>
        <v>0</v>
      </c>
      <c r="F50" s="23"/>
      <c r="G50" s="621"/>
      <c r="H50" s="23"/>
      <c r="K50" s="23">
        <f>'SUMMARY '!B50</f>
        <v>0</v>
      </c>
      <c r="L50" s="621">
        <f t="shared" si="11"/>
        <v>0</v>
      </c>
    </row>
    <row r="51" spans="1:15">
      <c r="A51" s="1937" t="s">
        <v>201</v>
      </c>
      <c r="B51" s="275"/>
      <c r="C51" s="1460"/>
      <c r="D51" s="1460"/>
      <c r="E51" s="2103"/>
      <c r="F51" s="23"/>
      <c r="G51" s="621"/>
      <c r="H51" s="23"/>
      <c r="K51" s="23">
        <f>'SUMMARY '!B51</f>
        <v>0</v>
      </c>
      <c r="L51" s="621">
        <f t="shared" si="11"/>
        <v>0</v>
      </c>
    </row>
    <row r="52" spans="1:15">
      <c r="A52" s="1937" t="str">
        <f>+A7</f>
        <v>Richlands</v>
      </c>
      <c r="B52" s="275">
        <f>+'Grasmere Imported Boars'!D34</f>
        <v>4</v>
      </c>
      <c r="C52" s="2103">
        <f>B52/(B52+B48)*(SUM('Total Pigs'!R333)-C54)</f>
        <v>272957.40779937583</v>
      </c>
      <c r="D52" s="1460">
        <v>0</v>
      </c>
      <c r="E52" s="2103">
        <v>0</v>
      </c>
      <c r="F52" s="23"/>
      <c r="G52" s="621">
        <f>C54-E54</f>
        <v>27223.630687428347</v>
      </c>
      <c r="H52" s="23"/>
      <c r="K52" s="23">
        <f>'SUMMARY '!B52</f>
        <v>4</v>
      </c>
      <c r="L52" s="621">
        <f t="shared" si="11"/>
        <v>0</v>
      </c>
    </row>
    <row r="53" spans="1:15">
      <c r="A53" s="1940" t="str">
        <f>+A8</f>
        <v>Learig</v>
      </c>
      <c r="B53" s="276"/>
      <c r="C53" s="2103"/>
      <c r="D53" s="1460"/>
      <c r="E53" s="2103">
        <f>+C53+D53</f>
        <v>0</v>
      </c>
      <c r="F53" s="23"/>
      <c r="K53" s="23">
        <f>'SUMMARY '!B53</f>
        <v>0</v>
      </c>
      <c r="L53" s="621">
        <f t="shared" si="11"/>
        <v>0</v>
      </c>
    </row>
    <row r="54" spans="1:15">
      <c r="A54" s="1940" t="s">
        <v>191</v>
      </c>
      <c r="B54" s="1939">
        <f>'Porta Imported Valuation'!Z8</f>
        <v>562</v>
      </c>
      <c r="C54" s="2103">
        <f>SUM('[29]Imported Pigs Costing 0726'!$AX$102:$AX$359)</f>
        <v>227545.78239315763</v>
      </c>
      <c r="D54" s="1460">
        <f>E54-C54</f>
        <v>-27223.630687428347</v>
      </c>
      <c r="E54" s="2103">
        <f>+'[29]Imported Pigs Costing 0726'!$BN$360</f>
        <v>200322.15170572928</v>
      </c>
      <c r="F54" s="23">
        <v>339410.14200321597</v>
      </c>
      <c r="J54" s="94"/>
      <c r="K54" s="23">
        <f>'SUMMARY '!B54</f>
        <v>562</v>
      </c>
      <c r="L54" s="621">
        <f>B54-K54</f>
        <v>0</v>
      </c>
    </row>
    <row r="55" spans="1:15">
      <c r="A55" s="1940" t="s">
        <v>192</v>
      </c>
      <c r="B55" s="1939">
        <f>'Multiplier Imported Valuation'!BO9+'Grasmere Valuation '!E94+'Quarantine Sows'!B89+'Quarantine Boars'!B11</f>
        <v>498</v>
      </c>
      <c r="C55" s="1939">
        <f>$B$48/($B$48+$B$52)*(SUM('Total Pigs'!$R$333)-$C$54)</f>
        <v>1910701.8545956309</v>
      </c>
      <c r="D55" s="1850">
        <f>'Total Pigs'!$R$334-$D$54</f>
        <v>-1152921.8770258999</v>
      </c>
      <c r="E55" s="1939">
        <f>SUM('[29]Imported Pigs Costing 0726'!$BS$360,'[29]Imported Pigs Costing 0726'!$CS$360)</f>
        <v>1029114.5154696915</v>
      </c>
      <c r="F55" s="23"/>
      <c r="K55" s="23">
        <f>'SUMMARY '!B55</f>
        <v>498</v>
      </c>
      <c r="L55" s="621">
        <f t="shared" si="11"/>
        <v>0</v>
      </c>
    </row>
    <row r="56" spans="1:15" s="1" customFormat="1">
      <c r="A56" s="1941" t="str">
        <f>+A11</f>
        <v>Total</v>
      </c>
      <c r="B56" s="180">
        <f>SUM(B48:B55)</f>
        <v>1092</v>
      </c>
      <c r="C56" s="180">
        <f>SUM(C48:C55)</f>
        <v>2411205.0447881641</v>
      </c>
      <c r="D56" s="716">
        <f>SUM(D48:D55)</f>
        <v>-1180145.5077133283</v>
      </c>
      <c r="E56" s="180">
        <f>SUM(E48:E55)</f>
        <v>1229436.6671754208</v>
      </c>
      <c r="G56" s="50">
        <f>'Total Pigs'!R333+'Total Pigs'!R334</f>
        <v>1231059.5370748357</v>
      </c>
      <c r="J56" s="95"/>
      <c r="K56" s="31"/>
    </row>
    <row r="57" spans="1:15" ht="10.9" customHeight="1">
      <c r="A57" s="276"/>
      <c r="B57" s="276"/>
      <c r="C57" s="276"/>
      <c r="D57" s="276"/>
      <c r="E57" s="276"/>
      <c r="G57" s="24">
        <f>E56-G56</f>
        <v>-1622.8698994149454</v>
      </c>
    </row>
    <row r="58" spans="1:15">
      <c r="A58" s="1936" t="s">
        <v>202</v>
      </c>
      <c r="B58" s="1936" t="s">
        <v>203</v>
      </c>
      <c r="C58" s="1936" t="str">
        <f>+C47</f>
        <v>Cost</v>
      </c>
      <c r="D58" s="1936" t="str">
        <f>+D47</f>
        <v>Acc. Amort.</v>
      </c>
      <c r="E58" s="716" t="str">
        <f>+E47</f>
        <v>Value</v>
      </c>
    </row>
    <row r="59" spans="1:15">
      <c r="A59" s="1937" t="s">
        <v>127</v>
      </c>
      <c r="B59" s="275">
        <f>+'Cattle Valuation'!D21</f>
        <v>123</v>
      </c>
      <c r="C59" s="1850"/>
      <c r="D59" s="1850"/>
      <c r="E59" s="1939">
        <f>SUM('Cattle Valuation'!G21)</f>
        <v>48511.464</v>
      </c>
    </row>
    <row r="60" spans="1:15" ht="6.6" customHeight="1">
      <c r="A60" s="276"/>
      <c r="B60" s="276"/>
      <c r="C60" s="276"/>
      <c r="D60" s="276"/>
      <c r="E60" s="276"/>
    </row>
    <row r="61" spans="1:15">
      <c r="A61" s="1936" t="s">
        <v>204</v>
      </c>
      <c r="B61" s="1936" t="str">
        <f>+B47</f>
        <v># Pigs</v>
      </c>
      <c r="C61" s="1936" t="s">
        <v>181</v>
      </c>
      <c r="D61" s="1936" t="s">
        <v>205</v>
      </c>
      <c r="E61" s="716" t="str">
        <f>+E47</f>
        <v>Value</v>
      </c>
    </row>
    <row r="62" spans="1:15">
      <c r="A62" s="1937" t="str">
        <f>+A48</f>
        <v>AI</v>
      </c>
      <c r="B62" s="1946">
        <f>+B3+B14+B26+B37+B48</f>
        <v>27721</v>
      </c>
      <c r="C62" s="1850"/>
      <c r="D62" s="1850"/>
      <c r="E62" s="1939">
        <f>+E3+E14+E26+E37+E48</f>
        <v>4618107.192165345</v>
      </c>
      <c r="F62">
        <f>SUM('Summary Total Pigs'!AF18,'Summary Total Pigs'!AF130:AF132)</f>
        <v>27821</v>
      </c>
      <c r="G62" s="22">
        <f t="shared" ref="G62:G67" si="12">+B62-F62</f>
        <v>-100</v>
      </c>
      <c r="L62" s="87">
        <f>SUM('Summary Total Pigs'!AF12:AF17)</f>
        <v>27719</v>
      </c>
      <c r="M62" s="22">
        <f>B62-L62</f>
        <v>2</v>
      </c>
      <c r="O62" s="22"/>
    </row>
    <row r="63" spans="1:15">
      <c r="A63" s="1937" t="str">
        <f>+A49</f>
        <v>Villa</v>
      </c>
      <c r="B63" s="1946">
        <f t="shared" ref="B63:B65" si="13">+B4+B15+B27+B38+B49</f>
        <v>4753</v>
      </c>
      <c r="C63" s="1850"/>
      <c r="D63" s="1850"/>
      <c r="E63" s="1939">
        <f t="shared" ref="E63:E67" si="14">+E4+E15+E27+E38+E49</f>
        <v>786664.00097004045</v>
      </c>
      <c r="F63">
        <f>SUM('Summary Total Pigs'!AE95)</f>
        <v>4753</v>
      </c>
      <c r="G63" s="22">
        <f t="shared" si="12"/>
        <v>0</v>
      </c>
      <c r="L63" s="87">
        <f>SUM('Summary Total Pigs'!AF89:AF94)</f>
        <v>4753</v>
      </c>
      <c r="M63" s="22">
        <f t="shared" ref="M63:M69" si="15">B63-L63</f>
        <v>0</v>
      </c>
    </row>
    <row r="64" spans="1:15">
      <c r="A64" s="1937" t="str">
        <f>+A50</f>
        <v>Lionshead</v>
      </c>
      <c r="B64" s="1946">
        <f>+B5+B16+B28+B39+B50</f>
        <v>14966</v>
      </c>
      <c r="C64" s="1850"/>
      <c r="D64" s="1850"/>
      <c r="E64" s="1939">
        <f t="shared" si="14"/>
        <v>2495555.9883716023</v>
      </c>
      <c r="F64">
        <f>SUM('Summary Total Pigs'!AE56)</f>
        <v>14972</v>
      </c>
      <c r="G64" s="22">
        <f t="shared" si="12"/>
        <v>-6</v>
      </c>
      <c r="L64" s="87">
        <f>SUM('Summary Total Pigs'!AF50:AF55)</f>
        <v>14972</v>
      </c>
      <c r="M64" s="22">
        <f t="shared" si="15"/>
        <v>-6</v>
      </c>
    </row>
    <row r="65" spans="1:16">
      <c r="A65" s="1937" t="s">
        <v>206</v>
      </c>
      <c r="B65" s="1946">
        <f t="shared" si="13"/>
        <v>3270</v>
      </c>
      <c r="C65" s="1850"/>
      <c r="D65" s="1850"/>
      <c r="E65" s="1939">
        <f t="shared" si="14"/>
        <v>525927.86524550256</v>
      </c>
      <c r="F65">
        <f>SUM('Summary Total Pigs'!AE75)</f>
        <v>3270</v>
      </c>
      <c r="G65" s="22">
        <f t="shared" si="12"/>
        <v>0</v>
      </c>
      <c r="L65" s="87">
        <f>SUM('Summary Total Pigs'!AF69:AF74)</f>
        <v>3270</v>
      </c>
      <c r="M65" s="22">
        <f t="shared" si="15"/>
        <v>0</v>
      </c>
    </row>
    <row r="66" spans="1:16">
      <c r="A66" s="1937" t="str">
        <f>+A52</f>
        <v>Richlands</v>
      </c>
      <c r="B66" s="1946">
        <f>+B7+B18+B30+B41+B52</f>
        <v>13011</v>
      </c>
      <c r="C66" s="1850"/>
      <c r="D66" s="1850"/>
      <c r="E66" s="1939">
        <f t="shared" si="14"/>
        <v>2176650.8566190139</v>
      </c>
      <c r="F66">
        <f>SUM('Summary Total Pigs'!AE114)</f>
        <v>13017</v>
      </c>
      <c r="G66" s="22">
        <f t="shared" si="12"/>
        <v>-6</v>
      </c>
      <c r="L66" s="87">
        <f>SUM('Summary Total Pigs'!AF108:AF113)</f>
        <v>13017</v>
      </c>
      <c r="M66" s="22">
        <f t="shared" si="15"/>
        <v>-6</v>
      </c>
    </row>
    <row r="67" spans="1:16">
      <c r="A67" s="1940" t="str">
        <f>+A53</f>
        <v>Learig</v>
      </c>
      <c r="B67" s="1946">
        <f>+B8+B19+B31+B42+B53</f>
        <v>7263</v>
      </c>
      <c r="C67" s="1850"/>
      <c r="D67" s="1850"/>
      <c r="E67" s="1939">
        <f t="shared" si="14"/>
        <v>1197268.7653196421</v>
      </c>
      <c r="F67">
        <f>SUM('Summary Total Pigs'!AE37)</f>
        <v>7263</v>
      </c>
      <c r="G67" s="22">
        <f t="shared" si="12"/>
        <v>0</v>
      </c>
      <c r="L67" s="87">
        <f>SUM('Summary Total Pigs'!AF31:AF36)</f>
        <v>7263</v>
      </c>
      <c r="M67" s="22">
        <f t="shared" si="15"/>
        <v>0</v>
      </c>
    </row>
    <row r="68" spans="1:16">
      <c r="A68" s="1940" t="s">
        <v>191</v>
      </c>
      <c r="B68" s="1946">
        <f>+B11+B20+B32+B43+B54</f>
        <v>15576</v>
      </c>
      <c r="C68" s="1850"/>
      <c r="D68" s="1850"/>
      <c r="E68" s="1939">
        <f>E32+E43+E54+E9+E20</f>
        <v>2522121.1634251634</v>
      </c>
      <c r="G68" s="22"/>
      <c r="L68" s="87">
        <f>SUM('Summary Total Pigs'!AF146:AF151)</f>
        <v>15565</v>
      </c>
      <c r="M68" s="22">
        <f t="shared" si="15"/>
        <v>11</v>
      </c>
    </row>
    <row r="69" spans="1:16">
      <c r="A69" s="1940" t="s">
        <v>192</v>
      </c>
      <c r="B69" s="1946">
        <f>+B12+B21+B33+B44+B55</f>
        <v>5833</v>
      </c>
      <c r="C69" s="1850"/>
      <c r="D69" s="1850"/>
      <c r="E69" s="1939">
        <f>E33+E44+E55+E10+E21</f>
        <v>1903460.836315122</v>
      </c>
      <c r="G69" s="22"/>
      <c r="L69" s="87">
        <f>SUM('Summary Total Pigs'!AF165:AF170,'Summary Total Pigs'!AE133)</f>
        <v>5834</v>
      </c>
      <c r="M69" s="22">
        <f t="shared" si="15"/>
        <v>-1</v>
      </c>
    </row>
    <row r="70" spans="1:16">
      <c r="A70" s="1941" t="str">
        <f>+A56</f>
        <v>Total</v>
      </c>
      <c r="B70" s="180">
        <f>SUM(B62:B69)</f>
        <v>92393</v>
      </c>
      <c r="C70" s="716">
        <f>SUM(C62:C67)</f>
        <v>0</v>
      </c>
      <c r="D70" s="716">
        <f>SUM(D62:D67)</f>
        <v>0</v>
      </c>
      <c r="E70" s="1942">
        <f>SUM(E62:E69)</f>
        <v>16225756.668431431</v>
      </c>
      <c r="F70" s="31">
        <f>SUM('Summary Total Pigs'!AF186:AF191)-B70</f>
        <v>0</v>
      </c>
      <c r="G70" s="1"/>
    </row>
    <row r="71" spans="1:16">
      <c r="A71" s="1937" t="s">
        <v>202</v>
      </c>
      <c r="B71" s="276"/>
      <c r="C71" s="276"/>
      <c r="D71" s="276"/>
      <c r="E71" s="1939">
        <f>+E59</f>
        <v>48511.464</v>
      </c>
      <c r="I71" s="621"/>
    </row>
    <row r="72" spans="1:16">
      <c r="A72" s="1936" t="s">
        <v>204</v>
      </c>
      <c r="B72" s="276"/>
      <c r="C72" s="276"/>
      <c r="D72" s="276"/>
      <c r="E72" s="1939">
        <f>SUM(E70:E71)</f>
        <v>16274268.132431431</v>
      </c>
      <c r="O72" s="94"/>
      <c r="P72" s="94"/>
    </row>
    <row r="73" spans="1:16">
      <c r="A73" s="276"/>
      <c r="B73" s="276"/>
      <c r="C73" s="276"/>
      <c r="D73" s="276"/>
      <c r="E73" s="1939"/>
      <c r="O73" s="94"/>
      <c r="P73" s="94"/>
    </row>
    <row r="74" spans="1:16">
      <c r="A74" s="276"/>
      <c r="B74" s="275"/>
      <c r="C74" s="276"/>
      <c r="D74" s="276"/>
      <c r="E74" s="1939">
        <f>+'Total Pigs'!D316</f>
        <v>11497803.885657806</v>
      </c>
    </row>
    <row r="75" spans="1:16">
      <c r="A75" s="2064" t="s">
        <v>207</v>
      </c>
      <c r="B75" s="2062">
        <f>B70-'Summary Total Pigs'!AE194</f>
        <v>0</v>
      </c>
      <c r="C75" s="276"/>
      <c r="D75" s="276"/>
      <c r="E75" s="2063">
        <f>+E72-E74</f>
        <v>4776464.2467736248</v>
      </c>
    </row>
    <row r="77" spans="1:16">
      <c r="A77" s="94"/>
    </row>
    <row r="81" spans="5:8" hidden="1"/>
    <row r="82" spans="5:8" hidden="1"/>
    <row r="83" spans="5:8" hidden="1">
      <c r="F83" t="s">
        <v>208</v>
      </c>
      <c r="G83" t="s">
        <v>209</v>
      </c>
      <c r="H83" t="s">
        <v>210</v>
      </c>
    </row>
    <row r="84" spans="5:8" hidden="1">
      <c r="E84" t="s">
        <v>127</v>
      </c>
      <c r="G84" s="24">
        <f>SUM('Grasmere Pig Cost'!AJ62:AO62)</f>
        <v>1796247.1571052768</v>
      </c>
      <c r="H84" s="24">
        <f>I28-H28</f>
        <v>479650.86924522428</v>
      </c>
    </row>
    <row r="85" spans="5:8" hidden="1">
      <c r="E85" t="s">
        <v>189</v>
      </c>
    </row>
    <row r="86" spans="5:8" hidden="1">
      <c r="E86" t="s">
        <v>187</v>
      </c>
    </row>
    <row r="87" spans="5:8" hidden="1">
      <c r="E87" t="s">
        <v>211</v>
      </c>
    </row>
    <row r="88" spans="5:8" hidden="1">
      <c r="E88" t="s">
        <v>190</v>
      </c>
    </row>
    <row r="89" spans="5:8" hidden="1">
      <c r="E89" t="s">
        <v>186</v>
      </c>
    </row>
    <row r="90" spans="5:8" hidden="1"/>
  </sheetData>
  <pageMargins left="0.7" right="0.7" top="0.75" bottom="0.75" header="0.3" footer="0.3"/>
  <pageSetup paperSize="9" scale="9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68BD-DF9A-40EA-BEBC-B66EEE8AE7EA}">
  <sheetPr>
    <tabColor rgb="FFFFFF00"/>
  </sheetPr>
  <dimension ref="A1"/>
  <sheetViews>
    <sheetView workbookViewId="0"/>
  </sheetViews>
  <sheetFormatPr defaultRowHeight="13.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FFFF00"/>
  </sheetPr>
  <dimension ref="A1:BN25"/>
  <sheetViews>
    <sheetView zoomScaleNormal="100" workbookViewId="0">
      <pane xSplit="1" ySplit="3" topLeftCell="B4" activePane="bottomRight" state="frozen"/>
      <selection pane="bottomRight" activeCell="G18" sqref="G18"/>
      <selection pane="bottomLeft" activeCell="A4" sqref="A4"/>
      <selection pane="topRight" activeCell="B1" sqref="B1"/>
    </sheetView>
  </sheetViews>
  <sheetFormatPr defaultColWidth="9.140625" defaultRowHeight="13.15"/>
  <cols>
    <col min="1" max="1" width="13.85546875" style="74" bestFit="1" customWidth="1"/>
    <col min="2" max="2" width="2.42578125" style="705" customWidth="1"/>
    <col min="3" max="3" width="10.7109375" style="74" bestFit="1" customWidth="1"/>
    <col min="4" max="4" width="11" style="74" bestFit="1" customWidth="1"/>
    <col min="5" max="5" width="13.28515625" style="74" bestFit="1" customWidth="1"/>
    <col min="6" max="6" width="13.140625" style="74" bestFit="1" customWidth="1"/>
    <col min="7" max="10" width="13.140625" style="74" customWidth="1"/>
    <col min="11" max="11" width="9.140625" style="74"/>
    <col min="12" max="13" width="11" style="74" bestFit="1" customWidth="1"/>
    <col min="14" max="14" width="13.28515625" style="74" bestFit="1" customWidth="1"/>
    <col min="15" max="15" width="14.28515625" style="74" bestFit="1" customWidth="1"/>
    <col min="16" max="18" width="14.28515625" style="74" customWidth="1"/>
    <col min="19" max="20" width="9.140625" style="74"/>
    <col min="21" max="22" width="11" style="74" bestFit="1" customWidth="1"/>
    <col min="23" max="23" width="10.7109375" style="74" bestFit="1" customWidth="1"/>
    <col min="24" max="24" width="14.28515625" style="74" bestFit="1" customWidth="1"/>
    <col min="25" max="25" width="9.140625" style="74"/>
    <col min="26" max="26" width="12.28515625" style="74" bestFit="1" customWidth="1"/>
    <col min="27" max="28" width="9.140625" style="74"/>
    <col min="29" max="29" width="9.140625" style="705"/>
    <col min="30" max="30" width="11" style="74" bestFit="1" customWidth="1"/>
    <col min="31" max="31" width="9.140625" style="74"/>
    <col min="32" max="32" width="10.7109375" style="74" bestFit="1" customWidth="1"/>
    <col min="33" max="33" width="14.28515625" style="74" bestFit="1" customWidth="1"/>
    <col min="34" max="36" width="14.28515625" style="74" customWidth="1"/>
    <col min="37" max="37" width="9.140625" style="74"/>
    <col min="38" max="38" width="9.140625" style="705"/>
    <col min="39" max="39" width="11" style="74" bestFit="1" customWidth="1"/>
    <col min="40" max="40" width="9.140625" style="74"/>
    <col min="41" max="41" width="10.7109375" style="74" bestFit="1" customWidth="1"/>
    <col min="42" max="42" width="11" style="74" bestFit="1" customWidth="1"/>
    <col min="43" max="43" width="11" style="74" customWidth="1"/>
    <col min="44" max="44" width="12.28515625" style="74" bestFit="1" customWidth="1"/>
    <col min="45" max="45" width="11" style="74" customWidth="1"/>
    <col min="46" max="46" width="9.140625" style="74"/>
    <col min="47" max="47" width="9.140625" style="705"/>
    <col min="48" max="48" width="11" style="705" bestFit="1" customWidth="1"/>
    <col min="49" max="49" width="9.140625" style="705"/>
    <col min="50" max="50" width="10.7109375" style="705" bestFit="1" customWidth="1"/>
    <col min="51" max="51" width="11" style="705" bestFit="1" customWidth="1"/>
    <col min="52" max="52" width="14.85546875" style="705" bestFit="1" customWidth="1"/>
    <col min="53" max="53" width="12.28515625" style="705" bestFit="1" customWidth="1"/>
    <col min="54" max="56" width="9.140625" style="705"/>
    <col min="57" max="57" width="11" style="705" bestFit="1" customWidth="1"/>
    <col min="58" max="58" width="6.28515625" style="705" bestFit="1" customWidth="1"/>
    <col min="59" max="59" width="14.85546875" style="705" bestFit="1" customWidth="1"/>
    <col min="60" max="60" width="11" style="705" bestFit="1" customWidth="1"/>
    <col min="61" max="61" width="14.85546875" style="705" bestFit="1" customWidth="1"/>
    <col min="62" max="65" width="9.140625" style="705"/>
    <col min="66" max="66" width="12.85546875" style="74" bestFit="1" customWidth="1"/>
    <col min="67" max="16384" width="9.140625" style="74"/>
  </cols>
  <sheetData>
    <row r="1" spans="1:66">
      <c r="A1" s="1463" t="s">
        <v>56</v>
      </c>
      <c r="B1" s="1473"/>
    </row>
    <row r="2" spans="1:66">
      <c r="A2" s="1463"/>
      <c r="B2" s="1473"/>
    </row>
    <row r="3" spans="1:66">
      <c r="A3" s="1463"/>
      <c r="B3" s="1473"/>
      <c r="C3" s="2124" t="s">
        <v>212</v>
      </c>
      <c r="D3" s="2124"/>
      <c r="E3" s="2124"/>
      <c r="F3" s="2124"/>
      <c r="G3" s="2124"/>
      <c r="H3" s="2124"/>
      <c r="I3" s="804"/>
      <c r="J3" s="804"/>
      <c r="L3" s="2124" t="s">
        <v>212</v>
      </c>
      <c r="M3" s="2124"/>
      <c r="N3" s="2124"/>
      <c r="O3" s="2124"/>
      <c r="P3" s="2124"/>
      <c r="Q3" s="2124"/>
      <c r="R3" s="804"/>
      <c r="U3" s="2124" t="s">
        <v>212</v>
      </c>
      <c r="V3" s="2124"/>
      <c r="W3" s="2124"/>
      <c r="X3" s="2124"/>
      <c r="Y3" s="2124"/>
      <c r="Z3" s="2124"/>
      <c r="AD3" s="2124" t="s">
        <v>212</v>
      </c>
      <c r="AE3" s="2124"/>
      <c r="AF3" s="2124"/>
      <c r="AG3" s="2124"/>
      <c r="AH3" s="2124"/>
      <c r="AI3" s="2124"/>
      <c r="AM3" s="2124" t="s">
        <v>212</v>
      </c>
      <c r="AN3" s="2124"/>
      <c r="AO3" s="2124"/>
      <c r="AP3" s="2124"/>
      <c r="AQ3" s="2124"/>
      <c r="AR3" s="2124"/>
      <c r="AV3" s="2124" t="s">
        <v>212</v>
      </c>
      <c r="AW3" s="2124"/>
      <c r="AX3" s="2124"/>
      <c r="AY3" s="2124"/>
      <c r="AZ3" s="2124"/>
      <c r="BA3" s="2124"/>
      <c r="BE3" s="2124" t="s">
        <v>212</v>
      </c>
      <c r="BF3" s="2124"/>
      <c r="BG3" s="2124"/>
      <c r="BH3" s="2124"/>
      <c r="BI3" s="2124"/>
      <c r="BJ3" s="2124"/>
    </row>
    <row r="4" spans="1:66" s="51" customFormat="1">
      <c r="A4" s="1468"/>
      <c r="B4" s="1469"/>
      <c r="C4" s="1468" t="s">
        <v>127</v>
      </c>
      <c r="D4" s="1468"/>
      <c r="E4" s="1468"/>
      <c r="F4" s="1468"/>
      <c r="G4" s="1236"/>
      <c r="H4" s="1236"/>
      <c r="I4" s="1236"/>
      <c r="J4" s="1236"/>
      <c r="L4" s="1468" t="s">
        <v>213</v>
      </c>
      <c r="M4" s="1468"/>
      <c r="N4" s="1468"/>
      <c r="O4" s="1468"/>
      <c r="P4" s="1236"/>
      <c r="Q4" s="1236"/>
      <c r="R4" s="1236"/>
      <c r="U4" s="1468" t="s">
        <v>186</v>
      </c>
      <c r="V4" s="1468"/>
      <c r="W4" s="1468"/>
      <c r="X4" s="1468"/>
      <c r="Y4" s="1236"/>
      <c r="Z4" s="1236"/>
      <c r="AA4" s="1236"/>
      <c r="AC4" s="61"/>
      <c r="AD4" s="1468" t="s">
        <v>189</v>
      </c>
      <c r="AE4" s="1468"/>
      <c r="AF4" s="1468"/>
      <c r="AG4" s="1468"/>
      <c r="AH4" s="1236"/>
      <c r="AI4" s="1236"/>
      <c r="AJ4" s="1236"/>
      <c r="AL4" s="61"/>
      <c r="AM4" s="1468" t="s">
        <v>194</v>
      </c>
      <c r="AN4" s="1468"/>
      <c r="AO4" s="1468"/>
      <c r="AP4" s="1468"/>
      <c r="AQ4" s="1469"/>
      <c r="AR4" s="1469"/>
      <c r="AS4" s="1469"/>
      <c r="AU4" s="61"/>
      <c r="AV4" s="1468" t="s">
        <v>190</v>
      </c>
      <c r="AW4" s="1468"/>
      <c r="AX4" s="1468"/>
      <c r="AY4" s="1468"/>
      <c r="AZ4" s="1469"/>
      <c r="BA4" s="1469"/>
      <c r="BB4" s="1469"/>
      <c r="BD4" s="61"/>
      <c r="BE4" s="1468" t="s">
        <v>76</v>
      </c>
      <c r="BF4" s="1468"/>
      <c r="BG4" s="1468"/>
      <c r="BH4" s="1468"/>
      <c r="BI4" s="1469"/>
      <c r="BJ4" s="1469"/>
      <c r="BK4" s="1469"/>
      <c r="BM4" s="61"/>
    </row>
    <row r="5" spans="1:66">
      <c r="A5" s="1464"/>
      <c r="C5" s="1459" t="s">
        <v>213</v>
      </c>
      <c r="D5" s="1459" t="s">
        <v>189</v>
      </c>
      <c r="E5" s="1459" t="s">
        <v>214</v>
      </c>
      <c r="F5" s="1459" t="s">
        <v>206</v>
      </c>
      <c r="G5" s="1459" t="s">
        <v>190</v>
      </c>
      <c r="H5" s="1459" t="s">
        <v>76</v>
      </c>
      <c r="I5" s="1459" t="s">
        <v>71</v>
      </c>
      <c r="J5" s="1459"/>
      <c r="K5" s="61"/>
      <c r="L5" s="1459" t="s">
        <v>127</v>
      </c>
      <c r="M5" s="1459" t="s">
        <v>189</v>
      </c>
      <c r="N5" s="1459" t="s">
        <v>214</v>
      </c>
      <c r="O5" s="1459" t="s">
        <v>206</v>
      </c>
      <c r="P5" s="1459" t="s">
        <v>190</v>
      </c>
      <c r="Q5" s="1459" t="s">
        <v>76</v>
      </c>
      <c r="R5" s="1459" t="s">
        <v>71</v>
      </c>
      <c r="S5" s="1459"/>
      <c r="U5" s="1459" t="s">
        <v>127</v>
      </c>
      <c r="V5" s="1459" t="s">
        <v>189</v>
      </c>
      <c r="W5" s="1459" t="s">
        <v>213</v>
      </c>
      <c r="X5" s="1459" t="s">
        <v>206</v>
      </c>
      <c r="Y5" s="1459" t="s">
        <v>190</v>
      </c>
      <c r="Z5" s="1459" t="s">
        <v>76</v>
      </c>
      <c r="AA5" s="1459" t="s">
        <v>71</v>
      </c>
      <c r="AB5" s="1459"/>
      <c r="AC5" s="61"/>
      <c r="AD5" s="1459" t="s">
        <v>127</v>
      </c>
      <c r="AE5" s="1459" t="s">
        <v>186</v>
      </c>
      <c r="AF5" s="1459" t="s">
        <v>213</v>
      </c>
      <c r="AG5" s="1459" t="s">
        <v>206</v>
      </c>
      <c r="AH5" s="1459" t="s">
        <v>190</v>
      </c>
      <c r="AI5" s="1459" t="s">
        <v>76</v>
      </c>
      <c r="AJ5" s="1459" t="s">
        <v>71</v>
      </c>
      <c r="AK5" s="1459"/>
      <c r="AL5" s="61"/>
      <c r="AM5" s="1459" t="s">
        <v>127</v>
      </c>
      <c r="AN5" s="1459" t="s">
        <v>186</v>
      </c>
      <c r="AO5" s="1459" t="s">
        <v>213</v>
      </c>
      <c r="AP5" s="1459" t="s">
        <v>189</v>
      </c>
      <c r="AQ5" s="1459" t="s">
        <v>190</v>
      </c>
      <c r="AR5" s="1459" t="s">
        <v>76</v>
      </c>
      <c r="AS5" s="1459" t="s">
        <v>71</v>
      </c>
      <c r="AT5" s="1459"/>
      <c r="AU5" s="61"/>
      <c r="AV5" s="1459" t="s">
        <v>127</v>
      </c>
      <c r="AW5" s="1459" t="s">
        <v>186</v>
      </c>
      <c r="AX5" s="1459" t="s">
        <v>213</v>
      </c>
      <c r="AY5" s="1459" t="s">
        <v>189</v>
      </c>
      <c r="AZ5" s="1459" t="s">
        <v>194</v>
      </c>
      <c r="BA5" s="1459" t="s">
        <v>76</v>
      </c>
      <c r="BB5" s="1459" t="s">
        <v>71</v>
      </c>
      <c r="BC5" s="1459"/>
      <c r="BD5" s="61"/>
      <c r="BE5" s="1459" t="s">
        <v>127</v>
      </c>
      <c r="BF5" s="1459" t="s">
        <v>186</v>
      </c>
      <c r="BG5" s="1459" t="s">
        <v>215</v>
      </c>
      <c r="BH5" s="1459" t="s">
        <v>189</v>
      </c>
      <c r="BI5" s="1459" t="s">
        <v>194</v>
      </c>
      <c r="BJ5" s="1459" t="s">
        <v>190</v>
      </c>
      <c r="BK5" s="1459" t="s">
        <v>71</v>
      </c>
      <c r="BL5" s="1459"/>
      <c r="BM5" s="61"/>
      <c r="BN5" s="1459" t="s">
        <v>204</v>
      </c>
    </row>
    <row r="6" spans="1:66">
      <c r="A6" s="1471" t="s">
        <v>105</v>
      </c>
      <c r="B6" s="385"/>
      <c r="C6" s="1461">
        <f>+'Summary Total Pigs'!E12</f>
        <v>0</v>
      </c>
      <c r="D6" s="1461">
        <f>+'Summary Total Pigs'!G12</f>
        <v>0</v>
      </c>
      <c r="E6" s="1461">
        <f>+'Summary Total Pigs'!I12</f>
        <v>0</v>
      </c>
      <c r="F6" s="1461">
        <f>+'Summary Total Pigs'!F12</f>
        <v>0</v>
      </c>
      <c r="G6" s="1461">
        <f>+'Summary Total Pigs'!H12</f>
        <v>0</v>
      </c>
      <c r="H6" s="1461">
        <f>+'Summary Total Pigs'!K12</f>
        <v>0</v>
      </c>
      <c r="I6" s="1461">
        <f t="shared" ref="I6:I11" si="0">SUM(C6:H6)</f>
        <v>0</v>
      </c>
      <c r="J6" s="1461"/>
      <c r="K6" s="705"/>
      <c r="L6" s="1461">
        <f>+'Summary Total Pigs'!E50</f>
        <v>0</v>
      </c>
      <c r="M6" s="1461">
        <f>+'Summary Total Pigs'!G50</f>
        <v>0</v>
      </c>
      <c r="N6" s="1461">
        <f>+'Summary Total Pigs'!I50</f>
        <v>0</v>
      </c>
      <c r="O6" s="1461">
        <f>+'Summary Total Pigs'!F50</f>
        <v>0</v>
      </c>
      <c r="P6" s="1461">
        <f>+'Summary Total Pigs'!H50</f>
        <v>0</v>
      </c>
      <c r="Q6" s="1461">
        <f>+'Summary Total Pigs'!K50</f>
        <v>0</v>
      </c>
      <c r="R6" s="1461">
        <f t="shared" ref="R6:R11" si="1">SUM(L6:Q6)</f>
        <v>0</v>
      </c>
      <c r="S6" s="1461"/>
      <c r="U6" s="1461">
        <f>+'Summary Total Pigs'!E89</f>
        <v>0</v>
      </c>
      <c r="V6" s="1461">
        <f>+'Summary Total Pigs'!I89</f>
        <v>0</v>
      </c>
      <c r="W6" s="1461">
        <f>+'Summary Total Pigs'!F89</f>
        <v>0</v>
      </c>
      <c r="X6" s="1461">
        <f>+'Summary Total Pigs'!G89</f>
        <v>0</v>
      </c>
      <c r="Y6" s="1461">
        <f>+'Summary Total Pigs'!H89</f>
        <v>0</v>
      </c>
      <c r="Z6" s="1461">
        <f>+'Summary Total Pigs'!K89</f>
        <v>0</v>
      </c>
      <c r="AA6" s="1461">
        <f t="shared" ref="AA6:AA11" si="2">SUM(U6:Z6)</f>
        <v>0</v>
      </c>
      <c r="AB6" s="1461"/>
      <c r="AD6" s="1461">
        <f>+'Summary Total Pigs'!E108</f>
        <v>0</v>
      </c>
      <c r="AE6" s="1461">
        <f>+'Summary Total Pigs'!I108</f>
        <v>0</v>
      </c>
      <c r="AF6" s="1461">
        <f>+'Summary Total Pigs'!F108</f>
        <v>0</v>
      </c>
      <c r="AG6" s="1461">
        <f>+'Summary Total Pigs'!G108</f>
        <v>0</v>
      </c>
      <c r="AH6" s="1461">
        <f>+'Summary Total Pigs'!H108</f>
        <v>0</v>
      </c>
      <c r="AI6" s="1461">
        <f>+'Summary Total Pigs'!K108</f>
        <v>0</v>
      </c>
      <c r="AJ6" s="1461">
        <f t="shared" ref="AJ6:AJ11" si="3">SUM(AD6:AI6)</f>
        <v>0</v>
      </c>
      <c r="AK6" s="1461"/>
      <c r="AM6" s="1461">
        <f>+'Summary Total Pigs'!E69</f>
        <v>0</v>
      </c>
      <c r="AN6" s="1461">
        <f>+'Summary Total Pigs'!I69</f>
        <v>0</v>
      </c>
      <c r="AO6" s="1461">
        <f>+'Summary Total Pigs'!F69</f>
        <v>0</v>
      </c>
      <c r="AP6" s="1461">
        <f>+'Summary Total Pigs'!G69</f>
        <v>0</v>
      </c>
      <c r="AQ6" s="1461">
        <f>+'Summary Total Pigs'!H69</f>
        <v>0</v>
      </c>
      <c r="AR6" s="1461">
        <f>+'Summary Total Pigs'!K69</f>
        <v>0</v>
      </c>
      <c r="AS6" s="1461">
        <f t="shared" ref="AS6:AS11" si="4">SUM(AM6:AR6)</f>
        <v>0</v>
      </c>
      <c r="AT6" s="1461"/>
      <c r="AV6" s="1461">
        <f>+'Summary Total Pigs'!H31</f>
        <v>0</v>
      </c>
      <c r="AW6" s="1461">
        <f>+'Summary Total Pigs'!I31</f>
        <v>0</v>
      </c>
      <c r="AX6" s="1461">
        <f>+'Summary Total Pigs'!E31</f>
        <v>0</v>
      </c>
      <c r="AY6" s="1461">
        <f>+'Summary Total Pigs'!G31</f>
        <v>0</v>
      </c>
      <c r="AZ6" s="1461">
        <f>+'Summary Total Pigs'!F31</f>
        <v>0</v>
      </c>
      <c r="BA6" s="1461">
        <f>+'Summary Total Pigs'!K31</f>
        <v>0</v>
      </c>
      <c r="BB6" s="1461">
        <f t="shared" ref="BB6:BB11" si="5">SUM(AV6:BA6)</f>
        <v>0</v>
      </c>
      <c r="BC6" s="1461"/>
      <c r="BE6" s="1461">
        <f>+'Summary Total Pigs'!K127</f>
        <v>0</v>
      </c>
      <c r="BF6" s="1461">
        <f>+'Summary Total Pigs'!I127</f>
        <v>0</v>
      </c>
      <c r="BG6" s="1461">
        <f>+'Summary Total Pigs'!F127</f>
        <v>0</v>
      </c>
      <c r="BH6" s="1461">
        <f>+'Summary Total Pigs'!E127</f>
        <v>0</v>
      </c>
      <c r="BI6" s="1461">
        <f>+'Summary Total Pigs'!G127</f>
        <v>0</v>
      </c>
      <c r="BJ6" s="1461">
        <f>+'Summary Total Pigs'!H127</f>
        <v>0</v>
      </c>
      <c r="BK6" s="1461">
        <f t="shared" ref="BK6:BK11" si="6">SUM(BE6:BJ6)</f>
        <v>0</v>
      </c>
      <c r="BL6" s="1461"/>
      <c r="BN6" s="1460">
        <f t="shared" ref="BN6:BN11" si="7">SUM(C6:H6,L6:Q6,U6:Z6,AD6:AI6,AM6:AR6,AV6:BA6,BE6:BJ6)</f>
        <v>0</v>
      </c>
    </row>
    <row r="7" spans="1:66">
      <c r="A7" s="1471" t="s">
        <v>108</v>
      </c>
      <c r="B7" s="385"/>
      <c r="C7" s="1461">
        <f>+'Summary Total Pigs'!E13</f>
        <v>0</v>
      </c>
      <c r="D7" s="1461">
        <f>+'Summary Total Pigs'!G13</f>
        <v>0</v>
      </c>
      <c r="E7" s="1461">
        <f>+'Summary Total Pigs'!I13</f>
        <v>0</v>
      </c>
      <c r="F7" s="1461">
        <f>+'Summary Total Pigs'!F13</f>
        <v>0</v>
      </c>
      <c r="G7" s="1461">
        <f>+'Summary Total Pigs'!H13</f>
        <v>0</v>
      </c>
      <c r="H7" s="1461">
        <f>+'Summary Total Pigs'!K13</f>
        <v>0</v>
      </c>
      <c r="I7" s="1461">
        <f t="shared" si="0"/>
        <v>0</v>
      </c>
      <c r="J7" s="1461">
        <f>+'Summary Total Pigs'!I200</f>
        <v>0</v>
      </c>
      <c r="K7" s="705">
        <f>+I6+I7+I8-J7</f>
        <v>0</v>
      </c>
      <c r="L7" s="1461">
        <f>+'Summary Total Pigs'!E51</f>
        <v>0</v>
      </c>
      <c r="M7" s="1461">
        <f>+'Summary Total Pigs'!G51</f>
        <v>0</v>
      </c>
      <c r="N7" s="1461">
        <f>+'Summary Total Pigs'!I51</f>
        <v>0</v>
      </c>
      <c r="O7" s="1461">
        <f>+'Summary Total Pigs'!F51</f>
        <v>0</v>
      </c>
      <c r="P7" s="1461">
        <f>+'Summary Total Pigs'!H51</f>
        <v>0</v>
      </c>
      <c r="Q7" s="1461">
        <f>+'Summary Total Pigs'!K51</f>
        <v>0</v>
      </c>
      <c r="R7" s="1461">
        <f t="shared" si="1"/>
        <v>0</v>
      </c>
      <c r="S7" s="1461">
        <f>+'Summary Total Pigs'!I201</f>
        <v>0</v>
      </c>
      <c r="T7" s="74">
        <f>+R6+R7+R8-S7</f>
        <v>0</v>
      </c>
      <c r="U7" s="1461">
        <f>+'Summary Total Pigs'!E90</f>
        <v>0</v>
      </c>
      <c r="V7" s="1461">
        <f>+'Summary Total Pigs'!I90</f>
        <v>0</v>
      </c>
      <c r="W7" s="1461">
        <f>+'Summary Total Pigs'!F90</f>
        <v>0</v>
      </c>
      <c r="X7" s="1461">
        <f>+'Summary Total Pigs'!G90</f>
        <v>0</v>
      </c>
      <c r="Y7" s="1461">
        <f>+'Summary Total Pigs'!H90</f>
        <v>0</v>
      </c>
      <c r="Z7" s="1461">
        <f>+'Summary Total Pigs'!K90</f>
        <v>0</v>
      </c>
      <c r="AA7" s="1461">
        <f t="shared" si="2"/>
        <v>0</v>
      </c>
      <c r="AB7" s="1461">
        <f>+'Summary Total Pigs'!I202</f>
        <v>0</v>
      </c>
      <c r="AC7" s="705">
        <f>+AA6+AA7+AA8-AB7</f>
        <v>0</v>
      </c>
      <c r="AD7" s="1461">
        <f>+'Summary Total Pigs'!E109</f>
        <v>0</v>
      </c>
      <c r="AE7" s="1461">
        <f>+'Summary Total Pigs'!I109</f>
        <v>0</v>
      </c>
      <c r="AF7" s="1461">
        <f>+'Summary Total Pigs'!F109</f>
        <v>0</v>
      </c>
      <c r="AG7" s="1461">
        <f>+'Summary Total Pigs'!G109</f>
        <v>0</v>
      </c>
      <c r="AH7" s="1461">
        <f>+'Summary Total Pigs'!H109</f>
        <v>0</v>
      </c>
      <c r="AI7" s="1461">
        <f>+'Summary Total Pigs'!K109</f>
        <v>0</v>
      </c>
      <c r="AJ7" s="1461">
        <f t="shared" si="3"/>
        <v>0</v>
      </c>
      <c r="AK7" s="1461">
        <f>+'Summary Total Pigs'!I203</f>
        <v>0</v>
      </c>
      <c r="AL7" s="705">
        <f>+AJ6+AJ7+AJ8-AK7</f>
        <v>0</v>
      </c>
      <c r="AM7" s="1461">
        <f>+'Summary Total Pigs'!E70</f>
        <v>0</v>
      </c>
      <c r="AN7" s="1461">
        <f>+'Summary Total Pigs'!I70</f>
        <v>250</v>
      </c>
      <c r="AO7" s="1461">
        <f>+'Summary Total Pigs'!F70</f>
        <v>119</v>
      </c>
      <c r="AP7" s="1461">
        <f>+'Summary Total Pigs'!G70</f>
        <v>380</v>
      </c>
      <c r="AQ7" s="1461">
        <f>+'Summary Total Pigs'!H70</f>
        <v>0</v>
      </c>
      <c r="AR7" s="1461">
        <f>+'Summary Total Pigs'!K70</f>
        <v>140</v>
      </c>
      <c r="AS7" s="1461">
        <f t="shared" si="4"/>
        <v>889</v>
      </c>
      <c r="AT7" s="1461">
        <f>+'Summary Total Pigs'!I205</f>
        <v>889</v>
      </c>
      <c r="AU7" s="705">
        <f>+AS6+AS7+AS8-AT7</f>
        <v>0</v>
      </c>
      <c r="AV7" s="1461">
        <f>+'Summary Total Pigs'!H32</f>
        <v>1203</v>
      </c>
      <c r="AW7" s="1461">
        <f>+'Summary Total Pigs'!I32</f>
        <v>190</v>
      </c>
      <c r="AX7" s="1461">
        <f>+'Summary Total Pigs'!E32</f>
        <v>0</v>
      </c>
      <c r="AY7" s="1461">
        <f>+'Summary Total Pigs'!G32</f>
        <v>0</v>
      </c>
      <c r="AZ7" s="1461">
        <f>+'Summary Total Pigs'!F32</f>
        <v>0</v>
      </c>
      <c r="BA7" s="1461">
        <f>+'Summary Total Pigs'!K32</f>
        <v>108</v>
      </c>
      <c r="BB7" s="1461">
        <f t="shared" si="5"/>
        <v>1501</v>
      </c>
      <c r="BC7" s="1461">
        <f>+'Summary Total Pigs'!I204</f>
        <v>1501</v>
      </c>
      <c r="BD7" s="705">
        <f>+BB6+BB7+BB8-BC7</f>
        <v>0</v>
      </c>
      <c r="BE7" s="1461">
        <f>+'Summary Total Pigs'!K128</f>
        <v>0</v>
      </c>
      <c r="BF7" s="1461">
        <f>+'Summary Total Pigs'!I128</f>
        <v>0</v>
      </c>
      <c r="BG7" s="1461">
        <f>+'Summary Total Pigs'!F128</f>
        <v>0</v>
      </c>
      <c r="BH7" s="1461">
        <f>+'Summary Total Pigs'!E128</f>
        <v>0</v>
      </c>
      <c r="BI7" s="1461">
        <f>+'Summary Total Pigs'!G128</f>
        <v>0</v>
      </c>
      <c r="BJ7" s="1461">
        <f>+'Summary Total Pigs'!H128</f>
        <v>0</v>
      </c>
      <c r="BK7" s="1461">
        <f t="shared" si="6"/>
        <v>0</v>
      </c>
      <c r="BL7" s="1461">
        <f>+'Summary Total Pigs'!I206</f>
        <v>0</v>
      </c>
      <c r="BM7" s="705">
        <f>+BK6+BK7+BK8-BL7</f>
        <v>0</v>
      </c>
      <c r="BN7" s="1460">
        <f t="shared" si="7"/>
        <v>2390</v>
      </c>
    </row>
    <row r="8" spans="1:66">
      <c r="A8" s="1471" t="s">
        <v>109</v>
      </c>
      <c r="B8" s="385"/>
      <c r="C8" s="1461">
        <f>+'Summary Total Pigs'!E14</f>
        <v>0</v>
      </c>
      <c r="D8" s="1461">
        <f>+'Summary Total Pigs'!G14</f>
        <v>0</v>
      </c>
      <c r="E8" s="1461">
        <f>+'Summary Total Pigs'!I14</f>
        <v>0</v>
      </c>
      <c r="F8" s="1461">
        <f>+'Summary Total Pigs'!F14</f>
        <v>0</v>
      </c>
      <c r="G8" s="1461">
        <f>+'Summary Total Pigs'!H14</f>
        <v>0</v>
      </c>
      <c r="H8" s="1461">
        <f>+'Summary Total Pigs'!K14</f>
        <v>0</v>
      </c>
      <c r="I8" s="1461">
        <f t="shared" si="0"/>
        <v>0</v>
      </c>
      <c r="J8" s="1461"/>
      <c r="K8" s="705"/>
      <c r="L8" s="1461">
        <f>+'Summary Total Pigs'!E52</f>
        <v>0</v>
      </c>
      <c r="M8" s="1461">
        <f>+'Summary Total Pigs'!G52</f>
        <v>0</v>
      </c>
      <c r="N8" s="1461">
        <f>+'Summary Total Pigs'!I52</f>
        <v>0</v>
      </c>
      <c r="O8" s="1461">
        <f>+'Summary Total Pigs'!F52</f>
        <v>0</v>
      </c>
      <c r="P8" s="1461">
        <f>+'Summary Total Pigs'!H52</f>
        <v>0</v>
      </c>
      <c r="Q8" s="1461">
        <f>+'Summary Total Pigs'!K52</f>
        <v>0</v>
      </c>
      <c r="R8" s="1461">
        <f t="shared" si="1"/>
        <v>0</v>
      </c>
      <c r="S8" s="1461"/>
      <c r="U8" s="1461">
        <f>+'Summary Total Pigs'!E91</f>
        <v>0</v>
      </c>
      <c r="V8" s="1461">
        <f>+'Summary Total Pigs'!I91</f>
        <v>0</v>
      </c>
      <c r="W8" s="1461">
        <f>+'Summary Total Pigs'!F91</f>
        <v>0</v>
      </c>
      <c r="X8" s="1461">
        <f>+'Summary Total Pigs'!G91</f>
        <v>0</v>
      </c>
      <c r="Y8" s="1461">
        <f>+'Summary Total Pigs'!H91</f>
        <v>0</v>
      </c>
      <c r="Z8" s="1461">
        <f>+'Summary Total Pigs'!K91</f>
        <v>0</v>
      </c>
      <c r="AA8" s="1461">
        <f t="shared" si="2"/>
        <v>0</v>
      </c>
      <c r="AB8" s="1461"/>
      <c r="AD8" s="1461">
        <f>+'Summary Total Pigs'!E110</f>
        <v>0</v>
      </c>
      <c r="AE8" s="1461">
        <f>+'Summary Total Pigs'!I110</f>
        <v>0</v>
      </c>
      <c r="AF8" s="1461">
        <f>+'Summary Total Pigs'!F110</f>
        <v>0</v>
      </c>
      <c r="AG8" s="1461">
        <f>+'Summary Total Pigs'!G110</f>
        <v>0</v>
      </c>
      <c r="AH8" s="1461">
        <f>+'Summary Total Pigs'!H110</f>
        <v>0</v>
      </c>
      <c r="AI8" s="1461">
        <f>+'Summary Total Pigs'!K110</f>
        <v>0</v>
      </c>
      <c r="AJ8" s="1461">
        <f t="shared" si="3"/>
        <v>0</v>
      </c>
      <c r="AK8" s="1461"/>
      <c r="AM8" s="1461">
        <f>+'Summary Total Pigs'!E71</f>
        <v>0</v>
      </c>
      <c r="AN8" s="1461">
        <f>+'Summary Total Pigs'!I71</f>
        <v>0</v>
      </c>
      <c r="AO8" s="1461">
        <f>+'Summary Total Pigs'!F71</f>
        <v>0</v>
      </c>
      <c r="AP8" s="1461">
        <f>+'Summary Total Pigs'!G71</f>
        <v>0</v>
      </c>
      <c r="AQ8" s="1461">
        <f>+'Summary Total Pigs'!H71</f>
        <v>0</v>
      </c>
      <c r="AR8" s="1461">
        <f>+'Summary Total Pigs'!K71</f>
        <v>0</v>
      </c>
      <c r="AS8" s="1461">
        <f t="shared" si="4"/>
        <v>0</v>
      </c>
      <c r="AT8" s="1461"/>
      <c r="AV8" s="1461">
        <f>+'Summary Total Pigs'!H33</f>
        <v>0</v>
      </c>
      <c r="AW8" s="1461">
        <f>+'Summary Total Pigs'!I33</f>
        <v>0</v>
      </c>
      <c r="AX8" s="1461">
        <f>+'Summary Total Pigs'!E33</f>
        <v>0</v>
      </c>
      <c r="AY8" s="1461">
        <f>+'Summary Total Pigs'!G33</f>
        <v>0</v>
      </c>
      <c r="AZ8" s="1461">
        <f>+'Summary Total Pigs'!F33</f>
        <v>0</v>
      </c>
      <c r="BA8" s="1461">
        <f>+'Summary Total Pigs'!K33</f>
        <v>0</v>
      </c>
      <c r="BB8" s="1461">
        <f t="shared" si="5"/>
        <v>0</v>
      </c>
      <c r="BC8" s="1461"/>
      <c r="BE8" s="1461">
        <f>+'Summary Total Pigs'!K129</f>
        <v>0</v>
      </c>
      <c r="BF8" s="1461">
        <f>+'Summary Total Pigs'!I129</f>
        <v>0</v>
      </c>
      <c r="BG8" s="1461">
        <f>+'Summary Total Pigs'!F129</f>
        <v>0</v>
      </c>
      <c r="BH8" s="1461">
        <f>+'Summary Total Pigs'!E129</f>
        <v>0</v>
      </c>
      <c r="BI8" s="1461">
        <f>+'Summary Total Pigs'!G129</f>
        <v>0</v>
      </c>
      <c r="BJ8" s="1461">
        <f>+'Summary Total Pigs'!H129</f>
        <v>0</v>
      </c>
      <c r="BK8" s="1461">
        <f t="shared" si="6"/>
        <v>0</v>
      </c>
      <c r="BL8" s="1461"/>
      <c r="BN8" s="1460">
        <f t="shared" si="7"/>
        <v>0</v>
      </c>
    </row>
    <row r="9" spans="1:66">
      <c r="A9" s="1472" t="s">
        <v>111</v>
      </c>
      <c r="B9" s="385"/>
      <c r="C9" s="1467">
        <f>+'Summary Total Pigs'!E15</f>
        <v>0</v>
      </c>
      <c r="D9" s="1467">
        <f>+'Summary Total Pigs'!G15</f>
        <v>0</v>
      </c>
      <c r="E9" s="1467">
        <f>+'Summary Total Pigs'!I15</f>
        <v>0</v>
      </c>
      <c r="F9" s="1467">
        <f>+'Summary Total Pigs'!F15</f>
        <v>0</v>
      </c>
      <c r="G9" s="1467">
        <f>+'Summary Total Pigs'!H15</f>
        <v>0</v>
      </c>
      <c r="H9" s="1467">
        <f>+'Summary Total Pigs'!K15</f>
        <v>0</v>
      </c>
      <c r="I9" s="1467">
        <f t="shared" si="0"/>
        <v>0</v>
      </c>
      <c r="J9" s="1467">
        <f>+'Summary Total Pigs'!E200</f>
        <v>95</v>
      </c>
      <c r="K9" s="705">
        <f>+I9-J9</f>
        <v>-95</v>
      </c>
      <c r="L9" s="1467">
        <f>+'Summary Total Pigs'!E53</f>
        <v>0</v>
      </c>
      <c r="M9" s="1467">
        <f>+'Summary Total Pigs'!G53</f>
        <v>0</v>
      </c>
      <c r="N9" s="1467">
        <f>+'Summary Total Pigs'!I53</f>
        <v>0</v>
      </c>
      <c r="O9" s="1467">
        <f>+'Summary Total Pigs'!F53</f>
        <v>0</v>
      </c>
      <c r="P9" s="1467">
        <f>+'Summary Total Pigs'!H53</f>
        <v>0</v>
      </c>
      <c r="Q9" s="1467">
        <f>+'Summary Total Pigs'!K53</f>
        <v>0</v>
      </c>
      <c r="R9" s="1467">
        <f t="shared" si="1"/>
        <v>0</v>
      </c>
      <c r="S9" s="1467">
        <f>+'Summary Total Pigs'!E201</f>
        <v>43</v>
      </c>
      <c r="T9" s="74">
        <f>+R9-S9</f>
        <v>-43</v>
      </c>
      <c r="U9" s="1467">
        <f>+'Summary Total Pigs'!E92</f>
        <v>0</v>
      </c>
      <c r="V9" s="1467">
        <f>+'Summary Total Pigs'!I92</f>
        <v>0</v>
      </c>
      <c r="W9" s="1467">
        <f>+'Summary Total Pigs'!F92</f>
        <v>0</v>
      </c>
      <c r="X9" s="1467">
        <f>+'Summary Total Pigs'!G92</f>
        <v>0</v>
      </c>
      <c r="Y9" s="1467">
        <f>+'Summary Total Pigs'!H92</f>
        <v>0</v>
      </c>
      <c r="Z9" s="1467">
        <f>+'Summary Total Pigs'!K92</f>
        <v>0</v>
      </c>
      <c r="AA9" s="1467">
        <f t="shared" si="2"/>
        <v>0</v>
      </c>
      <c r="AB9" s="1467">
        <f>+'Summary Total Pigs'!E202</f>
        <v>17</v>
      </c>
      <c r="AC9" s="705">
        <f>+AA9-AB9</f>
        <v>-17</v>
      </c>
      <c r="AD9" s="1467">
        <f>+'Summary Total Pigs'!E111</f>
        <v>0</v>
      </c>
      <c r="AE9" s="1467">
        <f>+'Summary Total Pigs'!I111</f>
        <v>0</v>
      </c>
      <c r="AF9" s="1467">
        <f>+'Summary Total Pigs'!F111</f>
        <v>0</v>
      </c>
      <c r="AG9" s="1467">
        <f>+'Summary Total Pigs'!G111</f>
        <v>0</v>
      </c>
      <c r="AH9" s="1467">
        <f>+'Summary Total Pigs'!H111</f>
        <v>0</v>
      </c>
      <c r="AI9" s="1467">
        <f>+'Summary Total Pigs'!K111</f>
        <v>0</v>
      </c>
      <c r="AJ9" s="1467">
        <f t="shared" si="3"/>
        <v>0</v>
      </c>
      <c r="AK9" s="1467">
        <f>+'Summary Total Pigs'!E203</f>
        <v>0</v>
      </c>
      <c r="AL9" s="705">
        <f>+AJ9-AK9</f>
        <v>0</v>
      </c>
      <c r="AM9" s="1467">
        <f>+'Summary Total Pigs'!E72</f>
        <v>0</v>
      </c>
      <c r="AN9" s="1467">
        <f>+'Summary Total Pigs'!I72</f>
        <v>0</v>
      </c>
      <c r="AO9" s="1467">
        <f>+'Summary Total Pigs'!F72</f>
        <v>0</v>
      </c>
      <c r="AP9" s="1467">
        <f>+'Summary Total Pigs'!G72</f>
        <v>0</v>
      </c>
      <c r="AQ9" s="1467">
        <f>+'Summary Total Pigs'!H72</f>
        <v>0</v>
      </c>
      <c r="AR9" s="1467">
        <f>+'Summary Total Pigs'!K72</f>
        <v>0</v>
      </c>
      <c r="AS9" s="1467">
        <f t="shared" si="4"/>
        <v>0</v>
      </c>
      <c r="AT9" s="1467">
        <f>+'Summary Total Pigs'!E205</f>
        <v>0</v>
      </c>
      <c r="AU9" s="705">
        <f>+AS9-AT9</f>
        <v>0</v>
      </c>
      <c r="AV9" s="1467">
        <f>+'Summary Total Pigs'!H34</f>
        <v>0</v>
      </c>
      <c r="AW9" s="1467">
        <f>+'Summary Total Pigs'!I34</f>
        <v>0</v>
      </c>
      <c r="AX9" s="1467">
        <f>+'Summary Total Pigs'!E34</f>
        <v>0</v>
      </c>
      <c r="AY9" s="1467">
        <f>+'Summary Total Pigs'!G34</f>
        <v>0</v>
      </c>
      <c r="AZ9" s="1467">
        <f>+'Summary Total Pigs'!F34</f>
        <v>0</v>
      </c>
      <c r="BA9" s="1467">
        <f>+'Summary Total Pigs'!K34</f>
        <v>0</v>
      </c>
      <c r="BB9" s="1467">
        <f t="shared" si="5"/>
        <v>0</v>
      </c>
      <c r="BC9" s="1467">
        <f>+'Summary Total Pigs'!E204</f>
        <v>0</v>
      </c>
      <c r="BD9" s="705">
        <f>+BB9-BC9</f>
        <v>0</v>
      </c>
      <c r="BE9" s="1467">
        <f>+'Summary Total Pigs'!K130</f>
        <v>0</v>
      </c>
      <c r="BF9" s="1467">
        <f>+'Summary Total Pigs'!I130</f>
        <v>0</v>
      </c>
      <c r="BG9" s="1467">
        <f>+'Summary Total Pigs'!F130</f>
        <v>0</v>
      </c>
      <c r="BH9" s="1467">
        <f>+'Summary Total Pigs'!E130</f>
        <v>0</v>
      </c>
      <c r="BI9" s="1467">
        <f>+'Summary Total Pigs'!G130</f>
        <v>0</v>
      </c>
      <c r="BJ9" s="1467">
        <f>+'Summary Total Pigs'!H130</f>
        <v>0</v>
      </c>
      <c r="BK9" s="1467">
        <f t="shared" si="6"/>
        <v>0</v>
      </c>
      <c r="BL9" s="1467">
        <f>+'Summary Total Pigs'!E206</f>
        <v>11</v>
      </c>
      <c r="BM9" s="705">
        <f>+BK9-BL9</f>
        <v>-11</v>
      </c>
      <c r="BN9" s="1460">
        <f t="shared" si="7"/>
        <v>0</v>
      </c>
    </row>
    <row r="10" spans="1:66">
      <c r="A10" s="1472" t="s">
        <v>112</v>
      </c>
      <c r="B10" s="385"/>
      <c r="C10" s="1467">
        <f>+'Summary Total Pigs'!E16</f>
        <v>0</v>
      </c>
      <c r="D10" s="1467">
        <f>+'Summary Total Pigs'!G16</f>
        <v>0</v>
      </c>
      <c r="E10" s="1467">
        <f>+'Summary Total Pigs'!I16</f>
        <v>0</v>
      </c>
      <c r="F10" s="1467">
        <f>+'Summary Total Pigs'!F16</f>
        <v>0</v>
      </c>
      <c r="G10" s="1467">
        <f>+'Summary Total Pigs'!H16</f>
        <v>0</v>
      </c>
      <c r="H10" s="1467">
        <f>+'Summary Total Pigs'!K16</f>
        <v>0</v>
      </c>
      <c r="I10" s="1467">
        <f t="shared" si="0"/>
        <v>0</v>
      </c>
      <c r="J10" s="1467">
        <f>+'Summary Total Pigs'!G200</f>
        <v>0</v>
      </c>
      <c r="K10" s="74">
        <f>+I10+I11-J10</f>
        <v>0</v>
      </c>
      <c r="L10" s="1467">
        <f>+'Summary Total Pigs'!E54</f>
        <v>0</v>
      </c>
      <c r="M10" s="1467">
        <f>+'Summary Total Pigs'!G54</f>
        <v>0</v>
      </c>
      <c r="N10" s="1467">
        <f>+'Summary Total Pigs'!I54</f>
        <v>0</v>
      </c>
      <c r="O10" s="1467">
        <f>+'Summary Total Pigs'!F54</f>
        <v>0</v>
      </c>
      <c r="P10" s="1467">
        <f>+'Summary Total Pigs'!H54</f>
        <v>0</v>
      </c>
      <c r="Q10" s="1467">
        <f>+'Summary Total Pigs'!K54</f>
        <v>0</v>
      </c>
      <c r="R10" s="1467">
        <f t="shared" si="1"/>
        <v>0</v>
      </c>
      <c r="S10" s="1467">
        <f>+'Summary Total Pigs'!G201</f>
        <v>0</v>
      </c>
      <c r="T10" s="74">
        <f>+R10+R11-S10</f>
        <v>0</v>
      </c>
      <c r="U10" s="1467">
        <f>+'Summary Total Pigs'!E93</f>
        <v>0</v>
      </c>
      <c r="V10" s="1467">
        <f>+'Summary Total Pigs'!I93</f>
        <v>0</v>
      </c>
      <c r="W10" s="1467">
        <f>+'Summary Total Pigs'!F93</f>
        <v>0</v>
      </c>
      <c r="X10" s="1467">
        <f>+'Summary Total Pigs'!G93</f>
        <v>0</v>
      </c>
      <c r="Y10" s="1467">
        <f>+'Summary Total Pigs'!H93</f>
        <v>0</v>
      </c>
      <c r="Z10" s="1467">
        <f>+'Summary Total Pigs'!K93</f>
        <v>0</v>
      </c>
      <c r="AA10" s="1467">
        <f t="shared" si="2"/>
        <v>0</v>
      </c>
      <c r="AB10" s="1467">
        <f>+'Summary Total Pigs'!G202</f>
        <v>0</v>
      </c>
      <c r="AC10" s="705">
        <f>+AA10+AA11-AB10</f>
        <v>0</v>
      </c>
      <c r="AD10" s="1467">
        <f>+'Summary Total Pigs'!E112</f>
        <v>0</v>
      </c>
      <c r="AE10" s="1467">
        <f>+'Summary Total Pigs'!I112</f>
        <v>0</v>
      </c>
      <c r="AF10" s="1467">
        <f>+'Summary Total Pigs'!F112</f>
        <v>0</v>
      </c>
      <c r="AG10" s="1467">
        <f>+'Summary Total Pigs'!G112</f>
        <v>0</v>
      </c>
      <c r="AH10" s="1467">
        <f>+'Summary Total Pigs'!H112</f>
        <v>0</v>
      </c>
      <c r="AI10" s="1467">
        <f>+'Summary Total Pigs'!K112</f>
        <v>0</v>
      </c>
      <c r="AJ10" s="1467">
        <f t="shared" si="3"/>
        <v>0</v>
      </c>
      <c r="AK10" s="1467">
        <f>+'Summary Total Pigs'!G203</f>
        <v>0</v>
      </c>
      <c r="AL10" s="705">
        <f>+AJ10+AJ11-AK10</f>
        <v>0</v>
      </c>
      <c r="AM10" s="1467">
        <f>+'Summary Total Pigs'!E73</f>
        <v>0</v>
      </c>
      <c r="AN10" s="1467">
        <f>+'Summary Total Pigs'!I73</f>
        <v>0</v>
      </c>
      <c r="AO10" s="1467">
        <f>+'Summary Total Pigs'!F73</f>
        <v>0</v>
      </c>
      <c r="AP10" s="1467">
        <f>+'Summary Total Pigs'!G73</f>
        <v>0</v>
      </c>
      <c r="AQ10" s="1467">
        <f>+'Summary Total Pigs'!H73</f>
        <v>0</v>
      </c>
      <c r="AR10" s="1467">
        <f>+'Summary Total Pigs'!K73</f>
        <v>0</v>
      </c>
      <c r="AS10" s="1467">
        <f t="shared" si="4"/>
        <v>0</v>
      </c>
      <c r="AT10" s="1467">
        <f>+'Summary Total Pigs'!G205</f>
        <v>0</v>
      </c>
      <c r="AU10" s="705">
        <f>+AS10+AS11-AT10</f>
        <v>0</v>
      </c>
      <c r="AV10" s="1467">
        <f>+'Summary Total Pigs'!H35</f>
        <v>0</v>
      </c>
      <c r="AW10" s="1467">
        <f>+'Summary Total Pigs'!I35</f>
        <v>0</v>
      </c>
      <c r="AX10" s="1467">
        <f>+'Summary Total Pigs'!E35</f>
        <v>0</v>
      </c>
      <c r="AY10" s="1467">
        <f>+'Summary Total Pigs'!G35</f>
        <v>0</v>
      </c>
      <c r="AZ10" s="1467">
        <f>+'Summary Total Pigs'!F35</f>
        <v>0</v>
      </c>
      <c r="BA10" s="1467">
        <f>+'Summary Total Pigs'!K35</f>
        <v>0</v>
      </c>
      <c r="BB10" s="1467">
        <f t="shared" si="5"/>
        <v>0</v>
      </c>
      <c r="BC10" s="1467">
        <f>+'Summary Total Pigs'!G204</f>
        <v>0</v>
      </c>
      <c r="BD10" s="705">
        <f>+BB10+BB11-BC10</f>
        <v>0</v>
      </c>
      <c r="BE10" s="1467">
        <f>+'Summary Total Pigs'!K131</f>
        <v>0</v>
      </c>
      <c r="BF10" s="1467">
        <f>+'Summary Total Pigs'!I131</f>
        <v>0</v>
      </c>
      <c r="BG10" s="1467">
        <f>+'Summary Total Pigs'!F131</f>
        <v>0</v>
      </c>
      <c r="BH10" s="1467">
        <f>+'Summary Total Pigs'!E131</f>
        <v>0</v>
      </c>
      <c r="BI10" s="1467">
        <f>+'Summary Total Pigs'!G131</f>
        <v>0</v>
      </c>
      <c r="BJ10" s="1467">
        <f>+'Summary Total Pigs'!H131</f>
        <v>0</v>
      </c>
      <c r="BK10" s="1467">
        <f t="shared" si="6"/>
        <v>0</v>
      </c>
      <c r="BL10" s="1467">
        <f>+'Summary Total Pigs'!G206</f>
        <v>1</v>
      </c>
      <c r="BM10" s="705">
        <f>+BK10+BK11-BL10</f>
        <v>0</v>
      </c>
      <c r="BN10" s="1460">
        <f t="shared" si="7"/>
        <v>0</v>
      </c>
    </row>
    <row r="11" spans="1:66">
      <c r="A11" s="1472" t="s">
        <v>113</v>
      </c>
      <c r="B11" s="385"/>
      <c r="C11" s="1467">
        <f>+'Summary Total Pigs'!E17</f>
        <v>0</v>
      </c>
      <c r="D11" s="1467">
        <f>+'Summary Total Pigs'!G17</f>
        <v>0</v>
      </c>
      <c r="E11" s="1467">
        <f>+'Summary Total Pigs'!I17</f>
        <v>0</v>
      </c>
      <c r="F11" s="1467">
        <f>+'Summary Total Pigs'!F17</f>
        <v>0</v>
      </c>
      <c r="G11" s="1467">
        <f>+'Summary Total Pigs'!H17</f>
        <v>0</v>
      </c>
      <c r="H11" s="1467">
        <f>+'Summary Total Pigs'!K17</f>
        <v>0</v>
      </c>
      <c r="I11" s="1467">
        <f t="shared" si="0"/>
        <v>0</v>
      </c>
      <c r="J11" s="1467"/>
      <c r="L11" s="1467">
        <f>+'Summary Total Pigs'!E55</f>
        <v>0</v>
      </c>
      <c r="M11" s="1467">
        <f>+'Summary Total Pigs'!G55</f>
        <v>0</v>
      </c>
      <c r="N11" s="1467">
        <f>+'Summary Total Pigs'!I55</f>
        <v>0</v>
      </c>
      <c r="O11" s="1467">
        <f>+'Summary Total Pigs'!F55</f>
        <v>0</v>
      </c>
      <c r="P11" s="1467">
        <f>+'Summary Total Pigs'!H55</f>
        <v>0</v>
      </c>
      <c r="Q11" s="1467">
        <f>+'Summary Total Pigs'!K55</f>
        <v>0</v>
      </c>
      <c r="R11" s="1467">
        <f t="shared" si="1"/>
        <v>0</v>
      </c>
      <c r="S11" s="1467"/>
      <c r="U11" s="1467">
        <f>+'Summary Total Pigs'!E94</f>
        <v>0</v>
      </c>
      <c r="V11" s="1467">
        <f>+'Summary Total Pigs'!I94</f>
        <v>0</v>
      </c>
      <c r="W11" s="1467">
        <f>+'Summary Total Pigs'!F94</f>
        <v>0</v>
      </c>
      <c r="X11" s="1467">
        <f>+'Summary Total Pigs'!G94</f>
        <v>0</v>
      </c>
      <c r="Y11" s="1467">
        <f>+'Summary Total Pigs'!H94</f>
        <v>0</v>
      </c>
      <c r="Z11" s="1467">
        <f>+'Summary Total Pigs'!K94</f>
        <v>0</v>
      </c>
      <c r="AA11" s="1467">
        <f t="shared" si="2"/>
        <v>0</v>
      </c>
      <c r="AB11" s="1467"/>
      <c r="AD11" s="1467">
        <f>+'Summary Total Pigs'!E113</f>
        <v>0</v>
      </c>
      <c r="AE11" s="1467">
        <f>+'Summary Total Pigs'!I113</f>
        <v>0</v>
      </c>
      <c r="AF11" s="1467">
        <f>+'Summary Total Pigs'!F113</f>
        <v>0</v>
      </c>
      <c r="AG11" s="1467">
        <f>+'Summary Total Pigs'!G113</f>
        <v>0</v>
      </c>
      <c r="AH11" s="1467">
        <f>+'Summary Total Pigs'!H113</f>
        <v>0</v>
      </c>
      <c r="AI11" s="1467">
        <f>+'Summary Total Pigs'!K113</f>
        <v>0</v>
      </c>
      <c r="AJ11" s="1467">
        <f t="shared" si="3"/>
        <v>0</v>
      </c>
      <c r="AK11" s="1467"/>
      <c r="AM11" s="1467">
        <f>+'Summary Total Pigs'!E74</f>
        <v>0</v>
      </c>
      <c r="AN11" s="1467">
        <f>+'Summary Total Pigs'!I74</f>
        <v>0</v>
      </c>
      <c r="AO11" s="1467">
        <f>+'Summary Total Pigs'!F74</f>
        <v>0</v>
      </c>
      <c r="AP11" s="1467">
        <f>+'Summary Total Pigs'!G74</f>
        <v>0</v>
      </c>
      <c r="AQ11" s="1467">
        <f>+'Summary Total Pigs'!H74</f>
        <v>0</v>
      </c>
      <c r="AR11" s="1467">
        <f>+'Summary Total Pigs'!K74</f>
        <v>0</v>
      </c>
      <c r="AS11" s="1467">
        <f t="shared" si="4"/>
        <v>0</v>
      </c>
      <c r="AT11" s="1467"/>
      <c r="AV11" s="1467">
        <f>+'Summary Total Pigs'!H36</f>
        <v>0</v>
      </c>
      <c r="AW11" s="1467">
        <f>+'Summary Total Pigs'!I36</f>
        <v>0</v>
      </c>
      <c r="AX11" s="1467">
        <f>+'Summary Total Pigs'!E36</f>
        <v>0</v>
      </c>
      <c r="AY11" s="1467">
        <f>+'Summary Total Pigs'!G36</f>
        <v>0</v>
      </c>
      <c r="AZ11" s="1467">
        <f>+'Summary Total Pigs'!F36</f>
        <v>0</v>
      </c>
      <c r="BA11" s="1467">
        <f>+'Summary Total Pigs'!K36</f>
        <v>0</v>
      </c>
      <c r="BB11" s="1467">
        <f t="shared" si="5"/>
        <v>0</v>
      </c>
      <c r="BC11" s="1467"/>
      <c r="BE11" s="1467">
        <f>+'Summary Total Pigs'!K132</f>
        <v>1</v>
      </c>
      <c r="BF11" s="1467">
        <f>+'Summary Total Pigs'!I132</f>
        <v>0</v>
      </c>
      <c r="BG11" s="1467">
        <f>+'Summary Total Pigs'!F132</f>
        <v>0</v>
      </c>
      <c r="BH11" s="1467">
        <f>+'Summary Total Pigs'!E132</f>
        <v>0</v>
      </c>
      <c r="BI11" s="1467">
        <f>+'Summary Total Pigs'!G132</f>
        <v>0</v>
      </c>
      <c r="BJ11" s="1467">
        <f>+'Summary Total Pigs'!H132</f>
        <v>0</v>
      </c>
      <c r="BK11" s="1467">
        <f t="shared" si="6"/>
        <v>1</v>
      </c>
      <c r="BL11" s="1467"/>
      <c r="BN11" s="1460">
        <f t="shared" si="7"/>
        <v>1</v>
      </c>
    </row>
    <row r="12" spans="1:66" ht="13.9" thickBot="1">
      <c r="A12" s="61"/>
      <c r="B12" s="61"/>
      <c r="C12" s="1465">
        <f t="shared" ref="C12:J12" si="8">SUM(C6:C11)</f>
        <v>0</v>
      </c>
      <c r="D12" s="1465">
        <f t="shared" si="8"/>
        <v>0</v>
      </c>
      <c r="E12" s="1465">
        <f t="shared" si="8"/>
        <v>0</v>
      </c>
      <c r="F12" s="1465">
        <f t="shared" si="8"/>
        <v>0</v>
      </c>
      <c r="G12" s="1465">
        <f t="shared" si="8"/>
        <v>0</v>
      </c>
      <c r="H12" s="1465">
        <f t="shared" si="8"/>
        <v>0</v>
      </c>
      <c r="I12" s="1465">
        <f t="shared" si="8"/>
        <v>0</v>
      </c>
      <c r="J12" s="1465">
        <f t="shared" si="8"/>
        <v>95</v>
      </c>
      <c r="K12" s="74">
        <f>+I12-J12</f>
        <v>-95</v>
      </c>
      <c r="L12" s="1462">
        <f>SUM(L6:L11)</f>
        <v>0</v>
      </c>
      <c r="M12" s="1462">
        <f t="shared" ref="M12:S12" si="9">SUM(M6:M11)</f>
        <v>0</v>
      </c>
      <c r="N12" s="1462">
        <f t="shared" si="9"/>
        <v>0</v>
      </c>
      <c r="O12" s="1462">
        <f t="shared" si="9"/>
        <v>0</v>
      </c>
      <c r="P12" s="1462">
        <f t="shared" si="9"/>
        <v>0</v>
      </c>
      <c r="Q12" s="1462">
        <f t="shared" si="9"/>
        <v>0</v>
      </c>
      <c r="R12" s="1462">
        <f t="shared" si="9"/>
        <v>0</v>
      </c>
      <c r="S12" s="1462">
        <f t="shared" si="9"/>
        <v>43</v>
      </c>
      <c r="U12" s="1462">
        <f>SUM(U6:U11)</f>
        <v>0</v>
      </c>
      <c r="V12" s="1462">
        <f t="shared" ref="V12:AB12" si="10">SUM(V6:V11)</f>
        <v>0</v>
      </c>
      <c r="W12" s="1462">
        <f t="shared" si="10"/>
        <v>0</v>
      </c>
      <c r="X12" s="1462">
        <f t="shared" si="10"/>
        <v>0</v>
      </c>
      <c r="Y12" s="1462">
        <f t="shared" si="10"/>
        <v>0</v>
      </c>
      <c r="Z12" s="1462">
        <f t="shared" si="10"/>
        <v>0</v>
      </c>
      <c r="AA12" s="1462">
        <f t="shared" si="10"/>
        <v>0</v>
      </c>
      <c r="AB12" s="1462">
        <f t="shared" si="10"/>
        <v>17</v>
      </c>
      <c r="AD12" s="1462">
        <f>SUM(AD6:AD11)</f>
        <v>0</v>
      </c>
      <c r="AE12" s="1462">
        <f t="shared" ref="AE12:AK12" si="11">SUM(AE6:AE11)</f>
        <v>0</v>
      </c>
      <c r="AF12" s="1462">
        <f t="shared" si="11"/>
        <v>0</v>
      </c>
      <c r="AG12" s="1462">
        <f t="shared" si="11"/>
        <v>0</v>
      </c>
      <c r="AH12" s="1462">
        <f t="shared" si="11"/>
        <v>0</v>
      </c>
      <c r="AI12" s="1462">
        <f t="shared" si="11"/>
        <v>0</v>
      </c>
      <c r="AJ12" s="1462">
        <f t="shared" si="11"/>
        <v>0</v>
      </c>
      <c r="AK12" s="1462">
        <f t="shared" si="11"/>
        <v>0</v>
      </c>
      <c r="AM12" s="1462">
        <f>SUM(AM6:AM11)</f>
        <v>0</v>
      </c>
      <c r="AN12" s="1462">
        <f t="shared" ref="AN12:AT12" si="12">SUM(AN6:AN11)</f>
        <v>250</v>
      </c>
      <c r="AO12" s="1462">
        <f t="shared" si="12"/>
        <v>119</v>
      </c>
      <c r="AP12" s="1462">
        <f t="shared" si="12"/>
        <v>380</v>
      </c>
      <c r="AQ12" s="1462">
        <f t="shared" si="12"/>
        <v>0</v>
      </c>
      <c r="AR12" s="1462">
        <f t="shared" si="12"/>
        <v>140</v>
      </c>
      <c r="AS12" s="1462">
        <f t="shared" si="12"/>
        <v>889</v>
      </c>
      <c r="AT12" s="1462">
        <f t="shared" si="12"/>
        <v>889</v>
      </c>
      <c r="AV12" s="1462">
        <f>SUM(AV6:AV11)</f>
        <v>1203</v>
      </c>
      <c r="AW12" s="1462">
        <f t="shared" ref="AW12:BC12" si="13">SUM(AW6:AW11)</f>
        <v>190</v>
      </c>
      <c r="AX12" s="1462">
        <f t="shared" si="13"/>
        <v>0</v>
      </c>
      <c r="AY12" s="1462">
        <f t="shared" si="13"/>
        <v>0</v>
      </c>
      <c r="AZ12" s="1462">
        <f t="shared" si="13"/>
        <v>0</v>
      </c>
      <c r="BA12" s="1462">
        <f t="shared" si="13"/>
        <v>108</v>
      </c>
      <c r="BB12" s="1462">
        <f t="shared" si="13"/>
        <v>1501</v>
      </c>
      <c r="BC12" s="1462">
        <f t="shared" si="13"/>
        <v>1501</v>
      </c>
      <c r="BE12" s="1462">
        <f>SUM(BE6:BE11)</f>
        <v>1</v>
      </c>
      <c r="BF12" s="1462">
        <f t="shared" ref="BF12:BL12" si="14">SUM(BF6:BF11)</f>
        <v>0</v>
      </c>
      <c r="BG12" s="1462">
        <f t="shared" si="14"/>
        <v>0</v>
      </c>
      <c r="BH12" s="1462">
        <f t="shared" si="14"/>
        <v>0</v>
      </c>
      <c r="BI12" s="1462">
        <f t="shared" si="14"/>
        <v>0</v>
      </c>
      <c r="BJ12" s="1462">
        <f t="shared" si="14"/>
        <v>0</v>
      </c>
      <c r="BK12" s="1462">
        <f t="shared" si="14"/>
        <v>1</v>
      </c>
      <c r="BL12" s="1462">
        <f t="shared" si="14"/>
        <v>12</v>
      </c>
      <c r="BN12" s="1466">
        <f>SUM(BN6:BN11)</f>
        <v>2391</v>
      </c>
    </row>
    <row r="13" spans="1:66">
      <c r="A13" s="61"/>
      <c r="B13" s="61"/>
      <c r="C13" s="61"/>
      <c r="D13" s="61"/>
      <c r="E13" s="61"/>
      <c r="F13" s="61"/>
      <c r="G13" s="61"/>
      <c r="H13" s="61"/>
      <c r="I13" s="61"/>
      <c r="J13" s="61"/>
      <c r="L13" s="705"/>
      <c r="M13" s="705"/>
      <c r="N13" s="705"/>
      <c r="O13" s="705"/>
      <c r="P13" s="705"/>
      <c r="Q13" s="705"/>
      <c r="R13" s="705"/>
      <c r="U13" s="705"/>
      <c r="V13" s="705"/>
      <c r="W13" s="705"/>
      <c r="X13" s="705"/>
      <c r="Y13" s="705"/>
      <c r="Z13" s="705"/>
      <c r="AA13" s="705"/>
      <c r="AD13" s="705"/>
      <c r="AE13" s="705"/>
      <c r="AF13" s="705"/>
      <c r="AG13" s="705"/>
      <c r="AH13" s="705"/>
      <c r="AI13" s="705"/>
      <c r="AJ13" s="705"/>
      <c r="AM13" s="705"/>
      <c r="AN13" s="705"/>
      <c r="AO13" s="705"/>
      <c r="AP13" s="705"/>
      <c r="AQ13" s="705"/>
      <c r="AR13" s="705"/>
      <c r="AS13" s="705"/>
      <c r="BN13" s="705"/>
    </row>
    <row r="14" spans="1:66">
      <c r="A14" s="1463"/>
      <c r="B14" s="1473"/>
      <c r="C14" s="2124" t="s">
        <v>216</v>
      </c>
      <c r="D14" s="2124"/>
      <c r="E14" s="2124"/>
      <c r="F14" s="2124"/>
      <c r="G14" s="2124"/>
      <c r="H14" s="2124"/>
      <c r="I14" s="804"/>
      <c r="J14" s="804"/>
      <c r="L14" s="2124" t="s">
        <v>216</v>
      </c>
      <c r="M14" s="2124"/>
      <c r="N14" s="2124"/>
      <c r="O14" s="2124"/>
      <c r="P14" s="2124"/>
      <c r="Q14" s="2124"/>
      <c r="R14" s="804"/>
      <c r="U14" s="2124" t="s">
        <v>216</v>
      </c>
      <c r="V14" s="2124"/>
      <c r="W14" s="2124"/>
      <c r="X14" s="2124"/>
      <c r="Y14" s="2124"/>
      <c r="Z14" s="2124"/>
      <c r="AD14" s="2124" t="s">
        <v>216</v>
      </c>
      <c r="AE14" s="2124"/>
      <c r="AF14" s="2124"/>
      <c r="AG14" s="2124"/>
      <c r="AH14" s="2124"/>
      <c r="AI14" s="2124"/>
      <c r="AM14" s="2124" t="s">
        <v>216</v>
      </c>
      <c r="AN14" s="2124"/>
      <c r="AO14" s="2124"/>
      <c r="AP14" s="2124"/>
      <c r="AQ14" s="2124"/>
      <c r="AR14" s="2124"/>
      <c r="AV14" s="2124" t="s">
        <v>216</v>
      </c>
      <c r="AW14" s="2124"/>
      <c r="AX14" s="2124"/>
      <c r="AY14" s="2124"/>
      <c r="AZ14" s="2124"/>
      <c r="BA14" s="2124"/>
      <c r="BE14" s="2124" t="s">
        <v>216</v>
      </c>
      <c r="BF14" s="2124"/>
      <c r="BG14" s="2124"/>
      <c r="BH14" s="2124"/>
      <c r="BI14" s="2124"/>
      <c r="BJ14" s="2124"/>
    </row>
    <row r="15" spans="1:66" s="51" customFormat="1">
      <c r="A15" s="1468"/>
      <c r="B15" s="1469"/>
      <c r="C15" s="1468" t="s">
        <v>127</v>
      </c>
      <c r="D15" s="1468"/>
      <c r="E15" s="1468"/>
      <c r="F15" s="1468"/>
      <c r="G15" s="1236"/>
      <c r="H15" s="1236"/>
      <c r="I15" s="1236"/>
      <c r="J15" s="1236"/>
      <c r="L15" s="1468" t="s">
        <v>213</v>
      </c>
      <c r="M15" s="1468"/>
      <c r="N15" s="1468"/>
      <c r="O15" s="1468"/>
      <c r="P15" s="1236"/>
      <c r="Q15" s="1236"/>
      <c r="R15" s="1236"/>
      <c r="U15" s="1468" t="s">
        <v>186</v>
      </c>
      <c r="V15" s="1468"/>
      <c r="W15" s="1468"/>
      <c r="X15" s="1468"/>
      <c r="Y15" s="1236"/>
      <c r="Z15" s="1236"/>
      <c r="AA15" s="1236"/>
      <c r="AC15" s="61"/>
      <c r="AD15" s="2125" t="s">
        <v>189</v>
      </c>
      <c r="AE15" s="2125"/>
      <c r="AF15" s="2125"/>
      <c r="AG15" s="2125"/>
      <c r="AH15" s="1236"/>
      <c r="AI15" s="1236"/>
      <c r="AJ15" s="1236"/>
      <c r="AL15" s="61"/>
      <c r="AM15" s="1468" t="s">
        <v>206</v>
      </c>
      <c r="AN15" s="1468"/>
      <c r="AO15" s="1468"/>
      <c r="AP15" s="1468"/>
      <c r="AQ15" s="1469"/>
      <c r="AR15" s="1469"/>
      <c r="AS15" s="1469"/>
      <c r="AU15" s="61"/>
      <c r="AV15" s="61" t="s">
        <v>190</v>
      </c>
      <c r="AW15" s="61"/>
      <c r="AX15" s="61"/>
      <c r="AY15" s="61"/>
      <c r="AZ15" s="61"/>
      <c r="BA15" s="61"/>
      <c r="BB15" s="61"/>
      <c r="BC15" s="61"/>
      <c r="BD15" s="61"/>
      <c r="BE15" s="1468" t="s">
        <v>76</v>
      </c>
      <c r="BF15" s="61"/>
      <c r="BG15" s="61"/>
      <c r="BH15" s="61"/>
      <c r="BI15" s="61"/>
      <c r="BJ15" s="61"/>
      <c r="BK15" s="61"/>
      <c r="BL15" s="61"/>
      <c r="BM15" s="61"/>
    </row>
    <row r="16" spans="1:66">
      <c r="A16" s="1464"/>
      <c r="C16" s="1459" t="s">
        <v>213</v>
      </c>
      <c r="D16" s="1459" t="s">
        <v>189</v>
      </c>
      <c r="E16" s="1459" t="s">
        <v>214</v>
      </c>
      <c r="F16" s="1459" t="s">
        <v>206</v>
      </c>
      <c r="G16" s="1459" t="s">
        <v>190</v>
      </c>
      <c r="H16" s="1459" t="s">
        <v>76</v>
      </c>
      <c r="I16" s="1459" t="s">
        <v>71</v>
      </c>
      <c r="J16" s="1459"/>
      <c r="K16" s="61"/>
      <c r="L16" s="1459" t="s">
        <v>127</v>
      </c>
      <c r="M16" s="1459" t="s">
        <v>189</v>
      </c>
      <c r="N16" s="1459" t="s">
        <v>214</v>
      </c>
      <c r="O16" s="1459" t="s">
        <v>206</v>
      </c>
      <c r="P16" s="1459" t="s">
        <v>190</v>
      </c>
      <c r="Q16" s="1459" t="s">
        <v>76</v>
      </c>
      <c r="R16" s="1459" t="s">
        <v>71</v>
      </c>
      <c r="S16" s="1459"/>
      <c r="U16" s="1459" t="s">
        <v>127</v>
      </c>
      <c r="V16" s="1459" t="s">
        <v>189</v>
      </c>
      <c r="W16" s="1459" t="s">
        <v>213</v>
      </c>
      <c r="X16" s="1459" t="s">
        <v>206</v>
      </c>
      <c r="Y16" s="1459" t="s">
        <v>190</v>
      </c>
      <c r="Z16" s="1459" t="s">
        <v>76</v>
      </c>
      <c r="AA16" s="1459" t="s">
        <v>71</v>
      </c>
      <c r="AB16" s="1459"/>
      <c r="AC16" s="61"/>
      <c r="AD16" s="1459" t="s">
        <v>127</v>
      </c>
      <c r="AE16" s="1459" t="s">
        <v>186</v>
      </c>
      <c r="AF16" s="1459" t="s">
        <v>213</v>
      </c>
      <c r="AG16" s="1459" t="s">
        <v>206</v>
      </c>
      <c r="AH16" s="1459" t="s">
        <v>190</v>
      </c>
      <c r="AI16" s="1459" t="s">
        <v>76</v>
      </c>
      <c r="AJ16" s="1459" t="s">
        <v>71</v>
      </c>
      <c r="AK16" s="1459"/>
      <c r="AL16" s="61"/>
      <c r="AM16" s="1459" t="s">
        <v>127</v>
      </c>
      <c r="AN16" s="1459" t="s">
        <v>186</v>
      </c>
      <c r="AO16" s="1459" t="s">
        <v>213</v>
      </c>
      <c r="AP16" s="1459" t="s">
        <v>189</v>
      </c>
      <c r="AQ16" s="1459" t="s">
        <v>190</v>
      </c>
      <c r="AR16" s="1459" t="s">
        <v>76</v>
      </c>
      <c r="AS16" s="1459" t="s">
        <v>71</v>
      </c>
      <c r="AT16" s="1459"/>
      <c r="AU16" s="61"/>
      <c r="AV16" s="1459" t="s">
        <v>127</v>
      </c>
      <c r="AW16" s="1459" t="s">
        <v>186</v>
      </c>
      <c r="AX16" s="1459" t="s">
        <v>213</v>
      </c>
      <c r="AY16" s="1459" t="s">
        <v>189</v>
      </c>
      <c r="AZ16" s="1459" t="s">
        <v>194</v>
      </c>
      <c r="BA16" s="1459" t="s">
        <v>76</v>
      </c>
      <c r="BB16" s="1459" t="s">
        <v>71</v>
      </c>
      <c r="BC16" s="1459"/>
      <c r="BD16" s="61"/>
      <c r="BE16" s="1459" t="s">
        <v>127</v>
      </c>
      <c r="BF16" s="1459" t="s">
        <v>186</v>
      </c>
      <c r="BG16" s="1459" t="s">
        <v>213</v>
      </c>
      <c r="BH16" s="1459" t="s">
        <v>189</v>
      </c>
      <c r="BI16" s="1459" t="s">
        <v>194</v>
      </c>
      <c r="BJ16" s="1459" t="s">
        <v>190</v>
      </c>
      <c r="BK16" s="1459" t="s">
        <v>71</v>
      </c>
      <c r="BL16" s="1459"/>
      <c r="BM16" s="61"/>
    </row>
    <row r="17" spans="1:66">
      <c r="A17" s="1471" t="str">
        <f t="shared" ref="A17:A22" si="15">+A6</f>
        <v>PIGLETS</v>
      </c>
      <c r="B17" s="385"/>
      <c r="C17" s="1461">
        <f>+'Summary Total Pigs'!O12</f>
        <v>0</v>
      </c>
      <c r="D17" s="1461">
        <f>+'Summary Total Pigs'!Q12</f>
        <v>0</v>
      </c>
      <c r="E17" s="1461">
        <f>+'Summary Total Pigs'!S12</f>
        <v>0</v>
      </c>
      <c r="F17" s="1461">
        <f>+'Summary Total Pigs'!P12</f>
        <v>0</v>
      </c>
      <c r="G17" s="1461">
        <f>+'Summary Total Pigs'!R12</f>
        <v>-1203</v>
      </c>
      <c r="H17" s="1461">
        <f>+'Summary Total Pigs'!T12</f>
        <v>0</v>
      </c>
      <c r="I17" s="1461">
        <f t="shared" ref="I17:I22" si="16">SUM(C17:H17)</f>
        <v>-1203</v>
      </c>
      <c r="J17" s="1461"/>
      <c r="K17" s="705"/>
      <c r="L17" s="1461">
        <f>+'Summary Total Pigs'!O50</f>
        <v>0</v>
      </c>
      <c r="M17" s="1461">
        <f>+'Summary Total Pigs'!Q50</f>
        <v>0</v>
      </c>
      <c r="N17" s="1461">
        <f>+'Summary Total Pigs'!S50</f>
        <v>0</v>
      </c>
      <c r="O17" s="1461">
        <f>+'Summary Total Pigs'!P50</f>
        <v>-84</v>
      </c>
      <c r="P17" s="1461">
        <f>+'Summary Total Pigs'!R50</f>
        <v>0</v>
      </c>
      <c r="Q17" s="1461">
        <f>+'Summary Total Pigs'!T50</f>
        <v>0</v>
      </c>
      <c r="R17" s="1461">
        <f t="shared" ref="R17:R22" si="17">SUM(L17:Q17)</f>
        <v>-84</v>
      </c>
      <c r="S17" s="1461"/>
      <c r="U17" s="1461">
        <f>+'Summary Total Pigs'!O89</f>
        <v>0</v>
      </c>
      <c r="V17" s="1461">
        <f>+'Summary Total Pigs'!S89</f>
        <v>0</v>
      </c>
      <c r="W17" s="1461">
        <f>+'Summary Total Pigs'!P89</f>
        <v>0</v>
      </c>
      <c r="X17" s="1461">
        <f>+'Summary Total Pigs'!Q89</f>
        <v>-250</v>
      </c>
      <c r="Y17" s="1461">
        <f>+'Summary Total Pigs'!R89</f>
        <v>-190</v>
      </c>
      <c r="Z17" s="1461">
        <f>+'Summary Total Pigs'!T89</f>
        <v>0</v>
      </c>
      <c r="AA17" s="1461">
        <f t="shared" ref="AA17:AA22" si="18">SUM(U17:Z17)</f>
        <v>-440</v>
      </c>
      <c r="AB17" s="1461"/>
      <c r="AD17" s="1461">
        <f>+'Summary Total Pigs'!O108</f>
        <v>0</v>
      </c>
      <c r="AE17" s="1461">
        <f>+'Summary Total Pigs'!S108</f>
        <v>0</v>
      </c>
      <c r="AF17" s="1461">
        <f>+'Summary Total Pigs'!P108</f>
        <v>0</v>
      </c>
      <c r="AG17" s="1461">
        <f>+'Summary Total Pigs'!Q108</f>
        <v>0</v>
      </c>
      <c r="AH17" s="1461">
        <f>+'Summary Total Pigs'!R108</f>
        <v>0</v>
      </c>
      <c r="AI17" s="1461">
        <f>+'Summary Total Pigs'!T108</f>
        <v>0</v>
      </c>
      <c r="AJ17" s="1461">
        <f t="shared" ref="AJ17:AJ22" si="19">SUM(AD17:AI17)</f>
        <v>0</v>
      </c>
      <c r="AK17" s="1461"/>
      <c r="AM17" s="1461">
        <f>+'Summary Total Pigs'!O69</f>
        <v>0</v>
      </c>
      <c r="AN17" s="1461">
        <f>+'Summary Total Pigs'!Q69</f>
        <v>0</v>
      </c>
      <c r="AO17" s="1461">
        <f>+'Summary Total Pigs'!P69</f>
        <v>0</v>
      </c>
      <c r="AP17" s="1461">
        <f>+'Summary Total Pigs'!S69</f>
        <v>0</v>
      </c>
      <c r="AQ17" s="1461">
        <f>+'Summary Total Pigs'!R69</f>
        <v>0</v>
      </c>
      <c r="AR17" s="1461">
        <f>+'Summary Total Pigs'!T69</f>
        <v>0</v>
      </c>
      <c r="AS17" s="1461">
        <f t="shared" ref="AS17:AS22" si="20">SUM(AM17:AR17)</f>
        <v>0</v>
      </c>
      <c r="AT17" s="1461"/>
      <c r="AV17" s="1461">
        <f>+'Summary Total Pigs'!R31</f>
        <v>0</v>
      </c>
      <c r="AW17" s="1461">
        <f>+'Summary Total Pigs'!S31</f>
        <v>0</v>
      </c>
      <c r="AX17" s="1461">
        <f>+'Summary Total Pigs'!O31</f>
        <v>0</v>
      </c>
      <c r="AY17" s="1461">
        <f>+'Summary Total Pigs'!Q31</f>
        <v>0</v>
      </c>
      <c r="AZ17" s="1461">
        <f>+'Summary Total Pigs'!P31</f>
        <v>0</v>
      </c>
      <c r="BA17" s="1461">
        <f>+'Summary Total Pigs'!T31</f>
        <v>0</v>
      </c>
      <c r="BB17" s="1461">
        <f t="shared" ref="BB17:BB22" si="21">SUM(AV17:BA17)</f>
        <v>0</v>
      </c>
      <c r="BC17" s="1461"/>
      <c r="BE17" s="1461">
        <f>+'Summary Total Pigs'!T127</f>
        <v>0</v>
      </c>
      <c r="BF17" s="1461">
        <f>+'Summary Total Pigs'!S127</f>
        <v>0</v>
      </c>
      <c r="BG17" s="1461">
        <f>+'Summary Total Pigs'!P127</f>
        <v>0</v>
      </c>
      <c r="BH17" s="1461">
        <f>+'Summary Total Pigs'!O127</f>
        <v>0</v>
      </c>
      <c r="BI17" s="1461">
        <f>+'Summary Total Pigs'!Q127</f>
        <v>0</v>
      </c>
      <c r="BJ17" s="1461">
        <f>+'Summary Total Pigs'!R127</f>
        <v>0</v>
      </c>
      <c r="BK17" s="1461">
        <f t="shared" ref="BK17:BK22" si="22">SUM(BE17:BJ17)</f>
        <v>0</v>
      </c>
      <c r="BL17" s="1461"/>
      <c r="BN17" s="1460">
        <f t="shared" ref="BN17:BN22" si="23">SUM(C17:H17,L17:Q17,U17:Z17,AD17:AI17,AM17:AR17,AV17:BA17,BE17:BJ17)</f>
        <v>-1727</v>
      </c>
    </row>
    <row r="18" spans="1:66">
      <c r="A18" s="1471" t="str">
        <f t="shared" si="15"/>
        <v>WEANER</v>
      </c>
      <c r="B18" s="385"/>
      <c r="C18" s="1461">
        <f>+'Summary Total Pigs'!O13</f>
        <v>0</v>
      </c>
      <c r="D18" s="1461">
        <f>+'Summary Total Pigs'!Q13</f>
        <v>0</v>
      </c>
      <c r="E18" s="1461">
        <f>+'Summary Total Pigs'!S13</f>
        <v>0</v>
      </c>
      <c r="F18" s="1461">
        <f>+'Summary Total Pigs'!P13</f>
        <v>0</v>
      </c>
      <c r="G18" s="1461">
        <f>+'Summary Total Pigs'!R13</f>
        <v>0</v>
      </c>
      <c r="H18" s="1461">
        <f>+'Summary Total Pigs'!T13</f>
        <v>0</v>
      </c>
      <c r="I18" s="1461">
        <f t="shared" si="16"/>
        <v>0</v>
      </c>
      <c r="J18" s="1461">
        <f>+'Summary Total Pigs'!J200</f>
        <v>-1203</v>
      </c>
      <c r="K18" s="705">
        <f>+I17+I18+I19-J18</f>
        <v>0</v>
      </c>
      <c r="L18" s="1461">
        <f>+'Summary Total Pigs'!O51</f>
        <v>0</v>
      </c>
      <c r="M18" s="1461">
        <f>+'Summary Total Pigs'!Q51</f>
        <v>0</v>
      </c>
      <c r="N18" s="1461">
        <f>+'Summary Total Pigs'!S51</f>
        <v>0</v>
      </c>
      <c r="O18" s="1461">
        <f>+'Summary Total Pigs'!P51</f>
        <v>-36</v>
      </c>
      <c r="P18" s="1461">
        <f>+'Summary Total Pigs'!R51</f>
        <v>0</v>
      </c>
      <c r="Q18" s="1461">
        <f>+'Summary Total Pigs'!T51</f>
        <v>0</v>
      </c>
      <c r="R18" s="1461">
        <f t="shared" si="17"/>
        <v>-36</v>
      </c>
      <c r="S18" s="1461">
        <f>+'Summary Total Pigs'!J201</f>
        <v>-120</v>
      </c>
      <c r="T18" s="74">
        <f>+R17+R18+R19-S18</f>
        <v>0</v>
      </c>
      <c r="U18" s="1461">
        <f>+'Summary Total Pigs'!O90</f>
        <v>0</v>
      </c>
      <c r="V18" s="1461">
        <f>+'Summary Total Pigs'!S90</f>
        <v>0</v>
      </c>
      <c r="W18" s="1461">
        <f>+'Summary Total Pigs'!P90</f>
        <v>0</v>
      </c>
      <c r="X18" s="1461">
        <f>+'Summary Total Pigs'!Q90</f>
        <v>0</v>
      </c>
      <c r="Y18" s="1461">
        <f>+'Summary Total Pigs'!R90</f>
        <v>0</v>
      </c>
      <c r="Z18" s="1461">
        <f>+'Summary Total Pigs'!T90</f>
        <v>0</v>
      </c>
      <c r="AA18" s="1461">
        <f t="shared" si="18"/>
        <v>0</v>
      </c>
      <c r="AB18" s="1461">
        <f>+'Summary Total Pigs'!J202</f>
        <v>-440</v>
      </c>
      <c r="AC18" s="705">
        <f>+AA17+AA18+AA19-AB18</f>
        <v>0</v>
      </c>
      <c r="AD18" s="1461">
        <f>+'Summary Total Pigs'!O109</f>
        <v>0</v>
      </c>
      <c r="AE18" s="1461">
        <f>+'Summary Total Pigs'!S109</f>
        <v>0</v>
      </c>
      <c r="AF18" s="1461">
        <f>+'Summary Total Pigs'!P109</f>
        <v>0</v>
      </c>
      <c r="AG18" s="1461">
        <f>+'Summary Total Pigs'!Q109</f>
        <v>-380</v>
      </c>
      <c r="AH18" s="1461">
        <f>+'Summary Total Pigs'!R109</f>
        <v>0</v>
      </c>
      <c r="AI18" s="1461">
        <f>+'Summary Total Pigs'!T109</f>
        <v>0</v>
      </c>
      <c r="AJ18" s="1461">
        <f t="shared" si="19"/>
        <v>-380</v>
      </c>
      <c r="AK18" s="1461">
        <f>+'Summary Total Pigs'!J203</f>
        <v>-380</v>
      </c>
      <c r="AL18" s="705">
        <f>+AJ17+AJ18+AJ19-AK18</f>
        <v>0</v>
      </c>
      <c r="AM18" s="1461">
        <f>+'Summary Total Pigs'!O70</f>
        <v>0</v>
      </c>
      <c r="AN18" s="1461">
        <f>+'Summary Total Pigs'!Q70</f>
        <v>0</v>
      </c>
      <c r="AO18" s="1461">
        <f>+'Summary Total Pigs'!P70</f>
        <v>0</v>
      </c>
      <c r="AP18" s="1461">
        <f>+'Summary Total Pigs'!S70</f>
        <v>0</v>
      </c>
      <c r="AQ18" s="1461">
        <f>+'Summary Total Pigs'!R70</f>
        <v>0</v>
      </c>
      <c r="AR18" s="1461">
        <f>+'Summary Total Pigs'!T70</f>
        <v>0</v>
      </c>
      <c r="AS18" s="1461">
        <f t="shared" si="20"/>
        <v>0</v>
      </c>
      <c r="AT18" s="1461">
        <f>+'Summary Total Pigs'!J205</f>
        <v>0</v>
      </c>
      <c r="AU18" s="705">
        <f>+AS17+AS18+AS19-AT18</f>
        <v>0</v>
      </c>
      <c r="AV18" s="1461">
        <f>+'Summary Total Pigs'!R32</f>
        <v>0</v>
      </c>
      <c r="AW18" s="1461">
        <f>+'Summary Total Pigs'!S32</f>
        <v>0</v>
      </c>
      <c r="AX18" s="1461">
        <f>+'Summary Total Pigs'!O32</f>
        <v>0</v>
      </c>
      <c r="AY18" s="1461">
        <f>+'Summary Total Pigs'!Q32</f>
        <v>0</v>
      </c>
      <c r="AZ18" s="1461">
        <f>+'Summary Total Pigs'!P32</f>
        <v>0</v>
      </c>
      <c r="BA18" s="1461">
        <f>+'Summary Total Pigs'!T32</f>
        <v>0</v>
      </c>
      <c r="BB18" s="1461">
        <f t="shared" si="21"/>
        <v>0</v>
      </c>
      <c r="BC18" s="1461">
        <f>+'Summary Total Pigs'!J204</f>
        <v>0</v>
      </c>
      <c r="BD18" s="705">
        <f>+BB17+BB18+BB19-BC18</f>
        <v>0</v>
      </c>
      <c r="BE18" s="1461">
        <f>+'Summary Total Pigs'!T128</f>
        <v>0</v>
      </c>
      <c r="BF18" s="1461">
        <f>+'Summary Total Pigs'!S128</f>
        <v>0</v>
      </c>
      <c r="BG18" s="1461">
        <f>+'Summary Total Pigs'!P128</f>
        <v>0</v>
      </c>
      <c r="BH18" s="1461">
        <f>+'Summary Total Pigs'!O128</f>
        <v>0</v>
      </c>
      <c r="BI18" s="1461">
        <f>+'Summary Total Pigs'!Q128</f>
        <v>0</v>
      </c>
      <c r="BJ18" s="1461">
        <f>+'Summary Total Pigs'!R128</f>
        <v>0</v>
      </c>
      <c r="BK18" s="1461">
        <f t="shared" si="22"/>
        <v>0</v>
      </c>
      <c r="BL18" s="1461">
        <f>+'Summary Total Pigs'!J206</f>
        <v>0</v>
      </c>
      <c r="BM18" s="705">
        <f>+BK17+BK18+BK19-BL18</f>
        <v>0</v>
      </c>
      <c r="BN18" s="1460">
        <f t="shared" si="23"/>
        <v>-416</v>
      </c>
    </row>
    <row r="19" spans="1:66">
      <c r="A19" s="1471" t="str">
        <f t="shared" si="15"/>
        <v>GROWERS</v>
      </c>
      <c r="B19" s="385"/>
      <c r="C19" s="1461">
        <f>+'Summary Total Pigs'!O14</f>
        <v>0</v>
      </c>
      <c r="D19" s="1461">
        <f>+'Summary Total Pigs'!Q14</f>
        <v>0</v>
      </c>
      <c r="E19" s="1461">
        <f>+'Summary Total Pigs'!S14</f>
        <v>0</v>
      </c>
      <c r="F19" s="1461">
        <f>+'Summary Total Pigs'!P14</f>
        <v>0</v>
      </c>
      <c r="G19" s="1461">
        <f>+'Summary Total Pigs'!R14</f>
        <v>0</v>
      </c>
      <c r="H19" s="1461">
        <f>+'Summary Total Pigs'!T14</f>
        <v>0</v>
      </c>
      <c r="I19" s="1461">
        <f t="shared" si="16"/>
        <v>0</v>
      </c>
      <c r="J19" s="1461"/>
      <c r="K19" s="705"/>
      <c r="L19" s="1461">
        <f>+'Summary Total Pigs'!O52</f>
        <v>0</v>
      </c>
      <c r="M19" s="1461">
        <f>+'Summary Total Pigs'!Q52</f>
        <v>0</v>
      </c>
      <c r="N19" s="1461">
        <f>+'Summary Total Pigs'!S52</f>
        <v>0</v>
      </c>
      <c r="O19" s="1461">
        <f>+'Summary Total Pigs'!P52</f>
        <v>0</v>
      </c>
      <c r="P19" s="1461">
        <f>+'Summary Total Pigs'!R52</f>
        <v>0</v>
      </c>
      <c r="Q19" s="1461">
        <f>+'Summary Total Pigs'!T52</f>
        <v>0</v>
      </c>
      <c r="R19" s="1461">
        <f t="shared" si="17"/>
        <v>0</v>
      </c>
      <c r="S19" s="1461"/>
      <c r="U19" s="1461">
        <f>+'Summary Total Pigs'!O91</f>
        <v>0</v>
      </c>
      <c r="V19" s="1461">
        <f>+'Summary Total Pigs'!S91</f>
        <v>0</v>
      </c>
      <c r="W19" s="1461">
        <f>+'Summary Total Pigs'!P91</f>
        <v>0</v>
      </c>
      <c r="X19" s="1461">
        <f>+'Summary Total Pigs'!Q91</f>
        <v>0</v>
      </c>
      <c r="Y19" s="1461">
        <f>+'Summary Total Pigs'!R91</f>
        <v>0</v>
      </c>
      <c r="Z19" s="1461">
        <f>+'Summary Total Pigs'!T91</f>
        <v>0</v>
      </c>
      <c r="AA19" s="1461">
        <f t="shared" si="18"/>
        <v>0</v>
      </c>
      <c r="AB19" s="1461"/>
      <c r="AD19" s="1461">
        <f>+'Summary Total Pigs'!O110</f>
        <v>0</v>
      </c>
      <c r="AE19" s="1461">
        <f>+'Summary Total Pigs'!S110</f>
        <v>0</v>
      </c>
      <c r="AF19" s="1461">
        <f>+'Summary Total Pigs'!P110</f>
        <v>0</v>
      </c>
      <c r="AG19" s="1461">
        <f>+'Summary Total Pigs'!Q110</f>
        <v>0</v>
      </c>
      <c r="AH19" s="1461">
        <f>+'Summary Total Pigs'!R110</f>
        <v>0</v>
      </c>
      <c r="AI19" s="1461">
        <f>+'Summary Total Pigs'!T110</f>
        <v>0</v>
      </c>
      <c r="AJ19" s="1461">
        <f t="shared" si="19"/>
        <v>0</v>
      </c>
      <c r="AK19" s="1461"/>
      <c r="AM19" s="1461">
        <f>+'Summary Total Pigs'!O71</f>
        <v>0</v>
      </c>
      <c r="AN19" s="1461">
        <f>+'Summary Total Pigs'!Q71</f>
        <v>0</v>
      </c>
      <c r="AO19" s="1461">
        <f>+'Summary Total Pigs'!P71</f>
        <v>0</v>
      </c>
      <c r="AP19" s="1461">
        <f>+'Summary Total Pigs'!S71</f>
        <v>0</v>
      </c>
      <c r="AQ19" s="1461">
        <f>+'Summary Total Pigs'!R71</f>
        <v>0</v>
      </c>
      <c r="AR19" s="1461">
        <f>+'Summary Total Pigs'!T71</f>
        <v>0</v>
      </c>
      <c r="AS19" s="1461">
        <f t="shared" si="20"/>
        <v>0</v>
      </c>
      <c r="AT19" s="1461"/>
      <c r="AV19" s="1461">
        <f>+'Summary Total Pigs'!R33</f>
        <v>0</v>
      </c>
      <c r="AW19" s="1461">
        <f>+'Summary Total Pigs'!S33</f>
        <v>0</v>
      </c>
      <c r="AX19" s="1461">
        <f>+'Summary Total Pigs'!O33</f>
        <v>0</v>
      </c>
      <c r="AY19" s="1461">
        <f>+'Summary Total Pigs'!Q33</f>
        <v>0</v>
      </c>
      <c r="AZ19" s="1461">
        <f>+'Summary Total Pigs'!P33</f>
        <v>0</v>
      </c>
      <c r="BA19" s="1461">
        <f>+'Summary Total Pigs'!T33</f>
        <v>0</v>
      </c>
      <c r="BB19" s="1461">
        <f t="shared" si="21"/>
        <v>0</v>
      </c>
      <c r="BC19" s="1461"/>
      <c r="BE19" s="1461">
        <f>+'Summary Total Pigs'!T129</f>
        <v>0</v>
      </c>
      <c r="BF19" s="1461">
        <f>+'Summary Total Pigs'!S129</f>
        <v>0</v>
      </c>
      <c r="BG19" s="1461">
        <f>+'Summary Total Pigs'!P129</f>
        <v>0</v>
      </c>
      <c r="BH19" s="1461">
        <f>+'Summary Total Pigs'!O129</f>
        <v>0</v>
      </c>
      <c r="BI19" s="1461">
        <f>+'Summary Total Pigs'!Q129</f>
        <v>0</v>
      </c>
      <c r="BJ19" s="1461">
        <f>+'Summary Total Pigs'!R129</f>
        <v>0</v>
      </c>
      <c r="BK19" s="1461">
        <f t="shared" si="22"/>
        <v>0</v>
      </c>
      <c r="BL19" s="1461"/>
      <c r="BN19" s="1460">
        <f t="shared" si="23"/>
        <v>0</v>
      </c>
    </row>
    <row r="20" spans="1:66">
      <c r="A20" s="1472" t="str">
        <f t="shared" si="15"/>
        <v>GILTS</v>
      </c>
      <c r="B20" s="385"/>
      <c r="C20" s="1467">
        <f>+'Summary Total Pigs'!O15</f>
        <v>0</v>
      </c>
      <c r="D20" s="1467">
        <f>+'Summary Total Pigs'!Q15</f>
        <v>0</v>
      </c>
      <c r="E20" s="1467">
        <f>+'Summary Total Pigs'!S15</f>
        <v>0</v>
      </c>
      <c r="F20" s="1467">
        <f>+'Summary Total Pigs'!P15</f>
        <v>0</v>
      </c>
      <c r="G20" s="1467">
        <f>+'Summary Total Pigs'!R15</f>
        <v>0</v>
      </c>
      <c r="H20" s="1467">
        <f>+'Summary Total Pigs'!T15</f>
        <v>0</v>
      </c>
      <c r="I20" s="1467">
        <f t="shared" si="16"/>
        <v>0</v>
      </c>
      <c r="J20" s="1467">
        <f>+'Summary Total Pigs'!F200</f>
        <v>0</v>
      </c>
      <c r="K20" s="705">
        <f>+I20-J20</f>
        <v>0</v>
      </c>
      <c r="L20" s="1467">
        <f>+'Summary Total Pigs'!O53</f>
        <v>0</v>
      </c>
      <c r="M20" s="1467">
        <f>+'Summary Total Pigs'!Q53</f>
        <v>0</v>
      </c>
      <c r="N20" s="1467">
        <f>+'Summary Total Pigs'!S53</f>
        <v>0</v>
      </c>
      <c r="O20" s="1467">
        <f>+'Summary Total Pigs'!P53</f>
        <v>0</v>
      </c>
      <c r="P20" s="1467">
        <f>+'Summary Total Pigs'!R53</f>
        <v>0</v>
      </c>
      <c r="Q20" s="1467">
        <f>+'Summary Total Pigs'!T53</f>
        <v>0</v>
      </c>
      <c r="R20" s="1467">
        <f t="shared" si="17"/>
        <v>0</v>
      </c>
      <c r="S20" s="1467">
        <f>+'Summary Total Pigs'!F201</f>
        <v>0</v>
      </c>
      <c r="T20" s="74">
        <f>+R20-S20</f>
        <v>0</v>
      </c>
      <c r="U20" s="1467">
        <f>+'Summary Total Pigs'!O92</f>
        <v>0</v>
      </c>
      <c r="V20" s="1467">
        <f>+'Summary Total Pigs'!S92</f>
        <v>0</v>
      </c>
      <c r="W20" s="1467">
        <f>+'Summary Total Pigs'!P92</f>
        <v>0</v>
      </c>
      <c r="X20" s="1467">
        <f>+'Summary Total Pigs'!Q92</f>
        <v>0</v>
      </c>
      <c r="Y20" s="1467">
        <f>+'Summary Total Pigs'!R92</f>
        <v>0</v>
      </c>
      <c r="Z20" s="1467">
        <f>+'Summary Total Pigs'!T92</f>
        <v>0</v>
      </c>
      <c r="AA20" s="1467">
        <f t="shared" si="18"/>
        <v>0</v>
      </c>
      <c r="AB20" s="1467">
        <f>+'Summary Total Pigs'!F202</f>
        <v>0</v>
      </c>
      <c r="AC20" s="705">
        <f>+AA20-AB20</f>
        <v>0</v>
      </c>
      <c r="AD20" s="1467">
        <f>+'Summary Total Pigs'!O111</f>
        <v>0</v>
      </c>
      <c r="AE20" s="1467">
        <f>+'Summary Total Pigs'!S111</f>
        <v>0</v>
      </c>
      <c r="AF20" s="1467">
        <f>+'Summary Total Pigs'!P111</f>
        <v>0</v>
      </c>
      <c r="AG20" s="1467">
        <f>+'Summary Total Pigs'!Q111</f>
        <v>0</v>
      </c>
      <c r="AH20" s="1467">
        <f>+'Summary Total Pigs'!R111</f>
        <v>0</v>
      </c>
      <c r="AI20" s="1467">
        <f>+'Summary Total Pigs'!T111</f>
        <v>0</v>
      </c>
      <c r="AJ20" s="1467">
        <f t="shared" si="19"/>
        <v>0</v>
      </c>
      <c r="AK20" s="1467">
        <f>+'Summary Total Pigs'!F203</f>
        <v>0</v>
      </c>
      <c r="AL20" s="705">
        <f>+AJ20-AK20</f>
        <v>0</v>
      </c>
      <c r="AM20" s="1467">
        <f>+'Summary Total Pigs'!O72</f>
        <v>0</v>
      </c>
      <c r="AN20" s="1467">
        <f>+'Summary Total Pigs'!Q72</f>
        <v>0</v>
      </c>
      <c r="AO20" s="1467">
        <f>+'Summary Total Pigs'!P72</f>
        <v>0</v>
      </c>
      <c r="AP20" s="1467">
        <f>+'Summary Total Pigs'!S72</f>
        <v>0</v>
      </c>
      <c r="AQ20" s="1467">
        <f>+'Summary Total Pigs'!R72</f>
        <v>0</v>
      </c>
      <c r="AR20" s="1467">
        <f>+'Summary Total Pigs'!T72</f>
        <v>0</v>
      </c>
      <c r="AS20" s="1467">
        <f t="shared" si="20"/>
        <v>0</v>
      </c>
      <c r="AT20" s="1467">
        <f>+'Summary Total Pigs'!F205</f>
        <v>0</v>
      </c>
      <c r="AU20" s="705">
        <f>+AS20-AT20</f>
        <v>0</v>
      </c>
      <c r="AV20" s="1467">
        <f>+'Summary Total Pigs'!R34</f>
        <v>0</v>
      </c>
      <c r="AW20" s="1467">
        <f>+'Summary Total Pigs'!S34</f>
        <v>0</v>
      </c>
      <c r="AX20" s="1467">
        <f>+'Summary Total Pigs'!O34</f>
        <v>0</v>
      </c>
      <c r="AY20" s="1467">
        <f>+'Summary Total Pigs'!Q34</f>
        <v>0</v>
      </c>
      <c r="AZ20" s="1467">
        <f>+'Summary Total Pigs'!P34</f>
        <v>0</v>
      </c>
      <c r="BA20" s="1467">
        <f>+'Summary Total Pigs'!T34</f>
        <v>0</v>
      </c>
      <c r="BB20" s="1467">
        <f t="shared" si="21"/>
        <v>0</v>
      </c>
      <c r="BC20" s="1467">
        <f>+'Summary Total Pigs'!F204</f>
        <v>0</v>
      </c>
      <c r="BD20" s="705">
        <f>+BB20-BC20</f>
        <v>0</v>
      </c>
      <c r="BE20" s="1467">
        <f>+'Summary Total Pigs'!T130</f>
        <v>0</v>
      </c>
      <c r="BF20" s="1467">
        <f>+'Summary Total Pigs'!S130</f>
        <v>0</v>
      </c>
      <c r="BG20" s="1467">
        <f>+'Summary Total Pigs'!P130</f>
        <v>0</v>
      </c>
      <c r="BH20" s="1467">
        <f>+'Summary Total Pigs'!O130</f>
        <v>0</v>
      </c>
      <c r="BI20" s="1467">
        <f>+'Summary Total Pigs'!Q130</f>
        <v>0</v>
      </c>
      <c r="BJ20" s="1467">
        <f>+'Summary Total Pigs'!R130</f>
        <v>0</v>
      </c>
      <c r="BK20" s="1467">
        <f t="shared" si="22"/>
        <v>0</v>
      </c>
      <c r="BL20" s="1467">
        <f>+'Summary Total Pigs'!F206</f>
        <v>0</v>
      </c>
      <c r="BM20" s="705">
        <f>+BK20-BL20</f>
        <v>0</v>
      </c>
      <c r="BN20" s="1460">
        <f t="shared" si="23"/>
        <v>0</v>
      </c>
    </row>
    <row r="21" spans="1:66">
      <c r="A21" s="1472" t="str">
        <f t="shared" si="15"/>
        <v>SOWS</v>
      </c>
      <c r="B21" s="385"/>
      <c r="C21" s="1467">
        <f>+'Summary Total Pigs'!O16</f>
        <v>0</v>
      </c>
      <c r="D21" s="1467">
        <f>+'Summary Total Pigs'!Q16</f>
        <v>0</v>
      </c>
      <c r="E21" s="1467">
        <f>+'Summary Total Pigs'!S16</f>
        <v>0</v>
      </c>
      <c r="F21" s="1467">
        <f>+'Summary Total Pigs'!P16</f>
        <v>0</v>
      </c>
      <c r="G21" s="1467">
        <f>+'Summary Total Pigs'!R16</f>
        <v>0</v>
      </c>
      <c r="H21" s="1467">
        <f>+'Summary Total Pigs'!T16</f>
        <v>0</v>
      </c>
      <c r="I21" s="1467">
        <f t="shared" si="16"/>
        <v>0</v>
      </c>
      <c r="J21" s="1467">
        <f>+'Summary Total Pigs'!H200</f>
        <v>-1</v>
      </c>
      <c r="K21" s="74">
        <f>+I21+I22-J21</f>
        <v>0</v>
      </c>
      <c r="L21" s="1467">
        <f>+'Summary Total Pigs'!O54</f>
        <v>0</v>
      </c>
      <c r="M21" s="1467">
        <f>+'Summary Total Pigs'!Q54</f>
        <v>0</v>
      </c>
      <c r="N21" s="1467">
        <f>+'Summary Total Pigs'!S54</f>
        <v>0</v>
      </c>
      <c r="O21" s="1467">
        <f>+'Summary Total Pigs'!P54</f>
        <v>0</v>
      </c>
      <c r="P21" s="1467">
        <f>+'Summary Total Pigs'!R54</f>
        <v>0</v>
      </c>
      <c r="Q21" s="1467">
        <f>+'Summary Total Pigs'!T54</f>
        <v>0</v>
      </c>
      <c r="R21" s="1467">
        <f t="shared" si="17"/>
        <v>0</v>
      </c>
      <c r="S21" s="1467">
        <f>+'Summary Total Pigs'!H201</f>
        <v>0</v>
      </c>
      <c r="T21" s="74">
        <f>+R21+R22-S21</f>
        <v>0</v>
      </c>
      <c r="U21" s="1467">
        <f>+'Summary Total Pigs'!O93</f>
        <v>0</v>
      </c>
      <c r="V21" s="1467">
        <f>+'Summary Total Pigs'!S93</f>
        <v>0</v>
      </c>
      <c r="W21" s="1467">
        <f>+'Summary Total Pigs'!P93</f>
        <v>0</v>
      </c>
      <c r="X21" s="1467">
        <f>+'Summary Total Pigs'!Q93</f>
        <v>0</v>
      </c>
      <c r="Y21" s="1467">
        <f>+'Summary Total Pigs'!R93</f>
        <v>0</v>
      </c>
      <c r="Z21" s="1467">
        <f>+'Summary Total Pigs'!T93</f>
        <v>0</v>
      </c>
      <c r="AA21" s="1467">
        <f t="shared" si="18"/>
        <v>0</v>
      </c>
      <c r="AB21" s="1467">
        <f>+'Summary Total Pigs'!H202</f>
        <v>0</v>
      </c>
      <c r="AC21" s="705">
        <f>+AA21+AA22-AB21</f>
        <v>0</v>
      </c>
      <c r="AD21" s="1467">
        <f>+'Summary Total Pigs'!O112</f>
        <v>0</v>
      </c>
      <c r="AE21" s="1467">
        <f>+'Summary Total Pigs'!S112</f>
        <v>0</v>
      </c>
      <c r="AF21" s="1467">
        <f>+'Summary Total Pigs'!P112</f>
        <v>0</v>
      </c>
      <c r="AG21" s="1467">
        <f>+'Summary Total Pigs'!Q112</f>
        <v>0</v>
      </c>
      <c r="AH21" s="1467">
        <f>+'Summary Total Pigs'!R112</f>
        <v>0</v>
      </c>
      <c r="AI21" s="1467">
        <f>+'Summary Total Pigs'!T112</f>
        <v>0</v>
      </c>
      <c r="AJ21" s="1467">
        <f t="shared" si="19"/>
        <v>0</v>
      </c>
      <c r="AK21" s="1467">
        <f>+'Summary Total Pigs'!H203</f>
        <v>0</v>
      </c>
      <c r="AL21" s="705">
        <f>+AJ21+AJ22-AK21</f>
        <v>0</v>
      </c>
      <c r="AM21" s="1467">
        <f>+'Summary Total Pigs'!O73</f>
        <v>0</v>
      </c>
      <c r="AN21" s="1467">
        <f>+'Summary Total Pigs'!Q73</f>
        <v>0</v>
      </c>
      <c r="AO21" s="1467">
        <f>+'Summary Total Pigs'!P73</f>
        <v>0</v>
      </c>
      <c r="AP21" s="1467">
        <f>+'Summary Total Pigs'!S73</f>
        <v>0</v>
      </c>
      <c r="AQ21" s="1467">
        <f>+'Summary Total Pigs'!R73</f>
        <v>0</v>
      </c>
      <c r="AR21" s="1467">
        <f>+'Summary Total Pigs'!T73</f>
        <v>0</v>
      </c>
      <c r="AS21" s="1467">
        <f t="shared" si="20"/>
        <v>0</v>
      </c>
      <c r="AT21" s="1467">
        <f>+'Summary Total Pigs'!H205</f>
        <v>0</v>
      </c>
      <c r="AU21" s="705">
        <f>+AS21+AS22-AT21</f>
        <v>0</v>
      </c>
      <c r="AV21" s="1467">
        <f>+'Summary Total Pigs'!R35</f>
        <v>0</v>
      </c>
      <c r="AW21" s="1467">
        <f>+'Summary Total Pigs'!S35</f>
        <v>0</v>
      </c>
      <c r="AX21" s="1467">
        <f>+'Summary Total Pigs'!O35</f>
        <v>0</v>
      </c>
      <c r="AY21" s="1467">
        <f>+'Summary Total Pigs'!Q35</f>
        <v>0</v>
      </c>
      <c r="AZ21" s="1467">
        <f>+'Summary Total Pigs'!P35</f>
        <v>0</v>
      </c>
      <c r="BA21" s="1467">
        <f>+'Summary Total Pigs'!T35</f>
        <v>0</v>
      </c>
      <c r="BB21" s="1467">
        <f t="shared" si="21"/>
        <v>0</v>
      </c>
      <c r="BC21" s="1467">
        <f>+'Summary Total Pigs'!H204</f>
        <v>0</v>
      </c>
      <c r="BD21" s="705">
        <f>+BB21+BB22-BC21</f>
        <v>0</v>
      </c>
      <c r="BE21" s="1467">
        <f>+'Summary Total Pigs'!T131</f>
        <v>0</v>
      </c>
      <c r="BF21" s="1467">
        <f>+'Summary Total Pigs'!S131</f>
        <v>0</v>
      </c>
      <c r="BG21" s="1467">
        <f>+'Summary Total Pigs'!P131</f>
        <v>0</v>
      </c>
      <c r="BH21" s="1467">
        <f>+'Summary Total Pigs'!O131</f>
        <v>0</v>
      </c>
      <c r="BI21" s="1467">
        <f>+'Summary Total Pigs'!Q131</f>
        <v>0</v>
      </c>
      <c r="BJ21" s="1467">
        <f>+'Summary Total Pigs'!R131</f>
        <v>0</v>
      </c>
      <c r="BK21" s="1467">
        <f t="shared" si="22"/>
        <v>0</v>
      </c>
      <c r="BL21" s="1467">
        <f>+'Summary Total Pigs'!H206</f>
        <v>0</v>
      </c>
      <c r="BM21" s="705">
        <f>+BK21+BK22-BL21</f>
        <v>0</v>
      </c>
      <c r="BN21" s="1460">
        <f t="shared" si="23"/>
        <v>0</v>
      </c>
    </row>
    <row r="22" spans="1:66">
      <c r="A22" s="1472" t="str">
        <f t="shared" si="15"/>
        <v>BOARS</v>
      </c>
      <c r="B22" s="385"/>
      <c r="C22" s="1467">
        <f>+'Summary Total Pigs'!O17</f>
        <v>0</v>
      </c>
      <c r="D22" s="1467">
        <f>+'Summary Total Pigs'!Q17</f>
        <v>0</v>
      </c>
      <c r="E22" s="1467">
        <f>+'Summary Total Pigs'!S17</f>
        <v>0</v>
      </c>
      <c r="F22" s="1467">
        <f>+'Summary Total Pigs'!P17</f>
        <v>0</v>
      </c>
      <c r="G22" s="1467">
        <f>+'Summary Total Pigs'!R17</f>
        <v>0</v>
      </c>
      <c r="H22" s="1467">
        <f>+'Summary Total Pigs'!T17</f>
        <v>-1</v>
      </c>
      <c r="I22" s="1467">
        <f t="shared" si="16"/>
        <v>-1</v>
      </c>
      <c r="J22" s="1467"/>
      <c r="L22" s="1467">
        <f>+'Summary Total Pigs'!O55</f>
        <v>0</v>
      </c>
      <c r="M22" s="1467">
        <f>+'Summary Total Pigs'!Q55</f>
        <v>0</v>
      </c>
      <c r="N22" s="1467">
        <f>+'Summary Total Pigs'!S55</f>
        <v>0</v>
      </c>
      <c r="O22" s="1467">
        <f>+'Summary Total Pigs'!P55</f>
        <v>0</v>
      </c>
      <c r="P22" s="1467">
        <f>+'Summary Total Pigs'!R55</f>
        <v>0</v>
      </c>
      <c r="Q22" s="1467">
        <f>+'Summary Total Pigs'!T55</f>
        <v>0</v>
      </c>
      <c r="R22" s="1467">
        <f t="shared" si="17"/>
        <v>0</v>
      </c>
      <c r="S22" s="1467"/>
      <c r="U22" s="1467">
        <f>+'Summary Total Pigs'!O94</f>
        <v>0</v>
      </c>
      <c r="V22" s="1467">
        <f>+'Summary Total Pigs'!S94</f>
        <v>0</v>
      </c>
      <c r="W22" s="1467">
        <f>+'Summary Total Pigs'!P94</f>
        <v>0</v>
      </c>
      <c r="X22" s="1467">
        <f>+'Summary Total Pigs'!Q94</f>
        <v>0</v>
      </c>
      <c r="Y22" s="1467">
        <f>+'Summary Total Pigs'!R94</f>
        <v>0</v>
      </c>
      <c r="Z22" s="1467">
        <f>+'Summary Total Pigs'!T94</f>
        <v>0</v>
      </c>
      <c r="AA22" s="1467">
        <f t="shared" si="18"/>
        <v>0</v>
      </c>
      <c r="AB22" s="1467"/>
      <c r="AD22" s="1467">
        <f>+'Summary Total Pigs'!O113</f>
        <v>0</v>
      </c>
      <c r="AE22" s="1467">
        <f>+'Summary Total Pigs'!S113</f>
        <v>0</v>
      </c>
      <c r="AF22" s="1467">
        <f>+'Summary Total Pigs'!P113</f>
        <v>0</v>
      </c>
      <c r="AG22" s="1467">
        <f>+'Summary Total Pigs'!Q113</f>
        <v>0</v>
      </c>
      <c r="AH22" s="1467">
        <f>+'Summary Total Pigs'!R113</f>
        <v>0</v>
      </c>
      <c r="AI22" s="1467">
        <f>+'Summary Total Pigs'!T113</f>
        <v>0</v>
      </c>
      <c r="AJ22" s="1467">
        <f t="shared" si="19"/>
        <v>0</v>
      </c>
      <c r="AK22" s="1467"/>
      <c r="AM22" s="1467">
        <f>+'Summary Total Pigs'!O74</f>
        <v>0</v>
      </c>
      <c r="AN22" s="1467">
        <f>+'Summary Total Pigs'!Q74</f>
        <v>0</v>
      </c>
      <c r="AO22" s="1467">
        <f>+'Summary Total Pigs'!P74</f>
        <v>0</v>
      </c>
      <c r="AP22" s="1467">
        <f>+'Summary Total Pigs'!S74</f>
        <v>0</v>
      </c>
      <c r="AQ22" s="1467">
        <f>+'Summary Total Pigs'!R74</f>
        <v>0</v>
      </c>
      <c r="AR22" s="1467">
        <f>+'Summary Total Pigs'!T74</f>
        <v>0</v>
      </c>
      <c r="AS22" s="1467">
        <f t="shared" si="20"/>
        <v>0</v>
      </c>
      <c r="AT22" s="1467"/>
      <c r="AV22" s="1467">
        <f>+'Summary Total Pigs'!R36</f>
        <v>0</v>
      </c>
      <c r="AW22" s="1467">
        <f>+'Summary Total Pigs'!S36</f>
        <v>0</v>
      </c>
      <c r="AX22" s="1467">
        <f>+'Summary Total Pigs'!O36</f>
        <v>0</v>
      </c>
      <c r="AY22" s="1467">
        <f>+'Summary Total Pigs'!Q36</f>
        <v>0</v>
      </c>
      <c r="AZ22" s="1467">
        <f>+'Summary Total Pigs'!P36</f>
        <v>0</v>
      </c>
      <c r="BA22" s="1467">
        <f>+'Summary Total Pigs'!T36</f>
        <v>0</v>
      </c>
      <c r="BB22" s="1467">
        <f t="shared" si="21"/>
        <v>0</v>
      </c>
      <c r="BC22" s="1467"/>
      <c r="BE22" s="1467">
        <f>+'Summary Total Pigs'!T132</f>
        <v>0</v>
      </c>
      <c r="BF22" s="1467">
        <f>+'Summary Total Pigs'!S132</f>
        <v>0</v>
      </c>
      <c r="BG22" s="1467">
        <f>+'Summary Total Pigs'!P132</f>
        <v>0</v>
      </c>
      <c r="BH22" s="1467">
        <f>+'Summary Total Pigs'!O132</f>
        <v>0</v>
      </c>
      <c r="BI22" s="1467">
        <f>+'Summary Total Pigs'!Q132</f>
        <v>0</v>
      </c>
      <c r="BJ22" s="1467">
        <f>+'Summary Total Pigs'!R132</f>
        <v>0</v>
      </c>
      <c r="BK22" s="1467">
        <f t="shared" si="22"/>
        <v>0</v>
      </c>
      <c r="BL22" s="1467"/>
      <c r="BN22" s="1460">
        <f t="shared" si="23"/>
        <v>-1</v>
      </c>
    </row>
    <row r="23" spans="1:66" ht="13.9" thickBot="1">
      <c r="C23" s="1462">
        <f t="shared" ref="C23:J23" si="24">SUM(C17:C22)</f>
        <v>0</v>
      </c>
      <c r="D23" s="1462">
        <f t="shared" si="24"/>
        <v>0</v>
      </c>
      <c r="E23" s="1462">
        <f t="shared" si="24"/>
        <v>0</v>
      </c>
      <c r="F23" s="1462">
        <f t="shared" si="24"/>
        <v>0</v>
      </c>
      <c r="G23" s="1462">
        <f t="shared" si="24"/>
        <v>-1203</v>
      </c>
      <c r="H23" s="1462">
        <f t="shared" si="24"/>
        <v>-1</v>
      </c>
      <c r="I23" s="1462">
        <f t="shared" si="24"/>
        <v>-1204</v>
      </c>
      <c r="J23" s="1462">
        <f t="shared" si="24"/>
        <v>-1204</v>
      </c>
      <c r="K23" s="74">
        <f>+I23-J23</f>
        <v>0</v>
      </c>
      <c r="L23" s="1462">
        <f>SUM(L17:L22)</f>
        <v>0</v>
      </c>
      <c r="M23" s="1462">
        <f t="shared" ref="M23:S23" si="25">SUM(M17:M22)</f>
        <v>0</v>
      </c>
      <c r="N23" s="1462">
        <f t="shared" si="25"/>
        <v>0</v>
      </c>
      <c r="O23" s="1462">
        <f t="shared" si="25"/>
        <v>-120</v>
      </c>
      <c r="P23" s="1462">
        <f t="shared" si="25"/>
        <v>0</v>
      </c>
      <c r="Q23" s="1462">
        <f t="shared" si="25"/>
        <v>0</v>
      </c>
      <c r="R23" s="1462">
        <f t="shared" si="25"/>
        <v>-120</v>
      </c>
      <c r="S23" s="1462">
        <f t="shared" si="25"/>
        <v>-120</v>
      </c>
      <c r="U23" s="1462">
        <f>SUM(U17:U22)</f>
        <v>0</v>
      </c>
      <c r="V23" s="1462">
        <f t="shared" ref="V23:AB23" si="26">SUM(V17:V22)</f>
        <v>0</v>
      </c>
      <c r="W23" s="1462">
        <f t="shared" si="26"/>
        <v>0</v>
      </c>
      <c r="X23" s="1462">
        <f t="shared" si="26"/>
        <v>-250</v>
      </c>
      <c r="Y23" s="1462">
        <f t="shared" si="26"/>
        <v>-190</v>
      </c>
      <c r="Z23" s="1462">
        <f t="shared" si="26"/>
        <v>0</v>
      </c>
      <c r="AA23" s="1462">
        <f t="shared" si="26"/>
        <v>-440</v>
      </c>
      <c r="AB23" s="1462">
        <f t="shared" si="26"/>
        <v>-440</v>
      </c>
      <c r="AD23" s="1462">
        <f>SUM(AD17:AD22)</f>
        <v>0</v>
      </c>
      <c r="AE23" s="1462">
        <f t="shared" ref="AE23:AK23" si="27">SUM(AE17:AE22)</f>
        <v>0</v>
      </c>
      <c r="AF23" s="1462">
        <f t="shared" si="27"/>
        <v>0</v>
      </c>
      <c r="AG23" s="1462">
        <f t="shared" si="27"/>
        <v>-380</v>
      </c>
      <c r="AH23" s="1462">
        <f t="shared" si="27"/>
        <v>0</v>
      </c>
      <c r="AI23" s="1462">
        <f t="shared" si="27"/>
        <v>0</v>
      </c>
      <c r="AJ23" s="1462">
        <f t="shared" si="27"/>
        <v>-380</v>
      </c>
      <c r="AK23" s="1462">
        <f t="shared" si="27"/>
        <v>-380</v>
      </c>
      <c r="AM23" s="1462">
        <f>SUM(AM17:AM22)</f>
        <v>0</v>
      </c>
      <c r="AN23" s="1462">
        <f t="shared" ref="AN23:AT23" si="28">SUM(AN17:AN22)</f>
        <v>0</v>
      </c>
      <c r="AO23" s="1462">
        <f t="shared" si="28"/>
        <v>0</v>
      </c>
      <c r="AP23" s="1462">
        <f t="shared" si="28"/>
        <v>0</v>
      </c>
      <c r="AQ23" s="1462">
        <f t="shared" si="28"/>
        <v>0</v>
      </c>
      <c r="AR23" s="1462">
        <f t="shared" si="28"/>
        <v>0</v>
      </c>
      <c r="AS23" s="1462">
        <f t="shared" si="28"/>
        <v>0</v>
      </c>
      <c r="AT23" s="1462">
        <f t="shared" si="28"/>
        <v>0</v>
      </c>
      <c r="AV23" s="1462">
        <f>SUM(AV17:AV22)</f>
        <v>0</v>
      </c>
      <c r="AW23" s="1462">
        <f t="shared" ref="AW23:BC23" si="29">SUM(AW17:AW22)</f>
        <v>0</v>
      </c>
      <c r="AX23" s="1462">
        <f t="shared" si="29"/>
        <v>0</v>
      </c>
      <c r="AY23" s="1462">
        <f t="shared" si="29"/>
        <v>0</v>
      </c>
      <c r="AZ23" s="1462">
        <f t="shared" si="29"/>
        <v>0</v>
      </c>
      <c r="BA23" s="1462">
        <f t="shared" si="29"/>
        <v>0</v>
      </c>
      <c r="BB23" s="1462">
        <f t="shared" si="29"/>
        <v>0</v>
      </c>
      <c r="BC23" s="1462">
        <f t="shared" si="29"/>
        <v>0</v>
      </c>
      <c r="BE23" s="1462">
        <f>SUM(BE17:BE22)</f>
        <v>0</v>
      </c>
      <c r="BF23" s="1462">
        <f t="shared" ref="BF23:BL23" si="30">SUM(BF17:BF22)</f>
        <v>0</v>
      </c>
      <c r="BG23" s="1462">
        <f t="shared" si="30"/>
        <v>0</v>
      </c>
      <c r="BH23" s="1462">
        <f t="shared" si="30"/>
        <v>0</v>
      </c>
      <c r="BI23" s="1462">
        <f t="shared" si="30"/>
        <v>0</v>
      </c>
      <c r="BJ23" s="1462">
        <f t="shared" si="30"/>
        <v>0</v>
      </c>
      <c r="BK23" s="1462">
        <f t="shared" si="30"/>
        <v>0</v>
      </c>
      <c r="BL23" s="1462">
        <f t="shared" si="30"/>
        <v>0</v>
      </c>
      <c r="BN23" s="1466">
        <f>SUM(BN17:BN22)</f>
        <v>-2144</v>
      </c>
    </row>
    <row r="25" spans="1:66">
      <c r="BN25" s="1470">
        <f>+BN12+BN23</f>
        <v>247</v>
      </c>
    </row>
  </sheetData>
  <mergeCells count="15">
    <mergeCell ref="AD15:AG15"/>
    <mergeCell ref="C3:H3"/>
    <mergeCell ref="C14:H14"/>
    <mergeCell ref="L3:Q3"/>
    <mergeCell ref="L14:Q14"/>
    <mergeCell ref="U3:Z3"/>
    <mergeCell ref="U14:Z14"/>
    <mergeCell ref="BE3:BJ3"/>
    <mergeCell ref="BE14:BJ14"/>
    <mergeCell ref="AD3:AI3"/>
    <mergeCell ref="AD14:AI14"/>
    <mergeCell ref="AM3:AR3"/>
    <mergeCell ref="AM14:AR14"/>
    <mergeCell ref="AV14:BA14"/>
    <mergeCell ref="AV3:BA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FFFF00"/>
    <pageSetUpPr fitToPage="1"/>
  </sheetPr>
  <dimension ref="A1:CQ243"/>
  <sheetViews>
    <sheetView view="pageBreakPreview" zoomScale="70" zoomScaleNormal="78" zoomScaleSheetLayoutView="70" workbookViewId="0">
      <pane xSplit="2" ySplit="6" topLeftCell="Z177" activePane="bottomRight" state="frozen"/>
      <selection pane="bottomRight" activeCell="AE189" sqref="AE189"/>
      <selection pane="bottomLeft" activeCell="A7" sqref="A7"/>
      <selection pane="topRight" activeCell="C1" sqref="C1"/>
    </sheetView>
  </sheetViews>
  <sheetFormatPr defaultColWidth="9.140625" defaultRowHeight="14.45"/>
  <cols>
    <col min="1" max="1" width="17.7109375" style="469" customWidth="1"/>
    <col min="2" max="2" width="22.140625" style="469" customWidth="1"/>
    <col min="3" max="3" width="17.7109375" style="469" customWidth="1"/>
    <col min="4" max="4" width="19.5703125" style="469" customWidth="1"/>
    <col min="5" max="5" width="17.85546875" style="469" customWidth="1"/>
    <col min="6" max="6" width="13.85546875" style="469" bestFit="1" customWidth="1"/>
    <col min="7" max="12" width="19.5703125" style="469" customWidth="1"/>
    <col min="13" max="13" width="12.42578125" style="469" customWidth="1"/>
    <col min="14" max="14" width="15.85546875" style="469" customWidth="1"/>
    <col min="15" max="15" width="12.42578125" style="469" customWidth="1"/>
    <col min="16" max="16" width="16.140625" style="463" bestFit="1" customWidth="1"/>
    <col min="17" max="18" width="16.7109375" style="469" customWidth="1"/>
    <col min="19" max="22" width="14.5703125" style="469" customWidth="1"/>
    <col min="23" max="23" width="18.42578125" style="469" customWidth="1"/>
    <col min="24" max="25" width="16" style="469" customWidth="1"/>
    <col min="26" max="26" width="10.42578125" style="469" customWidth="1"/>
    <col min="27" max="27" width="14.28515625" style="469" customWidth="1"/>
    <col min="28" max="29" width="14.85546875" style="469" bestFit="1" customWidth="1"/>
    <col min="30" max="30" width="12" style="469" customWidth="1"/>
    <col min="31" max="32" width="14.28515625" style="469" customWidth="1"/>
    <col min="33" max="33" width="16.85546875" style="469" bestFit="1" customWidth="1"/>
    <col min="34" max="34" width="10.85546875" style="467" customWidth="1"/>
    <col min="35" max="35" width="13.85546875" style="467" customWidth="1"/>
    <col min="36" max="36" width="10.85546875" style="467" customWidth="1"/>
    <col min="37" max="37" width="18.42578125" style="467" customWidth="1"/>
    <col min="38" max="39" width="13.42578125" style="467" customWidth="1"/>
    <col min="40" max="40" width="14.7109375" style="486" customWidth="1"/>
    <col min="41" max="66" width="10.85546875" style="467" customWidth="1"/>
    <col min="67" max="68" width="10.85546875" style="468" customWidth="1"/>
    <col min="69" max="69" width="10.28515625" style="468" bestFit="1" customWidth="1"/>
    <col min="70" max="71" width="10.28515625" style="468" customWidth="1"/>
    <col min="72" max="72" width="11.140625" style="468" bestFit="1" customWidth="1"/>
    <col min="73" max="76" width="11.140625" style="468" customWidth="1"/>
    <col min="77" max="77" width="12.28515625" style="469" bestFit="1" customWidth="1"/>
    <col min="78" max="83" width="12.28515625" style="469" customWidth="1"/>
    <col min="84" max="16384" width="9.140625" style="469"/>
  </cols>
  <sheetData>
    <row r="1" spans="1:95" s="463" customFormat="1">
      <c r="C1" s="464"/>
      <c r="D1" s="463" t="s">
        <v>138</v>
      </c>
      <c r="O1" s="465"/>
      <c r="AH1" s="466"/>
      <c r="AI1" s="466"/>
      <c r="AJ1" s="466"/>
      <c r="AK1" s="466"/>
      <c r="AL1" s="466"/>
      <c r="AM1" s="466"/>
      <c r="AN1" s="485"/>
      <c r="AO1" s="466"/>
      <c r="AP1" s="466"/>
      <c r="AQ1" s="466"/>
      <c r="AR1" s="466"/>
      <c r="AS1" s="466"/>
      <c r="AT1" s="466"/>
      <c r="AU1" s="466"/>
      <c r="AV1" s="466"/>
      <c r="AW1" s="466"/>
      <c r="AX1" s="466"/>
      <c r="AY1" s="466"/>
      <c r="AZ1" s="466"/>
      <c r="BA1" s="466"/>
      <c r="BB1" s="466"/>
      <c r="BC1" s="466"/>
      <c r="BD1" s="466"/>
      <c r="BE1" s="467"/>
      <c r="BF1" s="467"/>
      <c r="BG1" s="467"/>
      <c r="BH1" s="466"/>
      <c r="BI1" s="466"/>
      <c r="BJ1" s="466"/>
      <c r="BK1" s="466"/>
      <c r="BL1" s="466"/>
      <c r="BM1" s="466"/>
      <c r="BN1" s="466"/>
      <c r="BO1" s="468"/>
      <c r="BP1" s="468"/>
      <c r="BQ1" s="468"/>
      <c r="BR1" s="468"/>
      <c r="BS1" s="468"/>
      <c r="BT1" s="468"/>
      <c r="BU1" s="468"/>
      <c r="BV1" s="468"/>
      <c r="BW1" s="468"/>
      <c r="BX1" s="468"/>
      <c r="BY1" s="469"/>
      <c r="BZ1" s="469"/>
      <c r="CA1" s="469"/>
      <c r="CB1" s="469"/>
      <c r="CC1" s="469"/>
      <c r="CD1" s="469"/>
      <c r="CE1" s="469"/>
      <c r="CF1" s="469"/>
      <c r="CG1" s="469"/>
      <c r="CH1" s="469"/>
      <c r="CI1" s="469"/>
      <c r="CJ1" s="469"/>
      <c r="CK1" s="469"/>
      <c r="CL1" s="469"/>
      <c r="CM1" s="469"/>
      <c r="CN1" s="469"/>
    </row>
    <row r="2" spans="1:95" s="463" customFormat="1">
      <c r="M2" s="465"/>
      <c r="N2" s="465"/>
      <c r="Q2" s="465"/>
      <c r="R2" s="465"/>
      <c r="S2" s="465"/>
      <c r="T2" s="465"/>
      <c r="U2" s="465"/>
      <c r="V2" s="465"/>
      <c r="W2" s="465"/>
      <c r="X2" s="465"/>
      <c r="Y2" s="465"/>
      <c r="Z2" s="465"/>
      <c r="AA2" s="465"/>
      <c r="AD2" s="465"/>
      <c r="AE2" s="465"/>
      <c r="AF2" s="465"/>
      <c r="AG2" s="465"/>
      <c r="AI2" s="466"/>
      <c r="AJ2" s="470"/>
      <c r="AK2" s="466"/>
      <c r="AL2" s="466"/>
      <c r="AM2" s="466"/>
      <c r="AN2" s="485"/>
      <c r="AO2" s="466"/>
      <c r="AP2" s="466"/>
      <c r="AQ2" s="466"/>
      <c r="AR2" s="466"/>
      <c r="AS2" s="466"/>
      <c r="AT2" s="466"/>
      <c r="AU2" s="466"/>
      <c r="AV2" s="466"/>
      <c r="AW2" s="466"/>
      <c r="AX2" s="466"/>
      <c r="AY2" s="466"/>
      <c r="AZ2" s="466"/>
      <c r="BA2" s="466"/>
      <c r="BB2" s="466"/>
      <c r="BC2" s="466"/>
      <c r="BD2" s="466"/>
      <c r="BE2" s="467"/>
      <c r="BF2" s="471"/>
      <c r="BG2" s="469"/>
      <c r="BH2" s="466"/>
      <c r="BI2" s="466"/>
      <c r="BJ2" s="466"/>
      <c r="BK2" s="466"/>
      <c r="BL2" s="466"/>
      <c r="BM2" s="466"/>
      <c r="BN2" s="466"/>
      <c r="BO2" s="468"/>
      <c r="BP2" s="468"/>
      <c r="BQ2" s="468"/>
      <c r="BR2" s="468"/>
      <c r="BS2" s="468"/>
      <c r="BT2" s="468"/>
      <c r="BU2" s="468"/>
      <c r="BV2" s="468"/>
      <c r="BW2" s="468"/>
      <c r="BX2" s="468"/>
      <c r="BY2" s="469"/>
      <c r="BZ2" s="469"/>
      <c r="CA2" s="469"/>
      <c r="CB2" s="469"/>
      <c r="CC2" s="469"/>
      <c r="CD2" s="469"/>
      <c r="CE2" s="469"/>
      <c r="CF2" s="469"/>
      <c r="CG2" s="469"/>
      <c r="CH2" s="469"/>
      <c r="CI2" s="469"/>
      <c r="CJ2" s="469"/>
      <c r="CK2" s="469"/>
      <c r="CL2" s="469"/>
      <c r="CM2" s="469"/>
      <c r="CN2" s="469"/>
    </row>
    <row r="3" spans="1:95" s="463" customFormat="1">
      <c r="A3" s="463" t="s">
        <v>82</v>
      </c>
      <c r="C3" s="472">
        <v>46226</v>
      </c>
      <c r="N3" s="465"/>
      <c r="Q3" s="464">
        <f>12+14+12+14+14</f>
        <v>66</v>
      </c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I3" s="466"/>
      <c r="AK3" s="466"/>
      <c r="AL3" s="466"/>
      <c r="AM3" s="466"/>
      <c r="AN3" s="485"/>
      <c r="AO3" s="466"/>
      <c r="AP3" s="466"/>
      <c r="AQ3" s="466"/>
      <c r="AR3" s="466"/>
      <c r="AS3" s="466"/>
      <c r="AT3" s="466"/>
      <c r="AU3" s="466"/>
      <c r="AV3" s="466"/>
      <c r="AW3" s="466"/>
      <c r="AX3" s="466"/>
      <c r="AY3" s="466"/>
      <c r="AZ3" s="466"/>
      <c r="BA3" s="466"/>
      <c r="BB3" s="466"/>
      <c r="BC3" s="466"/>
      <c r="BD3" s="466"/>
      <c r="BE3" s="471"/>
      <c r="BF3" s="471"/>
      <c r="BG3" s="471"/>
      <c r="BH3" s="466"/>
      <c r="BI3" s="466"/>
      <c r="BJ3" s="466"/>
      <c r="BK3" s="466"/>
      <c r="BL3" s="466"/>
      <c r="BM3" s="466"/>
      <c r="BN3" s="466"/>
      <c r="BO3" s="468"/>
      <c r="BP3" s="468"/>
      <c r="BQ3" s="468"/>
      <c r="BR3" s="468"/>
      <c r="BS3" s="468"/>
      <c r="BT3" s="468"/>
      <c r="BU3" s="468"/>
      <c r="BV3" s="468"/>
      <c r="BW3" s="468"/>
      <c r="BX3" s="468"/>
      <c r="BY3" s="469"/>
      <c r="BZ3" s="469"/>
      <c r="CA3" s="469"/>
      <c r="CB3" s="469"/>
      <c r="CC3" s="469"/>
      <c r="CD3" s="469"/>
      <c r="CE3" s="469"/>
      <c r="CF3" s="469"/>
      <c r="CG3" s="469"/>
      <c r="CH3" s="469"/>
      <c r="CI3" s="469"/>
      <c r="CJ3" s="469"/>
      <c r="CK3" s="469"/>
      <c r="CL3" s="469"/>
      <c r="CM3" s="469"/>
      <c r="CN3" s="469"/>
    </row>
    <row r="4" spans="1:95" s="463" customFormat="1">
      <c r="F4" s="464"/>
      <c r="G4" s="464"/>
      <c r="H4" s="464"/>
      <c r="N4" s="465"/>
      <c r="O4" s="463">
        <f>3024+59</f>
        <v>3083</v>
      </c>
      <c r="Q4" s="465"/>
      <c r="R4" s="465"/>
      <c r="S4" s="465"/>
      <c r="T4" s="465"/>
      <c r="U4" s="465"/>
      <c r="V4" s="465"/>
      <c r="W4" s="465"/>
      <c r="X4" s="465"/>
      <c r="Y4" s="465"/>
      <c r="Z4" s="465"/>
      <c r="AA4" s="465"/>
      <c r="AB4" s="474"/>
      <c r="AC4" s="464"/>
      <c r="AD4" s="464"/>
      <c r="AE4" s="464"/>
      <c r="AF4" s="473"/>
      <c r="AG4" s="473"/>
      <c r="AI4" s="466"/>
      <c r="AJ4" s="475"/>
      <c r="AK4" s="475"/>
      <c r="AL4" s="476"/>
      <c r="AM4" s="476"/>
      <c r="AN4" s="485"/>
      <c r="AO4" s="466"/>
      <c r="AP4" s="466"/>
      <c r="AQ4" s="466"/>
      <c r="AR4" s="466"/>
      <c r="AS4" s="466"/>
      <c r="AT4" s="466"/>
      <c r="AU4" s="466"/>
      <c r="AV4" s="466"/>
      <c r="AW4" s="466"/>
      <c r="AX4" s="466"/>
      <c r="AY4" s="466"/>
      <c r="AZ4" s="466"/>
      <c r="BA4" s="466"/>
      <c r="BB4" s="466"/>
      <c r="BC4" s="466"/>
      <c r="BD4" s="466"/>
      <c r="BE4" s="471"/>
      <c r="BF4" s="467"/>
      <c r="BG4" s="471"/>
      <c r="BH4" s="466"/>
      <c r="BI4" s="466"/>
      <c r="BJ4" s="466"/>
      <c r="BK4" s="466"/>
      <c r="BL4" s="466"/>
      <c r="BM4" s="466"/>
      <c r="BN4" s="466"/>
      <c r="BO4" s="468"/>
      <c r="BP4" s="468"/>
      <c r="BQ4" s="468"/>
      <c r="BR4" s="468"/>
      <c r="BS4" s="468"/>
      <c r="BT4" s="468"/>
      <c r="BU4" s="468"/>
      <c r="BV4" s="468"/>
      <c r="BW4" s="468"/>
      <c r="BX4" s="468"/>
      <c r="BY4" s="469"/>
      <c r="BZ4" s="469"/>
      <c r="CA4" s="469"/>
      <c r="CB4" s="469"/>
      <c r="CC4" s="469"/>
      <c r="CD4" s="469"/>
      <c r="CE4" s="469"/>
      <c r="CF4" s="469"/>
      <c r="CG4" s="469"/>
      <c r="CH4" s="469"/>
      <c r="CI4" s="469"/>
      <c r="CJ4" s="469"/>
      <c r="CK4" s="469"/>
      <c r="CL4" s="469"/>
      <c r="CM4" s="469"/>
      <c r="CN4" s="469"/>
    </row>
    <row r="5" spans="1:95" s="463" customFormat="1">
      <c r="A5" s="463" t="s">
        <v>137</v>
      </c>
      <c r="D5" s="464"/>
      <c r="E5" s="464"/>
      <c r="F5" s="464"/>
      <c r="G5" s="464"/>
      <c r="H5" s="464"/>
      <c r="I5" s="464"/>
      <c r="J5" s="464"/>
      <c r="K5" s="464"/>
      <c r="L5" s="464"/>
      <c r="N5" s="465"/>
      <c r="O5" s="465"/>
      <c r="P5" s="464"/>
      <c r="Q5" s="464"/>
      <c r="R5" s="464"/>
      <c r="S5" s="464"/>
      <c r="T5" s="464"/>
      <c r="U5" s="464"/>
      <c r="V5" s="464"/>
      <c r="W5" s="464"/>
      <c r="X5" s="464"/>
      <c r="Y5" s="464"/>
      <c r="Z5" s="464"/>
      <c r="AA5" s="464"/>
      <c r="AB5" s="464"/>
      <c r="AC5" s="464"/>
      <c r="AD5" s="464"/>
      <c r="AE5" s="464"/>
      <c r="AF5" s="473"/>
      <c r="AG5" s="473"/>
      <c r="AI5" s="477"/>
      <c r="AJ5" s="478"/>
      <c r="AK5" s="479"/>
      <c r="AL5" s="480"/>
      <c r="AM5" s="480"/>
      <c r="AN5" s="485"/>
      <c r="AO5" s="481"/>
      <c r="AP5" s="481"/>
      <c r="AQ5" s="481"/>
      <c r="AR5" s="481"/>
      <c r="AS5" s="481"/>
      <c r="AT5" s="481"/>
      <c r="AU5" s="481"/>
      <c r="AV5" s="481"/>
      <c r="AW5" s="481"/>
      <c r="AX5" s="481"/>
      <c r="AY5" s="481"/>
      <c r="AZ5" s="481"/>
      <c r="BA5" s="481"/>
      <c r="BB5" s="481"/>
      <c r="BC5" s="481"/>
      <c r="BD5" s="481"/>
      <c r="BE5" s="471"/>
      <c r="BF5" s="471"/>
      <c r="BG5" s="471"/>
      <c r="BH5" s="466"/>
      <c r="BI5" s="466"/>
      <c r="BJ5" s="466"/>
      <c r="BK5" s="466"/>
      <c r="BL5" s="466"/>
      <c r="BM5" s="466"/>
      <c r="BN5" s="466"/>
      <c r="BO5" s="468"/>
      <c r="BP5" s="468"/>
      <c r="BQ5" s="468"/>
      <c r="BR5" s="468"/>
      <c r="BS5" s="468"/>
      <c r="BT5" s="468"/>
      <c r="BU5" s="468"/>
      <c r="BV5" s="468"/>
      <c r="BW5" s="468"/>
      <c r="BX5" s="468"/>
      <c r="BY5" s="469"/>
      <c r="BZ5" s="469"/>
      <c r="CA5" s="469"/>
      <c r="CB5" s="469"/>
      <c r="CC5" s="469"/>
      <c r="CD5" s="469"/>
      <c r="CE5" s="469"/>
      <c r="CF5" s="469"/>
      <c r="CG5" s="469"/>
      <c r="CH5" s="469"/>
      <c r="CI5" s="469"/>
      <c r="CJ5" s="469"/>
      <c r="CK5" s="469"/>
      <c r="CL5" s="469"/>
      <c r="CM5" s="469"/>
      <c r="CN5" s="469"/>
    </row>
    <row r="6" spans="1:95" s="463" customFormat="1">
      <c r="D6" s="464"/>
      <c r="E6" s="464"/>
      <c r="F6" s="464"/>
      <c r="G6" s="464"/>
      <c r="H6" s="464"/>
      <c r="I6" s="464"/>
      <c r="J6" s="464"/>
      <c r="K6" s="464"/>
      <c r="L6" s="464"/>
      <c r="M6" s="464"/>
      <c r="N6" s="464"/>
      <c r="O6" s="464"/>
      <c r="P6" s="464"/>
      <c r="Q6" s="464"/>
      <c r="R6" s="464"/>
      <c r="S6" s="464"/>
      <c r="T6" s="464"/>
      <c r="U6" s="464"/>
      <c r="V6" s="464"/>
      <c r="W6" s="464"/>
      <c r="X6" s="464"/>
      <c r="Y6" s="464"/>
      <c r="Z6" s="464"/>
      <c r="AA6" s="464"/>
      <c r="AB6" s="464"/>
      <c r="AC6" s="473"/>
      <c r="AF6" s="473"/>
      <c r="AI6" s="466"/>
      <c r="AJ6" s="475"/>
      <c r="AK6" s="475"/>
      <c r="AL6" s="480"/>
      <c r="AM6" s="476"/>
      <c r="AN6" s="485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71"/>
      <c r="BF6" s="471"/>
      <c r="BG6" s="471"/>
      <c r="BH6" s="466"/>
      <c r="BI6" s="466"/>
      <c r="BJ6" s="466"/>
      <c r="BK6" s="466"/>
      <c r="BL6" s="466"/>
      <c r="BM6" s="466"/>
      <c r="BN6" s="466"/>
      <c r="BO6" s="482"/>
      <c r="BP6" s="482"/>
      <c r="BQ6" s="482"/>
      <c r="BR6" s="482"/>
      <c r="BS6" s="482"/>
      <c r="BT6" s="482"/>
      <c r="BU6" s="482"/>
      <c r="BV6" s="482"/>
      <c r="BW6" s="482"/>
      <c r="BX6" s="482"/>
      <c r="BY6" s="469"/>
      <c r="BZ6" s="469"/>
      <c r="CA6" s="469"/>
      <c r="CB6" s="469"/>
      <c r="CC6" s="469"/>
      <c r="CD6" s="469"/>
      <c r="CE6" s="469"/>
      <c r="CF6" s="469"/>
      <c r="CG6" s="469"/>
      <c r="CH6" s="469"/>
      <c r="CI6" s="469"/>
      <c r="CJ6" s="469"/>
      <c r="CK6" s="469"/>
      <c r="CL6" s="469"/>
      <c r="CM6" s="469"/>
      <c r="CN6" s="469"/>
    </row>
    <row r="7" spans="1:95" s="463" customFormat="1">
      <c r="A7" s="463" t="s">
        <v>217</v>
      </c>
      <c r="C7" s="464" t="s">
        <v>138</v>
      </c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73"/>
      <c r="O7" s="483" t="s">
        <v>138</v>
      </c>
      <c r="P7" s="464"/>
      <c r="Q7" s="464"/>
      <c r="R7" s="464"/>
      <c r="S7" s="464"/>
      <c r="T7" s="464"/>
      <c r="U7" s="464"/>
      <c r="V7" s="464"/>
      <c r="W7" s="464"/>
      <c r="X7" s="464"/>
      <c r="Y7" s="464"/>
      <c r="Z7" s="464"/>
      <c r="AA7" s="464"/>
      <c r="AB7" s="464"/>
      <c r="AC7" s="464"/>
      <c r="AD7" s="464"/>
      <c r="AE7" s="464"/>
      <c r="AF7" s="473"/>
      <c r="AG7" s="464"/>
      <c r="AI7" s="466"/>
      <c r="AJ7" s="476"/>
      <c r="AK7" s="476"/>
      <c r="AL7" s="480"/>
      <c r="AM7" s="476"/>
      <c r="AN7" s="473"/>
      <c r="BE7" s="471"/>
      <c r="BF7" s="471"/>
      <c r="BG7" s="471"/>
      <c r="BH7" s="466"/>
      <c r="BI7" s="466"/>
      <c r="BJ7" s="466"/>
      <c r="BK7" s="466"/>
      <c r="BL7" s="466"/>
      <c r="BM7" s="466"/>
      <c r="BN7" s="466"/>
      <c r="BO7" s="482"/>
      <c r="BP7" s="482"/>
      <c r="BQ7" s="482"/>
      <c r="BR7" s="482"/>
      <c r="BS7" s="482"/>
      <c r="BT7" s="482"/>
      <c r="BU7" s="482"/>
      <c r="BV7" s="482"/>
      <c r="BW7" s="482"/>
      <c r="BX7" s="482"/>
      <c r="BY7" s="469"/>
      <c r="BZ7" s="469"/>
      <c r="CA7" s="469"/>
      <c r="CB7" s="469"/>
      <c r="CC7" s="469"/>
      <c r="CD7" s="469"/>
      <c r="CE7" s="469"/>
      <c r="CF7" s="469"/>
      <c r="CG7" s="469"/>
      <c r="CH7" s="469"/>
      <c r="CI7" s="469"/>
      <c r="CJ7" s="469"/>
      <c r="CK7" s="469"/>
      <c r="CL7" s="469"/>
      <c r="CM7" s="469"/>
      <c r="CN7" s="469"/>
    </row>
    <row r="8" spans="1:95" s="463" customFormat="1">
      <c r="B8" s="463" t="s">
        <v>138</v>
      </c>
      <c r="C8" s="464"/>
      <c r="D8" s="464"/>
      <c r="E8" s="464"/>
      <c r="F8" s="464"/>
      <c r="G8" s="464"/>
      <c r="H8" s="464"/>
      <c r="I8" s="464"/>
      <c r="J8" s="464"/>
      <c r="K8" s="464"/>
      <c r="L8" s="464"/>
      <c r="M8" s="473"/>
      <c r="N8" s="473"/>
      <c r="O8" s="473" t="s">
        <v>138</v>
      </c>
      <c r="P8" s="473"/>
      <c r="Q8" s="484"/>
      <c r="R8" s="484"/>
      <c r="S8" s="473"/>
      <c r="T8" s="473"/>
      <c r="U8" s="473"/>
      <c r="V8" s="473"/>
      <c r="W8" s="473"/>
      <c r="X8" s="473"/>
      <c r="Y8" s="473"/>
      <c r="Z8" s="473"/>
      <c r="AA8" s="473"/>
      <c r="AB8" s="474"/>
      <c r="AC8" s="473"/>
      <c r="AD8" s="473"/>
      <c r="AE8" s="473"/>
      <c r="AF8" s="473"/>
      <c r="AG8" s="483"/>
      <c r="AI8" s="466"/>
      <c r="AJ8" s="466"/>
      <c r="AK8" s="466"/>
      <c r="AL8" s="485"/>
      <c r="AM8" s="486"/>
      <c r="AN8" s="486"/>
      <c r="AO8" s="485"/>
      <c r="AP8" s="466"/>
      <c r="AQ8" s="466"/>
      <c r="AR8" s="466"/>
      <c r="AS8" s="466"/>
      <c r="AT8" s="466"/>
      <c r="AU8" s="466"/>
      <c r="AV8" s="466"/>
      <c r="AW8" s="466"/>
      <c r="AX8" s="466"/>
      <c r="AY8" s="466"/>
      <c r="AZ8" s="466"/>
      <c r="BA8" s="466"/>
      <c r="BB8" s="466"/>
      <c r="BC8" s="466"/>
      <c r="BD8" s="466"/>
      <c r="BE8" s="471"/>
      <c r="BF8" s="471"/>
      <c r="BG8" s="471"/>
      <c r="BH8" s="466"/>
      <c r="BI8" s="466"/>
      <c r="BJ8" s="466"/>
      <c r="BK8" s="466"/>
      <c r="BL8" s="466"/>
      <c r="BM8" s="466"/>
      <c r="BN8" s="466"/>
      <c r="BO8" s="466"/>
      <c r="BP8" s="482"/>
      <c r="BQ8" s="482"/>
      <c r="BR8" s="482"/>
      <c r="BS8" s="482"/>
      <c r="BT8" s="482"/>
      <c r="BU8" s="482"/>
      <c r="BV8" s="482"/>
      <c r="BW8" s="482"/>
      <c r="BX8" s="482"/>
      <c r="BY8" s="469"/>
      <c r="BZ8" s="482"/>
      <c r="CA8" s="469"/>
      <c r="CB8" s="469"/>
      <c r="CC8" s="469"/>
      <c r="CD8" s="469"/>
      <c r="CE8" s="469"/>
      <c r="CF8" s="469"/>
      <c r="CG8" s="469"/>
      <c r="CH8" s="469"/>
      <c r="CI8" s="469"/>
      <c r="CJ8" s="469"/>
      <c r="CK8" s="469"/>
      <c r="CL8" s="469"/>
      <c r="CM8" s="469"/>
      <c r="CN8" s="469"/>
    </row>
    <row r="9" spans="1:95" s="463" customFormat="1" ht="15" thickBot="1">
      <c r="C9" s="464"/>
      <c r="D9" s="464"/>
      <c r="E9" s="464"/>
      <c r="F9" s="464"/>
      <c r="G9" s="464"/>
      <c r="H9" s="464"/>
      <c r="I9" s="464"/>
      <c r="J9" s="464"/>
      <c r="K9" s="464"/>
      <c r="L9" s="464"/>
      <c r="M9" s="473"/>
      <c r="N9" s="473"/>
      <c r="O9" s="473"/>
      <c r="P9" s="473"/>
      <c r="Q9" s="484"/>
      <c r="R9" s="484"/>
      <c r="S9" s="473"/>
      <c r="T9" s="473"/>
      <c r="U9" s="473"/>
      <c r="V9" s="473"/>
      <c r="W9" s="473"/>
      <c r="X9" s="473"/>
      <c r="Y9" s="473"/>
      <c r="Z9" s="473"/>
      <c r="AA9" s="473"/>
      <c r="AB9" s="474"/>
      <c r="AC9" s="473"/>
      <c r="AD9" s="473"/>
      <c r="AE9" s="473"/>
      <c r="AF9" s="473"/>
      <c r="AG9" s="483"/>
      <c r="AI9" s="466"/>
      <c r="AJ9" s="466"/>
      <c r="AK9" s="466"/>
      <c r="AL9" s="485"/>
      <c r="AM9" s="486"/>
      <c r="AN9" s="486"/>
      <c r="AO9" s="485"/>
      <c r="AP9" s="466"/>
      <c r="AQ9" s="466"/>
      <c r="AR9" s="466"/>
      <c r="AS9" s="466"/>
      <c r="AT9" s="466"/>
      <c r="AU9" s="466"/>
      <c r="AV9" s="466"/>
      <c r="AW9" s="466"/>
      <c r="AX9" s="466"/>
      <c r="AY9" s="466"/>
      <c r="AZ9" s="466"/>
      <c r="BA9" s="466"/>
      <c r="BB9" s="466"/>
      <c r="BC9" s="466"/>
      <c r="BD9" s="466"/>
      <c r="BE9" s="471"/>
      <c r="BF9" s="471"/>
      <c r="BG9" s="471"/>
      <c r="BH9" s="466"/>
      <c r="BI9" s="466"/>
      <c r="BJ9" s="466"/>
      <c r="BK9" s="466"/>
      <c r="BL9" s="466"/>
      <c r="BM9" s="466"/>
      <c r="BN9" s="466"/>
      <c r="BO9" s="466"/>
      <c r="BP9" s="482"/>
      <c r="BQ9" s="482"/>
      <c r="BR9" s="482"/>
      <c r="BS9" s="482"/>
      <c r="BT9" s="482"/>
      <c r="BU9" s="482"/>
      <c r="BV9" s="482"/>
      <c r="BW9" s="482"/>
      <c r="BX9" s="482"/>
      <c r="BY9" s="469"/>
      <c r="BZ9" s="482"/>
      <c r="CA9" s="469"/>
      <c r="CB9" s="469"/>
      <c r="CC9" s="469"/>
      <c r="CD9" s="469"/>
      <c r="CE9" s="469"/>
      <c r="CF9" s="469"/>
      <c r="CG9" s="469"/>
      <c r="CH9" s="469"/>
      <c r="CI9" s="469"/>
      <c r="CJ9" s="469"/>
      <c r="CK9" s="469"/>
      <c r="CL9" s="469"/>
      <c r="CM9" s="469"/>
      <c r="CN9" s="469"/>
    </row>
    <row r="10" spans="1:95" s="463" customFormat="1" ht="15.75" customHeight="1" thickBot="1">
      <c r="A10" s="2126" t="s">
        <v>218</v>
      </c>
      <c r="B10" s="2127"/>
      <c r="C10" s="2127" t="s">
        <v>219</v>
      </c>
      <c r="D10" s="2127"/>
      <c r="E10" s="2127"/>
      <c r="F10" s="2127"/>
      <c r="G10" s="2127"/>
      <c r="H10" s="2127"/>
      <c r="I10" s="2127"/>
      <c r="J10" s="2127"/>
      <c r="K10" s="2127"/>
      <c r="L10" s="2136"/>
      <c r="N10" s="2128" t="s">
        <v>220</v>
      </c>
      <c r="O10" s="2129"/>
      <c r="P10" s="2129"/>
      <c r="Q10" s="2129"/>
      <c r="R10" s="2129"/>
      <c r="S10" s="2129"/>
      <c r="T10" s="2129"/>
      <c r="U10" s="2129"/>
      <c r="V10" s="2129"/>
      <c r="W10" s="2129"/>
      <c r="X10" s="2129"/>
      <c r="Y10" s="2129"/>
      <c r="Z10" s="2129"/>
      <c r="AA10" s="2129"/>
      <c r="AB10" s="2129"/>
      <c r="AC10" s="2130"/>
      <c r="AD10" s="488"/>
      <c r="AE10" s="488"/>
      <c r="AF10" s="464"/>
      <c r="AG10" s="489"/>
      <c r="AH10" s="466"/>
      <c r="AI10" s="466"/>
      <c r="AJ10" s="466"/>
      <c r="AK10" s="466"/>
      <c r="AL10" s="466"/>
      <c r="AM10" s="466"/>
      <c r="AN10" s="485"/>
      <c r="AO10" s="466"/>
      <c r="AP10" s="466"/>
      <c r="AQ10" s="466"/>
      <c r="AR10" s="466"/>
      <c r="AS10" s="466"/>
      <c r="AT10" s="466"/>
      <c r="AU10" s="466"/>
      <c r="AV10" s="466"/>
      <c r="AW10" s="466"/>
      <c r="AX10" s="466"/>
      <c r="AY10" s="466"/>
      <c r="AZ10" s="466"/>
      <c r="BA10" s="466"/>
      <c r="BB10" s="466"/>
      <c r="BC10" s="466"/>
      <c r="BD10" s="466"/>
      <c r="BE10" s="471"/>
      <c r="BF10" s="471"/>
      <c r="BG10" s="469"/>
      <c r="BH10" s="467"/>
      <c r="BI10" s="467"/>
      <c r="BJ10" s="467"/>
      <c r="BK10" s="466"/>
      <c r="BL10" s="466"/>
      <c r="BM10" s="466"/>
      <c r="BN10" s="466"/>
      <c r="BO10" s="490"/>
      <c r="BP10" s="490"/>
      <c r="BQ10" s="490"/>
      <c r="BR10" s="490"/>
      <c r="BS10" s="490"/>
      <c r="BT10" s="490"/>
      <c r="BU10" s="482"/>
      <c r="BV10" s="482"/>
      <c r="BW10" s="482"/>
      <c r="BX10" s="482"/>
      <c r="BY10" s="482"/>
      <c r="BZ10" s="482"/>
      <c r="CA10" s="482"/>
      <c r="CB10" s="468"/>
      <c r="CC10" s="491"/>
      <c r="CD10" s="491"/>
      <c r="CE10" s="491"/>
      <c r="CF10" s="469"/>
      <c r="CG10" s="469"/>
      <c r="CH10" s="469"/>
      <c r="CI10" s="469"/>
      <c r="CJ10" s="469"/>
      <c r="CK10" s="469"/>
      <c r="CL10" s="469"/>
      <c r="CM10" s="469"/>
      <c r="CN10" s="469"/>
    </row>
    <row r="11" spans="1:95" s="463" customFormat="1" ht="29.45" thickBot="1">
      <c r="A11" s="563" t="s">
        <v>87</v>
      </c>
      <c r="B11" s="496" t="s">
        <v>88</v>
      </c>
      <c r="C11" s="533" t="s">
        <v>221</v>
      </c>
      <c r="D11" s="496" t="s">
        <v>212</v>
      </c>
      <c r="E11" s="530" t="s">
        <v>213</v>
      </c>
      <c r="F11" s="531" t="s">
        <v>188</v>
      </c>
      <c r="G11" s="531" t="s">
        <v>189</v>
      </c>
      <c r="H11" s="560" t="s">
        <v>190</v>
      </c>
      <c r="I11" s="532" t="s">
        <v>214</v>
      </c>
      <c r="J11" s="1140" t="s">
        <v>222</v>
      </c>
      <c r="K11" s="1257" t="s">
        <v>223</v>
      </c>
      <c r="L11" s="1257" t="s">
        <v>192</v>
      </c>
      <c r="M11" s="563" t="s">
        <v>71</v>
      </c>
      <c r="N11" s="1139" t="s">
        <v>216</v>
      </c>
      <c r="O11" s="531" t="s">
        <v>224</v>
      </c>
      <c r="P11" s="531" t="s">
        <v>188</v>
      </c>
      <c r="Q11" s="531" t="s">
        <v>189</v>
      </c>
      <c r="R11" s="560" t="s">
        <v>190</v>
      </c>
      <c r="S11" s="560" t="s">
        <v>214</v>
      </c>
      <c r="T11" s="1517" t="s">
        <v>223</v>
      </c>
      <c r="U11" s="1517" t="s">
        <v>225</v>
      </c>
      <c r="V11" s="1517" t="s">
        <v>192</v>
      </c>
      <c r="W11" s="530" t="s">
        <v>226</v>
      </c>
      <c r="X11" s="533" t="s">
        <v>227</v>
      </c>
      <c r="Y11" s="533" t="s">
        <v>228</v>
      </c>
      <c r="Z11" s="1518" t="s">
        <v>229</v>
      </c>
      <c r="AA11" s="1518" t="s">
        <v>230</v>
      </c>
      <c r="AB11" s="531" t="s">
        <v>231</v>
      </c>
      <c r="AC11" s="531" t="s">
        <v>232</v>
      </c>
      <c r="AD11" s="1257" t="s">
        <v>71</v>
      </c>
      <c r="AE11" s="1258" t="s">
        <v>233</v>
      </c>
      <c r="AF11" s="1259" t="s">
        <v>234</v>
      </c>
      <c r="AG11" s="500" t="s">
        <v>185</v>
      </c>
      <c r="AH11" s="466"/>
      <c r="AI11" s="501"/>
      <c r="AJ11" s="501"/>
      <c r="AK11" s="502"/>
      <c r="AL11" s="503"/>
      <c r="AM11" s="465"/>
      <c r="AN11" s="1719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6"/>
      <c r="BB11" s="467"/>
      <c r="BC11" s="471"/>
      <c r="BD11" s="467"/>
      <c r="BE11" s="469"/>
      <c r="BF11" s="469"/>
      <c r="BG11" s="469"/>
      <c r="BR11" s="504"/>
      <c r="BS11" s="490"/>
      <c r="BT11" s="490"/>
      <c r="BU11" s="490"/>
      <c r="BV11" s="490"/>
      <c r="BW11" s="482"/>
      <c r="BX11" s="490"/>
      <c r="BY11" s="468"/>
      <c r="BZ11" s="491"/>
      <c r="CA11" s="490"/>
      <c r="CB11" s="491"/>
      <c r="CC11" s="469"/>
      <c r="CD11" s="469"/>
      <c r="CE11" s="469"/>
      <c r="CF11" s="469"/>
      <c r="CG11" s="469"/>
      <c r="CH11" s="469"/>
      <c r="CI11" s="469"/>
      <c r="CJ11" s="469"/>
      <c r="CK11" s="469"/>
    </row>
    <row r="12" spans="1:95" s="1372" customFormat="1">
      <c r="A12" s="1384" t="s">
        <v>105</v>
      </c>
      <c r="B12" s="1385" t="s">
        <v>235</v>
      </c>
      <c r="C12" s="1386">
        <v>5260</v>
      </c>
      <c r="D12" s="1377"/>
      <c r="E12" s="1377"/>
      <c r="F12" s="1377"/>
      <c r="G12" s="1377"/>
      <c r="H12" s="1377"/>
      <c r="I12" s="1377"/>
      <c r="J12" s="1377">
        <f>'Grasmere Batch Mvnt'!J21</f>
        <v>6157</v>
      </c>
      <c r="K12" s="1387"/>
      <c r="L12" s="1394"/>
      <c r="M12" s="1522">
        <f t="shared" ref="M12:M15" si="0">SUM(C12:L12)</f>
        <v>11417</v>
      </c>
      <c r="N12" s="1757">
        <f>-'Grasmere Batch Mvnt'!I24-'Grasmere Batch Mvnt'!I27</f>
        <v>-4465</v>
      </c>
      <c r="O12" s="1377"/>
      <c r="P12" s="1377"/>
      <c r="Q12" s="1377"/>
      <c r="R12" s="1377">
        <f>-'Grasmere Batch Mvnt'!I25</f>
        <v>-1203</v>
      </c>
      <c r="S12" s="1377"/>
      <c r="T12" s="1377"/>
      <c r="U12" s="1377"/>
      <c r="V12" s="1377"/>
      <c r="W12" s="1377">
        <f>-'Grasmere Batch Mvnt'!I22</f>
        <v>-553</v>
      </c>
      <c r="X12" s="1377"/>
      <c r="Y12" s="1377"/>
      <c r="Z12" s="1377"/>
      <c r="AA12" s="1377"/>
      <c r="AB12" s="1377"/>
      <c r="AC12" s="1387"/>
      <c r="AD12" s="1389">
        <f t="shared" ref="AD12:AD17" si="1">SUM(N12:AC12)</f>
        <v>-6221</v>
      </c>
      <c r="AE12" s="1377">
        <f>+M12+AD12</f>
        <v>5196</v>
      </c>
      <c r="AF12" s="1386">
        <f>+'Grasmere Batch Mvnt'!E121</f>
        <v>5196</v>
      </c>
      <c r="AG12" s="1361">
        <f>AF12-AE12</f>
        <v>0</v>
      </c>
      <c r="AH12" s="1362">
        <f>AF12-C12</f>
        <v>-64</v>
      </c>
      <c r="AI12" s="1366"/>
      <c r="AJ12" s="1366"/>
      <c r="AK12" s="1364"/>
      <c r="AL12" s="1363"/>
      <c r="AM12" s="1365"/>
      <c r="AN12" s="1720"/>
      <c r="AO12" s="1365"/>
      <c r="AP12" s="1365"/>
      <c r="AQ12" s="1365"/>
      <c r="AR12" s="1365"/>
      <c r="AS12" s="1365"/>
      <c r="AT12" s="1365"/>
      <c r="AU12" s="1366"/>
      <c r="AV12" s="1366"/>
      <c r="AW12" s="1366"/>
      <c r="AX12" s="1366"/>
      <c r="AY12" s="1366"/>
      <c r="AZ12" s="1366"/>
      <c r="BA12" s="1366"/>
      <c r="BB12" s="1366"/>
      <c r="BC12" s="1366"/>
      <c r="BD12" s="1366"/>
      <c r="BE12" s="1362"/>
      <c r="BF12" s="1362"/>
      <c r="BG12" s="1362"/>
      <c r="BH12" s="1362"/>
      <c r="BI12" s="1362"/>
      <c r="BJ12" s="1362"/>
      <c r="BK12" s="1362"/>
      <c r="BL12" s="1367"/>
      <c r="BM12" s="1367"/>
      <c r="BN12" s="1367"/>
      <c r="BO12" s="1368"/>
      <c r="BP12" s="1368"/>
      <c r="BQ12" s="1362"/>
      <c r="BR12" s="1365"/>
      <c r="BS12" s="1362"/>
      <c r="BT12" s="1362"/>
      <c r="BU12" s="1362"/>
      <c r="BV12" s="1369"/>
      <c r="BW12" s="1367"/>
      <c r="BX12" s="1369"/>
      <c r="BY12" s="1370"/>
      <c r="BZ12" s="1371"/>
      <c r="CA12" s="1369"/>
      <c r="CB12" s="1371"/>
    </row>
    <row r="13" spans="1:95" s="1372" customFormat="1">
      <c r="A13" s="1354" t="str">
        <f>+B13</f>
        <v>WEANER</v>
      </c>
      <c r="B13" s="1355" t="s">
        <v>108</v>
      </c>
      <c r="C13" s="1356">
        <v>6380</v>
      </c>
      <c r="D13" s="1754">
        <f>'Grasmere Batch Mvnt'!E103</f>
        <v>4465</v>
      </c>
      <c r="E13" s="1349"/>
      <c r="F13" s="1349"/>
      <c r="G13" s="1349"/>
      <c r="H13" s="1349"/>
      <c r="I13" s="1349"/>
      <c r="J13" s="1349"/>
      <c r="K13" s="1357"/>
      <c r="L13" s="1402"/>
      <c r="M13" s="1358">
        <f t="shared" si="0"/>
        <v>10845</v>
      </c>
      <c r="N13" s="1755">
        <f>-'Grasmere Batch Mvnt'!G103-'Grasmere Batch Mvnt'!F103</f>
        <v>-4229</v>
      </c>
      <c r="O13" s="1349">
        <f>-'Grasmere Batch Mvnt'!M103</f>
        <v>0</v>
      </c>
      <c r="P13" s="1349">
        <f>-'Grasmere Batch Mvnt'!H101</f>
        <v>0</v>
      </c>
      <c r="Q13" s="1349"/>
      <c r="R13" s="1349">
        <f>-'Grasmere Batch Mvnt'!H98</f>
        <v>0</v>
      </c>
      <c r="S13" s="1349"/>
      <c r="T13" s="1349">
        <f>-'Grasmere Batch Mvnt'!H99</f>
        <v>0</v>
      </c>
      <c r="U13" s="1349"/>
      <c r="V13" s="1349"/>
      <c r="W13" s="1349">
        <f>-'Grasmere Batch Mvnt'!K103-'Grasmere Batch Mvnt'!Q103</f>
        <v>-43</v>
      </c>
      <c r="X13" s="1349"/>
      <c r="Y13" s="1349"/>
      <c r="Z13" s="1349"/>
      <c r="AA13" s="1349"/>
      <c r="AB13" s="1349"/>
      <c r="AC13" s="1357"/>
      <c r="AD13" s="1360">
        <f>SUM(N13:AC13)</f>
        <v>-4272</v>
      </c>
      <c r="AE13" s="1349">
        <f t="shared" ref="AE13" si="2">+M13+AD13</f>
        <v>6573</v>
      </c>
      <c r="AF13" s="1356">
        <f>+'Grasmere Batch Mvnt'!E126</f>
        <v>6573</v>
      </c>
      <c r="AG13" s="1361">
        <f t="shared" ref="AG13:AG17" si="3">AF13-AE13</f>
        <v>0</v>
      </c>
      <c r="AH13" s="1362">
        <f t="shared" ref="AH13:AH18" si="4">AF13-C13</f>
        <v>193</v>
      </c>
      <c r="AI13" s="1363"/>
      <c r="AJ13" s="1363"/>
      <c r="AK13" s="1364"/>
      <c r="AL13" s="1363"/>
      <c r="AM13" s="1365"/>
      <c r="AN13" s="1720"/>
      <c r="AO13" s="1365"/>
      <c r="AP13" s="1365"/>
      <c r="AQ13" s="1365"/>
      <c r="AR13" s="1365"/>
      <c r="AS13" s="1365"/>
      <c r="AT13" s="1365"/>
      <c r="AU13" s="1366"/>
      <c r="AV13" s="1366"/>
      <c r="AW13" s="1366"/>
      <c r="AX13" s="1366"/>
      <c r="AY13" s="1366"/>
      <c r="AZ13" s="1366"/>
      <c r="BA13" s="1366"/>
      <c r="BB13" s="1366"/>
      <c r="BC13" s="1366"/>
      <c r="BD13" s="1366"/>
      <c r="BE13" s="1362"/>
      <c r="BF13" s="1362"/>
      <c r="BG13" s="1362"/>
      <c r="BH13" s="1362"/>
      <c r="BI13" s="1362"/>
      <c r="BJ13" s="1362"/>
      <c r="BK13" s="1362"/>
      <c r="BL13" s="1367"/>
      <c r="BM13" s="1367"/>
      <c r="BN13" s="1367"/>
      <c r="BO13" s="1368"/>
      <c r="BP13" s="1368"/>
      <c r="BQ13" s="1362"/>
      <c r="BR13" s="1365"/>
      <c r="BS13" s="1362"/>
      <c r="BT13" s="1362"/>
      <c r="BU13" s="1362"/>
      <c r="BV13" s="1369"/>
      <c r="BW13" s="1367"/>
      <c r="BX13" s="1369"/>
      <c r="BY13" s="1370"/>
      <c r="BZ13" s="1371"/>
      <c r="CA13" s="1369"/>
      <c r="CB13" s="1371"/>
    </row>
    <row r="14" spans="1:95" s="1372" customFormat="1">
      <c r="A14" s="1354" t="s">
        <v>109</v>
      </c>
      <c r="B14" s="1355" t="s">
        <v>110</v>
      </c>
      <c r="C14" s="1356">
        <v>13029</v>
      </c>
      <c r="D14" s="1754">
        <f>'Grasmere Batch Mvnt'!E114</f>
        <v>4229</v>
      </c>
      <c r="E14" s="1349"/>
      <c r="F14" s="1349"/>
      <c r="G14" s="1349"/>
      <c r="H14" s="1349"/>
      <c r="I14" s="1349"/>
      <c r="J14" s="1349"/>
      <c r="K14" s="1357"/>
      <c r="L14" s="1402"/>
      <c r="M14" s="1358">
        <f t="shared" si="0"/>
        <v>17258</v>
      </c>
      <c r="N14" s="1359">
        <f>-'Grasmere Batch Mvnt'!H114</f>
        <v>-4</v>
      </c>
      <c r="O14" s="1349"/>
      <c r="P14" s="1349"/>
      <c r="Q14" s="1349"/>
      <c r="R14" s="1349"/>
      <c r="S14" s="1349"/>
      <c r="T14" s="1349">
        <f>-'Grasmere Batch Mvnt'!H113</f>
        <v>0</v>
      </c>
      <c r="U14" s="1349">
        <f>-'Grasmere Batch Mvnt'!O114</f>
        <v>0</v>
      </c>
      <c r="V14" s="1349">
        <f>-'Grasmere Batch Mvnt'!J114</f>
        <v>0</v>
      </c>
      <c r="W14" s="1349">
        <f>-'Grasmere Batch Mvnt'!K114-'Grasmere Batch Mvnt'!P114</f>
        <v>-83</v>
      </c>
      <c r="X14" s="1349">
        <f>-'Grasmere Batch Mvnt'!G114-Y14</f>
        <v>-4012</v>
      </c>
      <c r="Y14" s="2210">
        <f>-'[3]Sales USD'!$BD$5</f>
        <v>-6</v>
      </c>
      <c r="Z14" s="1349">
        <f>-'Grasmere Batch Mvnt'!R114</f>
        <v>-5</v>
      </c>
      <c r="AA14" s="1349"/>
      <c r="AB14" s="1349">
        <f>-'Grasmere Batch Mvnt'!O114</f>
        <v>0</v>
      </c>
      <c r="AC14" s="1357">
        <f>-'Grasmere Batch Mvnt'!M114-'Grasmere Batch Mvnt'!N114</f>
        <v>-18</v>
      </c>
      <c r="AD14" s="1360">
        <f>SUM(N14:AC14)</f>
        <v>-4128</v>
      </c>
      <c r="AE14" s="1349">
        <f>+M14+AD14</f>
        <v>13130</v>
      </c>
      <c r="AF14" s="1356">
        <f>+'Grasmere Batch Mvnt'!E142</f>
        <v>13130</v>
      </c>
      <c r="AG14" s="1373">
        <f t="shared" si="3"/>
        <v>0</v>
      </c>
      <c r="AH14" s="1362">
        <f t="shared" si="4"/>
        <v>101</v>
      </c>
      <c r="AI14" s="1363"/>
      <c r="AJ14" s="1363"/>
      <c r="AK14" s="1364"/>
      <c r="AL14" s="1363"/>
      <c r="AM14" s="1365"/>
      <c r="AN14" s="1720"/>
      <c r="AO14" s="1365"/>
      <c r="AP14" s="1365"/>
      <c r="AQ14" s="1365"/>
      <c r="AR14" s="1365"/>
      <c r="AS14" s="1365"/>
      <c r="AT14" s="1365"/>
      <c r="AU14" s="1366"/>
      <c r="AV14" s="1366"/>
      <c r="AW14" s="1366"/>
      <c r="AX14" s="1366"/>
      <c r="AY14" s="1366"/>
      <c r="AZ14" s="1366"/>
      <c r="BA14" s="1366"/>
      <c r="BB14" s="1366"/>
      <c r="BC14" s="1366"/>
      <c r="BD14" s="1366"/>
      <c r="BE14" s="1362"/>
      <c r="BF14" s="1362"/>
      <c r="BG14" s="1362"/>
      <c r="BH14" s="1362"/>
      <c r="BI14" s="1362"/>
      <c r="BJ14" s="1362"/>
      <c r="BK14" s="1362"/>
      <c r="BL14" s="1367"/>
      <c r="BM14" s="1367"/>
      <c r="BN14" s="1367"/>
      <c r="BO14" s="1368"/>
      <c r="BP14" s="1368"/>
      <c r="BQ14" s="1362"/>
      <c r="BR14" s="1365"/>
      <c r="BS14" s="1362"/>
      <c r="BT14" s="1362"/>
      <c r="BU14" s="1362"/>
      <c r="BV14" s="1369"/>
      <c r="BW14" s="1367"/>
      <c r="BX14" s="1369"/>
      <c r="BY14" s="1370"/>
      <c r="BZ14" s="1371"/>
      <c r="CA14" s="1369"/>
      <c r="CB14" s="1371"/>
    </row>
    <row r="15" spans="1:95">
      <c r="A15" s="1250" t="s">
        <v>111</v>
      </c>
      <c r="B15" s="1245" t="s">
        <v>235</v>
      </c>
      <c r="C15" s="1193">
        <v>631</v>
      </c>
      <c r="D15" s="1756">
        <f>'Grasmere Batch Mvnt'!E82+'Grasmere Batch Mvnt'!F82+'Grasmere Batch Mvnt'!G82+'Grasmere Batch Mvnt'!H82</f>
        <v>236</v>
      </c>
      <c r="E15" s="1192"/>
      <c r="F15" s="1192"/>
      <c r="G15" s="1192"/>
      <c r="H15" s="1192"/>
      <c r="I15" s="1192"/>
      <c r="J15" s="1192"/>
      <c r="K15" s="1231">
        <f>'Grasmere Batch Mvnt'!M82</f>
        <v>0</v>
      </c>
      <c r="L15" s="1264">
        <f>'Grasmere Batch Mvnt'!D82</f>
        <v>95</v>
      </c>
      <c r="M15" s="1253">
        <f t="shared" si="0"/>
        <v>962</v>
      </c>
      <c r="N15" s="1230">
        <f>-'Grasmere Batch Mvnt'!I82-'Grasmere Batch Mvnt'!J82-'Grasmere Batch Mvnt'!L82</f>
        <v>-326</v>
      </c>
      <c r="O15" s="1192">
        <f>-'Grasmere Batch Mvnt'!Q82</f>
        <v>0</v>
      </c>
      <c r="P15" s="1192">
        <v>0</v>
      </c>
      <c r="Q15" s="1192">
        <f>-'Grasmere Batch Mvnt'!P82</f>
        <v>0</v>
      </c>
      <c r="R15" s="1192">
        <v>0</v>
      </c>
      <c r="S15" s="1192">
        <f>-'Grasmere Batch Mvnt'!O82</f>
        <v>0</v>
      </c>
      <c r="T15" s="1192">
        <f>-'Grasmere Batch Mvnt'!N82</f>
        <v>0</v>
      </c>
      <c r="U15" s="1192">
        <f>-'Grasmere Batch Mvnt'!K82</f>
        <v>0</v>
      </c>
      <c r="V15" s="1192">
        <f>-'Grasmere Batch Mvnt'!S82</f>
        <v>0</v>
      </c>
      <c r="W15" s="1192">
        <f>-'Grasmere Batch Mvnt'!T82</f>
        <v>-7</v>
      </c>
      <c r="X15" s="1192">
        <f>-'Grasmere Batch Mvnt'!U82</f>
        <v>0</v>
      </c>
      <c r="Y15" s="1192"/>
      <c r="Z15" s="1192">
        <v>0</v>
      </c>
      <c r="AA15" s="1192"/>
      <c r="AB15" s="1192"/>
      <c r="AC15" s="1231"/>
      <c r="AD15" s="1248">
        <f>SUM(N15:AC15)</f>
        <v>-333</v>
      </c>
      <c r="AE15" s="1192">
        <f>+M15+AD15</f>
        <v>629</v>
      </c>
      <c r="AF15" s="1193">
        <f>+'Grasmere Batch Mvnt'!J120</f>
        <v>629</v>
      </c>
      <c r="AG15" s="1246">
        <f>AF15-AE15</f>
        <v>0</v>
      </c>
      <c r="AH15" s="1362">
        <f t="shared" si="4"/>
        <v>-2</v>
      </c>
      <c r="AK15" s="502"/>
      <c r="AL15" s="501"/>
      <c r="AM15" s="509"/>
      <c r="AN15" s="527"/>
      <c r="AO15" s="509"/>
      <c r="AP15" s="509"/>
      <c r="AQ15" s="509"/>
      <c r="AR15" s="509"/>
      <c r="AS15" s="509"/>
      <c r="AT15" s="509"/>
      <c r="BE15" s="471"/>
      <c r="BF15" s="471"/>
      <c r="BG15" s="471"/>
      <c r="BH15" s="471"/>
      <c r="BI15" s="471"/>
      <c r="BJ15" s="471"/>
      <c r="BK15" s="471"/>
      <c r="BL15" s="482"/>
      <c r="BM15" s="482"/>
      <c r="BN15" s="482"/>
      <c r="BO15" s="463"/>
      <c r="BP15" s="463"/>
      <c r="BQ15" s="471"/>
      <c r="BR15" s="509"/>
      <c r="BS15" s="471"/>
      <c r="BT15" s="471"/>
      <c r="BU15" s="471"/>
      <c r="BV15" s="510"/>
      <c r="BW15" s="482"/>
      <c r="BX15" s="510"/>
      <c r="BY15" s="468"/>
      <c r="BZ15" s="491"/>
      <c r="CA15" s="510"/>
      <c r="CB15" s="510"/>
    </row>
    <row r="16" spans="1:95">
      <c r="A16" s="1250" t="s">
        <v>112</v>
      </c>
      <c r="B16" s="1245" t="s">
        <v>235</v>
      </c>
      <c r="C16" s="1193">
        <v>2149</v>
      </c>
      <c r="D16" s="1192">
        <f>'Grasmere Batch Mvnt'!G76-'Grasmere Batch Mvnt'!F76</f>
        <v>1536</v>
      </c>
      <c r="E16" s="1192"/>
      <c r="F16" s="1192"/>
      <c r="G16" s="1192"/>
      <c r="H16" s="1192"/>
      <c r="I16" s="1192"/>
      <c r="J16" s="1192"/>
      <c r="K16" s="1231"/>
      <c r="L16" s="1231">
        <f>'Grasmere Batch Mvnt'!F76</f>
        <v>0</v>
      </c>
      <c r="M16" s="1253">
        <f>SUM(C16:L16)</f>
        <v>3685</v>
      </c>
      <c r="N16" s="1230">
        <f>-'Grasmere Batch Mvnt'!K76</f>
        <v>-1446</v>
      </c>
      <c r="O16" s="1192">
        <f>-'Grasmere Batch Mvnt'!R76</f>
        <v>0</v>
      </c>
      <c r="P16" s="1192"/>
      <c r="Q16" s="1192"/>
      <c r="R16" s="1192"/>
      <c r="S16" s="1192">
        <f>-'Grasmere Batch Mvnt'!T60</f>
        <v>0</v>
      </c>
      <c r="T16" s="1192"/>
      <c r="U16" s="1192"/>
      <c r="V16" s="1192">
        <f>-'Grasmere Batch Mvnt'!S68-'Grasmere Batch Mvnt'!S60</f>
        <v>0</v>
      </c>
      <c r="W16" s="1192">
        <f>-'Grasmere Batch Mvnt'!L76-'Grasmere Batch Mvnt'!M76</f>
        <v>-9</v>
      </c>
      <c r="X16" s="1192">
        <f>-'Grasmere Batch Mvnt'!P76-Y16</f>
        <v>-40</v>
      </c>
      <c r="Y16" s="1192"/>
      <c r="Z16" s="1192">
        <f>-'Grasmere Batch Mvnt'!O76</f>
        <v>-35</v>
      </c>
      <c r="AA16" s="1192"/>
      <c r="AB16" s="1192">
        <f>-'Grasmere Batch Mvnt'!Q76</f>
        <v>0</v>
      </c>
      <c r="AC16" s="1231"/>
      <c r="AD16" s="1248">
        <f>SUM(N16:AC16)</f>
        <v>-1530</v>
      </c>
      <c r="AE16" s="1192">
        <f>+M16+AD16</f>
        <v>2155</v>
      </c>
      <c r="AF16" s="1193">
        <f>+'Grasmere Batch Mvnt'!J119</f>
        <v>2155</v>
      </c>
      <c r="AG16" s="1246">
        <f>AF16-AE16</f>
        <v>0</v>
      </c>
      <c r="AH16" s="1362">
        <f t="shared" si="4"/>
        <v>6</v>
      </c>
      <c r="AI16" s="501"/>
      <c r="AJ16" s="501"/>
      <c r="AK16" s="502"/>
      <c r="AL16" s="501"/>
      <c r="AM16" s="509"/>
      <c r="AN16" s="527"/>
      <c r="AO16" s="509"/>
      <c r="AP16" s="509"/>
      <c r="AQ16" s="509"/>
      <c r="AR16" s="509"/>
      <c r="AS16" s="509"/>
      <c r="AT16" s="509"/>
      <c r="BE16" s="471"/>
      <c r="BF16" s="471"/>
      <c r="BG16" s="471"/>
      <c r="BH16" s="471"/>
      <c r="BI16" s="471"/>
      <c r="BJ16" s="471"/>
      <c r="BK16" s="471"/>
      <c r="BL16" s="482"/>
      <c r="BM16" s="482"/>
      <c r="BN16" s="482"/>
      <c r="BO16" s="463"/>
      <c r="BP16" s="463"/>
      <c r="BQ16" s="469"/>
      <c r="BR16" s="509"/>
      <c r="BS16" s="491"/>
      <c r="BT16" s="491"/>
      <c r="BU16" s="491"/>
      <c r="BV16" s="491"/>
      <c r="BW16" s="482"/>
      <c r="BX16" s="491"/>
      <c r="BY16" s="468"/>
      <c r="BZ16" s="491"/>
      <c r="CA16" s="491"/>
      <c r="CB16" s="491"/>
      <c r="CQ16" s="469">
        <f>217+5</f>
        <v>222</v>
      </c>
    </row>
    <row r="17" spans="1:84" ht="15" thickBot="1">
      <c r="A17" s="1251" t="s">
        <v>113</v>
      </c>
      <c r="B17" s="1247" t="s">
        <v>236</v>
      </c>
      <c r="C17" s="1193">
        <v>33</v>
      </c>
      <c r="D17" s="1192">
        <f>+'Grasmere Batch Mvnt'!E93</f>
        <v>4</v>
      </c>
      <c r="E17" s="1192"/>
      <c r="F17" s="1192"/>
      <c r="G17" s="1192"/>
      <c r="H17" s="1192"/>
      <c r="I17" s="1192"/>
      <c r="J17" s="1192"/>
      <c r="K17" s="1231"/>
      <c r="L17" s="1264"/>
      <c r="M17" s="1253">
        <f>SUM(C17:L17)</f>
        <v>37</v>
      </c>
      <c r="N17" s="1255">
        <v>0</v>
      </c>
      <c r="O17" s="1227"/>
      <c r="P17" s="1227"/>
      <c r="Q17" s="1227"/>
      <c r="R17" s="1227"/>
      <c r="S17" s="1227"/>
      <c r="T17" s="1227">
        <f>-'Grasmere Batch Mvnt'!H89</f>
        <v>-1</v>
      </c>
      <c r="U17" s="1227">
        <v>0</v>
      </c>
      <c r="V17" s="1227">
        <f>-'Grasmere Batch Mvnt'!H92</f>
        <v>0</v>
      </c>
      <c r="W17" s="1227">
        <f>-'Grasmere Batch Mvnt'!K93</f>
        <v>0</v>
      </c>
      <c r="X17" s="1227"/>
      <c r="Y17" s="1227"/>
      <c r="Z17" s="1227"/>
      <c r="AA17" s="1227"/>
      <c r="AB17" s="1227"/>
      <c r="AC17" s="1256"/>
      <c r="AD17" s="1248">
        <f t="shared" si="1"/>
        <v>-1</v>
      </c>
      <c r="AE17" s="1192">
        <f>+M17+AD17</f>
        <v>36</v>
      </c>
      <c r="AF17" s="1193">
        <f>+'Grasmere Batch Mvnt'!J118</f>
        <v>36</v>
      </c>
      <c r="AG17" s="1246">
        <f t="shared" si="3"/>
        <v>0</v>
      </c>
      <c r="AH17" s="1362">
        <f t="shared" si="4"/>
        <v>3</v>
      </c>
      <c r="AI17" s="501"/>
      <c r="AJ17" s="501"/>
      <c r="AK17" s="502"/>
      <c r="AL17" s="501"/>
      <c r="AM17" s="509"/>
      <c r="AN17" s="527"/>
      <c r="AO17" s="509"/>
      <c r="AP17" s="509"/>
      <c r="AQ17" s="509"/>
      <c r="AR17" s="509"/>
      <c r="AS17" s="509"/>
      <c r="AT17" s="509"/>
      <c r="BB17" s="501"/>
      <c r="BE17" s="471"/>
      <c r="BF17" s="471"/>
      <c r="BG17" s="471"/>
      <c r="BH17" s="471"/>
      <c r="BI17" s="471"/>
      <c r="BJ17" s="471"/>
      <c r="BK17" s="471"/>
      <c r="BL17" s="482"/>
      <c r="BM17" s="482"/>
      <c r="BN17" s="482"/>
      <c r="BO17" s="463"/>
      <c r="BP17" s="463"/>
      <c r="BQ17" s="471"/>
      <c r="BR17" s="509"/>
      <c r="BS17" s="471"/>
      <c r="BT17" s="471"/>
      <c r="BU17" s="471"/>
      <c r="BV17" s="510"/>
      <c r="BW17" s="482"/>
      <c r="BX17" s="510"/>
      <c r="BY17" s="468"/>
      <c r="BZ17" s="510"/>
      <c r="CA17" s="510"/>
      <c r="CB17" s="510"/>
    </row>
    <row r="18" spans="1:84" ht="15" thickBot="1">
      <c r="A18" s="1252"/>
      <c r="B18" s="573"/>
      <c r="C18" s="574">
        <f>SUM(C12:C17)</f>
        <v>27482</v>
      </c>
      <c r="D18" s="574">
        <f>SUM(D12:D17)</f>
        <v>10470</v>
      </c>
      <c r="E18" s="574">
        <f>SUM(E12:E17)</f>
        <v>0</v>
      </c>
      <c r="F18" s="574">
        <f t="shared" ref="F18:AG18" si="5">SUM(F12:F17)</f>
        <v>0</v>
      </c>
      <c r="G18" s="574">
        <f t="shared" si="5"/>
        <v>0</v>
      </c>
      <c r="H18" s="574">
        <f t="shared" si="5"/>
        <v>0</v>
      </c>
      <c r="I18" s="574">
        <f t="shared" si="5"/>
        <v>0</v>
      </c>
      <c r="J18" s="574">
        <f t="shared" si="5"/>
        <v>6157</v>
      </c>
      <c r="K18" s="574">
        <f>SUM(K12:K17)</f>
        <v>0</v>
      </c>
      <c r="L18" s="1521">
        <f>SUM(L12:L17)</f>
        <v>95</v>
      </c>
      <c r="M18" s="1249">
        <f>SUM(M12:M17)</f>
        <v>44204</v>
      </c>
      <c r="N18" s="1254">
        <f>SUM(N12:N17)</f>
        <v>-10470</v>
      </c>
      <c r="O18" s="1254">
        <f t="shared" ref="O18:AC18" si="6">SUM(O12:O17)</f>
        <v>0</v>
      </c>
      <c r="P18" s="1254">
        <f t="shared" si="6"/>
        <v>0</v>
      </c>
      <c r="Q18" s="1254">
        <f t="shared" si="6"/>
        <v>0</v>
      </c>
      <c r="R18" s="1254">
        <f t="shared" si="6"/>
        <v>-1203</v>
      </c>
      <c r="S18" s="1254">
        <f t="shared" si="6"/>
        <v>0</v>
      </c>
      <c r="T18" s="1254">
        <f t="shared" si="6"/>
        <v>-1</v>
      </c>
      <c r="U18" s="1254">
        <f t="shared" si="6"/>
        <v>0</v>
      </c>
      <c r="V18" s="1254">
        <f t="shared" si="6"/>
        <v>0</v>
      </c>
      <c r="W18" s="1254">
        <f t="shared" si="6"/>
        <v>-695</v>
      </c>
      <c r="X18" s="1254">
        <f t="shared" si="6"/>
        <v>-4052</v>
      </c>
      <c r="Y18" s="1254">
        <f t="shared" si="6"/>
        <v>-6</v>
      </c>
      <c r="Z18" s="1254">
        <f t="shared" si="6"/>
        <v>-40</v>
      </c>
      <c r="AA18" s="1254">
        <f t="shared" si="6"/>
        <v>0</v>
      </c>
      <c r="AB18" s="1254">
        <f t="shared" si="6"/>
        <v>0</v>
      </c>
      <c r="AC18" s="1254">
        <f t="shared" si="6"/>
        <v>-18</v>
      </c>
      <c r="AD18" s="574">
        <f t="shared" si="5"/>
        <v>-16485</v>
      </c>
      <c r="AE18" s="574">
        <f t="shared" si="5"/>
        <v>27719</v>
      </c>
      <c r="AF18" s="574">
        <f>SUM(AF12:AF17)</f>
        <v>27719</v>
      </c>
      <c r="AG18" s="574">
        <f t="shared" si="5"/>
        <v>0</v>
      </c>
      <c r="AH18" s="1362">
        <f t="shared" si="4"/>
        <v>237</v>
      </c>
      <c r="AI18" s="501"/>
      <c r="AJ18" s="501"/>
      <c r="AK18" s="502"/>
      <c r="AL18" s="501"/>
      <c r="AM18" s="509"/>
      <c r="AN18" s="527"/>
      <c r="AO18" s="509"/>
      <c r="AP18" s="509"/>
      <c r="AQ18" s="509"/>
      <c r="AR18" s="509"/>
      <c r="AS18" s="509"/>
      <c r="AT18" s="509"/>
      <c r="BB18" s="501"/>
      <c r="BE18" s="471"/>
      <c r="BF18" s="471"/>
      <c r="BG18" s="471"/>
      <c r="BH18" s="471"/>
      <c r="BI18" s="471"/>
      <c r="BJ18" s="471"/>
      <c r="BK18" s="471"/>
      <c r="BL18" s="482"/>
      <c r="BM18" s="482"/>
      <c r="BN18" s="482"/>
      <c r="BO18" s="463"/>
      <c r="BP18" s="463"/>
      <c r="BQ18" s="471"/>
      <c r="BR18" s="509"/>
      <c r="BS18" s="471"/>
      <c r="BT18" s="471"/>
      <c r="BU18" s="471"/>
      <c r="BV18" s="510"/>
      <c r="BW18" s="482"/>
      <c r="BX18" s="510"/>
      <c r="BY18" s="468"/>
      <c r="BZ18" s="510"/>
      <c r="CA18" s="510"/>
      <c r="CB18" s="510"/>
    </row>
    <row r="19" spans="1:84">
      <c r="B19" s="520" t="s">
        <v>138</v>
      </c>
      <c r="C19" s="491">
        <v>27066</v>
      </c>
      <c r="D19" s="482">
        <f>+SUM(D18:I18)+SUM(N18:T18)+K18</f>
        <v>-1204</v>
      </c>
      <c r="E19" s="491"/>
      <c r="F19" s="491"/>
      <c r="G19" s="491"/>
      <c r="H19" s="491"/>
      <c r="I19" s="491"/>
      <c r="J19" s="491"/>
      <c r="K19" s="491"/>
      <c r="L19" s="491"/>
      <c r="M19" s="521"/>
      <c r="N19" s="522">
        <f>+D18+N18</f>
        <v>0</v>
      </c>
      <c r="O19" s="491"/>
      <c r="Q19" s="491"/>
      <c r="R19" s="491"/>
      <c r="S19" s="491"/>
      <c r="T19" s="491"/>
      <c r="U19" s="491"/>
      <c r="V19" s="491"/>
      <c r="W19" s="491"/>
      <c r="X19" s="491"/>
      <c r="Y19" s="491"/>
      <c r="Z19" s="491"/>
      <c r="AA19" s="491"/>
      <c r="AB19" s="510"/>
      <c r="AC19" s="491"/>
      <c r="AD19" s="510"/>
      <c r="AE19" s="510"/>
      <c r="AF19" s="510">
        <f>+AE18</f>
        <v>27719</v>
      </c>
      <c r="AG19" s="491"/>
      <c r="AL19" s="501"/>
      <c r="AN19" s="501"/>
      <c r="AO19" s="501"/>
      <c r="AP19" s="520"/>
      <c r="AQ19" s="520"/>
      <c r="AR19" s="520"/>
      <c r="AS19" s="520"/>
      <c r="AT19" s="520"/>
      <c r="AU19" s="520"/>
      <c r="AV19" s="520"/>
      <c r="AW19" s="520"/>
      <c r="BE19" s="471"/>
      <c r="BF19" s="463"/>
      <c r="BG19" s="491"/>
      <c r="BO19" s="482"/>
      <c r="BP19" s="482"/>
      <c r="BQ19" s="482"/>
      <c r="BR19" s="463"/>
      <c r="BS19" s="463"/>
      <c r="BT19" s="482"/>
      <c r="BU19" s="509"/>
      <c r="BV19" s="482"/>
      <c r="BW19" s="482"/>
      <c r="BX19" s="482"/>
      <c r="BY19" s="482"/>
      <c r="BZ19" s="482"/>
      <c r="CA19" s="482"/>
      <c r="CB19" s="468"/>
      <c r="CC19" s="510"/>
      <c r="CD19" s="510"/>
      <c r="CE19" s="510"/>
    </row>
    <row r="20" spans="1:84">
      <c r="B20" s="520"/>
      <c r="C20" s="491" t="s">
        <v>223</v>
      </c>
      <c r="D20" s="482">
        <f>+K133+T133</f>
        <v>1</v>
      </c>
      <c r="E20" s="491">
        <f>+D135</f>
        <v>-1</v>
      </c>
      <c r="F20" s="491">
        <f>+D20+E20</f>
        <v>0</v>
      </c>
      <c r="G20" s="491"/>
      <c r="H20" s="491"/>
      <c r="I20" s="491"/>
      <c r="J20" s="491"/>
      <c r="K20" s="491"/>
      <c r="L20" s="491"/>
      <c r="M20" s="521"/>
      <c r="N20" s="491"/>
      <c r="O20" s="491"/>
      <c r="Q20" s="491"/>
      <c r="R20" s="491"/>
      <c r="S20" s="491"/>
      <c r="T20" s="491"/>
      <c r="U20" s="491"/>
      <c r="V20" s="491"/>
      <c r="W20" s="491"/>
      <c r="X20" s="491"/>
      <c r="Y20" s="491"/>
      <c r="Z20" s="491"/>
      <c r="AA20" s="491"/>
      <c r="AB20" s="510"/>
      <c r="AC20" s="491"/>
      <c r="AD20" s="510"/>
      <c r="AE20" s="510"/>
      <c r="AF20" s="522">
        <f>+AF18-AF19</f>
        <v>0</v>
      </c>
      <c r="AG20" s="491"/>
      <c r="AL20" s="501"/>
      <c r="AN20" s="501"/>
      <c r="AO20" s="501"/>
      <c r="AP20" s="520"/>
      <c r="AQ20" s="520"/>
      <c r="AR20" s="520"/>
      <c r="AS20" s="520"/>
      <c r="AT20" s="520"/>
      <c r="AU20" s="520"/>
      <c r="AV20" s="520"/>
      <c r="AW20" s="520"/>
      <c r="BE20" s="471"/>
      <c r="BF20" s="463"/>
      <c r="BG20" s="491"/>
      <c r="BO20" s="482"/>
      <c r="BP20" s="482"/>
      <c r="BQ20" s="482"/>
      <c r="BR20" s="463"/>
      <c r="BS20" s="463"/>
      <c r="BT20" s="482"/>
      <c r="BU20" s="509"/>
      <c r="BV20" s="482"/>
      <c r="BW20" s="482"/>
      <c r="BX20" s="482"/>
      <c r="BY20" s="482"/>
      <c r="BZ20" s="482"/>
      <c r="CA20" s="482"/>
      <c r="CB20" s="468"/>
      <c r="CC20" s="510"/>
      <c r="CD20" s="510"/>
      <c r="CE20" s="510"/>
    </row>
    <row r="21" spans="1:84">
      <c r="B21" s="520"/>
      <c r="C21" s="491" t="s">
        <v>190</v>
      </c>
      <c r="D21" s="482">
        <f>+H37+R37</f>
        <v>1203</v>
      </c>
      <c r="E21" s="491">
        <f>+D39</f>
        <v>-1203</v>
      </c>
      <c r="F21" s="491">
        <f t="shared" ref="F21:F25" si="7">+D21+E21</f>
        <v>0</v>
      </c>
      <c r="G21" s="491"/>
      <c r="H21" s="491"/>
      <c r="I21" s="491"/>
      <c r="J21" s="491"/>
      <c r="K21" s="491"/>
      <c r="L21" s="491"/>
      <c r="M21" s="521"/>
      <c r="N21" s="491"/>
      <c r="O21" s="491"/>
      <c r="Q21" s="491"/>
      <c r="R21" s="491"/>
      <c r="S21" s="491"/>
      <c r="T21" s="491"/>
      <c r="U21" s="491"/>
      <c r="V21" s="491"/>
      <c r="W21" s="491"/>
      <c r="X21" s="491"/>
      <c r="Y21" s="491"/>
      <c r="Z21" s="491"/>
      <c r="AA21" s="491"/>
      <c r="AB21" s="510"/>
      <c r="AC21" s="491"/>
      <c r="AD21" s="510"/>
      <c r="AE21" s="510"/>
      <c r="AF21" s="491"/>
      <c r="AG21" s="491"/>
      <c r="AL21" s="501"/>
      <c r="AN21" s="501"/>
      <c r="AO21" s="501"/>
      <c r="AP21" s="520"/>
      <c r="AQ21" s="520"/>
      <c r="AR21" s="520"/>
      <c r="AS21" s="520"/>
      <c r="AT21" s="520"/>
      <c r="AU21" s="520"/>
      <c r="AV21" s="520"/>
      <c r="AW21" s="520"/>
      <c r="BE21" s="471"/>
      <c r="BF21" s="463"/>
      <c r="BG21" s="491"/>
      <c r="BO21" s="482"/>
      <c r="BP21" s="482"/>
      <c r="BQ21" s="482"/>
      <c r="BR21" s="463"/>
      <c r="BS21" s="463"/>
      <c r="BT21" s="482"/>
      <c r="BU21" s="509"/>
      <c r="BV21" s="482"/>
      <c r="BW21" s="482"/>
      <c r="BX21" s="482"/>
      <c r="BY21" s="482"/>
      <c r="BZ21" s="482"/>
      <c r="CA21" s="482"/>
      <c r="CB21" s="468"/>
      <c r="CC21" s="510"/>
      <c r="CD21" s="510"/>
      <c r="CE21" s="510"/>
    </row>
    <row r="22" spans="1:84">
      <c r="B22" s="520"/>
      <c r="C22" s="491" t="s">
        <v>237</v>
      </c>
      <c r="D22" s="1753">
        <f>+E56+O56</f>
        <v>0</v>
      </c>
      <c r="E22" s="1753">
        <f>+D59</f>
        <v>0</v>
      </c>
      <c r="F22" s="1753">
        <f>+D22+E22</f>
        <v>0</v>
      </c>
      <c r="G22" s="491"/>
      <c r="H22" s="491"/>
      <c r="I22" s="491"/>
      <c r="J22" s="491"/>
      <c r="K22" s="491"/>
      <c r="L22" s="491"/>
      <c r="M22" s="521"/>
      <c r="O22" s="491"/>
      <c r="P22" s="464"/>
      <c r="Q22" s="491"/>
      <c r="R22" s="491"/>
      <c r="S22" s="491"/>
      <c r="T22" s="491"/>
      <c r="U22" s="491"/>
      <c r="V22" s="491"/>
      <c r="W22" s="491"/>
      <c r="X22" s="491"/>
      <c r="Y22" s="491"/>
      <c r="Z22" s="491"/>
      <c r="AA22" s="491"/>
      <c r="AB22" s="510"/>
      <c r="AC22" s="491"/>
      <c r="AD22" s="510"/>
      <c r="AE22" s="510"/>
      <c r="AF22" s="491"/>
      <c r="AG22" s="491"/>
      <c r="AL22" s="501"/>
      <c r="AN22" s="501"/>
      <c r="AO22" s="501"/>
      <c r="AP22" s="520"/>
      <c r="AQ22" s="520"/>
      <c r="AR22" s="520"/>
      <c r="AS22" s="520"/>
      <c r="AT22" s="520"/>
      <c r="AU22" s="520"/>
      <c r="AV22" s="520"/>
      <c r="AW22" s="520"/>
      <c r="BE22" s="471"/>
      <c r="BF22" s="463"/>
      <c r="BG22" s="491"/>
      <c r="BO22" s="482"/>
      <c r="BP22" s="482"/>
      <c r="BQ22" s="482"/>
      <c r="BR22" s="463"/>
      <c r="BS22" s="463"/>
      <c r="BT22" s="482"/>
      <c r="BU22" s="509"/>
      <c r="BV22" s="482"/>
      <c r="BW22" s="482"/>
      <c r="BX22" s="482"/>
      <c r="BY22" s="482"/>
      <c r="BZ22" s="482"/>
      <c r="CA22" s="482"/>
      <c r="CB22" s="468"/>
      <c r="CC22" s="510"/>
      <c r="CD22" s="510"/>
      <c r="CE22" s="510"/>
    </row>
    <row r="23" spans="1:84">
      <c r="B23" s="520"/>
      <c r="C23" s="491" t="s">
        <v>238</v>
      </c>
      <c r="D23" s="491">
        <f>+E75+O75</f>
        <v>0</v>
      </c>
      <c r="E23" s="491">
        <f>+D78</f>
        <v>0</v>
      </c>
      <c r="F23" s="491">
        <f t="shared" si="7"/>
        <v>0</v>
      </c>
      <c r="G23" s="491"/>
      <c r="H23" s="491"/>
      <c r="I23" s="491"/>
      <c r="J23" s="491"/>
      <c r="K23" s="491"/>
      <c r="L23" s="491"/>
      <c r="M23" s="521"/>
      <c r="O23" s="491"/>
      <c r="Q23" s="491"/>
      <c r="R23" s="491"/>
      <c r="S23" s="491"/>
      <c r="T23" s="491"/>
      <c r="U23" s="491"/>
      <c r="V23" s="491"/>
      <c r="W23" s="491"/>
      <c r="X23" s="491"/>
      <c r="Y23" s="491"/>
      <c r="Z23" s="491"/>
      <c r="AA23" s="491"/>
      <c r="AB23" s="510"/>
      <c r="AC23" s="491"/>
      <c r="AD23" s="510"/>
      <c r="AE23" s="510"/>
      <c r="AF23" s="510"/>
      <c r="AG23" s="491"/>
      <c r="AL23" s="501"/>
      <c r="AN23" s="501"/>
      <c r="AO23" s="501"/>
      <c r="AP23" s="520"/>
      <c r="AQ23" s="520"/>
      <c r="AR23" s="520"/>
      <c r="AS23" s="520"/>
      <c r="AT23" s="520"/>
      <c r="AU23" s="520"/>
      <c r="AV23" s="520"/>
      <c r="AW23" s="520"/>
      <c r="BE23" s="471"/>
      <c r="BF23" s="463"/>
      <c r="BG23" s="491"/>
      <c r="BO23" s="482"/>
      <c r="BP23" s="482"/>
      <c r="BQ23" s="482"/>
      <c r="BR23" s="463"/>
      <c r="BS23" s="463"/>
      <c r="BT23" s="482"/>
      <c r="BU23" s="509"/>
      <c r="BV23" s="482"/>
      <c r="BW23" s="482"/>
      <c r="BX23" s="482"/>
      <c r="BY23" s="482"/>
      <c r="BZ23" s="482"/>
      <c r="CA23" s="482"/>
      <c r="CB23" s="468"/>
      <c r="CC23" s="510"/>
      <c r="CD23" s="510"/>
      <c r="CE23" s="510"/>
    </row>
    <row r="24" spans="1:84">
      <c r="B24" s="520"/>
      <c r="C24" s="491" t="s">
        <v>214</v>
      </c>
      <c r="D24" s="491">
        <f>+E95+O95</f>
        <v>0</v>
      </c>
      <c r="E24" s="491">
        <f>+D97</f>
        <v>0</v>
      </c>
      <c r="F24" s="491">
        <f t="shared" si="7"/>
        <v>0</v>
      </c>
      <c r="G24" s="491"/>
      <c r="H24" s="491"/>
      <c r="I24" s="491"/>
      <c r="J24" s="491"/>
      <c r="K24" s="491"/>
      <c r="L24" s="491"/>
      <c r="M24" s="521"/>
      <c r="O24" s="491"/>
      <c r="Q24" s="491"/>
      <c r="R24" s="491"/>
      <c r="S24" s="491"/>
      <c r="T24" s="491"/>
      <c r="U24" s="491"/>
      <c r="V24" s="491"/>
      <c r="W24" s="491"/>
      <c r="X24" s="491"/>
      <c r="Y24" s="491"/>
      <c r="Z24" s="491"/>
      <c r="AA24" s="491"/>
      <c r="AB24" s="510"/>
      <c r="AC24" s="491"/>
      <c r="AD24" s="510"/>
      <c r="AE24" s="510"/>
      <c r="AF24" s="510"/>
      <c r="AG24" s="491"/>
      <c r="AL24" s="501"/>
      <c r="AN24" s="501"/>
      <c r="AO24" s="501"/>
      <c r="AP24" s="520"/>
      <c r="AQ24" s="520"/>
      <c r="AR24" s="520"/>
      <c r="AS24" s="520"/>
      <c r="AT24" s="520"/>
      <c r="AU24" s="520"/>
      <c r="AV24" s="520"/>
      <c r="AW24" s="520"/>
      <c r="BE24" s="471"/>
      <c r="BF24" s="463"/>
      <c r="BG24" s="491"/>
      <c r="BO24" s="482"/>
      <c r="BP24" s="482"/>
      <c r="BQ24" s="482"/>
      <c r="BR24" s="463"/>
      <c r="BS24" s="463"/>
      <c r="BT24" s="482"/>
      <c r="BU24" s="509"/>
      <c r="BV24" s="482"/>
      <c r="BW24" s="482"/>
      <c r="BX24" s="482"/>
      <c r="BY24" s="482"/>
      <c r="BZ24" s="482"/>
      <c r="CA24" s="482"/>
      <c r="CB24" s="468"/>
      <c r="CC24" s="510"/>
      <c r="CD24" s="510"/>
      <c r="CE24" s="510"/>
    </row>
    <row r="25" spans="1:84">
      <c r="B25" s="520"/>
      <c r="C25" s="491" t="s">
        <v>239</v>
      </c>
      <c r="D25" s="491">
        <f>+E114+O114</f>
        <v>0</v>
      </c>
      <c r="E25" s="491">
        <f>+D117</f>
        <v>0</v>
      </c>
      <c r="F25" s="491">
        <f t="shared" si="7"/>
        <v>0</v>
      </c>
      <c r="G25" s="491"/>
      <c r="H25" s="491"/>
      <c r="I25" s="491"/>
      <c r="J25" s="491"/>
      <c r="K25" s="491"/>
      <c r="L25" s="491"/>
      <c r="M25" s="521"/>
      <c r="O25" s="491"/>
      <c r="Q25" s="491"/>
      <c r="R25" s="491"/>
      <c r="S25" s="491"/>
      <c r="T25" s="491"/>
      <c r="U25" s="491"/>
      <c r="V25" s="491"/>
      <c r="W25" s="491"/>
      <c r="X25" s="491"/>
      <c r="Y25" s="491"/>
      <c r="Z25" s="491"/>
      <c r="AA25" s="491"/>
      <c r="AB25" s="510"/>
      <c r="AC25" s="491"/>
      <c r="AD25" s="510"/>
      <c r="AE25" s="510"/>
      <c r="AF25" s="510"/>
      <c r="AG25" s="491"/>
      <c r="AL25" s="501"/>
      <c r="AN25" s="501"/>
      <c r="AO25" s="501"/>
      <c r="AP25" s="520"/>
      <c r="AQ25" s="520"/>
      <c r="AR25" s="520"/>
      <c r="AS25" s="520"/>
      <c r="AT25" s="520"/>
      <c r="AU25" s="520"/>
      <c r="AV25" s="520"/>
      <c r="AW25" s="520"/>
      <c r="BE25" s="471"/>
      <c r="BF25" s="463"/>
      <c r="BG25" s="491"/>
      <c r="BO25" s="482"/>
      <c r="BP25" s="482"/>
      <c r="BQ25" s="482"/>
      <c r="BR25" s="463"/>
      <c r="BS25" s="463"/>
      <c r="BT25" s="482"/>
      <c r="BU25" s="509"/>
      <c r="BV25" s="482"/>
      <c r="BW25" s="482"/>
      <c r="BX25" s="482"/>
      <c r="BY25" s="482"/>
      <c r="BZ25" s="482"/>
      <c r="CA25" s="482"/>
      <c r="CB25" s="468"/>
      <c r="CC25" s="510"/>
      <c r="CD25" s="510"/>
      <c r="CE25" s="510"/>
    </row>
    <row r="26" spans="1:84">
      <c r="B26" s="520"/>
      <c r="C26" s="491" t="s">
        <v>225</v>
      </c>
      <c r="D26" s="491">
        <f>+L152+S152</f>
        <v>0</v>
      </c>
      <c r="E26" s="491">
        <f>+D160</f>
        <v>95</v>
      </c>
      <c r="F26" s="491">
        <f>+D26+E26</f>
        <v>95</v>
      </c>
      <c r="G26" s="491"/>
      <c r="H26" s="491"/>
      <c r="I26" s="491"/>
      <c r="J26" s="491"/>
      <c r="K26" s="491"/>
      <c r="L26" s="491"/>
      <c r="M26" s="521"/>
      <c r="O26" s="491"/>
      <c r="Q26" s="491"/>
      <c r="R26" s="491"/>
      <c r="S26" s="491"/>
      <c r="T26" s="491"/>
      <c r="U26" s="491"/>
      <c r="V26" s="491"/>
      <c r="W26" s="491"/>
      <c r="X26" s="491"/>
      <c r="Y26" s="491"/>
      <c r="Z26" s="491"/>
      <c r="AA26" s="491"/>
      <c r="AB26" s="510"/>
      <c r="AC26" s="491"/>
      <c r="AD26" s="510"/>
      <c r="AE26" s="510"/>
      <c r="AF26" s="510"/>
      <c r="AG26" s="491"/>
      <c r="AL26" s="501"/>
      <c r="AN26" s="501"/>
      <c r="AO26" s="501"/>
      <c r="AP26" s="520"/>
      <c r="AQ26" s="520"/>
      <c r="AR26" s="520"/>
      <c r="AS26" s="520"/>
      <c r="AT26" s="520"/>
      <c r="AU26" s="520"/>
      <c r="AV26" s="520"/>
      <c r="AW26" s="520"/>
      <c r="BE26" s="471"/>
      <c r="BF26" s="463"/>
      <c r="BG26" s="491"/>
      <c r="BO26" s="482"/>
      <c r="BP26" s="482"/>
      <c r="BQ26" s="482"/>
      <c r="BR26" s="463"/>
      <c r="BS26" s="463"/>
      <c r="BT26" s="482"/>
      <c r="BU26" s="509"/>
      <c r="BV26" s="482"/>
      <c r="BW26" s="482"/>
      <c r="BX26" s="482"/>
      <c r="BY26" s="482"/>
      <c r="BZ26" s="482"/>
      <c r="CA26" s="482"/>
      <c r="CB26" s="468"/>
      <c r="CC26" s="510"/>
      <c r="CD26" s="510"/>
      <c r="CE26" s="510"/>
    </row>
    <row r="27" spans="1:84">
      <c r="B27" s="469" t="s">
        <v>138</v>
      </c>
      <c r="C27" s="522">
        <f>+C18-C19</f>
        <v>416</v>
      </c>
      <c r="D27" s="522">
        <f>SUM(D19:D25)</f>
        <v>0</v>
      </c>
      <c r="E27" s="491"/>
      <c r="F27" s="491"/>
      <c r="G27" s="491"/>
      <c r="H27" s="491"/>
      <c r="I27" s="491"/>
      <c r="J27" s="491"/>
      <c r="K27" s="491"/>
      <c r="L27" s="491"/>
      <c r="M27" s="491"/>
      <c r="N27" s="523"/>
      <c r="O27" s="491"/>
      <c r="P27" s="520"/>
      <c r="Q27" s="463"/>
      <c r="R27" s="463"/>
      <c r="S27" s="491"/>
      <c r="T27" s="491"/>
      <c r="U27" s="491"/>
      <c r="V27" s="491"/>
      <c r="W27" s="491"/>
      <c r="X27" s="491"/>
      <c r="Y27" s="491"/>
      <c r="Z27" s="491"/>
      <c r="AA27" s="491"/>
      <c r="AB27" s="491"/>
      <c r="AC27" s="524"/>
      <c r="AE27" s="491"/>
      <c r="AF27" s="491"/>
      <c r="AG27" s="515"/>
      <c r="AH27" s="491"/>
      <c r="AM27" s="526"/>
      <c r="AN27" s="526"/>
      <c r="AO27" s="526"/>
      <c r="AP27" s="526"/>
      <c r="AQ27" s="520"/>
      <c r="AR27" s="520"/>
      <c r="AS27" s="520"/>
      <c r="AT27" s="520"/>
      <c r="AU27" s="520"/>
      <c r="AV27" s="520"/>
      <c r="AW27" s="520"/>
      <c r="AX27" s="520"/>
      <c r="BF27" s="471"/>
      <c r="BG27" s="463"/>
      <c r="BH27" s="491"/>
      <c r="BO27" s="467"/>
      <c r="BP27" s="482"/>
      <c r="BQ27" s="482"/>
      <c r="BR27" s="482"/>
      <c r="BS27" s="463"/>
      <c r="BT27" s="463"/>
      <c r="BU27" s="482"/>
      <c r="BV27" s="509"/>
      <c r="BW27" s="482"/>
      <c r="BX27" s="482"/>
      <c r="BY27" s="482"/>
      <c r="BZ27" s="482"/>
      <c r="CA27" s="482"/>
      <c r="CB27" s="482"/>
      <c r="CC27" s="468"/>
      <c r="CD27" s="510"/>
      <c r="CE27" s="510"/>
      <c r="CF27" s="510"/>
    </row>
    <row r="28" spans="1:84" ht="15" thickBot="1">
      <c r="C28" s="491"/>
      <c r="D28" s="491"/>
      <c r="E28" s="491"/>
      <c r="F28" s="491"/>
      <c r="G28" s="491"/>
      <c r="H28" s="491"/>
      <c r="I28" s="491"/>
      <c r="J28" s="491"/>
      <c r="K28" s="491"/>
      <c r="L28" s="491"/>
      <c r="M28" s="491"/>
      <c r="N28" s="523"/>
      <c r="O28" s="491"/>
      <c r="P28" s="520"/>
      <c r="Q28" s="463"/>
      <c r="R28" s="463"/>
      <c r="S28" s="491"/>
      <c r="T28" s="491"/>
      <c r="U28" s="491"/>
      <c r="V28" s="491"/>
      <c r="W28" s="491"/>
      <c r="X28" s="491"/>
      <c r="Y28" s="491"/>
      <c r="Z28" s="491"/>
      <c r="AA28" s="491"/>
      <c r="AB28" s="491"/>
      <c r="AC28" s="524"/>
      <c r="AE28" s="491"/>
      <c r="AF28" s="491"/>
      <c r="AG28" s="515"/>
      <c r="AH28" s="491"/>
      <c r="AM28" s="526"/>
      <c r="AN28" s="526"/>
      <c r="AO28" s="526"/>
      <c r="AP28" s="526"/>
      <c r="AQ28" s="520"/>
      <c r="AR28" s="520"/>
      <c r="AS28" s="520"/>
      <c r="AT28" s="520"/>
      <c r="AU28" s="520"/>
      <c r="AV28" s="520"/>
      <c r="AW28" s="520"/>
      <c r="AX28" s="520"/>
      <c r="BF28" s="471"/>
      <c r="BG28" s="463"/>
      <c r="BH28" s="491"/>
      <c r="BO28" s="467"/>
      <c r="BP28" s="482"/>
      <c r="BQ28" s="482"/>
      <c r="BR28" s="482"/>
      <c r="BS28" s="463"/>
      <c r="BT28" s="463"/>
      <c r="BU28" s="482"/>
      <c r="BV28" s="509"/>
      <c r="BW28" s="482"/>
      <c r="BX28" s="482"/>
      <c r="BY28" s="482"/>
      <c r="BZ28" s="482"/>
      <c r="CA28" s="482"/>
      <c r="CB28" s="482"/>
      <c r="CC28" s="468"/>
      <c r="CD28" s="510"/>
      <c r="CE28" s="510"/>
      <c r="CF28" s="510"/>
    </row>
    <row r="29" spans="1:84" ht="15" thickBot="1">
      <c r="A29" s="2131" t="s">
        <v>240</v>
      </c>
      <c r="B29" s="2132"/>
      <c r="C29" s="2131" t="s">
        <v>219</v>
      </c>
      <c r="D29" s="2132"/>
      <c r="E29" s="2132"/>
      <c r="F29" s="2132"/>
      <c r="G29" s="2132"/>
      <c r="H29" s="2132"/>
      <c r="I29" s="2132"/>
      <c r="J29" s="2132"/>
      <c r="K29" s="2132"/>
      <c r="L29" s="2137"/>
      <c r="M29" s="463"/>
      <c r="N29" s="2128" t="s">
        <v>220</v>
      </c>
      <c r="O29" s="2129"/>
      <c r="P29" s="2129"/>
      <c r="Q29" s="2129"/>
      <c r="R29" s="2129"/>
      <c r="S29" s="2129"/>
      <c r="T29" s="2129"/>
      <c r="U29" s="2129"/>
      <c r="V29" s="2129"/>
      <c r="W29" s="2129"/>
      <c r="X29" s="2129"/>
      <c r="Y29" s="2129"/>
      <c r="Z29" s="2129"/>
      <c r="AA29" s="2129"/>
      <c r="AB29" s="2129"/>
      <c r="AC29" s="2130"/>
      <c r="AD29" s="488"/>
      <c r="AE29" s="488"/>
      <c r="AF29" s="464"/>
      <c r="AG29" s="489"/>
      <c r="AH29" s="491"/>
      <c r="AM29" s="526"/>
      <c r="AN29" s="526"/>
      <c r="AO29" s="526"/>
      <c r="AP29" s="526"/>
      <c r="AQ29" s="520"/>
      <c r="AR29" s="520"/>
      <c r="AS29" s="520"/>
      <c r="AT29" s="520"/>
      <c r="AU29" s="520"/>
      <c r="AV29" s="520"/>
      <c r="AW29" s="520"/>
      <c r="AX29" s="520"/>
      <c r="BF29" s="471"/>
      <c r="BG29" s="463"/>
      <c r="BH29" s="491"/>
      <c r="BO29" s="467"/>
      <c r="BP29" s="482"/>
      <c r="BQ29" s="482"/>
      <c r="BR29" s="482"/>
      <c r="BS29" s="463"/>
      <c r="BT29" s="463"/>
      <c r="BU29" s="482"/>
      <c r="BV29" s="509"/>
      <c r="BW29" s="482"/>
      <c r="BX29" s="482"/>
      <c r="BY29" s="482"/>
      <c r="BZ29" s="482"/>
      <c r="CA29" s="482"/>
      <c r="CB29" s="482"/>
      <c r="CC29" s="468"/>
      <c r="CD29" s="510"/>
      <c r="CE29" s="510"/>
      <c r="CF29" s="510"/>
    </row>
    <row r="30" spans="1:84" ht="29.45" thickBot="1">
      <c r="A30" s="499" t="s">
        <v>87</v>
      </c>
      <c r="B30" s="1523" t="s">
        <v>88</v>
      </c>
      <c r="C30" s="533" t="s">
        <v>221</v>
      </c>
      <c r="D30" s="496" t="s">
        <v>212</v>
      </c>
      <c r="E30" s="530" t="s">
        <v>213</v>
      </c>
      <c r="F30" s="531" t="s">
        <v>188</v>
      </c>
      <c r="G30" s="531" t="s">
        <v>189</v>
      </c>
      <c r="H30" s="560" t="s">
        <v>127</v>
      </c>
      <c r="I30" s="532" t="s">
        <v>214</v>
      </c>
      <c r="J30" s="1140" t="s">
        <v>222</v>
      </c>
      <c r="K30" s="1257" t="s">
        <v>191</v>
      </c>
      <c r="L30" s="1257" t="s">
        <v>192</v>
      </c>
      <c r="M30" s="563" t="s">
        <v>71</v>
      </c>
      <c r="N30" s="1139" t="s">
        <v>216</v>
      </c>
      <c r="O30" s="531" t="s">
        <v>224</v>
      </c>
      <c r="P30" s="531" t="s">
        <v>188</v>
      </c>
      <c r="Q30" s="531" t="s">
        <v>189</v>
      </c>
      <c r="R30" s="560" t="s">
        <v>127</v>
      </c>
      <c r="S30" s="560" t="s">
        <v>214</v>
      </c>
      <c r="T30" s="1263" t="s">
        <v>223</v>
      </c>
      <c r="U30" s="1516" t="s">
        <v>241</v>
      </c>
      <c r="V30" s="1516"/>
      <c r="W30" s="531" t="s">
        <v>226</v>
      </c>
      <c r="X30" s="533" t="s">
        <v>227</v>
      </c>
      <c r="Y30" s="529" t="s">
        <v>228</v>
      </c>
      <c r="Z30" s="534" t="s">
        <v>229</v>
      </c>
      <c r="AA30" s="1516" t="s">
        <v>230</v>
      </c>
      <c r="AB30" s="563" t="s">
        <v>231</v>
      </c>
      <c r="AC30" s="1140" t="s">
        <v>232</v>
      </c>
      <c r="AD30" s="1257" t="s">
        <v>71</v>
      </c>
      <c r="AE30" s="1258" t="s">
        <v>233</v>
      </c>
      <c r="AF30" s="1259" t="s">
        <v>234</v>
      </c>
      <c r="AG30" s="500" t="s">
        <v>185</v>
      </c>
      <c r="AH30" s="491"/>
      <c r="AM30" s="526"/>
      <c r="AN30" s="526"/>
      <c r="AO30" s="526"/>
      <c r="AP30" s="526"/>
      <c r="AQ30" s="520"/>
      <c r="AR30" s="520"/>
      <c r="AS30" s="520"/>
      <c r="AT30" s="520"/>
      <c r="AU30" s="520"/>
      <c r="AV30" s="520"/>
      <c r="AW30" s="520"/>
      <c r="AX30" s="520"/>
      <c r="BF30" s="471"/>
      <c r="BG30" s="463"/>
      <c r="BH30" s="491"/>
      <c r="BO30" s="467"/>
      <c r="BP30" s="482"/>
      <c r="BQ30" s="482"/>
      <c r="BR30" s="482"/>
      <c r="BS30" s="463"/>
      <c r="BT30" s="463"/>
      <c r="BU30" s="482"/>
      <c r="BV30" s="509"/>
      <c r="BW30" s="482"/>
      <c r="BX30" s="482"/>
      <c r="BY30" s="482"/>
      <c r="BZ30" s="482"/>
      <c r="CA30" s="482"/>
      <c r="CB30" s="482"/>
      <c r="CC30" s="468"/>
      <c r="CD30" s="510"/>
      <c r="CE30" s="510"/>
      <c r="CF30" s="510"/>
    </row>
    <row r="31" spans="1:84">
      <c r="A31" s="1546" t="s">
        <v>105</v>
      </c>
      <c r="B31" s="1547" t="s">
        <v>235</v>
      </c>
      <c r="C31" s="1386"/>
      <c r="D31" s="1352"/>
      <c r="E31" s="1352"/>
      <c r="F31" s="1352"/>
      <c r="G31" s="1352"/>
      <c r="H31" s="1352"/>
      <c r="I31" s="1352"/>
      <c r="J31" s="1352"/>
      <c r="K31" s="1528"/>
      <c r="L31" s="1548"/>
      <c r="M31" s="1522">
        <f t="shared" ref="M31:M36" si="8">SUM(C31:K31)</f>
        <v>0</v>
      </c>
      <c r="N31" s="1388"/>
      <c r="O31" s="1377"/>
      <c r="P31" s="1377"/>
      <c r="Q31" s="1377"/>
      <c r="R31" s="1377"/>
      <c r="S31" s="1377"/>
      <c r="T31" s="1377"/>
      <c r="U31" s="1377"/>
      <c r="V31" s="1377"/>
      <c r="W31" s="1377"/>
      <c r="X31" s="1377"/>
      <c r="Y31" s="1377"/>
      <c r="Z31" s="1377"/>
      <c r="AA31" s="1377"/>
      <c r="AB31" s="1377"/>
      <c r="AC31" s="1387"/>
      <c r="AD31" s="1389">
        <f t="shared" ref="AD31:AD36" si="9">SUM(N31:AC31)</f>
        <v>0</v>
      </c>
      <c r="AE31" s="1377">
        <f t="shared" ref="AE31:AE36" si="10">+M31+AD31</f>
        <v>0</v>
      </c>
      <c r="AF31" s="1386"/>
      <c r="AG31" s="1361">
        <f t="shared" ref="AG31:AG36" si="11">AF31-AE31</f>
        <v>0</v>
      </c>
      <c r="AH31" s="1362">
        <f>AF31-C31</f>
        <v>0</v>
      </c>
      <c r="AM31" s="526"/>
      <c r="AN31" s="526"/>
      <c r="AO31" s="526"/>
      <c r="AP31" s="526"/>
      <c r="AQ31" s="520"/>
      <c r="AR31" s="520"/>
      <c r="AS31" s="520"/>
      <c r="AT31" s="520"/>
      <c r="AU31" s="520"/>
      <c r="AV31" s="520"/>
      <c r="AW31" s="520"/>
      <c r="AX31" s="520"/>
      <c r="BF31" s="471"/>
      <c r="BG31" s="463"/>
      <c r="BH31" s="491"/>
      <c r="BO31" s="467"/>
      <c r="BP31" s="482"/>
      <c r="BQ31" s="482"/>
      <c r="BR31" s="482"/>
      <c r="BS31" s="463"/>
      <c r="BT31" s="463"/>
      <c r="BU31" s="482"/>
      <c r="BV31" s="509"/>
      <c r="BW31" s="482"/>
      <c r="BX31" s="482"/>
      <c r="BY31" s="482"/>
      <c r="BZ31" s="482"/>
      <c r="CA31" s="482"/>
      <c r="CB31" s="482"/>
      <c r="CC31" s="468"/>
      <c r="CD31" s="510"/>
      <c r="CE31" s="510"/>
      <c r="CF31" s="510"/>
    </row>
    <row r="32" spans="1:84">
      <c r="A32" s="1354" t="str">
        <f>+B32</f>
        <v>WEANER</v>
      </c>
      <c r="B32" s="1355" t="s">
        <v>108</v>
      </c>
      <c r="C32" s="1356">
        <v>2295</v>
      </c>
      <c r="D32" s="1349"/>
      <c r="E32" s="1349"/>
      <c r="F32" s="1349"/>
      <c r="G32" s="1349"/>
      <c r="H32" s="1349">
        <f>280+292+320+311</f>
        <v>1203</v>
      </c>
      <c r="I32" s="1349">
        <f>100+90</f>
        <v>190</v>
      </c>
      <c r="J32" s="1349"/>
      <c r="K32" s="1357">
        <f>60+48</f>
        <v>108</v>
      </c>
      <c r="L32" s="1402"/>
      <c r="M32" s="1358">
        <f>SUM(C32:L32)</f>
        <v>3796</v>
      </c>
      <c r="N32" s="1359">
        <f>-355-411-399-2-339-2-1</f>
        <v>-1509</v>
      </c>
      <c r="O32" s="1349"/>
      <c r="P32" s="1349"/>
      <c r="Q32" s="1349"/>
      <c r="R32" s="1349"/>
      <c r="S32" s="1349"/>
      <c r="T32" s="1754"/>
      <c r="U32" s="1349"/>
      <c r="V32" s="1349"/>
      <c r="W32" s="1349">
        <f>-1-3-1-1-1-1-1</f>
        <v>-9</v>
      </c>
      <c r="X32" s="1349"/>
      <c r="Y32" s="1349"/>
      <c r="Z32" s="1754"/>
      <c r="AA32" s="1349"/>
      <c r="AB32" s="1349"/>
      <c r="AC32" s="1357"/>
      <c r="AD32" s="1360">
        <f t="shared" si="9"/>
        <v>-1518</v>
      </c>
      <c r="AE32" s="1349">
        <f>+M32+AD32</f>
        <v>2278</v>
      </c>
      <c r="AF32" s="1356">
        <f>'Learig Batch Mvnt'!D11</f>
        <v>2278</v>
      </c>
      <c r="AG32" s="1373">
        <f t="shared" si="11"/>
        <v>0</v>
      </c>
      <c r="AH32" s="1362">
        <f t="shared" ref="AH32:AH37" si="12">AF32-C32</f>
        <v>-17</v>
      </c>
      <c r="AM32" s="526"/>
      <c r="AN32" s="526"/>
      <c r="AO32" s="526"/>
      <c r="AP32" s="526"/>
      <c r="AQ32" s="520"/>
      <c r="AR32" s="520"/>
      <c r="AS32" s="520"/>
      <c r="AT32" s="520"/>
      <c r="AU32" s="520"/>
      <c r="AV32" s="520"/>
      <c r="AW32" s="520"/>
      <c r="AX32" s="520"/>
      <c r="BF32" s="471"/>
      <c r="BG32" s="463"/>
      <c r="BH32" s="491"/>
      <c r="BO32" s="467"/>
      <c r="BP32" s="482"/>
      <c r="BQ32" s="482"/>
      <c r="BR32" s="482"/>
      <c r="BS32" s="463"/>
      <c r="BT32" s="463"/>
      <c r="BU32" s="482"/>
      <c r="BV32" s="509"/>
      <c r="BW32" s="482"/>
      <c r="BX32" s="482"/>
      <c r="BY32" s="482"/>
      <c r="BZ32" s="482"/>
      <c r="CA32" s="482"/>
      <c r="CB32" s="482"/>
      <c r="CC32" s="468"/>
      <c r="CD32" s="510"/>
      <c r="CE32" s="510"/>
      <c r="CF32" s="510"/>
    </row>
    <row r="33" spans="1:84">
      <c r="A33" s="1354" t="s">
        <v>109</v>
      </c>
      <c r="B33" s="1355" t="s">
        <v>110</v>
      </c>
      <c r="C33" s="1356">
        <v>5020</v>
      </c>
      <c r="D33" s="1349">
        <f>355+411+399+2+2+1+339</f>
        <v>1509</v>
      </c>
      <c r="E33" s="1349"/>
      <c r="F33" s="1349"/>
      <c r="G33" s="1349"/>
      <c r="H33" s="1349"/>
      <c r="I33" s="1349"/>
      <c r="J33" s="1349"/>
      <c r="K33" s="1357"/>
      <c r="L33" s="1402"/>
      <c r="M33" s="1358">
        <f t="shared" si="8"/>
        <v>6529</v>
      </c>
      <c r="N33" s="1359"/>
      <c r="O33" s="1349"/>
      <c r="P33" s="1349"/>
      <c r="Q33" s="1349"/>
      <c r="R33" s="1349"/>
      <c r="S33" s="1349"/>
      <c r="T33" s="1349"/>
      <c r="U33" s="1349"/>
      <c r="V33" s="1349"/>
      <c r="W33" s="1349">
        <f>-2-1-1-3-1-1-1-3-1-4-2-2-3-1-2-2-2-4-4-1-1-4-2-1-1</f>
        <v>-50</v>
      </c>
      <c r="X33" s="1349">
        <f>-65-260-64-66-264-65-65-298-68-274-Y33</f>
        <v>-1488</v>
      </c>
      <c r="Y33" s="1349">
        <f>-'[3]Sales USD'!$BD$9</f>
        <v>-1</v>
      </c>
      <c r="Z33" s="1349">
        <f>-1-1-2-1</f>
        <v>-5</v>
      </c>
      <c r="AA33" s="1349"/>
      <c r="AB33" s="1349"/>
      <c r="AC33" s="1357"/>
      <c r="AD33" s="1360">
        <f>SUM(N33:AC33)</f>
        <v>-1544</v>
      </c>
      <c r="AE33" s="1349">
        <f>+M33+AD33</f>
        <v>4985</v>
      </c>
      <c r="AF33" s="1356">
        <f>+'Learig Batch Mvnt'!D27</f>
        <v>4985</v>
      </c>
      <c r="AG33" s="1373">
        <f t="shared" si="11"/>
        <v>0</v>
      </c>
      <c r="AH33" s="1362">
        <f t="shared" si="12"/>
        <v>-35</v>
      </c>
      <c r="AM33" s="526"/>
      <c r="AN33" s="526"/>
      <c r="AO33" s="526"/>
      <c r="AP33" s="526"/>
      <c r="AQ33" s="520"/>
      <c r="AR33" s="520"/>
      <c r="AS33" s="520"/>
      <c r="AT33" s="520"/>
      <c r="AU33" s="520"/>
      <c r="AV33" s="520"/>
      <c r="AW33" s="520"/>
      <c r="AX33" s="520"/>
      <c r="BF33" s="471"/>
      <c r="BG33" s="463"/>
      <c r="BH33" s="491"/>
      <c r="BO33" s="467"/>
      <c r="BP33" s="482"/>
      <c r="BQ33" s="482"/>
      <c r="BR33" s="482"/>
      <c r="BS33" s="463"/>
      <c r="BT33" s="463"/>
      <c r="BU33" s="482"/>
      <c r="BV33" s="509"/>
      <c r="BW33" s="482"/>
      <c r="BX33" s="482"/>
      <c r="BY33" s="482"/>
      <c r="BZ33" s="482"/>
      <c r="CA33" s="482"/>
      <c r="CB33" s="482"/>
      <c r="CC33" s="468"/>
      <c r="CD33" s="510"/>
      <c r="CE33" s="510"/>
      <c r="CF33" s="510"/>
    </row>
    <row r="34" spans="1:84">
      <c r="A34" s="1250" t="s">
        <v>111</v>
      </c>
      <c r="B34" s="1245" t="s">
        <v>235</v>
      </c>
      <c r="C34" s="1193"/>
      <c r="D34" s="1192"/>
      <c r="E34" s="1192"/>
      <c r="F34" s="1192"/>
      <c r="G34" s="1192"/>
      <c r="H34" s="1192"/>
      <c r="I34" s="1192"/>
      <c r="J34" s="1192"/>
      <c r="K34" s="1231"/>
      <c r="L34" s="1264"/>
      <c r="M34" s="1253">
        <f t="shared" si="8"/>
        <v>0</v>
      </c>
      <c r="N34" s="1230"/>
      <c r="O34" s="1192"/>
      <c r="P34" s="1192"/>
      <c r="Q34" s="1192"/>
      <c r="R34" s="1192"/>
      <c r="S34" s="1192"/>
      <c r="T34" s="1192"/>
      <c r="U34" s="1192"/>
      <c r="V34" s="1192"/>
      <c r="W34" s="1192"/>
      <c r="X34" s="1192"/>
      <c r="Y34" s="1192"/>
      <c r="Z34" s="1192"/>
      <c r="AA34" s="1192"/>
      <c r="AB34" s="1192"/>
      <c r="AC34" s="1231"/>
      <c r="AD34" s="1248">
        <f t="shared" si="9"/>
        <v>0</v>
      </c>
      <c r="AE34" s="1192">
        <f t="shared" si="10"/>
        <v>0</v>
      </c>
      <c r="AF34" s="1193"/>
      <c r="AG34" s="1246">
        <f t="shared" si="11"/>
        <v>0</v>
      </c>
      <c r="AH34" s="1362">
        <f t="shared" si="12"/>
        <v>0</v>
      </c>
      <c r="AM34" s="526"/>
      <c r="AN34" s="526"/>
      <c r="AO34" s="526"/>
      <c r="AP34" s="526"/>
      <c r="AQ34" s="520"/>
      <c r="AR34" s="520"/>
      <c r="AS34" s="520"/>
      <c r="AT34" s="520"/>
      <c r="AU34" s="520"/>
      <c r="AV34" s="520"/>
      <c r="AW34" s="520"/>
      <c r="AX34" s="520"/>
      <c r="BF34" s="471"/>
      <c r="BG34" s="463"/>
      <c r="BH34" s="491"/>
      <c r="BO34" s="467"/>
      <c r="BP34" s="482"/>
      <c r="BQ34" s="482"/>
      <c r="BR34" s="482"/>
      <c r="BS34" s="463"/>
      <c r="BT34" s="463"/>
      <c r="BU34" s="482"/>
      <c r="BV34" s="509"/>
      <c r="BW34" s="482"/>
      <c r="BX34" s="482"/>
      <c r="BY34" s="482"/>
      <c r="BZ34" s="482"/>
      <c r="CA34" s="482"/>
      <c r="CB34" s="482"/>
      <c r="CC34" s="468"/>
      <c r="CD34" s="510"/>
      <c r="CE34" s="510"/>
      <c r="CF34" s="510"/>
    </row>
    <row r="35" spans="1:84">
      <c r="A35" s="1250" t="s">
        <v>112</v>
      </c>
      <c r="B35" s="1245" t="s">
        <v>235</v>
      </c>
      <c r="C35" s="1193">
        <v>0</v>
      </c>
      <c r="D35" s="1192"/>
      <c r="E35" s="1192"/>
      <c r="F35" s="1192"/>
      <c r="G35" s="1192"/>
      <c r="H35" s="1192"/>
      <c r="I35" s="1192"/>
      <c r="J35" s="1192"/>
      <c r="K35" s="1231"/>
      <c r="L35" s="1264"/>
      <c r="M35" s="1253">
        <f t="shared" si="8"/>
        <v>0</v>
      </c>
      <c r="N35" s="1230"/>
      <c r="O35" s="1192"/>
      <c r="P35" s="1192"/>
      <c r="Q35" s="1192"/>
      <c r="R35" s="1192"/>
      <c r="S35" s="1192"/>
      <c r="T35" s="1192"/>
      <c r="U35" s="1192"/>
      <c r="V35" s="1192"/>
      <c r="W35" s="1192"/>
      <c r="X35" s="1192"/>
      <c r="Y35" s="1192"/>
      <c r="Z35" s="1192"/>
      <c r="AA35" s="1192"/>
      <c r="AB35" s="1192"/>
      <c r="AC35" s="1231"/>
      <c r="AD35" s="1248">
        <f t="shared" si="9"/>
        <v>0</v>
      </c>
      <c r="AE35" s="1192">
        <f t="shared" si="10"/>
        <v>0</v>
      </c>
      <c r="AF35" s="1193"/>
      <c r="AG35" s="1246">
        <f t="shared" si="11"/>
        <v>0</v>
      </c>
      <c r="AH35" s="1362">
        <f t="shared" si="12"/>
        <v>0</v>
      </c>
      <c r="AK35" s="501"/>
      <c r="AM35" s="526"/>
      <c r="AN35" s="526"/>
      <c r="AO35" s="526"/>
      <c r="AP35" s="526"/>
      <c r="AQ35" s="520"/>
      <c r="AR35" s="520"/>
      <c r="AS35" s="520"/>
      <c r="AT35" s="520"/>
      <c r="AU35" s="520"/>
      <c r="AV35" s="520"/>
      <c r="AW35" s="520"/>
      <c r="AX35" s="520"/>
      <c r="BF35" s="471"/>
      <c r="BG35" s="463"/>
      <c r="BH35" s="491"/>
      <c r="BO35" s="467"/>
      <c r="BP35" s="482"/>
      <c r="BQ35" s="482"/>
      <c r="BR35" s="482"/>
      <c r="BS35" s="463"/>
      <c r="BT35" s="463"/>
      <c r="BU35" s="482"/>
      <c r="BV35" s="509"/>
      <c r="BW35" s="482"/>
      <c r="BX35" s="482"/>
      <c r="BY35" s="482"/>
      <c r="BZ35" s="482"/>
      <c r="CA35" s="482"/>
      <c r="CB35" s="482"/>
      <c r="CC35" s="468"/>
      <c r="CD35" s="510"/>
      <c r="CE35" s="510"/>
      <c r="CF35" s="510"/>
    </row>
    <row r="36" spans="1:84" ht="15" thickBot="1">
      <c r="A36" s="1251" t="s">
        <v>113</v>
      </c>
      <c r="B36" s="1247" t="s">
        <v>236</v>
      </c>
      <c r="C36" s="1193"/>
      <c r="D36" s="1192"/>
      <c r="E36" s="1192"/>
      <c r="F36" s="1192"/>
      <c r="G36" s="1192"/>
      <c r="H36" s="1192"/>
      <c r="I36" s="1192"/>
      <c r="J36" s="1192"/>
      <c r="K36" s="1231"/>
      <c r="L36" s="1264"/>
      <c r="M36" s="1253">
        <f t="shared" si="8"/>
        <v>0</v>
      </c>
      <c r="N36" s="1255"/>
      <c r="O36" s="1227"/>
      <c r="P36" s="1227"/>
      <c r="Q36" s="1227"/>
      <c r="R36" s="1227"/>
      <c r="S36" s="1227"/>
      <c r="T36" s="1227"/>
      <c r="U36" s="1227"/>
      <c r="V36" s="1227"/>
      <c r="W36" s="1227"/>
      <c r="X36" s="1227"/>
      <c r="Y36" s="1227"/>
      <c r="Z36" s="1227"/>
      <c r="AA36" s="1227"/>
      <c r="AB36" s="1227"/>
      <c r="AC36" s="1256"/>
      <c r="AD36" s="1248">
        <f t="shared" si="9"/>
        <v>0</v>
      </c>
      <c r="AE36" s="1192">
        <f t="shared" si="10"/>
        <v>0</v>
      </c>
      <c r="AF36" s="1193"/>
      <c r="AG36" s="1246">
        <f t="shared" si="11"/>
        <v>0</v>
      </c>
      <c r="AH36" s="1362">
        <f t="shared" si="12"/>
        <v>0</v>
      </c>
      <c r="AK36" s="501"/>
      <c r="AM36" s="526"/>
      <c r="AN36" s="526"/>
      <c r="AO36" s="526"/>
      <c r="AP36" s="526"/>
      <c r="AQ36" s="520"/>
      <c r="AR36" s="520"/>
      <c r="AS36" s="520"/>
      <c r="AT36" s="520"/>
      <c r="AU36" s="520"/>
      <c r="AV36" s="520"/>
      <c r="AW36" s="520"/>
      <c r="AX36" s="520"/>
      <c r="BF36" s="471"/>
      <c r="BG36" s="463"/>
      <c r="BH36" s="491"/>
      <c r="BO36" s="467"/>
      <c r="BP36" s="482"/>
      <c r="BQ36" s="482"/>
      <c r="BR36" s="482"/>
      <c r="BS36" s="463"/>
      <c r="BT36" s="463"/>
      <c r="BU36" s="482"/>
      <c r="BV36" s="509"/>
      <c r="BW36" s="482"/>
      <c r="BX36" s="482"/>
      <c r="BY36" s="482"/>
      <c r="BZ36" s="482"/>
      <c r="CA36" s="482"/>
      <c r="CB36" s="482"/>
      <c r="CC36" s="468"/>
      <c r="CD36" s="510"/>
      <c r="CE36" s="510"/>
      <c r="CF36" s="510"/>
    </row>
    <row r="37" spans="1:84" ht="15" thickBot="1">
      <c r="A37" s="1252"/>
      <c r="B37" s="573"/>
      <c r="C37" s="574">
        <f>SUM(C31:C36)</f>
        <v>7315</v>
      </c>
      <c r="D37" s="574">
        <f>SUM(D31:D36)</f>
        <v>1509</v>
      </c>
      <c r="E37" s="574">
        <f t="shared" ref="E37:J37" si="13">SUM(E31:E36)</f>
        <v>0</v>
      </c>
      <c r="F37" s="574">
        <f t="shared" si="13"/>
        <v>0</v>
      </c>
      <c r="G37" s="574">
        <f t="shared" si="13"/>
        <v>0</v>
      </c>
      <c r="H37" s="574">
        <f t="shared" si="13"/>
        <v>1203</v>
      </c>
      <c r="I37" s="574">
        <f t="shared" si="13"/>
        <v>190</v>
      </c>
      <c r="J37" s="574">
        <f t="shared" si="13"/>
        <v>0</v>
      </c>
      <c r="K37" s="574">
        <f t="shared" ref="K37:Y37" si="14">SUM(K31:K36)</f>
        <v>108</v>
      </c>
      <c r="L37" s="1521">
        <f t="shared" si="14"/>
        <v>0</v>
      </c>
      <c r="M37" s="1249">
        <f t="shared" si="14"/>
        <v>10325</v>
      </c>
      <c r="N37" s="1254">
        <f t="shared" si="14"/>
        <v>-1509</v>
      </c>
      <c r="O37" s="1254">
        <f t="shared" si="14"/>
        <v>0</v>
      </c>
      <c r="P37" s="1254">
        <f t="shared" si="14"/>
        <v>0</v>
      </c>
      <c r="Q37" s="1254">
        <f t="shared" si="14"/>
        <v>0</v>
      </c>
      <c r="R37" s="1254">
        <f t="shared" si="14"/>
        <v>0</v>
      </c>
      <c r="S37" s="1254">
        <f t="shared" si="14"/>
        <v>0</v>
      </c>
      <c r="T37" s="1254">
        <f t="shared" si="14"/>
        <v>0</v>
      </c>
      <c r="U37" s="1254">
        <f t="shared" si="14"/>
        <v>0</v>
      </c>
      <c r="V37" s="1254"/>
      <c r="W37" s="1254">
        <f t="shared" si="14"/>
        <v>-59</v>
      </c>
      <c r="X37" s="1254">
        <f t="shared" si="14"/>
        <v>-1488</v>
      </c>
      <c r="Y37" s="1254">
        <f t="shared" si="14"/>
        <v>-1</v>
      </c>
      <c r="Z37" s="1254">
        <f t="shared" ref="Z37:AE37" si="15">SUM(Z31:Z36)</f>
        <v>-5</v>
      </c>
      <c r="AA37" s="1254">
        <f>SUM(AA31:AA36)</f>
        <v>0</v>
      </c>
      <c r="AB37" s="1254">
        <f t="shared" si="15"/>
        <v>0</v>
      </c>
      <c r="AC37" s="1254">
        <f t="shared" si="15"/>
        <v>0</v>
      </c>
      <c r="AD37" s="574">
        <f t="shared" si="15"/>
        <v>-3062</v>
      </c>
      <c r="AE37" s="574">
        <f t="shared" si="15"/>
        <v>7263</v>
      </c>
      <c r="AF37" s="574">
        <f>SUM(AF31:AF36)</f>
        <v>7263</v>
      </c>
      <c r="AG37" s="574">
        <f>SUM(AG31:AG36)</f>
        <v>0</v>
      </c>
      <c r="AH37" s="1362">
        <f t="shared" si="12"/>
        <v>-52</v>
      </c>
      <c r="AK37" s="501"/>
      <c r="AM37" s="526"/>
      <c r="AN37" s="526"/>
      <c r="AO37" s="526"/>
      <c r="AP37" s="526"/>
      <c r="AQ37" s="520"/>
      <c r="AR37" s="520"/>
      <c r="AS37" s="520"/>
      <c r="AT37" s="520"/>
      <c r="AU37" s="520"/>
      <c r="AV37" s="520"/>
      <c r="AW37" s="520"/>
      <c r="AX37" s="520"/>
      <c r="BF37" s="471"/>
      <c r="BG37" s="463"/>
      <c r="BH37" s="491"/>
      <c r="BO37" s="467"/>
      <c r="BP37" s="482"/>
      <c r="BQ37" s="482"/>
      <c r="BR37" s="482"/>
      <c r="BS37" s="463"/>
      <c r="BT37" s="463"/>
      <c r="BU37" s="482"/>
      <c r="BV37" s="509"/>
      <c r="BW37" s="482"/>
      <c r="BX37" s="482"/>
      <c r="BY37" s="482"/>
      <c r="BZ37" s="482"/>
      <c r="CA37" s="482"/>
      <c r="CB37" s="482"/>
      <c r="CC37" s="468"/>
      <c r="CD37" s="510"/>
      <c r="CE37" s="510"/>
      <c r="CF37" s="510"/>
    </row>
    <row r="38" spans="1:84">
      <c r="B38" s="520" t="s">
        <v>138</v>
      </c>
      <c r="C38" s="491">
        <v>7052</v>
      </c>
      <c r="D38" s="482">
        <f>+SUM(D37:I37)+SUM(N37:T37)+K37</f>
        <v>1501</v>
      </c>
      <c r="E38" s="491"/>
      <c r="F38" s="491"/>
      <c r="G38" s="491"/>
      <c r="H38" s="491"/>
      <c r="I38" s="491"/>
      <c r="J38" s="491"/>
      <c r="K38" s="491"/>
      <c r="L38" s="491"/>
      <c r="M38" s="521"/>
      <c r="N38" s="522">
        <f>+D37+N37</f>
        <v>0</v>
      </c>
      <c r="O38" s="491"/>
      <c r="Q38" s="491"/>
      <c r="R38" s="491"/>
      <c r="S38" s="491"/>
      <c r="T38" s="491"/>
      <c r="U38" s="491"/>
      <c r="V38" s="491"/>
      <c r="W38" s="491"/>
      <c r="X38" s="491"/>
      <c r="Y38" s="491"/>
      <c r="Z38" s="491"/>
      <c r="AA38" s="491"/>
      <c r="AB38" s="510"/>
      <c r="AC38" s="491"/>
      <c r="AD38" s="510"/>
      <c r="AE38" s="510"/>
      <c r="AF38" s="510">
        <f>+AE37</f>
        <v>7263</v>
      </c>
      <c r="AG38" s="491"/>
      <c r="AH38" s="491"/>
      <c r="AK38" s="501"/>
      <c r="AM38" s="526"/>
      <c r="AN38" s="526"/>
      <c r="AO38" s="526"/>
      <c r="AP38" s="526"/>
      <c r="AQ38" s="520"/>
      <c r="AR38" s="520"/>
      <c r="AS38" s="520"/>
      <c r="AT38" s="520"/>
      <c r="AU38" s="520"/>
      <c r="AV38" s="520"/>
      <c r="AW38" s="520"/>
      <c r="AX38" s="520"/>
      <c r="BF38" s="471"/>
      <c r="BG38" s="463"/>
      <c r="BH38" s="491"/>
      <c r="BO38" s="467"/>
      <c r="BP38" s="482"/>
      <c r="BQ38" s="482"/>
      <c r="BR38" s="482"/>
      <c r="BS38" s="463"/>
      <c r="BT38" s="463"/>
      <c r="BU38" s="482"/>
      <c r="BV38" s="509"/>
      <c r="BW38" s="482"/>
      <c r="BX38" s="482"/>
      <c r="BY38" s="482"/>
      <c r="BZ38" s="482"/>
      <c r="CA38" s="482"/>
      <c r="CB38" s="482"/>
      <c r="CC38" s="468"/>
      <c r="CD38" s="510"/>
      <c r="CE38" s="510"/>
      <c r="CF38" s="510"/>
    </row>
    <row r="39" spans="1:84">
      <c r="B39" s="520"/>
      <c r="C39" s="491" t="s">
        <v>127</v>
      </c>
      <c r="D39" s="482">
        <f>+H18+R18</f>
        <v>-1203</v>
      </c>
      <c r="E39" s="491">
        <f>+D21</f>
        <v>1203</v>
      </c>
      <c r="F39" s="1806">
        <f t="shared" ref="F39:F44" si="16">+D39+E39</f>
        <v>0</v>
      </c>
      <c r="G39" s="491"/>
      <c r="H39" s="491"/>
      <c r="I39" s="491"/>
      <c r="J39" s="491"/>
      <c r="K39" s="491"/>
      <c r="L39" s="491"/>
      <c r="M39" s="521"/>
      <c r="N39" s="491"/>
      <c r="O39" s="491"/>
      <c r="Q39" s="491"/>
      <c r="R39" s="491"/>
      <c r="S39" s="491"/>
      <c r="T39" s="491"/>
      <c r="U39" s="491"/>
      <c r="V39" s="491"/>
      <c r="W39" s="491"/>
      <c r="X39" s="491"/>
      <c r="Y39" s="491"/>
      <c r="Z39" s="491"/>
      <c r="AA39" s="491"/>
      <c r="AB39" s="510"/>
      <c r="AC39" s="491"/>
      <c r="AD39" s="510"/>
      <c r="AE39" s="510"/>
      <c r="AF39" s="522">
        <f>+AF37-AF38</f>
        <v>0</v>
      </c>
      <c r="AG39" s="491"/>
      <c r="AH39" s="491"/>
      <c r="AM39" s="526"/>
      <c r="AN39" s="526"/>
      <c r="AO39" s="526"/>
      <c r="AP39" s="526"/>
      <c r="AQ39" s="520"/>
      <c r="AR39" s="520"/>
      <c r="AS39" s="520"/>
      <c r="AT39" s="520"/>
      <c r="AU39" s="520"/>
      <c r="AV39" s="520"/>
      <c r="AW39" s="520"/>
      <c r="AX39" s="520"/>
      <c r="BF39" s="471"/>
      <c r="BG39" s="463"/>
      <c r="BH39" s="491"/>
      <c r="BO39" s="467"/>
      <c r="BP39" s="482"/>
      <c r="BQ39" s="482"/>
      <c r="BR39" s="482"/>
      <c r="BS39" s="463"/>
      <c r="BT39" s="463"/>
      <c r="BU39" s="482"/>
      <c r="BV39" s="509"/>
      <c r="BW39" s="482"/>
      <c r="BX39" s="482"/>
      <c r="BY39" s="482"/>
      <c r="BZ39" s="482"/>
      <c r="CA39" s="482"/>
      <c r="CB39" s="482"/>
      <c r="CC39" s="468"/>
      <c r="CD39" s="510"/>
      <c r="CE39" s="510"/>
      <c r="CF39" s="510"/>
    </row>
    <row r="40" spans="1:84">
      <c r="B40" s="520"/>
      <c r="C40" s="491" t="s">
        <v>223</v>
      </c>
      <c r="D40" s="482">
        <f>+H133+R133</f>
        <v>0</v>
      </c>
      <c r="E40" s="491">
        <f>+D136</f>
        <v>108</v>
      </c>
      <c r="F40" s="491">
        <f t="shared" si="16"/>
        <v>108</v>
      </c>
      <c r="G40" s="491"/>
      <c r="H40" s="491"/>
      <c r="I40" s="491"/>
      <c r="J40" s="491"/>
      <c r="K40" s="491"/>
      <c r="L40" s="491"/>
      <c r="M40" s="521"/>
      <c r="N40" s="491"/>
      <c r="O40" s="491"/>
      <c r="Q40" s="491"/>
      <c r="R40" s="491"/>
      <c r="S40" s="491"/>
      <c r="T40" s="491"/>
      <c r="U40" s="491"/>
      <c r="V40" s="491"/>
      <c r="W40" s="491"/>
      <c r="X40" s="491"/>
      <c r="Y40" s="491"/>
      <c r="Z40" s="491"/>
      <c r="AA40" s="491"/>
      <c r="AB40" s="510"/>
      <c r="AC40" s="491"/>
      <c r="AD40" s="510"/>
      <c r="AE40" s="510"/>
      <c r="AF40" s="491"/>
      <c r="AG40" s="491"/>
      <c r="AH40" s="491"/>
      <c r="AM40" s="526"/>
      <c r="AN40" s="526"/>
      <c r="AO40" s="526"/>
      <c r="AP40" s="526"/>
      <c r="AQ40" s="520"/>
      <c r="AR40" s="520"/>
      <c r="AS40" s="520"/>
      <c r="AT40" s="520"/>
      <c r="AU40" s="520"/>
      <c r="AV40" s="520"/>
      <c r="AW40" s="520"/>
      <c r="AX40" s="520"/>
      <c r="BF40" s="471"/>
      <c r="BG40" s="463"/>
      <c r="BH40" s="491"/>
      <c r="BO40" s="467"/>
      <c r="BP40" s="482"/>
      <c r="BQ40" s="482"/>
      <c r="BR40" s="482"/>
      <c r="BS40" s="463"/>
      <c r="BT40" s="463"/>
      <c r="BU40" s="482"/>
      <c r="BV40" s="509"/>
      <c r="BW40" s="482"/>
      <c r="BX40" s="482"/>
      <c r="BY40" s="482"/>
      <c r="BZ40" s="482"/>
      <c r="CA40" s="482"/>
      <c r="CB40" s="482"/>
      <c r="CC40" s="468"/>
      <c r="CD40" s="510"/>
      <c r="CE40" s="510"/>
      <c r="CF40" s="510"/>
    </row>
    <row r="41" spans="1:84">
      <c r="B41" s="520"/>
      <c r="C41" s="491" t="s">
        <v>237</v>
      </c>
      <c r="D41" s="491">
        <f>+H56+R56</f>
        <v>0</v>
      </c>
      <c r="E41" s="491">
        <f>+D60</f>
        <v>0</v>
      </c>
      <c r="F41" s="491">
        <f t="shared" si="16"/>
        <v>0</v>
      </c>
      <c r="G41" s="491"/>
      <c r="H41" s="491"/>
      <c r="I41" s="491"/>
      <c r="J41" s="491"/>
      <c r="K41" s="491"/>
      <c r="L41" s="491"/>
      <c r="M41" s="521"/>
      <c r="O41" s="491"/>
      <c r="Q41" s="491"/>
      <c r="R41" s="491"/>
      <c r="S41" s="491"/>
      <c r="T41" s="491"/>
      <c r="U41" s="491"/>
      <c r="V41" s="491"/>
      <c r="W41" s="491"/>
      <c r="X41" s="491"/>
      <c r="Y41" s="491"/>
      <c r="Z41" s="491"/>
      <c r="AA41" s="491"/>
      <c r="AB41" s="510"/>
      <c r="AC41" s="491"/>
      <c r="AD41" s="510"/>
      <c r="AE41" s="510"/>
      <c r="AF41" s="491"/>
      <c r="AG41" s="491"/>
      <c r="AH41" s="491"/>
      <c r="AM41" s="526"/>
      <c r="AN41" s="526"/>
      <c r="AO41" s="526"/>
      <c r="AP41" s="526"/>
      <c r="AQ41" s="520"/>
      <c r="AR41" s="520"/>
      <c r="AS41" s="520"/>
      <c r="AT41" s="520"/>
      <c r="AU41" s="520"/>
      <c r="AV41" s="520"/>
      <c r="AW41" s="520"/>
      <c r="AX41" s="520"/>
      <c r="BF41" s="471"/>
      <c r="BG41" s="463"/>
      <c r="BH41" s="491"/>
      <c r="BO41" s="467"/>
      <c r="BP41" s="482"/>
      <c r="BQ41" s="482"/>
      <c r="BR41" s="482"/>
      <c r="BS41" s="463"/>
      <c r="BT41" s="463"/>
      <c r="BU41" s="482"/>
      <c r="BV41" s="509"/>
      <c r="BW41" s="482"/>
      <c r="BX41" s="482"/>
      <c r="BY41" s="482"/>
      <c r="BZ41" s="482"/>
      <c r="CA41" s="482"/>
      <c r="CB41" s="482"/>
      <c r="CC41" s="468"/>
      <c r="CD41" s="510"/>
      <c r="CE41" s="510"/>
      <c r="CF41" s="510"/>
    </row>
    <row r="42" spans="1:84">
      <c r="B42" s="520"/>
      <c r="C42" s="491" t="s">
        <v>238</v>
      </c>
      <c r="D42" s="491">
        <f>+H75+R75</f>
        <v>0</v>
      </c>
      <c r="E42" s="491">
        <f>+D79</f>
        <v>0</v>
      </c>
      <c r="F42" s="491">
        <f t="shared" si="16"/>
        <v>0</v>
      </c>
      <c r="G42" s="491"/>
      <c r="H42" s="491"/>
      <c r="I42" s="491"/>
      <c r="J42" s="491"/>
      <c r="K42" s="491"/>
      <c r="L42" s="491"/>
      <c r="M42" s="521"/>
      <c r="O42" s="491"/>
      <c r="Q42" s="491"/>
      <c r="R42" s="491"/>
      <c r="S42" s="491"/>
      <c r="T42" s="491"/>
      <c r="U42" s="491"/>
      <c r="V42" s="491"/>
      <c r="W42" s="491"/>
      <c r="X42" s="491"/>
      <c r="Y42" s="491"/>
      <c r="Z42" s="491"/>
      <c r="AA42" s="491"/>
      <c r="AB42" s="510"/>
      <c r="AC42" s="491"/>
      <c r="AD42" s="510"/>
      <c r="AE42" s="510"/>
      <c r="AF42" s="510"/>
      <c r="AG42" s="491"/>
      <c r="AH42" s="491"/>
      <c r="AM42" s="526"/>
      <c r="AN42" s="526"/>
      <c r="AO42" s="526"/>
      <c r="AP42" s="526"/>
      <c r="AQ42" s="520"/>
      <c r="AR42" s="520"/>
      <c r="AS42" s="520"/>
      <c r="AT42" s="520"/>
      <c r="AU42" s="520"/>
      <c r="AV42" s="520"/>
      <c r="AW42" s="520"/>
      <c r="AX42" s="520"/>
      <c r="BF42" s="471"/>
      <c r="BG42" s="463"/>
      <c r="BH42" s="491"/>
      <c r="BO42" s="467"/>
      <c r="BP42" s="482"/>
      <c r="BQ42" s="482"/>
      <c r="BR42" s="482"/>
      <c r="BS42" s="463"/>
      <c r="BT42" s="463"/>
      <c r="BU42" s="482"/>
      <c r="BV42" s="509"/>
      <c r="BW42" s="482"/>
      <c r="BX42" s="482"/>
      <c r="BY42" s="482"/>
      <c r="BZ42" s="482"/>
      <c r="CA42" s="482"/>
      <c r="CB42" s="482"/>
      <c r="CC42" s="468"/>
      <c r="CD42" s="510"/>
      <c r="CE42" s="510"/>
      <c r="CF42" s="510"/>
    </row>
    <row r="43" spans="1:84">
      <c r="B43" s="520"/>
      <c r="C43" s="491" t="s">
        <v>214</v>
      </c>
      <c r="D43" s="491">
        <f>+H95+R95</f>
        <v>-190</v>
      </c>
      <c r="E43" s="491">
        <f>+D98</f>
        <v>190</v>
      </c>
      <c r="F43" s="491">
        <f t="shared" si="16"/>
        <v>0</v>
      </c>
      <c r="G43" s="491"/>
      <c r="H43" s="491"/>
      <c r="I43" s="491"/>
      <c r="J43" s="491"/>
      <c r="K43" s="491"/>
      <c r="L43" s="491"/>
      <c r="M43" s="521"/>
      <c r="O43" s="491"/>
      <c r="Q43" s="491"/>
      <c r="R43" s="491"/>
      <c r="S43" s="491"/>
      <c r="T43" s="491"/>
      <c r="U43" s="491"/>
      <c r="V43" s="491"/>
      <c r="W43" s="491"/>
      <c r="X43" s="491"/>
      <c r="Y43" s="491"/>
      <c r="Z43" s="491"/>
      <c r="AA43" s="491"/>
      <c r="AB43" s="510"/>
      <c r="AC43" s="491"/>
      <c r="AD43" s="510"/>
      <c r="AE43" s="510"/>
      <c r="AF43" s="510"/>
      <c r="AG43" s="491"/>
      <c r="AH43" s="491"/>
      <c r="AM43" s="526"/>
      <c r="AN43" s="526"/>
      <c r="AO43" s="526"/>
      <c r="AP43" s="526"/>
      <c r="AQ43" s="520"/>
      <c r="AR43" s="520"/>
      <c r="AS43" s="520"/>
      <c r="AT43" s="520"/>
      <c r="AU43" s="520"/>
      <c r="AV43" s="520"/>
      <c r="AW43" s="520"/>
      <c r="AX43" s="520"/>
      <c r="BF43" s="471"/>
      <c r="BG43" s="463"/>
      <c r="BH43" s="491"/>
      <c r="BO43" s="467"/>
      <c r="BP43" s="482"/>
      <c r="BQ43" s="482"/>
      <c r="BR43" s="482"/>
      <c r="BS43" s="463"/>
      <c r="BT43" s="463"/>
      <c r="BU43" s="482"/>
      <c r="BV43" s="509"/>
      <c r="BW43" s="482"/>
      <c r="BX43" s="482"/>
      <c r="BY43" s="482"/>
      <c r="BZ43" s="482"/>
      <c r="CA43" s="482"/>
      <c r="CB43" s="482"/>
      <c r="CC43" s="468"/>
      <c r="CD43" s="510"/>
      <c r="CE43" s="510"/>
      <c r="CF43" s="510"/>
    </row>
    <row r="44" spans="1:84">
      <c r="B44" s="520"/>
      <c r="C44" s="491" t="s">
        <v>239</v>
      </c>
      <c r="D44" s="491">
        <f>+H114+R114</f>
        <v>0</v>
      </c>
      <c r="E44" s="491">
        <f>+D118</f>
        <v>0</v>
      </c>
      <c r="F44" s="491">
        <f t="shared" si="16"/>
        <v>0</v>
      </c>
      <c r="G44" s="491"/>
      <c r="H44" s="491"/>
      <c r="I44" s="491"/>
      <c r="J44" s="491"/>
      <c r="K44" s="491"/>
      <c r="L44" s="491"/>
      <c r="M44" s="521"/>
      <c r="O44" s="491"/>
      <c r="Q44" s="491"/>
      <c r="R44" s="491"/>
      <c r="S44" s="491"/>
      <c r="T44" s="491"/>
      <c r="U44" s="491"/>
      <c r="V44" s="491"/>
      <c r="W44" s="491"/>
      <c r="X44" s="491"/>
      <c r="Y44" s="491"/>
      <c r="Z44" s="491"/>
      <c r="AA44" s="491"/>
      <c r="AB44" s="510"/>
      <c r="AC44" s="491"/>
      <c r="AD44" s="510"/>
      <c r="AE44" s="510"/>
      <c r="AF44" s="510"/>
      <c r="AG44" s="491"/>
      <c r="AH44" s="491"/>
      <c r="AM44" s="526"/>
      <c r="AN44" s="526"/>
      <c r="AO44" s="526"/>
      <c r="AP44" s="526"/>
      <c r="AQ44" s="520"/>
      <c r="AR44" s="520"/>
      <c r="AS44" s="520"/>
      <c r="AT44" s="520"/>
      <c r="AU44" s="520"/>
      <c r="AV44" s="520"/>
      <c r="AW44" s="520"/>
      <c r="AX44" s="520"/>
      <c r="BF44" s="471"/>
      <c r="BG44" s="463"/>
      <c r="BH44" s="491"/>
      <c r="BO44" s="467"/>
      <c r="BP44" s="482"/>
      <c r="BQ44" s="482"/>
      <c r="BR44" s="482"/>
      <c r="BS44" s="463"/>
      <c r="BT44" s="463"/>
      <c r="BU44" s="482"/>
      <c r="BV44" s="509"/>
      <c r="BW44" s="482"/>
      <c r="BX44" s="482"/>
      <c r="BY44" s="482"/>
      <c r="BZ44" s="482"/>
      <c r="CA44" s="482"/>
      <c r="CB44" s="482"/>
      <c r="CC44" s="468"/>
      <c r="CD44" s="510"/>
      <c r="CE44" s="510"/>
      <c r="CF44" s="510"/>
    </row>
    <row r="45" spans="1:84">
      <c r="B45" s="520"/>
      <c r="C45" s="491" t="s">
        <v>225</v>
      </c>
      <c r="D45" s="491">
        <f>+H152+R152</f>
        <v>-108</v>
      </c>
      <c r="E45" s="491"/>
      <c r="F45" s="491"/>
      <c r="G45" s="491"/>
      <c r="H45" s="491"/>
      <c r="I45" s="491"/>
      <c r="J45" s="491"/>
      <c r="K45" s="491"/>
      <c r="L45" s="491"/>
      <c r="M45" s="521"/>
      <c r="O45" s="491"/>
      <c r="Q45" s="491"/>
      <c r="R45" s="491"/>
      <c r="S45" s="491"/>
      <c r="T45" s="491"/>
      <c r="U45" s="491"/>
      <c r="V45" s="491"/>
      <c r="W45" s="491"/>
      <c r="X45" s="491"/>
      <c r="Y45" s="491"/>
      <c r="Z45" s="491"/>
      <c r="AA45" s="491"/>
      <c r="AB45" s="510"/>
      <c r="AC45" s="491"/>
      <c r="AD45" s="510"/>
      <c r="AE45" s="510"/>
      <c r="AF45" s="510"/>
      <c r="AG45" s="491"/>
      <c r="AH45" s="491"/>
      <c r="AM45" s="526"/>
      <c r="AN45" s="526"/>
      <c r="AO45" s="526"/>
      <c r="AP45" s="526"/>
      <c r="AQ45" s="520"/>
      <c r="AR45" s="520"/>
      <c r="AS45" s="520"/>
      <c r="AT45" s="520"/>
      <c r="AU45" s="520"/>
      <c r="AV45" s="520"/>
      <c r="AW45" s="520"/>
      <c r="AX45" s="520"/>
      <c r="BF45" s="471"/>
      <c r="BG45" s="463"/>
      <c r="BH45" s="491"/>
      <c r="BO45" s="467"/>
      <c r="BP45" s="482"/>
      <c r="BQ45" s="482"/>
      <c r="BR45" s="482"/>
      <c r="BS45" s="463"/>
      <c r="BT45" s="463"/>
      <c r="BU45" s="482"/>
      <c r="BV45" s="509"/>
      <c r="BW45" s="482"/>
      <c r="BX45" s="482"/>
      <c r="BY45" s="482"/>
      <c r="BZ45" s="482"/>
      <c r="CA45" s="482"/>
      <c r="CB45" s="482"/>
      <c r="CC45" s="468"/>
      <c r="CD45" s="510"/>
      <c r="CE45" s="510"/>
      <c r="CF45" s="510"/>
    </row>
    <row r="46" spans="1:84">
      <c r="B46" s="469" t="s">
        <v>138</v>
      </c>
      <c r="C46" s="522">
        <f>+C37-C38</f>
        <v>263</v>
      </c>
      <c r="D46" s="522">
        <f>SUM(D38:D45)</f>
        <v>0</v>
      </c>
      <c r="E46" s="491"/>
      <c r="F46" s="491"/>
      <c r="G46" s="491"/>
      <c r="H46" s="491"/>
      <c r="I46" s="491"/>
      <c r="J46" s="491"/>
      <c r="K46" s="491"/>
      <c r="L46" s="491"/>
      <c r="M46" s="491"/>
      <c r="N46" s="523"/>
      <c r="O46" s="491"/>
      <c r="P46" s="520"/>
      <c r="Q46" s="463"/>
      <c r="R46" s="463"/>
      <c r="S46" s="491"/>
      <c r="T46" s="491"/>
      <c r="U46" s="491"/>
      <c r="V46" s="491"/>
      <c r="W46" s="491"/>
      <c r="X46" s="491"/>
      <c r="Y46" s="491"/>
      <c r="Z46" s="491"/>
      <c r="AA46" s="491"/>
      <c r="AB46" s="491"/>
      <c r="AC46" s="524"/>
      <c r="AE46" s="491"/>
      <c r="AF46" s="491"/>
      <c r="AG46" s="515"/>
      <c r="AH46" s="491"/>
      <c r="AM46" s="526"/>
      <c r="AN46" s="526"/>
      <c r="AO46" s="526"/>
      <c r="AP46" s="526"/>
      <c r="AQ46" s="520"/>
      <c r="AR46" s="520"/>
      <c r="AS46" s="520"/>
      <c r="AT46" s="520"/>
      <c r="AU46" s="520"/>
      <c r="AV46" s="520"/>
      <c r="AW46" s="520"/>
      <c r="AX46" s="520"/>
      <c r="BF46" s="471"/>
      <c r="BG46" s="463"/>
      <c r="BH46" s="491"/>
      <c r="BO46" s="467"/>
      <c r="BP46" s="482"/>
      <c r="BQ46" s="482"/>
      <c r="BR46" s="482"/>
      <c r="BS46" s="463"/>
      <c r="BT46" s="463"/>
      <c r="BU46" s="482"/>
      <c r="BV46" s="509"/>
      <c r="BW46" s="482"/>
      <c r="BX46" s="482"/>
      <c r="BY46" s="482"/>
      <c r="BZ46" s="482"/>
      <c r="CA46" s="482"/>
      <c r="CB46" s="482"/>
      <c r="CC46" s="468"/>
      <c r="CD46" s="510"/>
      <c r="CE46" s="510"/>
      <c r="CF46" s="510"/>
    </row>
    <row r="47" spans="1:84" ht="15" thickBot="1">
      <c r="B47" s="482"/>
      <c r="C47" s="520" t="s">
        <v>138</v>
      </c>
      <c r="D47" s="520"/>
      <c r="E47" s="491" t="s">
        <v>138</v>
      </c>
      <c r="F47" s="491"/>
      <c r="G47" s="491"/>
      <c r="H47" s="491"/>
      <c r="I47" s="491"/>
      <c r="J47" s="491"/>
      <c r="K47" s="491"/>
      <c r="L47" s="491"/>
      <c r="M47" s="491"/>
      <c r="N47" s="491"/>
      <c r="P47" s="491"/>
      <c r="Q47" s="463"/>
      <c r="R47" s="463"/>
      <c r="S47" s="491"/>
      <c r="T47" s="491"/>
      <c r="U47" s="491"/>
      <c r="V47" s="491"/>
      <c r="W47" s="491"/>
      <c r="X47" s="491"/>
      <c r="Y47" s="491"/>
      <c r="Z47" s="491"/>
      <c r="AA47" s="491"/>
      <c r="AB47" s="491"/>
      <c r="AC47" s="491"/>
      <c r="AD47" s="491"/>
      <c r="AE47" s="491"/>
      <c r="AF47" s="491"/>
      <c r="AG47" s="491"/>
      <c r="AH47" s="491"/>
      <c r="AM47" s="501"/>
      <c r="AN47" s="501"/>
      <c r="AO47" s="501"/>
      <c r="AP47" s="501"/>
      <c r="AQ47" s="527"/>
      <c r="AR47" s="527"/>
      <c r="AS47" s="527"/>
      <c r="AT47" s="527"/>
      <c r="AU47" s="527"/>
      <c r="AV47" s="527"/>
      <c r="AW47" s="527"/>
      <c r="AX47" s="527"/>
      <c r="AY47" s="527"/>
      <c r="AZ47" s="527"/>
      <c r="BA47" s="527"/>
      <c r="BB47" s="527"/>
      <c r="BC47" s="527"/>
      <c r="BD47" s="527"/>
      <c r="BO47" s="467"/>
      <c r="BP47" s="482"/>
      <c r="BQ47" s="482"/>
      <c r="BR47" s="482"/>
      <c r="BS47" s="463"/>
      <c r="BT47" s="463"/>
      <c r="BU47" s="469"/>
      <c r="BV47" s="509"/>
      <c r="BW47" s="482"/>
      <c r="BX47" s="469"/>
      <c r="BY47" s="482"/>
      <c r="BZ47" s="510"/>
      <c r="CA47" s="482"/>
      <c r="CB47" s="510"/>
    </row>
    <row r="48" spans="1:84" ht="15" thickBot="1">
      <c r="A48" s="1166" t="s">
        <v>86</v>
      </c>
      <c r="B48" s="1167" t="s">
        <v>242</v>
      </c>
      <c r="C48" s="2131" t="s">
        <v>219</v>
      </c>
      <c r="D48" s="2132"/>
      <c r="E48" s="2132"/>
      <c r="F48" s="2132"/>
      <c r="G48" s="2132"/>
      <c r="H48" s="2132"/>
      <c r="I48" s="2132"/>
      <c r="J48" s="2132"/>
      <c r="K48" s="2132"/>
      <c r="L48" s="2137"/>
      <c r="M48" s="464"/>
      <c r="N48" s="2133" t="s">
        <v>220</v>
      </c>
      <c r="O48" s="2134"/>
      <c r="P48" s="2134"/>
      <c r="Q48" s="2134"/>
      <c r="R48" s="2134"/>
      <c r="S48" s="2134"/>
      <c r="T48" s="2134"/>
      <c r="U48" s="2134"/>
      <c r="V48" s="2134"/>
      <c r="W48" s="2134"/>
      <c r="X48" s="2134"/>
      <c r="Y48" s="2134"/>
      <c r="Z48" s="2134"/>
      <c r="AA48" s="2134"/>
      <c r="AB48" s="2134"/>
      <c r="AC48" s="2135"/>
      <c r="AK48" s="502"/>
      <c r="AL48" s="501"/>
      <c r="AM48" s="501"/>
      <c r="AN48" s="501"/>
      <c r="AO48" s="501"/>
      <c r="AP48" s="501"/>
      <c r="AQ48" s="501"/>
      <c r="AR48" s="501"/>
      <c r="AS48" s="501"/>
      <c r="AT48" s="501"/>
      <c r="AU48" s="501"/>
      <c r="AV48" s="501"/>
      <c r="AW48" s="501"/>
      <c r="AX48" s="501"/>
      <c r="AY48" s="501"/>
      <c r="AZ48" s="501"/>
      <c r="BA48" s="501"/>
      <c r="BL48" s="482"/>
      <c r="BM48" s="482"/>
      <c r="BN48" s="482"/>
      <c r="BO48" s="463"/>
      <c r="BP48" s="463"/>
      <c r="BQ48" s="482"/>
      <c r="BR48" s="509"/>
      <c r="BS48" s="482"/>
      <c r="BT48" s="482"/>
      <c r="BU48" s="482"/>
      <c r="BV48" s="482"/>
      <c r="BW48" s="482"/>
      <c r="BX48" s="482"/>
      <c r="BY48" s="468"/>
      <c r="BZ48" s="510"/>
      <c r="CD48" s="468"/>
    </row>
    <row r="49" spans="1:85" ht="29.45" thickBot="1">
      <c r="A49" s="1168" t="s">
        <v>87</v>
      </c>
      <c r="B49" s="528" t="s">
        <v>88</v>
      </c>
      <c r="C49" s="535" t="s">
        <v>221</v>
      </c>
      <c r="D49" s="496" t="s">
        <v>212</v>
      </c>
      <c r="E49" s="496" t="s">
        <v>127</v>
      </c>
      <c r="F49" s="581" t="s">
        <v>188</v>
      </c>
      <c r="G49" s="581" t="s">
        <v>189</v>
      </c>
      <c r="H49" s="581" t="s">
        <v>190</v>
      </c>
      <c r="I49" s="581" t="s">
        <v>214</v>
      </c>
      <c r="J49" s="581" t="s">
        <v>222</v>
      </c>
      <c r="K49" s="1526" t="s">
        <v>223</v>
      </c>
      <c r="L49" s="1527" t="s">
        <v>192</v>
      </c>
      <c r="M49" s="496" t="s">
        <v>71</v>
      </c>
      <c r="N49" s="1139" t="s">
        <v>216</v>
      </c>
      <c r="O49" s="530" t="s">
        <v>127</v>
      </c>
      <c r="P49" s="531" t="s">
        <v>188</v>
      </c>
      <c r="Q49" s="531" t="s">
        <v>189</v>
      </c>
      <c r="R49" s="560" t="s">
        <v>190</v>
      </c>
      <c r="S49" s="532" t="s">
        <v>214</v>
      </c>
      <c r="T49" s="1262" t="s">
        <v>223</v>
      </c>
      <c r="U49" s="1519" t="s">
        <v>241</v>
      </c>
      <c r="V49" s="1519"/>
      <c r="W49" s="533" t="s">
        <v>226</v>
      </c>
      <c r="X49" s="533" t="s">
        <v>227</v>
      </c>
      <c r="Y49" s="529" t="s">
        <v>228</v>
      </c>
      <c r="Z49" s="534" t="s">
        <v>229</v>
      </c>
      <c r="AA49" s="534" t="s">
        <v>230</v>
      </c>
      <c r="AB49" s="534" t="s">
        <v>231</v>
      </c>
      <c r="AC49" s="1140" t="s">
        <v>232</v>
      </c>
      <c r="AD49" s="1141" t="s">
        <v>71</v>
      </c>
      <c r="AE49" s="535" t="s">
        <v>233</v>
      </c>
      <c r="AF49" s="536" t="s">
        <v>234</v>
      </c>
      <c r="AG49" s="500" t="s">
        <v>185</v>
      </c>
      <c r="AH49" s="466"/>
      <c r="AK49" s="537"/>
      <c r="AL49" s="503"/>
      <c r="AM49" s="466"/>
      <c r="AN49" s="503"/>
      <c r="AO49" s="466"/>
      <c r="AP49" s="466"/>
      <c r="AQ49" s="466"/>
      <c r="AR49" s="466"/>
      <c r="AS49" s="466"/>
      <c r="AT49" s="466"/>
      <c r="AU49" s="466"/>
      <c r="AV49" s="466"/>
      <c r="AW49" s="466"/>
      <c r="AX49" s="466"/>
      <c r="AY49" s="466"/>
      <c r="AZ49" s="466"/>
      <c r="BA49" s="501"/>
      <c r="BE49" s="466"/>
      <c r="BF49" s="466"/>
      <c r="BG49" s="466"/>
      <c r="BH49" s="466"/>
      <c r="BI49" s="466"/>
      <c r="BJ49" s="466"/>
      <c r="BK49" s="466"/>
      <c r="BL49" s="482"/>
      <c r="BM49" s="482"/>
      <c r="BN49" s="482"/>
      <c r="BO49" s="463"/>
      <c r="BP49" s="463"/>
      <c r="BQ49" s="482"/>
      <c r="BR49" s="509"/>
      <c r="BS49" s="482"/>
      <c r="BT49" s="482"/>
      <c r="BU49" s="482"/>
      <c r="BV49" s="482"/>
      <c r="BW49" s="469"/>
      <c r="BX49" s="469"/>
      <c r="BZ49" s="510"/>
      <c r="CB49" s="510"/>
    </row>
    <row r="50" spans="1:85" s="1372" customFormat="1">
      <c r="A50" s="1374" t="s">
        <v>105</v>
      </c>
      <c r="B50" s="1375" t="s">
        <v>243</v>
      </c>
      <c r="C50" s="1376">
        <v>2387</v>
      </c>
      <c r="D50" s="1388"/>
      <c r="E50" s="1350"/>
      <c r="F50" s="1395"/>
      <c r="G50" s="1352"/>
      <c r="H50" s="1352"/>
      <c r="I50" s="1352"/>
      <c r="J50" s="1352">
        <f>336+755+742+811+284</f>
        <v>2928</v>
      </c>
      <c r="K50" s="1352"/>
      <c r="L50" s="1528"/>
      <c r="M50" s="1360">
        <f t="shared" ref="M50:M52" si="17">SUM(C50:K50)</f>
        <v>5315</v>
      </c>
      <c r="N50" s="1395">
        <f>-650-650-650-630</f>
        <v>-2580</v>
      </c>
      <c r="O50" s="1352"/>
      <c r="P50" s="1352">
        <f>-27-33-24</f>
        <v>-84</v>
      </c>
      <c r="Q50" s="1352"/>
      <c r="R50" s="1352"/>
      <c r="S50" s="1352"/>
      <c r="T50" s="1351"/>
      <c r="U50" s="1351"/>
      <c r="V50" s="1351"/>
      <c r="W50" s="1352">
        <f>-9-85-91-75-56</f>
        <v>-316</v>
      </c>
      <c r="X50" s="1351"/>
      <c r="Y50" s="1351"/>
      <c r="Z50" s="1351"/>
      <c r="AA50" s="1351"/>
      <c r="AB50" s="1351"/>
      <c r="AC50" s="1351"/>
      <c r="AD50" s="1396">
        <f t="shared" ref="AD50:AD55" si="18">SUM(N50:AC50)</f>
        <v>-2980</v>
      </c>
      <c r="AE50" s="1351">
        <f>+M50+AD50</f>
        <v>2335</v>
      </c>
      <c r="AF50" s="1376">
        <f>+'Lionheads Batch Mvnt'!D7</f>
        <v>2335</v>
      </c>
      <c r="AG50" s="1829">
        <f>+AE50-AF50</f>
        <v>0</v>
      </c>
      <c r="AH50" s="1362">
        <f>AF50-C50</f>
        <v>-52</v>
      </c>
      <c r="AI50" s="1366"/>
      <c r="AJ50" s="1366"/>
      <c r="AK50" s="1364"/>
      <c r="AL50" s="1362"/>
      <c r="AM50" s="1362"/>
      <c r="AN50" s="1363"/>
      <c r="AO50" s="1362"/>
      <c r="AP50" s="1362"/>
      <c r="AQ50" s="1362"/>
      <c r="AR50" s="1362"/>
      <c r="AS50" s="1362"/>
      <c r="AT50" s="1362"/>
      <c r="AU50" s="1362"/>
      <c r="AV50" s="1362"/>
      <c r="AW50" s="1362"/>
      <c r="AX50" s="1362"/>
      <c r="AY50" s="1362"/>
      <c r="AZ50" s="1362"/>
      <c r="BA50" s="1362"/>
      <c r="BB50" s="1366"/>
      <c r="BC50" s="1366"/>
      <c r="BD50" s="1366"/>
      <c r="BE50" s="1371"/>
      <c r="BF50" s="1397"/>
      <c r="BG50" s="1397"/>
      <c r="BH50" s="1397"/>
      <c r="BI50" s="1397"/>
      <c r="BJ50" s="1371"/>
      <c r="BK50" s="1371"/>
      <c r="BL50" s="1368"/>
      <c r="BM50" s="1371"/>
      <c r="BN50" s="1369"/>
      <c r="BO50" s="1371">
        <v>-8</v>
      </c>
      <c r="BP50" s="1371"/>
      <c r="BQ50" s="1371"/>
      <c r="BR50" s="1371">
        <f t="shared" ref="BR50:BR55" si="19">+BM50+BN50+BO50+BQ50</f>
        <v>-8</v>
      </c>
      <c r="BS50" s="1398"/>
      <c r="BT50" s="1367"/>
      <c r="BU50" s="1367"/>
      <c r="BY50" s="1399"/>
      <c r="BZ50" s="1400"/>
      <c r="CA50" s="1399"/>
      <c r="CB50" s="1399"/>
    </row>
    <row r="51" spans="1:85" s="1372" customFormat="1">
      <c r="A51" s="1380" t="str">
        <f>+B51</f>
        <v>L/HEAD WEANER</v>
      </c>
      <c r="B51" s="1381" t="s">
        <v>244</v>
      </c>
      <c r="C51" s="1382">
        <v>3849</v>
      </c>
      <c r="D51" s="1359">
        <f>650+630+650+650</f>
        <v>2580</v>
      </c>
      <c r="E51" s="1401"/>
      <c r="F51" s="1359"/>
      <c r="G51" s="2210"/>
      <c r="H51" s="1349"/>
      <c r="I51" s="1349"/>
      <c r="J51" s="1349"/>
      <c r="K51" s="1349"/>
      <c r="L51" s="1357"/>
      <c r="M51" s="1360">
        <f t="shared" si="17"/>
        <v>6429</v>
      </c>
      <c r="N51" s="2211">
        <f>-619-613-642-641</f>
        <v>-2515</v>
      </c>
      <c r="O51" s="1349"/>
      <c r="P51" s="1349">
        <f>-30-6</f>
        <v>-36</v>
      </c>
      <c r="Q51" s="1349"/>
      <c r="R51" s="1349"/>
      <c r="S51" s="1349"/>
      <c r="T51" s="1350"/>
      <c r="U51" s="1350"/>
      <c r="V51" s="1350"/>
      <c r="W51" s="1350">
        <f>-1-3-5-5</f>
        <v>-14</v>
      </c>
      <c r="X51" s="1350"/>
      <c r="Y51" s="1350"/>
      <c r="Z51" s="1350"/>
      <c r="AA51" s="1350"/>
      <c r="AB51" s="1350"/>
      <c r="AC51" s="1350"/>
      <c r="AD51" s="1356">
        <f t="shared" si="18"/>
        <v>-2565</v>
      </c>
      <c r="AE51" s="1350">
        <f>+M51+AD51</f>
        <v>3864</v>
      </c>
      <c r="AF51" s="1382">
        <f>+'Lionheads Batch Mvnt'!D12</f>
        <v>3864</v>
      </c>
      <c r="AG51" s="1383">
        <f>AF51-AE51</f>
        <v>0</v>
      </c>
      <c r="AH51" s="1362">
        <f t="shared" ref="AH51:AH56" si="20">AF51-C51</f>
        <v>15</v>
      </c>
      <c r="AI51" s="1366"/>
      <c r="AJ51" s="1366"/>
      <c r="AK51" s="1364"/>
      <c r="AL51" s="1362"/>
      <c r="AM51" s="1362"/>
      <c r="AN51" s="1363"/>
      <c r="AO51" s="1362"/>
      <c r="AP51" s="1362"/>
      <c r="AQ51" s="1362"/>
      <c r="AR51" s="1362"/>
      <c r="AS51" s="1362"/>
      <c r="AT51" s="1362"/>
      <c r="AU51" s="1362"/>
      <c r="AV51" s="1362"/>
      <c r="AW51" s="1362"/>
      <c r="AX51" s="1362"/>
      <c r="AY51" s="1362"/>
      <c r="AZ51" s="1362"/>
      <c r="BA51" s="1362"/>
      <c r="BB51" s="1366"/>
      <c r="BC51" s="1366"/>
      <c r="BD51" s="1366"/>
      <c r="BE51" s="1371"/>
      <c r="BF51" s="1371"/>
      <c r="BG51" s="1371"/>
      <c r="BH51" s="1371"/>
      <c r="BI51" s="1371"/>
      <c r="BK51" s="1371"/>
      <c r="BL51" s="1368"/>
      <c r="BM51" s="1371"/>
      <c r="BN51" s="1371"/>
      <c r="BO51" s="1371">
        <v>-43</v>
      </c>
      <c r="BP51" s="1371"/>
      <c r="BQ51" s="1371">
        <v>-481</v>
      </c>
      <c r="BR51" s="1371">
        <f t="shared" si="19"/>
        <v>-524</v>
      </c>
      <c r="BS51" s="1398"/>
      <c r="BT51" s="1367"/>
      <c r="BU51" s="1367"/>
      <c r="CA51" s="1369"/>
    </row>
    <row r="52" spans="1:85" s="1372" customFormat="1">
      <c r="A52" s="1380" t="s">
        <v>109</v>
      </c>
      <c r="B52" s="1381" t="s">
        <v>245</v>
      </c>
      <c r="C52" s="1382">
        <v>7337</v>
      </c>
      <c r="D52" s="1359">
        <f>619+613+642+641</f>
        <v>2515</v>
      </c>
      <c r="E52" s="1401"/>
      <c r="F52" s="1359"/>
      <c r="G52" s="1349"/>
      <c r="H52" s="1349"/>
      <c r="I52" s="1349"/>
      <c r="J52" s="1349"/>
      <c r="K52" s="1349"/>
      <c r="L52" s="1357"/>
      <c r="M52" s="1360">
        <f t="shared" si="17"/>
        <v>9852</v>
      </c>
      <c r="N52" s="1403"/>
      <c r="O52" s="1349"/>
      <c r="P52" s="1349"/>
      <c r="Q52" s="1349"/>
      <c r="R52" s="1349"/>
      <c r="S52" s="1349"/>
      <c r="T52" s="1350"/>
      <c r="U52" s="1350"/>
      <c r="V52" s="1350"/>
      <c r="W52" s="1350">
        <f>-13-11-14-9</f>
        <v>-47</v>
      </c>
      <c r="X52" s="1350">
        <f>-580-629-613-619-Y52</f>
        <v>-2436</v>
      </c>
      <c r="Y52" s="1350">
        <f>-'[3]Sales USD'!$BD$7</f>
        <v>-5</v>
      </c>
      <c r="Z52" s="1350">
        <f>-1-3-2-3</f>
        <v>-9</v>
      </c>
      <c r="AA52" s="1350"/>
      <c r="AB52" s="1350"/>
      <c r="AC52" s="1350"/>
      <c r="AD52" s="1356">
        <f t="shared" si="18"/>
        <v>-2497</v>
      </c>
      <c r="AE52" s="1350">
        <f>+M52+AD52</f>
        <v>7355</v>
      </c>
      <c r="AF52" s="1382">
        <f>+'Lionheads Batch Mvnt'!D28</f>
        <v>7355</v>
      </c>
      <c r="AG52" s="1383">
        <f t="shared" ref="AG52:AG56" si="21">AF52-AE52</f>
        <v>0</v>
      </c>
      <c r="AH52" s="1362">
        <f t="shared" si="20"/>
        <v>18</v>
      </c>
      <c r="AI52" s="1366"/>
      <c r="AJ52" s="1366"/>
      <c r="AK52" s="1364"/>
      <c r="AL52" s="1362"/>
      <c r="AM52" s="1362"/>
      <c r="AN52" s="1363"/>
      <c r="AO52" s="1362"/>
      <c r="AP52" s="1362"/>
      <c r="AQ52" s="1362"/>
      <c r="AR52" s="1362"/>
      <c r="AS52" s="1362"/>
      <c r="AT52" s="1362"/>
      <c r="AU52" s="1362"/>
      <c r="AV52" s="1366"/>
      <c r="AW52" s="1366"/>
      <c r="AX52" s="1366"/>
      <c r="AY52" s="1362"/>
      <c r="AZ52" s="1362"/>
      <c r="BA52" s="1362"/>
      <c r="BB52" s="1362"/>
      <c r="BC52" s="1366"/>
      <c r="BD52" s="1366"/>
      <c r="BE52" s="1366"/>
      <c r="BF52" s="1366"/>
      <c r="BG52" s="1366"/>
      <c r="BH52" s="1366"/>
      <c r="BI52" s="1366"/>
      <c r="BJ52" s="1366"/>
      <c r="BK52" s="1366"/>
      <c r="BL52" s="1370"/>
      <c r="BM52" s="1371"/>
      <c r="BN52" s="1370"/>
      <c r="BO52" s="1371">
        <v>-50</v>
      </c>
      <c r="BP52" s="1371"/>
      <c r="BQ52" s="1372">
        <v>-484</v>
      </c>
      <c r="BR52" s="1371">
        <f t="shared" si="19"/>
        <v>-534</v>
      </c>
      <c r="BS52" s="1398"/>
      <c r="BT52" s="1367"/>
      <c r="BU52" s="1367"/>
      <c r="BZ52" s="1369"/>
      <c r="CC52" s="1369"/>
      <c r="CG52" s="1398"/>
    </row>
    <row r="53" spans="1:85">
      <c r="A53" s="1189" t="s">
        <v>111</v>
      </c>
      <c r="B53" s="1190" t="s">
        <v>242</v>
      </c>
      <c r="C53" s="1191">
        <v>343</v>
      </c>
      <c r="D53" s="1230"/>
      <c r="E53" s="1814"/>
      <c r="F53" s="1230"/>
      <c r="G53" s="1192"/>
      <c r="H53" s="1192"/>
      <c r="I53" s="1192"/>
      <c r="J53" s="1192"/>
      <c r="K53" s="1192"/>
      <c r="L53" s="1231">
        <f>12+8+11+12</f>
        <v>43</v>
      </c>
      <c r="M53" s="1248">
        <f>SUM(C53:L53)</f>
        <v>386</v>
      </c>
      <c r="N53" s="1265">
        <f>-16-3-10-19</f>
        <v>-48</v>
      </c>
      <c r="O53" s="1192"/>
      <c r="P53" s="1192"/>
      <c r="Q53" s="1192"/>
      <c r="R53" s="1192"/>
      <c r="S53" s="1192"/>
      <c r="T53" s="1192"/>
      <c r="U53" s="1192"/>
      <c r="V53" s="1192"/>
      <c r="W53" s="1192">
        <v>-1</v>
      </c>
      <c r="X53" s="1195"/>
      <c r="Y53" s="1195"/>
      <c r="Z53" s="2212"/>
      <c r="AA53" s="1195"/>
      <c r="AB53" s="1195"/>
      <c r="AC53" s="1195"/>
      <c r="AD53" s="1193">
        <f t="shared" si="18"/>
        <v>-49</v>
      </c>
      <c r="AE53" s="1195">
        <f>+M53+AD53</f>
        <v>337</v>
      </c>
      <c r="AF53" s="1191">
        <f>+'Lionheads Batch Mvnt'!I6</f>
        <v>337</v>
      </c>
      <c r="AG53" s="1226">
        <f t="shared" si="21"/>
        <v>0</v>
      </c>
      <c r="AH53" s="1362">
        <f t="shared" si="20"/>
        <v>-6</v>
      </c>
      <c r="AK53" s="502"/>
      <c r="AL53" s="471"/>
      <c r="AM53" s="471"/>
      <c r="AN53" s="501"/>
      <c r="AO53" s="471"/>
      <c r="AP53" s="471"/>
      <c r="AQ53" s="464"/>
      <c r="AR53" s="464"/>
      <c r="AT53" s="464"/>
      <c r="AU53" s="471"/>
      <c r="AV53" s="471"/>
      <c r="AY53" s="471"/>
      <c r="AZ53" s="471"/>
      <c r="BA53" s="471"/>
      <c r="BB53" s="471"/>
      <c r="BC53" s="464"/>
      <c r="BD53" s="464"/>
      <c r="BE53" s="464"/>
      <c r="BF53" s="464"/>
      <c r="BG53" s="464"/>
      <c r="BH53" s="464"/>
      <c r="BI53" s="464"/>
      <c r="BJ53" s="464"/>
      <c r="BK53" s="464"/>
      <c r="BL53" s="464"/>
      <c r="BM53" s="491"/>
      <c r="BN53" s="464"/>
      <c r="BO53" s="464">
        <f>SUM(BH53:BN53)</f>
        <v>0</v>
      </c>
      <c r="BP53" s="463"/>
      <c r="BQ53" s="482">
        <v>-464</v>
      </c>
      <c r="BR53" s="491">
        <f t="shared" si="19"/>
        <v>-464</v>
      </c>
      <c r="BS53" s="482"/>
      <c r="BT53" s="482"/>
      <c r="BU53" s="482"/>
      <c r="BV53" s="469"/>
      <c r="BW53" s="469"/>
      <c r="BX53" s="469"/>
      <c r="CC53" s="510"/>
      <c r="CG53" s="520"/>
    </row>
    <row r="54" spans="1:85">
      <c r="A54" s="1189" t="s">
        <v>112</v>
      </c>
      <c r="B54" s="1190" t="s">
        <v>242</v>
      </c>
      <c r="C54" s="1191">
        <v>1068</v>
      </c>
      <c r="D54" s="1230">
        <f>16+3+10+19</f>
        <v>48</v>
      </c>
      <c r="E54" s="1688"/>
      <c r="F54" s="1230"/>
      <c r="G54" s="1192"/>
      <c r="H54" s="1192"/>
      <c r="I54" s="1192"/>
      <c r="J54" s="1192"/>
      <c r="K54" s="1192"/>
      <c r="L54" s="1231"/>
      <c r="M54" s="1248">
        <f t="shared" ref="M54:M55" si="22">SUM(C54:L54)</f>
        <v>1116</v>
      </c>
      <c r="N54" s="1265"/>
      <c r="O54" s="1195"/>
      <c r="P54" s="1195"/>
      <c r="Q54" s="1195"/>
      <c r="R54" s="1195"/>
      <c r="S54" s="1195"/>
      <c r="T54" s="1195"/>
      <c r="U54" s="1195"/>
      <c r="V54" s="1195"/>
      <c r="W54" s="1192"/>
      <c r="X54" s="1195">
        <f>-5-14-11</f>
        <v>-30</v>
      </c>
      <c r="Y54" s="1195"/>
      <c r="Z54" s="1195">
        <f>-3-4-4-3</f>
        <v>-14</v>
      </c>
      <c r="AA54" s="1195"/>
      <c r="AB54" s="1195"/>
      <c r="AC54" s="1195"/>
      <c r="AD54" s="1193">
        <f t="shared" si="18"/>
        <v>-44</v>
      </c>
      <c r="AE54" s="1195">
        <f>+M54+AD54</f>
        <v>1072</v>
      </c>
      <c r="AF54" s="1934">
        <f>+'Lionheads Batch Mvnt'!I5</f>
        <v>1072</v>
      </c>
      <c r="AG54" s="1226">
        <f t="shared" si="21"/>
        <v>0</v>
      </c>
      <c r="AH54" s="1362">
        <f t="shared" si="20"/>
        <v>4</v>
      </c>
      <c r="AI54" s="471"/>
      <c r="AJ54" s="471"/>
      <c r="AK54" s="502"/>
      <c r="AL54" s="471"/>
      <c r="AM54" s="471"/>
      <c r="AN54" s="501"/>
      <c r="AO54" s="471"/>
      <c r="AP54" s="471"/>
      <c r="AQ54" s="471"/>
      <c r="AR54" s="464"/>
      <c r="AT54" s="464"/>
      <c r="AU54" s="471"/>
      <c r="AV54" s="471"/>
      <c r="AY54" s="471"/>
      <c r="AZ54" s="471"/>
      <c r="BA54" s="471"/>
      <c r="BB54" s="471"/>
      <c r="BC54" s="471"/>
      <c r="BD54" s="464"/>
      <c r="BE54" s="464"/>
      <c r="BF54" s="471"/>
      <c r="BG54" s="464"/>
      <c r="BH54" s="471"/>
      <c r="BI54" s="471"/>
      <c r="BJ54" s="471"/>
      <c r="BK54" s="501"/>
      <c r="BL54" s="540"/>
      <c r="BM54" s="491"/>
      <c r="BN54" s="482"/>
      <c r="BO54" s="464">
        <f>SUM(BH54:BN54)</f>
        <v>0</v>
      </c>
      <c r="BP54" s="463"/>
      <c r="BQ54" s="482">
        <v>-460</v>
      </c>
      <c r="BR54" s="491">
        <f t="shared" si="19"/>
        <v>-460</v>
      </c>
      <c r="BS54" s="482"/>
      <c r="BT54" s="482"/>
      <c r="BU54" s="482"/>
      <c r="BV54" s="469"/>
      <c r="BW54" s="469"/>
      <c r="BX54" s="469"/>
      <c r="CC54" s="510"/>
    </row>
    <row r="55" spans="1:85" ht="15" thickBot="1">
      <c r="A55" s="1266" t="s">
        <v>113</v>
      </c>
      <c r="B55" s="1524" t="s">
        <v>242</v>
      </c>
      <c r="C55" s="1196">
        <v>10</v>
      </c>
      <c r="D55" s="1255"/>
      <c r="E55" s="1312"/>
      <c r="F55" s="1255"/>
      <c r="G55" s="1227"/>
      <c r="H55" s="1227"/>
      <c r="I55" s="1227"/>
      <c r="J55" s="1227"/>
      <c r="K55" s="1227"/>
      <c r="L55" s="1256"/>
      <c r="M55" s="1248">
        <f t="shared" si="22"/>
        <v>10</v>
      </c>
      <c r="N55" s="1267"/>
      <c r="O55" s="1228"/>
      <c r="P55" s="1228"/>
      <c r="Q55" s="1228"/>
      <c r="R55" s="1228"/>
      <c r="S55" s="1228"/>
      <c r="T55" s="1228"/>
      <c r="U55" s="1228"/>
      <c r="V55" s="1228"/>
      <c r="W55" s="1228"/>
      <c r="X55" s="1228"/>
      <c r="Y55" s="1228"/>
      <c r="Z55" s="1228">
        <v>-1</v>
      </c>
      <c r="AA55" s="1228"/>
      <c r="AB55" s="1228"/>
      <c r="AC55" s="1228"/>
      <c r="AD55" s="1233">
        <f t="shared" si="18"/>
        <v>-1</v>
      </c>
      <c r="AE55" s="1198">
        <f t="shared" ref="AE55" si="23">+M55+AD55</f>
        <v>9</v>
      </c>
      <c r="AF55" s="1196">
        <f>+'Lionheads Batch Mvnt'!I4</f>
        <v>9</v>
      </c>
      <c r="AG55" s="1229">
        <f>AF55-AE55</f>
        <v>0</v>
      </c>
      <c r="AH55" s="1362">
        <f t="shared" si="20"/>
        <v>-1</v>
      </c>
      <c r="AI55" s="471"/>
      <c r="AJ55" s="471"/>
      <c r="AK55" s="502"/>
      <c r="AL55" s="471"/>
      <c r="AM55" s="471"/>
      <c r="AN55" s="501"/>
      <c r="AO55" s="471"/>
      <c r="AP55" s="471"/>
      <c r="AQ55" s="471"/>
      <c r="AR55" s="471"/>
      <c r="AT55" s="471"/>
      <c r="AU55" s="471"/>
      <c r="AV55" s="471"/>
      <c r="AY55" s="471"/>
      <c r="AZ55" s="471"/>
      <c r="BA55" s="471"/>
      <c r="BB55" s="471"/>
      <c r="BC55" s="471"/>
      <c r="BD55" s="471"/>
      <c r="BE55" s="471"/>
      <c r="BF55" s="471"/>
      <c r="BG55" s="471"/>
      <c r="BH55" s="471"/>
      <c r="BI55" s="471"/>
      <c r="BJ55" s="471"/>
      <c r="BK55" s="501"/>
      <c r="BL55" s="540"/>
      <c r="BM55" s="491"/>
      <c r="BN55" s="482"/>
      <c r="BO55" s="464">
        <f>SUM(BH55:BN55)</f>
        <v>0</v>
      </c>
      <c r="BP55" s="463"/>
      <c r="BQ55" s="482">
        <v>-479</v>
      </c>
      <c r="BR55" s="491">
        <f t="shared" si="19"/>
        <v>-479</v>
      </c>
      <c r="BS55" s="482"/>
      <c r="BT55" s="482"/>
      <c r="BU55" s="482"/>
      <c r="BV55" s="482"/>
      <c r="BW55" s="482"/>
      <c r="BX55" s="469"/>
      <c r="BZ55" s="510"/>
      <c r="CA55" s="510"/>
      <c r="CB55" s="510"/>
      <c r="CC55" s="510"/>
    </row>
    <row r="56" spans="1:85" ht="15" thickBot="1">
      <c r="A56" s="541" t="s">
        <v>115</v>
      </c>
      <c r="B56" s="542"/>
      <c r="C56" s="518">
        <f>SUM(C50:C55)</f>
        <v>14994</v>
      </c>
      <c r="D56" s="519">
        <f>SUM(D50:D55)</f>
        <v>5143</v>
      </c>
      <c r="E56" s="519">
        <f t="shared" ref="E56:J56" si="24">SUM(E50:E55)</f>
        <v>0</v>
      </c>
      <c r="F56" s="1138">
        <f t="shared" si="24"/>
        <v>0</v>
      </c>
      <c r="G56" s="1138">
        <f t="shared" si="24"/>
        <v>0</v>
      </c>
      <c r="H56" s="1138">
        <f t="shared" si="24"/>
        <v>0</v>
      </c>
      <c r="I56" s="1138">
        <f t="shared" si="24"/>
        <v>0</v>
      </c>
      <c r="J56" s="1138">
        <f t="shared" si="24"/>
        <v>2928</v>
      </c>
      <c r="K56" s="1138">
        <f>SUM(K50:K55)</f>
        <v>0</v>
      </c>
      <c r="L56" s="1138">
        <f>SUM(L50:L55)</f>
        <v>43</v>
      </c>
      <c r="M56" s="519">
        <f>SUM(M50:M55)</f>
        <v>23108</v>
      </c>
      <c r="N56" s="1142">
        <f>SUM(N50:N55)</f>
        <v>-5143</v>
      </c>
      <c r="O56" s="1143">
        <f t="shared" ref="O56:AE56" si="25">SUM(O50:O55)</f>
        <v>0</v>
      </c>
      <c r="P56" s="1143">
        <f t="shared" si="25"/>
        <v>-120</v>
      </c>
      <c r="Q56" s="1143">
        <f t="shared" si="25"/>
        <v>0</v>
      </c>
      <c r="R56" s="1143">
        <f t="shared" si="25"/>
        <v>0</v>
      </c>
      <c r="S56" s="1143">
        <f t="shared" si="25"/>
        <v>0</v>
      </c>
      <c r="T56" s="1143">
        <f>SUM(T50:T55)</f>
        <v>0</v>
      </c>
      <c r="U56" s="1143">
        <f>SUM(U50:U55)</f>
        <v>0</v>
      </c>
      <c r="V56" s="1143"/>
      <c r="W56" s="1143">
        <f t="shared" si="25"/>
        <v>-378</v>
      </c>
      <c r="X56" s="1143">
        <f>SUM(X50:X55)</f>
        <v>-2466</v>
      </c>
      <c r="Y56" s="1143">
        <f t="shared" si="25"/>
        <v>-5</v>
      </c>
      <c r="Z56" s="1143">
        <f t="shared" si="25"/>
        <v>-24</v>
      </c>
      <c r="AA56" s="1143">
        <f>SUM(AA50:AA55)</f>
        <v>0</v>
      </c>
      <c r="AB56" s="1143">
        <f t="shared" si="25"/>
        <v>0</v>
      </c>
      <c r="AC56" s="1143">
        <f t="shared" si="25"/>
        <v>0</v>
      </c>
      <c r="AD56" s="519">
        <f t="shared" si="25"/>
        <v>-8136</v>
      </c>
      <c r="AE56" s="519">
        <f t="shared" si="25"/>
        <v>14972</v>
      </c>
      <c r="AF56" s="519">
        <f>SUM(AF50:AF55)</f>
        <v>14972</v>
      </c>
      <c r="AG56" s="1144">
        <f t="shared" si="21"/>
        <v>0</v>
      </c>
      <c r="AH56" s="1362">
        <f t="shared" si="20"/>
        <v>-22</v>
      </c>
      <c r="AI56" s="471"/>
      <c r="AJ56" s="471"/>
      <c r="AK56" s="502"/>
      <c r="AL56" s="471"/>
      <c r="AM56" s="471"/>
      <c r="AN56" s="501"/>
      <c r="AO56" s="471"/>
      <c r="AP56" s="471"/>
      <c r="AQ56" s="471"/>
      <c r="AR56" s="471"/>
      <c r="AT56" s="471"/>
      <c r="AU56" s="471"/>
      <c r="AV56" s="471"/>
      <c r="AY56" s="471"/>
      <c r="AZ56" s="471"/>
      <c r="BA56" s="471"/>
      <c r="BB56" s="471"/>
      <c r="BC56" s="471"/>
      <c r="BD56" s="471"/>
      <c r="BE56" s="471"/>
      <c r="BF56" s="471"/>
      <c r="BG56" s="471"/>
      <c r="BH56" s="471"/>
      <c r="BI56" s="471"/>
      <c r="BJ56" s="471"/>
      <c r="BK56" s="501"/>
      <c r="BL56" s="501"/>
      <c r="BM56" s="491"/>
      <c r="BN56" s="482"/>
      <c r="BO56" s="464">
        <f>SUM(BH56:BN56)</f>
        <v>0</v>
      </c>
      <c r="BP56" s="482"/>
      <c r="BQ56" s="482">
        <f>SUM(BQ50:BQ55)</f>
        <v>-2368</v>
      </c>
      <c r="BR56" s="491">
        <f>+BR55</f>
        <v>-479</v>
      </c>
      <c r="BS56" s="482"/>
      <c r="BT56" s="482"/>
      <c r="BU56" s="482"/>
      <c r="BV56" s="540"/>
      <c r="BW56" s="469"/>
      <c r="BX56" s="469"/>
      <c r="BZ56" s="510"/>
      <c r="CA56" s="510"/>
      <c r="CB56" s="510"/>
      <c r="CC56" s="510"/>
    </row>
    <row r="57" spans="1:85">
      <c r="C57" s="482">
        <v>14956</v>
      </c>
      <c r="D57" s="482">
        <f>+SUM(D56:I56)+SUM(N56:T56)+K56</f>
        <v>-120</v>
      </c>
      <c r="E57" s="491"/>
      <c r="F57" s="491"/>
      <c r="G57" s="491"/>
      <c r="H57" s="491"/>
      <c r="I57" s="491"/>
      <c r="J57" s="491"/>
      <c r="K57" s="491"/>
      <c r="L57" s="491"/>
      <c r="M57" s="523"/>
      <c r="N57" s="522">
        <f>+D56+N56</f>
        <v>0</v>
      </c>
      <c r="O57" s="491"/>
      <c r="Q57" s="491"/>
      <c r="R57" s="491"/>
      <c r="S57" s="491"/>
      <c r="T57" s="491"/>
      <c r="U57" s="491"/>
      <c r="V57" s="491"/>
      <c r="W57" s="491"/>
      <c r="X57" s="491"/>
      <c r="Y57" s="491"/>
      <c r="Z57" s="491"/>
      <c r="AA57" s="491"/>
      <c r="AB57" s="491"/>
      <c r="AF57" s="515">
        <f>AE56</f>
        <v>14972</v>
      </c>
      <c r="AH57" s="471"/>
      <c r="AI57" s="471"/>
      <c r="AJ57" s="471"/>
      <c r="AK57" s="502"/>
      <c r="AL57" s="543"/>
      <c r="AM57" s="543"/>
      <c r="AO57" s="543"/>
      <c r="AP57" s="543"/>
      <c r="AQ57" s="543"/>
      <c r="AR57" s="543"/>
      <c r="AS57" s="543"/>
      <c r="AT57" s="543"/>
      <c r="AU57" s="543"/>
      <c r="AV57" s="543"/>
      <c r="AW57" s="543"/>
      <c r="AX57" s="543"/>
      <c r="AY57" s="543"/>
      <c r="AZ57" s="543"/>
      <c r="BA57" s="543"/>
      <c r="BB57" s="543"/>
      <c r="BC57" s="543"/>
      <c r="BD57" s="543"/>
      <c r="BE57" s="543"/>
      <c r="BF57" s="471"/>
      <c r="BG57" s="471"/>
      <c r="BH57" s="471"/>
      <c r="BI57" s="471"/>
      <c r="BJ57" s="471"/>
      <c r="BK57" s="471"/>
      <c r="BL57" s="471"/>
      <c r="BM57" s="471"/>
      <c r="BN57" s="471"/>
      <c r="BO57" s="482"/>
      <c r="BP57" s="491"/>
      <c r="BQ57" s="482"/>
      <c r="BR57" s="464">
        <f>SUM(BK57:BQ57)</f>
        <v>0</v>
      </c>
      <c r="BS57" s="463">
        <v>-8</v>
      </c>
      <c r="BT57" s="490">
        <v>0</v>
      </c>
      <c r="BU57" s="491">
        <f>SUM(BP57:BT57)</f>
        <v>-8</v>
      </c>
      <c r="BV57" s="482"/>
      <c r="BW57" s="482"/>
      <c r="BX57" s="482"/>
      <c r="BY57" s="482"/>
      <c r="CB57" s="510"/>
      <c r="CC57" s="510"/>
      <c r="CD57" s="510"/>
      <c r="CE57" s="510"/>
      <c r="CF57" s="510"/>
    </row>
    <row r="58" spans="1:85">
      <c r="C58" s="482" t="s">
        <v>223</v>
      </c>
      <c r="D58" s="491">
        <f>+F133+P133</f>
        <v>0</v>
      </c>
      <c r="E58" s="491">
        <f>+D138</f>
        <v>0</v>
      </c>
      <c r="F58" s="491">
        <f t="shared" ref="F58:F63" si="26">+D58+E58</f>
        <v>0</v>
      </c>
      <c r="G58" s="491"/>
      <c r="H58" s="491"/>
      <c r="I58" s="491"/>
      <c r="J58" s="491"/>
      <c r="K58" s="491"/>
      <c r="L58" s="491"/>
      <c r="M58" s="523"/>
      <c r="N58" s="491"/>
      <c r="O58" s="491"/>
      <c r="Q58" s="491"/>
      <c r="R58" s="491"/>
      <c r="S58" s="491"/>
      <c r="T58" s="491"/>
      <c r="U58" s="491"/>
      <c r="V58" s="491"/>
      <c r="W58" s="491"/>
      <c r="X58" s="491"/>
      <c r="Y58" s="491"/>
      <c r="Z58" s="491"/>
      <c r="AA58" s="491"/>
      <c r="AB58" s="491"/>
      <c r="AF58" s="525">
        <f>+AF56-AF57</f>
        <v>0</v>
      </c>
      <c r="AH58" s="471"/>
      <c r="AI58" s="471"/>
      <c r="AJ58" s="471"/>
      <c r="AK58" s="502"/>
      <c r="AL58" s="543"/>
      <c r="AM58" s="543"/>
      <c r="AO58" s="543"/>
      <c r="AP58" s="543"/>
      <c r="AQ58" s="543"/>
      <c r="AR58" s="543"/>
      <c r="AS58" s="543"/>
      <c r="AT58" s="543"/>
      <c r="AU58" s="543"/>
      <c r="AV58" s="543"/>
      <c r="AW58" s="543"/>
      <c r="AX58" s="543"/>
      <c r="AY58" s="543"/>
      <c r="AZ58" s="543"/>
      <c r="BA58" s="543"/>
      <c r="BB58" s="543"/>
      <c r="BC58" s="543"/>
      <c r="BD58" s="543"/>
      <c r="BE58" s="543"/>
      <c r="BF58" s="471"/>
      <c r="BG58" s="471"/>
      <c r="BH58" s="471"/>
      <c r="BI58" s="471"/>
      <c r="BJ58" s="471"/>
      <c r="BK58" s="471"/>
      <c r="BL58" s="471"/>
      <c r="BM58" s="471"/>
      <c r="BN58" s="471"/>
      <c r="BO58" s="482"/>
      <c r="BP58" s="491"/>
      <c r="BQ58" s="482"/>
      <c r="BR58" s="464"/>
      <c r="BS58" s="463"/>
      <c r="BT58" s="490"/>
      <c r="BU58" s="491"/>
      <c r="BV58" s="482"/>
      <c r="BW58" s="482"/>
      <c r="BX58" s="482"/>
      <c r="BY58" s="482"/>
      <c r="CB58" s="510"/>
      <c r="CC58" s="510"/>
      <c r="CD58" s="510"/>
      <c r="CE58" s="510"/>
      <c r="CF58" s="510"/>
    </row>
    <row r="59" spans="1:85">
      <c r="B59" s="491"/>
      <c r="C59" s="491" t="s">
        <v>127</v>
      </c>
      <c r="D59" s="491">
        <f>+E18+O18</f>
        <v>0</v>
      </c>
      <c r="E59" s="491">
        <f>+D22</f>
        <v>0</v>
      </c>
      <c r="F59" s="491">
        <f t="shared" si="26"/>
        <v>0</v>
      </c>
      <c r="G59" s="491"/>
      <c r="H59" s="491"/>
      <c r="I59" s="491"/>
      <c r="J59" s="491"/>
      <c r="K59" s="491"/>
      <c r="L59" s="491"/>
      <c r="M59" s="523"/>
      <c r="O59" s="491"/>
      <c r="Q59" s="491"/>
      <c r="R59" s="491"/>
      <c r="S59" s="491"/>
      <c r="T59" s="491"/>
      <c r="U59" s="491"/>
      <c r="V59" s="491"/>
      <c r="W59" s="491"/>
      <c r="X59" s="491"/>
      <c r="Y59" s="491"/>
      <c r="Z59" s="491"/>
      <c r="AA59" s="491"/>
      <c r="AB59" s="491"/>
      <c r="AF59" s="515"/>
      <c r="AH59" s="471"/>
      <c r="AI59" s="471"/>
      <c r="AJ59" s="471"/>
      <c r="AK59" s="502"/>
      <c r="AL59" s="543"/>
      <c r="AM59" s="543"/>
      <c r="AO59" s="543"/>
      <c r="AP59" s="543"/>
      <c r="AQ59" s="543"/>
      <c r="AR59" s="543"/>
      <c r="AS59" s="543"/>
      <c r="AT59" s="543"/>
      <c r="AU59" s="543"/>
      <c r="AV59" s="543"/>
      <c r="AW59" s="543"/>
      <c r="AX59" s="543"/>
      <c r="AY59" s="543"/>
      <c r="AZ59" s="543"/>
      <c r="BA59" s="543"/>
      <c r="BB59" s="543"/>
      <c r="BC59" s="543"/>
      <c r="BD59" s="543"/>
      <c r="BE59" s="543"/>
      <c r="BF59" s="471"/>
      <c r="BG59" s="471"/>
      <c r="BH59" s="471"/>
      <c r="BI59" s="471"/>
      <c r="BJ59" s="471"/>
      <c r="BK59" s="471"/>
      <c r="BL59" s="471"/>
      <c r="BM59" s="471"/>
      <c r="BN59" s="471"/>
      <c r="BO59" s="482"/>
      <c r="BP59" s="491"/>
      <c r="BQ59" s="482"/>
      <c r="BR59" s="464"/>
      <c r="BS59" s="463"/>
      <c r="BT59" s="490"/>
      <c r="BU59" s="491"/>
      <c r="BV59" s="482"/>
      <c r="BW59" s="482"/>
      <c r="BX59" s="482"/>
      <c r="BY59" s="482"/>
      <c r="CB59" s="510"/>
      <c r="CC59" s="510"/>
      <c r="CD59" s="510"/>
      <c r="CE59" s="510"/>
      <c r="CF59" s="510"/>
    </row>
    <row r="60" spans="1:85">
      <c r="B60" s="491"/>
      <c r="C60" s="491" t="s">
        <v>190</v>
      </c>
      <c r="D60" s="491">
        <f>+E37+O37</f>
        <v>0</v>
      </c>
      <c r="E60" s="491">
        <f>+D41</f>
        <v>0</v>
      </c>
      <c r="F60" s="491">
        <f t="shared" si="26"/>
        <v>0</v>
      </c>
      <c r="G60" s="491"/>
      <c r="H60" s="491"/>
      <c r="I60" s="491"/>
      <c r="J60" s="491"/>
      <c r="K60" s="491"/>
      <c r="L60" s="491"/>
      <c r="M60" s="523"/>
      <c r="O60" s="491"/>
      <c r="Q60" s="491"/>
      <c r="R60" s="491"/>
      <c r="S60" s="491"/>
      <c r="T60" s="491"/>
      <c r="U60" s="491"/>
      <c r="V60" s="491"/>
      <c r="W60" s="491"/>
      <c r="X60" s="491"/>
      <c r="Y60" s="491"/>
      <c r="Z60" s="491"/>
      <c r="AA60" s="491"/>
      <c r="AB60" s="491"/>
      <c r="AF60" s="515"/>
      <c r="AH60" s="471"/>
      <c r="AI60" s="471"/>
      <c r="AJ60" s="471"/>
      <c r="AK60" s="502"/>
      <c r="AL60" s="543"/>
      <c r="AM60" s="543"/>
      <c r="AO60" s="543"/>
      <c r="AP60" s="543"/>
      <c r="AQ60" s="543"/>
      <c r="AR60" s="543"/>
      <c r="AS60" s="543"/>
      <c r="AT60" s="543"/>
      <c r="AU60" s="543"/>
      <c r="AV60" s="543"/>
      <c r="AW60" s="543"/>
      <c r="AX60" s="543"/>
      <c r="AY60" s="543"/>
      <c r="AZ60" s="543"/>
      <c r="BA60" s="543"/>
      <c r="BB60" s="543"/>
      <c r="BC60" s="543"/>
      <c r="BD60" s="543"/>
      <c r="BE60" s="543"/>
      <c r="BF60" s="471"/>
      <c r="BG60" s="471"/>
      <c r="BH60" s="471"/>
      <c r="BI60" s="471"/>
      <c r="BJ60" s="471"/>
      <c r="BK60" s="471"/>
      <c r="BL60" s="471"/>
      <c r="BM60" s="471"/>
      <c r="BN60" s="471"/>
      <c r="BO60" s="482"/>
      <c r="BP60" s="491"/>
      <c r="BQ60" s="482"/>
      <c r="BR60" s="464"/>
      <c r="BS60" s="463"/>
      <c r="BT60" s="490"/>
      <c r="BU60" s="491"/>
      <c r="BV60" s="482"/>
      <c r="BW60" s="482"/>
      <c r="BX60" s="482"/>
      <c r="BY60" s="482"/>
      <c r="CB60" s="510"/>
      <c r="CC60" s="510"/>
      <c r="CD60" s="510"/>
      <c r="CE60" s="510"/>
      <c r="CF60" s="510"/>
    </row>
    <row r="61" spans="1:85">
      <c r="C61" s="491" t="s">
        <v>238</v>
      </c>
      <c r="D61" s="491">
        <f>+F75+P75</f>
        <v>119</v>
      </c>
      <c r="E61" s="491">
        <f>+D80</f>
        <v>-120</v>
      </c>
      <c r="F61" s="491">
        <f t="shared" si="26"/>
        <v>-1</v>
      </c>
      <c r="G61" s="491"/>
      <c r="H61" s="491"/>
      <c r="I61" s="491"/>
      <c r="J61" s="491"/>
      <c r="K61" s="491"/>
      <c r="L61" s="491"/>
      <c r="M61" s="523"/>
      <c r="O61" s="491"/>
      <c r="Q61" s="491"/>
      <c r="R61" s="491"/>
      <c r="S61" s="491"/>
      <c r="T61" s="491"/>
      <c r="U61" s="491"/>
      <c r="V61" s="491"/>
      <c r="W61" s="491"/>
      <c r="X61" s="491"/>
      <c r="Y61" s="491"/>
      <c r="Z61" s="491"/>
      <c r="AA61" s="491"/>
      <c r="AB61" s="491"/>
      <c r="AF61" s="515"/>
      <c r="AH61" s="471"/>
      <c r="AI61" s="471"/>
      <c r="AJ61" s="471"/>
      <c r="AK61" s="502"/>
      <c r="AL61" s="543"/>
      <c r="AM61" s="543"/>
      <c r="AO61" s="543"/>
      <c r="AP61" s="543"/>
      <c r="AQ61" s="543"/>
      <c r="AR61" s="543"/>
      <c r="AS61" s="543"/>
      <c r="AT61" s="543"/>
      <c r="AU61" s="543"/>
      <c r="AV61" s="543"/>
      <c r="AW61" s="543"/>
      <c r="AX61" s="543"/>
      <c r="AY61" s="543"/>
      <c r="AZ61" s="543"/>
      <c r="BA61" s="543"/>
      <c r="BB61" s="543"/>
      <c r="BC61" s="543"/>
      <c r="BD61" s="543"/>
      <c r="BE61" s="543"/>
      <c r="BF61" s="471"/>
      <c r="BG61" s="471"/>
      <c r="BH61" s="471"/>
      <c r="BI61" s="471"/>
      <c r="BJ61" s="471"/>
      <c r="BK61" s="471"/>
      <c r="BL61" s="471"/>
      <c r="BM61" s="471"/>
      <c r="BN61" s="471"/>
      <c r="BO61" s="482"/>
      <c r="BP61" s="491"/>
      <c r="BQ61" s="482"/>
      <c r="BR61" s="464"/>
      <c r="BS61" s="463"/>
      <c r="BT61" s="490"/>
      <c r="BU61" s="491"/>
      <c r="BV61" s="482"/>
      <c r="BW61" s="482"/>
      <c r="BX61" s="482"/>
      <c r="BY61" s="482"/>
      <c r="CB61" s="510"/>
      <c r="CC61" s="510"/>
      <c r="CD61" s="510"/>
      <c r="CE61" s="510"/>
      <c r="CF61" s="510"/>
    </row>
    <row r="62" spans="1:85">
      <c r="C62" s="491" t="s">
        <v>214</v>
      </c>
      <c r="D62" s="491">
        <f>+F95+P95</f>
        <v>0</v>
      </c>
      <c r="E62" s="491">
        <f>+D99</f>
        <v>0</v>
      </c>
      <c r="F62" s="491">
        <f t="shared" si="26"/>
        <v>0</v>
      </c>
      <c r="G62" s="491"/>
      <c r="H62" s="491"/>
      <c r="I62" s="491"/>
      <c r="J62" s="491"/>
      <c r="K62" s="491"/>
      <c r="L62" s="491"/>
      <c r="M62" s="523"/>
      <c r="O62" s="491"/>
      <c r="Q62" s="491"/>
      <c r="R62" s="491"/>
      <c r="S62" s="491"/>
      <c r="T62" s="491"/>
      <c r="U62" s="491"/>
      <c r="V62" s="491"/>
      <c r="W62" s="491"/>
      <c r="X62" s="491"/>
      <c r="Y62" s="491"/>
      <c r="Z62" s="491"/>
      <c r="AA62" s="491"/>
      <c r="AB62" s="491"/>
      <c r="AF62" s="515"/>
      <c r="AH62" s="471"/>
      <c r="AI62" s="471"/>
      <c r="AJ62" s="471"/>
      <c r="AK62" s="502"/>
      <c r="AL62" s="543"/>
      <c r="AM62" s="543"/>
      <c r="AO62" s="543"/>
      <c r="AP62" s="543"/>
      <c r="AQ62" s="543"/>
      <c r="AR62" s="543"/>
      <c r="AS62" s="543"/>
      <c r="AT62" s="543"/>
      <c r="AU62" s="543"/>
      <c r="AV62" s="543"/>
      <c r="AW62" s="543"/>
      <c r="AX62" s="543"/>
      <c r="AY62" s="543"/>
      <c r="AZ62" s="543"/>
      <c r="BA62" s="543"/>
      <c r="BB62" s="543"/>
      <c r="BC62" s="543"/>
      <c r="BD62" s="543"/>
      <c r="BE62" s="543"/>
      <c r="BF62" s="471"/>
      <c r="BG62" s="471"/>
      <c r="BH62" s="471"/>
      <c r="BI62" s="471"/>
      <c r="BJ62" s="471"/>
      <c r="BK62" s="471"/>
      <c r="BL62" s="471"/>
      <c r="BM62" s="471"/>
      <c r="BN62" s="471"/>
      <c r="BO62" s="482"/>
      <c r="BP62" s="491"/>
      <c r="BQ62" s="482"/>
      <c r="BR62" s="464"/>
      <c r="BS62" s="463"/>
      <c r="BT62" s="490"/>
      <c r="BU62" s="491"/>
      <c r="BV62" s="482"/>
      <c r="BW62" s="482"/>
      <c r="BX62" s="482"/>
      <c r="BY62" s="482"/>
      <c r="CB62" s="510"/>
      <c r="CC62" s="510"/>
      <c r="CD62" s="510"/>
      <c r="CE62" s="510"/>
      <c r="CF62" s="510"/>
    </row>
    <row r="63" spans="1:85">
      <c r="C63" s="491" t="s">
        <v>239</v>
      </c>
      <c r="D63" s="491">
        <f>+F114+P114</f>
        <v>0</v>
      </c>
      <c r="E63" s="491">
        <f>+D120</f>
        <v>0</v>
      </c>
      <c r="F63" s="491">
        <f t="shared" si="26"/>
        <v>0</v>
      </c>
      <c r="G63" s="491"/>
      <c r="H63" s="491"/>
      <c r="I63" s="491"/>
      <c r="J63" s="491"/>
      <c r="K63" s="491"/>
      <c r="L63" s="491"/>
      <c r="M63" s="523"/>
      <c r="O63" s="491"/>
      <c r="Q63" s="491"/>
      <c r="R63" s="491"/>
      <c r="S63" s="491"/>
      <c r="T63" s="491"/>
      <c r="U63" s="491"/>
      <c r="V63" s="491"/>
      <c r="W63" s="491"/>
      <c r="X63" s="491"/>
      <c r="Y63" s="491"/>
      <c r="Z63" s="491"/>
      <c r="AA63" s="491"/>
      <c r="AB63" s="491"/>
      <c r="AF63" s="515"/>
      <c r="AG63" s="469">
        <f>205+863</f>
        <v>1068</v>
      </c>
      <c r="AH63" s="471"/>
      <c r="AI63" s="471"/>
      <c r="AJ63" s="471"/>
      <c r="AK63" s="502"/>
      <c r="AL63" s="543"/>
      <c r="AM63" s="543"/>
      <c r="AO63" s="543"/>
      <c r="AP63" s="543"/>
      <c r="AQ63" s="543"/>
      <c r="AR63" s="543"/>
      <c r="AS63" s="543"/>
      <c r="AT63" s="543"/>
      <c r="AU63" s="543"/>
      <c r="AV63" s="543"/>
      <c r="AW63" s="543"/>
      <c r="AX63" s="543"/>
      <c r="AY63" s="543"/>
      <c r="AZ63" s="543"/>
      <c r="BA63" s="543"/>
      <c r="BB63" s="543"/>
      <c r="BC63" s="543"/>
      <c r="BD63" s="543"/>
      <c r="BE63" s="543"/>
      <c r="BF63" s="471"/>
      <c r="BG63" s="471"/>
      <c r="BH63" s="471"/>
      <c r="BI63" s="471"/>
      <c r="BJ63" s="471"/>
      <c r="BK63" s="471"/>
      <c r="BL63" s="471"/>
      <c r="BM63" s="471"/>
      <c r="BN63" s="471"/>
      <c r="BO63" s="482"/>
      <c r="BP63" s="491"/>
      <c r="BQ63" s="482"/>
      <c r="BR63" s="464"/>
      <c r="BS63" s="463"/>
      <c r="BT63" s="490"/>
      <c r="BU63" s="491"/>
      <c r="BV63" s="482"/>
      <c r="BW63" s="482"/>
      <c r="BX63" s="482"/>
      <c r="BY63" s="482"/>
      <c r="CB63" s="510"/>
      <c r="CC63" s="510"/>
      <c r="CD63" s="510"/>
      <c r="CE63" s="510"/>
      <c r="CF63" s="510"/>
    </row>
    <row r="64" spans="1:85">
      <c r="C64" s="491" t="s">
        <v>225</v>
      </c>
      <c r="D64" s="491"/>
      <c r="E64" s="491"/>
      <c r="F64" s="491"/>
      <c r="G64" s="491"/>
      <c r="H64" s="491"/>
      <c r="I64" s="491"/>
      <c r="J64" s="491"/>
      <c r="K64" s="491"/>
      <c r="L64" s="491"/>
      <c r="M64" s="523"/>
      <c r="O64" s="491"/>
      <c r="Q64" s="491"/>
      <c r="R64" s="491"/>
      <c r="S64" s="491"/>
      <c r="T64" s="491"/>
      <c r="U64" s="491"/>
      <c r="V64" s="491"/>
      <c r="W64" s="491"/>
      <c r="X64" s="491"/>
      <c r="Y64" s="491"/>
      <c r="Z64" s="491"/>
      <c r="AA64" s="491"/>
      <c r="AB64" s="491"/>
      <c r="AF64" s="515"/>
      <c r="AH64" s="471"/>
      <c r="AI64" s="471"/>
      <c r="AJ64" s="471"/>
      <c r="AK64" s="502"/>
      <c r="AL64" s="543"/>
      <c r="AM64" s="543"/>
      <c r="AO64" s="543"/>
      <c r="AP64" s="543"/>
      <c r="AQ64" s="543"/>
      <c r="AR64" s="543"/>
      <c r="AS64" s="543"/>
      <c r="AT64" s="543"/>
      <c r="AU64" s="543"/>
      <c r="AV64" s="543"/>
      <c r="AW64" s="543"/>
      <c r="AX64" s="543"/>
      <c r="AY64" s="543"/>
      <c r="AZ64" s="543"/>
      <c r="BA64" s="543"/>
      <c r="BB64" s="543"/>
      <c r="BC64" s="543"/>
      <c r="BD64" s="543"/>
      <c r="BE64" s="543"/>
      <c r="BF64" s="471"/>
      <c r="BG64" s="471"/>
      <c r="BH64" s="471"/>
      <c r="BI64" s="471"/>
      <c r="BJ64" s="471"/>
      <c r="BK64" s="471"/>
      <c r="BL64" s="471"/>
      <c r="BM64" s="471"/>
      <c r="BN64" s="471"/>
      <c r="BO64" s="482"/>
      <c r="BP64" s="491"/>
      <c r="BQ64" s="482"/>
      <c r="BR64" s="464"/>
      <c r="BS64" s="463"/>
      <c r="BT64" s="490"/>
      <c r="BU64" s="491"/>
      <c r="BV64" s="482"/>
      <c r="BW64" s="482"/>
      <c r="BX64" s="482"/>
      <c r="BY64" s="482"/>
      <c r="CB64" s="510"/>
      <c r="CC64" s="510"/>
      <c r="CD64" s="510"/>
      <c r="CE64" s="510"/>
      <c r="CF64" s="510"/>
    </row>
    <row r="65" spans="1:84">
      <c r="A65" s="469" t="s">
        <v>138</v>
      </c>
      <c r="C65" s="522">
        <f>+C56-C57</f>
        <v>38</v>
      </c>
      <c r="D65" s="522">
        <f>SUM(D57:D63)</f>
        <v>-1</v>
      </c>
      <c r="E65" s="491"/>
      <c r="F65" s="491"/>
      <c r="G65" s="491"/>
      <c r="H65" s="491"/>
      <c r="I65" s="491"/>
      <c r="J65" s="491"/>
      <c r="K65" s="491"/>
      <c r="L65" s="491"/>
      <c r="M65" s="523"/>
      <c r="O65" s="491"/>
      <c r="Q65" s="491"/>
      <c r="R65" s="491"/>
      <c r="S65" s="491"/>
      <c r="T65" s="491"/>
      <c r="U65" s="491"/>
      <c r="V65" s="491"/>
      <c r="W65" s="491"/>
      <c r="X65" s="491"/>
      <c r="Y65" s="491"/>
      <c r="Z65" s="491"/>
      <c r="AA65" s="491"/>
      <c r="AB65" s="491"/>
      <c r="AC65" s="544"/>
      <c r="AD65" s="491"/>
      <c r="AE65" s="491"/>
      <c r="AF65" s="515"/>
      <c r="AH65" s="471"/>
      <c r="AI65" s="471"/>
      <c r="AJ65" s="471"/>
      <c r="AK65" s="502"/>
      <c r="AL65" s="543"/>
      <c r="AM65" s="543"/>
      <c r="AO65" s="543"/>
      <c r="AP65" s="543"/>
      <c r="AQ65" s="543"/>
      <c r="AR65" s="543"/>
      <c r="AS65" s="543"/>
      <c r="AT65" s="543"/>
      <c r="AU65" s="543"/>
      <c r="AV65" s="543"/>
      <c r="AW65" s="543"/>
      <c r="AX65" s="543"/>
      <c r="AY65" s="543"/>
      <c r="AZ65" s="543"/>
      <c r="BA65" s="543"/>
      <c r="BB65" s="543"/>
      <c r="BC65" s="543"/>
      <c r="BD65" s="543"/>
      <c r="BE65" s="543"/>
      <c r="BF65" s="471"/>
      <c r="BG65" s="471"/>
      <c r="BH65" s="471"/>
      <c r="BI65" s="471"/>
      <c r="BJ65" s="471"/>
      <c r="BK65" s="471"/>
      <c r="BL65" s="471"/>
      <c r="BM65" s="471"/>
      <c r="BN65" s="471"/>
      <c r="BO65" s="482"/>
      <c r="BP65" s="491"/>
      <c r="BQ65" s="482"/>
      <c r="BR65" s="464">
        <f>SUM(BK65:BQ65)</f>
        <v>0</v>
      </c>
      <c r="BS65" s="463">
        <v>-43</v>
      </c>
      <c r="BT65" s="490">
        <v>-481</v>
      </c>
      <c r="BU65" s="491">
        <f>SUM(BP65:BT65)</f>
        <v>-524</v>
      </c>
      <c r="BV65" s="482"/>
      <c r="BW65" s="482"/>
      <c r="BX65" s="482"/>
      <c r="BY65" s="510"/>
      <c r="BZ65" s="510"/>
      <c r="CA65" s="510"/>
      <c r="CB65" s="510"/>
      <c r="CC65" s="510"/>
      <c r="CD65" s="510"/>
      <c r="CE65" s="510"/>
      <c r="CF65" s="510"/>
    </row>
    <row r="66" spans="1:84" ht="15" thickBot="1">
      <c r="A66" s="463"/>
      <c r="B66" s="463"/>
      <c r="C66" s="487"/>
      <c r="D66" s="464"/>
      <c r="E66" s="464"/>
      <c r="F66" s="464"/>
      <c r="G66" s="464"/>
      <c r="H66" s="464"/>
      <c r="I66" s="464"/>
      <c r="J66" s="464"/>
      <c r="K66" s="464"/>
      <c r="L66" s="464"/>
      <c r="M66" s="491"/>
      <c r="N66" s="491"/>
      <c r="Q66" s="464"/>
      <c r="R66" s="464"/>
      <c r="S66" s="464"/>
      <c r="T66" s="464"/>
      <c r="U66" s="464"/>
      <c r="V66" s="464"/>
      <c r="W66" s="464"/>
      <c r="X66" s="464"/>
      <c r="Y66" s="464"/>
      <c r="Z66" s="464"/>
      <c r="AA66" s="464"/>
      <c r="AB66" s="491"/>
      <c r="AC66" s="491"/>
      <c r="AG66" s="491"/>
      <c r="AJ66" s="471"/>
      <c r="AK66" s="502"/>
      <c r="AL66" s="543"/>
      <c r="AM66" s="543"/>
      <c r="AO66" s="543"/>
      <c r="AP66" s="543"/>
      <c r="AQ66" s="543"/>
      <c r="AR66" s="543"/>
      <c r="AS66" s="543"/>
      <c r="AT66" s="543"/>
      <c r="AU66" s="543"/>
      <c r="AV66" s="543"/>
      <c r="AW66" s="543"/>
      <c r="AX66" s="543"/>
      <c r="AY66" s="543"/>
      <c r="AZ66" s="543"/>
      <c r="BA66" s="543"/>
      <c r="BB66" s="543"/>
      <c r="BC66" s="543"/>
      <c r="BD66" s="543"/>
      <c r="BE66" s="543"/>
      <c r="BF66" s="471"/>
      <c r="BG66" s="471"/>
      <c r="BH66" s="471"/>
      <c r="BI66" s="471"/>
      <c r="BJ66" s="471"/>
      <c r="BK66" s="471"/>
      <c r="BL66" s="471"/>
      <c r="BM66" s="471"/>
      <c r="BN66" s="471"/>
      <c r="BO66" s="482"/>
      <c r="BP66" s="491"/>
      <c r="BQ66" s="482"/>
      <c r="BR66" s="464"/>
      <c r="BS66" s="463"/>
      <c r="BT66" s="482"/>
      <c r="BU66" s="491"/>
      <c r="BV66" s="482"/>
      <c r="BW66" s="482"/>
      <c r="BX66" s="482"/>
      <c r="BY66" s="510"/>
      <c r="BZ66" s="510"/>
      <c r="CA66" s="510"/>
      <c r="CB66" s="510"/>
      <c r="CC66" s="510"/>
      <c r="CD66" s="510"/>
      <c r="CE66" s="510"/>
      <c r="CF66" s="510"/>
    </row>
    <row r="67" spans="1:84" ht="15" thickBot="1">
      <c r="A67" s="542" t="s">
        <v>86</v>
      </c>
      <c r="B67" s="1169" t="s">
        <v>246</v>
      </c>
      <c r="C67" s="2131" t="s">
        <v>219</v>
      </c>
      <c r="D67" s="2132"/>
      <c r="E67" s="2132"/>
      <c r="F67" s="2132"/>
      <c r="G67" s="2132"/>
      <c r="H67" s="2132"/>
      <c r="I67" s="2132"/>
      <c r="J67" s="2132"/>
      <c r="K67" s="2132"/>
      <c r="L67" s="2137"/>
      <c r="M67" s="464"/>
      <c r="N67" s="2133" t="s">
        <v>220</v>
      </c>
      <c r="O67" s="2134"/>
      <c r="P67" s="2134"/>
      <c r="Q67" s="2134"/>
      <c r="R67" s="2134"/>
      <c r="S67" s="2134"/>
      <c r="T67" s="2134"/>
      <c r="U67" s="2134"/>
      <c r="V67" s="2134"/>
      <c r="W67" s="2134"/>
      <c r="X67" s="2134"/>
      <c r="Y67" s="2134"/>
      <c r="Z67" s="2134"/>
      <c r="AA67" s="2134"/>
      <c r="AB67" s="2134"/>
      <c r="AC67" s="2135"/>
      <c r="AJ67" s="471"/>
      <c r="AK67" s="502"/>
      <c r="AL67" s="543"/>
      <c r="AM67" s="543"/>
      <c r="AO67" s="543"/>
      <c r="AP67" s="543"/>
      <c r="AQ67" s="543"/>
      <c r="AR67" s="543"/>
      <c r="AS67" s="543"/>
      <c r="AT67" s="543"/>
      <c r="AU67" s="543"/>
      <c r="AV67" s="543"/>
      <c r="AW67" s="543"/>
      <c r="AX67" s="543"/>
      <c r="AY67" s="543"/>
      <c r="AZ67" s="543"/>
      <c r="BA67" s="543"/>
      <c r="BB67" s="543"/>
      <c r="BC67" s="543"/>
      <c r="BD67" s="543"/>
      <c r="BE67" s="543"/>
      <c r="BF67" s="471"/>
      <c r="BG67" s="471"/>
      <c r="BH67" s="471"/>
      <c r="BI67" s="471"/>
      <c r="BJ67" s="471"/>
      <c r="BK67" s="471"/>
      <c r="BL67" s="471"/>
      <c r="BM67" s="471"/>
      <c r="BN67" s="471"/>
      <c r="BO67" s="482"/>
      <c r="BP67" s="491"/>
      <c r="BQ67" s="482"/>
      <c r="BR67" s="464"/>
      <c r="BS67" s="463"/>
      <c r="BT67" s="482"/>
      <c r="BU67" s="491"/>
      <c r="BV67" s="482"/>
      <c r="BW67" s="482"/>
      <c r="BX67" s="482"/>
      <c r="BY67" s="510"/>
      <c r="BZ67" s="510"/>
      <c r="CA67" s="510"/>
      <c r="CB67" s="510"/>
      <c r="CC67" s="510"/>
      <c r="CD67" s="510"/>
      <c r="CE67" s="510"/>
      <c r="CF67" s="510"/>
    </row>
    <row r="68" spans="1:84" ht="29.45" thickBot="1">
      <c r="A68" s="1529" t="s">
        <v>87</v>
      </c>
      <c r="B68" s="528" t="s">
        <v>88</v>
      </c>
      <c r="C68" s="529" t="s">
        <v>221</v>
      </c>
      <c r="D68" s="1523" t="s">
        <v>212</v>
      </c>
      <c r="E68" s="530" t="s">
        <v>127</v>
      </c>
      <c r="F68" s="551" t="s">
        <v>187</v>
      </c>
      <c r="G68" s="551" t="s">
        <v>189</v>
      </c>
      <c r="H68" s="1313" t="s">
        <v>190</v>
      </c>
      <c r="I68" s="552" t="s">
        <v>214</v>
      </c>
      <c r="J68" s="552" t="s">
        <v>222</v>
      </c>
      <c r="K68" s="1527" t="s">
        <v>191</v>
      </c>
      <c r="L68" s="1527" t="s">
        <v>192</v>
      </c>
      <c r="M68" s="563" t="s">
        <v>71</v>
      </c>
      <c r="N68" s="535" t="s">
        <v>216</v>
      </c>
      <c r="O68" s="530" t="s">
        <v>127</v>
      </c>
      <c r="P68" s="531" t="s">
        <v>187</v>
      </c>
      <c r="Q68" s="531" t="s">
        <v>214</v>
      </c>
      <c r="R68" s="560" t="s">
        <v>190</v>
      </c>
      <c r="S68" s="532" t="s">
        <v>189</v>
      </c>
      <c r="T68" s="1262" t="s">
        <v>223</v>
      </c>
      <c r="U68" s="1519" t="s">
        <v>241</v>
      </c>
      <c r="V68" s="1519"/>
      <c r="W68" s="533" t="s">
        <v>226</v>
      </c>
      <c r="X68" s="533" t="s">
        <v>227</v>
      </c>
      <c r="Y68" s="529" t="s">
        <v>228</v>
      </c>
      <c r="Z68" s="534" t="s">
        <v>229</v>
      </c>
      <c r="AA68" s="534" t="s">
        <v>230</v>
      </c>
      <c r="AB68" s="534" t="s">
        <v>231</v>
      </c>
      <c r="AC68" s="534" t="s">
        <v>232</v>
      </c>
      <c r="AD68" s="534" t="s">
        <v>71</v>
      </c>
      <c r="AE68" s="529" t="s">
        <v>233</v>
      </c>
      <c r="AF68" s="536" t="s">
        <v>234</v>
      </c>
      <c r="AG68" s="500" t="s">
        <v>185</v>
      </c>
      <c r="AH68" s="471"/>
      <c r="AI68" s="543"/>
      <c r="AJ68" s="543"/>
      <c r="AK68" s="545"/>
      <c r="AL68" s="543"/>
      <c r="AM68" s="543"/>
      <c r="AO68" s="543"/>
      <c r="AP68" s="543"/>
      <c r="AQ68" s="543"/>
      <c r="AR68" s="543"/>
      <c r="AS68" s="543"/>
      <c r="AT68" s="543"/>
      <c r="AU68" s="543"/>
      <c r="AV68" s="543"/>
      <c r="AW68" s="543"/>
      <c r="AX68" s="543"/>
      <c r="AY68" s="543"/>
      <c r="AZ68" s="543"/>
      <c r="BA68" s="543"/>
      <c r="BB68" s="543"/>
      <c r="BC68" s="471"/>
      <c r="BD68" s="471"/>
      <c r="BE68" s="471"/>
      <c r="BF68" s="471"/>
      <c r="BG68" s="471"/>
      <c r="BH68" s="471"/>
      <c r="BI68" s="471"/>
      <c r="BJ68" s="471"/>
      <c r="BK68" s="471"/>
      <c r="BL68" s="482"/>
      <c r="BM68" s="491"/>
      <c r="BN68" s="482"/>
      <c r="BO68" s="464"/>
      <c r="BP68" s="463"/>
      <c r="BQ68" s="482"/>
      <c r="BR68" s="491"/>
      <c r="BS68" s="482"/>
      <c r="BT68" s="482"/>
      <c r="BU68" s="482"/>
      <c r="BV68" s="510"/>
      <c r="BW68" s="510"/>
      <c r="BX68" s="510"/>
      <c r="BY68" s="510"/>
      <c r="BZ68" s="510"/>
      <c r="CA68" s="510"/>
      <c r="CB68" s="510"/>
      <c r="CC68" s="510"/>
    </row>
    <row r="69" spans="1:84" s="1372" customFormat="1">
      <c r="A69" s="1374" t="s">
        <v>105</v>
      </c>
      <c r="B69" s="1375" t="s">
        <v>247</v>
      </c>
      <c r="C69" s="1376"/>
      <c r="D69" s="1388"/>
      <c r="E69" s="1350"/>
      <c r="F69" s="1395"/>
      <c r="G69" s="1352"/>
      <c r="H69" s="1352"/>
      <c r="I69" s="1352"/>
      <c r="J69" s="1352"/>
      <c r="K69" s="1352"/>
      <c r="L69" s="1528"/>
      <c r="M69" s="1360">
        <f>SUM(C69:L69)</f>
        <v>0</v>
      </c>
      <c r="N69" s="1377"/>
      <c r="O69" s="1377"/>
      <c r="P69" s="1377"/>
      <c r="Q69" s="1377"/>
      <c r="R69" s="1377"/>
      <c r="S69" s="1377"/>
      <c r="T69" s="1350"/>
      <c r="U69" s="1350"/>
      <c r="V69" s="1350"/>
      <c r="W69" s="1350"/>
      <c r="X69" s="1350"/>
      <c r="Y69" s="1350"/>
      <c r="Z69" s="1350"/>
      <c r="AA69" s="1350"/>
      <c r="AB69" s="1350"/>
      <c r="AC69" s="1350"/>
      <c r="AD69" s="1396">
        <f t="shared" ref="AD69:AD74" si="27">SUM(N69:AC69)</f>
        <v>0</v>
      </c>
      <c r="AE69" s="1351">
        <f t="shared" ref="AE69:AE74" si="28">+M69+AD69</f>
        <v>0</v>
      </c>
      <c r="AF69" s="1376"/>
      <c r="AG69" s="1378">
        <f t="shared" ref="AG69:AG74" si="29">+AE69-AF69</f>
        <v>0</v>
      </c>
      <c r="AH69" s="1362">
        <f>AF69-C69</f>
        <v>0</v>
      </c>
      <c r="AI69" s="1379"/>
      <c r="AJ69" s="1379"/>
      <c r="AK69" s="1404"/>
      <c r="AL69" s="1379"/>
      <c r="AM69" s="1379"/>
      <c r="AN69" s="1721"/>
      <c r="AO69" s="1379"/>
      <c r="AP69" s="1379"/>
      <c r="AQ69" s="1379"/>
      <c r="AR69" s="1379"/>
      <c r="AS69" s="1379"/>
      <c r="AT69" s="1379"/>
      <c r="AU69" s="1379"/>
      <c r="AV69" s="1379"/>
      <c r="AW69" s="1379"/>
      <c r="AX69" s="1379"/>
      <c r="AY69" s="1379"/>
      <c r="AZ69" s="1379"/>
      <c r="BA69" s="1379"/>
      <c r="BB69" s="1379"/>
      <c r="BC69" s="1362"/>
      <c r="BD69" s="1362"/>
      <c r="BE69" s="1362"/>
      <c r="BF69" s="1362"/>
      <c r="BG69" s="1362"/>
      <c r="BH69" s="1362"/>
      <c r="BI69" s="1362"/>
      <c r="BJ69" s="1362"/>
      <c r="BK69" s="1362"/>
      <c r="BL69" s="1367"/>
      <c r="BM69" s="1371"/>
      <c r="BN69" s="1367"/>
      <c r="BO69" s="1405"/>
      <c r="BP69" s="1368"/>
      <c r="BQ69" s="1367"/>
      <c r="BR69" s="1371"/>
      <c r="BS69" s="1367"/>
      <c r="BT69" s="1367"/>
      <c r="BU69" s="1367"/>
      <c r="BV69" s="1369"/>
      <c r="BW69" s="1369"/>
      <c r="BX69" s="1369"/>
      <c r="BY69" s="1369"/>
      <c r="BZ69" s="1369"/>
      <c r="CA69" s="1369"/>
      <c r="CB69" s="1369"/>
      <c r="CC69" s="1369"/>
    </row>
    <row r="70" spans="1:84" s="1372" customFormat="1">
      <c r="A70" s="1380" t="s">
        <v>107</v>
      </c>
      <c r="B70" s="1381" t="s">
        <v>248</v>
      </c>
      <c r="C70" s="1382">
        <v>723</v>
      </c>
      <c r="D70" s="1359"/>
      <c r="E70" s="1401"/>
      <c r="F70" s="1401">
        <f>30+27+33+5+24</f>
        <v>119</v>
      </c>
      <c r="G70" s="1349">
        <f>140+90+110+40</f>
        <v>380</v>
      </c>
      <c r="H70" s="1349"/>
      <c r="I70" s="1349">
        <f>140+110</f>
        <v>250</v>
      </c>
      <c r="J70" s="1349"/>
      <c r="K70" s="1349">
        <f>60+80</f>
        <v>140</v>
      </c>
      <c r="L70" s="1357"/>
      <c r="M70" s="1360">
        <f>SUM(C70:L70)</f>
        <v>1612</v>
      </c>
      <c r="N70" s="1349">
        <f>-190-210-199-216</f>
        <v>-815</v>
      </c>
      <c r="O70" s="1349"/>
      <c r="P70" s="1349"/>
      <c r="Q70" s="1349"/>
      <c r="R70" s="1349"/>
      <c r="S70" s="1349"/>
      <c r="T70" s="1350"/>
      <c r="U70" s="1350"/>
      <c r="V70" s="1350"/>
      <c r="W70" s="1350">
        <f>-2-3-1</f>
        <v>-6</v>
      </c>
      <c r="X70" s="1350"/>
      <c r="Y70" s="1350"/>
      <c r="Z70" s="1350"/>
      <c r="AA70" s="1350"/>
      <c r="AB70" s="1350"/>
      <c r="AC70" s="1350"/>
      <c r="AD70" s="1356">
        <f t="shared" si="27"/>
        <v>-821</v>
      </c>
      <c r="AE70" s="1350">
        <f>+M70+AD70</f>
        <v>791</v>
      </c>
      <c r="AF70" s="1382">
        <f>+'Lionheads Ext. Batch Mvnt'!D12</f>
        <v>791</v>
      </c>
      <c r="AG70" s="1383">
        <f t="shared" si="29"/>
        <v>0</v>
      </c>
      <c r="AH70" s="1362">
        <f t="shared" ref="AH70:AH75" si="30">AF70-C70</f>
        <v>68</v>
      </c>
      <c r="AI70" s="1379"/>
      <c r="AJ70" s="1379"/>
      <c r="AK70" s="1404"/>
      <c r="AL70" s="1379"/>
      <c r="AM70" s="1379"/>
      <c r="AN70" s="1721"/>
      <c r="AO70" s="1379"/>
      <c r="AP70" s="1379"/>
      <c r="AQ70" s="1379"/>
      <c r="AR70" s="1379"/>
      <c r="AS70" s="1379"/>
      <c r="AT70" s="1379"/>
      <c r="AU70" s="1379"/>
      <c r="AV70" s="1379"/>
      <c r="AW70" s="1379"/>
      <c r="AX70" s="1379"/>
      <c r="AY70" s="1379"/>
      <c r="AZ70" s="1379"/>
      <c r="BA70" s="1379"/>
      <c r="BB70" s="1379"/>
      <c r="BC70" s="1362"/>
      <c r="BD70" s="1362"/>
      <c r="BE70" s="1362"/>
      <c r="BF70" s="1362"/>
      <c r="BG70" s="1362"/>
      <c r="BH70" s="1362"/>
      <c r="BI70" s="1362"/>
      <c r="BJ70" s="1362"/>
      <c r="BK70" s="1362"/>
      <c r="BL70" s="1367"/>
      <c r="BM70" s="1371"/>
      <c r="BN70" s="1367"/>
      <c r="BO70" s="1405"/>
      <c r="BP70" s="1368"/>
      <c r="BQ70" s="1367"/>
      <c r="BR70" s="1371"/>
      <c r="BS70" s="1367"/>
      <c r="BT70" s="1367"/>
      <c r="BU70" s="1367"/>
      <c r="BV70" s="1369"/>
      <c r="BW70" s="1369"/>
      <c r="BX70" s="1369"/>
      <c r="BY70" s="1369"/>
      <c r="BZ70" s="1369"/>
      <c r="CA70" s="1369"/>
      <c r="CB70" s="1369"/>
      <c r="CC70" s="1369"/>
    </row>
    <row r="71" spans="1:84" s="1372" customFormat="1">
      <c r="A71" s="1380" t="s">
        <v>109</v>
      </c>
      <c r="B71" s="1381" t="s">
        <v>249</v>
      </c>
      <c r="C71" s="1382">
        <v>2468</v>
      </c>
      <c r="D71" s="1359">
        <f>190+210+199+216</f>
        <v>815</v>
      </c>
      <c r="E71" s="1401"/>
      <c r="F71" s="1359"/>
      <c r="G71" s="1349"/>
      <c r="H71" s="1349"/>
      <c r="I71" s="1349"/>
      <c r="J71" s="1349"/>
      <c r="K71" s="1349"/>
      <c r="L71" s="1357"/>
      <c r="M71" s="1360">
        <f t="shared" ref="M71:M74" si="31">SUM(C71:L71)</f>
        <v>3283</v>
      </c>
      <c r="N71" s="1349"/>
      <c r="O71" s="1349"/>
      <c r="P71" s="1349"/>
      <c r="Q71" s="1349"/>
      <c r="R71" s="1349"/>
      <c r="S71" s="1349"/>
      <c r="T71" s="1350"/>
      <c r="U71" s="1350"/>
      <c r="V71" s="1350"/>
      <c r="W71" s="1350">
        <f>-7-4-5</f>
        <v>-16</v>
      </c>
      <c r="X71" s="1350">
        <f>-186-235-156-211-Y71</f>
        <v>-787</v>
      </c>
      <c r="Y71" s="1350">
        <f>-'[3]Sales USD'!$BD$4</f>
        <v>-1</v>
      </c>
      <c r="Z71" s="1350"/>
      <c r="AA71" s="1350"/>
      <c r="AB71" s="1350"/>
      <c r="AC71" s="1350"/>
      <c r="AD71" s="1356">
        <f t="shared" si="27"/>
        <v>-804</v>
      </c>
      <c r="AE71" s="1350">
        <f>+M71+AD71</f>
        <v>2479</v>
      </c>
      <c r="AF71" s="1382">
        <f>+'Lionheads Ext. Batch Mvnt'!D28</f>
        <v>2479</v>
      </c>
      <c r="AG71" s="1383">
        <f t="shared" si="29"/>
        <v>0</v>
      </c>
      <c r="AH71" s="1362">
        <f t="shared" si="30"/>
        <v>11</v>
      </c>
      <c r="AI71" s="1379"/>
      <c r="AJ71" s="1379"/>
      <c r="AK71" s="1404"/>
      <c r="AL71" s="1379"/>
      <c r="AM71" s="1379"/>
      <c r="AN71" s="1721"/>
      <c r="AO71" s="1379"/>
      <c r="AP71" s="1379"/>
      <c r="AQ71" s="1379"/>
      <c r="AR71" s="1379"/>
      <c r="AS71" s="1379"/>
      <c r="AT71" s="1379"/>
      <c r="AU71" s="1379"/>
      <c r="AV71" s="1379"/>
      <c r="AW71" s="1379"/>
      <c r="AX71" s="1379"/>
      <c r="AY71" s="1379"/>
      <c r="AZ71" s="1379"/>
      <c r="BA71" s="1379"/>
      <c r="BB71" s="1379"/>
      <c r="BC71" s="1362"/>
      <c r="BD71" s="1362"/>
      <c r="BE71" s="1362"/>
      <c r="BF71" s="1362"/>
      <c r="BG71" s="1362"/>
      <c r="BH71" s="1362"/>
      <c r="BI71" s="1362"/>
      <c r="BJ71" s="1362"/>
      <c r="BK71" s="1362"/>
      <c r="BL71" s="1367"/>
      <c r="BM71" s="1371"/>
      <c r="BN71" s="1367"/>
      <c r="BO71" s="1405"/>
      <c r="BP71" s="1368"/>
      <c r="BQ71" s="1367"/>
      <c r="BR71" s="1371"/>
      <c r="BS71" s="1367"/>
      <c r="BT71" s="1367"/>
      <c r="BU71" s="1367"/>
      <c r="BV71" s="1369"/>
      <c r="BW71" s="1369"/>
      <c r="BX71" s="1369"/>
      <c r="BY71" s="1369"/>
      <c r="BZ71" s="1369"/>
      <c r="CA71" s="1369"/>
      <c r="CB71" s="1369"/>
      <c r="CC71" s="1369"/>
    </row>
    <row r="72" spans="1:84">
      <c r="A72" s="1189" t="s">
        <v>111</v>
      </c>
      <c r="B72" s="1190" t="s">
        <v>250</v>
      </c>
      <c r="C72" s="1191"/>
      <c r="D72" s="1230"/>
      <c r="E72" s="1311"/>
      <c r="F72" s="1230"/>
      <c r="G72" s="1192"/>
      <c r="H72" s="1192"/>
      <c r="I72" s="1192"/>
      <c r="J72" s="1192"/>
      <c r="K72" s="1192"/>
      <c r="L72" s="1231"/>
      <c r="M72" s="1231">
        <f t="shared" si="31"/>
        <v>0</v>
      </c>
      <c r="N72" s="1192"/>
      <c r="O72" s="1192"/>
      <c r="P72" s="1192"/>
      <c r="Q72" s="1192"/>
      <c r="R72" s="1192"/>
      <c r="S72" s="1192"/>
      <c r="T72" s="1192"/>
      <c r="U72" s="1192"/>
      <c r="V72" s="1192"/>
      <c r="W72" s="1192"/>
      <c r="X72" s="1195"/>
      <c r="Y72" s="1195"/>
      <c r="Z72" s="1195"/>
      <c r="AA72" s="1195"/>
      <c r="AB72" s="1195"/>
      <c r="AC72" s="1195"/>
      <c r="AD72" s="1193">
        <f t="shared" si="27"/>
        <v>0</v>
      </c>
      <c r="AE72" s="1195">
        <f t="shared" si="28"/>
        <v>0</v>
      </c>
      <c r="AF72" s="1191"/>
      <c r="AG72" s="1226">
        <f t="shared" si="29"/>
        <v>0</v>
      </c>
      <c r="AH72" s="1362">
        <f t="shared" si="30"/>
        <v>0</v>
      </c>
      <c r="AI72" s="543"/>
      <c r="AJ72" s="543"/>
      <c r="AK72" s="545"/>
      <c r="AL72" s="543"/>
      <c r="AM72" s="543"/>
      <c r="AO72" s="543"/>
      <c r="AP72" s="543"/>
      <c r="AQ72" s="543"/>
      <c r="AR72" s="543"/>
      <c r="AS72" s="543"/>
      <c r="AT72" s="543"/>
      <c r="AU72" s="543"/>
      <c r="AV72" s="543"/>
      <c r="AW72" s="543"/>
      <c r="AX72" s="543"/>
      <c r="AY72" s="543"/>
      <c r="AZ72" s="543"/>
      <c r="BA72" s="543"/>
      <c r="BB72" s="543"/>
      <c r="BC72" s="471"/>
      <c r="BD72" s="471"/>
      <c r="BE72" s="471"/>
      <c r="BF72" s="471"/>
      <c r="BG72" s="471"/>
      <c r="BH72" s="471"/>
      <c r="BI72" s="471"/>
      <c r="BJ72" s="471"/>
      <c r="BK72" s="471"/>
      <c r="BL72" s="482"/>
      <c r="BM72" s="491"/>
      <c r="BN72" s="482"/>
      <c r="BO72" s="464"/>
      <c r="BP72" s="463"/>
      <c r="BQ72" s="482"/>
      <c r="BR72" s="491"/>
      <c r="BS72" s="482"/>
      <c r="BT72" s="482"/>
      <c r="BU72" s="482"/>
      <c r="BV72" s="510"/>
      <c r="BW72" s="510"/>
      <c r="BX72" s="510"/>
      <c r="BY72" s="510"/>
      <c r="BZ72" s="510"/>
      <c r="CA72" s="510"/>
      <c r="CB72" s="510"/>
      <c r="CC72" s="510"/>
    </row>
    <row r="73" spans="1:84">
      <c r="A73" s="1189" t="s">
        <v>112</v>
      </c>
      <c r="B73" s="1190" t="s">
        <v>250</v>
      </c>
      <c r="C73" s="1191"/>
      <c r="D73" s="1230"/>
      <c r="E73" s="1311"/>
      <c r="F73" s="1230"/>
      <c r="G73" s="1192"/>
      <c r="H73" s="1192"/>
      <c r="I73" s="1192"/>
      <c r="J73" s="1192"/>
      <c r="K73" s="1192"/>
      <c r="L73" s="1231"/>
      <c r="M73" s="1231">
        <f t="shared" si="31"/>
        <v>0</v>
      </c>
      <c r="N73" s="1192"/>
      <c r="O73" s="1195"/>
      <c r="P73" s="1195"/>
      <c r="Q73" s="1195"/>
      <c r="R73" s="1195"/>
      <c r="S73" s="1195"/>
      <c r="T73" s="1195"/>
      <c r="U73" s="1195"/>
      <c r="V73" s="1195"/>
      <c r="W73" s="1195"/>
      <c r="X73" s="1195"/>
      <c r="Y73" s="1195"/>
      <c r="Z73" s="1195"/>
      <c r="AA73" s="1195"/>
      <c r="AB73" s="1195"/>
      <c r="AC73" s="1195"/>
      <c r="AD73" s="1193">
        <f t="shared" si="27"/>
        <v>0</v>
      </c>
      <c r="AE73" s="1195">
        <f t="shared" si="28"/>
        <v>0</v>
      </c>
      <c r="AF73" s="1191"/>
      <c r="AG73" s="1226">
        <f t="shared" si="29"/>
        <v>0</v>
      </c>
      <c r="AH73" s="1362">
        <f t="shared" si="30"/>
        <v>0</v>
      </c>
      <c r="AI73" s="543"/>
      <c r="AJ73" s="543"/>
      <c r="AK73" s="545"/>
      <c r="AL73" s="543"/>
      <c r="AM73" s="543"/>
      <c r="AO73" s="543"/>
      <c r="AP73" s="543"/>
      <c r="AQ73" s="543"/>
      <c r="AR73" s="543"/>
      <c r="AS73" s="543"/>
      <c r="AT73" s="543"/>
      <c r="AU73" s="543"/>
      <c r="AV73" s="543"/>
      <c r="AW73" s="543"/>
      <c r="AX73" s="543"/>
      <c r="AY73" s="543"/>
      <c r="AZ73" s="543"/>
      <c r="BA73" s="543"/>
      <c r="BB73" s="543"/>
      <c r="BC73" s="471"/>
      <c r="BD73" s="471"/>
      <c r="BE73" s="471"/>
      <c r="BF73" s="471"/>
      <c r="BG73" s="471"/>
      <c r="BH73" s="471"/>
      <c r="BI73" s="471"/>
      <c r="BJ73" s="471"/>
      <c r="BK73" s="471"/>
      <c r="BL73" s="482"/>
      <c r="BM73" s="491"/>
      <c r="BN73" s="482"/>
      <c r="BO73" s="464"/>
      <c r="BP73" s="463"/>
      <c r="BQ73" s="482"/>
      <c r="BR73" s="491"/>
      <c r="BS73" s="482"/>
      <c r="BT73" s="482"/>
      <c r="BU73" s="482"/>
      <c r="BV73" s="510"/>
      <c r="BW73" s="510"/>
      <c r="BX73" s="510"/>
      <c r="BY73" s="510"/>
      <c r="BZ73" s="510"/>
      <c r="CA73" s="510"/>
      <c r="CB73" s="510"/>
      <c r="CC73" s="510"/>
    </row>
    <row r="74" spans="1:84" ht="15" thickBot="1">
      <c r="A74" s="1266" t="s">
        <v>113</v>
      </c>
      <c r="B74" s="1524" t="s">
        <v>250</v>
      </c>
      <c r="C74" s="1196"/>
      <c r="D74" s="1255"/>
      <c r="E74" s="1312"/>
      <c r="F74" s="1255"/>
      <c r="G74" s="1227"/>
      <c r="H74" s="1227"/>
      <c r="I74" s="1227"/>
      <c r="J74" s="1227"/>
      <c r="K74" s="1227"/>
      <c r="L74" s="1256"/>
      <c r="M74" s="1231">
        <f t="shared" si="31"/>
        <v>0</v>
      </c>
      <c r="N74" s="1232"/>
      <c r="O74" s="1198"/>
      <c r="P74" s="1198"/>
      <c r="Q74" s="1198"/>
      <c r="R74" s="1198"/>
      <c r="S74" s="1198"/>
      <c r="T74" s="1198"/>
      <c r="U74" s="1198"/>
      <c r="V74" s="1198"/>
      <c r="W74" s="1198"/>
      <c r="X74" s="1198"/>
      <c r="Y74" s="1198"/>
      <c r="Z74" s="1198"/>
      <c r="AA74" s="1198"/>
      <c r="AB74" s="1198"/>
      <c r="AC74" s="1198"/>
      <c r="AD74" s="1233">
        <f t="shared" si="27"/>
        <v>0</v>
      </c>
      <c r="AE74" s="1198">
        <f t="shared" si="28"/>
        <v>0</v>
      </c>
      <c r="AF74" s="1196"/>
      <c r="AG74" s="1229">
        <f t="shared" si="29"/>
        <v>0</v>
      </c>
      <c r="AH74" s="1362">
        <f t="shared" si="30"/>
        <v>0</v>
      </c>
      <c r="AI74" s="543"/>
      <c r="AJ74" s="543"/>
      <c r="AK74" s="545"/>
      <c r="AL74" s="543"/>
      <c r="AM74" s="543"/>
      <c r="AO74" s="543"/>
      <c r="AP74" s="543"/>
      <c r="AQ74" s="543"/>
      <c r="AR74" s="543"/>
      <c r="AS74" s="543"/>
      <c r="AT74" s="543"/>
      <c r="AU74" s="543"/>
      <c r="AV74" s="543"/>
      <c r="AW74" s="543"/>
      <c r="AX74" s="543"/>
      <c r="AY74" s="543"/>
      <c r="AZ74" s="543"/>
      <c r="BA74" s="543"/>
      <c r="BB74" s="543"/>
      <c r="BC74" s="471"/>
      <c r="BD74" s="471"/>
      <c r="BE74" s="471"/>
      <c r="BF74" s="471"/>
      <c r="BG74" s="471"/>
      <c r="BH74" s="471"/>
      <c r="BI74" s="471"/>
      <c r="BJ74" s="471"/>
      <c r="BK74" s="471"/>
      <c r="BL74" s="482"/>
      <c r="BM74" s="491"/>
      <c r="BN74" s="482"/>
      <c r="BO74" s="464"/>
      <c r="BP74" s="463"/>
      <c r="BQ74" s="482"/>
      <c r="BR74" s="491"/>
      <c r="BS74" s="482"/>
      <c r="BT74" s="482"/>
      <c r="BU74" s="482"/>
      <c r="BV74" s="510"/>
      <c r="BW74" s="510"/>
      <c r="BX74" s="510"/>
      <c r="BY74" s="510"/>
      <c r="BZ74" s="510"/>
      <c r="CA74" s="510"/>
      <c r="CB74" s="510"/>
      <c r="CC74" s="510"/>
    </row>
    <row r="75" spans="1:84" ht="15" thickBot="1">
      <c r="A75" s="541" t="s">
        <v>115</v>
      </c>
      <c r="B75" s="542"/>
      <c r="C75" s="517">
        <f>SUM(C69:C74)</f>
        <v>3191</v>
      </c>
      <c r="D75" s="517">
        <f t="shared" ref="D75:AG75" si="32">SUM(D69:D74)</f>
        <v>815</v>
      </c>
      <c r="E75" s="517">
        <f t="shared" si="32"/>
        <v>0</v>
      </c>
      <c r="F75" s="557">
        <f t="shared" si="32"/>
        <v>119</v>
      </c>
      <c r="G75" s="557">
        <f t="shared" si="32"/>
        <v>380</v>
      </c>
      <c r="H75" s="557">
        <f t="shared" si="32"/>
        <v>0</v>
      </c>
      <c r="I75" s="557">
        <f t="shared" si="32"/>
        <v>250</v>
      </c>
      <c r="J75" s="557">
        <f t="shared" si="32"/>
        <v>0</v>
      </c>
      <c r="K75" s="557">
        <f>SUM(K69:K74)</f>
        <v>140</v>
      </c>
      <c r="L75" s="557">
        <f>SUM(L69:L74)</f>
        <v>0</v>
      </c>
      <c r="M75" s="519">
        <f t="shared" si="32"/>
        <v>4895</v>
      </c>
      <c r="N75" s="517">
        <f t="shared" si="32"/>
        <v>-815</v>
      </c>
      <c r="O75" s="549">
        <f t="shared" si="32"/>
        <v>0</v>
      </c>
      <c r="P75" s="549">
        <f t="shared" si="32"/>
        <v>0</v>
      </c>
      <c r="Q75" s="549">
        <f t="shared" si="32"/>
        <v>0</v>
      </c>
      <c r="R75" s="517">
        <f t="shared" si="32"/>
        <v>0</v>
      </c>
      <c r="S75" s="549">
        <f t="shared" si="32"/>
        <v>0</v>
      </c>
      <c r="T75" s="549">
        <f>SUM(T69:T74)</f>
        <v>0</v>
      </c>
      <c r="U75" s="549"/>
      <c r="V75" s="549"/>
      <c r="W75" s="549">
        <f t="shared" si="32"/>
        <v>-22</v>
      </c>
      <c r="X75" s="549">
        <f t="shared" si="32"/>
        <v>-787</v>
      </c>
      <c r="Y75" s="549">
        <f t="shared" si="32"/>
        <v>-1</v>
      </c>
      <c r="Z75" s="549">
        <f t="shared" si="32"/>
        <v>0</v>
      </c>
      <c r="AA75" s="549">
        <f>SUM(AA69:AA74)</f>
        <v>0</v>
      </c>
      <c r="AB75" s="549">
        <f t="shared" si="32"/>
        <v>0</v>
      </c>
      <c r="AC75" s="549">
        <f>SUM(AC69:AC74)</f>
        <v>0</v>
      </c>
      <c r="AD75" s="549">
        <f t="shared" si="32"/>
        <v>-1625</v>
      </c>
      <c r="AE75" s="549">
        <f t="shared" si="32"/>
        <v>3270</v>
      </c>
      <c r="AF75" s="549">
        <f t="shared" si="32"/>
        <v>3270</v>
      </c>
      <c r="AG75" s="549">
        <f t="shared" si="32"/>
        <v>0</v>
      </c>
      <c r="AH75" s="1362">
        <f t="shared" si="30"/>
        <v>79</v>
      </c>
      <c r="AI75" s="543"/>
      <c r="AJ75" s="543"/>
      <c r="AK75" s="545"/>
      <c r="AL75" s="543"/>
      <c r="AM75" s="543"/>
      <c r="AO75" s="543"/>
      <c r="AP75" s="543"/>
      <c r="AQ75" s="543"/>
      <c r="AR75" s="543"/>
      <c r="AS75" s="543"/>
      <c r="AT75" s="543"/>
      <c r="AU75" s="543"/>
      <c r="AV75" s="543"/>
      <c r="AW75" s="543"/>
      <c r="AX75" s="543"/>
      <c r="AY75" s="543"/>
      <c r="AZ75" s="543"/>
      <c r="BA75" s="543"/>
      <c r="BB75" s="543"/>
      <c r="BC75" s="471"/>
      <c r="BD75" s="471"/>
      <c r="BE75" s="471"/>
      <c r="BF75" s="471"/>
      <c r="BG75" s="471"/>
      <c r="BH75" s="471"/>
      <c r="BI75" s="471"/>
      <c r="BJ75" s="471"/>
      <c r="BK75" s="471"/>
      <c r="BL75" s="482"/>
      <c r="BM75" s="491"/>
      <c r="BN75" s="482"/>
      <c r="BO75" s="464"/>
      <c r="BP75" s="463"/>
      <c r="BQ75" s="482"/>
      <c r="BR75" s="491"/>
      <c r="BS75" s="482"/>
      <c r="BT75" s="482"/>
      <c r="BU75" s="482"/>
      <c r="BV75" s="510"/>
      <c r="BW75" s="510"/>
      <c r="BX75" s="510"/>
      <c r="BY75" s="510"/>
      <c r="BZ75" s="510"/>
      <c r="CA75" s="510"/>
      <c r="CB75" s="510"/>
      <c r="CC75" s="510"/>
    </row>
    <row r="76" spans="1:84">
      <c r="C76" s="482">
        <v>2566</v>
      </c>
      <c r="D76" s="482">
        <f>+SUM(D75:I75)+SUM(N75:T75)+K75</f>
        <v>889</v>
      </c>
      <c r="E76" s="491"/>
      <c r="F76" s="491"/>
      <c r="G76" s="491"/>
      <c r="H76" s="491"/>
      <c r="I76" s="491"/>
      <c r="J76" s="491"/>
      <c r="K76" s="491"/>
      <c r="L76" s="491"/>
      <c r="M76" s="523"/>
      <c r="N76" s="522">
        <f>+D75+N75</f>
        <v>0</v>
      </c>
      <c r="O76" s="491"/>
      <c r="Q76" s="491"/>
      <c r="R76" s="491"/>
      <c r="S76" s="491"/>
      <c r="T76" s="491"/>
      <c r="U76" s="491"/>
      <c r="V76" s="491"/>
      <c r="W76" s="491"/>
      <c r="X76" s="491"/>
      <c r="Y76" s="491"/>
      <c r="Z76" s="491"/>
      <c r="AA76" s="491"/>
      <c r="AB76" s="491"/>
      <c r="AF76" s="515">
        <f>+AE75</f>
        <v>3270</v>
      </c>
      <c r="AH76" s="471"/>
      <c r="AI76" s="471"/>
      <c r="AJ76" s="471"/>
      <c r="AK76" s="502"/>
      <c r="AL76" s="543"/>
      <c r="AM76" s="543"/>
      <c r="AO76" s="543"/>
      <c r="AP76" s="543"/>
      <c r="AQ76" s="543"/>
      <c r="AR76" s="543"/>
      <c r="AS76" s="543"/>
      <c r="AT76" s="543"/>
      <c r="AU76" s="543"/>
      <c r="AV76" s="543"/>
      <c r="AW76" s="543"/>
      <c r="AX76" s="543"/>
      <c r="AY76" s="543"/>
      <c r="AZ76" s="543"/>
      <c r="BA76" s="543"/>
      <c r="BB76" s="543"/>
      <c r="BC76" s="543"/>
      <c r="BD76" s="543"/>
      <c r="BE76" s="543"/>
      <c r="BF76" s="471"/>
      <c r="BG76" s="471"/>
      <c r="BH76" s="471"/>
      <c r="BI76" s="471"/>
      <c r="BJ76" s="471"/>
      <c r="BK76" s="471"/>
      <c r="BL76" s="471"/>
      <c r="BM76" s="471"/>
      <c r="BN76" s="471"/>
      <c r="BO76" s="482"/>
      <c r="BP76" s="491"/>
      <c r="BQ76" s="482"/>
      <c r="BR76" s="464"/>
      <c r="BS76" s="463"/>
      <c r="BT76" s="482"/>
      <c r="BU76" s="491"/>
      <c r="BV76" s="482"/>
      <c r="BW76" s="482"/>
      <c r="BX76" s="482"/>
      <c r="BY76" s="510"/>
      <c r="BZ76" s="510"/>
      <c r="CA76" s="510"/>
      <c r="CB76" s="510"/>
      <c r="CC76" s="510"/>
      <c r="CD76" s="510"/>
      <c r="CE76" s="510"/>
      <c r="CF76" s="510"/>
    </row>
    <row r="77" spans="1:84">
      <c r="C77" s="482" t="s">
        <v>223</v>
      </c>
      <c r="D77" s="491">
        <f>+G133+Q133</f>
        <v>0</v>
      </c>
      <c r="E77" s="491">
        <f>+D137</f>
        <v>140</v>
      </c>
      <c r="F77" s="491"/>
      <c r="G77" s="491"/>
      <c r="H77" s="491"/>
      <c r="I77" s="491"/>
      <c r="J77" s="491"/>
      <c r="K77" s="491"/>
      <c r="L77" s="491"/>
      <c r="M77" s="523"/>
      <c r="N77" s="491"/>
      <c r="O77" s="491"/>
      <c r="Q77" s="491"/>
      <c r="R77" s="491"/>
      <c r="S77" s="491"/>
      <c r="T77" s="491"/>
      <c r="U77" s="491"/>
      <c r="V77" s="491"/>
      <c r="W77" s="491"/>
      <c r="X77" s="491"/>
      <c r="Y77" s="491"/>
      <c r="Z77" s="491"/>
      <c r="AA77" s="491"/>
      <c r="AB77" s="491"/>
      <c r="AF77" s="525">
        <f>+AF75-AF76</f>
        <v>0</v>
      </c>
      <c r="AH77" s="471"/>
      <c r="AI77" s="471"/>
      <c r="AJ77" s="471"/>
      <c r="AK77" s="502"/>
      <c r="AL77" s="543"/>
      <c r="AM77" s="543"/>
      <c r="AO77" s="543"/>
      <c r="AP77" s="543"/>
      <c r="AQ77" s="543"/>
      <c r="AR77" s="543"/>
      <c r="AS77" s="543"/>
      <c r="AT77" s="543"/>
      <c r="AU77" s="543"/>
      <c r="AV77" s="543"/>
      <c r="AW77" s="543"/>
      <c r="AX77" s="543"/>
      <c r="AY77" s="543"/>
      <c r="AZ77" s="543"/>
      <c r="BA77" s="543"/>
      <c r="BB77" s="543"/>
      <c r="BC77" s="543"/>
      <c r="BD77" s="543"/>
      <c r="BE77" s="543"/>
      <c r="BF77" s="471"/>
      <c r="BG77" s="471"/>
      <c r="BH77" s="471"/>
      <c r="BI77" s="471"/>
      <c r="BJ77" s="471"/>
      <c r="BK77" s="471"/>
      <c r="BL77" s="471"/>
      <c r="BM77" s="471"/>
      <c r="BN77" s="471"/>
      <c r="BO77" s="482"/>
      <c r="BP77" s="491"/>
      <c r="BQ77" s="482"/>
      <c r="BR77" s="464"/>
      <c r="BS77" s="463"/>
      <c r="BT77" s="482"/>
      <c r="BU77" s="491"/>
      <c r="BV77" s="482"/>
      <c r="BW77" s="482"/>
      <c r="BX77" s="482"/>
      <c r="BY77" s="510"/>
      <c r="BZ77" s="510"/>
      <c r="CA77" s="510"/>
      <c r="CB77" s="510"/>
      <c r="CC77" s="510"/>
      <c r="CD77" s="510"/>
      <c r="CE77" s="510"/>
      <c r="CF77" s="510"/>
    </row>
    <row r="78" spans="1:84">
      <c r="C78" s="491" t="s">
        <v>127</v>
      </c>
      <c r="D78" s="491">
        <f>+F18+P18</f>
        <v>0</v>
      </c>
      <c r="E78" s="491">
        <f>+D23</f>
        <v>0</v>
      </c>
      <c r="F78" s="491">
        <f>+D78+E78</f>
        <v>0</v>
      </c>
      <c r="G78" s="491"/>
      <c r="H78" s="491"/>
      <c r="I78" s="491"/>
      <c r="J78" s="491"/>
      <c r="K78" s="491"/>
      <c r="L78" s="491"/>
      <c r="M78" s="523"/>
      <c r="O78" s="491"/>
      <c r="Q78" s="491"/>
      <c r="R78" s="491"/>
      <c r="S78" s="491"/>
      <c r="T78" s="491"/>
      <c r="U78" s="491"/>
      <c r="V78" s="491"/>
      <c r="W78" s="491"/>
      <c r="X78" s="491"/>
      <c r="Y78" s="491"/>
      <c r="Z78" s="491"/>
      <c r="AA78" s="491"/>
      <c r="AB78" s="491"/>
      <c r="AF78" s="515"/>
      <c r="AH78" s="471"/>
      <c r="AI78" s="471"/>
      <c r="AJ78" s="471"/>
      <c r="AK78" s="502"/>
      <c r="AL78" s="543"/>
      <c r="AM78" s="543"/>
      <c r="AO78" s="543"/>
      <c r="AP78" s="543"/>
      <c r="AQ78" s="543"/>
      <c r="AR78" s="543"/>
      <c r="AS78" s="543"/>
      <c r="AT78" s="543"/>
      <c r="AU78" s="543"/>
      <c r="AV78" s="543"/>
      <c r="AW78" s="543"/>
      <c r="AX78" s="543"/>
      <c r="AY78" s="543"/>
      <c r="AZ78" s="543"/>
      <c r="BA78" s="543"/>
      <c r="BB78" s="543"/>
      <c r="BC78" s="543"/>
      <c r="BD78" s="543"/>
      <c r="BE78" s="543"/>
      <c r="BF78" s="471"/>
      <c r="BG78" s="471"/>
      <c r="BH78" s="471"/>
      <c r="BI78" s="471"/>
      <c r="BJ78" s="471"/>
      <c r="BK78" s="471"/>
      <c r="BL78" s="471"/>
      <c r="BM78" s="471"/>
      <c r="BN78" s="471"/>
      <c r="BO78" s="482"/>
      <c r="BP78" s="491"/>
      <c r="BQ78" s="482"/>
      <c r="BR78" s="464"/>
      <c r="BS78" s="463"/>
      <c r="BT78" s="482"/>
      <c r="BU78" s="491"/>
      <c r="BV78" s="482"/>
      <c r="BW78" s="482"/>
      <c r="BX78" s="482"/>
      <c r="BY78" s="510"/>
      <c r="BZ78" s="510"/>
      <c r="CA78" s="510"/>
      <c r="CB78" s="510"/>
      <c r="CC78" s="510"/>
      <c r="CD78" s="510"/>
      <c r="CE78" s="510"/>
      <c r="CF78" s="510"/>
    </row>
    <row r="79" spans="1:84">
      <c r="C79" s="491" t="s">
        <v>190</v>
      </c>
      <c r="D79" s="491">
        <f>+F37+P37</f>
        <v>0</v>
      </c>
      <c r="E79" s="491">
        <f>+D42</f>
        <v>0</v>
      </c>
      <c r="F79" s="491">
        <f>+D79+E79</f>
        <v>0</v>
      </c>
      <c r="G79" s="491"/>
      <c r="H79" s="491"/>
      <c r="I79" s="491"/>
      <c r="J79" s="491"/>
      <c r="K79" s="491"/>
      <c r="L79" s="491"/>
      <c r="M79" s="523"/>
      <c r="O79" s="491"/>
      <c r="Q79" s="491"/>
      <c r="R79" s="491"/>
      <c r="S79" s="491"/>
      <c r="T79" s="491"/>
      <c r="U79" s="491"/>
      <c r="V79" s="491"/>
      <c r="W79" s="491"/>
      <c r="X79" s="491"/>
      <c r="Y79" s="491"/>
      <c r="Z79" s="491"/>
      <c r="AA79" s="491"/>
      <c r="AB79" s="491"/>
      <c r="AF79" s="515"/>
      <c r="AH79" s="471"/>
      <c r="AI79" s="471"/>
      <c r="AJ79" s="471"/>
      <c r="AK79" s="502"/>
      <c r="AL79" s="543"/>
      <c r="AM79" s="543"/>
      <c r="AO79" s="543"/>
      <c r="AP79" s="543"/>
      <c r="AQ79" s="543"/>
      <c r="AR79" s="543"/>
      <c r="AS79" s="543"/>
      <c r="AT79" s="543"/>
      <c r="AU79" s="543"/>
      <c r="AV79" s="543"/>
      <c r="AW79" s="543"/>
      <c r="AX79" s="543"/>
      <c r="AY79" s="543"/>
      <c r="AZ79" s="543"/>
      <c r="BA79" s="543"/>
      <c r="BB79" s="543"/>
      <c r="BC79" s="543"/>
      <c r="BD79" s="543"/>
      <c r="BE79" s="543"/>
      <c r="BF79" s="471"/>
      <c r="BG79" s="471"/>
      <c r="BH79" s="471"/>
      <c r="BI79" s="471"/>
      <c r="BJ79" s="471"/>
      <c r="BK79" s="471"/>
      <c r="BL79" s="471"/>
      <c r="BM79" s="471"/>
      <c r="BN79" s="471"/>
      <c r="BO79" s="482"/>
      <c r="BP79" s="491"/>
      <c r="BQ79" s="482"/>
      <c r="BR79" s="464"/>
      <c r="BS79" s="463"/>
      <c r="BT79" s="482"/>
      <c r="BU79" s="491"/>
      <c r="BV79" s="482"/>
      <c r="BW79" s="482"/>
      <c r="BX79" s="482"/>
      <c r="BY79" s="510"/>
      <c r="BZ79" s="510"/>
      <c r="CA79" s="510"/>
      <c r="CB79" s="510"/>
      <c r="CC79" s="510"/>
      <c r="CD79" s="510"/>
      <c r="CE79" s="510"/>
      <c r="CF79" s="510"/>
    </row>
    <row r="80" spans="1:84">
      <c r="C80" s="491" t="s">
        <v>251</v>
      </c>
      <c r="D80" s="491">
        <f>+F56+P56</f>
        <v>-120</v>
      </c>
      <c r="E80" s="491">
        <f>+D61</f>
        <v>119</v>
      </c>
      <c r="F80" s="491">
        <f>+D80+E80</f>
        <v>-1</v>
      </c>
      <c r="G80" s="491"/>
      <c r="H80" s="491"/>
      <c r="I80" s="491"/>
      <c r="J80" s="491"/>
      <c r="K80" s="491"/>
      <c r="L80" s="491"/>
      <c r="M80" s="523"/>
      <c r="O80" s="491"/>
      <c r="Q80" s="491"/>
      <c r="R80" s="491"/>
      <c r="S80" s="491"/>
      <c r="T80" s="491"/>
      <c r="U80" s="491"/>
      <c r="V80" s="491"/>
      <c r="W80" s="491"/>
      <c r="X80" s="491"/>
      <c r="Y80" s="491"/>
      <c r="Z80" s="491"/>
      <c r="AA80" s="491"/>
      <c r="AB80" s="491"/>
      <c r="AF80" s="515"/>
      <c r="AH80" s="471"/>
      <c r="AI80" s="471"/>
      <c r="AJ80" s="471"/>
      <c r="AK80" s="502"/>
      <c r="AL80" s="543"/>
      <c r="AM80" s="543"/>
      <c r="AO80" s="543"/>
      <c r="AP80" s="543"/>
      <c r="AQ80" s="543"/>
      <c r="AR80" s="543"/>
      <c r="AS80" s="543"/>
      <c r="AT80" s="543"/>
      <c r="AU80" s="543"/>
      <c r="AV80" s="543"/>
      <c r="AW80" s="543"/>
      <c r="AX80" s="543"/>
      <c r="AY80" s="543"/>
      <c r="AZ80" s="543"/>
      <c r="BA80" s="543"/>
      <c r="BB80" s="543"/>
      <c r="BC80" s="543"/>
      <c r="BD80" s="543"/>
      <c r="BE80" s="543"/>
      <c r="BF80" s="471"/>
      <c r="BG80" s="471"/>
      <c r="BH80" s="471"/>
      <c r="BI80" s="471"/>
      <c r="BJ80" s="471"/>
      <c r="BK80" s="471"/>
      <c r="BL80" s="471"/>
      <c r="BM80" s="471"/>
      <c r="BN80" s="471"/>
      <c r="BO80" s="482"/>
      <c r="BP80" s="491"/>
      <c r="BQ80" s="482"/>
      <c r="BR80" s="464"/>
      <c r="BS80" s="463"/>
      <c r="BT80" s="482"/>
      <c r="BU80" s="491"/>
      <c r="BV80" s="482"/>
      <c r="BW80" s="482"/>
      <c r="BX80" s="482"/>
      <c r="BY80" s="510"/>
      <c r="BZ80" s="510"/>
      <c r="CA80" s="510"/>
      <c r="CB80" s="510"/>
      <c r="CC80" s="510"/>
      <c r="CD80" s="510"/>
      <c r="CE80" s="510"/>
      <c r="CF80" s="510"/>
    </row>
    <row r="81" spans="1:84">
      <c r="C81" s="491" t="s">
        <v>214</v>
      </c>
      <c r="D81" s="491">
        <f>G95+Q95</f>
        <v>-250</v>
      </c>
      <c r="E81" s="491">
        <f>+D100</f>
        <v>250</v>
      </c>
      <c r="F81" s="491">
        <f>+D81+E81</f>
        <v>0</v>
      </c>
      <c r="G81" s="491"/>
      <c r="H81" s="491"/>
      <c r="I81" s="491"/>
      <c r="J81" s="491"/>
      <c r="K81" s="491"/>
      <c r="L81" s="491"/>
      <c r="M81" s="523"/>
      <c r="O81" s="491"/>
      <c r="Q81" s="491"/>
      <c r="R81" s="491"/>
      <c r="S81" s="491"/>
      <c r="T81" s="491"/>
      <c r="U81" s="491"/>
      <c r="V81" s="491"/>
      <c r="W81" s="491"/>
      <c r="X81" s="491"/>
      <c r="Y81" s="491"/>
      <c r="Z81" s="491"/>
      <c r="AA81" s="491"/>
      <c r="AB81" s="491"/>
      <c r="AF81" s="515"/>
      <c r="AH81" s="471"/>
      <c r="AI81" s="471"/>
      <c r="AJ81" s="471"/>
      <c r="AK81" s="502"/>
      <c r="AL81" s="543"/>
      <c r="AM81" s="543"/>
      <c r="AO81" s="543"/>
      <c r="AP81" s="543"/>
      <c r="AQ81" s="543"/>
      <c r="AR81" s="543"/>
      <c r="AS81" s="543"/>
      <c r="AT81" s="543"/>
      <c r="AU81" s="543"/>
      <c r="AV81" s="543"/>
      <c r="AW81" s="543"/>
      <c r="AX81" s="543"/>
      <c r="AY81" s="543"/>
      <c r="AZ81" s="543"/>
      <c r="BA81" s="543"/>
      <c r="BB81" s="543"/>
      <c r="BC81" s="543"/>
      <c r="BD81" s="543"/>
      <c r="BE81" s="543"/>
      <c r="BF81" s="471"/>
      <c r="BG81" s="471"/>
      <c r="BH81" s="471"/>
      <c r="BI81" s="471"/>
      <c r="BJ81" s="471"/>
      <c r="BK81" s="471"/>
      <c r="BL81" s="471"/>
      <c r="BM81" s="471"/>
      <c r="BN81" s="471"/>
      <c r="BO81" s="482"/>
      <c r="BP81" s="491"/>
      <c r="BQ81" s="482"/>
      <c r="BR81" s="464"/>
      <c r="BS81" s="463"/>
      <c r="BT81" s="482"/>
      <c r="BU81" s="491"/>
      <c r="BV81" s="482"/>
      <c r="BW81" s="482"/>
      <c r="BX81" s="482"/>
      <c r="BY81" s="510"/>
      <c r="BZ81" s="510"/>
      <c r="CA81" s="510"/>
      <c r="CB81" s="510"/>
      <c r="CC81" s="510"/>
      <c r="CD81" s="510"/>
      <c r="CE81" s="510"/>
      <c r="CF81" s="510"/>
    </row>
    <row r="82" spans="1:84">
      <c r="C82" s="491" t="s">
        <v>239</v>
      </c>
      <c r="D82" s="491">
        <f>+G114+Q114</f>
        <v>-380</v>
      </c>
      <c r="E82" s="491">
        <f>+D119</f>
        <v>380</v>
      </c>
      <c r="F82" s="491">
        <f>+D82+E82</f>
        <v>0</v>
      </c>
      <c r="G82" s="491"/>
      <c r="H82" s="491"/>
      <c r="I82" s="491"/>
      <c r="J82" s="491"/>
      <c r="K82" s="491"/>
      <c r="L82" s="491"/>
      <c r="M82" s="523"/>
      <c r="O82" s="491"/>
      <c r="Q82" s="491"/>
      <c r="R82" s="491"/>
      <c r="S82" s="491"/>
      <c r="T82" s="491"/>
      <c r="U82" s="491"/>
      <c r="V82" s="491"/>
      <c r="W82" s="491"/>
      <c r="X82" s="491"/>
      <c r="Y82" s="491"/>
      <c r="Z82" s="491"/>
      <c r="AA82" s="491"/>
      <c r="AB82" s="491"/>
      <c r="AF82" s="515"/>
      <c r="AH82" s="471"/>
      <c r="AI82" s="471"/>
      <c r="AJ82" s="471"/>
      <c r="AK82" s="502"/>
      <c r="AL82" s="543"/>
      <c r="AM82" s="543"/>
      <c r="AO82" s="543"/>
      <c r="AP82" s="543"/>
      <c r="AQ82" s="543"/>
      <c r="AR82" s="543"/>
      <c r="AS82" s="543"/>
      <c r="AT82" s="543"/>
      <c r="AU82" s="543"/>
      <c r="AV82" s="543"/>
      <c r="AW82" s="543"/>
      <c r="AX82" s="543"/>
      <c r="AY82" s="543"/>
      <c r="AZ82" s="543"/>
      <c r="BA82" s="543"/>
      <c r="BB82" s="543"/>
      <c r="BC82" s="543"/>
      <c r="BD82" s="543"/>
      <c r="BE82" s="543"/>
      <c r="BF82" s="471"/>
      <c r="BG82" s="471"/>
      <c r="BH82" s="471"/>
      <c r="BI82" s="471"/>
      <c r="BJ82" s="471"/>
      <c r="BK82" s="471"/>
      <c r="BL82" s="471"/>
      <c r="BM82" s="471"/>
      <c r="BN82" s="471"/>
      <c r="BO82" s="482"/>
      <c r="BP82" s="491"/>
      <c r="BQ82" s="482"/>
      <c r="BR82" s="464"/>
      <c r="BS82" s="463"/>
      <c r="BT82" s="482"/>
      <c r="BU82" s="491"/>
      <c r="BV82" s="482"/>
      <c r="BW82" s="482"/>
      <c r="BX82" s="482"/>
      <c r="BY82" s="510"/>
      <c r="BZ82" s="510"/>
      <c r="CA82" s="510"/>
      <c r="CB82" s="510"/>
      <c r="CC82" s="510"/>
      <c r="CD82" s="510"/>
      <c r="CE82" s="510"/>
      <c r="CF82" s="510"/>
    </row>
    <row r="83" spans="1:84">
      <c r="C83" s="491" t="s">
        <v>225</v>
      </c>
      <c r="D83" s="491"/>
      <c r="E83" s="491"/>
      <c r="F83" s="491"/>
      <c r="G83" s="491"/>
      <c r="H83" s="491"/>
      <c r="I83" s="491"/>
      <c r="J83" s="491"/>
      <c r="K83" s="491"/>
      <c r="L83" s="491"/>
      <c r="M83" s="523"/>
      <c r="O83" s="491"/>
      <c r="Q83" s="491"/>
      <c r="R83" s="491"/>
      <c r="S83" s="491"/>
      <c r="T83" s="491"/>
      <c r="U83" s="491"/>
      <c r="V83" s="491"/>
      <c r="W83" s="491"/>
      <c r="X83" s="491"/>
      <c r="Y83" s="491"/>
      <c r="Z83" s="491"/>
      <c r="AA83" s="491"/>
      <c r="AB83" s="491"/>
      <c r="AF83" s="515"/>
      <c r="AH83" s="471"/>
      <c r="AI83" s="471"/>
      <c r="AJ83" s="471"/>
      <c r="AK83" s="502"/>
      <c r="AL83" s="543"/>
      <c r="AM83" s="543"/>
      <c r="AO83" s="543"/>
      <c r="AP83" s="543"/>
      <c r="AQ83" s="543"/>
      <c r="AR83" s="543"/>
      <c r="AS83" s="543"/>
      <c r="AT83" s="543"/>
      <c r="AU83" s="543"/>
      <c r="AV83" s="543"/>
      <c r="AW83" s="543"/>
      <c r="AX83" s="543"/>
      <c r="AY83" s="543"/>
      <c r="AZ83" s="543"/>
      <c r="BA83" s="543"/>
      <c r="BB83" s="543"/>
      <c r="BC83" s="543"/>
      <c r="BD83" s="543"/>
      <c r="BE83" s="543"/>
      <c r="BF83" s="471"/>
      <c r="BG83" s="471"/>
      <c r="BH83" s="471"/>
      <c r="BI83" s="471"/>
      <c r="BJ83" s="471"/>
      <c r="BK83" s="471"/>
      <c r="BL83" s="471"/>
      <c r="BM83" s="471"/>
      <c r="BN83" s="471"/>
      <c r="BO83" s="482"/>
      <c r="BP83" s="491"/>
      <c r="BQ83" s="482"/>
      <c r="BR83" s="464"/>
      <c r="BS83" s="463"/>
      <c r="BT83" s="482"/>
      <c r="BU83" s="491"/>
      <c r="BV83" s="482"/>
      <c r="BW83" s="482"/>
      <c r="BX83" s="482"/>
      <c r="BY83" s="510"/>
      <c r="BZ83" s="510"/>
      <c r="CA83" s="510"/>
      <c r="CB83" s="510"/>
      <c r="CC83" s="510"/>
      <c r="CD83" s="510"/>
      <c r="CE83" s="510"/>
      <c r="CF83" s="510"/>
    </row>
    <row r="84" spans="1:84">
      <c r="A84" s="469" t="s">
        <v>138</v>
      </c>
      <c r="C84" s="522">
        <f>+C75-C76</f>
        <v>625</v>
      </c>
      <c r="D84" s="522">
        <f>SUM(D76:D82)</f>
        <v>139</v>
      </c>
      <c r="E84" s="491"/>
      <c r="F84" s="491"/>
      <c r="G84" s="491"/>
      <c r="H84" s="491"/>
      <c r="I84" s="491"/>
      <c r="J84" s="491"/>
      <c r="K84" s="491"/>
      <c r="L84" s="491"/>
      <c r="M84" s="523"/>
      <c r="O84" s="491"/>
      <c r="P84" s="463" t="s">
        <v>138</v>
      </c>
      <c r="Q84" s="491"/>
      <c r="R84" s="491"/>
      <c r="S84" s="491"/>
      <c r="T84" s="491"/>
      <c r="U84" s="491"/>
      <c r="V84" s="491"/>
      <c r="W84" s="491"/>
      <c r="X84" s="491"/>
      <c r="Y84" s="491"/>
      <c r="Z84" s="491"/>
      <c r="AA84" s="491"/>
      <c r="AB84" s="491"/>
      <c r="AC84" s="469" t="s">
        <v>138</v>
      </c>
      <c r="AD84" s="491" t="s">
        <v>138</v>
      </c>
      <c r="AE84" s="491"/>
      <c r="AF84" s="515"/>
      <c r="AH84" s="471"/>
      <c r="AI84" s="471"/>
      <c r="AJ84" s="471"/>
      <c r="AK84" s="502"/>
      <c r="AL84" s="543"/>
      <c r="AM84" s="543"/>
      <c r="AO84" s="543"/>
      <c r="AP84" s="543"/>
      <c r="AQ84" s="543"/>
      <c r="AR84" s="543"/>
      <c r="AS84" s="543"/>
      <c r="AT84" s="543"/>
      <c r="AU84" s="543"/>
      <c r="AV84" s="543"/>
      <c r="AW84" s="543"/>
      <c r="AX84" s="543"/>
      <c r="AY84" s="543"/>
      <c r="AZ84" s="543"/>
      <c r="BA84" s="543"/>
      <c r="BB84" s="543"/>
      <c r="BC84" s="543"/>
      <c r="BD84" s="543"/>
      <c r="BE84" s="543"/>
      <c r="BF84" s="471"/>
      <c r="BG84" s="471"/>
      <c r="BH84" s="471"/>
      <c r="BI84" s="471"/>
      <c r="BJ84" s="471"/>
      <c r="BK84" s="471"/>
      <c r="BL84" s="471"/>
      <c r="BM84" s="471"/>
      <c r="BN84" s="471"/>
      <c r="BO84" s="482"/>
      <c r="BP84" s="491"/>
      <c r="BQ84" s="482"/>
      <c r="BR84" s="464"/>
      <c r="BS84" s="463"/>
      <c r="BT84" s="482"/>
      <c r="BU84" s="491"/>
      <c r="BV84" s="482"/>
      <c r="BW84" s="482"/>
      <c r="BX84" s="482"/>
      <c r="BY84" s="510"/>
      <c r="BZ84" s="510"/>
      <c r="CA84" s="510"/>
      <c r="CB84" s="510"/>
      <c r="CC84" s="510"/>
      <c r="CD84" s="510"/>
      <c r="CE84" s="510"/>
      <c r="CF84" s="510"/>
    </row>
    <row r="85" spans="1:84">
      <c r="B85" s="491">
        <f>+C91-2065</f>
        <v>219</v>
      </c>
      <c r="C85" s="491"/>
      <c r="D85" s="491"/>
      <c r="E85" s="491"/>
      <c r="F85" s="491"/>
      <c r="G85" s="491"/>
      <c r="H85" s="491"/>
      <c r="I85" s="491"/>
      <c r="J85" s="491"/>
      <c r="K85" s="491"/>
      <c r="L85" s="491"/>
      <c r="M85" s="491"/>
      <c r="N85" s="491"/>
      <c r="O85" s="491"/>
      <c r="Q85" s="491"/>
      <c r="R85" s="491"/>
      <c r="S85" s="491"/>
      <c r="T85" s="491"/>
      <c r="U85" s="491"/>
      <c r="V85" s="491"/>
      <c r="W85" s="491"/>
      <c r="X85" s="491"/>
      <c r="Y85" s="491"/>
      <c r="Z85" s="491"/>
      <c r="AA85" s="491"/>
      <c r="AB85" s="491"/>
      <c r="AC85" s="491"/>
      <c r="AH85" s="471"/>
      <c r="AI85" s="471"/>
      <c r="AJ85" s="471"/>
      <c r="AK85" s="502"/>
      <c r="AL85" s="543"/>
      <c r="AM85" s="543"/>
      <c r="AO85" s="543"/>
      <c r="AP85" s="543"/>
      <c r="AQ85" s="543"/>
      <c r="AR85" s="543"/>
      <c r="AS85" s="543"/>
      <c r="AT85" s="543"/>
      <c r="AU85" s="543"/>
      <c r="AV85" s="543"/>
      <c r="AW85" s="543"/>
      <c r="AX85" s="543"/>
      <c r="AY85" s="543"/>
      <c r="AZ85" s="543"/>
      <c r="BA85" s="543"/>
      <c r="BB85" s="543"/>
      <c r="BC85" s="543"/>
      <c r="BD85" s="543"/>
      <c r="BE85" s="543"/>
      <c r="BF85" s="471"/>
      <c r="BG85" s="471"/>
      <c r="BH85" s="471"/>
      <c r="BI85" s="471"/>
      <c r="BJ85" s="471"/>
      <c r="BK85" s="471"/>
      <c r="BL85" s="471"/>
      <c r="BM85" s="471"/>
      <c r="BN85" s="471"/>
      <c r="BO85" s="482"/>
      <c r="BP85" s="491"/>
      <c r="BQ85" s="482"/>
      <c r="BR85" s="464"/>
      <c r="BS85" s="463"/>
      <c r="BT85" s="482"/>
      <c r="BU85" s="491"/>
      <c r="BV85" s="482"/>
      <c r="BW85" s="482"/>
      <c r="BX85" s="482"/>
      <c r="BY85" s="510"/>
      <c r="BZ85" s="510"/>
      <c r="CA85" s="510"/>
      <c r="CB85" s="510"/>
      <c r="CC85" s="510"/>
      <c r="CD85" s="510"/>
      <c r="CE85" s="510"/>
      <c r="CF85" s="510"/>
    </row>
    <row r="86" spans="1:84" ht="15" thickBot="1">
      <c r="A86" s="463"/>
      <c r="B86" s="463"/>
      <c r="C86" s="487"/>
      <c r="D86" s="487"/>
      <c r="E86" s="487"/>
      <c r="F86" s="487"/>
      <c r="G86" s="487"/>
      <c r="H86" s="487"/>
      <c r="I86" s="487"/>
      <c r="J86" s="487"/>
      <c r="K86" s="487"/>
      <c r="L86" s="487"/>
      <c r="M86" s="491" t="s">
        <v>138</v>
      </c>
      <c r="Q86" s="491"/>
      <c r="R86" s="491"/>
      <c r="S86" s="491"/>
      <c r="T86" s="491"/>
      <c r="U86" s="491"/>
      <c r="V86" s="491"/>
      <c r="AB86" s="491"/>
      <c r="AC86" s="491"/>
      <c r="AH86" s="471"/>
      <c r="AI86" s="471"/>
      <c r="AJ86" s="471"/>
      <c r="AK86" s="502"/>
      <c r="AL86" s="543"/>
      <c r="AM86" s="543"/>
      <c r="AO86" s="543"/>
      <c r="AP86" s="543"/>
      <c r="AQ86" s="543"/>
      <c r="AR86" s="543"/>
      <c r="AS86" s="543"/>
      <c r="AT86" s="543"/>
      <c r="AU86" s="543"/>
      <c r="AV86" s="543"/>
      <c r="AW86" s="543"/>
      <c r="AX86" s="543"/>
      <c r="AY86" s="543"/>
      <c r="AZ86" s="543"/>
      <c r="BA86" s="543"/>
      <c r="BB86" s="543"/>
      <c r="BC86" s="543"/>
      <c r="BD86" s="543"/>
      <c r="BE86" s="543"/>
      <c r="BF86" s="471"/>
      <c r="BG86" s="471"/>
      <c r="BH86" s="471"/>
      <c r="BI86" s="471"/>
      <c r="BJ86" s="471"/>
      <c r="BK86" s="471"/>
      <c r="BL86" s="471"/>
      <c r="BM86" s="471"/>
      <c r="BN86" s="471"/>
      <c r="BO86" s="471"/>
      <c r="BP86" s="471"/>
      <c r="BQ86" s="471"/>
      <c r="BR86" s="464">
        <f>SUM(BK86:BQ86)</f>
        <v>0</v>
      </c>
      <c r="BS86" s="463">
        <v>-73</v>
      </c>
      <c r="BT86" s="482">
        <v>-460</v>
      </c>
      <c r="BU86" s="491">
        <f>SUM(BP86:BT86)</f>
        <v>-533</v>
      </c>
      <c r="BV86" s="482"/>
      <c r="BW86" s="482"/>
      <c r="BX86" s="482"/>
      <c r="BY86" s="510"/>
      <c r="BZ86" s="510"/>
      <c r="CA86" s="510"/>
      <c r="CB86" s="510"/>
      <c r="CC86" s="510"/>
      <c r="CD86" s="510"/>
      <c r="CE86" s="510"/>
      <c r="CF86" s="510"/>
    </row>
    <row r="87" spans="1:84" ht="15" thickBot="1">
      <c r="A87" s="1166" t="s">
        <v>86</v>
      </c>
      <c r="B87" s="1167" t="s">
        <v>252</v>
      </c>
      <c r="C87" s="2126" t="s">
        <v>219</v>
      </c>
      <c r="D87" s="2127"/>
      <c r="E87" s="2127"/>
      <c r="F87" s="2127"/>
      <c r="G87" s="2127"/>
      <c r="H87" s="2127"/>
      <c r="I87" s="2127"/>
      <c r="J87" s="2127"/>
      <c r="K87" s="2127"/>
      <c r="L87" s="2136"/>
      <c r="M87" s="550"/>
      <c r="N87" s="2133" t="s">
        <v>220</v>
      </c>
      <c r="O87" s="2134"/>
      <c r="P87" s="2134"/>
      <c r="Q87" s="2134"/>
      <c r="R87" s="2134"/>
      <c r="S87" s="2134"/>
      <c r="T87" s="2134"/>
      <c r="U87" s="2134"/>
      <c r="V87" s="2134"/>
      <c r="W87" s="2134"/>
      <c r="X87" s="2134"/>
      <c r="Y87" s="2134"/>
      <c r="Z87" s="2134"/>
      <c r="AA87" s="2134"/>
      <c r="AB87" s="2134"/>
      <c r="AC87" s="2135"/>
      <c r="AH87" s="471"/>
      <c r="AI87" s="471"/>
      <c r="AJ87" s="471"/>
      <c r="AK87" s="502"/>
      <c r="AL87" s="543"/>
      <c r="AM87" s="543"/>
      <c r="AO87" s="543"/>
      <c r="AP87" s="543"/>
      <c r="AQ87" s="543"/>
      <c r="AR87" s="543"/>
      <c r="AS87" s="543"/>
      <c r="AT87" s="543"/>
      <c r="AU87" s="543"/>
      <c r="AV87" s="543"/>
      <c r="AW87" s="543"/>
      <c r="AX87" s="543"/>
      <c r="AY87" s="543"/>
      <c r="AZ87" s="543"/>
      <c r="BA87" s="543"/>
      <c r="BB87" s="543"/>
      <c r="BC87" s="543"/>
      <c r="BD87" s="543"/>
      <c r="BE87" s="543"/>
      <c r="BF87" s="471"/>
      <c r="BG87" s="471"/>
      <c r="BH87" s="471"/>
      <c r="BI87" s="471"/>
      <c r="BJ87" s="471"/>
      <c r="BK87" s="471"/>
      <c r="BL87" s="471"/>
      <c r="BM87" s="471"/>
      <c r="BN87" s="471"/>
      <c r="BO87" s="471"/>
      <c r="BP87" s="471"/>
      <c r="BQ87" s="471"/>
      <c r="BR87" s="464"/>
      <c r="BS87" s="463"/>
      <c r="BT87" s="482"/>
      <c r="BU87" s="491"/>
      <c r="BV87" s="482"/>
      <c r="BW87" s="482"/>
      <c r="BX87" s="482"/>
      <c r="BY87" s="510"/>
      <c r="BZ87" s="510"/>
      <c r="CA87" s="510"/>
      <c r="CB87" s="510"/>
      <c r="CC87" s="510"/>
      <c r="CD87" s="510"/>
      <c r="CE87" s="510"/>
      <c r="CF87" s="510"/>
    </row>
    <row r="88" spans="1:84" ht="29.45" thickBot="1">
      <c r="A88" s="1533" t="s">
        <v>87</v>
      </c>
      <c r="B88" s="1534" t="s">
        <v>88</v>
      </c>
      <c r="C88" s="1535" t="s">
        <v>221</v>
      </c>
      <c r="D88" s="1536" t="s">
        <v>212</v>
      </c>
      <c r="E88" s="1536" t="s">
        <v>127</v>
      </c>
      <c r="F88" s="1536" t="s">
        <v>187</v>
      </c>
      <c r="G88" s="1536" t="s">
        <v>253</v>
      </c>
      <c r="H88" s="1536" t="s">
        <v>190</v>
      </c>
      <c r="I88" s="1536" t="s">
        <v>189</v>
      </c>
      <c r="J88" s="1536" t="s">
        <v>222</v>
      </c>
      <c r="K88" s="1537" t="s">
        <v>223</v>
      </c>
      <c r="L88" s="1538" t="s">
        <v>192</v>
      </c>
      <c r="M88" s="581" t="s">
        <v>71</v>
      </c>
      <c r="N88" s="1542" t="s">
        <v>216</v>
      </c>
      <c r="O88" s="530" t="s">
        <v>127</v>
      </c>
      <c r="P88" s="531" t="s">
        <v>187</v>
      </c>
      <c r="Q88" s="531" t="s">
        <v>253</v>
      </c>
      <c r="R88" s="560" t="s">
        <v>190</v>
      </c>
      <c r="S88" s="532" t="s">
        <v>189</v>
      </c>
      <c r="T88" s="1262" t="s">
        <v>223</v>
      </c>
      <c r="U88" s="1519" t="s">
        <v>241</v>
      </c>
      <c r="V88" s="1519"/>
      <c r="W88" s="533" t="s">
        <v>226</v>
      </c>
      <c r="X88" s="533" t="s">
        <v>227</v>
      </c>
      <c r="Y88" s="529" t="s">
        <v>228</v>
      </c>
      <c r="Z88" s="534" t="s">
        <v>229</v>
      </c>
      <c r="AA88" s="534" t="s">
        <v>230</v>
      </c>
      <c r="AB88" s="534" t="s">
        <v>231</v>
      </c>
      <c r="AC88" s="1141" t="s">
        <v>232</v>
      </c>
      <c r="AD88" s="1541" t="s">
        <v>71</v>
      </c>
      <c r="AE88" s="554" t="s">
        <v>233</v>
      </c>
      <c r="AF88" s="555" t="s">
        <v>234</v>
      </c>
      <c r="AG88" s="556" t="s">
        <v>185</v>
      </c>
      <c r="AH88" s="477"/>
      <c r="AI88" s="477"/>
      <c r="AJ88" s="477"/>
      <c r="AK88" s="537"/>
      <c r="AL88" s="477"/>
      <c r="AM88" s="477"/>
      <c r="AN88" s="503"/>
      <c r="AO88" s="477"/>
      <c r="AP88" s="477"/>
      <c r="AQ88" s="477"/>
      <c r="AR88" s="477"/>
      <c r="AS88" s="477"/>
      <c r="AT88" s="477"/>
      <c r="AU88" s="477"/>
      <c r="AV88" s="477"/>
      <c r="AW88" s="477"/>
      <c r="AX88" s="477"/>
      <c r="AY88" s="543"/>
      <c r="AZ88" s="471"/>
      <c r="BA88" s="471"/>
      <c r="BB88" s="477"/>
      <c r="BC88" s="471"/>
      <c r="BD88" s="477"/>
      <c r="BE88" s="477"/>
      <c r="BF88" s="471"/>
      <c r="BG88" s="477"/>
      <c r="BH88" s="477"/>
      <c r="BI88" s="482"/>
      <c r="BJ88" s="491"/>
      <c r="BK88" s="482"/>
      <c r="BL88" s="464">
        <f>SUM(BE88:BK88)</f>
        <v>0</v>
      </c>
      <c r="BM88" s="482">
        <v>-58</v>
      </c>
      <c r="BN88" s="482">
        <v>-479</v>
      </c>
      <c r="BO88" s="491">
        <f>SUM(BJ88:BN88)</f>
        <v>-537</v>
      </c>
      <c r="BP88" s="482"/>
      <c r="BQ88" s="482"/>
      <c r="BR88" s="482"/>
      <c r="BS88" s="469"/>
      <c r="BT88" s="469"/>
      <c r="BU88" s="469"/>
      <c r="BV88" s="510"/>
      <c r="BW88" s="510"/>
      <c r="BX88" s="510"/>
      <c r="BY88" s="510"/>
      <c r="BZ88" s="510"/>
    </row>
    <row r="89" spans="1:84" s="1372" customFormat="1" ht="15" thickBot="1">
      <c r="A89" s="1354" t="s">
        <v>105</v>
      </c>
      <c r="B89" s="1355" t="s">
        <v>254</v>
      </c>
      <c r="C89" s="1351">
        <v>1003</v>
      </c>
      <c r="D89" s="1349"/>
      <c r="E89" s="1349"/>
      <c r="F89" s="1349"/>
      <c r="G89" s="1349"/>
      <c r="H89" s="1349"/>
      <c r="I89" s="1349"/>
      <c r="J89" s="1349">
        <f>125+141+125+49+55+79+69+64+55+81+78+106+14+101+37</f>
        <v>1179</v>
      </c>
      <c r="K89" s="1349"/>
      <c r="L89" s="1357"/>
      <c r="M89" s="1360">
        <f t="shared" ref="M89:M94" si="33">SUM(C89:K89)</f>
        <v>2182</v>
      </c>
      <c r="N89" s="1352">
        <f>-152-164-185-168</f>
        <v>-669</v>
      </c>
      <c r="O89" s="1352"/>
      <c r="P89" s="1352"/>
      <c r="Q89" s="1352">
        <f>-140-110-0</f>
        <v>-250</v>
      </c>
      <c r="R89" s="1352">
        <f>-100-90</f>
        <v>-190</v>
      </c>
      <c r="S89" s="1352"/>
      <c r="T89" s="1352"/>
      <c r="U89" s="1352"/>
      <c r="V89" s="1352"/>
      <c r="W89" s="1352">
        <f>-7-1-1-4-7-5-3-6-4-3-4-7-2-2</f>
        <v>-56</v>
      </c>
      <c r="X89" s="1352"/>
      <c r="Y89" s="1351"/>
      <c r="Z89" s="1351"/>
      <c r="AA89" s="1351"/>
      <c r="AB89" s="1351"/>
      <c r="AC89" s="1351"/>
      <c r="AD89" s="1356">
        <f t="shared" ref="AD89:AD94" si="34">SUM(N89:AC89)</f>
        <v>-1165</v>
      </c>
      <c r="AE89" s="1351">
        <f t="shared" ref="AE89:AE94" si="35">+M89+AD89</f>
        <v>1017</v>
      </c>
      <c r="AF89" s="1376">
        <f>+'Villa Batch Mvnt'!D7</f>
        <v>1017</v>
      </c>
      <c r="AG89" s="1378">
        <f>AF89-AE89</f>
        <v>0</v>
      </c>
      <c r="AH89" s="1362">
        <f>AF89-C89</f>
        <v>14</v>
      </c>
      <c r="AI89" s="1362"/>
      <c r="AJ89" s="1362"/>
      <c r="AK89" s="1364"/>
      <c r="AL89" s="1362"/>
      <c r="AM89" s="1362"/>
      <c r="AN89" s="1363"/>
      <c r="AO89" s="1362"/>
      <c r="AP89" s="1362"/>
      <c r="AQ89" s="1362"/>
      <c r="AR89" s="1362"/>
      <c r="AS89" s="1362"/>
      <c r="AT89" s="1362"/>
      <c r="AU89" s="1362"/>
      <c r="AV89" s="1362"/>
      <c r="AW89" s="1362"/>
      <c r="AX89" s="1362"/>
      <c r="AY89" s="1379"/>
      <c r="AZ89" s="1362"/>
      <c r="BA89" s="1362"/>
      <c r="BB89" s="1362"/>
      <c r="BC89" s="1362"/>
      <c r="BD89" s="1362"/>
      <c r="BE89" s="1362"/>
      <c r="BF89" s="1362"/>
      <c r="BG89" s="1362"/>
      <c r="BH89" s="1362"/>
      <c r="BI89" s="1367"/>
      <c r="BJ89" s="1371"/>
      <c r="BK89" s="1367"/>
      <c r="BL89" s="1367">
        <f>SUM(BR57:BR88)</f>
        <v>0</v>
      </c>
      <c r="BM89" s="1367">
        <f>SUM(BS57:BS88)</f>
        <v>-124</v>
      </c>
      <c r="BN89" s="1367">
        <f>SUM(BT57:BT88)</f>
        <v>-941</v>
      </c>
      <c r="BO89" s="1371">
        <f t="shared" ref="BO89:BO95" si="36">+BJ89+BK89+BL89+BN89</f>
        <v>-941</v>
      </c>
      <c r="BP89" s="1362"/>
      <c r="BQ89" s="1362"/>
      <c r="BR89" s="1362"/>
      <c r="BS89" s="1369"/>
      <c r="BT89" s="1369"/>
      <c r="BU89" s="1369"/>
      <c r="BV89" s="1369"/>
      <c r="BW89" s="1369"/>
      <c r="BX89" s="1369"/>
      <c r="BY89" s="1369"/>
      <c r="BZ89" s="1369"/>
    </row>
    <row r="90" spans="1:84" s="1372" customFormat="1">
      <c r="A90" s="1354" t="s">
        <v>107</v>
      </c>
      <c r="B90" s="1355" t="s">
        <v>255</v>
      </c>
      <c r="C90" s="1350">
        <v>1089</v>
      </c>
      <c r="D90" s="1349">
        <f>152+164+185+168</f>
        <v>669</v>
      </c>
      <c r="E90" s="1349"/>
      <c r="F90" s="1349"/>
      <c r="G90" s="1349"/>
      <c r="H90" s="1349"/>
      <c r="I90" s="2210"/>
      <c r="J90" s="1349"/>
      <c r="K90" s="1349"/>
      <c r="L90" s="1357"/>
      <c r="M90" s="1360">
        <f t="shared" si="33"/>
        <v>1758</v>
      </c>
      <c r="N90" s="2210">
        <f>-181-183-196-192-0</f>
        <v>-752</v>
      </c>
      <c r="O90" s="1349"/>
      <c r="P90" s="1349"/>
      <c r="Q90" s="1352"/>
      <c r="R90" s="1349"/>
      <c r="S90" s="1349"/>
      <c r="T90" s="1349"/>
      <c r="U90" s="1349"/>
      <c r="V90" s="1349"/>
      <c r="W90" s="1349">
        <f>-2-1-1-3-1</f>
        <v>-8</v>
      </c>
      <c r="X90" s="1349"/>
      <c r="Y90" s="1350"/>
      <c r="Z90" s="1350"/>
      <c r="AA90" s="1350"/>
      <c r="AB90" s="1350"/>
      <c r="AC90" s="1350"/>
      <c r="AD90" s="1356">
        <f t="shared" si="34"/>
        <v>-760</v>
      </c>
      <c r="AE90" s="1351">
        <f t="shared" si="35"/>
        <v>998</v>
      </c>
      <c r="AF90" s="1350">
        <f>+'Villa Batch Mvnt'!D12</f>
        <v>998</v>
      </c>
      <c r="AG90" s="1383">
        <f>AF90-AE90</f>
        <v>0</v>
      </c>
      <c r="AH90" s="1362">
        <f t="shared" ref="AH90:AH95" si="37">AF90-C90</f>
        <v>-91</v>
      </c>
      <c r="AI90" s="1362"/>
      <c r="AJ90" s="1362"/>
      <c r="AK90" s="1364"/>
      <c r="AL90" s="1362"/>
      <c r="AM90" s="1362"/>
      <c r="AN90" s="1363"/>
      <c r="AO90" s="1362"/>
      <c r="AP90" s="1362"/>
      <c r="AQ90" s="1362"/>
      <c r="AR90" s="1362"/>
      <c r="AS90" s="1362"/>
      <c r="AT90" s="1362"/>
      <c r="AU90" s="1362"/>
      <c r="AV90" s="1362"/>
      <c r="AW90" s="1362"/>
      <c r="AX90" s="1362"/>
      <c r="AY90" s="1362"/>
      <c r="AZ90" s="1362"/>
      <c r="BA90" s="1362"/>
      <c r="BB90" s="1362"/>
      <c r="BC90" s="1362"/>
      <c r="BD90" s="1362"/>
      <c r="BE90" s="1362"/>
      <c r="BF90" s="1362"/>
      <c r="BG90" s="1362"/>
      <c r="BH90" s="1362"/>
      <c r="BI90" s="1367"/>
      <c r="BJ90" s="1371"/>
      <c r="BK90" s="1367"/>
      <c r="BL90" s="1367"/>
      <c r="BM90" s="1367"/>
      <c r="BN90" s="1362"/>
      <c r="BO90" s="1371">
        <f t="shared" si="36"/>
        <v>0</v>
      </c>
      <c r="BP90" s="1362"/>
      <c r="BQ90" s="1362"/>
      <c r="BR90" s="1362"/>
      <c r="BS90" s="1362"/>
      <c r="BT90" s="1362"/>
      <c r="BU90" s="1362"/>
      <c r="BV90" s="1369"/>
      <c r="BW90" s="1369"/>
      <c r="BX90" s="1369"/>
      <c r="BY90" s="1369"/>
      <c r="BZ90" s="1369"/>
    </row>
    <row r="91" spans="1:84" s="1372" customFormat="1">
      <c r="A91" s="1354" t="s">
        <v>109</v>
      </c>
      <c r="B91" s="1355" t="s">
        <v>256</v>
      </c>
      <c r="C91" s="1350">
        <v>2284</v>
      </c>
      <c r="D91" s="1754">
        <f>181+183+196+192+1</f>
        <v>753</v>
      </c>
      <c r="E91" s="1349"/>
      <c r="F91" s="1349"/>
      <c r="G91" s="1349"/>
      <c r="H91" s="1349"/>
      <c r="I91" s="1349"/>
      <c r="J91" s="1349"/>
      <c r="K91" s="1349"/>
      <c r="L91" s="1357"/>
      <c r="M91" s="1360">
        <f t="shared" si="33"/>
        <v>3037</v>
      </c>
      <c r="N91" s="1754"/>
      <c r="O91" s="1349"/>
      <c r="P91" s="1349"/>
      <c r="Q91" s="1349"/>
      <c r="R91" s="1349"/>
      <c r="S91" s="1349"/>
      <c r="T91" s="1349"/>
      <c r="U91" s="1349"/>
      <c r="V91" s="1349"/>
      <c r="W91" s="1349">
        <f>-2-2-2-1-2-2-3-1</f>
        <v>-15</v>
      </c>
      <c r="X91" s="1349">
        <f>-334-180-180-166-Y91+1</f>
        <v>-857</v>
      </c>
      <c r="Y91" s="1350">
        <f>-'[3]Sales USD'!$BD$6</f>
        <v>-2</v>
      </c>
      <c r="Z91" s="1349">
        <v>-1</v>
      </c>
      <c r="AA91" s="1350"/>
      <c r="AB91" s="1350"/>
      <c r="AC91" s="1350"/>
      <c r="AD91" s="1356">
        <f t="shared" si="34"/>
        <v>-875</v>
      </c>
      <c r="AE91" s="1350">
        <f>+M91+AD91</f>
        <v>2162</v>
      </c>
      <c r="AF91" s="1350">
        <f>+'Villa Batch Mvnt'!D28</f>
        <v>2162</v>
      </c>
      <c r="AG91" s="1383">
        <f>AF91-AE91</f>
        <v>0</v>
      </c>
      <c r="AH91" s="1362">
        <f t="shared" si="37"/>
        <v>-122</v>
      </c>
      <c r="AI91" s="1362"/>
      <c r="AJ91" s="1362"/>
      <c r="AK91" s="1364"/>
      <c r="AL91" s="1362"/>
      <c r="AM91" s="1362"/>
      <c r="AN91" s="1363"/>
      <c r="AO91" s="1362"/>
      <c r="AP91" s="1362"/>
      <c r="AQ91" s="1362"/>
      <c r="AR91" s="1362"/>
      <c r="AS91" s="1362"/>
      <c r="AT91" s="1362"/>
      <c r="AU91" s="1362"/>
      <c r="AV91" s="1362"/>
      <c r="AW91" s="1362"/>
      <c r="AX91" s="1362"/>
      <c r="AY91" s="1362"/>
      <c r="AZ91" s="1362"/>
      <c r="BA91" s="1362"/>
      <c r="BB91" s="1362"/>
      <c r="BC91" s="1362"/>
      <c r="BD91" s="1362"/>
      <c r="BE91" s="1362"/>
      <c r="BF91" s="1362"/>
      <c r="BG91" s="1362"/>
      <c r="BH91" s="1362"/>
      <c r="BI91" s="1367"/>
      <c r="BJ91" s="1371"/>
      <c r="BK91" s="1367"/>
      <c r="BL91" s="1367"/>
      <c r="BM91" s="1367"/>
      <c r="BN91" s="1362"/>
      <c r="BO91" s="1371">
        <f t="shared" si="36"/>
        <v>0</v>
      </c>
      <c r="BP91" s="1362"/>
      <c r="BQ91" s="1362"/>
      <c r="BR91" s="1362"/>
      <c r="BS91" s="1369"/>
      <c r="BT91" s="1369"/>
      <c r="BU91" s="1369"/>
      <c r="BV91" s="1369"/>
      <c r="BW91" s="1369"/>
      <c r="BX91" s="1369"/>
      <c r="BY91" s="1369"/>
      <c r="BZ91" s="1369"/>
    </row>
    <row r="92" spans="1:84">
      <c r="A92" s="1250" t="s">
        <v>111</v>
      </c>
      <c r="B92" s="1245" t="s">
        <v>252</v>
      </c>
      <c r="C92" s="1195">
        <v>142</v>
      </c>
      <c r="D92" s="1192"/>
      <c r="E92" s="1192"/>
      <c r="F92" s="1192"/>
      <c r="G92" s="1192"/>
      <c r="H92" s="1192"/>
      <c r="I92" s="1192"/>
      <c r="J92" s="1192"/>
      <c r="K92" s="1192"/>
      <c r="L92" s="1231">
        <f>5+3+5+4</f>
        <v>17</v>
      </c>
      <c r="M92" s="1248">
        <f>SUM(C92:L92)</f>
        <v>159</v>
      </c>
      <c r="N92" s="1192">
        <f>-5-5-3-1-8</f>
        <v>-22</v>
      </c>
      <c r="O92" s="1192"/>
      <c r="P92" s="1192"/>
      <c r="Q92" s="1192"/>
      <c r="R92" s="1192"/>
      <c r="S92" s="1192"/>
      <c r="T92" s="1192"/>
      <c r="U92" s="1192"/>
      <c r="V92" s="1192"/>
      <c r="W92" s="1192"/>
      <c r="X92" s="1192"/>
      <c r="Y92" s="1195"/>
      <c r="Z92" s="1195"/>
      <c r="AA92" s="1195"/>
      <c r="AB92" s="1195"/>
      <c r="AC92" s="1195"/>
      <c r="AD92" s="1193">
        <f t="shared" si="34"/>
        <v>-22</v>
      </c>
      <c r="AE92" s="1195">
        <f t="shared" si="35"/>
        <v>137</v>
      </c>
      <c r="AF92" s="1191">
        <f>+'Villa Batch Mvnt'!I6</f>
        <v>137</v>
      </c>
      <c r="AG92" s="1226">
        <f t="shared" ref="AG92:AG94" si="38">AF92-AE92</f>
        <v>0</v>
      </c>
      <c r="AH92" s="1362">
        <f t="shared" si="37"/>
        <v>-5</v>
      </c>
      <c r="AI92" s="471"/>
      <c r="AJ92" s="471"/>
      <c r="AK92" s="502"/>
      <c r="AL92" s="471"/>
      <c r="AM92" s="471"/>
      <c r="AN92" s="501"/>
      <c r="AO92" s="471"/>
      <c r="AP92" s="471"/>
      <c r="AQ92" s="471"/>
      <c r="AR92" s="471"/>
      <c r="AS92" s="471"/>
      <c r="AT92" s="471"/>
      <c r="AU92" s="471"/>
      <c r="AV92" s="471"/>
      <c r="AW92" s="471"/>
      <c r="AX92" s="471"/>
      <c r="AY92" s="471"/>
      <c r="AZ92" s="471"/>
      <c r="BA92" s="471"/>
      <c r="BB92" s="471"/>
      <c r="BC92" s="471"/>
      <c r="BD92" s="471"/>
      <c r="BE92" s="471"/>
      <c r="BF92" s="471"/>
      <c r="BG92" s="471"/>
      <c r="BH92" s="471"/>
      <c r="BI92" s="482"/>
      <c r="BJ92" s="491"/>
      <c r="BK92" s="482"/>
      <c r="BL92" s="482"/>
      <c r="BM92" s="482"/>
      <c r="BN92" s="482"/>
      <c r="BO92" s="491">
        <f t="shared" si="36"/>
        <v>0</v>
      </c>
      <c r="BP92" s="482"/>
      <c r="BQ92" s="482"/>
      <c r="BR92" s="482"/>
      <c r="BS92" s="482"/>
      <c r="BT92" s="482"/>
      <c r="BU92" s="482"/>
      <c r="BW92" s="510"/>
      <c r="BX92" s="510"/>
      <c r="BY92" s="510"/>
      <c r="BZ92" s="510"/>
    </row>
    <row r="93" spans="1:84">
      <c r="A93" s="1250" t="s">
        <v>112</v>
      </c>
      <c r="B93" s="1245" t="s">
        <v>252</v>
      </c>
      <c r="C93" s="1195">
        <v>437</v>
      </c>
      <c r="D93" s="1756">
        <f>5+5+3+8</f>
        <v>21</v>
      </c>
      <c r="E93" s="1192"/>
      <c r="F93" s="1192"/>
      <c r="G93" s="1192"/>
      <c r="H93" s="1192"/>
      <c r="I93" s="1192"/>
      <c r="J93" s="1192"/>
      <c r="K93" s="1192"/>
      <c r="L93" s="1231"/>
      <c r="M93" s="1248">
        <f t="shared" si="33"/>
        <v>458</v>
      </c>
      <c r="N93" s="1192"/>
      <c r="O93" s="1192"/>
      <c r="P93" s="1192"/>
      <c r="Q93" s="1192"/>
      <c r="R93" s="1192"/>
      <c r="S93" s="1192"/>
      <c r="T93" s="1192"/>
      <c r="U93" s="1192"/>
      <c r="V93" s="1192"/>
      <c r="W93" s="1192"/>
      <c r="X93" s="1192">
        <f>-10-4-4-4</f>
        <v>-22</v>
      </c>
      <c r="Y93" s="1195"/>
      <c r="Z93" s="1195">
        <f>-1-1-1</f>
        <v>-3</v>
      </c>
      <c r="AA93" s="1195"/>
      <c r="AB93" s="1195"/>
      <c r="AC93" s="1195"/>
      <c r="AD93" s="1193">
        <f>SUM(N93:AC93)</f>
        <v>-25</v>
      </c>
      <c r="AE93" s="1195">
        <f t="shared" si="35"/>
        <v>433</v>
      </c>
      <c r="AF93" s="1191">
        <f>+'Villa Batch Mvnt'!I5</f>
        <v>433</v>
      </c>
      <c r="AG93" s="1226">
        <f t="shared" si="38"/>
        <v>0</v>
      </c>
      <c r="AH93" s="1362">
        <f t="shared" si="37"/>
        <v>-4</v>
      </c>
      <c r="AI93" s="471"/>
      <c r="AJ93" s="471"/>
      <c r="AK93" s="502"/>
      <c r="AL93" s="471"/>
      <c r="AM93" s="471"/>
      <c r="AN93" s="501"/>
      <c r="AO93" s="471"/>
      <c r="AP93" s="471"/>
      <c r="AQ93" s="471"/>
      <c r="AR93" s="471"/>
      <c r="AS93" s="471"/>
      <c r="AT93" s="471"/>
      <c r="AU93" s="471"/>
      <c r="AV93" s="471"/>
      <c r="AW93" s="471"/>
      <c r="AX93" s="471"/>
      <c r="AY93" s="471"/>
      <c r="AZ93" s="471"/>
      <c r="BA93" s="471"/>
      <c r="BB93" s="471"/>
      <c r="BC93" s="471"/>
      <c r="BD93" s="471"/>
      <c r="BE93" s="471"/>
      <c r="BF93" s="471"/>
      <c r="BG93" s="471"/>
      <c r="BH93" s="471"/>
      <c r="BI93" s="482"/>
      <c r="BJ93" s="491"/>
      <c r="BK93" s="482"/>
      <c r="BL93" s="482"/>
      <c r="BM93" s="482"/>
      <c r="BN93" s="482"/>
      <c r="BO93" s="491">
        <f t="shared" si="36"/>
        <v>0</v>
      </c>
      <c r="BP93" s="482"/>
      <c r="BQ93" s="482"/>
      <c r="BR93" s="482"/>
      <c r="BS93" s="469"/>
      <c r="BT93" s="469"/>
      <c r="BU93" s="469"/>
      <c r="BV93" s="469"/>
      <c r="BW93" s="510"/>
      <c r="BX93" s="510"/>
      <c r="BZ93" s="510"/>
    </row>
    <row r="94" spans="1:84" ht="15" thickBot="1">
      <c r="A94" s="1539" t="s">
        <v>113</v>
      </c>
      <c r="B94" s="1540" t="s">
        <v>252</v>
      </c>
      <c r="C94" s="1198">
        <v>6</v>
      </c>
      <c r="D94" s="1227"/>
      <c r="E94" s="1227"/>
      <c r="F94" s="1227"/>
      <c r="G94" s="1227"/>
      <c r="H94" s="1227"/>
      <c r="I94" s="1227"/>
      <c r="J94" s="1227"/>
      <c r="K94" s="1227"/>
      <c r="L94" s="1256"/>
      <c r="M94" s="1248">
        <f t="shared" si="33"/>
        <v>6</v>
      </c>
      <c r="N94" s="1227"/>
      <c r="O94" s="1227"/>
      <c r="P94" s="1227"/>
      <c r="Q94" s="1227"/>
      <c r="R94" s="1227"/>
      <c r="S94" s="1227"/>
      <c r="T94" s="1227"/>
      <c r="U94" s="1227"/>
      <c r="V94" s="1227"/>
      <c r="W94" s="1227"/>
      <c r="X94" s="1227"/>
      <c r="Y94" s="1228"/>
      <c r="Z94" s="1228"/>
      <c r="AA94" s="1228"/>
      <c r="AB94" s="1228"/>
      <c r="AC94" s="1228"/>
      <c r="AD94" s="1193">
        <f t="shared" si="34"/>
        <v>0</v>
      </c>
      <c r="AE94" s="1198">
        <f t="shared" si="35"/>
        <v>6</v>
      </c>
      <c r="AF94" s="1196">
        <f>+'Villa Batch Mvnt'!I4</f>
        <v>6</v>
      </c>
      <c r="AG94" s="1226">
        <f t="shared" si="38"/>
        <v>0</v>
      </c>
      <c r="AH94" s="1362">
        <f t="shared" si="37"/>
        <v>0</v>
      </c>
      <c r="AI94" s="471"/>
      <c r="AJ94" s="471"/>
      <c r="AK94" s="502"/>
      <c r="AL94" s="471"/>
      <c r="AM94" s="471"/>
      <c r="AN94" s="501"/>
      <c r="AO94" s="471"/>
      <c r="AP94" s="471"/>
      <c r="AQ94" s="471"/>
      <c r="AR94" s="471"/>
      <c r="AS94" s="471"/>
      <c r="AT94" s="471"/>
      <c r="AU94" s="471"/>
      <c r="AV94" s="471"/>
      <c r="AW94" s="471"/>
      <c r="AX94" s="471"/>
      <c r="AY94" s="471"/>
      <c r="AZ94" s="471"/>
      <c r="BA94" s="471"/>
      <c r="BB94" s="471"/>
      <c r="BC94" s="471"/>
      <c r="BD94" s="471"/>
      <c r="BE94" s="471"/>
      <c r="BF94" s="471"/>
      <c r="BG94" s="471"/>
      <c r="BH94" s="471"/>
      <c r="BI94" s="482"/>
      <c r="BJ94" s="491"/>
      <c r="BK94" s="482"/>
      <c r="BL94" s="482"/>
      <c r="BM94" s="482"/>
      <c r="BN94" s="482"/>
      <c r="BO94" s="491">
        <f t="shared" si="36"/>
        <v>0</v>
      </c>
      <c r="BP94" s="482"/>
      <c r="BQ94" s="482"/>
      <c r="BR94" s="482"/>
      <c r="BS94" s="482"/>
      <c r="BT94" s="482"/>
      <c r="BU94" s="482"/>
      <c r="BV94" s="469"/>
      <c r="BW94" s="510"/>
      <c r="BX94" s="510"/>
      <c r="BZ94" s="510"/>
    </row>
    <row r="95" spans="1:84" ht="15" thickBot="1">
      <c r="A95" s="1530" t="s">
        <v>115</v>
      </c>
      <c r="B95" s="1531"/>
      <c r="C95" s="519">
        <f t="shared" ref="C95:J95" si="39">SUM(C89:C94)</f>
        <v>4961</v>
      </c>
      <c r="D95" s="557">
        <f t="shared" si="39"/>
        <v>1443</v>
      </c>
      <c r="E95" s="516">
        <f t="shared" si="39"/>
        <v>0</v>
      </c>
      <c r="F95" s="516">
        <f t="shared" si="39"/>
        <v>0</v>
      </c>
      <c r="G95" s="516">
        <f t="shared" si="39"/>
        <v>0</v>
      </c>
      <c r="H95" s="516">
        <f t="shared" si="39"/>
        <v>0</v>
      </c>
      <c r="I95" s="516">
        <f t="shared" si="39"/>
        <v>0</v>
      </c>
      <c r="J95" s="516">
        <f t="shared" si="39"/>
        <v>1179</v>
      </c>
      <c r="K95" s="1532">
        <f>SUM(K89:K94)</f>
        <v>0</v>
      </c>
      <c r="L95" s="1532">
        <f>SUM(L89:L94)</f>
        <v>17</v>
      </c>
      <c r="M95" s="519">
        <f>SUM(M89:M94)</f>
        <v>7600</v>
      </c>
      <c r="N95" s="557">
        <f t="shared" ref="N95:AG95" si="40">SUM(N89:N94)</f>
        <v>-1443</v>
      </c>
      <c r="O95" s="516">
        <f t="shared" si="40"/>
        <v>0</v>
      </c>
      <c r="P95" s="516">
        <f t="shared" si="40"/>
        <v>0</v>
      </c>
      <c r="Q95" s="516">
        <f t="shared" si="40"/>
        <v>-250</v>
      </c>
      <c r="R95" s="549">
        <f>SUM(R89:R94)</f>
        <v>-190</v>
      </c>
      <c r="S95" s="516">
        <f t="shared" si="40"/>
        <v>0</v>
      </c>
      <c r="T95" s="516">
        <f>SUM(T89:T94)</f>
        <v>0</v>
      </c>
      <c r="U95" s="516">
        <f>SUM(U89:U94)</f>
        <v>0</v>
      </c>
      <c r="V95" s="516"/>
      <c r="W95" s="516">
        <f t="shared" si="40"/>
        <v>-79</v>
      </c>
      <c r="X95" s="516">
        <f t="shared" si="40"/>
        <v>-879</v>
      </c>
      <c r="Y95" s="516">
        <f t="shared" si="40"/>
        <v>-2</v>
      </c>
      <c r="Z95" s="516">
        <f t="shared" si="40"/>
        <v>-4</v>
      </c>
      <c r="AA95" s="516">
        <f>SUM(AA89:AA94)</f>
        <v>0</v>
      </c>
      <c r="AB95" s="516">
        <f t="shared" si="40"/>
        <v>0</v>
      </c>
      <c r="AC95" s="516">
        <f>SUM(AC89:AC94)</f>
        <v>0</v>
      </c>
      <c r="AD95" s="1138">
        <f>SUM(AD89:AD94)</f>
        <v>-2847</v>
      </c>
      <c r="AE95" s="518">
        <f>SUM(AE89:AE94)</f>
        <v>4753</v>
      </c>
      <c r="AF95" s="558">
        <f>SUM(AF89:AF94)</f>
        <v>4753</v>
      </c>
      <c r="AG95" s="519">
        <f t="shared" si="40"/>
        <v>0</v>
      </c>
      <c r="AH95" s="1362">
        <f t="shared" si="37"/>
        <v>-208</v>
      </c>
      <c r="AI95" s="471"/>
      <c r="AJ95" s="471"/>
      <c r="AK95" s="502"/>
      <c r="AL95" s="471"/>
      <c r="AM95" s="471"/>
      <c r="AN95" s="501"/>
      <c r="AO95" s="471"/>
      <c r="AP95" s="471"/>
      <c r="AQ95" s="471"/>
      <c r="AR95" s="471"/>
      <c r="AS95" s="471"/>
      <c r="AT95" s="471"/>
      <c r="AU95" s="471"/>
      <c r="AV95" s="471"/>
      <c r="AW95" s="471"/>
      <c r="AX95" s="471"/>
      <c r="AY95" s="471"/>
      <c r="AZ95" s="471"/>
      <c r="BA95" s="471"/>
      <c r="BB95" s="471"/>
      <c r="BC95" s="471"/>
      <c r="BD95" s="471"/>
      <c r="BE95" s="471"/>
      <c r="BF95" s="471"/>
      <c r="BG95" s="471"/>
      <c r="BH95" s="471"/>
      <c r="BI95" s="482"/>
      <c r="BJ95" s="491"/>
      <c r="BK95" s="482"/>
      <c r="BL95" s="482"/>
      <c r="BM95" s="482"/>
      <c r="BN95" s="482"/>
      <c r="BO95" s="491">
        <f t="shared" si="36"/>
        <v>0</v>
      </c>
      <c r="BP95" s="482"/>
      <c r="BQ95" s="482"/>
      <c r="BR95" s="482"/>
      <c r="BS95" s="469"/>
      <c r="BT95" s="469"/>
      <c r="BU95" s="469"/>
      <c r="BV95" s="469"/>
      <c r="BW95" s="510"/>
      <c r="BX95" s="510"/>
      <c r="BZ95" s="510"/>
    </row>
    <row r="96" spans="1:84">
      <c r="A96" s="463"/>
      <c r="B96" s="464"/>
      <c r="C96" s="515">
        <v>5015</v>
      </c>
      <c r="D96" s="482">
        <f>+SUM(D95:I95)+SUM(N95:T95)+K95</f>
        <v>-440</v>
      </c>
      <c r="E96" s="515"/>
      <c r="F96" s="515"/>
      <c r="G96" s="515"/>
      <c r="H96" s="515"/>
      <c r="I96" s="515"/>
      <c r="J96" s="515"/>
      <c r="K96" s="515"/>
      <c r="L96" s="515"/>
      <c r="M96" s="559"/>
      <c r="N96" s="525">
        <f>+D95+N95</f>
        <v>0</v>
      </c>
      <c r="O96" s="515"/>
      <c r="P96" s="515"/>
      <c r="Q96" s="515"/>
      <c r="R96" s="515"/>
      <c r="S96" s="515"/>
      <c r="T96" s="515"/>
      <c r="U96" s="515"/>
      <c r="V96" s="515"/>
      <c r="W96" s="515"/>
      <c r="X96" s="515"/>
      <c r="Y96" s="515"/>
      <c r="Z96" s="515"/>
      <c r="AA96" s="515"/>
      <c r="AB96" s="515"/>
      <c r="AC96" s="515"/>
      <c r="AD96" s="515"/>
      <c r="AE96" s="515"/>
      <c r="AF96" s="515">
        <f>+AE95</f>
        <v>4753</v>
      </c>
      <c r="AG96" s="515"/>
      <c r="AH96" s="471"/>
      <c r="AI96" s="543"/>
      <c r="AJ96" s="543"/>
      <c r="AK96" s="545"/>
      <c r="AL96" s="543"/>
      <c r="AM96" s="543"/>
      <c r="AO96" s="543"/>
      <c r="AP96" s="543"/>
      <c r="AQ96" s="543"/>
      <c r="AR96" s="543"/>
      <c r="AS96" s="543"/>
      <c r="AT96" s="543"/>
      <c r="AU96" s="543"/>
      <c r="AV96" s="543"/>
      <c r="AW96" s="543"/>
      <c r="AX96" s="543"/>
      <c r="AY96" s="543"/>
      <c r="AZ96" s="543"/>
      <c r="BA96" s="543"/>
      <c r="BB96" s="471"/>
      <c r="BC96" s="471"/>
      <c r="BD96" s="471"/>
      <c r="BE96" s="471"/>
      <c r="BF96" s="471"/>
      <c r="BG96" s="471"/>
      <c r="BH96" s="471"/>
      <c r="BI96" s="471"/>
      <c r="BJ96" s="471"/>
      <c r="BK96" s="471"/>
      <c r="BL96" s="482"/>
      <c r="BM96" s="491"/>
      <c r="BN96" s="482"/>
      <c r="BO96" s="482"/>
      <c r="BP96" s="482"/>
      <c r="BQ96" s="482"/>
      <c r="BR96" s="491">
        <f>+BM96+BN96+BO96+BQ96</f>
        <v>0</v>
      </c>
      <c r="BS96" s="482"/>
      <c r="BT96" s="482"/>
      <c r="BU96" s="482"/>
      <c r="BV96" s="469"/>
      <c r="BW96" s="469"/>
      <c r="BX96" s="469"/>
      <c r="CA96" s="510"/>
      <c r="CC96" s="510"/>
    </row>
    <row r="97" spans="1:81">
      <c r="A97" s="463"/>
      <c r="B97" s="463"/>
      <c r="C97" s="482" t="s">
        <v>127</v>
      </c>
      <c r="D97" s="482">
        <f>+I18+S18</f>
        <v>0</v>
      </c>
      <c r="E97" s="482">
        <f>+D24</f>
        <v>0</v>
      </c>
      <c r="F97" s="482">
        <f t="shared" ref="F97:F102" si="41">+D97+E97</f>
        <v>0</v>
      </c>
      <c r="G97" s="515"/>
      <c r="H97" s="515"/>
      <c r="I97" s="515"/>
      <c r="J97" s="515"/>
      <c r="K97" s="515"/>
      <c r="L97" s="515"/>
      <c r="M97" s="559"/>
      <c r="N97" s="515"/>
      <c r="O97" s="515"/>
      <c r="P97" s="515"/>
      <c r="Q97" s="515"/>
      <c r="R97" s="515"/>
      <c r="S97" s="515"/>
      <c r="T97" s="515"/>
      <c r="U97" s="515"/>
      <c r="V97" s="515"/>
      <c r="W97" s="515"/>
      <c r="X97" s="515"/>
      <c r="Y97" s="515"/>
      <c r="Z97" s="515"/>
      <c r="AA97" s="515"/>
      <c r="AB97" s="515"/>
      <c r="AC97" s="515"/>
      <c r="AD97" s="515"/>
      <c r="AE97" s="515"/>
      <c r="AF97" s="515">
        <f>+AF95-AF96</f>
        <v>0</v>
      </c>
      <c r="AG97" s="515"/>
      <c r="AH97" s="471"/>
      <c r="AI97" s="543"/>
      <c r="AJ97" s="543"/>
      <c r="AK97" s="545"/>
      <c r="AL97" s="543"/>
      <c r="AM97" s="543"/>
      <c r="AO97" s="543"/>
      <c r="AP97" s="543"/>
      <c r="AQ97" s="543"/>
      <c r="AR97" s="543"/>
      <c r="AS97" s="543"/>
      <c r="AT97" s="543"/>
      <c r="AU97" s="543"/>
      <c r="AV97" s="543"/>
      <c r="AW97" s="543"/>
      <c r="AX97" s="543"/>
      <c r="AY97" s="543"/>
      <c r="AZ97" s="543"/>
      <c r="BA97" s="543"/>
      <c r="BB97" s="471"/>
      <c r="BC97" s="471"/>
      <c r="BD97" s="471"/>
      <c r="BE97" s="471"/>
      <c r="BF97" s="471"/>
      <c r="BG97" s="471"/>
      <c r="BH97" s="471"/>
      <c r="BI97" s="471"/>
      <c r="BJ97" s="471"/>
      <c r="BK97" s="471"/>
      <c r="BL97" s="482"/>
      <c r="BM97" s="491"/>
      <c r="BN97" s="482"/>
      <c r="BO97" s="482"/>
      <c r="BP97" s="482"/>
      <c r="BQ97" s="482"/>
      <c r="BR97" s="491"/>
      <c r="BS97" s="482"/>
      <c r="BT97" s="482"/>
      <c r="BU97" s="482"/>
      <c r="BV97" s="469"/>
      <c r="BW97" s="469"/>
      <c r="BX97" s="469"/>
      <c r="CA97" s="510"/>
      <c r="CC97" s="510"/>
    </row>
    <row r="98" spans="1:81">
      <c r="A98" s="463"/>
      <c r="B98" s="463"/>
      <c r="C98" s="482" t="s">
        <v>190</v>
      </c>
      <c r="D98" s="482">
        <f>+I37+S37</f>
        <v>190</v>
      </c>
      <c r="E98" s="482">
        <f>+D43</f>
        <v>-190</v>
      </c>
      <c r="F98" s="482">
        <f t="shared" si="41"/>
        <v>0</v>
      </c>
      <c r="G98" s="515"/>
      <c r="H98" s="515"/>
      <c r="I98" s="515"/>
      <c r="J98" s="515"/>
      <c r="K98" s="515"/>
      <c r="L98" s="515"/>
      <c r="M98" s="559"/>
      <c r="N98" s="515"/>
      <c r="O98" s="515"/>
      <c r="P98" s="515"/>
      <c r="Q98" s="515"/>
      <c r="R98" s="515"/>
      <c r="S98" s="515"/>
      <c r="T98" s="515"/>
      <c r="U98" s="515"/>
      <c r="V98" s="515"/>
      <c r="W98" s="515"/>
      <c r="X98" s="515"/>
      <c r="Y98" s="515"/>
      <c r="Z98" s="515"/>
      <c r="AA98" s="515"/>
      <c r="AB98" s="515"/>
      <c r="AC98" s="515"/>
      <c r="AD98" s="515"/>
      <c r="AE98" s="515"/>
      <c r="AF98" s="515"/>
      <c r="AG98" s="515"/>
      <c r="AH98" s="471"/>
      <c r="AI98" s="543"/>
      <c r="AJ98" s="543"/>
      <c r="AK98" s="545"/>
      <c r="AL98" s="543"/>
      <c r="AM98" s="543"/>
      <c r="AO98" s="543"/>
      <c r="AP98" s="543"/>
      <c r="AQ98" s="543"/>
      <c r="AR98" s="543"/>
      <c r="AS98" s="543"/>
      <c r="AT98" s="543"/>
      <c r="AU98" s="543"/>
      <c r="AV98" s="543"/>
      <c r="AW98" s="543"/>
      <c r="AX98" s="543"/>
      <c r="AY98" s="543"/>
      <c r="AZ98" s="543"/>
      <c r="BA98" s="543"/>
      <c r="BB98" s="471"/>
      <c r="BC98" s="471"/>
      <c r="BD98" s="471"/>
      <c r="BE98" s="471"/>
      <c r="BF98" s="471"/>
      <c r="BG98" s="471"/>
      <c r="BH98" s="471"/>
      <c r="BI98" s="471"/>
      <c r="BJ98" s="471"/>
      <c r="BK98" s="471"/>
      <c r="BL98" s="482"/>
      <c r="BM98" s="491"/>
      <c r="BN98" s="482"/>
      <c r="BO98" s="482"/>
      <c r="BP98" s="482"/>
      <c r="BQ98" s="482"/>
      <c r="BR98" s="491"/>
      <c r="BS98" s="482"/>
      <c r="BT98" s="482"/>
      <c r="BU98" s="482"/>
      <c r="BV98" s="469"/>
      <c r="BW98" s="469"/>
      <c r="BX98" s="469"/>
      <c r="CA98" s="510"/>
      <c r="CC98" s="510"/>
    </row>
    <row r="99" spans="1:81">
      <c r="A99" s="463"/>
      <c r="B99" s="463"/>
      <c r="C99" s="482" t="s">
        <v>251</v>
      </c>
      <c r="D99" s="482">
        <f>+I56+S56</f>
        <v>0</v>
      </c>
      <c r="E99" s="482">
        <f>+D62</f>
        <v>0</v>
      </c>
      <c r="F99" s="482">
        <f t="shared" si="41"/>
        <v>0</v>
      </c>
      <c r="G99" s="515"/>
      <c r="H99" s="515"/>
      <c r="I99" s="515"/>
      <c r="J99" s="515"/>
      <c r="K99" s="515"/>
      <c r="L99" s="515"/>
      <c r="M99" s="559"/>
      <c r="N99" s="515"/>
      <c r="O99" s="515"/>
      <c r="P99" s="515"/>
      <c r="Q99" s="515"/>
      <c r="R99" s="515"/>
      <c r="S99" s="515"/>
      <c r="T99" s="515"/>
      <c r="U99" s="515"/>
      <c r="V99" s="515"/>
      <c r="W99" s="515"/>
      <c r="X99" s="515"/>
      <c r="Y99" s="515"/>
      <c r="Z99" s="515"/>
      <c r="AA99" s="515"/>
      <c r="AB99" s="515"/>
      <c r="AC99" s="515"/>
      <c r="AD99" s="515"/>
      <c r="AE99" s="515"/>
      <c r="AF99" s="515"/>
      <c r="AG99" s="515"/>
      <c r="AH99" s="471"/>
      <c r="AI99" s="543"/>
      <c r="AJ99" s="543"/>
      <c r="AK99" s="545"/>
      <c r="AL99" s="543"/>
      <c r="AM99" s="543"/>
      <c r="AO99" s="543"/>
      <c r="AP99" s="543"/>
      <c r="AQ99" s="543"/>
      <c r="AR99" s="543"/>
      <c r="AS99" s="543"/>
      <c r="AT99" s="543"/>
      <c r="AU99" s="543"/>
      <c r="AV99" s="543"/>
      <c r="AW99" s="543"/>
      <c r="AX99" s="543"/>
      <c r="AY99" s="543"/>
      <c r="AZ99" s="543"/>
      <c r="BA99" s="543"/>
      <c r="BB99" s="471"/>
      <c r="BC99" s="471"/>
      <c r="BD99" s="471"/>
      <c r="BE99" s="471"/>
      <c r="BF99" s="471"/>
      <c r="BG99" s="471"/>
      <c r="BH99" s="471"/>
      <c r="BI99" s="471"/>
      <c r="BJ99" s="471"/>
      <c r="BK99" s="471"/>
      <c r="BL99" s="482"/>
      <c r="BM99" s="491"/>
      <c r="BN99" s="482"/>
      <c r="BO99" s="482"/>
      <c r="BP99" s="482"/>
      <c r="BQ99" s="482"/>
      <c r="BR99" s="491"/>
      <c r="BS99" s="482"/>
      <c r="BT99" s="482"/>
      <c r="BU99" s="482"/>
      <c r="BV99" s="469"/>
      <c r="BW99" s="469"/>
      <c r="BX99" s="469"/>
      <c r="CA99" s="510"/>
      <c r="CC99" s="510"/>
    </row>
    <row r="100" spans="1:81">
      <c r="A100" s="463"/>
      <c r="B100" s="463"/>
      <c r="C100" s="482" t="s">
        <v>257</v>
      </c>
      <c r="D100" s="482">
        <f>+I75+Q75</f>
        <v>250</v>
      </c>
      <c r="E100" s="482">
        <f>+D81</f>
        <v>-250</v>
      </c>
      <c r="F100" s="482">
        <f t="shared" si="41"/>
        <v>0</v>
      </c>
      <c r="G100" s="515"/>
      <c r="H100" s="515"/>
      <c r="I100" s="515"/>
      <c r="J100" s="515"/>
      <c r="K100" s="515"/>
      <c r="L100" s="515"/>
      <c r="M100" s="559"/>
      <c r="N100" s="515"/>
      <c r="O100" s="515"/>
      <c r="P100" s="515"/>
      <c r="Q100" s="515"/>
      <c r="R100" s="515"/>
      <c r="S100" s="515"/>
      <c r="T100" s="515"/>
      <c r="U100" s="515"/>
      <c r="V100" s="515"/>
      <c r="W100" s="515"/>
      <c r="X100" s="515"/>
      <c r="Y100" s="515"/>
      <c r="Z100" s="515"/>
      <c r="AA100" s="515"/>
      <c r="AB100" s="515"/>
      <c r="AC100" s="515"/>
      <c r="AD100" s="515"/>
      <c r="AE100" s="515"/>
      <c r="AF100" s="515"/>
      <c r="AG100" s="515"/>
      <c r="AH100" s="471"/>
      <c r="AI100" s="543"/>
      <c r="AJ100" s="543"/>
      <c r="AK100" s="545"/>
      <c r="AL100" s="543"/>
      <c r="AM100" s="543"/>
      <c r="AO100" s="543"/>
      <c r="AP100" s="543"/>
      <c r="AQ100" s="543"/>
      <c r="AR100" s="543"/>
      <c r="AS100" s="543"/>
      <c r="AT100" s="543"/>
      <c r="AU100" s="543"/>
      <c r="AV100" s="543"/>
      <c r="AW100" s="543"/>
      <c r="AX100" s="543"/>
      <c r="AY100" s="543"/>
      <c r="AZ100" s="543"/>
      <c r="BA100" s="543"/>
      <c r="BB100" s="471"/>
      <c r="BC100" s="471"/>
      <c r="BD100" s="471"/>
      <c r="BE100" s="471"/>
      <c r="BF100" s="471"/>
      <c r="BG100" s="471"/>
      <c r="BH100" s="471"/>
      <c r="BI100" s="471"/>
      <c r="BJ100" s="471"/>
      <c r="BK100" s="471"/>
      <c r="BL100" s="482"/>
      <c r="BM100" s="491"/>
      <c r="BN100" s="482"/>
      <c r="BO100" s="482"/>
      <c r="BP100" s="482"/>
      <c r="BQ100" s="482"/>
      <c r="BR100" s="491"/>
      <c r="BS100" s="482"/>
      <c r="BT100" s="482"/>
      <c r="BU100" s="482"/>
      <c r="BV100" s="469"/>
      <c r="BW100" s="469"/>
      <c r="BX100" s="469"/>
      <c r="CA100" s="510"/>
      <c r="CC100" s="510"/>
    </row>
    <row r="101" spans="1:81">
      <c r="A101" s="463"/>
      <c r="B101" s="463"/>
      <c r="C101" s="482" t="s">
        <v>239</v>
      </c>
      <c r="D101" s="482">
        <f>+I114+S114</f>
        <v>0</v>
      </c>
      <c r="E101" s="482">
        <f>+D121</f>
        <v>0</v>
      </c>
      <c r="F101" s="482">
        <f t="shared" si="41"/>
        <v>0</v>
      </c>
      <c r="G101" s="515"/>
      <c r="H101" s="515"/>
      <c r="I101" s="515"/>
      <c r="J101" s="515"/>
      <c r="K101" s="515"/>
      <c r="L101" s="515"/>
      <c r="M101" s="559"/>
      <c r="N101" s="515"/>
      <c r="O101" s="515"/>
      <c r="P101" s="515"/>
      <c r="Q101" s="515"/>
      <c r="R101" s="515"/>
      <c r="S101" s="515"/>
      <c r="T101" s="515"/>
      <c r="U101" s="515"/>
      <c r="V101" s="515"/>
      <c r="W101" s="515"/>
      <c r="X101" s="515"/>
      <c r="Y101" s="515"/>
      <c r="Z101" s="515"/>
      <c r="AA101" s="515"/>
      <c r="AB101" s="515"/>
      <c r="AC101" s="515"/>
      <c r="AD101" s="515"/>
      <c r="AE101" s="515"/>
      <c r="AF101" s="515"/>
      <c r="AG101" s="515"/>
      <c r="AH101" s="471"/>
      <c r="AI101" s="543"/>
      <c r="AJ101" s="543"/>
      <c r="AK101" s="545"/>
      <c r="AL101" s="543"/>
      <c r="AM101" s="543"/>
      <c r="AO101" s="543"/>
      <c r="AP101" s="543"/>
      <c r="AQ101" s="543"/>
      <c r="AR101" s="543"/>
      <c r="AS101" s="543"/>
      <c r="AT101" s="543"/>
      <c r="AU101" s="543"/>
      <c r="AV101" s="543"/>
      <c r="AW101" s="543"/>
      <c r="AX101" s="543"/>
      <c r="AY101" s="543"/>
      <c r="AZ101" s="543"/>
      <c r="BA101" s="543"/>
      <c r="BB101" s="471"/>
      <c r="BC101" s="471"/>
      <c r="BD101" s="471"/>
      <c r="BE101" s="471"/>
      <c r="BF101" s="471"/>
      <c r="BG101" s="471"/>
      <c r="BH101" s="471"/>
      <c r="BI101" s="471"/>
      <c r="BJ101" s="471"/>
      <c r="BK101" s="471"/>
      <c r="BL101" s="482"/>
      <c r="BM101" s="491"/>
      <c r="BN101" s="482"/>
      <c r="BO101" s="482"/>
      <c r="BP101" s="482"/>
      <c r="BQ101" s="482"/>
      <c r="BR101" s="491"/>
      <c r="BS101" s="482"/>
      <c r="BT101" s="482"/>
      <c r="BU101" s="482"/>
      <c r="BV101" s="469"/>
      <c r="BW101" s="469"/>
      <c r="BX101" s="469"/>
      <c r="CA101" s="510"/>
      <c r="CC101" s="510"/>
    </row>
    <row r="102" spans="1:81">
      <c r="A102" s="463"/>
      <c r="B102" s="463"/>
      <c r="C102" s="482" t="s">
        <v>76</v>
      </c>
      <c r="D102" s="482">
        <f>+I133+S133</f>
        <v>0</v>
      </c>
      <c r="E102" s="482">
        <f>+D139</f>
        <v>0</v>
      </c>
      <c r="F102" s="482">
        <f t="shared" si="41"/>
        <v>0</v>
      </c>
      <c r="G102" s="515"/>
      <c r="H102" s="515"/>
      <c r="I102" s="515"/>
      <c r="J102" s="515"/>
      <c r="K102" s="515"/>
      <c r="L102" s="515"/>
      <c r="M102" s="559"/>
      <c r="N102" s="515"/>
      <c r="O102" s="515"/>
      <c r="P102" s="515"/>
      <c r="Q102" s="515"/>
      <c r="R102" s="515"/>
      <c r="S102" s="515"/>
      <c r="T102" s="515"/>
      <c r="U102" s="515"/>
      <c r="V102" s="515"/>
      <c r="W102" s="515"/>
      <c r="X102" s="515"/>
      <c r="Y102" s="515"/>
      <c r="Z102" s="515"/>
      <c r="AA102" s="515"/>
      <c r="AB102" s="515"/>
      <c r="AC102" s="515"/>
      <c r="AD102" s="515"/>
      <c r="AE102" s="515"/>
      <c r="AF102" s="515"/>
      <c r="AG102" s="515"/>
      <c r="AH102" s="471"/>
      <c r="AI102" s="543"/>
      <c r="AJ102" s="543"/>
      <c r="AK102" s="545"/>
      <c r="AL102" s="543"/>
      <c r="AM102" s="543"/>
      <c r="AO102" s="543"/>
      <c r="AP102" s="543"/>
      <c r="AQ102" s="543"/>
      <c r="AR102" s="543"/>
      <c r="AS102" s="543"/>
      <c r="AT102" s="543"/>
      <c r="AU102" s="543"/>
      <c r="AV102" s="543"/>
      <c r="AW102" s="543"/>
      <c r="AX102" s="543"/>
      <c r="AY102" s="543"/>
      <c r="AZ102" s="543"/>
      <c r="BA102" s="543"/>
      <c r="BB102" s="471"/>
      <c r="BC102" s="471"/>
      <c r="BD102" s="471"/>
      <c r="BE102" s="471"/>
      <c r="BF102" s="471"/>
      <c r="BG102" s="471"/>
      <c r="BH102" s="471"/>
      <c r="BI102" s="471"/>
      <c r="BJ102" s="471"/>
      <c r="BK102" s="471"/>
      <c r="BL102" s="482"/>
      <c r="BM102" s="491"/>
      <c r="BN102" s="482"/>
      <c r="BO102" s="482"/>
      <c r="BP102" s="482"/>
      <c r="BQ102" s="482"/>
      <c r="BR102" s="491"/>
      <c r="BS102" s="482"/>
      <c r="BT102" s="482"/>
      <c r="BU102" s="482"/>
      <c r="BV102" s="469"/>
      <c r="BW102" s="469"/>
      <c r="BX102" s="469"/>
      <c r="CA102" s="510"/>
      <c r="CC102" s="510"/>
    </row>
    <row r="103" spans="1:81">
      <c r="A103" s="463"/>
      <c r="B103" s="463"/>
      <c r="C103" s="482" t="s">
        <v>225</v>
      </c>
      <c r="D103" s="482"/>
      <c r="E103" s="482"/>
      <c r="F103" s="482"/>
      <c r="G103" s="515"/>
      <c r="H103" s="515"/>
      <c r="I103" s="515"/>
      <c r="J103" s="515"/>
      <c r="K103" s="515"/>
      <c r="L103" s="515"/>
      <c r="M103" s="559"/>
      <c r="N103" s="515"/>
      <c r="O103" s="515"/>
      <c r="P103" s="515"/>
      <c r="Q103" s="515"/>
      <c r="R103" s="515"/>
      <c r="S103" s="515"/>
      <c r="T103" s="515"/>
      <c r="U103" s="515"/>
      <c r="V103" s="515"/>
      <c r="W103" s="515"/>
      <c r="X103" s="515"/>
      <c r="Y103" s="515"/>
      <c r="Z103" s="515"/>
      <c r="AA103" s="515"/>
      <c r="AB103" s="515"/>
      <c r="AC103" s="515"/>
      <c r="AD103" s="515"/>
      <c r="AE103" s="515"/>
      <c r="AF103" s="515"/>
      <c r="AG103" s="515"/>
      <c r="AH103" s="471"/>
      <c r="AI103" s="543"/>
      <c r="AJ103" s="543"/>
      <c r="AK103" s="545"/>
      <c r="AL103" s="543"/>
      <c r="AM103" s="543"/>
      <c r="AO103" s="543"/>
      <c r="AP103" s="543"/>
      <c r="AQ103" s="543"/>
      <c r="AR103" s="543"/>
      <c r="AS103" s="543"/>
      <c r="AT103" s="543"/>
      <c r="AU103" s="543"/>
      <c r="AV103" s="543"/>
      <c r="AW103" s="543"/>
      <c r="AX103" s="543"/>
      <c r="AY103" s="543"/>
      <c r="AZ103" s="543"/>
      <c r="BA103" s="543"/>
      <c r="BB103" s="471"/>
      <c r="BC103" s="471"/>
      <c r="BD103" s="471"/>
      <c r="BE103" s="471"/>
      <c r="BF103" s="471"/>
      <c r="BG103" s="471"/>
      <c r="BH103" s="471"/>
      <c r="BI103" s="471"/>
      <c r="BJ103" s="471"/>
      <c r="BK103" s="471"/>
      <c r="BL103" s="482"/>
      <c r="BM103" s="491"/>
      <c r="BN103" s="482"/>
      <c r="BO103" s="482"/>
      <c r="BP103" s="482"/>
      <c r="BQ103" s="482"/>
      <c r="BR103" s="491"/>
      <c r="BS103" s="482"/>
      <c r="BT103" s="482"/>
      <c r="BU103" s="482"/>
      <c r="BV103" s="469"/>
      <c r="BW103" s="469"/>
      <c r="BX103" s="469"/>
      <c r="CA103" s="510"/>
      <c r="CC103" s="510"/>
    </row>
    <row r="104" spans="1:81">
      <c r="A104" s="463"/>
      <c r="B104" s="463"/>
      <c r="C104" s="525">
        <f>+C95-C96</f>
        <v>-54</v>
      </c>
      <c r="D104" s="525">
        <f>SUM(D96:D102)</f>
        <v>0</v>
      </c>
      <c r="E104" s="515"/>
      <c r="F104" s="515"/>
      <c r="G104" s="515"/>
      <c r="H104" s="515"/>
      <c r="I104" s="515"/>
      <c r="J104" s="515"/>
      <c r="K104" s="515"/>
      <c r="L104" s="515"/>
      <c r="M104" s="559"/>
      <c r="N104" s="515"/>
      <c r="O104" s="515"/>
      <c r="P104" s="515"/>
      <c r="Q104" s="515"/>
      <c r="R104" s="515"/>
      <c r="S104" s="515"/>
      <c r="T104" s="515"/>
      <c r="U104" s="515"/>
      <c r="V104" s="515"/>
      <c r="W104" s="515"/>
      <c r="X104" s="515"/>
      <c r="Y104" s="515"/>
      <c r="Z104" s="515"/>
      <c r="AA104" s="515"/>
      <c r="AB104" s="515"/>
      <c r="AC104" s="515"/>
      <c r="AD104" s="515"/>
      <c r="AE104" s="515"/>
      <c r="AF104" s="515"/>
      <c r="AG104" s="515"/>
      <c r="AH104" s="471"/>
      <c r="AI104" s="543"/>
      <c r="AJ104" s="543"/>
      <c r="AK104" s="545"/>
      <c r="AL104" s="543"/>
      <c r="AM104" s="543"/>
      <c r="AO104" s="543"/>
      <c r="AP104" s="543"/>
      <c r="AQ104" s="543"/>
      <c r="AR104" s="543"/>
      <c r="AS104" s="543"/>
      <c r="AT104" s="543"/>
      <c r="AU104" s="543"/>
      <c r="AV104" s="543"/>
      <c r="AW104" s="543"/>
      <c r="AX104" s="543"/>
      <c r="AY104" s="543"/>
      <c r="AZ104" s="543"/>
      <c r="BA104" s="543"/>
      <c r="BB104" s="471"/>
      <c r="BC104" s="471"/>
      <c r="BD104" s="471"/>
      <c r="BE104" s="471"/>
      <c r="BF104" s="471"/>
      <c r="BG104" s="471"/>
      <c r="BH104" s="471"/>
      <c r="BI104" s="471"/>
      <c r="BJ104" s="471"/>
      <c r="BK104" s="471"/>
      <c r="BL104" s="482"/>
      <c r="BM104" s="491"/>
      <c r="BN104" s="482"/>
      <c r="BO104" s="482"/>
      <c r="BP104" s="482"/>
      <c r="BQ104" s="482"/>
      <c r="BR104" s="491">
        <f>+BM104+BN104+BO104+BQ104</f>
        <v>0</v>
      </c>
      <c r="BS104" s="482"/>
      <c r="BT104" s="482"/>
      <c r="BU104" s="482"/>
      <c r="BV104" s="469"/>
      <c r="BW104" s="469"/>
      <c r="BX104" s="469"/>
      <c r="CA104" s="510"/>
      <c r="CC104" s="510"/>
    </row>
    <row r="105" spans="1:81" ht="15" thickBot="1">
      <c r="A105" s="463"/>
      <c r="B105" s="465" t="s">
        <v>138</v>
      </c>
      <c r="C105" s="515"/>
      <c r="D105" s="515"/>
      <c r="E105" s="515"/>
      <c r="F105" s="515"/>
      <c r="G105" s="515"/>
      <c r="H105" s="515"/>
      <c r="I105" s="515"/>
      <c r="J105" s="515"/>
      <c r="K105" s="515"/>
      <c r="L105" s="515"/>
      <c r="M105" s="515"/>
      <c r="N105" s="515"/>
      <c r="O105" s="515"/>
      <c r="P105" s="515"/>
      <c r="Q105" s="515"/>
      <c r="R105" s="515"/>
      <c r="S105" s="515"/>
      <c r="T105" s="515"/>
      <c r="U105" s="515"/>
      <c r="V105" s="515"/>
      <c r="W105" s="515"/>
      <c r="X105" s="515"/>
      <c r="Y105" s="515"/>
      <c r="Z105" s="515"/>
      <c r="AA105" s="515"/>
      <c r="AB105" s="515"/>
      <c r="AC105" s="515"/>
      <c r="AD105" s="515"/>
      <c r="AE105" s="515"/>
      <c r="AF105" s="515"/>
      <c r="AG105" s="515"/>
      <c r="AH105" s="471"/>
      <c r="AI105" s="543"/>
      <c r="AJ105" s="543"/>
      <c r="AK105" s="545"/>
      <c r="AL105" s="543"/>
      <c r="AM105" s="543"/>
      <c r="AO105" s="543"/>
      <c r="AP105" s="543"/>
      <c r="AQ105" s="543"/>
      <c r="AR105" s="543"/>
      <c r="AS105" s="543"/>
      <c r="AT105" s="543"/>
      <c r="AU105" s="543"/>
      <c r="AV105" s="543"/>
      <c r="AW105" s="543"/>
      <c r="AX105" s="543"/>
      <c r="AY105" s="543"/>
      <c r="AZ105" s="543"/>
      <c r="BA105" s="543"/>
      <c r="BB105" s="471"/>
      <c r="BC105" s="471"/>
      <c r="BD105" s="471"/>
      <c r="BE105" s="471"/>
      <c r="BF105" s="471"/>
      <c r="BG105" s="471"/>
      <c r="BH105" s="471"/>
      <c r="BI105" s="471"/>
      <c r="BJ105" s="471"/>
      <c r="BK105" s="471"/>
      <c r="BL105" s="482"/>
      <c r="BM105" s="482"/>
      <c r="BN105" s="482"/>
      <c r="BO105" s="482"/>
      <c r="BP105" s="482"/>
      <c r="BQ105" s="482"/>
      <c r="BR105" s="491">
        <f>+BM105+BN105+BO105+BQ105</f>
        <v>0</v>
      </c>
      <c r="BS105" s="482"/>
      <c r="BT105" s="482"/>
      <c r="BU105" s="482"/>
      <c r="BV105" s="469"/>
      <c r="BW105" s="469"/>
      <c r="BX105" s="469"/>
      <c r="CA105" s="510"/>
      <c r="CC105" s="510"/>
    </row>
    <row r="106" spans="1:81" ht="15" thickBot="1">
      <c r="A106" s="1166" t="s">
        <v>86</v>
      </c>
      <c r="B106" s="1167" t="s">
        <v>258</v>
      </c>
      <c r="C106" s="2127" t="s">
        <v>219</v>
      </c>
      <c r="D106" s="2127"/>
      <c r="E106" s="2127"/>
      <c r="F106" s="2127"/>
      <c r="G106" s="2127"/>
      <c r="H106" s="2127"/>
      <c r="I106" s="2127"/>
      <c r="J106" s="2127"/>
      <c r="K106" s="2127"/>
      <c r="L106" s="2136"/>
      <c r="M106" s="469" t="s">
        <v>259</v>
      </c>
      <c r="N106" s="2133" t="s">
        <v>220</v>
      </c>
      <c r="O106" s="2134"/>
      <c r="P106" s="2134"/>
      <c r="Q106" s="2134"/>
      <c r="R106" s="2134"/>
      <c r="S106" s="2134"/>
      <c r="T106" s="2134"/>
      <c r="U106" s="2134"/>
      <c r="V106" s="2134"/>
      <c r="W106" s="2134"/>
      <c r="X106" s="2134"/>
      <c r="Y106" s="2134"/>
      <c r="Z106" s="2134"/>
      <c r="AA106" s="2134"/>
      <c r="AB106" s="2134"/>
      <c r="AC106" s="2135"/>
      <c r="AH106" s="471"/>
      <c r="AI106" s="543"/>
      <c r="AJ106" s="543"/>
      <c r="AK106" s="545"/>
      <c r="AL106" s="543"/>
      <c r="AM106" s="543"/>
      <c r="AO106" s="543"/>
      <c r="AP106" s="543"/>
      <c r="AQ106" s="543"/>
      <c r="AR106" s="543"/>
      <c r="AS106" s="543"/>
      <c r="AT106" s="543"/>
      <c r="AU106" s="543"/>
      <c r="AV106" s="543"/>
      <c r="AW106" s="543"/>
      <c r="AX106" s="543"/>
      <c r="AY106" s="543"/>
      <c r="AZ106" s="543"/>
      <c r="BA106" s="543"/>
      <c r="BB106" s="471"/>
      <c r="BC106" s="471"/>
      <c r="BD106" s="471"/>
      <c r="BE106" s="471"/>
      <c r="BF106" s="471"/>
      <c r="BG106" s="471"/>
      <c r="BH106" s="471"/>
      <c r="BI106" s="471"/>
      <c r="BJ106" s="471"/>
      <c r="BK106" s="471"/>
      <c r="BL106" s="482"/>
      <c r="BM106" s="482"/>
      <c r="BN106" s="482"/>
      <c r="BO106" s="482"/>
      <c r="BP106" s="482"/>
      <c r="BQ106" s="482"/>
      <c r="BR106" s="491">
        <f>+BM106+BN106+BO106+BQ106</f>
        <v>0</v>
      </c>
      <c r="BS106" s="482"/>
      <c r="BT106" s="482"/>
      <c r="BU106" s="482"/>
      <c r="BV106" s="469"/>
      <c r="BW106" s="469"/>
      <c r="BX106" s="469"/>
      <c r="CA106" s="510"/>
      <c r="CC106" s="510"/>
    </row>
    <row r="107" spans="1:81" ht="29.45" thickBot="1">
      <c r="A107" s="1533" t="s">
        <v>87</v>
      </c>
      <c r="B107" s="1534" t="s">
        <v>88</v>
      </c>
      <c r="C107" s="1535" t="s">
        <v>221</v>
      </c>
      <c r="D107" s="1536" t="s">
        <v>212</v>
      </c>
      <c r="E107" s="1536" t="s">
        <v>127</v>
      </c>
      <c r="F107" s="1536" t="s">
        <v>187</v>
      </c>
      <c r="G107" s="1536" t="s">
        <v>253</v>
      </c>
      <c r="H107" s="1536" t="s">
        <v>191</v>
      </c>
      <c r="I107" s="1536" t="s">
        <v>214</v>
      </c>
      <c r="J107" s="1536" t="s">
        <v>222</v>
      </c>
      <c r="K107" s="1537" t="s">
        <v>223</v>
      </c>
      <c r="L107" s="1538" t="s">
        <v>260</v>
      </c>
      <c r="M107" s="496" t="s">
        <v>71</v>
      </c>
      <c r="N107" s="535" t="s">
        <v>216</v>
      </c>
      <c r="O107" s="530" t="s">
        <v>127</v>
      </c>
      <c r="P107" s="531" t="s">
        <v>187</v>
      </c>
      <c r="Q107" s="531" t="s">
        <v>253</v>
      </c>
      <c r="R107" s="560" t="s">
        <v>190</v>
      </c>
      <c r="S107" s="561" t="s">
        <v>214</v>
      </c>
      <c r="T107" s="1262" t="s">
        <v>223</v>
      </c>
      <c r="U107" s="1519" t="s">
        <v>241</v>
      </c>
      <c r="V107" s="1519"/>
      <c r="W107" s="533" t="s">
        <v>226</v>
      </c>
      <c r="X107" s="533" t="s">
        <v>227</v>
      </c>
      <c r="Y107" s="529" t="s">
        <v>228</v>
      </c>
      <c r="Z107" s="534" t="s">
        <v>229</v>
      </c>
      <c r="AA107" s="534" t="s">
        <v>230</v>
      </c>
      <c r="AB107" s="534" t="s">
        <v>231</v>
      </c>
      <c r="AC107" s="534" t="s">
        <v>232</v>
      </c>
      <c r="AD107" s="534" t="s">
        <v>71</v>
      </c>
      <c r="AE107" s="529" t="s">
        <v>233</v>
      </c>
      <c r="AF107" s="536" t="s">
        <v>234</v>
      </c>
      <c r="AG107" s="500" t="s">
        <v>185</v>
      </c>
      <c r="AH107" s="477"/>
      <c r="AI107" s="543"/>
      <c r="AJ107" s="543"/>
      <c r="AK107" s="537"/>
      <c r="AL107" s="477"/>
      <c r="AM107" s="477"/>
      <c r="AN107" s="503"/>
      <c r="AO107" s="477"/>
      <c r="AP107" s="477"/>
      <c r="AQ107" s="477"/>
      <c r="AR107" s="477"/>
      <c r="AS107" s="477"/>
      <c r="AT107" s="477"/>
      <c r="AU107" s="477"/>
      <c r="AV107" s="477"/>
      <c r="AW107" s="477"/>
      <c r="AX107" s="477"/>
      <c r="AY107" s="477"/>
      <c r="AZ107" s="477"/>
      <c r="BA107" s="477"/>
      <c r="BB107" s="471"/>
      <c r="BC107" s="471"/>
      <c r="BD107" s="471"/>
      <c r="BE107" s="471"/>
      <c r="BF107" s="471"/>
      <c r="BG107" s="471"/>
      <c r="BH107" s="471"/>
      <c r="BI107" s="471"/>
      <c r="BJ107" s="471"/>
      <c r="BK107" s="471"/>
      <c r="BL107" s="482"/>
      <c r="BM107" s="482"/>
      <c r="BN107" s="482"/>
      <c r="BO107" s="482"/>
      <c r="BP107" s="482"/>
      <c r="BQ107" s="482"/>
      <c r="BR107" s="491">
        <f>+BM107+BN107+BO107+BQ107</f>
        <v>0</v>
      </c>
      <c r="BS107" s="482"/>
      <c r="BT107" s="482"/>
      <c r="BU107" s="482"/>
      <c r="BV107" s="469"/>
      <c r="BW107" s="469"/>
      <c r="BX107" s="469"/>
      <c r="CA107" s="510"/>
      <c r="CC107" s="510"/>
    </row>
    <row r="108" spans="1:81" s="1372" customFormat="1" ht="15" thickBot="1">
      <c r="A108" s="1354" t="s">
        <v>105</v>
      </c>
      <c r="B108" s="1355" t="s">
        <v>261</v>
      </c>
      <c r="C108" s="1382">
        <v>2293</v>
      </c>
      <c r="D108" s="1349"/>
      <c r="E108" s="1349"/>
      <c r="F108" s="1349"/>
      <c r="G108" s="1349"/>
      <c r="H108" s="1349"/>
      <c r="I108" s="1349"/>
      <c r="J108" s="1349">
        <f>334+646+631+673+277</f>
        <v>2561</v>
      </c>
      <c r="K108" s="1349"/>
      <c r="L108" s="1357"/>
      <c r="M108" s="1360">
        <f t="shared" ref="M108:M110" si="42">SUM(C108:K108)</f>
        <v>4854</v>
      </c>
      <c r="N108" s="1352">
        <f>-635-600-626-626</f>
        <v>-2487</v>
      </c>
      <c r="O108" s="1352"/>
      <c r="P108" s="1352"/>
      <c r="Q108" s="1352"/>
      <c r="R108" s="1352"/>
      <c r="S108" s="1352"/>
      <c r="T108" s="1352"/>
      <c r="U108" s="1352"/>
      <c r="V108" s="1352"/>
      <c r="W108" s="1352">
        <f>-19-99-45-51-37</f>
        <v>-251</v>
      </c>
      <c r="X108" s="1352"/>
      <c r="Y108" s="1352"/>
      <c r="Z108" s="1352"/>
      <c r="AA108" s="1351"/>
      <c r="AB108" s="1351"/>
      <c r="AC108" s="1350"/>
      <c r="AD108" s="1382">
        <f t="shared" ref="AD108:AD113" si="43">SUM(N108:AC108)</f>
        <v>-2738</v>
      </c>
      <c r="AE108" s="1350">
        <f>+M108+AD108</f>
        <v>2116</v>
      </c>
      <c r="AF108" s="1382">
        <f>+'Richlands Batch Mvnt'!D7</f>
        <v>2116</v>
      </c>
      <c r="AG108" s="1393">
        <f>AF108-AE108</f>
        <v>0</v>
      </c>
      <c r="AH108" s="1362">
        <f>AF108-C108</f>
        <v>-177</v>
      </c>
      <c r="AI108" s="1379"/>
      <c r="AJ108" s="1379"/>
      <c r="AK108" s="1364"/>
      <c r="AL108" s="1362"/>
      <c r="AM108" s="1362"/>
      <c r="AN108" s="1363"/>
      <c r="AO108" s="1362"/>
      <c r="AP108" s="1362"/>
      <c r="AQ108" s="1362"/>
      <c r="AR108" s="1362"/>
      <c r="AS108" s="1362"/>
      <c r="AT108" s="1362"/>
      <c r="AU108" s="1362"/>
      <c r="AV108" s="1362"/>
      <c r="AW108" s="1362"/>
      <c r="AX108" s="1362"/>
      <c r="AY108" s="1362"/>
      <c r="AZ108" s="1362"/>
      <c r="BA108" s="1362"/>
      <c r="BB108" s="1362"/>
      <c r="BC108" s="1362"/>
      <c r="BD108" s="1362"/>
      <c r="BE108" s="1362"/>
      <c r="BF108" s="1362"/>
      <c r="BG108" s="1362"/>
      <c r="BH108" s="1362"/>
      <c r="BI108" s="1362"/>
      <c r="BJ108" s="1362"/>
      <c r="BK108" s="1362"/>
      <c r="BL108" s="1367"/>
      <c r="BM108" s="1367"/>
      <c r="BN108" s="1367"/>
      <c r="BO108" s="1367"/>
      <c r="BP108" s="1367"/>
      <c r="BQ108" s="1367"/>
      <c r="BR108" s="1371">
        <f>+BM108+BN108+BO108+BQ108</f>
        <v>0</v>
      </c>
      <c r="BS108" s="1367"/>
      <c r="BT108" s="1367"/>
      <c r="BU108" s="1367"/>
      <c r="CA108" s="1369"/>
      <c r="CC108" s="1369"/>
    </row>
    <row r="109" spans="1:81" s="1372" customFormat="1">
      <c r="A109" s="1354" t="s">
        <v>107</v>
      </c>
      <c r="B109" s="1355" t="s">
        <v>262</v>
      </c>
      <c r="C109" s="1382">
        <v>3891</v>
      </c>
      <c r="D109" s="1352">
        <f>635+600+626+626</f>
        <v>2487</v>
      </c>
      <c r="E109" s="1349"/>
      <c r="F109" s="1349"/>
      <c r="G109" s="1349"/>
      <c r="H109" s="1349"/>
      <c r="I109" s="1349"/>
      <c r="J109" s="1349"/>
      <c r="K109" s="1349"/>
      <c r="L109" s="1357">
        <f>14+10+9+12</f>
        <v>45</v>
      </c>
      <c r="M109" s="1360">
        <f>SUM(C109:L109)</f>
        <v>6423</v>
      </c>
      <c r="N109" s="1349">
        <f>-538-14-509-12-554-14-537-14</f>
        <v>-2192</v>
      </c>
      <c r="O109" s="1349"/>
      <c r="P109" s="1377"/>
      <c r="Q109" s="1349">
        <f>-140-90-110-40</f>
        <v>-380</v>
      </c>
      <c r="R109" s="1349"/>
      <c r="S109" s="1349"/>
      <c r="T109" s="1349"/>
      <c r="U109" s="1349"/>
      <c r="V109" s="1349"/>
      <c r="W109" s="1349">
        <v>-62</v>
      </c>
      <c r="X109" s="1349"/>
      <c r="Y109" s="1349"/>
      <c r="Z109" s="1349"/>
      <c r="AA109" s="1350"/>
      <c r="AB109" s="1350"/>
      <c r="AC109" s="1350"/>
      <c r="AD109" s="1382">
        <f t="shared" si="43"/>
        <v>-2634</v>
      </c>
      <c r="AE109" s="1350">
        <f>+M109+AD109</f>
        <v>3789</v>
      </c>
      <c r="AF109" s="1382">
        <f>+'Richlands Batch Mvnt'!D12</f>
        <v>3789</v>
      </c>
      <c r="AG109" s="1393">
        <f t="shared" ref="AG109:AG113" si="44">AF109-AE109</f>
        <v>0</v>
      </c>
      <c r="AH109" s="1362">
        <f t="shared" ref="AH109:AH114" si="45">AF109-C109</f>
        <v>-102</v>
      </c>
      <c r="AI109" s="1379"/>
      <c r="AJ109" s="1379"/>
      <c r="AK109" s="1364"/>
      <c r="AL109" s="1362"/>
      <c r="AM109" s="1362"/>
      <c r="AN109" s="1363"/>
      <c r="AO109" s="1362"/>
      <c r="AP109" s="1362"/>
      <c r="AQ109" s="1362"/>
      <c r="AR109" s="1362"/>
      <c r="AS109" s="1362"/>
      <c r="AT109" s="1362"/>
      <c r="AU109" s="1362"/>
      <c r="AV109" s="1362"/>
      <c r="AW109" s="1362"/>
      <c r="AX109" s="1362"/>
      <c r="AY109" s="1362"/>
      <c r="AZ109" s="1362"/>
      <c r="BA109" s="1362"/>
      <c r="BB109" s="1362"/>
      <c r="BC109" s="1362"/>
      <c r="BD109" s="1362"/>
      <c r="BE109" s="1362"/>
      <c r="BF109" s="1362"/>
      <c r="BG109" s="1362"/>
      <c r="BH109" s="1362"/>
      <c r="BI109" s="1362"/>
      <c r="BJ109" s="1362"/>
      <c r="BK109" s="1362"/>
      <c r="BL109" s="1367"/>
      <c r="BM109" s="1367"/>
      <c r="BN109" s="1367"/>
      <c r="BO109" s="1367"/>
      <c r="BP109" s="1367"/>
      <c r="BQ109" s="1367"/>
      <c r="BR109" s="1365"/>
      <c r="BS109" s="1367"/>
      <c r="BT109" s="1367"/>
      <c r="BU109" s="1367"/>
      <c r="CA109" s="1369"/>
      <c r="CC109" s="1369"/>
    </row>
    <row r="110" spans="1:81" s="1372" customFormat="1">
      <c r="A110" s="1354" t="s">
        <v>109</v>
      </c>
      <c r="B110" s="1355" t="s">
        <v>263</v>
      </c>
      <c r="C110" s="1382">
        <v>5973</v>
      </c>
      <c r="D110" s="1349">
        <f>538+509+554+537</f>
        <v>2138</v>
      </c>
      <c r="E110" s="1349"/>
      <c r="F110" s="1349"/>
      <c r="G110" s="1349"/>
      <c r="H110" s="1349"/>
      <c r="I110" s="1349"/>
      <c r="J110" s="1349"/>
      <c r="K110" s="1349"/>
      <c r="L110" s="1357"/>
      <c r="M110" s="1360">
        <f t="shared" si="42"/>
        <v>8111</v>
      </c>
      <c r="N110" s="1349"/>
      <c r="O110" s="1349"/>
      <c r="P110" s="1349"/>
      <c r="Q110" s="1349"/>
      <c r="R110" s="1367"/>
      <c r="S110" s="1349"/>
      <c r="T110" s="1349"/>
      <c r="U110" s="1349"/>
      <c r="V110" s="1349"/>
      <c r="W110" s="1349">
        <v>-40</v>
      </c>
      <c r="X110" s="1349">
        <f>-556-536-509-610-12-Y110</f>
        <v>-2220</v>
      </c>
      <c r="Y110" s="1349">
        <f>-'[3]Sales USD'!$BD$8</f>
        <v>-3</v>
      </c>
      <c r="Z110" s="1349">
        <v>-8</v>
      </c>
      <c r="AA110" s="1350"/>
      <c r="AB110" s="1350"/>
      <c r="AC110" s="1350"/>
      <c r="AD110" s="1382">
        <f t="shared" si="43"/>
        <v>-2271</v>
      </c>
      <c r="AE110" s="1350">
        <f>+M110+AD110</f>
        <v>5840</v>
      </c>
      <c r="AF110" s="1382">
        <f>+'Richlands Batch Mvnt'!D28</f>
        <v>5840</v>
      </c>
      <c r="AG110" s="1393">
        <f>AF110-AE110</f>
        <v>0</v>
      </c>
      <c r="AH110" s="1362">
        <f t="shared" si="45"/>
        <v>-133</v>
      </c>
      <c r="AI110" s="1379"/>
      <c r="AJ110" s="1379"/>
      <c r="AK110" s="1364"/>
      <c r="AL110" s="1362"/>
      <c r="AM110" s="1362"/>
      <c r="AN110" s="1363"/>
      <c r="AO110" s="1362"/>
      <c r="AP110" s="1362"/>
      <c r="AQ110" s="1362"/>
      <c r="AR110" s="1362"/>
      <c r="AS110" s="1362"/>
      <c r="AT110" s="1362"/>
      <c r="AU110" s="1362"/>
      <c r="AV110" s="1362"/>
      <c r="AW110" s="1362"/>
      <c r="AX110" s="1362"/>
      <c r="AY110" s="1362"/>
      <c r="AZ110" s="1362"/>
      <c r="BA110" s="1362"/>
      <c r="BB110" s="1362"/>
      <c r="BC110" s="1362"/>
      <c r="BD110" s="1362"/>
      <c r="BE110" s="1362"/>
      <c r="BF110" s="1362"/>
      <c r="BG110" s="1362"/>
      <c r="BH110" s="1362"/>
      <c r="BI110" s="1362"/>
      <c r="BJ110" s="1362"/>
      <c r="BK110" s="1362"/>
      <c r="BL110" s="1367"/>
      <c r="BM110" s="1367"/>
      <c r="BN110" s="1367"/>
      <c r="BO110" s="1367"/>
      <c r="BP110" s="1367">
        <f>SUM(BI110:BO110)</f>
        <v>0</v>
      </c>
      <c r="BQ110" s="1367">
        <f>623+73</f>
        <v>696</v>
      </c>
      <c r="BR110" s="1365"/>
      <c r="BS110" s="1367"/>
      <c r="BT110" s="1367"/>
      <c r="BU110" s="1367"/>
      <c r="CA110" s="1369"/>
      <c r="CC110" s="1369"/>
    </row>
    <row r="111" spans="1:81">
      <c r="A111" s="1250" t="s">
        <v>111</v>
      </c>
      <c r="B111" s="1245" t="s">
        <v>258</v>
      </c>
      <c r="C111" s="1191">
        <v>279</v>
      </c>
      <c r="D111" s="1192">
        <f>14+12+14+14</f>
        <v>54</v>
      </c>
      <c r="E111" s="1192"/>
      <c r="F111" s="1192"/>
      <c r="G111" s="1192"/>
      <c r="H111" s="1192"/>
      <c r="I111" s="1192"/>
      <c r="J111" s="1192"/>
      <c r="K111" s="1192"/>
      <c r="L111" s="1231"/>
      <c r="M111" s="1248">
        <f>SUM(C111:L111)</f>
        <v>333</v>
      </c>
      <c r="N111" s="1192">
        <f>-15-6-4-5-3-7-5-15</f>
        <v>-60</v>
      </c>
      <c r="O111" s="1192"/>
      <c r="P111" s="1194"/>
      <c r="Q111" s="1192"/>
      <c r="R111" s="1192"/>
      <c r="S111" s="1192"/>
      <c r="T111" s="1192"/>
      <c r="U111" s="1192"/>
      <c r="V111" s="1192"/>
      <c r="W111" s="1192">
        <f>-2-1</f>
        <v>-3</v>
      </c>
      <c r="X111" s="1192"/>
      <c r="Y111" s="1192"/>
      <c r="Z111" s="1192">
        <v>-2</v>
      </c>
      <c r="AA111" s="1195"/>
      <c r="AB111" s="1195"/>
      <c r="AC111" s="1195"/>
      <c r="AD111" s="1191">
        <f t="shared" si="43"/>
        <v>-65</v>
      </c>
      <c r="AE111" s="1195">
        <f t="shared" ref="AE111:AE113" si="46">+M111+AD111</f>
        <v>268</v>
      </c>
      <c r="AF111" s="1191">
        <f>+'Richlands Batch Mvnt'!I6</f>
        <v>268</v>
      </c>
      <c r="AG111" s="1260">
        <f t="shared" si="44"/>
        <v>0</v>
      </c>
      <c r="AH111" s="1362">
        <f t="shared" si="45"/>
        <v>-11</v>
      </c>
      <c r="AI111" s="543"/>
      <c r="AJ111" s="543"/>
      <c r="AK111" s="502"/>
      <c r="AL111" s="471"/>
      <c r="AM111" s="471"/>
      <c r="AN111" s="501"/>
      <c r="AO111" s="471"/>
      <c r="AP111" s="471"/>
      <c r="AQ111" s="471"/>
      <c r="AR111" s="471"/>
      <c r="AS111" s="471"/>
      <c r="AT111" s="471"/>
      <c r="AU111" s="471"/>
      <c r="AV111" s="471"/>
      <c r="AW111" s="471"/>
      <c r="BA111" s="471"/>
      <c r="BB111" s="471"/>
      <c r="BC111" s="471"/>
      <c r="BD111" s="471"/>
      <c r="BE111" s="471"/>
      <c r="BF111" s="471"/>
      <c r="BG111" s="471"/>
      <c r="BH111" s="471"/>
      <c r="BI111" s="471"/>
      <c r="BJ111" s="471"/>
      <c r="BK111" s="471"/>
      <c r="BL111" s="482"/>
      <c r="BM111" s="482"/>
      <c r="BN111" s="482"/>
      <c r="BO111" s="482"/>
      <c r="BP111" s="482">
        <f>SUM(BI111:BO111)</f>
        <v>0</v>
      </c>
      <c r="BQ111" s="482"/>
      <c r="BR111" s="509"/>
      <c r="BS111" s="482"/>
      <c r="BT111" s="482"/>
      <c r="BU111" s="482"/>
      <c r="BV111" s="469"/>
      <c r="BW111" s="469"/>
      <c r="BX111" s="469"/>
      <c r="CA111" s="510"/>
      <c r="CC111" s="510"/>
    </row>
    <row r="112" spans="1:81">
      <c r="A112" s="1250" t="s">
        <v>112</v>
      </c>
      <c r="B112" s="1245" t="s">
        <v>258</v>
      </c>
      <c r="C112" s="1191">
        <v>981</v>
      </c>
      <c r="D112" s="1192">
        <f>5+5+5+45+6+4+5+46+3+7+5+44+5+5+5+43+5+5+6+5+5+6+3+3+2+43+47+46+42</f>
        <v>456</v>
      </c>
      <c r="E112" s="1192"/>
      <c r="F112" s="1192"/>
      <c r="G112" s="1192"/>
      <c r="H112" s="1192"/>
      <c r="I112" s="1192"/>
      <c r="J112" s="1192"/>
      <c r="K112" s="1192"/>
      <c r="L112" s="1231"/>
      <c r="M112" s="1248">
        <f t="shared" ref="M112:M113" si="47">SUM(C112:L112)</f>
        <v>1437</v>
      </c>
      <c r="N112" s="1192">
        <f>-43-47-46-42-45-46-44-43-5-5-6-5-5-6-3-3-2</f>
        <v>-396</v>
      </c>
      <c r="O112" s="1192"/>
      <c r="P112" s="1194"/>
      <c r="Q112" s="1192"/>
      <c r="R112" s="1192"/>
      <c r="S112" s="1192"/>
      <c r="T112" s="1192"/>
      <c r="U112" s="1192"/>
      <c r="V112" s="1192"/>
      <c r="W112" s="1192">
        <f>-1-1-1</f>
        <v>-3</v>
      </c>
      <c r="X112" s="1192">
        <f>-11-12-10-9</f>
        <v>-42</v>
      </c>
      <c r="Y112" s="1192"/>
      <c r="Z112" s="1192">
        <f>-1-1-2</f>
        <v>-4</v>
      </c>
      <c r="AA112" s="1195"/>
      <c r="AB112" s="1195"/>
      <c r="AC112" s="1195"/>
      <c r="AD112" s="1191">
        <f t="shared" si="43"/>
        <v>-445</v>
      </c>
      <c r="AE112" s="1195">
        <f t="shared" si="46"/>
        <v>992</v>
      </c>
      <c r="AF112" s="1191">
        <f>+'Richlands Batch Mvnt'!I5</f>
        <v>992</v>
      </c>
      <c r="AG112" s="1260">
        <f t="shared" si="44"/>
        <v>0</v>
      </c>
      <c r="AH112" s="1362">
        <f t="shared" si="45"/>
        <v>11</v>
      </c>
      <c r="AI112" s="543"/>
      <c r="AJ112" s="543"/>
      <c r="AK112" s="502"/>
      <c r="AL112" s="471"/>
      <c r="AM112" s="471"/>
      <c r="AN112" s="501"/>
      <c r="AO112" s="471"/>
      <c r="AP112" s="471"/>
      <c r="AQ112" s="471"/>
      <c r="AR112" s="471"/>
      <c r="AS112" s="471"/>
      <c r="AT112" s="471"/>
      <c r="AU112" s="471"/>
      <c r="AV112" s="471"/>
      <c r="AW112" s="471"/>
      <c r="BA112" s="471"/>
      <c r="BB112" s="471"/>
      <c r="BC112" s="471"/>
      <c r="BD112" s="471"/>
      <c r="BE112" s="471"/>
      <c r="BF112" s="471"/>
      <c r="BG112" s="471"/>
      <c r="BH112" s="471"/>
      <c r="BI112" s="471"/>
      <c r="BJ112" s="471"/>
      <c r="BK112" s="471"/>
      <c r="BL112" s="471"/>
      <c r="BM112" s="471"/>
      <c r="BN112" s="471"/>
      <c r="BO112" s="482"/>
      <c r="BP112" s="482">
        <f>SUM(BI112:BO112)</f>
        <v>0</v>
      </c>
      <c r="BQ112" s="482"/>
      <c r="BR112" s="509"/>
      <c r="BS112" s="482"/>
      <c r="BT112" s="482"/>
      <c r="BU112" s="482"/>
      <c r="BV112" s="469"/>
      <c r="BW112" s="469"/>
      <c r="BX112" s="469"/>
      <c r="CA112" s="510"/>
      <c r="CC112" s="510"/>
    </row>
    <row r="113" spans="1:84" ht="15" thickBot="1">
      <c r="A113" s="1539" t="s">
        <v>113</v>
      </c>
      <c r="B113" s="1540" t="s">
        <v>258</v>
      </c>
      <c r="C113" s="1196">
        <v>12</v>
      </c>
      <c r="D113" s="1227"/>
      <c r="E113" s="1227"/>
      <c r="F113" s="1227"/>
      <c r="G113" s="1227"/>
      <c r="H113" s="1227"/>
      <c r="I113" s="1227"/>
      <c r="J113" s="1227"/>
      <c r="K113" s="1227"/>
      <c r="L113" s="1256"/>
      <c r="M113" s="1248">
        <f t="shared" si="47"/>
        <v>12</v>
      </c>
      <c r="N113" s="1232"/>
      <c r="O113" s="1232"/>
      <c r="P113" s="1197"/>
      <c r="Q113" s="1232"/>
      <c r="R113" s="1232"/>
      <c r="S113" s="1232"/>
      <c r="T113" s="1232"/>
      <c r="U113" s="1232"/>
      <c r="V113" s="1232"/>
      <c r="W113" s="1232"/>
      <c r="X113" s="1232"/>
      <c r="Y113" s="1232"/>
      <c r="Z113" s="1232"/>
      <c r="AA113" s="1198"/>
      <c r="AB113" s="1198"/>
      <c r="AC113" s="1198"/>
      <c r="AD113" s="1191">
        <f t="shared" si="43"/>
        <v>0</v>
      </c>
      <c r="AE113" s="1198">
        <f t="shared" si="46"/>
        <v>12</v>
      </c>
      <c r="AF113" s="1196">
        <v>12</v>
      </c>
      <c r="AG113" s="1261">
        <f t="shared" si="44"/>
        <v>0</v>
      </c>
      <c r="AH113" s="1362">
        <f t="shared" si="45"/>
        <v>0</v>
      </c>
      <c r="AI113" s="543"/>
      <c r="AJ113" s="543"/>
      <c r="AK113" s="502"/>
      <c r="AL113" s="471"/>
      <c r="AM113" s="471"/>
      <c r="AN113" s="501"/>
      <c r="AO113" s="471"/>
      <c r="AP113" s="471"/>
      <c r="AQ113" s="471"/>
      <c r="AR113" s="471"/>
      <c r="AS113" s="471"/>
      <c r="AT113" s="471"/>
      <c r="AU113" s="471"/>
      <c r="AV113" s="471"/>
      <c r="AW113" s="471"/>
      <c r="BA113" s="471"/>
      <c r="BB113" s="471"/>
      <c r="BC113" s="471"/>
      <c r="BD113" s="471"/>
      <c r="BE113" s="471"/>
      <c r="BF113" s="471"/>
      <c r="BG113" s="471"/>
      <c r="BH113" s="471"/>
      <c r="BI113" s="471"/>
      <c r="BJ113" s="471"/>
      <c r="BK113" s="471"/>
      <c r="BL113" s="482"/>
      <c r="BM113" s="482"/>
      <c r="BN113" s="482"/>
      <c r="BO113" s="482"/>
      <c r="BP113" s="482"/>
      <c r="BQ113" s="482"/>
      <c r="BR113" s="509"/>
      <c r="BS113" s="482"/>
      <c r="BT113" s="482"/>
      <c r="BU113" s="482"/>
      <c r="BV113" s="469"/>
      <c r="BW113" s="469"/>
      <c r="BX113" s="469"/>
      <c r="CA113" s="510"/>
      <c r="CC113" s="510"/>
    </row>
    <row r="114" spans="1:84" ht="15" thickBot="1">
      <c r="A114" s="1530" t="s">
        <v>115</v>
      </c>
      <c r="B114" s="1531"/>
      <c r="C114" s="519">
        <f t="shared" ref="C114:J114" si="48">SUM(C108:C113)</f>
        <v>13429</v>
      </c>
      <c r="D114" s="1138">
        <f>SUM(D108:D113)</f>
        <v>5135</v>
      </c>
      <c r="E114" s="1138">
        <f t="shared" si="48"/>
        <v>0</v>
      </c>
      <c r="F114" s="1138">
        <f t="shared" si="48"/>
        <v>0</v>
      </c>
      <c r="G114" s="1138">
        <f t="shared" si="48"/>
        <v>0</v>
      </c>
      <c r="H114" s="1138">
        <f t="shared" si="48"/>
        <v>0</v>
      </c>
      <c r="I114" s="1138">
        <f t="shared" si="48"/>
        <v>0</v>
      </c>
      <c r="J114" s="1138">
        <f t="shared" si="48"/>
        <v>2561</v>
      </c>
      <c r="K114" s="1138">
        <f>SUM(K108:K113)</f>
        <v>0</v>
      </c>
      <c r="L114" s="1138">
        <f>SUM(L108:L113)</f>
        <v>45</v>
      </c>
      <c r="M114" s="519">
        <f>SUM(M108:M113)</f>
        <v>21170</v>
      </c>
      <c r="N114" s="558">
        <f>SUM(N108:N113)</f>
        <v>-5135</v>
      </c>
      <c r="O114" s="558">
        <f t="shared" ref="O114:AE114" si="49">SUM(O108:O113)</f>
        <v>0</v>
      </c>
      <c r="P114" s="558">
        <f t="shared" si="49"/>
        <v>0</v>
      </c>
      <c r="Q114" s="558">
        <f t="shared" si="49"/>
        <v>-380</v>
      </c>
      <c r="R114" s="519">
        <f t="shared" si="49"/>
        <v>0</v>
      </c>
      <c r="S114" s="558">
        <f t="shared" si="49"/>
        <v>0</v>
      </c>
      <c r="T114" s="558">
        <f>SUM(T108:T113)</f>
        <v>0</v>
      </c>
      <c r="U114" s="558">
        <f>SUM(U108:U113)</f>
        <v>0</v>
      </c>
      <c r="V114" s="558"/>
      <c r="W114" s="558">
        <f t="shared" si="49"/>
        <v>-359</v>
      </c>
      <c r="X114" s="558">
        <f t="shared" si="49"/>
        <v>-2262</v>
      </c>
      <c r="Y114" s="558">
        <f t="shared" si="49"/>
        <v>-3</v>
      </c>
      <c r="Z114" s="558">
        <f t="shared" si="49"/>
        <v>-14</v>
      </c>
      <c r="AA114" s="558">
        <f>SUM(AA108:AA113)</f>
        <v>0</v>
      </c>
      <c r="AB114" s="558">
        <f t="shared" si="49"/>
        <v>0</v>
      </c>
      <c r="AC114" s="558">
        <f>SUM(AC108:AC113)</f>
        <v>0</v>
      </c>
      <c r="AD114" s="558">
        <f t="shared" si="49"/>
        <v>-8153</v>
      </c>
      <c r="AE114" s="558">
        <f t="shared" si="49"/>
        <v>13017</v>
      </c>
      <c r="AF114" s="558">
        <f>SUM(AF108:AF113)</f>
        <v>13017</v>
      </c>
      <c r="AG114" s="558">
        <f>SUM(AG108:AG113)</f>
        <v>0</v>
      </c>
      <c r="AH114" s="1362">
        <f t="shared" si="45"/>
        <v>-412</v>
      </c>
      <c r="AI114" s="543"/>
      <c r="AJ114" s="543"/>
      <c r="AK114" s="502"/>
      <c r="AL114" s="471"/>
      <c r="AM114" s="471"/>
      <c r="AN114" s="501"/>
      <c r="AO114" s="471"/>
      <c r="AP114" s="471"/>
      <c r="AQ114" s="471"/>
      <c r="AR114" s="471"/>
      <c r="AS114" s="471"/>
      <c r="AT114" s="471"/>
      <c r="AU114" s="471"/>
      <c r="AV114" s="471"/>
      <c r="AW114" s="471"/>
      <c r="BA114" s="471"/>
      <c r="BB114" s="543"/>
      <c r="BC114" s="471"/>
      <c r="BD114" s="471"/>
      <c r="BE114" s="471"/>
      <c r="BF114" s="471"/>
      <c r="BG114" s="471"/>
      <c r="BH114" s="471"/>
      <c r="BI114" s="471"/>
      <c r="BJ114" s="471"/>
      <c r="BK114" s="471"/>
      <c r="BL114" s="482"/>
      <c r="BM114" s="482"/>
      <c r="BN114" s="482"/>
      <c r="BO114" s="482"/>
      <c r="BP114" s="482"/>
      <c r="BQ114" s="482"/>
      <c r="BR114" s="509"/>
      <c r="BS114" s="482"/>
      <c r="BT114" s="482"/>
      <c r="BU114" s="482"/>
      <c r="BV114" s="469"/>
      <c r="BW114" s="469"/>
      <c r="BX114" s="469"/>
      <c r="CA114" s="510"/>
      <c r="CC114" s="510"/>
    </row>
    <row r="115" spans="1:84">
      <c r="A115" s="463"/>
      <c r="B115" s="463"/>
      <c r="C115" s="515">
        <v>13614</v>
      </c>
      <c r="D115" s="482">
        <f>+SUM(D114:I114)+SUM(N114:T114)+K114</f>
        <v>-380</v>
      </c>
      <c r="E115" s="515"/>
      <c r="F115" s="515"/>
      <c r="G115" s="515"/>
      <c r="H115" s="515"/>
      <c r="I115" s="515"/>
      <c r="J115" s="515"/>
      <c r="K115" s="515"/>
      <c r="L115" s="515"/>
      <c r="M115" s="559"/>
      <c r="N115" s="525">
        <f>+D114+N114</f>
        <v>0</v>
      </c>
      <c r="O115" s="515"/>
      <c r="P115" s="515"/>
      <c r="Q115" s="515"/>
      <c r="R115" s="515"/>
      <c r="S115" s="515"/>
      <c r="T115" s="515"/>
      <c r="U115" s="515"/>
      <c r="V115" s="515"/>
      <c r="W115" s="515"/>
      <c r="X115" s="515"/>
      <c r="Y115" s="515"/>
      <c r="Z115" s="515"/>
      <c r="AA115" s="515"/>
      <c r="AB115" s="515"/>
      <c r="AC115" s="515"/>
      <c r="AD115" s="515"/>
      <c r="AE115" s="515"/>
      <c r="AF115" s="515">
        <f>+AE114</f>
        <v>13017</v>
      </c>
      <c r="AG115" s="515"/>
      <c r="AH115" s="471"/>
      <c r="AI115" s="543"/>
      <c r="AJ115" s="543"/>
      <c r="AK115" s="545"/>
      <c r="AL115" s="543"/>
      <c r="AM115" s="543"/>
      <c r="AO115" s="543"/>
      <c r="AP115" s="543"/>
      <c r="AQ115" s="543"/>
      <c r="AR115" s="543"/>
      <c r="AS115" s="543"/>
      <c r="AT115" s="543"/>
      <c r="AU115" s="543"/>
      <c r="AV115" s="543"/>
      <c r="AW115" s="471"/>
      <c r="BA115" s="543"/>
      <c r="BB115" s="543"/>
      <c r="BC115" s="471"/>
      <c r="BD115" s="471"/>
      <c r="BE115" s="471"/>
      <c r="BF115" s="471"/>
      <c r="BG115" s="471"/>
      <c r="BH115" s="471"/>
      <c r="BI115" s="471"/>
      <c r="BJ115" s="471"/>
      <c r="BK115" s="471"/>
      <c r="BL115" s="482"/>
      <c r="BM115" s="482"/>
      <c r="BN115" s="482"/>
      <c r="BO115" s="482"/>
      <c r="BP115" s="482"/>
      <c r="BQ115" s="482"/>
      <c r="BR115" s="509"/>
      <c r="BS115" s="482"/>
      <c r="BT115" s="482"/>
      <c r="BU115" s="482"/>
      <c r="BV115" s="469"/>
      <c r="BW115" s="469"/>
      <c r="BX115" s="469"/>
      <c r="CA115" s="510"/>
      <c r="CC115" s="510"/>
    </row>
    <row r="116" spans="1:84">
      <c r="A116" s="463"/>
      <c r="B116" s="463"/>
      <c r="C116" s="482" t="s">
        <v>223</v>
      </c>
      <c r="D116" s="482">
        <f>+E133+O133</f>
        <v>0</v>
      </c>
      <c r="E116" s="482">
        <f>+D140</f>
        <v>0</v>
      </c>
      <c r="F116" s="482">
        <f t="shared" ref="F116:F121" si="50">+D116+E116</f>
        <v>0</v>
      </c>
      <c r="G116" s="515"/>
      <c r="H116" s="515"/>
      <c r="I116" s="515"/>
      <c r="J116" s="515"/>
      <c r="K116" s="515"/>
      <c r="L116" s="515"/>
      <c r="M116" s="559"/>
      <c r="N116" s="515"/>
      <c r="O116" s="515"/>
      <c r="P116" s="515"/>
      <c r="Q116" s="515"/>
      <c r="R116" s="515"/>
      <c r="S116" s="515"/>
      <c r="T116" s="515"/>
      <c r="U116" s="515"/>
      <c r="V116" s="515"/>
      <c r="W116" s="515"/>
      <c r="X116" s="515"/>
      <c r="Y116" s="515"/>
      <c r="Z116" s="515"/>
      <c r="AA116" s="515"/>
      <c r="AB116" s="515"/>
      <c r="AC116" s="515"/>
      <c r="AD116" s="515"/>
      <c r="AE116" s="515"/>
      <c r="AF116" s="525">
        <f>+AF114-AF115</f>
        <v>0</v>
      </c>
      <c r="AG116" s="515"/>
      <c r="AH116" s="471"/>
      <c r="AI116" s="543"/>
      <c r="AJ116" s="543"/>
      <c r="AK116" s="545"/>
      <c r="AL116" s="543"/>
      <c r="AM116" s="543"/>
      <c r="AO116" s="543"/>
      <c r="AP116" s="543"/>
      <c r="AQ116" s="543"/>
      <c r="AR116" s="543"/>
      <c r="AS116" s="543"/>
      <c r="AT116" s="543"/>
      <c r="AU116" s="543"/>
      <c r="AV116" s="543"/>
      <c r="AW116" s="471"/>
      <c r="BA116" s="543"/>
      <c r="BB116" s="543"/>
      <c r="BC116" s="471"/>
      <c r="BD116" s="471"/>
      <c r="BE116" s="471"/>
      <c r="BF116" s="471"/>
      <c r="BG116" s="471"/>
      <c r="BH116" s="471"/>
      <c r="BI116" s="471"/>
      <c r="BJ116" s="471"/>
      <c r="BK116" s="471"/>
      <c r="BL116" s="482"/>
      <c r="BM116" s="482"/>
      <c r="BN116" s="482"/>
      <c r="BO116" s="482"/>
      <c r="BP116" s="482"/>
      <c r="BQ116" s="482"/>
      <c r="BR116" s="509"/>
      <c r="BS116" s="482"/>
      <c r="BT116" s="482"/>
      <c r="BU116" s="482"/>
      <c r="BV116" s="469"/>
      <c r="BW116" s="469"/>
      <c r="BX116" s="469"/>
      <c r="CA116" s="510"/>
      <c r="CC116" s="510"/>
    </row>
    <row r="117" spans="1:84">
      <c r="A117" s="463"/>
      <c r="B117" s="463"/>
      <c r="C117" s="482" t="s">
        <v>127</v>
      </c>
      <c r="D117" s="482">
        <f>+G18+Q18</f>
        <v>0</v>
      </c>
      <c r="E117" s="482">
        <f>+D25</f>
        <v>0</v>
      </c>
      <c r="F117" s="482">
        <f t="shared" si="50"/>
        <v>0</v>
      </c>
      <c r="G117" s="515"/>
      <c r="H117" s="515"/>
      <c r="I117" s="515"/>
      <c r="J117" s="515"/>
      <c r="K117" s="515"/>
      <c r="L117" s="515"/>
      <c r="M117" s="559"/>
      <c r="N117" s="515"/>
      <c r="O117" s="515"/>
      <c r="P117" s="515"/>
      <c r="Q117" s="515"/>
      <c r="R117" s="515"/>
      <c r="S117" s="515"/>
      <c r="T117" s="515"/>
      <c r="U117" s="515"/>
      <c r="V117" s="515"/>
      <c r="W117" s="515"/>
      <c r="X117" s="515"/>
      <c r="Y117" s="515"/>
      <c r="Z117" s="515"/>
      <c r="AA117" s="515"/>
      <c r="AB117" s="515"/>
      <c r="AC117" s="515"/>
      <c r="AD117" s="515"/>
      <c r="AE117" s="515"/>
      <c r="AF117" s="515"/>
      <c r="AG117" s="515"/>
      <c r="AH117" s="471"/>
      <c r="AI117" s="543"/>
      <c r="AJ117" s="543"/>
      <c r="AK117" s="545"/>
      <c r="AL117" s="543"/>
      <c r="AM117" s="543"/>
      <c r="AO117" s="543"/>
      <c r="AP117" s="543"/>
      <c r="AQ117" s="543"/>
      <c r="AR117" s="543"/>
      <c r="AS117" s="543"/>
      <c r="AT117" s="543"/>
      <c r="AU117" s="543"/>
      <c r="AV117" s="543"/>
      <c r="AW117" s="471"/>
      <c r="BA117" s="543"/>
      <c r="BB117" s="543"/>
      <c r="BC117" s="471"/>
      <c r="BD117" s="471"/>
      <c r="BE117" s="471"/>
      <c r="BF117" s="471"/>
      <c r="BG117" s="471"/>
      <c r="BH117" s="471"/>
      <c r="BI117" s="471"/>
      <c r="BJ117" s="471"/>
      <c r="BK117" s="471"/>
      <c r="BL117" s="482"/>
      <c r="BM117" s="482"/>
      <c r="BN117" s="482"/>
      <c r="BO117" s="482"/>
      <c r="BP117" s="482"/>
      <c r="BQ117" s="482"/>
      <c r="BR117" s="509"/>
      <c r="BS117" s="482"/>
      <c r="BT117" s="482"/>
      <c r="BU117" s="482"/>
      <c r="BV117" s="469"/>
      <c r="BW117" s="469"/>
      <c r="BX117" s="469"/>
      <c r="CA117" s="510"/>
      <c r="CC117" s="510"/>
    </row>
    <row r="118" spans="1:84">
      <c r="A118" s="463"/>
      <c r="B118" s="463"/>
      <c r="C118" s="482" t="s">
        <v>190</v>
      </c>
      <c r="D118" s="482">
        <f>+G37+Q37</f>
        <v>0</v>
      </c>
      <c r="E118" s="482">
        <f>+D44</f>
        <v>0</v>
      </c>
      <c r="F118" s="482">
        <f t="shared" si="50"/>
        <v>0</v>
      </c>
      <c r="G118" s="2082"/>
      <c r="H118" s="515"/>
      <c r="I118" s="515"/>
      <c r="J118" s="515"/>
      <c r="K118" s="515"/>
      <c r="L118" s="515"/>
      <c r="M118" s="559"/>
      <c r="N118" s="515"/>
      <c r="O118" s="515"/>
      <c r="P118" s="515"/>
      <c r="Q118" s="515"/>
      <c r="R118" s="515"/>
      <c r="S118" s="515"/>
      <c r="T118" s="515"/>
      <c r="U118" s="515"/>
      <c r="V118" s="515"/>
      <c r="W118" s="515"/>
      <c r="X118" s="515"/>
      <c r="Y118" s="515"/>
      <c r="Z118" s="515"/>
      <c r="AA118" s="515"/>
      <c r="AB118" s="515"/>
      <c r="AC118" s="515"/>
      <c r="AD118" s="515"/>
      <c r="AE118" s="515"/>
      <c r="AF118" s="515"/>
      <c r="AG118" s="515"/>
      <c r="AH118" s="471"/>
      <c r="AI118" s="543"/>
      <c r="AJ118" s="543"/>
      <c r="AK118" s="545"/>
      <c r="AL118" s="543"/>
      <c r="AM118" s="543"/>
      <c r="AO118" s="543"/>
      <c r="AP118" s="543"/>
      <c r="AQ118" s="543"/>
      <c r="AR118" s="543"/>
      <c r="AS118" s="543"/>
      <c r="AT118" s="543"/>
      <c r="AU118" s="543"/>
      <c r="AV118" s="543"/>
      <c r="AW118" s="471"/>
      <c r="BA118" s="543"/>
      <c r="BB118" s="543"/>
      <c r="BC118" s="471"/>
      <c r="BD118" s="471"/>
      <c r="BE118" s="471"/>
      <c r="BF118" s="471"/>
      <c r="BG118" s="471"/>
      <c r="BH118" s="471"/>
      <c r="BI118" s="471"/>
      <c r="BJ118" s="471"/>
      <c r="BK118" s="471"/>
      <c r="BL118" s="482"/>
      <c r="BM118" s="482"/>
      <c r="BN118" s="482"/>
      <c r="BO118" s="482"/>
      <c r="BP118" s="482"/>
      <c r="BQ118" s="482"/>
      <c r="BR118" s="509"/>
      <c r="BS118" s="482"/>
      <c r="BT118" s="482"/>
      <c r="BU118" s="482"/>
      <c r="BV118" s="469"/>
      <c r="BW118" s="469"/>
      <c r="BX118" s="469"/>
      <c r="CA118" s="510"/>
      <c r="CC118" s="510"/>
    </row>
    <row r="119" spans="1:84">
      <c r="A119" s="463"/>
      <c r="B119" s="463"/>
      <c r="C119" s="482" t="s">
        <v>257</v>
      </c>
      <c r="D119" s="482">
        <f>+G75+S75</f>
        <v>380</v>
      </c>
      <c r="E119" s="482">
        <f>+D82</f>
        <v>-380</v>
      </c>
      <c r="F119" s="482">
        <f t="shared" si="50"/>
        <v>0</v>
      </c>
      <c r="G119" s="515"/>
      <c r="H119" s="515"/>
      <c r="I119" s="515"/>
      <c r="J119" s="515"/>
      <c r="K119" s="515"/>
      <c r="L119" s="515"/>
      <c r="M119" s="559"/>
      <c r="N119" s="515"/>
      <c r="O119" s="515"/>
      <c r="P119" s="515"/>
      <c r="Q119" s="515"/>
      <c r="R119" s="515"/>
      <c r="S119" s="515"/>
      <c r="T119" s="515"/>
      <c r="U119" s="515"/>
      <c r="V119" s="515"/>
      <c r="W119" s="515"/>
      <c r="X119" s="515"/>
      <c r="Y119" s="515"/>
      <c r="Z119" s="515"/>
      <c r="AA119" s="515"/>
      <c r="AB119" s="515"/>
      <c r="AC119" s="515"/>
      <c r="AD119" s="515"/>
      <c r="AE119" s="515"/>
      <c r="AF119" s="515"/>
      <c r="AG119" s="515"/>
      <c r="AH119" s="471"/>
      <c r="AI119" s="543"/>
      <c r="AJ119" s="543"/>
      <c r="AK119" s="545"/>
      <c r="AL119" s="543"/>
      <c r="AM119" s="543"/>
      <c r="AO119" s="543"/>
      <c r="AP119" s="543"/>
      <c r="AQ119" s="543"/>
      <c r="AR119" s="543"/>
      <c r="AS119" s="543"/>
      <c r="AT119" s="543"/>
      <c r="AU119" s="543"/>
      <c r="AV119" s="543"/>
      <c r="AW119" s="471"/>
      <c r="BA119" s="543"/>
      <c r="BB119" s="543"/>
      <c r="BC119" s="471"/>
      <c r="BD119" s="471"/>
      <c r="BE119" s="471"/>
      <c r="BF119" s="471"/>
      <c r="BG119" s="471"/>
      <c r="BH119" s="471"/>
      <c r="BI119" s="471"/>
      <c r="BJ119" s="471"/>
      <c r="BK119" s="471"/>
      <c r="BL119" s="482"/>
      <c r="BM119" s="482"/>
      <c r="BN119" s="482"/>
      <c r="BO119" s="482"/>
      <c r="BP119" s="482"/>
      <c r="BQ119" s="482"/>
      <c r="BR119" s="509"/>
      <c r="BS119" s="482"/>
      <c r="BT119" s="482"/>
      <c r="BU119" s="482"/>
      <c r="BV119" s="469"/>
      <c r="BW119" s="469"/>
      <c r="BX119" s="469"/>
      <c r="CA119" s="510"/>
      <c r="CC119" s="510"/>
    </row>
    <row r="120" spans="1:84">
      <c r="A120" s="463"/>
      <c r="B120" s="463"/>
      <c r="C120" s="482" t="s">
        <v>251</v>
      </c>
      <c r="D120" s="482">
        <f>+G56+Q56</f>
        <v>0</v>
      </c>
      <c r="E120" s="482">
        <f>+D63</f>
        <v>0</v>
      </c>
      <c r="F120" s="482">
        <f t="shared" si="50"/>
        <v>0</v>
      </c>
      <c r="G120" s="515"/>
      <c r="H120" s="515"/>
      <c r="I120" s="515"/>
      <c r="J120" s="515"/>
      <c r="K120" s="515"/>
      <c r="L120" s="515"/>
      <c r="M120" s="559"/>
      <c r="N120" s="515"/>
      <c r="O120" s="515"/>
      <c r="P120" s="515"/>
      <c r="Q120" s="515"/>
      <c r="R120" s="515"/>
      <c r="S120" s="515"/>
      <c r="T120" s="515"/>
      <c r="U120" s="515"/>
      <c r="V120" s="515"/>
      <c r="W120" s="515"/>
      <c r="X120" s="515"/>
      <c r="Y120" s="515"/>
      <c r="Z120" s="515"/>
      <c r="AA120" s="515"/>
      <c r="AB120" s="515"/>
      <c r="AC120" s="515"/>
      <c r="AD120" s="515"/>
      <c r="AE120" s="515"/>
      <c r="AF120" s="515"/>
      <c r="AG120" s="515"/>
      <c r="AH120" s="471"/>
      <c r="AI120" s="543"/>
      <c r="AJ120" s="543"/>
      <c r="AK120" s="545"/>
      <c r="AL120" s="543"/>
      <c r="AM120" s="543"/>
      <c r="AO120" s="543"/>
      <c r="AP120" s="543"/>
      <c r="AQ120" s="543"/>
      <c r="AR120" s="543"/>
      <c r="AS120" s="543"/>
      <c r="AT120" s="543"/>
      <c r="AU120" s="543"/>
      <c r="AV120" s="543"/>
      <c r="AW120" s="471"/>
      <c r="BA120" s="543"/>
      <c r="BB120" s="543"/>
      <c r="BC120" s="471"/>
      <c r="BD120" s="471"/>
      <c r="BE120" s="471"/>
      <c r="BF120" s="471"/>
      <c r="BG120" s="471"/>
      <c r="BH120" s="471"/>
      <c r="BI120" s="471"/>
      <c r="BJ120" s="471"/>
      <c r="BK120" s="471"/>
      <c r="BL120" s="482"/>
      <c r="BM120" s="482"/>
      <c r="BN120" s="482"/>
      <c r="BO120" s="482"/>
      <c r="BP120" s="482"/>
      <c r="BQ120" s="482"/>
      <c r="BR120" s="509"/>
      <c r="BS120" s="482"/>
      <c r="BT120" s="482"/>
      <c r="BU120" s="482"/>
      <c r="BV120" s="469"/>
      <c r="BW120" s="469"/>
      <c r="BX120" s="469"/>
      <c r="CA120" s="510"/>
      <c r="CC120" s="510"/>
    </row>
    <row r="121" spans="1:84">
      <c r="A121" s="463"/>
      <c r="B121" s="463"/>
      <c r="C121" s="482" t="s">
        <v>214</v>
      </c>
      <c r="D121" s="482">
        <f>+I95+S95</f>
        <v>0</v>
      </c>
      <c r="E121" s="482">
        <f>+D101</f>
        <v>0</v>
      </c>
      <c r="F121" s="482">
        <f t="shared" si="50"/>
        <v>0</v>
      </c>
      <c r="G121" s="515"/>
      <c r="H121" s="515"/>
      <c r="I121" s="515"/>
      <c r="J121" s="515"/>
      <c r="K121" s="515"/>
      <c r="L121" s="515"/>
      <c r="M121" s="559"/>
      <c r="N121" s="515"/>
      <c r="O121" s="515"/>
      <c r="P121" s="515"/>
      <c r="Q121" s="515"/>
      <c r="R121" s="515"/>
      <c r="S121" s="515"/>
      <c r="T121" s="515"/>
      <c r="U121" s="515"/>
      <c r="V121" s="515"/>
      <c r="W121" s="515"/>
      <c r="X121" s="515"/>
      <c r="Y121" s="515"/>
      <c r="Z121" s="515"/>
      <c r="AA121" s="515"/>
      <c r="AB121" s="515"/>
      <c r="AC121" s="515"/>
      <c r="AD121" s="515"/>
      <c r="AE121" s="515"/>
      <c r="AF121" s="515"/>
      <c r="AG121" s="515"/>
      <c r="AH121" s="471"/>
      <c r="AI121" s="543"/>
      <c r="AJ121" s="543"/>
      <c r="AK121" s="545"/>
      <c r="AL121" s="543"/>
      <c r="AM121" s="543"/>
      <c r="AO121" s="543"/>
      <c r="AP121" s="543"/>
      <c r="AQ121" s="543"/>
      <c r="AR121" s="543"/>
      <c r="AS121" s="543"/>
      <c r="AT121" s="543"/>
      <c r="AU121" s="543"/>
      <c r="AV121" s="543"/>
      <c r="AW121" s="471"/>
      <c r="BA121" s="543"/>
      <c r="BB121" s="543"/>
      <c r="BC121" s="471"/>
      <c r="BD121" s="471"/>
      <c r="BE121" s="471"/>
      <c r="BF121" s="471"/>
      <c r="BG121" s="471"/>
      <c r="BH121" s="471"/>
      <c r="BI121" s="471"/>
      <c r="BJ121" s="471"/>
      <c r="BK121" s="471"/>
      <c r="BL121" s="482"/>
      <c r="BM121" s="482"/>
      <c r="BN121" s="482"/>
      <c r="BO121" s="482"/>
      <c r="BP121" s="482"/>
      <c r="BQ121" s="482"/>
      <c r="BR121" s="509"/>
      <c r="BS121" s="482"/>
      <c r="BT121" s="482"/>
      <c r="BU121" s="482"/>
      <c r="BV121" s="469"/>
      <c r="BW121" s="469"/>
      <c r="BX121" s="469"/>
      <c r="CA121" s="510"/>
      <c r="CC121" s="510"/>
    </row>
    <row r="122" spans="1:84">
      <c r="A122" s="463"/>
      <c r="B122" s="463"/>
      <c r="C122" s="482" t="s">
        <v>225</v>
      </c>
      <c r="D122" s="482"/>
      <c r="E122" s="482"/>
      <c r="F122" s="482"/>
      <c r="G122" s="515"/>
      <c r="H122" s="515"/>
      <c r="I122" s="515"/>
      <c r="J122" s="515"/>
      <c r="K122" s="515"/>
      <c r="L122" s="515"/>
      <c r="M122" s="559"/>
      <c r="N122" s="515"/>
      <c r="O122" s="515"/>
      <c r="P122" s="515"/>
      <c r="Q122" s="515"/>
      <c r="R122" s="515"/>
      <c r="S122" s="515"/>
      <c r="T122" s="515"/>
      <c r="U122" s="515"/>
      <c r="V122" s="515"/>
      <c r="W122" s="515"/>
      <c r="X122" s="515"/>
      <c r="Y122" s="515"/>
      <c r="Z122" s="515"/>
      <c r="AA122" s="515"/>
      <c r="AB122" s="515"/>
      <c r="AC122" s="515"/>
      <c r="AD122" s="515"/>
      <c r="AE122" s="515"/>
      <c r="AF122" s="515"/>
      <c r="AG122" s="515"/>
      <c r="AH122" s="471"/>
      <c r="AI122" s="543"/>
      <c r="AJ122" s="543"/>
      <c r="AK122" s="545"/>
      <c r="AL122" s="543"/>
      <c r="AM122" s="543"/>
      <c r="AO122" s="543"/>
      <c r="AP122" s="543"/>
      <c r="AQ122" s="543"/>
      <c r="AR122" s="543"/>
      <c r="AS122" s="543"/>
      <c r="AT122" s="543"/>
      <c r="AU122" s="543"/>
      <c r="AV122" s="543"/>
      <c r="AW122" s="471"/>
      <c r="BA122" s="543"/>
      <c r="BB122" s="543"/>
      <c r="BC122" s="471"/>
      <c r="BD122" s="471"/>
      <c r="BE122" s="471"/>
      <c r="BF122" s="471"/>
      <c r="BG122" s="471"/>
      <c r="BH122" s="471"/>
      <c r="BI122" s="471"/>
      <c r="BJ122" s="471"/>
      <c r="BK122" s="471"/>
      <c r="BL122" s="482"/>
      <c r="BM122" s="482"/>
      <c r="BN122" s="482"/>
      <c r="BO122" s="482"/>
      <c r="BP122" s="482"/>
      <c r="BQ122" s="482"/>
      <c r="BR122" s="509"/>
      <c r="BS122" s="482"/>
      <c r="BT122" s="482"/>
      <c r="BU122" s="482"/>
      <c r="BV122" s="469"/>
      <c r="BW122" s="469"/>
      <c r="BX122" s="469"/>
      <c r="CA122" s="510"/>
      <c r="CC122" s="510"/>
    </row>
    <row r="123" spans="1:84">
      <c r="A123" s="463"/>
      <c r="B123" s="463"/>
      <c r="C123" s="525">
        <f>+C114-C115</f>
        <v>-185</v>
      </c>
      <c r="D123" s="562">
        <f>SUM(D115:D121)</f>
        <v>0</v>
      </c>
      <c r="E123" s="515"/>
      <c r="F123" s="515"/>
      <c r="G123" s="515"/>
      <c r="H123" s="515"/>
      <c r="I123" s="515"/>
      <c r="J123" s="515"/>
      <c r="K123" s="515"/>
      <c r="L123" s="515"/>
      <c r="M123" s="559"/>
      <c r="N123" s="515"/>
      <c r="O123" s="515"/>
      <c r="P123" s="515"/>
      <c r="Q123" s="515"/>
      <c r="R123" s="515"/>
      <c r="S123" s="515"/>
      <c r="T123" s="515"/>
      <c r="U123" s="515"/>
      <c r="V123" s="515"/>
      <c r="W123" s="515"/>
      <c r="X123" s="515"/>
      <c r="Y123" s="515"/>
      <c r="Z123" s="515"/>
      <c r="AA123" s="515"/>
      <c r="AB123" s="515"/>
      <c r="AC123" s="515"/>
      <c r="AD123" s="515"/>
      <c r="AE123" s="515"/>
      <c r="AF123" s="515"/>
      <c r="AG123" s="515"/>
      <c r="AH123" s="471"/>
      <c r="AI123" s="543"/>
      <c r="AJ123" s="543"/>
      <c r="AK123" s="545"/>
      <c r="AL123" s="543"/>
      <c r="AM123" s="543"/>
      <c r="AO123" s="543"/>
      <c r="AP123" s="543"/>
      <c r="AQ123" s="543"/>
      <c r="AR123" s="543"/>
      <c r="AS123" s="543"/>
      <c r="AT123" s="543"/>
      <c r="AU123" s="543"/>
      <c r="AV123" s="543"/>
      <c r="AW123" s="471"/>
      <c r="BA123" s="543"/>
      <c r="BB123" s="543"/>
      <c r="BC123" s="471"/>
      <c r="BD123" s="471"/>
      <c r="BE123" s="471"/>
      <c r="BF123" s="471"/>
      <c r="BG123" s="471"/>
      <c r="BH123" s="471"/>
      <c r="BI123" s="471"/>
      <c r="BJ123" s="471"/>
      <c r="BK123" s="471"/>
      <c r="BL123" s="482"/>
      <c r="BM123" s="482"/>
      <c r="BN123" s="482"/>
      <c r="BO123" s="482"/>
      <c r="BP123" s="482"/>
      <c r="BQ123" s="482"/>
      <c r="BR123" s="509"/>
      <c r="BS123" s="482"/>
      <c r="BT123" s="482"/>
      <c r="BU123" s="482"/>
      <c r="BV123" s="469"/>
      <c r="BW123" s="469"/>
      <c r="BX123" s="469"/>
      <c r="CA123" s="510"/>
      <c r="CC123" s="510"/>
    </row>
    <row r="124" spans="1:84" ht="15" thickBot="1">
      <c r="A124" s="464" t="s">
        <v>138</v>
      </c>
      <c r="B124" s="464"/>
      <c r="C124" s="515"/>
      <c r="D124" s="515"/>
      <c r="E124" s="515"/>
      <c r="F124" s="515"/>
      <c r="G124" s="515"/>
      <c r="H124" s="515"/>
      <c r="I124" s="515"/>
      <c r="J124" s="515"/>
      <c r="K124" s="515"/>
      <c r="L124" s="515"/>
      <c r="M124" s="515"/>
      <c r="N124" s="515"/>
      <c r="O124" s="515"/>
      <c r="P124" s="515"/>
      <c r="Q124" s="515"/>
      <c r="R124" s="515"/>
      <c r="S124" s="515"/>
      <c r="T124" s="515"/>
      <c r="U124" s="515"/>
      <c r="V124" s="515"/>
      <c r="W124" s="515"/>
      <c r="X124" s="515"/>
      <c r="Y124" s="515"/>
      <c r="Z124" s="515"/>
      <c r="AA124" s="515"/>
      <c r="AB124" s="515"/>
      <c r="AC124" s="515"/>
      <c r="AD124" s="515"/>
      <c r="AE124" s="515"/>
      <c r="AF124" s="515"/>
      <c r="AG124" s="515"/>
      <c r="AH124" s="471"/>
      <c r="AI124" s="471"/>
      <c r="AJ124" s="471"/>
      <c r="AK124" s="502"/>
      <c r="AL124" s="543"/>
      <c r="AM124" s="543"/>
      <c r="AO124" s="543"/>
      <c r="AP124" s="543"/>
      <c r="AQ124" s="543"/>
      <c r="AR124" s="543"/>
      <c r="AS124" s="543"/>
      <c r="AT124" s="543"/>
      <c r="AU124" s="543"/>
      <c r="AV124" s="543"/>
      <c r="AW124" s="543"/>
      <c r="AX124" s="543"/>
      <c r="AY124" s="543"/>
      <c r="AZ124" s="543"/>
      <c r="BA124" s="543"/>
      <c r="BB124" s="543"/>
      <c r="BC124" s="543"/>
      <c r="BD124" s="543"/>
      <c r="BE124" s="543"/>
      <c r="BF124" s="471"/>
      <c r="BG124" s="471"/>
      <c r="BH124" s="471"/>
      <c r="BI124" s="471"/>
      <c r="BJ124" s="471"/>
      <c r="BK124" s="471"/>
      <c r="BL124" s="471"/>
      <c r="BM124" s="471"/>
      <c r="BN124" s="471"/>
      <c r="BO124" s="482"/>
      <c r="BP124" s="482"/>
      <c r="BQ124" s="482"/>
      <c r="BR124" s="482"/>
      <c r="BS124" s="482"/>
      <c r="BT124" s="471"/>
      <c r="BU124" s="509"/>
      <c r="BV124" s="471"/>
      <c r="BW124" s="471"/>
      <c r="BX124" s="471"/>
      <c r="BY124" s="510"/>
      <c r="BZ124" s="510"/>
      <c r="CA124" s="510"/>
      <c r="CB124" s="510"/>
      <c r="CC124" s="510"/>
      <c r="CD124" s="510"/>
      <c r="CE124" s="510"/>
      <c r="CF124" s="510"/>
    </row>
    <row r="125" spans="1:84" ht="15" thickBot="1">
      <c r="A125" s="542" t="s">
        <v>86</v>
      </c>
      <c r="B125" s="1169" t="s">
        <v>264</v>
      </c>
      <c r="C125" s="2132" t="s">
        <v>219</v>
      </c>
      <c r="D125" s="2132"/>
      <c r="E125" s="2132"/>
      <c r="F125" s="2132"/>
      <c r="G125" s="2132"/>
      <c r="H125" s="2132"/>
      <c r="I125" s="2132"/>
      <c r="J125" s="2132"/>
      <c r="K125" s="2132"/>
      <c r="L125" s="2137"/>
      <c r="M125" s="469" t="s">
        <v>259</v>
      </c>
      <c r="N125" s="2133" t="s">
        <v>220</v>
      </c>
      <c r="O125" s="2134"/>
      <c r="P125" s="2134"/>
      <c r="Q125" s="2134"/>
      <c r="R125" s="2134"/>
      <c r="S125" s="2134"/>
      <c r="T125" s="2134"/>
      <c r="U125" s="2134"/>
      <c r="V125" s="2134"/>
      <c r="W125" s="2134"/>
      <c r="X125" s="2134"/>
      <c r="Y125" s="2134"/>
      <c r="Z125" s="2134"/>
      <c r="AA125" s="2134"/>
      <c r="AB125" s="2134"/>
      <c r="AC125" s="2135"/>
      <c r="AH125" s="471"/>
      <c r="AI125" s="471"/>
      <c r="AJ125" s="471"/>
      <c r="AK125" s="502"/>
      <c r="AL125" s="543"/>
      <c r="AM125" s="543"/>
      <c r="AO125" s="543"/>
      <c r="AP125" s="543"/>
      <c r="AQ125" s="543"/>
      <c r="AR125" s="543"/>
      <c r="AS125" s="543"/>
      <c r="AT125" s="543"/>
      <c r="AU125" s="543"/>
      <c r="AV125" s="543"/>
      <c r="AW125" s="543"/>
      <c r="AX125" s="543"/>
      <c r="AY125" s="543"/>
      <c r="AZ125" s="543"/>
      <c r="BA125" s="543"/>
      <c r="BB125" s="543"/>
      <c r="BC125" s="543"/>
      <c r="BD125" s="543"/>
      <c r="BE125" s="543"/>
      <c r="BF125" s="471"/>
      <c r="BG125" s="471"/>
      <c r="BH125" s="471"/>
      <c r="BI125" s="471"/>
      <c r="BJ125" s="471"/>
      <c r="BK125" s="471"/>
      <c r="BL125" s="471"/>
      <c r="BM125" s="471"/>
      <c r="BN125" s="471"/>
      <c r="BO125" s="482"/>
      <c r="BP125" s="471"/>
      <c r="BQ125" s="471"/>
      <c r="BR125" s="482"/>
      <c r="BS125" s="482"/>
      <c r="BT125" s="471"/>
      <c r="BU125" s="509"/>
      <c r="BV125" s="471"/>
      <c r="BW125" s="471"/>
      <c r="BX125" s="471"/>
      <c r="BY125" s="510"/>
      <c r="BZ125" s="510"/>
      <c r="CA125" s="510"/>
      <c r="CB125" s="510"/>
      <c r="CC125" s="510"/>
      <c r="CD125" s="510"/>
      <c r="CE125" s="510"/>
      <c r="CF125" s="510"/>
    </row>
    <row r="126" spans="1:84" ht="15" thickBot="1">
      <c r="A126" s="563" t="s">
        <v>87</v>
      </c>
      <c r="B126" s="496" t="s">
        <v>88</v>
      </c>
      <c r="C126" s="533" t="s">
        <v>221</v>
      </c>
      <c r="D126" s="531" t="s">
        <v>212</v>
      </c>
      <c r="E126" s="531" t="s">
        <v>189</v>
      </c>
      <c r="F126" s="531" t="s">
        <v>187</v>
      </c>
      <c r="G126" s="531" t="s">
        <v>253</v>
      </c>
      <c r="H126" s="560" t="s">
        <v>190</v>
      </c>
      <c r="I126" s="560" t="s">
        <v>214</v>
      </c>
      <c r="J126" s="560" t="s">
        <v>265</v>
      </c>
      <c r="K126" s="1257" t="s">
        <v>127</v>
      </c>
      <c r="L126" s="1257" t="s">
        <v>192</v>
      </c>
      <c r="M126" s="496" t="s">
        <v>71</v>
      </c>
      <c r="N126" s="535" t="s">
        <v>216</v>
      </c>
      <c r="O126" s="531" t="s">
        <v>189</v>
      </c>
      <c r="P126" s="531" t="s">
        <v>187</v>
      </c>
      <c r="Q126" s="531" t="s">
        <v>253</v>
      </c>
      <c r="R126" s="560" t="s">
        <v>190</v>
      </c>
      <c r="S126" s="560" t="s">
        <v>214</v>
      </c>
      <c r="T126" s="560" t="s">
        <v>127</v>
      </c>
      <c r="U126" s="560" t="s">
        <v>225</v>
      </c>
      <c r="V126" s="560" t="s">
        <v>260</v>
      </c>
      <c r="W126" s="533" t="s">
        <v>226</v>
      </c>
      <c r="X126" s="533" t="s">
        <v>227</v>
      </c>
      <c r="Y126" s="529" t="s">
        <v>228</v>
      </c>
      <c r="Z126" s="534" t="s">
        <v>229</v>
      </c>
      <c r="AA126" s="534" t="s">
        <v>230</v>
      </c>
      <c r="AB126" s="534" t="s">
        <v>231</v>
      </c>
      <c r="AC126" s="534" t="s">
        <v>232</v>
      </c>
      <c r="AD126" s="534" t="s">
        <v>71</v>
      </c>
      <c r="AE126" s="529" t="s">
        <v>233</v>
      </c>
      <c r="AF126" s="536" t="s">
        <v>234</v>
      </c>
      <c r="AG126" s="500" t="s">
        <v>185</v>
      </c>
      <c r="AH126" s="477"/>
      <c r="AI126" s="477"/>
      <c r="AJ126" s="477"/>
      <c r="AK126" s="537"/>
      <c r="AL126" s="477"/>
      <c r="AM126" s="477"/>
      <c r="AN126" s="503"/>
      <c r="AO126" s="477"/>
      <c r="AP126" s="477"/>
      <c r="AQ126" s="477"/>
      <c r="AR126" s="477"/>
      <c r="AS126" s="477"/>
      <c r="AT126" s="477"/>
      <c r="AU126" s="477"/>
      <c r="AV126" s="477"/>
      <c r="AW126" s="477"/>
      <c r="AX126" s="477"/>
      <c r="AY126" s="477"/>
      <c r="AZ126" s="477"/>
      <c r="BA126" s="477"/>
      <c r="BB126" s="477"/>
      <c r="BC126" s="477"/>
      <c r="BD126" s="477"/>
      <c r="BE126" s="477"/>
      <c r="BF126" s="477"/>
      <c r="BG126" s="477"/>
      <c r="BH126" s="477"/>
      <c r="BI126" s="477"/>
      <c r="BJ126" s="477"/>
      <c r="BK126" s="477"/>
      <c r="BL126" s="482"/>
      <c r="BM126" s="482"/>
      <c r="BN126" s="482"/>
      <c r="BO126" s="482"/>
      <c r="BP126" s="482"/>
      <c r="BQ126" s="482"/>
      <c r="BR126" s="509"/>
      <c r="BS126" s="482"/>
      <c r="BT126" s="482"/>
      <c r="BU126" s="482"/>
      <c r="BV126" s="510"/>
      <c r="BW126" s="510"/>
      <c r="BX126" s="510"/>
      <c r="BY126" s="510"/>
      <c r="BZ126" s="510"/>
      <c r="CA126" s="510"/>
      <c r="CB126" s="510"/>
    </row>
    <row r="127" spans="1:84">
      <c r="A127" s="1390" t="s">
        <v>105</v>
      </c>
      <c r="B127" s="1391" t="s">
        <v>266</v>
      </c>
      <c r="C127" s="1382"/>
      <c r="D127" s="1352"/>
      <c r="E127" s="1352"/>
      <c r="F127" s="1352"/>
      <c r="G127" s="1352"/>
      <c r="H127" s="1352"/>
      <c r="I127" s="1352"/>
      <c r="J127" s="1352"/>
      <c r="K127" s="1392"/>
      <c r="L127" s="1543"/>
      <c r="M127" s="1360">
        <f t="shared" ref="M127:M131" si="51">SUM(C127:L127)</f>
        <v>0</v>
      </c>
      <c r="N127" s="1352"/>
      <c r="O127" s="1352"/>
      <c r="P127" s="1352"/>
      <c r="Q127" s="1352"/>
      <c r="R127" s="1352"/>
      <c r="S127" s="1352"/>
      <c r="T127" s="1352"/>
      <c r="U127" s="1352"/>
      <c r="V127" s="1352"/>
      <c r="W127" s="1352"/>
      <c r="X127" s="1352"/>
      <c r="Y127" s="1352"/>
      <c r="Z127" s="1352"/>
      <c r="AA127" s="1351"/>
      <c r="AB127" s="1351"/>
      <c r="AC127" s="1350"/>
      <c r="AD127" s="1382">
        <f t="shared" ref="AD127:AD132" si="52">SUM(N127:AC127)</f>
        <v>0</v>
      </c>
      <c r="AE127" s="1350">
        <f t="shared" ref="AE127:AE132" si="53">+M127+AD127</f>
        <v>0</v>
      </c>
      <c r="AF127" s="1382"/>
      <c r="AG127" s="1393">
        <f t="shared" ref="AG127:AG132" si="54">AF127-AE127</f>
        <v>0</v>
      </c>
      <c r="AH127" s="1362">
        <f>AF127-C127</f>
        <v>0</v>
      </c>
      <c r="AI127" s="471"/>
      <c r="AJ127" s="471"/>
      <c r="AK127" s="502"/>
      <c r="AL127" s="471"/>
      <c r="AM127" s="471"/>
      <c r="AN127" s="501"/>
      <c r="AO127" s="471"/>
      <c r="AP127" s="471"/>
      <c r="AQ127" s="471"/>
      <c r="AR127" s="471"/>
      <c r="AS127" s="471"/>
      <c r="AT127" s="471"/>
      <c r="AU127" s="471"/>
      <c r="AV127" s="471"/>
      <c r="AW127" s="471"/>
      <c r="AX127" s="471"/>
      <c r="AY127" s="471"/>
      <c r="AZ127" s="471"/>
      <c r="BA127" s="471"/>
      <c r="BB127" s="471"/>
      <c r="BC127" s="471"/>
      <c r="BD127" s="471"/>
      <c r="BE127" s="471"/>
      <c r="BF127" s="471"/>
      <c r="BG127" s="471"/>
      <c r="BH127" s="471"/>
      <c r="BI127" s="471"/>
      <c r="BJ127" s="471"/>
      <c r="BK127" s="471"/>
      <c r="BL127" s="482"/>
      <c r="BM127" s="482"/>
      <c r="BN127" s="482"/>
      <c r="BO127" s="482"/>
      <c r="BP127" s="482"/>
      <c r="BQ127" s="471"/>
      <c r="BR127" s="509"/>
      <c r="BS127" s="471"/>
      <c r="BT127" s="471"/>
      <c r="BU127" s="471"/>
      <c r="BV127" s="510"/>
      <c r="BW127" s="510"/>
      <c r="BX127" s="510"/>
      <c r="BY127" s="510"/>
      <c r="BZ127" s="510"/>
      <c r="CA127" s="510"/>
      <c r="CB127" s="510"/>
    </row>
    <row r="128" spans="1:84">
      <c r="A128" s="1380" t="s">
        <v>107</v>
      </c>
      <c r="B128" s="1381" t="s">
        <v>266</v>
      </c>
      <c r="C128" s="1356"/>
      <c r="D128" s="1349"/>
      <c r="E128" s="1349"/>
      <c r="F128" s="1349"/>
      <c r="G128" s="1349"/>
      <c r="H128" s="1349"/>
      <c r="I128" s="1349"/>
      <c r="J128" s="1349"/>
      <c r="K128" s="1349"/>
      <c r="L128" s="1357">
        <v>0</v>
      </c>
      <c r="M128" s="1360">
        <f t="shared" si="51"/>
        <v>0</v>
      </c>
      <c r="N128" s="1349"/>
      <c r="O128" s="1349"/>
      <c r="P128" s="1377"/>
      <c r="Q128" s="1349"/>
      <c r="R128" s="1349"/>
      <c r="S128" s="1349"/>
      <c r="T128" s="1349"/>
      <c r="U128" s="1349"/>
      <c r="V128" s="1349"/>
      <c r="W128" s="1349"/>
      <c r="X128" s="1349"/>
      <c r="Y128" s="1349"/>
      <c r="Z128" s="1349"/>
      <c r="AA128" s="1349"/>
      <c r="AB128" s="1349"/>
      <c r="AC128" s="1349"/>
      <c r="AD128" s="1356">
        <f t="shared" si="52"/>
        <v>0</v>
      </c>
      <c r="AE128" s="1349">
        <f t="shared" si="53"/>
        <v>0</v>
      </c>
      <c r="AF128" s="1356">
        <v>0</v>
      </c>
      <c r="AG128" s="1393">
        <f t="shared" si="54"/>
        <v>0</v>
      </c>
      <c r="AH128" s="1362">
        <f t="shared" ref="AH128:AH133" si="55">AF128-C128</f>
        <v>0</v>
      </c>
      <c r="AI128" s="471"/>
      <c r="AJ128" s="471"/>
      <c r="AK128" s="502"/>
      <c r="AL128" s="471"/>
      <c r="AM128" s="477"/>
      <c r="AN128" s="503"/>
      <c r="AO128" s="477"/>
      <c r="AP128" s="477"/>
      <c r="AQ128" s="477"/>
      <c r="AR128" s="477"/>
      <c r="AS128" s="477"/>
      <c r="AT128" s="477"/>
      <c r="AU128" s="477"/>
      <c r="AV128" s="477"/>
      <c r="AW128" s="477"/>
      <c r="AX128" s="477"/>
      <c r="AY128" s="477"/>
      <c r="AZ128" s="477"/>
      <c r="BA128" s="471"/>
      <c r="BB128" s="471"/>
      <c r="BC128" s="471"/>
      <c r="BD128" s="471"/>
      <c r="BE128" s="471"/>
      <c r="BF128" s="471"/>
      <c r="BG128" s="471"/>
      <c r="BH128" s="471"/>
      <c r="BI128" s="471"/>
      <c r="BJ128" s="471"/>
      <c r="BK128" s="471"/>
      <c r="BL128" s="482"/>
      <c r="BM128" s="482"/>
      <c r="BN128" s="482"/>
      <c r="BO128" s="482"/>
      <c r="BP128" s="482"/>
      <c r="BQ128" s="471"/>
      <c r="BR128" s="509"/>
      <c r="BS128" s="471"/>
      <c r="BT128" s="471"/>
      <c r="BU128" s="471"/>
      <c r="BV128" s="510"/>
      <c r="BW128" s="510"/>
      <c r="BX128" s="510"/>
      <c r="BY128" s="510"/>
      <c r="BZ128" s="510"/>
      <c r="CA128" s="510"/>
      <c r="CB128" s="510"/>
    </row>
    <row r="129" spans="1:80">
      <c r="A129" s="1380" t="s">
        <v>109</v>
      </c>
      <c r="B129" s="1381" t="s">
        <v>266</v>
      </c>
      <c r="C129" s="1356"/>
      <c r="D129" s="1349"/>
      <c r="E129" s="1349"/>
      <c r="F129" s="1349"/>
      <c r="G129" s="1349"/>
      <c r="H129" s="1349"/>
      <c r="I129" s="1349"/>
      <c r="J129" s="1349"/>
      <c r="K129" s="1349"/>
      <c r="L129" s="1357">
        <v>0</v>
      </c>
      <c r="M129" s="1360">
        <f t="shared" si="51"/>
        <v>0</v>
      </c>
      <c r="N129" s="1349"/>
      <c r="O129" s="1349"/>
      <c r="P129" s="1349"/>
      <c r="Q129" s="1349"/>
      <c r="R129" s="1349"/>
      <c r="S129" s="1349"/>
      <c r="T129" s="1349"/>
      <c r="U129" s="1349"/>
      <c r="V129" s="1349"/>
      <c r="W129" s="1349"/>
      <c r="X129" s="1349"/>
      <c r="Y129" s="1349"/>
      <c r="Z129" s="1349"/>
      <c r="AA129" s="1349"/>
      <c r="AB129" s="1349"/>
      <c r="AC129" s="1349"/>
      <c r="AD129" s="1356">
        <f t="shared" si="52"/>
        <v>0</v>
      </c>
      <c r="AE129" s="1349">
        <f t="shared" si="53"/>
        <v>0</v>
      </c>
      <c r="AF129" s="1356">
        <v>0</v>
      </c>
      <c r="AG129" s="1393">
        <f t="shared" si="54"/>
        <v>0</v>
      </c>
      <c r="AH129" s="1362">
        <f t="shared" si="55"/>
        <v>0</v>
      </c>
      <c r="AI129" s="471"/>
      <c r="AJ129" s="471"/>
      <c r="AK129" s="502"/>
      <c r="AL129" s="471"/>
      <c r="AM129" s="471"/>
      <c r="AN129" s="501"/>
      <c r="AO129" s="471"/>
      <c r="AP129" s="471"/>
      <c r="AQ129" s="471"/>
      <c r="AR129" s="471"/>
      <c r="AS129" s="471"/>
      <c r="AT129" s="471"/>
      <c r="AU129" s="471"/>
      <c r="AV129" s="471"/>
      <c r="AW129" s="471"/>
      <c r="AX129" s="471"/>
      <c r="AY129" s="471"/>
      <c r="AZ129" s="471"/>
      <c r="BA129" s="471"/>
      <c r="BB129" s="471"/>
      <c r="BC129" s="471"/>
      <c r="BD129" s="471"/>
      <c r="BE129" s="471"/>
      <c r="BF129" s="471"/>
      <c r="BG129" s="471"/>
      <c r="BH129" s="471"/>
      <c r="BI129" s="471"/>
      <c r="BJ129" s="471"/>
      <c r="BK129" s="471"/>
      <c r="BL129" s="482"/>
      <c r="BM129" s="482"/>
      <c r="BN129" s="482"/>
      <c r="BO129" s="482"/>
      <c r="BP129" s="482"/>
      <c r="BQ129" s="471"/>
      <c r="BR129" s="509"/>
      <c r="BS129" s="471"/>
      <c r="BT129" s="471"/>
      <c r="BU129" s="471"/>
      <c r="BV129" s="510"/>
      <c r="BW129" s="510"/>
      <c r="BX129" s="510"/>
      <c r="BY129" s="510"/>
      <c r="BZ129" s="510"/>
      <c r="CA129" s="510"/>
      <c r="CB129" s="510"/>
    </row>
    <row r="130" spans="1:80">
      <c r="A130" s="1189" t="s">
        <v>111</v>
      </c>
      <c r="B130" s="1190" t="s">
        <v>266</v>
      </c>
      <c r="C130" s="1191">
        <v>0</v>
      </c>
      <c r="D130" s="1192"/>
      <c r="E130" s="1192"/>
      <c r="F130" s="1192"/>
      <c r="G130" s="1192"/>
      <c r="H130" s="1192"/>
      <c r="I130" s="1192"/>
      <c r="J130" s="1192">
        <v>84</v>
      </c>
      <c r="K130" s="1192"/>
      <c r="L130" s="1231">
        <f>4+7</f>
        <v>11</v>
      </c>
      <c r="M130" s="1248">
        <f t="shared" si="51"/>
        <v>95</v>
      </c>
      <c r="N130" s="1192"/>
      <c r="O130" s="1192"/>
      <c r="P130" s="1194"/>
      <c r="Q130" s="1192"/>
      <c r="R130" s="1192"/>
      <c r="S130" s="1192"/>
      <c r="T130" s="1192"/>
      <c r="U130" s="1192"/>
      <c r="V130" s="1192"/>
      <c r="W130" s="1192">
        <v>0</v>
      </c>
      <c r="X130" s="1192"/>
      <c r="Y130" s="1192"/>
      <c r="Z130" s="1192"/>
      <c r="AA130" s="1195"/>
      <c r="AB130" s="1195"/>
      <c r="AC130" s="1195"/>
      <c r="AD130" s="1191">
        <f t="shared" si="52"/>
        <v>0</v>
      </c>
      <c r="AE130" s="1195">
        <f t="shared" si="53"/>
        <v>95</v>
      </c>
      <c r="AF130" s="1191">
        <f>68+16+4+7</f>
        <v>95</v>
      </c>
      <c r="AG130" s="1260">
        <f t="shared" si="54"/>
        <v>0</v>
      </c>
      <c r="AH130" s="1362">
        <f t="shared" si="55"/>
        <v>95</v>
      </c>
      <c r="AI130" s="471"/>
      <c r="AJ130" s="471"/>
      <c r="AK130" s="502"/>
      <c r="AL130" s="471"/>
      <c r="AM130" s="471"/>
      <c r="AN130" s="501"/>
      <c r="AO130" s="471"/>
      <c r="AP130" s="471"/>
      <c r="AQ130" s="471"/>
      <c r="AR130" s="471"/>
      <c r="AS130" s="471"/>
      <c r="AT130" s="471"/>
      <c r="AU130" s="471"/>
      <c r="AV130" s="471"/>
      <c r="AW130" s="471"/>
      <c r="AX130" s="471"/>
      <c r="AY130" s="471"/>
      <c r="AZ130" s="471"/>
      <c r="BA130" s="471"/>
      <c r="BB130" s="471"/>
      <c r="BC130" s="471"/>
      <c r="BD130" s="471"/>
      <c r="BE130" s="471"/>
      <c r="BF130" s="471"/>
      <c r="BG130" s="471"/>
      <c r="BH130" s="471"/>
      <c r="BI130" s="471"/>
      <c r="BJ130" s="471"/>
      <c r="BK130" s="471"/>
      <c r="BL130" s="482"/>
      <c r="BM130" s="482"/>
      <c r="BN130" s="482"/>
      <c r="BO130" s="482"/>
      <c r="BP130" s="482"/>
      <c r="BQ130" s="471"/>
      <c r="BR130" s="509"/>
      <c r="BS130" s="471"/>
      <c r="BT130" s="471"/>
      <c r="BU130" s="471"/>
      <c r="BV130" s="510"/>
      <c r="BW130" s="510"/>
      <c r="BX130" s="510"/>
      <c r="BY130" s="510"/>
      <c r="BZ130" s="510"/>
      <c r="CA130" s="510"/>
      <c r="CB130" s="510"/>
    </row>
    <row r="131" spans="1:80">
      <c r="A131" s="1189" t="s">
        <v>112</v>
      </c>
      <c r="B131" s="1190" t="s">
        <v>266</v>
      </c>
      <c r="C131" s="1191"/>
      <c r="D131" s="1192"/>
      <c r="E131" s="1192"/>
      <c r="F131" s="1192"/>
      <c r="G131" s="1192"/>
      <c r="H131" s="1192"/>
      <c r="I131" s="1192"/>
      <c r="J131" s="1192"/>
      <c r="K131" s="1192"/>
      <c r="L131" s="1231"/>
      <c r="M131" s="1248">
        <f t="shared" si="51"/>
        <v>0</v>
      </c>
      <c r="N131" s="1192"/>
      <c r="O131" s="1192"/>
      <c r="P131" s="1194"/>
      <c r="Q131" s="1192"/>
      <c r="R131" s="1192"/>
      <c r="S131" s="1192"/>
      <c r="T131" s="1192"/>
      <c r="U131" s="1192"/>
      <c r="V131" s="1192"/>
      <c r="W131" s="1192"/>
      <c r="X131" s="1192"/>
      <c r="Y131" s="1192"/>
      <c r="Z131" s="1192"/>
      <c r="AA131" s="1195"/>
      <c r="AB131" s="1195"/>
      <c r="AC131" s="1195"/>
      <c r="AD131" s="1191">
        <f t="shared" si="52"/>
        <v>0</v>
      </c>
      <c r="AE131" s="1195">
        <f t="shared" si="53"/>
        <v>0</v>
      </c>
      <c r="AF131" s="1191"/>
      <c r="AG131" s="1260">
        <f t="shared" si="54"/>
        <v>0</v>
      </c>
      <c r="AH131" s="1362">
        <f t="shared" si="55"/>
        <v>0</v>
      </c>
      <c r="AI131" s="471"/>
      <c r="AJ131" s="471"/>
      <c r="AK131" s="502"/>
      <c r="AL131" s="471"/>
      <c r="AM131" s="471"/>
      <c r="AN131" s="501"/>
      <c r="AO131" s="471"/>
      <c r="AP131" s="471"/>
      <c r="AQ131" s="471"/>
      <c r="AR131" s="471"/>
      <c r="AS131" s="471"/>
      <c r="AT131" s="471"/>
      <c r="AU131" s="471"/>
      <c r="AV131" s="471"/>
      <c r="AW131" s="471"/>
      <c r="AX131" s="471"/>
      <c r="AY131" s="471"/>
      <c r="AZ131" s="471"/>
      <c r="BA131" s="471"/>
      <c r="BB131" s="471"/>
      <c r="BC131" s="471"/>
      <c r="BD131" s="471"/>
      <c r="BE131" s="471"/>
      <c r="BF131" s="471"/>
      <c r="BG131" s="471"/>
      <c r="BH131" s="471"/>
      <c r="BI131" s="471"/>
      <c r="BJ131" s="471"/>
      <c r="BK131" s="471"/>
      <c r="BL131" s="482"/>
      <c r="BM131" s="482"/>
      <c r="BN131" s="482"/>
      <c r="BO131" s="482"/>
      <c r="BP131" s="482"/>
      <c r="BQ131" s="471"/>
      <c r="BR131" s="509"/>
      <c r="BS131" s="471"/>
      <c r="BT131" s="471"/>
      <c r="BU131" s="471"/>
      <c r="BV131" s="510"/>
      <c r="BW131" s="510"/>
      <c r="BX131" s="510"/>
      <c r="BY131" s="510"/>
      <c r="BZ131" s="510"/>
      <c r="CA131" s="510"/>
      <c r="CB131" s="510"/>
    </row>
    <row r="132" spans="1:80" ht="15" thickBot="1">
      <c r="A132" s="1266" t="s">
        <v>113</v>
      </c>
      <c r="B132" s="1524" t="s">
        <v>266</v>
      </c>
      <c r="C132" s="1196">
        <v>0</v>
      </c>
      <c r="D132" s="1227"/>
      <c r="E132" s="1227"/>
      <c r="F132" s="1227"/>
      <c r="G132" s="1227"/>
      <c r="H132" s="1227"/>
      <c r="I132" s="1227"/>
      <c r="J132" s="1227">
        <v>6</v>
      </c>
      <c r="K132" s="1227">
        <v>1</v>
      </c>
      <c r="L132" s="1256"/>
      <c r="M132" s="1248">
        <f t="shared" ref="M132" si="56">SUM(C132:L132)</f>
        <v>7</v>
      </c>
      <c r="N132" s="1232"/>
      <c r="O132" s="1232"/>
      <c r="P132" s="1197"/>
      <c r="Q132" s="1232"/>
      <c r="R132" s="1232"/>
      <c r="S132" s="1232"/>
      <c r="T132" s="1232"/>
      <c r="U132" s="1232"/>
      <c r="V132" s="1232"/>
      <c r="W132" s="1232"/>
      <c r="X132" s="1232"/>
      <c r="Y132" s="1232"/>
      <c r="Z132" s="1232"/>
      <c r="AA132" s="1198"/>
      <c r="AB132" s="1198"/>
      <c r="AC132" s="1198"/>
      <c r="AD132" s="1191">
        <f t="shared" si="52"/>
        <v>0</v>
      </c>
      <c r="AE132" s="1198">
        <f t="shared" si="53"/>
        <v>7</v>
      </c>
      <c r="AF132" s="1196">
        <v>7</v>
      </c>
      <c r="AG132" s="1261">
        <f t="shared" si="54"/>
        <v>0</v>
      </c>
      <c r="AH132" s="1362">
        <f t="shared" si="55"/>
        <v>7</v>
      </c>
      <c r="AI132" s="471"/>
      <c r="AJ132" s="471"/>
      <c r="AK132" s="502"/>
      <c r="AL132" s="471"/>
      <c r="AM132" s="471"/>
      <c r="AN132" s="501"/>
      <c r="AO132" s="471"/>
      <c r="AP132" s="471"/>
      <c r="AQ132" s="471"/>
      <c r="AR132" s="471"/>
      <c r="AS132" s="471"/>
      <c r="AT132" s="471"/>
      <c r="AU132" s="471"/>
      <c r="AV132" s="471"/>
      <c r="AW132" s="471"/>
      <c r="AX132" s="471"/>
      <c r="AY132" s="471"/>
      <c r="AZ132" s="471"/>
      <c r="BA132" s="471"/>
      <c r="BB132" s="471"/>
      <c r="BC132" s="471"/>
      <c r="BD132" s="471"/>
      <c r="BE132" s="471"/>
      <c r="BF132" s="471"/>
      <c r="BG132" s="471"/>
      <c r="BH132" s="471"/>
      <c r="BI132" s="471"/>
      <c r="BJ132" s="471"/>
      <c r="BK132" s="471"/>
      <c r="BL132" s="482"/>
      <c r="BM132" s="482"/>
      <c r="BN132" s="482"/>
      <c r="BO132" s="482"/>
      <c r="BP132" s="482"/>
      <c r="BQ132" s="471"/>
      <c r="BR132" s="471"/>
      <c r="BS132" s="471"/>
      <c r="BT132" s="471"/>
      <c r="BU132" s="471"/>
      <c r="BV132" s="510"/>
      <c r="BW132" s="510"/>
      <c r="BX132" s="510"/>
      <c r="BY132" s="510"/>
      <c r="BZ132" s="510"/>
      <c r="CA132" s="510"/>
      <c r="CB132" s="510"/>
    </row>
    <row r="133" spans="1:80" ht="15" thickBot="1">
      <c r="A133" s="541" t="s">
        <v>115</v>
      </c>
      <c r="B133" s="542"/>
      <c r="C133" s="549">
        <f t="shared" ref="C133:K133" si="57">SUM(C127:C132)</f>
        <v>0</v>
      </c>
      <c r="D133" s="549">
        <f t="shared" si="57"/>
        <v>0</v>
      </c>
      <c r="E133" s="549">
        <f t="shared" si="57"/>
        <v>0</v>
      </c>
      <c r="F133" s="549">
        <f t="shared" si="57"/>
        <v>0</v>
      </c>
      <c r="G133" s="549">
        <f t="shared" si="57"/>
        <v>0</v>
      </c>
      <c r="H133" s="549">
        <f t="shared" si="57"/>
        <v>0</v>
      </c>
      <c r="I133" s="549">
        <f t="shared" si="57"/>
        <v>0</v>
      </c>
      <c r="J133" s="549">
        <f t="shared" si="57"/>
        <v>90</v>
      </c>
      <c r="K133" s="549">
        <f t="shared" si="57"/>
        <v>1</v>
      </c>
      <c r="L133" s="549"/>
      <c r="M133" s="549">
        <f t="shared" ref="M133:AG133" si="58">SUM(M127:M132)</f>
        <v>102</v>
      </c>
      <c r="N133" s="549">
        <f>SUM(N127:N132)</f>
        <v>0</v>
      </c>
      <c r="O133" s="549">
        <f t="shared" si="58"/>
        <v>0</v>
      </c>
      <c r="P133" s="549">
        <f t="shared" si="58"/>
        <v>0</v>
      </c>
      <c r="Q133" s="549">
        <f t="shared" si="58"/>
        <v>0</v>
      </c>
      <c r="R133" s="549">
        <f t="shared" si="58"/>
        <v>0</v>
      </c>
      <c r="S133" s="549">
        <f t="shared" si="58"/>
        <v>0</v>
      </c>
      <c r="T133" s="549">
        <f>SUM(T127:T132)</f>
        <v>0</v>
      </c>
      <c r="U133" s="549">
        <f>SUM(U127:U132)</f>
        <v>0</v>
      </c>
      <c r="V133" s="549"/>
      <c r="W133" s="549">
        <f t="shared" si="58"/>
        <v>0</v>
      </c>
      <c r="X133" s="549">
        <f t="shared" si="58"/>
        <v>0</v>
      </c>
      <c r="Y133" s="549"/>
      <c r="Z133" s="549">
        <f t="shared" si="58"/>
        <v>0</v>
      </c>
      <c r="AA133" s="549">
        <f>SUM(AA127:AA132)</f>
        <v>0</v>
      </c>
      <c r="AB133" s="549">
        <f t="shared" si="58"/>
        <v>0</v>
      </c>
      <c r="AC133" s="549">
        <f>SUM(AC127:AC132)</f>
        <v>0</v>
      </c>
      <c r="AD133" s="549">
        <f t="shared" si="58"/>
        <v>0</v>
      </c>
      <c r="AE133" s="549">
        <f t="shared" si="58"/>
        <v>102</v>
      </c>
      <c r="AF133" s="549">
        <f t="shared" si="58"/>
        <v>102</v>
      </c>
      <c r="AG133" s="549">
        <f t="shared" si="58"/>
        <v>0</v>
      </c>
      <c r="AH133" s="1362">
        <f t="shared" si="55"/>
        <v>102</v>
      </c>
      <c r="AI133" s="471"/>
      <c r="AJ133" s="471"/>
      <c r="AK133" s="502"/>
      <c r="AL133" s="471"/>
      <c r="AM133" s="471"/>
      <c r="AN133" s="501"/>
      <c r="AO133" s="471"/>
      <c r="AP133" s="471"/>
      <c r="AQ133" s="471"/>
      <c r="AR133" s="471"/>
      <c r="AS133" s="471"/>
      <c r="AT133" s="471"/>
      <c r="AU133" s="471"/>
      <c r="AV133" s="471"/>
      <c r="AW133" s="471"/>
      <c r="AX133" s="471"/>
      <c r="AY133" s="471"/>
      <c r="AZ133" s="471"/>
      <c r="BA133" s="471"/>
      <c r="BB133" s="471"/>
      <c r="BC133" s="471"/>
      <c r="BD133" s="471"/>
      <c r="BE133" s="471"/>
      <c r="BF133" s="471"/>
      <c r="BG133" s="471"/>
      <c r="BH133" s="471"/>
      <c r="BI133" s="471"/>
      <c r="BJ133" s="471"/>
      <c r="BK133" s="471"/>
      <c r="BL133" s="482"/>
      <c r="BM133" s="482"/>
      <c r="BN133" s="482"/>
      <c r="BO133" s="482"/>
      <c r="BP133" s="482"/>
      <c r="BQ133" s="482"/>
      <c r="BR133" s="482"/>
      <c r="BS133" s="482"/>
      <c r="BT133" s="482"/>
      <c r="BU133" s="482"/>
      <c r="BV133" s="510"/>
      <c r="BW133" s="510"/>
      <c r="BX133" s="510"/>
      <c r="BY133" s="510"/>
      <c r="BZ133" s="510"/>
      <c r="CA133" s="510"/>
      <c r="CB133" s="510"/>
    </row>
    <row r="134" spans="1:80">
      <c r="A134" s="463"/>
      <c r="B134" s="463"/>
      <c r="C134" s="469">
        <v>0</v>
      </c>
      <c r="D134" s="482">
        <f>+SUM(D133:I133)+SUM(N133:T133)+K133</f>
        <v>1</v>
      </c>
      <c r="E134" s="515"/>
      <c r="F134" s="515"/>
      <c r="G134" s="515"/>
      <c r="H134" s="515"/>
      <c r="I134" s="515"/>
      <c r="J134" s="515"/>
      <c r="K134" s="515"/>
      <c r="L134" s="515"/>
      <c r="M134" s="515"/>
      <c r="N134" s="525">
        <f>+D133+N133</f>
        <v>0</v>
      </c>
      <c r="O134" s="515"/>
      <c r="P134" s="515"/>
      <c r="Q134" s="515"/>
      <c r="R134" s="515"/>
      <c r="S134" s="515"/>
      <c r="T134" s="515"/>
      <c r="U134" s="515"/>
      <c r="V134" s="515"/>
      <c r="W134" s="515"/>
      <c r="X134" s="515"/>
      <c r="Y134" s="515"/>
      <c r="Z134" s="515"/>
      <c r="AA134" s="515"/>
      <c r="AB134" s="515"/>
      <c r="AC134" s="515"/>
      <c r="AD134" s="515"/>
      <c r="AE134" s="515"/>
      <c r="AF134" s="515">
        <f>AE133</f>
        <v>102</v>
      </c>
      <c r="AG134" s="515"/>
      <c r="AH134" s="471"/>
      <c r="AI134" s="471"/>
      <c r="AJ134" s="471"/>
      <c r="AK134" s="502"/>
      <c r="AL134" s="471"/>
      <c r="AM134" s="471"/>
      <c r="AN134" s="501"/>
      <c r="AO134" s="471"/>
      <c r="AP134" s="471"/>
      <c r="AQ134" s="471"/>
      <c r="AR134" s="471"/>
      <c r="AS134" s="471"/>
      <c r="AT134" s="471"/>
      <c r="AU134" s="471"/>
      <c r="AV134" s="471"/>
      <c r="AW134" s="471"/>
      <c r="AX134" s="471"/>
      <c r="AY134" s="471"/>
      <c r="AZ134" s="471"/>
      <c r="BA134" s="471"/>
      <c r="BB134" s="471"/>
      <c r="BC134" s="471"/>
      <c r="BD134" s="471"/>
      <c r="BE134" s="471"/>
      <c r="BF134" s="471"/>
      <c r="BG134" s="471"/>
      <c r="BH134" s="471"/>
      <c r="BI134" s="471"/>
      <c r="BJ134" s="471"/>
      <c r="BK134" s="471"/>
      <c r="BL134" s="482"/>
      <c r="BM134" s="482"/>
      <c r="BN134" s="482"/>
      <c r="BO134" s="482"/>
      <c r="BP134" s="482"/>
      <c r="BQ134" s="482"/>
      <c r="BR134" s="482"/>
      <c r="BS134" s="482"/>
      <c r="BT134" s="482"/>
      <c r="BU134" s="482"/>
      <c r="BV134" s="510"/>
      <c r="BW134" s="510"/>
      <c r="BX134" s="510"/>
      <c r="BY134" s="510"/>
      <c r="BZ134" s="510"/>
      <c r="CA134" s="510"/>
      <c r="CB134" s="510"/>
    </row>
    <row r="135" spans="1:80">
      <c r="A135" s="463"/>
      <c r="B135" s="463"/>
      <c r="C135" s="482" t="s">
        <v>127</v>
      </c>
      <c r="D135" s="482">
        <f>+K18+T18</f>
        <v>-1</v>
      </c>
      <c r="E135" s="515"/>
      <c r="F135" s="515"/>
      <c r="G135" s="515"/>
      <c r="H135" s="515"/>
      <c r="I135" s="515"/>
      <c r="J135" s="515"/>
      <c r="K135" s="515"/>
      <c r="L135" s="515"/>
      <c r="M135" s="515"/>
      <c r="N135" s="515"/>
      <c r="O135" s="515"/>
      <c r="P135" s="515"/>
      <c r="Q135" s="515"/>
      <c r="R135" s="515"/>
      <c r="S135" s="515"/>
      <c r="T135" s="515"/>
      <c r="U135" s="515"/>
      <c r="V135" s="515"/>
      <c r="W135" s="515"/>
      <c r="X135" s="515"/>
      <c r="Y135" s="515"/>
      <c r="Z135" s="515"/>
      <c r="AA135" s="515"/>
      <c r="AB135" s="515"/>
      <c r="AC135" s="515"/>
      <c r="AD135" s="515"/>
      <c r="AE135" s="515"/>
      <c r="AF135" s="525">
        <f>+AF133-AF134</f>
        <v>0</v>
      </c>
      <c r="AG135" s="515"/>
      <c r="AH135" s="471"/>
      <c r="AI135" s="471"/>
      <c r="AJ135" s="471"/>
      <c r="AK135" s="502"/>
      <c r="AL135" s="471"/>
      <c r="AM135" s="471"/>
      <c r="AN135" s="501"/>
      <c r="AO135" s="471"/>
      <c r="AP135" s="471"/>
      <c r="AQ135" s="471"/>
      <c r="AR135" s="471"/>
      <c r="AS135" s="471"/>
      <c r="AT135" s="471"/>
      <c r="AU135" s="471"/>
      <c r="AV135" s="471"/>
      <c r="AW135" s="471"/>
      <c r="AX135" s="471"/>
      <c r="AY135" s="471"/>
      <c r="AZ135" s="471"/>
      <c r="BA135" s="471"/>
      <c r="BB135" s="471"/>
      <c r="BC135" s="471"/>
      <c r="BD135" s="471"/>
      <c r="BE135" s="471"/>
      <c r="BF135" s="471"/>
      <c r="BG135" s="471"/>
      <c r="BH135" s="471"/>
      <c r="BI135" s="471"/>
      <c r="BJ135" s="471"/>
      <c r="BK135" s="471"/>
      <c r="BL135" s="482"/>
      <c r="BM135" s="482"/>
      <c r="BN135" s="482"/>
      <c r="BO135" s="482"/>
      <c r="BP135" s="482"/>
      <c r="BQ135" s="482"/>
      <c r="BR135" s="482"/>
      <c r="BS135" s="482"/>
      <c r="BT135" s="482"/>
      <c r="BU135" s="482"/>
      <c r="BV135" s="510"/>
      <c r="BW135" s="510"/>
      <c r="BX135" s="510"/>
      <c r="BY135" s="510"/>
      <c r="BZ135" s="510"/>
      <c r="CA135" s="510"/>
      <c r="CB135" s="510"/>
    </row>
    <row r="136" spans="1:80">
      <c r="A136" s="463"/>
      <c r="B136" s="463"/>
      <c r="C136" s="482" t="s">
        <v>190</v>
      </c>
      <c r="D136" s="482">
        <f>+K37+T37</f>
        <v>108</v>
      </c>
      <c r="E136" s="515"/>
      <c r="F136" s="515"/>
      <c r="G136" s="515"/>
      <c r="H136" s="515"/>
      <c r="I136" s="515"/>
      <c r="J136" s="515"/>
      <c r="K136" s="515"/>
      <c r="L136" s="515"/>
      <c r="M136" s="515"/>
      <c r="N136" s="515"/>
      <c r="O136" s="515"/>
      <c r="P136" s="515"/>
      <c r="Q136" s="515"/>
      <c r="R136" s="515"/>
      <c r="S136" s="515"/>
      <c r="T136" s="515"/>
      <c r="U136" s="515"/>
      <c r="V136" s="515"/>
      <c r="W136" s="515"/>
      <c r="X136" s="515"/>
      <c r="Y136" s="515"/>
      <c r="Z136" s="515"/>
      <c r="AA136" s="515"/>
      <c r="AB136" s="515"/>
      <c r="AC136" s="515"/>
      <c r="AD136" s="515"/>
      <c r="AE136" s="515"/>
      <c r="AF136" s="515"/>
      <c r="AG136" s="515"/>
      <c r="AH136" s="471"/>
      <c r="AI136" s="471"/>
      <c r="AJ136" s="471"/>
      <c r="AK136" s="502"/>
      <c r="AL136" s="471"/>
      <c r="AM136" s="471"/>
      <c r="AN136" s="501"/>
      <c r="AO136" s="471"/>
      <c r="AP136" s="471"/>
      <c r="AQ136" s="471"/>
      <c r="AR136" s="471"/>
      <c r="AS136" s="471"/>
      <c r="AT136" s="471"/>
      <c r="AU136" s="471"/>
      <c r="AV136" s="471"/>
      <c r="AW136" s="471"/>
      <c r="AX136" s="471"/>
      <c r="AY136" s="471"/>
      <c r="AZ136" s="471"/>
      <c r="BA136" s="471"/>
      <c r="BB136" s="471"/>
      <c r="BC136" s="471"/>
      <c r="BD136" s="471"/>
      <c r="BE136" s="471"/>
      <c r="BF136" s="471"/>
      <c r="BG136" s="471"/>
      <c r="BH136" s="471"/>
      <c r="BI136" s="471"/>
      <c r="BJ136" s="471"/>
      <c r="BK136" s="471"/>
      <c r="BL136" s="482"/>
      <c r="BM136" s="482"/>
      <c r="BN136" s="482"/>
      <c r="BO136" s="482"/>
      <c r="BP136" s="482"/>
      <c r="BQ136" s="482"/>
      <c r="BR136" s="482"/>
      <c r="BS136" s="482"/>
      <c r="BT136" s="482"/>
      <c r="BU136" s="482"/>
      <c r="BV136" s="510"/>
      <c r="BW136" s="510"/>
      <c r="BX136" s="510"/>
      <c r="BY136" s="510"/>
      <c r="BZ136" s="510"/>
      <c r="CA136" s="510"/>
      <c r="CB136" s="510"/>
    </row>
    <row r="137" spans="1:80">
      <c r="A137" s="463"/>
      <c r="B137" s="463"/>
      <c r="C137" s="482" t="s">
        <v>206</v>
      </c>
      <c r="D137" s="482">
        <f>+K75+T75</f>
        <v>140</v>
      </c>
      <c r="E137" s="515"/>
      <c r="F137" s="515"/>
      <c r="G137" s="515"/>
      <c r="H137" s="515"/>
      <c r="I137" s="515"/>
      <c r="J137" s="515"/>
      <c r="K137" s="515"/>
      <c r="L137" s="515"/>
      <c r="M137" s="515"/>
      <c r="N137" s="515"/>
      <c r="O137" s="515"/>
      <c r="P137" s="515"/>
      <c r="Q137" s="515"/>
      <c r="R137" s="515"/>
      <c r="S137" s="515"/>
      <c r="T137" s="515"/>
      <c r="U137" s="515"/>
      <c r="V137" s="515"/>
      <c r="W137" s="515"/>
      <c r="X137" s="515"/>
      <c r="Y137" s="515"/>
      <c r="Z137" s="515"/>
      <c r="AA137" s="515"/>
      <c r="AB137" s="515"/>
      <c r="AC137" s="515"/>
      <c r="AD137" s="515"/>
      <c r="AE137" s="515"/>
      <c r="AF137" s="515"/>
      <c r="AG137" s="515"/>
      <c r="AH137" s="471"/>
      <c r="AI137" s="471"/>
      <c r="AJ137" s="471"/>
      <c r="AK137" s="502"/>
      <c r="AL137" s="471"/>
      <c r="AM137" s="471"/>
      <c r="AN137" s="501"/>
      <c r="AO137" s="471"/>
      <c r="AP137" s="471"/>
      <c r="AQ137" s="471"/>
      <c r="AR137" s="471"/>
      <c r="AS137" s="471"/>
      <c r="AT137" s="471"/>
      <c r="AU137" s="471"/>
      <c r="AV137" s="471"/>
      <c r="AW137" s="471"/>
      <c r="AX137" s="471"/>
      <c r="AY137" s="471"/>
      <c r="AZ137" s="471"/>
      <c r="BA137" s="471"/>
      <c r="BB137" s="471"/>
      <c r="BC137" s="471"/>
      <c r="BD137" s="471"/>
      <c r="BE137" s="471"/>
      <c r="BF137" s="471"/>
      <c r="BG137" s="471"/>
      <c r="BH137" s="471"/>
      <c r="BI137" s="471"/>
      <c r="BJ137" s="471"/>
      <c r="BK137" s="471"/>
      <c r="BL137" s="482"/>
      <c r="BM137" s="482"/>
      <c r="BN137" s="482"/>
      <c r="BO137" s="482"/>
      <c r="BP137" s="482"/>
      <c r="BQ137" s="482"/>
      <c r="BR137" s="482"/>
      <c r="BS137" s="482"/>
      <c r="BT137" s="482"/>
      <c r="BU137" s="482"/>
      <c r="BV137" s="510"/>
      <c r="BW137" s="510"/>
      <c r="BX137" s="510"/>
      <c r="BY137" s="510"/>
      <c r="BZ137" s="510"/>
      <c r="CA137" s="510"/>
      <c r="CB137" s="510"/>
    </row>
    <row r="138" spans="1:80">
      <c r="A138" s="463"/>
      <c r="B138" s="463"/>
      <c r="C138" s="482" t="s">
        <v>213</v>
      </c>
      <c r="D138" s="482">
        <f>+K56+T56</f>
        <v>0</v>
      </c>
      <c r="E138" s="515"/>
      <c r="F138" s="515"/>
      <c r="G138" s="515"/>
      <c r="H138" s="515"/>
      <c r="I138" s="515"/>
      <c r="J138" s="515"/>
      <c r="K138" s="515"/>
      <c r="L138" s="515"/>
      <c r="M138" s="515"/>
      <c r="N138" s="515"/>
      <c r="O138" s="515"/>
      <c r="P138" s="515"/>
      <c r="Q138" s="515"/>
      <c r="R138" s="515"/>
      <c r="S138" s="515"/>
      <c r="T138" s="515"/>
      <c r="U138" s="515"/>
      <c r="V138" s="515"/>
      <c r="W138" s="515"/>
      <c r="X138" s="515"/>
      <c r="Y138" s="515"/>
      <c r="Z138" s="515"/>
      <c r="AA138" s="515"/>
      <c r="AB138" s="515"/>
      <c r="AC138" s="515"/>
      <c r="AD138" s="515"/>
      <c r="AE138" s="515"/>
      <c r="AF138" s="515"/>
      <c r="AG138" s="515"/>
      <c r="AH138" s="471"/>
      <c r="AI138" s="471"/>
      <c r="AJ138" s="471"/>
      <c r="AK138" s="502"/>
      <c r="AL138" s="471"/>
      <c r="AM138" s="471"/>
      <c r="AN138" s="501"/>
      <c r="AO138" s="471"/>
      <c r="AP138" s="471"/>
      <c r="AQ138" s="471"/>
      <c r="AR138" s="471"/>
      <c r="AS138" s="471"/>
      <c r="AT138" s="471"/>
      <c r="AU138" s="471"/>
      <c r="AV138" s="471"/>
      <c r="AW138" s="471"/>
      <c r="AX138" s="471"/>
      <c r="AY138" s="471"/>
      <c r="AZ138" s="471"/>
      <c r="BA138" s="471"/>
      <c r="BB138" s="471"/>
      <c r="BC138" s="471"/>
      <c r="BD138" s="471"/>
      <c r="BE138" s="471"/>
      <c r="BF138" s="471"/>
      <c r="BG138" s="471"/>
      <c r="BH138" s="471"/>
      <c r="BI138" s="471"/>
      <c r="BJ138" s="471"/>
      <c r="BK138" s="471"/>
      <c r="BL138" s="482"/>
      <c r="BM138" s="482"/>
      <c r="BN138" s="482"/>
      <c r="BO138" s="482"/>
      <c r="BP138" s="482"/>
      <c r="BQ138" s="482"/>
      <c r="BR138" s="482"/>
      <c r="BS138" s="482"/>
      <c r="BT138" s="482"/>
      <c r="BU138" s="482"/>
      <c r="BV138" s="510"/>
      <c r="BW138" s="510"/>
      <c r="BX138" s="510"/>
      <c r="BY138" s="510"/>
      <c r="BZ138" s="510"/>
      <c r="CA138" s="510"/>
      <c r="CB138" s="510"/>
    </row>
    <row r="139" spans="1:80">
      <c r="A139" s="463"/>
      <c r="B139" s="463"/>
      <c r="C139" s="482" t="s">
        <v>214</v>
      </c>
      <c r="D139" s="482">
        <f>+K95+T95</f>
        <v>0</v>
      </c>
      <c r="E139" s="515"/>
      <c r="F139" s="515"/>
      <c r="G139" s="515"/>
      <c r="H139" s="515"/>
      <c r="I139" s="515"/>
      <c r="J139" s="515"/>
      <c r="K139" s="515"/>
      <c r="L139" s="515"/>
      <c r="M139" s="515"/>
      <c r="N139" s="515"/>
      <c r="O139" s="515"/>
      <c r="P139" s="515"/>
      <c r="Q139" s="515"/>
      <c r="R139" s="515"/>
      <c r="S139" s="515"/>
      <c r="T139" s="515"/>
      <c r="U139" s="515"/>
      <c r="V139" s="515"/>
      <c r="W139" s="515"/>
      <c r="X139" s="515"/>
      <c r="Y139" s="515"/>
      <c r="Z139" s="515"/>
      <c r="AA139" s="515"/>
      <c r="AB139" s="515"/>
      <c r="AC139" s="515"/>
      <c r="AD139" s="515"/>
      <c r="AE139" s="515"/>
      <c r="AF139" s="515"/>
      <c r="AG139" s="515"/>
      <c r="AH139" s="471"/>
      <c r="AI139" s="471"/>
      <c r="AJ139" s="471"/>
      <c r="AK139" s="502"/>
      <c r="AL139" s="471"/>
      <c r="AM139" s="471"/>
      <c r="AN139" s="501"/>
      <c r="AO139" s="471"/>
      <c r="AP139" s="471"/>
      <c r="AQ139" s="471"/>
      <c r="AR139" s="471"/>
      <c r="AS139" s="471"/>
      <c r="AT139" s="471"/>
      <c r="AU139" s="471"/>
      <c r="AV139" s="471"/>
      <c r="AW139" s="471"/>
      <c r="AX139" s="471"/>
      <c r="AY139" s="471"/>
      <c r="AZ139" s="471"/>
      <c r="BA139" s="471"/>
      <c r="BB139" s="471"/>
      <c r="BC139" s="471"/>
      <c r="BD139" s="471"/>
      <c r="BE139" s="471"/>
      <c r="BF139" s="471"/>
      <c r="BG139" s="471"/>
      <c r="BH139" s="471"/>
      <c r="BI139" s="471"/>
      <c r="BJ139" s="471"/>
      <c r="BK139" s="471"/>
      <c r="BL139" s="482"/>
      <c r="BM139" s="482"/>
      <c r="BN139" s="482"/>
      <c r="BO139" s="482"/>
      <c r="BP139" s="482"/>
      <c r="BQ139" s="482"/>
      <c r="BR139" s="482"/>
      <c r="BS139" s="482"/>
      <c r="BT139" s="482"/>
      <c r="BU139" s="482"/>
      <c r="BV139" s="510"/>
      <c r="BW139" s="510"/>
      <c r="BX139" s="510"/>
      <c r="BY139" s="510"/>
      <c r="BZ139" s="510"/>
      <c r="CA139" s="510"/>
      <c r="CB139" s="510"/>
    </row>
    <row r="140" spans="1:80">
      <c r="A140" s="463"/>
      <c r="B140" s="463"/>
      <c r="C140" s="482" t="s">
        <v>189</v>
      </c>
      <c r="D140" s="482">
        <f>+K114+T114</f>
        <v>0</v>
      </c>
      <c r="E140" s="515"/>
      <c r="F140" s="515"/>
      <c r="G140" s="515"/>
      <c r="H140" s="515"/>
      <c r="I140" s="515"/>
      <c r="J140" s="515"/>
      <c r="K140" s="515"/>
      <c r="L140" s="515"/>
      <c r="M140" s="515"/>
      <c r="N140" s="515"/>
      <c r="O140" s="515"/>
      <c r="P140" s="515"/>
      <c r="Q140" s="515"/>
      <c r="R140" s="515"/>
      <c r="S140" s="515"/>
      <c r="T140" s="515"/>
      <c r="U140" s="515"/>
      <c r="V140" s="515"/>
      <c r="W140" s="515"/>
      <c r="X140" s="515"/>
      <c r="Y140" s="515"/>
      <c r="Z140" s="515"/>
      <c r="AA140" s="515"/>
      <c r="AB140" s="515"/>
      <c r="AC140" s="515"/>
      <c r="AD140" s="515"/>
      <c r="AE140" s="515"/>
      <c r="AF140" s="515"/>
      <c r="AG140" s="515"/>
      <c r="AH140" s="471"/>
      <c r="AI140" s="471"/>
      <c r="AJ140" s="471"/>
      <c r="AK140" s="502"/>
      <c r="AL140" s="471"/>
      <c r="AM140" s="471"/>
      <c r="AN140" s="501"/>
      <c r="AO140" s="471"/>
      <c r="AP140" s="471"/>
      <c r="AQ140" s="471"/>
      <c r="AR140" s="471"/>
      <c r="AS140" s="471"/>
      <c r="AT140" s="471"/>
      <c r="AU140" s="471"/>
      <c r="AV140" s="471"/>
      <c r="AW140" s="471"/>
      <c r="AX140" s="471"/>
      <c r="AY140" s="471"/>
      <c r="AZ140" s="471"/>
      <c r="BA140" s="471"/>
      <c r="BB140" s="471"/>
      <c r="BC140" s="471"/>
      <c r="BD140" s="471"/>
      <c r="BE140" s="471"/>
      <c r="BF140" s="471"/>
      <c r="BG140" s="471"/>
      <c r="BH140" s="471"/>
      <c r="BI140" s="471"/>
      <c r="BJ140" s="471"/>
      <c r="BK140" s="471"/>
      <c r="BL140" s="482"/>
      <c r="BM140" s="482"/>
      <c r="BN140" s="482"/>
      <c r="BO140" s="482"/>
      <c r="BP140" s="482"/>
      <c r="BQ140" s="482"/>
      <c r="BR140" s="482"/>
      <c r="BS140" s="482"/>
      <c r="BT140" s="482"/>
      <c r="BU140" s="482"/>
      <c r="BV140" s="510"/>
      <c r="BW140" s="510"/>
      <c r="BX140" s="510"/>
      <c r="BY140" s="510"/>
      <c r="BZ140" s="510"/>
      <c r="CA140" s="510"/>
      <c r="CB140" s="510"/>
    </row>
    <row r="141" spans="1:80">
      <c r="A141" s="463"/>
      <c r="B141" s="463"/>
      <c r="C141" s="482" t="s">
        <v>225</v>
      </c>
      <c r="D141" s="482"/>
      <c r="E141" s="515"/>
      <c r="F141" s="515"/>
      <c r="G141" s="515"/>
      <c r="H141" s="515"/>
      <c r="I141" s="515"/>
      <c r="J141" s="515"/>
      <c r="K141" s="515"/>
      <c r="L141" s="515"/>
      <c r="M141" s="515"/>
      <c r="N141" s="515"/>
      <c r="O141" s="515"/>
      <c r="P141" s="515"/>
      <c r="Q141" s="515"/>
      <c r="R141" s="515"/>
      <c r="S141" s="515"/>
      <c r="T141" s="515"/>
      <c r="U141" s="515"/>
      <c r="V141" s="515"/>
      <c r="W141" s="515"/>
      <c r="X141" s="515"/>
      <c r="Y141" s="515"/>
      <c r="Z141" s="515"/>
      <c r="AA141" s="515"/>
      <c r="AB141" s="515"/>
      <c r="AC141" s="515"/>
      <c r="AD141" s="515"/>
      <c r="AE141" s="515"/>
      <c r="AF141" s="515"/>
      <c r="AG141" s="515"/>
      <c r="AH141" s="471"/>
      <c r="AI141" s="471"/>
      <c r="AJ141" s="471"/>
      <c r="AK141" s="502"/>
      <c r="AL141" s="471"/>
      <c r="AM141" s="471"/>
      <c r="AN141" s="501"/>
      <c r="AO141" s="471"/>
      <c r="AP141" s="471"/>
      <c r="AQ141" s="471"/>
      <c r="AR141" s="471"/>
      <c r="AS141" s="471"/>
      <c r="AT141" s="471"/>
      <c r="AU141" s="471"/>
      <c r="AV141" s="471"/>
      <c r="AW141" s="471"/>
      <c r="AX141" s="471"/>
      <c r="AY141" s="471"/>
      <c r="AZ141" s="471"/>
      <c r="BA141" s="471"/>
      <c r="BB141" s="471"/>
      <c r="BC141" s="471"/>
      <c r="BD141" s="471"/>
      <c r="BE141" s="471"/>
      <c r="BF141" s="471"/>
      <c r="BG141" s="471"/>
      <c r="BH141" s="471"/>
      <c r="BI141" s="471"/>
      <c r="BJ141" s="471"/>
      <c r="BK141" s="471"/>
      <c r="BL141" s="482"/>
      <c r="BM141" s="482"/>
      <c r="BN141" s="482"/>
      <c r="BO141" s="482"/>
      <c r="BP141" s="482"/>
      <c r="BQ141" s="482"/>
      <c r="BR141" s="482"/>
      <c r="BS141" s="482"/>
      <c r="BT141" s="482"/>
      <c r="BU141" s="482"/>
      <c r="BV141" s="510"/>
      <c r="BW141" s="510"/>
      <c r="BX141" s="510"/>
      <c r="BY141" s="510"/>
      <c r="BZ141" s="510"/>
      <c r="CA141" s="510"/>
      <c r="CB141" s="510"/>
    </row>
    <row r="142" spans="1:80">
      <c r="A142" s="463"/>
      <c r="B142" s="463"/>
      <c r="C142" s="525">
        <f>+C133-C134</f>
        <v>0</v>
      </c>
      <c r="D142" s="525">
        <f>SUM(D134:D140)</f>
        <v>248</v>
      </c>
      <c r="E142" s="515"/>
      <c r="F142" s="515"/>
      <c r="G142" s="515"/>
      <c r="H142" s="515"/>
      <c r="I142" s="515"/>
      <c r="J142" s="515"/>
      <c r="K142" s="515"/>
      <c r="L142" s="515"/>
      <c r="M142" s="515"/>
      <c r="N142" s="515"/>
      <c r="O142" s="515"/>
      <c r="P142" s="515"/>
      <c r="Q142" s="515"/>
      <c r="R142" s="515"/>
      <c r="S142" s="515"/>
      <c r="T142" s="515"/>
      <c r="U142" s="515"/>
      <c r="V142" s="515"/>
      <c r="W142" s="515"/>
      <c r="X142" s="515"/>
      <c r="Y142" s="515"/>
      <c r="Z142" s="515"/>
      <c r="AA142" s="515"/>
      <c r="AB142" s="515"/>
      <c r="AC142" s="515"/>
      <c r="AD142" s="515"/>
      <c r="AE142" s="515"/>
      <c r="AF142" s="515"/>
      <c r="AG142" s="515"/>
      <c r="AH142" s="471"/>
      <c r="AI142" s="471"/>
      <c r="AJ142" s="471"/>
      <c r="AK142" s="502"/>
      <c r="AL142" s="543"/>
      <c r="AM142" s="543"/>
      <c r="AO142" s="543"/>
      <c r="AP142" s="543"/>
      <c r="AQ142" s="543"/>
      <c r="AR142" s="543"/>
      <c r="AS142" s="543"/>
      <c r="AT142" s="543"/>
      <c r="AU142" s="543"/>
      <c r="AV142" s="543"/>
      <c r="AW142" s="543"/>
      <c r="AX142" s="543"/>
      <c r="AY142" s="543"/>
      <c r="AZ142" s="543"/>
      <c r="BA142" s="543"/>
      <c r="BB142" s="543"/>
      <c r="BC142" s="543"/>
      <c r="BD142" s="543"/>
      <c r="BE142" s="543"/>
      <c r="BF142" s="471"/>
      <c r="BG142" s="471"/>
      <c r="BH142" s="471"/>
      <c r="BI142" s="471"/>
      <c r="BJ142" s="471"/>
      <c r="BK142" s="471"/>
      <c r="BL142" s="471"/>
      <c r="BM142" s="471"/>
      <c r="BN142" s="471"/>
      <c r="BO142" s="482"/>
      <c r="BP142" s="482"/>
      <c r="BQ142" s="482"/>
      <c r="BR142" s="482"/>
      <c r="BS142" s="482"/>
      <c r="BT142" s="482"/>
      <c r="BU142" s="482"/>
      <c r="BV142" s="482"/>
      <c r="BW142" s="482"/>
      <c r="BX142" s="482"/>
    </row>
    <row r="143" spans="1:80" ht="15" thickBot="1">
      <c r="A143" s="463"/>
      <c r="B143" s="463"/>
      <c r="C143" s="515"/>
      <c r="D143" s="515"/>
      <c r="E143" s="515"/>
      <c r="F143" s="515"/>
      <c r="G143" s="515"/>
      <c r="H143" s="515"/>
      <c r="I143" s="515"/>
      <c r="J143" s="515"/>
      <c r="K143" s="515"/>
      <c r="L143" s="515"/>
      <c r="M143" s="515"/>
      <c r="N143" s="515"/>
      <c r="O143" s="515"/>
      <c r="P143" s="515"/>
      <c r="Q143" s="515"/>
      <c r="R143" s="515"/>
      <c r="S143" s="515"/>
      <c r="T143" s="515"/>
      <c r="U143" s="515"/>
      <c r="V143" s="515"/>
      <c r="W143" s="515"/>
      <c r="X143" s="515"/>
      <c r="Y143" s="515"/>
      <c r="Z143" s="515"/>
      <c r="AA143" s="515"/>
      <c r="AB143" s="515"/>
      <c r="AC143" s="515"/>
      <c r="AD143" s="515"/>
      <c r="AE143" s="515"/>
      <c r="AF143" s="515"/>
      <c r="AG143" s="515"/>
      <c r="AH143" s="471"/>
      <c r="AI143" s="471"/>
      <c r="AJ143" s="471"/>
      <c r="AK143" s="502"/>
      <c r="AL143" s="543"/>
      <c r="AM143" s="543"/>
      <c r="AO143" s="543"/>
      <c r="AP143" s="543"/>
      <c r="AQ143" s="543"/>
      <c r="AR143" s="543"/>
      <c r="AS143" s="543"/>
      <c r="AT143" s="543"/>
      <c r="AU143" s="543"/>
      <c r="AV143" s="543"/>
      <c r="AW143" s="543"/>
      <c r="AX143" s="543"/>
      <c r="AY143" s="543"/>
      <c r="AZ143" s="543"/>
      <c r="BA143" s="543"/>
      <c r="BB143" s="543"/>
      <c r="BC143" s="543"/>
      <c r="BD143" s="543"/>
      <c r="BE143" s="543"/>
      <c r="BF143" s="471"/>
      <c r="BG143" s="471"/>
      <c r="BH143" s="471"/>
      <c r="BI143" s="471"/>
      <c r="BJ143" s="471"/>
      <c r="BK143" s="471"/>
      <c r="BL143" s="471"/>
      <c r="BM143" s="471"/>
      <c r="BN143" s="471"/>
      <c r="BO143" s="482"/>
      <c r="BP143" s="482"/>
      <c r="BQ143" s="482"/>
      <c r="BR143" s="482"/>
      <c r="BS143" s="482"/>
      <c r="BT143" s="482"/>
      <c r="BU143" s="482"/>
      <c r="BV143" s="482"/>
      <c r="BW143" s="482"/>
      <c r="BX143" s="482"/>
    </row>
    <row r="144" spans="1:80" ht="15" thickBot="1">
      <c r="A144" s="542" t="s">
        <v>86</v>
      </c>
      <c r="B144" s="1169" t="s">
        <v>267</v>
      </c>
      <c r="C144" s="2132" t="s">
        <v>219</v>
      </c>
      <c r="D144" s="2132"/>
      <c r="E144" s="2132"/>
      <c r="F144" s="2132"/>
      <c r="G144" s="2132"/>
      <c r="H144" s="2132"/>
      <c r="I144" s="2132"/>
      <c r="J144" s="2132"/>
      <c r="K144" s="2132"/>
      <c r="L144" s="2137"/>
      <c r="M144" s="469" t="s">
        <v>259</v>
      </c>
      <c r="N144" s="2133" t="s">
        <v>220</v>
      </c>
      <c r="O144" s="2134"/>
      <c r="P144" s="2134"/>
      <c r="Q144" s="2134"/>
      <c r="R144" s="2134"/>
      <c r="S144" s="2134"/>
      <c r="T144" s="2134"/>
      <c r="U144" s="2134"/>
      <c r="V144" s="2134"/>
      <c r="W144" s="2134"/>
      <c r="X144" s="2134"/>
      <c r="Y144" s="2134"/>
      <c r="Z144" s="2134"/>
      <c r="AA144" s="2134"/>
      <c r="AB144" s="2134"/>
      <c r="AC144" s="2135"/>
      <c r="AH144" s="471"/>
      <c r="AI144" s="471"/>
      <c r="AJ144" s="471"/>
      <c r="AK144" s="502"/>
      <c r="AL144" s="543"/>
      <c r="AM144" s="543"/>
      <c r="AO144" s="543"/>
      <c r="AP144" s="543"/>
      <c r="AQ144" s="543"/>
      <c r="AR144" s="543"/>
      <c r="AS144" s="543"/>
      <c r="AT144" s="543"/>
      <c r="AU144" s="543"/>
      <c r="AV144" s="543"/>
      <c r="AW144" s="543"/>
      <c r="AX144" s="543"/>
      <c r="AY144" s="543"/>
      <c r="AZ144" s="543"/>
      <c r="BA144" s="543"/>
      <c r="BB144" s="543"/>
      <c r="BC144" s="543"/>
      <c r="BD144" s="543"/>
      <c r="BE144" s="543"/>
      <c r="BF144" s="471"/>
      <c r="BG144" s="471"/>
      <c r="BH144" s="471"/>
      <c r="BI144" s="471"/>
      <c r="BJ144" s="471"/>
      <c r="BK144" s="471"/>
      <c r="BL144" s="471"/>
      <c r="BM144" s="471"/>
      <c r="BN144" s="471"/>
      <c r="BO144" s="482"/>
      <c r="BP144" s="482"/>
      <c r="BQ144" s="482"/>
      <c r="BR144" s="482"/>
      <c r="BS144" s="482"/>
      <c r="BT144" s="482"/>
      <c r="BU144" s="482"/>
      <c r="BV144" s="482"/>
      <c r="BW144" s="482"/>
      <c r="BX144" s="482"/>
    </row>
    <row r="145" spans="1:76" ht="15" thickBot="1">
      <c r="A145" s="563" t="s">
        <v>87</v>
      </c>
      <c r="B145" s="496" t="s">
        <v>88</v>
      </c>
      <c r="C145" s="533" t="s">
        <v>221</v>
      </c>
      <c r="D145" s="531" t="s">
        <v>212</v>
      </c>
      <c r="E145" s="531" t="s">
        <v>189</v>
      </c>
      <c r="F145" s="531" t="s">
        <v>187</v>
      </c>
      <c r="G145" s="531" t="s">
        <v>253</v>
      </c>
      <c r="H145" s="560" t="s">
        <v>190</v>
      </c>
      <c r="I145" s="560" t="s">
        <v>214</v>
      </c>
      <c r="J145" s="560" t="s">
        <v>222</v>
      </c>
      <c r="K145" s="1257" t="s">
        <v>192</v>
      </c>
      <c r="L145" s="1257" t="s">
        <v>127</v>
      </c>
      <c r="M145" s="496" t="s">
        <v>71</v>
      </c>
      <c r="N145" s="535" t="s">
        <v>216</v>
      </c>
      <c r="O145" s="531" t="s">
        <v>189</v>
      </c>
      <c r="P145" s="531" t="s">
        <v>187</v>
      </c>
      <c r="Q145" s="531" t="s">
        <v>253</v>
      </c>
      <c r="R145" s="560" t="s">
        <v>190</v>
      </c>
      <c r="S145" s="560" t="s">
        <v>214</v>
      </c>
      <c r="T145" s="560" t="s">
        <v>127</v>
      </c>
      <c r="U145" s="560" t="s">
        <v>76</v>
      </c>
      <c r="V145" s="560"/>
      <c r="W145" s="533" t="s">
        <v>226</v>
      </c>
      <c r="X145" s="533" t="s">
        <v>227</v>
      </c>
      <c r="Y145" s="529" t="s">
        <v>228</v>
      </c>
      <c r="Z145" s="534" t="s">
        <v>229</v>
      </c>
      <c r="AA145" s="534" t="s">
        <v>230</v>
      </c>
      <c r="AB145" s="534" t="s">
        <v>231</v>
      </c>
      <c r="AC145" s="534" t="s">
        <v>232</v>
      </c>
      <c r="AD145" s="534" t="s">
        <v>71</v>
      </c>
      <c r="AE145" s="529" t="s">
        <v>233</v>
      </c>
      <c r="AF145" s="536" t="s">
        <v>234</v>
      </c>
      <c r="AG145" s="500" t="s">
        <v>185</v>
      </c>
      <c r="AH145" s="471"/>
      <c r="AI145" s="471"/>
      <c r="AJ145" s="471"/>
      <c r="AK145" s="502"/>
      <c r="AL145" s="543"/>
      <c r="AM145" s="543"/>
      <c r="AO145" s="543"/>
      <c r="AP145" s="543"/>
      <c r="AQ145" s="543"/>
      <c r="AR145" s="543"/>
      <c r="AS145" s="543"/>
      <c r="AT145" s="543"/>
      <c r="AU145" s="543"/>
      <c r="AV145" s="543"/>
      <c r="AW145" s="543"/>
      <c r="AX145" s="543"/>
      <c r="AY145" s="543"/>
      <c r="AZ145" s="543"/>
      <c r="BA145" s="543"/>
      <c r="BB145" s="543"/>
      <c r="BC145" s="543"/>
      <c r="BD145" s="543"/>
      <c r="BE145" s="543"/>
      <c r="BF145" s="471"/>
      <c r="BG145" s="471"/>
      <c r="BH145" s="471"/>
      <c r="BI145" s="471"/>
      <c r="BJ145" s="471"/>
      <c r="BK145" s="471"/>
      <c r="BL145" s="471"/>
      <c r="BM145" s="471"/>
      <c r="BN145" s="471"/>
      <c r="BO145" s="482"/>
      <c r="BP145" s="482"/>
      <c r="BQ145" s="482"/>
      <c r="BR145" s="482"/>
      <c r="BS145" s="482"/>
      <c r="BT145" s="482"/>
      <c r="BU145" s="482"/>
      <c r="BV145" s="482"/>
      <c r="BW145" s="482"/>
      <c r="BX145" s="482"/>
    </row>
    <row r="146" spans="1:76">
      <c r="A146" s="1390" t="s">
        <v>105</v>
      </c>
      <c r="B146" s="1391" t="s">
        <v>267</v>
      </c>
      <c r="C146" s="1382">
        <v>2749</v>
      </c>
      <c r="D146" s="1352"/>
      <c r="E146" s="1352"/>
      <c r="F146" s="1352"/>
      <c r="G146" s="1352"/>
      <c r="H146" s="1352"/>
      <c r="I146" s="1352"/>
      <c r="J146" s="1352">
        <f>198-10+806-53+794-48+871-60+512-40</f>
        <v>2970</v>
      </c>
      <c r="K146" s="1392"/>
      <c r="L146" s="1543"/>
      <c r="M146" s="1360">
        <f t="shared" ref="M146:M151" si="59">SUM(C146:L146)</f>
        <v>5719</v>
      </c>
      <c r="N146" s="1352">
        <f>-672-701-629-662</f>
        <v>-2664</v>
      </c>
      <c r="O146" s="1352"/>
      <c r="P146" s="1352"/>
      <c r="Q146" s="1352">
        <f>-60-80</f>
        <v>-140</v>
      </c>
      <c r="R146" s="1352">
        <f>-60-48</f>
        <v>-108</v>
      </c>
      <c r="S146" s="1352"/>
      <c r="T146" s="1352"/>
      <c r="U146" s="1352"/>
      <c r="V146" s="1352"/>
      <c r="W146" s="1352">
        <f>-15-48-42-51-29</f>
        <v>-185</v>
      </c>
      <c r="X146" s="1352"/>
      <c r="Y146" s="1352"/>
      <c r="Z146" s="1352"/>
      <c r="AA146" s="1351"/>
      <c r="AB146" s="1351"/>
      <c r="AC146" s="1350"/>
      <c r="AD146" s="1382">
        <f t="shared" ref="AD146:AD151" si="60">SUM(N146:AC146)</f>
        <v>-3097</v>
      </c>
      <c r="AE146" s="1350">
        <f t="shared" ref="AE146:AE151" si="61">+M146+AD146</f>
        <v>2622</v>
      </c>
      <c r="AF146" s="1382">
        <f>+'Porta Batch Mvnt'!D7</f>
        <v>2622</v>
      </c>
      <c r="AG146" s="1393">
        <f>AF146-AE146</f>
        <v>0</v>
      </c>
      <c r="AH146" s="1362">
        <f>AF146-C146</f>
        <v>-127</v>
      </c>
      <c r="AI146" s="471">
        <f>AF146+140</f>
        <v>2762</v>
      </c>
      <c r="AJ146" s="471"/>
      <c r="AK146" s="502"/>
      <c r="AL146" s="543"/>
      <c r="AM146" s="543"/>
      <c r="AO146" s="543"/>
      <c r="AP146" s="543"/>
      <c r="AQ146" s="543"/>
      <c r="AR146" s="543"/>
      <c r="AS146" s="543"/>
      <c r="AT146" s="543"/>
      <c r="AU146" s="543"/>
      <c r="AV146" s="543"/>
      <c r="AW146" s="543"/>
      <c r="AX146" s="543"/>
      <c r="AY146" s="543"/>
      <c r="AZ146" s="543"/>
      <c r="BA146" s="543"/>
      <c r="BB146" s="543"/>
      <c r="BC146" s="543"/>
      <c r="BD146" s="543"/>
      <c r="BE146" s="543"/>
      <c r="BF146" s="471"/>
      <c r="BG146" s="471"/>
      <c r="BH146" s="471"/>
      <c r="BI146" s="471"/>
      <c r="BJ146" s="471"/>
      <c r="BK146" s="471"/>
      <c r="BL146" s="471"/>
      <c r="BM146" s="471"/>
      <c r="BN146" s="471"/>
      <c r="BO146" s="482"/>
      <c r="BP146" s="482"/>
      <c r="BQ146" s="482"/>
      <c r="BR146" s="482"/>
      <c r="BS146" s="482"/>
      <c r="BT146" s="482"/>
      <c r="BU146" s="482"/>
      <c r="BV146" s="482"/>
      <c r="BW146" s="482"/>
      <c r="BX146" s="482"/>
    </row>
    <row r="147" spans="1:76">
      <c r="A147" s="1380" t="s">
        <v>107</v>
      </c>
      <c r="B147" s="1381" t="s">
        <v>267</v>
      </c>
      <c r="C147" s="1382">
        <v>3861</v>
      </c>
      <c r="D147" s="1349">
        <f>672+701+629+662</f>
        <v>2664</v>
      </c>
      <c r="E147" s="1349"/>
      <c r="F147" s="1349"/>
      <c r="G147" s="1349"/>
      <c r="H147" s="1349"/>
      <c r="I147" s="1349"/>
      <c r="J147" s="1349"/>
      <c r="K147" s="1349"/>
      <c r="L147" s="1357"/>
      <c r="M147" s="1360">
        <f t="shared" si="59"/>
        <v>6525</v>
      </c>
      <c r="N147" s="1349">
        <f>-642-622-665-662</f>
        <v>-2591</v>
      </c>
      <c r="O147" s="1349"/>
      <c r="P147" s="1377"/>
      <c r="Q147" s="1349"/>
      <c r="R147" s="1349"/>
      <c r="S147" s="1349"/>
      <c r="T147" s="1349"/>
      <c r="U147" s="1349"/>
      <c r="V147" s="1349"/>
      <c r="W147" s="1349">
        <f>-1-1-1-1-2-1-1-1-1</f>
        <v>-10</v>
      </c>
      <c r="X147" s="1349"/>
      <c r="Y147" s="1349"/>
      <c r="Z147" s="1349"/>
      <c r="AA147" s="1349"/>
      <c r="AB147" s="1349"/>
      <c r="AC147" s="1349"/>
      <c r="AD147" s="1356">
        <f t="shared" si="60"/>
        <v>-2601</v>
      </c>
      <c r="AE147" s="1349">
        <f t="shared" si="61"/>
        <v>3924</v>
      </c>
      <c r="AF147" s="1356">
        <f>+'Porta Batch Mvnt'!D12</f>
        <v>3924</v>
      </c>
      <c r="AG147" s="1393">
        <f>AF147-AE147</f>
        <v>0</v>
      </c>
      <c r="AH147" s="1362">
        <f t="shared" ref="AH147:AH151" si="62">AF147-C147</f>
        <v>63</v>
      </c>
      <c r="AI147" s="471"/>
      <c r="AJ147" s="471"/>
      <c r="AK147" s="502"/>
      <c r="AL147" s="543"/>
      <c r="AM147" s="543"/>
      <c r="AO147" s="543"/>
      <c r="AP147" s="543"/>
      <c r="AQ147" s="543"/>
      <c r="AR147" s="543"/>
      <c r="AS147" s="543"/>
      <c r="AT147" s="543"/>
      <c r="AU147" s="543"/>
      <c r="AV147" s="543"/>
      <c r="AW147" s="543"/>
      <c r="AX147" s="543"/>
      <c r="AY147" s="543"/>
      <c r="AZ147" s="543"/>
      <c r="BA147" s="543"/>
      <c r="BB147" s="543"/>
      <c r="BC147" s="543"/>
      <c r="BD147" s="543"/>
      <c r="BE147" s="543"/>
      <c r="BF147" s="471"/>
      <c r="BG147" s="471"/>
      <c r="BH147" s="471"/>
      <c r="BI147" s="471"/>
      <c r="BJ147" s="471"/>
      <c r="BK147" s="471"/>
      <c r="BL147" s="471"/>
      <c r="BM147" s="471"/>
      <c r="BN147" s="471"/>
      <c r="BO147" s="482"/>
      <c r="BP147" s="482"/>
      <c r="BQ147" s="482"/>
      <c r="BR147" s="482"/>
      <c r="BS147" s="482"/>
      <c r="BT147" s="482"/>
      <c r="BU147" s="482"/>
      <c r="BV147" s="482"/>
      <c r="BW147" s="482"/>
      <c r="BX147" s="482"/>
    </row>
    <row r="148" spans="1:76">
      <c r="A148" s="1380" t="s">
        <v>109</v>
      </c>
      <c r="B148" s="1381" t="s">
        <v>267</v>
      </c>
      <c r="C148" s="1382">
        <v>8417</v>
      </c>
      <c r="D148" s="1349">
        <f>642+622+665+662</f>
        <v>2591</v>
      </c>
      <c r="E148" s="1349"/>
      <c r="F148" s="1349"/>
      <c r="G148" s="1349"/>
      <c r="H148" s="1349"/>
      <c r="I148" s="1349"/>
      <c r="J148" s="1349"/>
      <c r="K148" s="1349"/>
      <c r="L148" s="1357"/>
      <c r="M148" s="1360">
        <f t="shared" si="59"/>
        <v>11008</v>
      </c>
      <c r="N148" s="1349"/>
      <c r="O148" s="1349"/>
      <c r="P148" s="1349"/>
      <c r="Q148" s="1349"/>
      <c r="R148" s="1349"/>
      <c r="S148" s="1349"/>
      <c r="T148" s="1349"/>
      <c r="U148" s="1349"/>
      <c r="V148" s="1349"/>
      <c r="W148" s="1349">
        <v>-56</v>
      </c>
      <c r="X148" s="1349">
        <f>-186-614-514-641-657-624-Y148</f>
        <v>-3230</v>
      </c>
      <c r="Y148" s="1349">
        <f>-'[3]Sales USD'!$BD$10</f>
        <v>-6</v>
      </c>
      <c r="Z148" s="1349">
        <v>-23</v>
      </c>
      <c r="AA148" s="1349"/>
      <c r="AB148" s="1349"/>
      <c r="AC148" s="1349"/>
      <c r="AD148" s="1356">
        <f t="shared" si="60"/>
        <v>-3315</v>
      </c>
      <c r="AE148" s="1349">
        <f t="shared" si="61"/>
        <v>7693</v>
      </c>
      <c r="AF148" s="1356">
        <f>+'Porta Batch Mvnt'!D28</f>
        <v>7693</v>
      </c>
      <c r="AG148" s="1393">
        <f>AF148-AE148</f>
        <v>0</v>
      </c>
      <c r="AH148" s="1362">
        <f t="shared" si="62"/>
        <v>-724</v>
      </c>
      <c r="AI148" s="471"/>
      <c r="AJ148" s="471"/>
      <c r="AK148" s="502"/>
      <c r="AL148" s="543"/>
      <c r="AM148" s="543"/>
      <c r="AO148" s="543"/>
      <c r="AP148" s="543"/>
      <c r="AQ148" s="543"/>
      <c r="AR148" s="543"/>
      <c r="AS148" s="543"/>
      <c r="AT148" s="543"/>
      <c r="AU148" s="543"/>
      <c r="AV148" s="543"/>
      <c r="AW148" s="543"/>
      <c r="AX148" s="543"/>
      <c r="AY148" s="543"/>
      <c r="AZ148" s="543"/>
      <c r="BA148" s="543"/>
      <c r="BB148" s="543"/>
      <c r="BC148" s="543"/>
      <c r="BD148" s="543"/>
      <c r="BE148" s="543"/>
      <c r="BF148" s="471"/>
      <c r="BG148" s="471"/>
      <c r="BH148" s="471"/>
      <c r="BI148" s="471"/>
      <c r="BJ148" s="471"/>
      <c r="BK148" s="471"/>
      <c r="BL148" s="471"/>
      <c r="BM148" s="471"/>
      <c r="BN148" s="471"/>
      <c r="BO148" s="482"/>
      <c r="BP148" s="482"/>
      <c r="BQ148" s="482"/>
      <c r="BR148" s="482"/>
      <c r="BS148" s="482"/>
      <c r="BT148" s="482"/>
      <c r="BU148" s="482"/>
      <c r="BV148" s="482"/>
      <c r="BW148" s="482"/>
      <c r="BX148" s="482"/>
    </row>
    <row r="149" spans="1:76">
      <c r="A149" s="1189" t="s">
        <v>111</v>
      </c>
      <c r="B149" s="1190" t="s">
        <v>267</v>
      </c>
      <c r="C149" s="1191">
        <v>315</v>
      </c>
      <c r="D149" s="1192"/>
      <c r="E149" s="1192"/>
      <c r="F149" s="1192"/>
      <c r="G149" s="1192"/>
      <c r="H149" s="1192"/>
      <c r="I149" s="1192"/>
      <c r="J149" s="1192"/>
      <c r="K149" s="1192">
        <f>12+6+14+15</f>
        <v>47</v>
      </c>
      <c r="L149" s="1231"/>
      <c r="M149" s="1248">
        <f t="shared" si="59"/>
        <v>362</v>
      </c>
      <c r="N149" s="1192">
        <f>-4-3-11-5-5-3-3-8-3-2</f>
        <v>-47</v>
      </c>
      <c r="O149" s="1192"/>
      <c r="P149" s="1194"/>
      <c r="Q149" s="1192"/>
      <c r="R149" s="1192"/>
      <c r="S149" s="1192"/>
      <c r="T149" s="1192"/>
      <c r="U149" s="1192"/>
      <c r="V149" s="1192"/>
      <c r="W149" s="1192">
        <v>-1</v>
      </c>
      <c r="X149" s="1192"/>
      <c r="Y149" s="1192"/>
      <c r="Z149" s="1192">
        <v>-1</v>
      </c>
      <c r="AA149" s="1195"/>
      <c r="AB149" s="1195"/>
      <c r="AC149" s="1195"/>
      <c r="AD149" s="1191">
        <f t="shared" si="60"/>
        <v>-49</v>
      </c>
      <c r="AE149" s="1195">
        <f t="shared" si="61"/>
        <v>313</v>
      </c>
      <c r="AF149" s="1191">
        <f>+'Porta Batch Mvnt'!I6</f>
        <v>313</v>
      </c>
      <c r="AG149" s="1260">
        <f t="shared" ref="AG149:AG150" si="63">AF149-AE149</f>
        <v>0</v>
      </c>
      <c r="AH149" s="1362">
        <f t="shared" si="62"/>
        <v>-2</v>
      </c>
      <c r="AI149" s="471"/>
      <c r="AJ149" s="471"/>
      <c r="AK149" s="502"/>
      <c r="AL149" s="543"/>
      <c r="AM149" s="543"/>
      <c r="AO149" s="543"/>
      <c r="AP149" s="543"/>
      <c r="AQ149" s="543"/>
      <c r="AR149" s="543"/>
      <c r="AS149" s="543"/>
      <c r="AT149" s="543"/>
      <c r="AU149" s="543"/>
      <c r="AV149" s="543"/>
      <c r="AW149" s="543"/>
      <c r="AX149" s="543"/>
      <c r="AY149" s="543"/>
      <c r="AZ149" s="543"/>
      <c r="BA149" s="543"/>
      <c r="BB149" s="543"/>
      <c r="BC149" s="543"/>
      <c r="BD149" s="543"/>
      <c r="BE149" s="543"/>
      <c r="BF149" s="471"/>
      <c r="BG149" s="471"/>
      <c r="BH149" s="471"/>
      <c r="BI149" s="471"/>
      <c r="BJ149" s="471"/>
      <c r="BK149" s="471"/>
      <c r="BL149" s="471"/>
      <c r="BM149" s="471"/>
      <c r="BN149" s="471"/>
      <c r="BO149" s="482"/>
      <c r="BP149" s="482"/>
      <c r="BQ149" s="482"/>
      <c r="BR149" s="482"/>
      <c r="BS149" s="482"/>
      <c r="BT149" s="482"/>
      <c r="BU149" s="482"/>
      <c r="BV149" s="482"/>
      <c r="BW149" s="482"/>
      <c r="BX149" s="482"/>
    </row>
    <row r="150" spans="1:76">
      <c r="A150" s="1189" t="s">
        <v>112</v>
      </c>
      <c r="B150" s="1190" t="s">
        <v>267</v>
      </c>
      <c r="C150" s="1191">
        <v>1013</v>
      </c>
      <c r="D150" s="1192">
        <f>4+3+11+8+5+7+8+3+7+45+52+43+51+1+47+2+43+45+41</f>
        <v>426</v>
      </c>
      <c r="E150" s="1192"/>
      <c r="F150" s="1192"/>
      <c r="G150" s="1192"/>
      <c r="H150" s="1192"/>
      <c r="I150" s="1192"/>
      <c r="J150" s="1192"/>
      <c r="K150" s="1192"/>
      <c r="L150" s="1231"/>
      <c r="M150" s="1248">
        <f t="shared" si="59"/>
        <v>1439</v>
      </c>
      <c r="N150" s="1192">
        <f>-1-48-49-46-48-44-49-43-48</f>
        <v>-376</v>
      </c>
      <c r="O150" s="1192"/>
      <c r="P150" s="1194"/>
      <c r="Q150" s="1192"/>
      <c r="R150" s="1192"/>
      <c r="S150" s="1192"/>
      <c r="T150" s="1192"/>
      <c r="U150" s="1192"/>
      <c r="V150" s="1192"/>
      <c r="W150" s="1192">
        <f>-2-4-3</f>
        <v>-9</v>
      </c>
      <c r="X150" s="1192">
        <f>-20-16-9-3</f>
        <v>-48</v>
      </c>
      <c r="Y150" s="1192"/>
      <c r="Z150" s="1192">
        <v>-2</v>
      </c>
      <c r="AA150" s="1195"/>
      <c r="AB150" s="1195"/>
      <c r="AC150" s="1195"/>
      <c r="AD150" s="1191">
        <f t="shared" si="60"/>
        <v>-435</v>
      </c>
      <c r="AE150" s="1195">
        <f t="shared" si="61"/>
        <v>1004</v>
      </c>
      <c r="AF150" s="1191">
        <f>+'Porta Batch Mvnt'!I5</f>
        <v>1004</v>
      </c>
      <c r="AG150" s="1260">
        <f t="shared" si="63"/>
        <v>0</v>
      </c>
      <c r="AH150" s="1362">
        <f>AF150-C150</f>
        <v>-9</v>
      </c>
      <c r="AI150" s="471"/>
      <c r="AJ150" s="471"/>
      <c r="AK150" s="502"/>
      <c r="AL150" s="543"/>
      <c r="AM150" s="543"/>
      <c r="AO150" s="543"/>
      <c r="AP150" s="543"/>
      <c r="AQ150" s="543"/>
      <c r="AR150" s="543"/>
      <c r="AS150" s="543"/>
      <c r="AT150" s="543"/>
      <c r="AU150" s="543"/>
      <c r="AV150" s="543"/>
      <c r="AW150" s="543"/>
      <c r="AX150" s="543"/>
      <c r="AY150" s="543"/>
      <c r="AZ150" s="543"/>
      <c r="BA150" s="543"/>
      <c r="BB150" s="543"/>
      <c r="BC150" s="543"/>
      <c r="BD150" s="543"/>
      <c r="BE150" s="543"/>
      <c r="BF150" s="471"/>
      <c r="BG150" s="471"/>
      <c r="BH150" s="471"/>
      <c r="BI150" s="471"/>
      <c r="BJ150" s="471"/>
      <c r="BK150" s="471"/>
      <c r="BL150" s="471"/>
      <c r="BM150" s="471"/>
      <c r="BN150" s="471"/>
      <c r="BO150" s="482"/>
      <c r="BP150" s="482"/>
      <c r="BQ150" s="482"/>
      <c r="BR150" s="482"/>
      <c r="BS150" s="482"/>
      <c r="BT150" s="482"/>
      <c r="BU150" s="482"/>
      <c r="BV150" s="482"/>
      <c r="BW150" s="482"/>
      <c r="BX150" s="482"/>
    </row>
    <row r="151" spans="1:76" ht="15" thickBot="1">
      <c r="A151" s="1266" t="s">
        <v>113</v>
      </c>
      <c r="B151" s="1524" t="s">
        <v>267</v>
      </c>
      <c r="C151" s="1525">
        <v>9</v>
      </c>
      <c r="D151" s="1227"/>
      <c r="E151" s="1227"/>
      <c r="F151" s="1227"/>
      <c r="G151" s="1227"/>
      <c r="H151" s="1227"/>
      <c r="I151" s="1227"/>
      <c r="J151" s="1227"/>
      <c r="K151" s="1227"/>
      <c r="L151" s="1256"/>
      <c r="M151" s="1248">
        <f t="shared" si="59"/>
        <v>9</v>
      </c>
      <c r="N151" s="1232"/>
      <c r="O151" s="1232"/>
      <c r="P151" s="1197"/>
      <c r="Q151" s="1232"/>
      <c r="R151" s="1232"/>
      <c r="S151" s="1232"/>
      <c r="T151" s="1232"/>
      <c r="U151" s="1232"/>
      <c r="V151" s="1232"/>
      <c r="W151" s="1232"/>
      <c r="X151" s="1232"/>
      <c r="Y151" s="1232"/>
      <c r="Z151" s="1232"/>
      <c r="AA151" s="1198"/>
      <c r="AB151" s="1198"/>
      <c r="AC151" s="1198"/>
      <c r="AD151" s="1191">
        <f t="shared" si="60"/>
        <v>0</v>
      </c>
      <c r="AE151" s="1198">
        <f t="shared" si="61"/>
        <v>9</v>
      </c>
      <c r="AF151" s="1196">
        <f>+'Porta Batch Mvnt'!I4</f>
        <v>9</v>
      </c>
      <c r="AG151" s="1261">
        <f>AF151-AE151</f>
        <v>0</v>
      </c>
      <c r="AH151" s="1362">
        <f t="shared" si="62"/>
        <v>0</v>
      </c>
      <c r="AI151" s="471"/>
      <c r="AJ151" s="471"/>
      <c r="AK151" s="502"/>
      <c r="AL151" s="543"/>
      <c r="AM151" s="543"/>
      <c r="AO151" s="543"/>
      <c r="AP151" s="543"/>
      <c r="AQ151" s="543"/>
      <c r="AR151" s="543"/>
      <c r="AS151" s="543"/>
      <c r="AT151" s="543"/>
      <c r="AU151" s="543"/>
      <c r="AV151" s="543"/>
      <c r="AW151" s="543"/>
      <c r="AX151" s="543"/>
      <c r="AY151" s="543"/>
      <c r="AZ151" s="543"/>
      <c r="BA151" s="543"/>
      <c r="BB151" s="543"/>
      <c r="BC151" s="543"/>
      <c r="BD151" s="543"/>
      <c r="BE151" s="543"/>
      <c r="BF151" s="471"/>
      <c r="BG151" s="471"/>
      <c r="BH151" s="471"/>
      <c r="BI151" s="471"/>
      <c r="BJ151" s="471"/>
      <c r="BK151" s="471"/>
      <c r="BL151" s="471"/>
      <c r="BM151" s="471"/>
      <c r="BN151" s="471"/>
      <c r="BO151" s="482"/>
      <c r="BP151" s="482"/>
      <c r="BQ151" s="482"/>
      <c r="BR151" s="482"/>
      <c r="BS151" s="482"/>
      <c r="BT151" s="482"/>
      <c r="BU151" s="482"/>
      <c r="BV151" s="482"/>
      <c r="BW151" s="482"/>
      <c r="BX151" s="482"/>
    </row>
    <row r="152" spans="1:76" ht="15" thickBot="1">
      <c r="A152" s="541" t="s">
        <v>115</v>
      </c>
      <c r="B152" s="542"/>
      <c r="C152" s="549">
        <f t="shared" ref="C152:J152" si="64">SUM(C146:C151)</f>
        <v>16364</v>
      </c>
      <c r="D152" s="549">
        <f t="shared" si="64"/>
        <v>5681</v>
      </c>
      <c r="E152" s="549">
        <f t="shared" si="64"/>
        <v>0</v>
      </c>
      <c r="F152" s="549">
        <f t="shared" si="64"/>
        <v>0</v>
      </c>
      <c r="G152" s="549">
        <f t="shared" si="64"/>
        <v>0</v>
      </c>
      <c r="H152" s="549">
        <f t="shared" si="64"/>
        <v>0</v>
      </c>
      <c r="I152" s="549">
        <f t="shared" si="64"/>
        <v>0</v>
      </c>
      <c r="J152" s="549">
        <f t="shared" si="64"/>
        <v>2970</v>
      </c>
      <c r="K152" s="549">
        <f>SUM(K146:K151)</f>
        <v>47</v>
      </c>
      <c r="L152" s="549">
        <f>SUM(L146:L151)</f>
        <v>0</v>
      </c>
      <c r="M152" s="549">
        <f t="shared" ref="M152:T152" si="65">SUM(M146:M151)</f>
        <v>25062</v>
      </c>
      <c r="N152" s="549">
        <f>SUM(N146:N151)</f>
        <v>-5678</v>
      </c>
      <c r="O152" s="549">
        <f t="shared" si="65"/>
        <v>0</v>
      </c>
      <c r="P152" s="549">
        <f t="shared" si="65"/>
        <v>0</v>
      </c>
      <c r="Q152" s="549">
        <f t="shared" si="65"/>
        <v>-140</v>
      </c>
      <c r="R152" s="549">
        <f t="shared" si="65"/>
        <v>-108</v>
      </c>
      <c r="S152" s="549">
        <f t="shared" si="65"/>
        <v>0</v>
      </c>
      <c r="T152" s="549">
        <f t="shared" si="65"/>
        <v>0</v>
      </c>
      <c r="U152" s="549">
        <f t="shared" ref="U152:AG152" si="66">SUM(U146:U151)</f>
        <v>0</v>
      </c>
      <c r="V152" s="549"/>
      <c r="W152" s="549">
        <f t="shared" si="66"/>
        <v>-261</v>
      </c>
      <c r="X152" s="549">
        <f t="shared" si="66"/>
        <v>-3278</v>
      </c>
      <c r="Y152" s="549">
        <f t="shared" si="66"/>
        <v>-6</v>
      </c>
      <c r="Z152" s="549">
        <f t="shared" si="66"/>
        <v>-26</v>
      </c>
      <c r="AA152" s="549">
        <f t="shared" si="66"/>
        <v>0</v>
      </c>
      <c r="AB152" s="549">
        <f t="shared" si="66"/>
        <v>0</v>
      </c>
      <c r="AC152" s="549">
        <f t="shared" si="66"/>
        <v>0</v>
      </c>
      <c r="AD152" s="549">
        <f t="shared" si="66"/>
        <v>-9497</v>
      </c>
      <c r="AE152" s="549">
        <f t="shared" si="66"/>
        <v>15565</v>
      </c>
      <c r="AF152" s="549">
        <f>SUM(AF146:AF151)</f>
        <v>15565</v>
      </c>
      <c r="AG152" s="549">
        <f t="shared" si="66"/>
        <v>0</v>
      </c>
      <c r="AH152" s="1362">
        <f>AF152-C152</f>
        <v>-799</v>
      </c>
      <c r="AI152" s="471"/>
      <c r="AJ152" s="471"/>
      <c r="AK152" s="502"/>
      <c r="AL152" s="543"/>
      <c r="AM152" s="543"/>
      <c r="AO152" s="543"/>
      <c r="AP152" s="543"/>
      <c r="AQ152" s="543"/>
      <c r="AR152" s="543"/>
      <c r="AS152" s="543"/>
      <c r="AT152" s="543"/>
      <c r="AU152" s="543"/>
      <c r="AV152" s="543"/>
      <c r="AW152" s="543"/>
      <c r="AX152" s="543"/>
      <c r="AY152" s="543"/>
      <c r="AZ152" s="543"/>
      <c r="BA152" s="543"/>
      <c r="BB152" s="543"/>
      <c r="BC152" s="543"/>
      <c r="BD152" s="543"/>
      <c r="BE152" s="543"/>
      <c r="BF152" s="471"/>
      <c r="BG152" s="471"/>
      <c r="BH152" s="471"/>
      <c r="BI152" s="471"/>
      <c r="BJ152" s="471"/>
      <c r="BK152" s="471"/>
      <c r="BL152" s="471"/>
      <c r="BM152" s="471"/>
      <c r="BN152" s="471"/>
      <c r="BO152" s="482"/>
      <c r="BP152" s="482"/>
      <c r="BQ152" s="482"/>
      <c r="BR152" s="482"/>
      <c r="BS152" s="482"/>
      <c r="BT152" s="482"/>
      <c r="BU152" s="482"/>
      <c r="BV152" s="482"/>
      <c r="BW152" s="482"/>
      <c r="BX152" s="482"/>
    </row>
    <row r="153" spans="1:76">
      <c r="A153" s="463"/>
      <c r="B153" s="463"/>
      <c r="C153" s="515">
        <v>15585</v>
      </c>
      <c r="D153" s="515"/>
      <c r="E153" s="515"/>
      <c r="F153" s="515"/>
      <c r="G153" s="515"/>
      <c r="H153" s="515"/>
      <c r="I153" s="515"/>
      <c r="J153" s="515"/>
      <c r="K153" s="515"/>
      <c r="L153" s="515"/>
      <c r="M153" s="515"/>
      <c r="N153" s="515"/>
      <c r="O153" s="515"/>
      <c r="P153" s="515"/>
      <c r="Q153" s="515"/>
      <c r="R153" s="515"/>
      <c r="S153" s="515"/>
      <c r="T153" s="515"/>
      <c r="U153" s="515"/>
      <c r="V153" s="515"/>
      <c r="W153" s="515"/>
      <c r="X153" s="515"/>
      <c r="Y153" s="515"/>
      <c r="Z153" s="515"/>
      <c r="AA153" s="515"/>
      <c r="AB153" s="515"/>
      <c r="AC153" s="515"/>
      <c r="AD153" s="515"/>
      <c r="AE153" s="515"/>
      <c r="AF153" s="515"/>
      <c r="AG153" s="515"/>
      <c r="AH153" s="471"/>
      <c r="AI153" s="471"/>
      <c r="AJ153" s="471"/>
      <c r="AK153" s="502"/>
      <c r="AL153" s="543"/>
      <c r="AM153" s="543"/>
      <c r="AO153" s="543"/>
      <c r="AP153" s="543"/>
      <c r="AQ153" s="543"/>
      <c r="AR153" s="543"/>
      <c r="AS153" s="543"/>
      <c r="AT153" s="543"/>
      <c r="AU153" s="543"/>
      <c r="AV153" s="543"/>
      <c r="AW153" s="543"/>
      <c r="AX153" s="543"/>
      <c r="AY153" s="543"/>
      <c r="AZ153" s="543"/>
      <c r="BA153" s="543"/>
      <c r="BB153" s="543"/>
      <c r="BC153" s="543"/>
      <c r="BD153" s="543"/>
      <c r="BE153" s="543"/>
      <c r="BF153" s="471"/>
      <c r="BG153" s="471"/>
      <c r="BH153" s="471"/>
      <c r="BI153" s="471"/>
      <c r="BJ153" s="471"/>
      <c r="BK153" s="471"/>
      <c r="BL153" s="471"/>
      <c r="BM153" s="471"/>
      <c r="BN153" s="471"/>
      <c r="BO153" s="482"/>
      <c r="BP153" s="482"/>
      <c r="BQ153" s="482"/>
      <c r="BR153" s="482"/>
      <c r="BS153" s="482"/>
      <c r="BT153" s="482"/>
      <c r="BU153" s="482"/>
      <c r="BV153" s="482"/>
      <c r="BW153" s="482"/>
      <c r="BX153" s="482"/>
    </row>
    <row r="154" spans="1:76">
      <c r="A154" s="463"/>
      <c r="B154" s="463"/>
      <c r="C154" s="482" t="s">
        <v>127</v>
      </c>
      <c r="D154" s="515"/>
      <c r="E154" s="515"/>
      <c r="F154" s="515">
        <f>+D154+E154</f>
        <v>0</v>
      </c>
      <c r="G154" s="515"/>
      <c r="H154" s="515"/>
      <c r="I154" s="515"/>
      <c r="J154" s="515"/>
      <c r="K154" s="515"/>
      <c r="L154" s="515"/>
      <c r="M154" s="515"/>
      <c r="N154" s="515"/>
      <c r="O154" s="515"/>
      <c r="P154" s="515"/>
      <c r="Q154" s="515"/>
      <c r="R154" s="515"/>
      <c r="S154" s="515"/>
      <c r="T154" s="515"/>
      <c r="U154" s="515"/>
      <c r="V154" s="515"/>
      <c r="W154" s="515"/>
      <c r="X154" s="515"/>
      <c r="Y154" s="515"/>
      <c r="Z154" s="515"/>
      <c r="AA154" s="515"/>
      <c r="AB154" s="515"/>
      <c r="AC154" s="515"/>
      <c r="AD154" s="515"/>
      <c r="AE154" s="515"/>
      <c r="AF154" s="515"/>
      <c r="AG154" s="515"/>
      <c r="AH154" s="471"/>
      <c r="AI154" s="471"/>
      <c r="AJ154" s="471"/>
      <c r="AK154" s="502">
        <f>SUM(AF149:AF151)</f>
        <v>1326</v>
      </c>
      <c r="AL154" s="543"/>
      <c r="AM154" s="543"/>
      <c r="AO154" s="543"/>
      <c r="AP154" s="543"/>
      <c r="AQ154" s="543"/>
      <c r="AR154" s="543"/>
      <c r="AS154" s="543"/>
      <c r="AT154" s="543"/>
      <c r="AU154" s="543"/>
      <c r="AV154" s="543"/>
      <c r="AW154" s="543"/>
      <c r="AX154" s="543"/>
      <c r="AY154" s="543"/>
      <c r="AZ154" s="543"/>
      <c r="BA154" s="543"/>
      <c r="BB154" s="543"/>
      <c r="BC154" s="543"/>
      <c r="BD154" s="543"/>
      <c r="BE154" s="543"/>
      <c r="BF154" s="471"/>
      <c r="BG154" s="471"/>
      <c r="BH154" s="471"/>
      <c r="BI154" s="471"/>
      <c r="BJ154" s="471"/>
      <c r="BK154" s="471"/>
      <c r="BL154" s="471"/>
      <c r="BM154" s="471"/>
      <c r="BN154" s="471"/>
      <c r="BO154" s="482"/>
      <c r="BP154" s="482"/>
      <c r="BQ154" s="482"/>
      <c r="BR154" s="482"/>
      <c r="BS154" s="482"/>
      <c r="BT154" s="482"/>
      <c r="BU154" s="482"/>
      <c r="BV154" s="482"/>
      <c r="BW154" s="482"/>
      <c r="BX154" s="482"/>
    </row>
    <row r="155" spans="1:76">
      <c r="A155" s="463"/>
      <c r="B155" s="463"/>
      <c r="C155" s="482" t="s">
        <v>190</v>
      </c>
      <c r="D155" s="515"/>
      <c r="E155" s="515"/>
      <c r="F155" s="515">
        <f t="shared" ref="F155:F159" si="67">+D155+E155</f>
        <v>0</v>
      </c>
      <c r="G155" s="515"/>
      <c r="H155" s="515"/>
      <c r="I155" s="515"/>
      <c r="J155" s="515"/>
      <c r="K155" s="515"/>
      <c r="L155" s="515"/>
      <c r="M155" s="515"/>
      <c r="N155" s="515"/>
      <c r="O155" s="515"/>
      <c r="P155" s="515"/>
      <c r="Q155" s="515"/>
      <c r="R155" s="515"/>
      <c r="S155" s="515"/>
      <c r="T155" s="515"/>
      <c r="U155" s="515"/>
      <c r="V155" s="515"/>
      <c r="W155" s="515"/>
      <c r="X155" s="515"/>
      <c r="Y155" s="515"/>
      <c r="Z155" s="515"/>
      <c r="AA155" s="515"/>
      <c r="AB155" s="515"/>
      <c r="AC155" s="515"/>
      <c r="AD155" s="515"/>
      <c r="AE155" s="515"/>
      <c r="AF155" s="515"/>
      <c r="AG155" s="515"/>
      <c r="AH155" s="471"/>
      <c r="AI155" s="471"/>
      <c r="AJ155" s="471"/>
      <c r="AK155" s="502">
        <f>AK154-812</f>
        <v>514</v>
      </c>
      <c r="AL155" s="543"/>
      <c r="AM155" s="543"/>
      <c r="AO155" s="543"/>
      <c r="AP155" s="543"/>
      <c r="AQ155" s="543"/>
      <c r="AR155" s="543"/>
      <c r="AS155" s="543"/>
      <c r="AT155" s="543"/>
      <c r="AU155" s="543"/>
      <c r="AV155" s="543"/>
      <c r="AW155" s="543"/>
      <c r="AX155" s="543"/>
      <c r="AY155" s="543"/>
      <c r="AZ155" s="543"/>
      <c r="BA155" s="543"/>
      <c r="BB155" s="543"/>
      <c r="BC155" s="543"/>
      <c r="BD155" s="543"/>
      <c r="BE155" s="543"/>
      <c r="BF155" s="471"/>
      <c r="BG155" s="471"/>
      <c r="BH155" s="471"/>
      <c r="BI155" s="471"/>
      <c r="BJ155" s="471"/>
      <c r="BK155" s="471"/>
      <c r="BL155" s="471"/>
      <c r="BM155" s="471"/>
      <c r="BN155" s="471"/>
      <c r="BO155" s="482"/>
      <c r="BP155" s="482"/>
      <c r="BQ155" s="482"/>
      <c r="BR155" s="482"/>
      <c r="BS155" s="482"/>
      <c r="BT155" s="482"/>
      <c r="BU155" s="482"/>
      <c r="BV155" s="482"/>
      <c r="BW155" s="482"/>
      <c r="BX155" s="482"/>
    </row>
    <row r="156" spans="1:76">
      <c r="A156" s="463"/>
      <c r="B156" s="463" t="s">
        <v>268</v>
      </c>
      <c r="C156" s="482" t="s">
        <v>206</v>
      </c>
      <c r="D156" s="515"/>
      <c r="E156" s="515"/>
      <c r="F156" s="515">
        <f t="shared" si="67"/>
        <v>0</v>
      </c>
      <c r="G156" s="515"/>
      <c r="H156" s="515"/>
      <c r="I156" s="515"/>
      <c r="J156" s="515"/>
      <c r="K156" s="515"/>
      <c r="L156" s="515"/>
      <c r="M156" s="515"/>
      <c r="N156" s="515"/>
      <c r="O156" s="515"/>
      <c r="P156" s="515"/>
      <c r="Q156" s="515"/>
      <c r="R156" s="515"/>
      <c r="S156" s="515"/>
      <c r="T156" s="515"/>
      <c r="U156" s="515"/>
      <c r="V156" s="515"/>
      <c r="W156" s="515"/>
      <c r="X156" s="515"/>
      <c r="Y156" s="515"/>
      <c r="Z156" s="515"/>
      <c r="AA156" s="515"/>
      <c r="AB156" s="515"/>
      <c r="AC156" s="515"/>
      <c r="AD156" s="515"/>
      <c r="AE156" s="515"/>
      <c r="AF156" s="515"/>
      <c r="AG156" s="515"/>
      <c r="AH156" s="471"/>
      <c r="AI156" s="471"/>
      <c r="AJ156" s="471"/>
      <c r="AK156" s="502"/>
      <c r="AL156" s="543"/>
      <c r="AM156" s="543"/>
      <c r="AO156" s="543"/>
      <c r="AP156" s="543"/>
      <c r="AQ156" s="543"/>
      <c r="AR156" s="543"/>
      <c r="AS156" s="543"/>
      <c r="AT156" s="543"/>
      <c r="AU156" s="543"/>
      <c r="AV156" s="543"/>
      <c r="AW156" s="543"/>
      <c r="AX156" s="543"/>
      <c r="AY156" s="543"/>
      <c r="AZ156" s="543"/>
      <c r="BA156" s="543"/>
      <c r="BB156" s="543"/>
      <c r="BC156" s="543"/>
      <c r="BD156" s="543"/>
      <c r="BE156" s="543"/>
      <c r="BF156" s="471"/>
      <c r="BG156" s="471"/>
      <c r="BH156" s="471"/>
      <c r="BI156" s="471"/>
      <c r="BJ156" s="471"/>
      <c r="BK156" s="471"/>
      <c r="BL156" s="471"/>
      <c r="BM156" s="471"/>
      <c r="BN156" s="471"/>
      <c r="BO156" s="482"/>
      <c r="BP156" s="482"/>
      <c r="BQ156" s="482"/>
      <c r="BR156" s="482"/>
      <c r="BS156" s="482"/>
      <c r="BT156" s="482"/>
      <c r="BU156" s="482"/>
      <c r="BV156" s="482"/>
      <c r="BW156" s="482"/>
      <c r="BX156" s="482"/>
    </row>
    <row r="157" spans="1:76">
      <c r="A157" s="463"/>
      <c r="B157" s="463"/>
      <c r="C157" s="482" t="s">
        <v>213</v>
      </c>
      <c r="D157" s="515"/>
      <c r="E157" s="515"/>
      <c r="F157" s="515">
        <f t="shared" si="67"/>
        <v>0</v>
      </c>
      <c r="G157" s="515"/>
      <c r="H157" s="515"/>
      <c r="I157" s="515"/>
      <c r="J157" s="515"/>
      <c r="K157" s="515"/>
      <c r="L157" s="515"/>
      <c r="M157" s="515"/>
      <c r="N157" s="515"/>
      <c r="O157" s="515"/>
      <c r="P157" s="515"/>
      <c r="Q157" s="515"/>
      <c r="R157" s="515"/>
      <c r="S157" s="515"/>
      <c r="T157" s="515"/>
      <c r="U157" s="515"/>
      <c r="V157" s="515"/>
      <c r="W157" s="515"/>
      <c r="X157" s="515"/>
      <c r="Y157" s="515"/>
      <c r="Z157" s="515"/>
      <c r="AA157" s="515"/>
      <c r="AB157" s="515"/>
      <c r="AC157" s="515"/>
      <c r="AD157" s="515"/>
      <c r="AE157" s="515"/>
      <c r="AF157" s="515"/>
      <c r="AG157" s="515"/>
      <c r="AH157" s="471"/>
      <c r="AI157" s="471"/>
      <c r="AJ157" s="471"/>
      <c r="AK157" s="502"/>
      <c r="AL157" s="543"/>
      <c r="AM157" s="543"/>
      <c r="AO157" s="543"/>
      <c r="AP157" s="543"/>
      <c r="AQ157" s="543"/>
      <c r="AR157" s="543"/>
      <c r="AS157" s="543"/>
      <c r="AT157" s="543"/>
      <c r="AU157" s="543"/>
      <c r="AV157" s="543"/>
      <c r="AW157" s="543"/>
      <c r="AX157" s="543"/>
      <c r="AY157" s="543"/>
      <c r="AZ157" s="543"/>
      <c r="BA157" s="543"/>
      <c r="BB157" s="543"/>
      <c r="BC157" s="543"/>
      <c r="BD157" s="543"/>
      <c r="BE157" s="543"/>
      <c r="BF157" s="471"/>
      <c r="BG157" s="471"/>
      <c r="BH157" s="471"/>
      <c r="BI157" s="471"/>
      <c r="BJ157" s="471"/>
      <c r="BK157" s="471"/>
      <c r="BL157" s="471"/>
      <c r="BM157" s="471"/>
      <c r="BN157" s="471"/>
      <c r="BO157" s="482"/>
      <c r="BP157" s="482"/>
      <c r="BQ157" s="482"/>
      <c r="BR157" s="482"/>
      <c r="BS157" s="482"/>
      <c r="BT157" s="482"/>
      <c r="BU157" s="482"/>
      <c r="BV157" s="482"/>
      <c r="BW157" s="482"/>
      <c r="BX157" s="482"/>
    </row>
    <row r="158" spans="1:76">
      <c r="A158" s="463"/>
      <c r="B158" s="463"/>
      <c r="C158" s="482" t="s">
        <v>214</v>
      </c>
      <c r="D158" s="515"/>
      <c r="E158" s="515"/>
      <c r="F158" s="515">
        <f t="shared" si="67"/>
        <v>0</v>
      </c>
      <c r="G158" s="515"/>
      <c r="H158" s="515"/>
      <c r="I158" s="515"/>
      <c r="J158" s="515"/>
      <c r="K158" s="515"/>
      <c r="L158" s="515"/>
      <c r="M158" s="515"/>
      <c r="N158" s="515"/>
      <c r="O158" s="515"/>
      <c r="P158" s="515"/>
      <c r="Q158" s="515"/>
      <c r="R158" s="515"/>
      <c r="S158" s="515"/>
      <c r="T158" s="515"/>
      <c r="U158" s="515"/>
      <c r="V158" s="515"/>
      <c r="W158" s="515"/>
      <c r="X158" s="515"/>
      <c r="Y158" s="515"/>
      <c r="Z158" s="515"/>
      <c r="AA158" s="515"/>
      <c r="AB158" s="515"/>
      <c r="AC158" s="515"/>
      <c r="AD158" s="515"/>
      <c r="AE158" s="515"/>
      <c r="AF158" s="515"/>
      <c r="AG158" s="515"/>
      <c r="AH158" s="471"/>
      <c r="AI158" s="471"/>
      <c r="AJ158" s="471"/>
      <c r="AK158" s="502"/>
      <c r="AL158" s="543"/>
      <c r="AM158" s="543"/>
      <c r="AO158" s="543"/>
      <c r="AP158" s="543"/>
      <c r="AQ158" s="543"/>
      <c r="AR158" s="543"/>
      <c r="AS158" s="543"/>
      <c r="AT158" s="543"/>
      <c r="AU158" s="543"/>
      <c r="AV158" s="543"/>
      <c r="AW158" s="543"/>
      <c r="AX158" s="543"/>
      <c r="AY158" s="543"/>
      <c r="AZ158" s="543"/>
      <c r="BA158" s="543"/>
      <c r="BB158" s="543"/>
      <c r="BC158" s="543"/>
      <c r="BD158" s="543"/>
      <c r="BE158" s="543"/>
      <c r="BF158" s="471"/>
      <c r="BG158" s="471"/>
      <c r="BH158" s="471"/>
      <c r="BI158" s="471"/>
      <c r="BJ158" s="471"/>
      <c r="BK158" s="471"/>
      <c r="BL158" s="471"/>
      <c r="BM158" s="471"/>
      <c r="BN158" s="471"/>
      <c r="BO158" s="482"/>
      <c r="BP158" s="482"/>
      <c r="BQ158" s="482"/>
      <c r="BR158" s="482"/>
      <c r="BS158" s="482"/>
      <c r="BT158" s="482"/>
      <c r="BU158" s="482"/>
      <c r="BV158" s="482"/>
      <c r="BW158" s="482"/>
      <c r="BX158" s="482"/>
    </row>
    <row r="159" spans="1:76">
      <c r="A159" s="463"/>
      <c r="B159" s="463"/>
      <c r="C159" s="482" t="s">
        <v>189</v>
      </c>
      <c r="D159" s="515"/>
      <c r="E159" s="515"/>
      <c r="F159" s="515">
        <f t="shared" si="67"/>
        <v>0</v>
      </c>
      <c r="G159" s="515"/>
      <c r="H159" s="515"/>
      <c r="I159" s="515"/>
      <c r="J159" s="515"/>
      <c r="K159" s="515"/>
      <c r="L159" s="515"/>
      <c r="M159" s="515"/>
      <c r="N159" s="515"/>
      <c r="O159" s="515"/>
      <c r="P159" s="515"/>
      <c r="Q159" s="515"/>
      <c r="R159" s="515"/>
      <c r="S159" s="515"/>
      <c r="T159" s="515"/>
      <c r="U159" s="515"/>
      <c r="V159" s="515"/>
      <c r="W159" s="515"/>
      <c r="X159" s="515"/>
      <c r="Y159" s="515"/>
      <c r="Z159" s="515"/>
      <c r="AA159" s="515"/>
      <c r="AB159" s="515"/>
      <c r="AC159" s="515"/>
      <c r="AD159" s="515"/>
      <c r="AE159" s="515"/>
      <c r="AF159" s="515"/>
      <c r="AG159" s="515"/>
      <c r="AH159" s="471"/>
      <c r="AI159" s="471"/>
      <c r="AJ159" s="471"/>
      <c r="AK159" s="502"/>
      <c r="AL159" s="543"/>
      <c r="AM159" s="543"/>
      <c r="AO159" s="543"/>
      <c r="AP159" s="543"/>
      <c r="AQ159" s="543"/>
      <c r="AR159" s="543"/>
      <c r="AS159" s="543"/>
      <c r="AT159" s="543"/>
      <c r="AU159" s="543"/>
      <c r="AV159" s="543"/>
      <c r="AW159" s="543"/>
      <c r="AX159" s="543"/>
      <c r="AY159" s="543"/>
      <c r="AZ159" s="543"/>
      <c r="BA159" s="543"/>
      <c r="BB159" s="543"/>
      <c r="BC159" s="543"/>
      <c r="BD159" s="543"/>
      <c r="BE159" s="543"/>
      <c r="BF159" s="471"/>
      <c r="BG159" s="471"/>
      <c r="BH159" s="471"/>
      <c r="BI159" s="471"/>
      <c r="BJ159" s="471"/>
      <c r="BK159" s="471"/>
      <c r="BL159" s="471"/>
      <c r="BM159" s="471"/>
      <c r="BN159" s="471"/>
      <c r="BO159" s="482"/>
      <c r="BP159" s="482"/>
      <c r="BQ159" s="482"/>
      <c r="BR159" s="482"/>
      <c r="BS159" s="482"/>
      <c r="BT159" s="482"/>
      <c r="BU159" s="482"/>
      <c r="BV159" s="482"/>
      <c r="BW159" s="482"/>
      <c r="BX159" s="482"/>
    </row>
    <row r="160" spans="1:76">
      <c r="A160" s="463"/>
      <c r="B160" s="463"/>
      <c r="C160" s="482" t="s">
        <v>127</v>
      </c>
      <c r="D160" s="515">
        <f>+L18+U18</f>
        <v>95</v>
      </c>
      <c r="E160" s="515">
        <f>+D26</f>
        <v>0</v>
      </c>
      <c r="F160" s="515">
        <f>+D160+E160</f>
        <v>95</v>
      </c>
      <c r="G160" s="515"/>
      <c r="H160" s="515"/>
      <c r="I160" s="515"/>
      <c r="J160" s="515"/>
      <c r="K160" s="515"/>
      <c r="L160" s="515"/>
      <c r="M160" s="515"/>
      <c r="N160" s="515"/>
      <c r="O160" s="515"/>
      <c r="P160" s="515"/>
      <c r="Q160" s="515"/>
      <c r="R160" s="515"/>
      <c r="S160" s="515"/>
      <c r="T160" s="515"/>
      <c r="U160" s="515"/>
      <c r="V160" s="515"/>
      <c r="W160" s="515"/>
      <c r="X160" s="515"/>
      <c r="Y160" s="515"/>
      <c r="Z160" s="515"/>
      <c r="AA160" s="515"/>
      <c r="AB160" s="515"/>
      <c r="AC160" s="515"/>
      <c r="AD160" s="515"/>
      <c r="AE160" s="515"/>
      <c r="AF160" s="515"/>
      <c r="AG160" s="515"/>
      <c r="AH160" s="471"/>
      <c r="AI160" s="471"/>
      <c r="AJ160" s="471"/>
      <c r="AK160" s="502"/>
      <c r="AL160" s="543"/>
      <c r="AM160" s="543"/>
      <c r="AO160" s="543"/>
      <c r="AP160" s="543"/>
      <c r="AQ160" s="543"/>
      <c r="AR160" s="543"/>
      <c r="AS160" s="543"/>
      <c r="AT160" s="543"/>
      <c r="AU160" s="543"/>
      <c r="AV160" s="543"/>
      <c r="AW160" s="543"/>
      <c r="AX160" s="543"/>
      <c r="AY160" s="543"/>
      <c r="AZ160" s="543"/>
      <c r="BA160" s="543"/>
      <c r="BB160" s="543"/>
      <c r="BC160" s="543"/>
      <c r="BD160" s="543"/>
      <c r="BE160" s="543"/>
      <c r="BF160" s="471"/>
      <c r="BG160" s="471"/>
      <c r="BH160" s="471"/>
      <c r="BI160" s="471"/>
      <c r="BJ160" s="471"/>
      <c r="BK160" s="471"/>
      <c r="BL160" s="471"/>
      <c r="BM160" s="471"/>
      <c r="BN160" s="471"/>
      <c r="BO160" s="482"/>
      <c r="BP160" s="482"/>
      <c r="BQ160" s="482"/>
      <c r="BR160" s="482"/>
      <c r="BS160" s="482"/>
      <c r="BT160" s="482"/>
      <c r="BU160" s="482"/>
      <c r="BV160" s="482"/>
      <c r="BW160" s="482"/>
      <c r="BX160" s="482"/>
    </row>
    <row r="161" spans="1:81" ht="15" thickBot="1">
      <c r="A161" s="463"/>
      <c r="B161" s="463"/>
      <c r="C161" s="525">
        <f>+C152-C153</f>
        <v>779</v>
      </c>
      <c r="D161" s="515"/>
      <c r="E161" s="515"/>
      <c r="F161" s="515"/>
      <c r="G161" s="515"/>
      <c r="H161" s="515"/>
      <c r="I161" s="515"/>
      <c r="J161" s="515"/>
      <c r="K161" s="515"/>
      <c r="L161" s="515"/>
      <c r="M161" s="515"/>
      <c r="N161" s="515"/>
      <c r="O161" s="515"/>
      <c r="P161" s="515"/>
      <c r="Q161" s="515"/>
      <c r="R161" s="515"/>
      <c r="S161" s="515"/>
      <c r="T161" s="515"/>
      <c r="U161" s="515"/>
      <c r="V161" s="515"/>
      <c r="W161" s="515"/>
      <c r="X161" s="515"/>
      <c r="Y161" s="515"/>
      <c r="Z161" s="515"/>
      <c r="AA161" s="515"/>
      <c r="AB161" s="515"/>
      <c r="AC161" s="515"/>
      <c r="AD161" s="515"/>
      <c r="AE161" s="515"/>
      <c r="AF161" s="515"/>
      <c r="AG161" s="515"/>
      <c r="AH161" s="471"/>
      <c r="AI161" s="471"/>
      <c r="AJ161" s="471"/>
      <c r="AK161" s="502"/>
      <c r="AL161" s="543"/>
      <c r="AM161" s="543"/>
      <c r="AO161" s="543"/>
      <c r="AP161" s="543"/>
      <c r="AQ161" s="543"/>
      <c r="AR161" s="543"/>
      <c r="AS161" s="543"/>
      <c r="AT161" s="543"/>
      <c r="AU161" s="543"/>
      <c r="AV161" s="543"/>
      <c r="AW161" s="543"/>
      <c r="AX161" s="543"/>
      <c r="AY161" s="543"/>
      <c r="AZ161" s="543"/>
      <c r="BA161" s="543"/>
      <c r="BB161" s="543"/>
      <c r="BC161" s="543"/>
      <c r="BD161" s="543"/>
      <c r="BE161" s="543"/>
      <c r="BF161" s="471"/>
      <c r="BG161" s="471"/>
      <c r="BH161" s="471"/>
      <c r="BI161" s="471"/>
      <c r="BJ161" s="471"/>
      <c r="BK161" s="471"/>
      <c r="BL161" s="471"/>
      <c r="BM161" s="471"/>
      <c r="BN161" s="471"/>
      <c r="BO161" s="482"/>
      <c r="BP161" s="482"/>
      <c r="BQ161" s="482"/>
      <c r="BR161" s="482"/>
      <c r="BS161" s="482"/>
      <c r="BT161" s="482"/>
      <c r="BU161" s="482"/>
      <c r="BV161" s="482"/>
      <c r="BW161" s="482"/>
      <c r="BX161" s="482"/>
    </row>
    <row r="162" spans="1:81" ht="15" thickBot="1">
      <c r="A162" s="463"/>
      <c r="B162" s="463"/>
      <c r="C162" s="515" t="s">
        <v>138</v>
      </c>
      <c r="D162" s="515"/>
      <c r="E162" s="515"/>
      <c r="F162" s="515"/>
      <c r="G162" s="515"/>
      <c r="H162" s="515"/>
      <c r="I162" s="515"/>
      <c r="J162" s="515"/>
      <c r="K162" s="515"/>
      <c r="L162" s="515"/>
      <c r="M162" s="515"/>
      <c r="N162" s="515"/>
      <c r="O162" s="515"/>
      <c r="P162" s="515"/>
      <c r="Q162" s="515"/>
      <c r="R162" s="515"/>
      <c r="S162" s="515"/>
      <c r="T162" s="515"/>
      <c r="U162" s="515"/>
      <c r="V162" s="515"/>
      <c r="W162" s="515"/>
      <c r="X162" s="515"/>
      <c r="Y162" s="515"/>
      <c r="Z162" s="515"/>
      <c r="AA162" s="515"/>
      <c r="AB162" s="515"/>
      <c r="AC162" s="515"/>
      <c r="AD162" s="515"/>
      <c r="AE162" s="515"/>
      <c r="AF162" s="515"/>
      <c r="AG162" s="515"/>
      <c r="AH162" s="471"/>
      <c r="AI162" s="471"/>
      <c r="AJ162" s="471"/>
      <c r="AK162" s="502"/>
      <c r="AL162" s="543"/>
      <c r="AM162" s="543"/>
      <c r="AO162" s="543"/>
      <c r="AP162" s="543"/>
      <c r="AQ162" s="543"/>
      <c r="AR162" s="543"/>
      <c r="AS162" s="543"/>
      <c r="AT162" s="543"/>
      <c r="AU162" s="543"/>
      <c r="AV162" s="543"/>
      <c r="AW162" s="543"/>
      <c r="AX162" s="543"/>
      <c r="AY162" s="543"/>
      <c r="AZ162" s="543"/>
      <c r="BA162" s="543"/>
      <c r="BB162" s="543"/>
      <c r="BC162" s="543"/>
      <c r="BD162" s="543"/>
      <c r="BE162" s="543"/>
      <c r="BF162" s="471"/>
      <c r="BG162" s="471"/>
      <c r="BH162" s="471"/>
      <c r="BI162" s="471"/>
      <c r="BJ162" s="471"/>
      <c r="BK162" s="471"/>
      <c r="BL162" s="471"/>
      <c r="BM162" s="471"/>
      <c r="BN162" s="471"/>
      <c r="BO162" s="482"/>
      <c r="BP162" s="482"/>
      <c r="BQ162" s="482"/>
      <c r="BR162" s="482"/>
      <c r="BS162" s="482"/>
      <c r="BT162" s="482"/>
      <c r="BU162" s="482"/>
      <c r="BV162" s="482"/>
      <c r="BW162" s="482"/>
      <c r="BX162" s="482"/>
      <c r="BY162" s="482"/>
      <c r="BZ162" s="482"/>
      <c r="CA162" s="482"/>
      <c r="CB162" s="468"/>
      <c r="CC162" s="491"/>
    </row>
    <row r="163" spans="1:81" ht="15" thickBot="1">
      <c r="A163" s="542" t="s">
        <v>86</v>
      </c>
      <c r="B163" s="1169" t="s">
        <v>269</v>
      </c>
      <c r="C163" s="2132" t="s">
        <v>219</v>
      </c>
      <c r="D163" s="2132"/>
      <c r="E163" s="2132"/>
      <c r="F163" s="2132"/>
      <c r="G163" s="2132"/>
      <c r="H163" s="2132"/>
      <c r="I163" s="2132"/>
      <c r="J163" s="2132"/>
      <c r="K163" s="2132"/>
      <c r="L163" s="2137"/>
      <c r="M163" s="469" t="s">
        <v>259</v>
      </c>
      <c r="N163" s="2133" t="s">
        <v>220</v>
      </c>
      <c r="O163" s="2134"/>
      <c r="P163" s="2134"/>
      <c r="Q163" s="2134"/>
      <c r="R163" s="2134"/>
      <c r="S163" s="2134"/>
      <c r="T163" s="2134"/>
      <c r="U163" s="2134"/>
      <c r="V163" s="2134"/>
      <c r="W163" s="2134"/>
      <c r="X163" s="2134"/>
      <c r="Y163" s="2134"/>
      <c r="Z163" s="2134"/>
      <c r="AA163" s="2134"/>
      <c r="AB163" s="2134"/>
      <c r="AC163" s="2135"/>
      <c r="AH163" s="471"/>
      <c r="AI163" s="471"/>
      <c r="AJ163" s="471"/>
      <c r="AK163" s="502"/>
      <c r="AL163" s="543"/>
      <c r="AM163" s="543"/>
      <c r="AO163" s="543"/>
      <c r="AP163" s="543"/>
      <c r="AQ163" s="543"/>
      <c r="AR163" s="543"/>
      <c r="AS163" s="543"/>
      <c r="AT163" s="543"/>
      <c r="AU163" s="543"/>
      <c r="AV163" s="543"/>
      <c r="AW163" s="543"/>
      <c r="AX163" s="543"/>
      <c r="AY163" s="543"/>
      <c r="AZ163" s="543"/>
      <c r="BA163" s="543"/>
      <c r="BB163" s="543"/>
      <c r="BC163" s="543"/>
      <c r="BD163" s="543"/>
      <c r="BE163" s="543"/>
      <c r="BF163" s="471"/>
      <c r="BG163" s="471"/>
      <c r="BH163" s="471"/>
      <c r="BI163" s="471"/>
      <c r="BJ163" s="471"/>
      <c r="BK163" s="471"/>
      <c r="BL163" s="471"/>
      <c r="BM163" s="471"/>
      <c r="BN163" s="471"/>
      <c r="BO163" s="482"/>
      <c r="BP163" s="482"/>
      <c r="BQ163" s="482"/>
      <c r="BR163" s="482"/>
      <c r="BS163" s="482"/>
      <c r="BT163" s="482"/>
      <c r="BU163" s="482"/>
      <c r="BV163" s="482"/>
      <c r="BW163" s="482"/>
      <c r="BX163" s="482"/>
      <c r="BY163" s="482"/>
      <c r="BZ163" s="482"/>
      <c r="CA163" s="482"/>
      <c r="CB163" s="468"/>
      <c r="CC163" s="491"/>
    </row>
    <row r="164" spans="1:81" ht="15" thickBot="1">
      <c r="A164" s="563" t="s">
        <v>87</v>
      </c>
      <c r="B164" s="496" t="s">
        <v>88</v>
      </c>
      <c r="C164" s="533" t="s">
        <v>221</v>
      </c>
      <c r="D164" s="531" t="s">
        <v>212</v>
      </c>
      <c r="E164" s="531" t="s">
        <v>189</v>
      </c>
      <c r="F164" s="531" t="s">
        <v>187</v>
      </c>
      <c r="G164" s="531" t="s">
        <v>253</v>
      </c>
      <c r="H164" s="560" t="s">
        <v>190</v>
      </c>
      <c r="I164" s="560" t="s">
        <v>214</v>
      </c>
      <c r="J164" s="560" t="s">
        <v>222</v>
      </c>
      <c r="K164" s="1257" t="s">
        <v>76</v>
      </c>
      <c r="L164" s="1257" t="s">
        <v>127</v>
      </c>
      <c r="M164" s="496" t="s">
        <v>71</v>
      </c>
      <c r="N164" s="535" t="s">
        <v>216</v>
      </c>
      <c r="O164" s="531" t="s">
        <v>189</v>
      </c>
      <c r="P164" s="531" t="s">
        <v>187</v>
      </c>
      <c r="Q164" s="531" t="s">
        <v>253</v>
      </c>
      <c r="R164" s="560" t="s">
        <v>190</v>
      </c>
      <c r="S164" s="560" t="s">
        <v>214</v>
      </c>
      <c r="T164" s="560" t="s">
        <v>127</v>
      </c>
      <c r="U164" s="560" t="s">
        <v>191</v>
      </c>
      <c r="V164" s="560" t="s">
        <v>76</v>
      </c>
      <c r="W164" s="533" t="s">
        <v>226</v>
      </c>
      <c r="X164" s="533" t="s">
        <v>227</v>
      </c>
      <c r="Y164" s="529" t="s">
        <v>228</v>
      </c>
      <c r="Z164" s="534" t="s">
        <v>229</v>
      </c>
      <c r="AA164" s="534" t="s">
        <v>230</v>
      </c>
      <c r="AB164" s="534" t="s">
        <v>231</v>
      </c>
      <c r="AC164" s="534" t="s">
        <v>232</v>
      </c>
      <c r="AD164" s="534" t="s">
        <v>71</v>
      </c>
      <c r="AE164" s="529" t="s">
        <v>233</v>
      </c>
      <c r="AF164" s="536" t="s">
        <v>234</v>
      </c>
      <c r="AG164" s="500" t="s">
        <v>185</v>
      </c>
      <c r="AH164" s="471"/>
      <c r="AI164" s="471"/>
      <c r="AJ164" s="471">
        <v>215</v>
      </c>
      <c r="AK164" s="502" t="s">
        <v>270</v>
      </c>
      <c r="AL164" s="543"/>
      <c r="AM164" s="543">
        <f>283-24+235-14-12-12-5-173-10</f>
        <v>268</v>
      </c>
      <c r="AN164" s="486">
        <f>+AM164-AJ164</f>
        <v>53</v>
      </c>
      <c r="AO164" s="543"/>
      <c r="AP164" s="543">
        <f>283-4-14-12-12-5-173-10</f>
        <v>53</v>
      </c>
      <c r="AQ164" s="543"/>
      <c r="AR164" s="543"/>
      <c r="AS164" s="543"/>
      <c r="AT164" s="543"/>
      <c r="AU164" s="543"/>
      <c r="AV164" s="543"/>
      <c r="AW164" s="543"/>
      <c r="AX164" s="543"/>
      <c r="AY164" s="543"/>
      <c r="AZ164" s="543"/>
      <c r="BA164" s="543"/>
      <c r="BB164" s="543"/>
      <c r="BC164" s="543"/>
      <c r="BD164" s="543"/>
      <c r="BE164" s="543"/>
      <c r="BF164" s="471"/>
      <c r="BG164" s="471"/>
      <c r="BH164" s="471"/>
      <c r="BI164" s="471"/>
      <c r="BJ164" s="471"/>
      <c r="BK164" s="471"/>
      <c r="BL164" s="471"/>
      <c r="BM164" s="471"/>
      <c r="BN164" s="471"/>
      <c r="BO164" s="482"/>
      <c r="BP164" s="482"/>
      <c r="BQ164" s="482"/>
      <c r="BR164" s="482"/>
      <c r="BS164" s="482"/>
      <c r="BT164" s="482"/>
      <c r="BU164" s="482"/>
      <c r="BV164" s="482"/>
      <c r="BW164" s="482"/>
      <c r="BX164" s="482"/>
      <c r="BY164" s="482"/>
      <c r="BZ164" s="482"/>
      <c r="CA164" s="482"/>
      <c r="CB164" s="468"/>
      <c r="CC164" s="491"/>
    </row>
    <row r="165" spans="1:81" ht="15" thickBot="1">
      <c r="A165" s="1390" t="s">
        <v>105</v>
      </c>
      <c r="B165" s="1391" t="s">
        <v>271</v>
      </c>
      <c r="C165" s="1382">
        <v>1028</v>
      </c>
      <c r="D165" s="1352"/>
      <c r="E165" s="1352"/>
      <c r="F165" s="1352"/>
      <c r="G165" s="1352"/>
      <c r="H165" s="1352"/>
      <c r="I165" s="1352"/>
      <c r="J165" s="1352">
        <f>+'Multiplier Batch Mvnt Split'!E33+'Multiplier Batch Mvnt Split'!F33</f>
        <v>1296</v>
      </c>
      <c r="K165" s="1392"/>
      <c r="L165" s="1543"/>
      <c r="M165" s="1360">
        <f>SUM(C165:L165)</f>
        <v>2324</v>
      </c>
      <c r="N165" s="1352">
        <f>-208-165-189-187-10-10-10-10</f>
        <v>-789</v>
      </c>
      <c r="O165" s="1352">
        <f>-14-10-9-12</f>
        <v>-45</v>
      </c>
      <c r="P165" s="1352">
        <f>-12-8-11-12</f>
        <v>-43</v>
      </c>
      <c r="Q165" s="1352"/>
      <c r="R165" s="1352"/>
      <c r="S165" s="1352">
        <f>-5-3-5-4</f>
        <v>-17</v>
      </c>
      <c r="T165" s="1352">
        <f>-26-13-20-36</f>
        <v>-95</v>
      </c>
      <c r="U165" s="1352">
        <f>-12-6-14-15</f>
        <v>-47</v>
      </c>
      <c r="V165" s="1352"/>
      <c r="W165" s="1352">
        <f>-(4+1+2+1+1+3+2+3+3+2+2+1+8+2+4+5+1+4+2+2+2+2+1+2+1+4+1+2+1+1+1+2+3+1+1+1+1+3+1+3+1+1+4+1+1+5+2+1+2+1+1)</f>
        <v>-107</v>
      </c>
      <c r="X165" s="1352"/>
      <c r="Y165" s="1352"/>
      <c r="Z165" s="1352"/>
      <c r="AA165" s="1351"/>
      <c r="AB165" s="1351"/>
      <c r="AC165" s="1350"/>
      <c r="AD165" s="1382">
        <f>SUM(N165:AC165)</f>
        <v>-1143</v>
      </c>
      <c r="AE165" s="1350">
        <f t="shared" ref="AE165:AE167" si="68">+M165+AD165</f>
        <v>1181</v>
      </c>
      <c r="AF165" s="1382">
        <f>+'Multiplier Batch Mvnt'!D7</f>
        <v>1181</v>
      </c>
      <c r="AG165" s="1393">
        <f>AF165-AE165</f>
        <v>0</v>
      </c>
      <c r="AH165" s="471"/>
      <c r="AI165" s="471"/>
      <c r="AJ165" s="471">
        <v>261</v>
      </c>
      <c r="AK165" s="502" t="s">
        <v>272</v>
      </c>
      <c r="AL165" s="543"/>
      <c r="AM165" s="543">
        <f>65+55+57+55+46-1-2-5-5-15-1-3+15</f>
        <v>261</v>
      </c>
      <c r="AO165" s="543"/>
      <c r="AP165" s="543">
        <f>15+65+55+57+55+46-1-2-5-5-15-4</f>
        <v>261</v>
      </c>
      <c r="AQ165" s="543">
        <f>12+12+5+14+207+10+24</f>
        <v>284</v>
      </c>
      <c r="AR165" s="543"/>
      <c r="AS165" s="543"/>
      <c r="AT165" s="543"/>
      <c r="AU165" s="543"/>
      <c r="AV165" s="543"/>
      <c r="AW165" s="543"/>
      <c r="AX165" s="543"/>
      <c r="AY165" s="543"/>
      <c r="AZ165" s="543"/>
      <c r="BA165" s="543"/>
      <c r="BB165" s="543"/>
      <c r="BC165" s="543"/>
      <c r="BD165" s="543"/>
      <c r="BE165" s="543"/>
      <c r="BF165" s="471"/>
      <c r="BG165" s="471"/>
      <c r="BH165" s="471"/>
      <c r="BI165" s="471"/>
      <c r="BJ165" s="471"/>
      <c r="BK165" s="471"/>
      <c r="BL165" s="471"/>
      <c r="BM165" s="471"/>
      <c r="BN165" s="471"/>
      <c r="BO165" s="482"/>
      <c r="BP165" s="482"/>
      <c r="BQ165" s="482"/>
      <c r="BR165" s="482"/>
      <c r="BS165" s="482"/>
      <c r="BT165" s="482"/>
      <c r="BU165" s="482"/>
      <c r="BV165" s="482"/>
      <c r="BW165" s="482"/>
      <c r="BX165" s="482"/>
      <c r="BY165" s="482"/>
      <c r="BZ165" s="482"/>
      <c r="CA165" s="482"/>
      <c r="CB165" s="468"/>
      <c r="CC165" s="491"/>
    </row>
    <row r="166" spans="1:81" ht="15" thickBot="1">
      <c r="A166" s="1380" t="s">
        <v>107</v>
      </c>
      <c r="B166" s="1391" t="s">
        <v>271</v>
      </c>
      <c r="C166" s="1382">
        <v>1188</v>
      </c>
      <c r="D166" s="1349">
        <f>208+165+189+187</f>
        <v>749</v>
      </c>
      <c r="E166" s="1349"/>
      <c r="F166" s="1349"/>
      <c r="G166" s="1349"/>
      <c r="H166" s="1349"/>
      <c r="I166" s="1349"/>
      <c r="J166" s="1349"/>
      <c r="K166" s="1349"/>
      <c r="L166" s="1357"/>
      <c r="M166" s="1360">
        <f t="shared" ref="M166:M170" si="69">SUM(C166:L166)</f>
        <v>1937</v>
      </c>
      <c r="N166" s="1349">
        <f>-226-188-200-203</f>
        <v>-817</v>
      </c>
      <c r="O166" s="1349"/>
      <c r="P166" s="1377"/>
      <c r="Q166" s="1349"/>
      <c r="R166" s="1349"/>
      <c r="S166" s="1349"/>
      <c r="T166" s="1349"/>
      <c r="U166" s="1349"/>
      <c r="V166" s="1349">
        <v>-4</v>
      </c>
      <c r="W166" s="1349">
        <f>-1-3-1-1-1</f>
        <v>-7</v>
      </c>
      <c r="X166" s="1349"/>
      <c r="Y166" s="1349"/>
      <c r="Z166" s="1349"/>
      <c r="AA166" s="1349"/>
      <c r="AB166" s="1349"/>
      <c r="AC166" s="1349"/>
      <c r="AD166" s="1356">
        <f t="shared" ref="AD166:AD169" si="70">SUM(N166:AC166)</f>
        <v>-828</v>
      </c>
      <c r="AE166" s="1349">
        <f t="shared" si="68"/>
        <v>1109</v>
      </c>
      <c r="AF166" s="1356">
        <f>+'Multiplier Batch Mvnt'!D12</f>
        <v>1109</v>
      </c>
      <c r="AG166" s="1393">
        <f t="shared" ref="AG166:AG168" si="71">AF166-AE166</f>
        <v>0</v>
      </c>
      <c r="AH166" s="471"/>
      <c r="AI166" s="471"/>
      <c r="AJ166" s="471">
        <v>245</v>
      </c>
      <c r="AK166" s="502" t="s">
        <v>273</v>
      </c>
      <c r="AL166" s="543"/>
      <c r="AM166" s="543"/>
      <c r="AO166" s="543"/>
      <c r="AP166" s="543">
        <f>159+51+35+20-4-4-2-2-1-1-1-12-14-12-5-10-173-24</f>
        <v>0</v>
      </c>
      <c r="AQ166" s="543"/>
      <c r="AR166" s="543"/>
      <c r="AS166" s="543"/>
      <c r="AT166" s="543"/>
      <c r="AU166" s="543"/>
      <c r="AV166" s="543"/>
      <c r="AW166" s="543"/>
      <c r="AX166" s="543"/>
      <c r="AY166" s="543"/>
      <c r="AZ166" s="543"/>
      <c r="BA166" s="543"/>
      <c r="BB166" s="543"/>
      <c r="BC166" s="543"/>
      <c r="BD166" s="543"/>
      <c r="BE166" s="543"/>
      <c r="BF166" s="471"/>
      <c r="BG166" s="471"/>
      <c r="BH166" s="471"/>
      <c r="BI166" s="471"/>
      <c r="BJ166" s="471"/>
      <c r="BK166" s="471"/>
      <c r="BL166" s="471"/>
      <c r="BM166" s="471"/>
      <c r="BN166" s="471"/>
      <c r="BO166" s="482"/>
      <c r="BP166" s="482"/>
      <c r="BQ166" s="482"/>
      <c r="BR166" s="482"/>
      <c r="BS166" s="482"/>
      <c r="BT166" s="482"/>
      <c r="BU166" s="482"/>
      <c r="BV166" s="482"/>
      <c r="BW166" s="482"/>
      <c r="BX166" s="482"/>
      <c r="BY166" s="482"/>
      <c r="BZ166" s="482"/>
      <c r="CA166" s="482"/>
      <c r="CB166" s="468"/>
      <c r="CC166" s="491"/>
    </row>
    <row r="167" spans="1:81">
      <c r="A167" s="1380" t="s">
        <v>109</v>
      </c>
      <c r="B167" s="1391" t="s">
        <v>271</v>
      </c>
      <c r="C167" s="1382">
        <v>2717</v>
      </c>
      <c r="D167" s="1349">
        <f>226+8+188+8+200+8+203+8</f>
        <v>849</v>
      </c>
      <c r="E167" s="1349"/>
      <c r="F167" s="1349"/>
      <c r="G167" s="1349"/>
      <c r="H167" s="1349"/>
      <c r="I167" s="1349"/>
      <c r="J167" s="1349"/>
      <c r="K167" s="1349"/>
      <c r="L167" s="1357"/>
      <c r="M167" s="1360">
        <f t="shared" si="69"/>
        <v>3566</v>
      </c>
      <c r="N167" s="1349"/>
      <c r="O167" s="1349"/>
      <c r="P167" s="1349"/>
      <c r="Q167" s="1349"/>
      <c r="R167" s="1349"/>
      <c r="S167" s="1349"/>
      <c r="T167" s="1349"/>
      <c r="U167" s="1349"/>
      <c r="V167" s="1349">
        <v>-7</v>
      </c>
      <c r="W167" s="1349">
        <f>-10+1</f>
        <v>-9</v>
      </c>
      <c r="X167" s="1349">
        <f>-238-237-224-Y167</f>
        <v>-698</v>
      </c>
      <c r="Y167" s="1349">
        <f>-'[3]Sales USD'!$BD$11</f>
        <v>-1</v>
      </c>
      <c r="Z167" s="1349"/>
      <c r="AA167" s="1349"/>
      <c r="AB167" s="1349"/>
      <c r="AC167" s="1349"/>
      <c r="AD167" s="1356">
        <f t="shared" si="70"/>
        <v>-715</v>
      </c>
      <c r="AE167" s="1349">
        <f t="shared" si="68"/>
        <v>2851</v>
      </c>
      <c r="AF167" s="1356">
        <f>+'Multiplier Batch Mvnt'!D28</f>
        <v>2851</v>
      </c>
      <c r="AG167" s="1393">
        <f t="shared" si="71"/>
        <v>0</v>
      </c>
      <c r="AH167" s="471"/>
      <c r="AI167" s="471"/>
      <c r="AJ167" s="471">
        <v>19</v>
      </c>
      <c r="AK167" s="502" t="s">
        <v>274</v>
      </c>
      <c r="AL167" s="543"/>
      <c r="AM167" s="543"/>
      <c r="AO167" s="543"/>
      <c r="AP167" s="543">
        <f>40+1+46+18+78+89+45-5-2-2-4-2-2-2-2-1-2-2-3</f>
        <v>288</v>
      </c>
      <c r="AQ167" s="543">
        <f>12+12+14+10+195+28+5</f>
        <v>276</v>
      </c>
      <c r="AR167" s="543"/>
      <c r="AS167" s="543"/>
      <c r="AT167" s="543"/>
      <c r="AU167" s="543"/>
      <c r="AV167" s="543"/>
      <c r="AW167" s="543"/>
      <c r="AX167" s="543"/>
      <c r="AY167" s="543"/>
      <c r="AZ167" s="543"/>
      <c r="BA167" s="543"/>
      <c r="BB167" s="543"/>
      <c r="BC167" s="543"/>
      <c r="BD167" s="543"/>
      <c r="BE167" s="543"/>
      <c r="BF167" s="471"/>
      <c r="BG167" s="471"/>
      <c r="BH167" s="471"/>
      <c r="BI167" s="471"/>
      <c r="BJ167" s="471"/>
      <c r="BK167" s="471"/>
      <c r="BL167" s="471"/>
      <c r="BM167" s="471"/>
      <c r="BN167" s="471"/>
      <c r="BO167" s="482"/>
      <c r="BP167" s="482"/>
      <c r="BQ167" s="482"/>
      <c r="BR167" s="482"/>
      <c r="BS167" s="482"/>
      <c r="BT167" s="482"/>
      <c r="BU167" s="482"/>
      <c r="BV167" s="482"/>
      <c r="BW167" s="482"/>
      <c r="BX167" s="482"/>
      <c r="BY167" s="482"/>
      <c r="BZ167" s="482"/>
      <c r="CA167" s="482"/>
      <c r="CB167" s="468"/>
      <c r="CC167" s="491"/>
    </row>
    <row r="168" spans="1:81">
      <c r="A168" s="1189" t="s">
        <v>111</v>
      </c>
      <c r="B168" s="1190" t="s">
        <v>271</v>
      </c>
      <c r="C168" s="1191">
        <v>131</v>
      </c>
      <c r="D168" s="1192">
        <f>10+10+10+1+10+1</f>
        <v>42</v>
      </c>
      <c r="E168" s="1192"/>
      <c r="F168" s="1192"/>
      <c r="G168" s="1192"/>
      <c r="H168" s="1192"/>
      <c r="I168" s="1192"/>
      <c r="J168" s="1192"/>
      <c r="K168" s="1192"/>
      <c r="L168" s="1231"/>
      <c r="M168" s="1248">
        <f>SUM(C168:L168)</f>
        <v>173</v>
      </c>
      <c r="N168" s="1192">
        <f>-1-1-8-3-2-1-8-3-1-1-1-3-8-2-2-3-8-3-2+3</f>
        <v>-58</v>
      </c>
      <c r="O168" s="1192"/>
      <c r="P168" s="1194"/>
      <c r="Q168" s="1192"/>
      <c r="R168" s="1192"/>
      <c r="S168" s="1192"/>
      <c r="T168" s="1192"/>
      <c r="U168" s="1192"/>
      <c r="V168" s="1192"/>
      <c r="W168" s="1192">
        <f>-1-2</f>
        <v>-3</v>
      </c>
      <c r="X168" s="1192">
        <f>-3+2</f>
        <v>-1</v>
      </c>
      <c r="Y168" s="1192"/>
      <c r="Z168" s="1192"/>
      <c r="AA168" s="1195"/>
      <c r="AB168" s="1195"/>
      <c r="AC168" s="1195"/>
      <c r="AD168" s="1191">
        <f t="shared" si="70"/>
        <v>-62</v>
      </c>
      <c r="AE168" s="1195">
        <f>+M168+AD168</f>
        <v>111</v>
      </c>
      <c r="AF168" s="1191">
        <f>+'Multiplier Batch Mvnt'!I6</f>
        <v>111</v>
      </c>
      <c r="AG168" s="1260">
        <f t="shared" si="71"/>
        <v>0</v>
      </c>
      <c r="AH168" s="471"/>
      <c r="AI168" s="471">
        <f>372+7+23+23+20+22+22</f>
        <v>489</v>
      </c>
      <c r="AJ168" s="471">
        <v>288</v>
      </c>
      <c r="AK168" s="502" t="s">
        <v>275</v>
      </c>
      <c r="AL168" s="543" t="s">
        <v>276</v>
      </c>
      <c r="AM168" s="543"/>
      <c r="AO168" s="543"/>
      <c r="AP168" s="543">
        <f>235-20</f>
        <v>215</v>
      </c>
      <c r="AQ168" s="543">
        <f>283-4-14-12-12-5-173-10</f>
        <v>53</v>
      </c>
      <c r="AR168" s="543">
        <f>10+5+12+12+14+29+190</f>
        <v>272</v>
      </c>
      <c r="AS168" s="543">
        <f>10+5+14+12+12+23+203</f>
        <v>279</v>
      </c>
      <c r="AT168" s="543"/>
      <c r="AU168" s="543"/>
      <c r="AV168" s="543"/>
      <c r="AW168" s="543"/>
      <c r="AX168" s="543"/>
      <c r="AY168" s="543"/>
      <c r="AZ168" s="543"/>
      <c r="BA168" s="543"/>
      <c r="BB168" s="543"/>
      <c r="BC168" s="543"/>
      <c r="BD168" s="543"/>
      <c r="BE168" s="543"/>
      <c r="BF168" s="471"/>
      <c r="BG168" s="471"/>
      <c r="BH168" s="471"/>
      <c r="BI168" s="471"/>
      <c r="BJ168" s="471"/>
      <c r="BK168" s="471"/>
      <c r="BL168" s="471"/>
      <c r="BM168" s="471"/>
      <c r="BN168" s="471"/>
      <c r="BO168" s="482"/>
      <c r="BP168" s="482"/>
      <c r="BQ168" s="482"/>
      <c r="BR168" s="482"/>
      <c r="BS168" s="482"/>
      <c r="BT168" s="482"/>
      <c r="BU168" s="482"/>
      <c r="BV168" s="482"/>
      <c r="BW168" s="482"/>
      <c r="BX168" s="482"/>
      <c r="BY168" s="482"/>
      <c r="BZ168" s="482"/>
      <c r="CA168" s="482"/>
      <c r="CB168" s="468"/>
      <c r="CC168" s="491"/>
    </row>
    <row r="169" spans="1:81">
      <c r="A169" s="1189" t="s">
        <v>112</v>
      </c>
      <c r="B169" s="1190" t="s">
        <v>271</v>
      </c>
      <c r="C169" s="1191">
        <v>463</v>
      </c>
      <c r="D169" s="1192">
        <f>+'Multiplier Batch Mvnt Split'!E23+'Multiplier Batch Mvnt Split'!F23+'Multiplier Batch Mvnt Split'!G23+'Multiplier Batch Mvnt Split'!H23</f>
        <v>206</v>
      </c>
      <c r="E169" s="1192"/>
      <c r="F169" s="1192"/>
      <c r="G169" s="1192"/>
      <c r="H169" s="1192"/>
      <c r="I169" s="1192"/>
      <c r="J169" s="1192"/>
      <c r="K169" s="1192"/>
      <c r="L169" s="1231"/>
      <c r="M169" s="1248">
        <f t="shared" si="69"/>
        <v>669</v>
      </c>
      <c r="N169" s="1192">
        <f>+'Multiplier Batch Mvnt Split'!J23+'Multiplier Batch Mvnt Split'!K23+'Multiplier Batch Mvnt Split'!L23</f>
        <v>-181</v>
      </c>
      <c r="O169" s="1192"/>
      <c r="P169" s="1194"/>
      <c r="Q169" s="1192"/>
      <c r="R169" s="1192"/>
      <c r="S169" s="1192"/>
      <c r="T169" s="1192"/>
      <c r="U169" s="1192"/>
      <c r="V169" s="1192"/>
      <c r="W169" s="1192">
        <f>+'Multiplier Batch Mvnt Split'!I23</f>
        <v>-3</v>
      </c>
      <c r="X169" s="1192">
        <f>+'Multiplier Batch Mvnt Split'!M23</f>
        <v>-11</v>
      </c>
      <c r="Y169" s="1192"/>
      <c r="Z169" s="1192"/>
      <c r="AA169" s="1195"/>
      <c r="AB169" s="1195"/>
      <c r="AC169" s="1195"/>
      <c r="AD169" s="1191">
        <f t="shared" si="70"/>
        <v>-195</v>
      </c>
      <c r="AE169" s="1195">
        <f t="shared" ref="AE169:AE170" si="72">+M169+AD169</f>
        <v>474</v>
      </c>
      <c r="AF169" s="1191">
        <f>+'Multiplier Batch Mvnt'!I5</f>
        <v>474</v>
      </c>
      <c r="AG169" s="1260">
        <f>AF169-AE169</f>
        <v>0</v>
      </c>
      <c r="AH169" s="471"/>
      <c r="AI169" s="471">
        <f>363+6+24+23+24+23+21</f>
        <v>484</v>
      </c>
      <c r="AJ169" s="477">
        <f>SUM(AJ164:AJ168)</f>
        <v>1028</v>
      </c>
      <c r="AK169" s="502"/>
      <c r="AL169" s="543"/>
      <c r="AM169" s="543"/>
      <c r="AO169" s="543"/>
      <c r="AP169" s="543"/>
      <c r="AQ169" s="543"/>
      <c r="AR169" s="543"/>
      <c r="AS169" s="543"/>
      <c r="AT169" s="543"/>
      <c r="AU169" s="543"/>
      <c r="AV169" s="543"/>
      <c r="AW169" s="543"/>
      <c r="AX169" s="543"/>
      <c r="AY169" s="543"/>
      <c r="AZ169" s="543"/>
      <c r="BA169" s="543"/>
      <c r="BB169" s="543"/>
      <c r="BC169" s="543"/>
      <c r="BD169" s="543"/>
      <c r="BE169" s="543"/>
      <c r="BF169" s="471"/>
      <c r="BG169" s="471"/>
      <c r="BH169" s="471"/>
      <c r="BI169" s="471"/>
      <c r="BJ169" s="471"/>
      <c r="BK169" s="471"/>
      <c r="BL169" s="471"/>
      <c r="BM169" s="471"/>
      <c r="BN169" s="471"/>
      <c r="BO169" s="482"/>
      <c r="BP169" s="482"/>
      <c r="BQ169" s="482"/>
      <c r="BR169" s="482"/>
      <c r="BS169" s="482"/>
      <c r="BT169" s="482"/>
      <c r="BU169" s="482"/>
      <c r="BV169" s="482"/>
      <c r="BW169" s="482"/>
      <c r="BX169" s="482"/>
      <c r="BY169" s="482"/>
      <c r="BZ169" s="482"/>
      <c r="CA169" s="482"/>
      <c r="CB169" s="468"/>
      <c r="CC169" s="491"/>
    </row>
    <row r="170" spans="1:81" ht="15" thickBot="1">
      <c r="A170" s="1266" t="s">
        <v>113</v>
      </c>
      <c r="B170" s="1190" t="s">
        <v>271</v>
      </c>
      <c r="C170" s="1525">
        <v>6</v>
      </c>
      <c r="D170" s="1227"/>
      <c r="E170" s="1227"/>
      <c r="F170" s="1227"/>
      <c r="G170" s="1227"/>
      <c r="H170" s="1227"/>
      <c r="I170" s="1227"/>
      <c r="J170" s="1227"/>
      <c r="K170" s="1227"/>
      <c r="L170" s="1256"/>
      <c r="M170" s="1248">
        <f t="shared" si="69"/>
        <v>6</v>
      </c>
      <c r="N170" s="1232"/>
      <c r="O170" s="1232"/>
      <c r="P170" s="1197"/>
      <c r="Q170" s="1232"/>
      <c r="R170" s="1232"/>
      <c r="S170" s="1232"/>
      <c r="T170" s="1232"/>
      <c r="U170" s="1232"/>
      <c r="V170" s="1232"/>
      <c r="W170" s="1232"/>
      <c r="X170" s="1232"/>
      <c r="Y170" s="1232"/>
      <c r="Z170" s="1232"/>
      <c r="AA170" s="1198"/>
      <c r="AB170" s="1198"/>
      <c r="AC170" s="1198"/>
      <c r="AD170" s="1191">
        <f>SUM(N170:AC170)</f>
        <v>0</v>
      </c>
      <c r="AE170" s="1198">
        <f t="shared" si="72"/>
        <v>6</v>
      </c>
      <c r="AF170" s="1196">
        <f>+'Multiplier Batch Mvnt'!I4</f>
        <v>6</v>
      </c>
      <c r="AG170" s="1261">
        <f t="shared" ref="AG170" si="73">AF170-AE170</f>
        <v>0</v>
      </c>
      <c r="AH170" s="471"/>
      <c r="AI170" s="471">
        <f>+AI169-478</f>
        <v>6</v>
      </c>
      <c r="AJ170" s="471"/>
      <c r="AK170" s="502"/>
      <c r="AL170" s="543"/>
      <c r="AM170" s="543"/>
      <c r="AO170" s="543"/>
      <c r="AP170" s="543"/>
      <c r="AQ170" s="543"/>
      <c r="AR170" s="543"/>
      <c r="AS170" s="543"/>
      <c r="AT170" s="543"/>
      <c r="AU170" s="543"/>
      <c r="AV170" s="543"/>
      <c r="AW170" s="543"/>
      <c r="AX170" s="543"/>
      <c r="AY170" s="543"/>
      <c r="AZ170" s="543"/>
      <c r="BA170" s="543"/>
      <c r="BB170" s="543"/>
      <c r="BC170" s="543"/>
      <c r="BD170" s="543"/>
      <c r="BE170" s="543"/>
      <c r="BF170" s="471"/>
      <c r="BG170" s="471"/>
      <c r="BH170" s="471"/>
      <c r="BI170" s="471"/>
      <c r="BJ170" s="471"/>
      <c r="BK170" s="471"/>
      <c r="BL170" s="471"/>
      <c r="BM170" s="471"/>
      <c r="BN170" s="471"/>
      <c r="BO170" s="482"/>
      <c r="BP170" s="482"/>
      <c r="BQ170" s="482"/>
      <c r="BR170" s="482"/>
      <c r="BS170" s="482"/>
      <c r="BT170" s="482"/>
      <c r="BU170" s="482"/>
      <c r="BV170" s="482"/>
      <c r="BW170" s="482"/>
      <c r="BX170" s="482"/>
      <c r="BY170" s="482"/>
      <c r="BZ170" s="482"/>
      <c r="CA170" s="482"/>
      <c r="CB170" s="468"/>
      <c r="CC170" s="491"/>
    </row>
    <row r="171" spans="1:81" ht="15" thickBot="1">
      <c r="A171" s="541" t="s">
        <v>115</v>
      </c>
      <c r="B171" s="542"/>
      <c r="C171" s="549">
        <f t="shared" ref="C171:J171" si="74">SUM(C165:C170)</f>
        <v>5533</v>
      </c>
      <c r="D171" s="549">
        <f t="shared" si="74"/>
        <v>1846</v>
      </c>
      <c r="E171" s="549">
        <f t="shared" si="74"/>
        <v>0</v>
      </c>
      <c r="F171" s="549">
        <f t="shared" si="74"/>
        <v>0</v>
      </c>
      <c r="G171" s="549">
        <f t="shared" si="74"/>
        <v>0</v>
      </c>
      <c r="H171" s="549">
        <f t="shared" si="74"/>
        <v>0</v>
      </c>
      <c r="I171" s="549">
        <f t="shared" si="74"/>
        <v>0</v>
      </c>
      <c r="J171" s="549">
        <f t="shared" si="74"/>
        <v>1296</v>
      </c>
      <c r="K171" s="549">
        <f>SUM(K165:K170)</f>
        <v>0</v>
      </c>
      <c r="L171" s="549">
        <f>SUM(L165:L170)</f>
        <v>0</v>
      </c>
      <c r="M171" s="549">
        <f t="shared" ref="M171:AE171" si="75">SUM(M165:M170)</f>
        <v>8675</v>
      </c>
      <c r="N171" s="549">
        <f t="shared" si="75"/>
        <v>-1845</v>
      </c>
      <c r="O171" s="549">
        <f t="shared" si="75"/>
        <v>-45</v>
      </c>
      <c r="P171" s="549">
        <f t="shared" si="75"/>
        <v>-43</v>
      </c>
      <c r="Q171" s="549">
        <f t="shared" si="75"/>
        <v>0</v>
      </c>
      <c r="R171" s="549">
        <f t="shared" si="75"/>
        <v>0</v>
      </c>
      <c r="S171" s="549">
        <f t="shared" si="75"/>
        <v>-17</v>
      </c>
      <c r="T171" s="549">
        <f t="shared" si="75"/>
        <v>-95</v>
      </c>
      <c r="U171" s="549">
        <f t="shared" si="75"/>
        <v>-47</v>
      </c>
      <c r="V171" s="549">
        <f t="shared" si="75"/>
        <v>-11</v>
      </c>
      <c r="W171" s="549">
        <f t="shared" si="75"/>
        <v>-129</v>
      </c>
      <c r="X171" s="549">
        <f>SUM(X165:X170)</f>
        <v>-710</v>
      </c>
      <c r="Y171" s="549">
        <f t="shared" si="75"/>
        <v>-1</v>
      </c>
      <c r="Z171" s="549">
        <f t="shared" si="75"/>
        <v>0</v>
      </c>
      <c r="AA171" s="549">
        <f t="shared" si="75"/>
        <v>0</v>
      </c>
      <c r="AB171" s="549">
        <f t="shared" si="75"/>
        <v>0</v>
      </c>
      <c r="AC171" s="549">
        <f t="shared" si="75"/>
        <v>0</v>
      </c>
      <c r="AD171" s="549">
        <f t="shared" si="75"/>
        <v>-2943</v>
      </c>
      <c r="AE171" s="549">
        <f t="shared" si="75"/>
        <v>5732</v>
      </c>
      <c r="AF171" s="549">
        <f>SUM(AF165:AF170)</f>
        <v>5732</v>
      </c>
      <c r="AG171" s="549">
        <f t="shared" ref="AG171" si="76">SUM(AG165:AG170)</f>
        <v>0</v>
      </c>
      <c r="AH171" s="471"/>
      <c r="AI171" s="471"/>
      <c r="AJ171" s="471"/>
      <c r="AK171" s="502"/>
      <c r="AL171" s="543"/>
      <c r="AM171" s="543"/>
      <c r="AO171" s="543"/>
      <c r="AP171" s="543"/>
      <c r="AQ171" s="543"/>
      <c r="AR171" s="543"/>
      <c r="AS171" s="543"/>
      <c r="AT171" s="543"/>
      <c r="AU171" s="543"/>
      <c r="AV171" s="543"/>
      <c r="AW171" s="543"/>
      <c r="AX171" s="543"/>
      <c r="AY171" s="543"/>
      <c r="AZ171" s="543"/>
      <c r="BA171" s="543"/>
      <c r="BB171" s="543"/>
      <c r="BC171" s="543"/>
      <c r="BD171" s="543"/>
      <c r="BE171" s="543"/>
      <c r="BF171" s="471"/>
      <c r="BG171" s="471"/>
      <c r="BH171" s="471"/>
      <c r="BI171" s="471"/>
      <c r="BJ171" s="471"/>
      <c r="BK171" s="471"/>
      <c r="BL171" s="471"/>
      <c r="BM171" s="471"/>
      <c r="BN171" s="471"/>
      <c r="BO171" s="482"/>
      <c r="BP171" s="482"/>
      <c r="BQ171" s="482"/>
      <c r="BR171" s="482"/>
      <c r="BS171" s="482"/>
      <c r="BT171" s="482"/>
      <c r="BU171" s="482"/>
      <c r="BV171" s="482"/>
      <c r="BW171" s="482"/>
      <c r="BX171" s="482"/>
      <c r="BY171" s="482"/>
      <c r="BZ171" s="482"/>
      <c r="CA171" s="482"/>
      <c r="CB171" s="468"/>
      <c r="CC171" s="491"/>
    </row>
    <row r="172" spans="1:81">
      <c r="A172" s="463"/>
      <c r="B172" s="464"/>
      <c r="C172" s="515">
        <v>5608</v>
      </c>
      <c r="D172" s="515"/>
      <c r="E172" s="515"/>
      <c r="F172" s="515"/>
      <c r="G172" s="515"/>
      <c r="H172" s="515"/>
      <c r="I172" s="515"/>
      <c r="J172" s="515"/>
      <c r="K172" s="515"/>
      <c r="L172" s="515"/>
      <c r="M172" s="515"/>
      <c r="N172" s="515"/>
      <c r="O172" s="515"/>
      <c r="P172" s="515"/>
      <c r="Q172" s="515"/>
      <c r="R172" s="515"/>
      <c r="S172" s="515"/>
      <c r="T172" s="515"/>
      <c r="U172" s="515"/>
      <c r="V172" s="515"/>
      <c r="W172" s="515"/>
      <c r="X172" s="515"/>
      <c r="Y172" s="515"/>
      <c r="Z172" s="515"/>
      <c r="AA172" s="515"/>
      <c r="AB172" s="515"/>
      <c r="AC172" s="515"/>
      <c r="AD172" s="515"/>
      <c r="AE172" s="515"/>
      <c r="AF172" s="515"/>
      <c r="AG172" s="515"/>
      <c r="AH172" s="471"/>
      <c r="AI172" s="471"/>
      <c r="AJ172" s="471"/>
      <c r="AK172" s="502"/>
      <c r="AL172" s="543"/>
      <c r="AM172" s="543"/>
      <c r="AO172" s="543"/>
      <c r="AP172" s="543"/>
      <c r="AQ172" s="543"/>
      <c r="AR172" s="543"/>
      <c r="AS172" s="543"/>
      <c r="AT172" s="543"/>
      <c r="AU172" s="543"/>
      <c r="AV172" s="543"/>
      <c r="AW172" s="543"/>
      <c r="AX172" s="543"/>
      <c r="AY172" s="543"/>
      <c r="AZ172" s="543"/>
      <c r="BA172" s="543"/>
      <c r="BB172" s="543"/>
      <c r="BC172" s="543"/>
      <c r="BD172" s="543"/>
      <c r="BE172" s="543"/>
      <c r="BF172" s="471"/>
      <c r="BG172" s="471"/>
      <c r="BH172" s="471"/>
      <c r="BI172" s="471"/>
      <c r="BJ172" s="471"/>
      <c r="BK172" s="471"/>
      <c r="BL172" s="471"/>
      <c r="BM172" s="471"/>
      <c r="BN172" s="471"/>
      <c r="BO172" s="482"/>
      <c r="BP172" s="482"/>
      <c r="BQ172" s="482"/>
      <c r="BR172" s="482"/>
      <c r="BS172" s="482"/>
      <c r="BT172" s="482"/>
      <c r="BU172" s="482"/>
      <c r="BV172" s="482"/>
      <c r="BW172" s="482"/>
      <c r="BX172" s="482"/>
      <c r="BY172" s="482"/>
      <c r="BZ172" s="482"/>
      <c r="CA172" s="482"/>
      <c r="CB172" s="468"/>
      <c r="CC172" s="491"/>
    </row>
    <row r="173" spans="1:81">
      <c r="A173" s="463"/>
      <c r="B173" s="463"/>
      <c r="C173" s="482" t="s">
        <v>127</v>
      </c>
      <c r="D173" s="515">
        <f>L18</f>
        <v>95</v>
      </c>
      <c r="E173" s="515">
        <f>T171</f>
        <v>-95</v>
      </c>
      <c r="F173" s="515">
        <f>+D173+E173</f>
        <v>0</v>
      </c>
      <c r="G173" s="515"/>
      <c r="H173" s="515"/>
      <c r="I173" s="515"/>
      <c r="J173" s="515"/>
      <c r="K173" s="515"/>
      <c r="L173" s="515"/>
      <c r="M173" s="515"/>
      <c r="N173" s="515"/>
      <c r="O173" s="515"/>
      <c r="P173" s="515"/>
      <c r="Q173" s="515"/>
      <c r="R173" s="515"/>
      <c r="S173" s="515"/>
      <c r="T173" s="515"/>
      <c r="U173" s="515"/>
      <c r="V173" s="515"/>
      <c r="W173" s="515"/>
      <c r="X173" s="515"/>
      <c r="Y173" s="515"/>
      <c r="Z173" s="515"/>
      <c r="AA173" s="515"/>
      <c r="AB173" s="515"/>
      <c r="AC173" s="515"/>
      <c r="AD173" s="515"/>
      <c r="AE173" s="515"/>
      <c r="AF173" s="515"/>
      <c r="AG173" s="515"/>
      <c r="AH173" s="471"/>
      <c r="AI173" s="471"/>
      <c r="AJ173" s="471"/>
      <c r="AK173" s="502"/>
      <c r="AL173" s="543"/>
      <c r="AM173" s="543"/>
      <c r="AO173" s="543"/>
      <c r="AP173" s="543"/>
      <c r="AQ173" s="543"/>
      <c r="AR173" s="543"/>
      <c r="AS173" s="543"/>
      <c r="AT173" s="543"/>
      <c r="AU173" s="543"/>
      <c r="AV173" s="543"/>
      <c r="AW173" s="543"/>
      <c r="AX173" s="543"/>
      <c r="AY173" s="543"/>
      <c r="AZ173" s="543"/>
      <c r="BA173" s="543"/>
      <c r="BB173" s="543"/>
      <c r="BC173" s="543"/>
      <c r="BD173" s="543"/>
      <c r="BE173" s="543"/>
      <c r="BF173" s="471"/>
      <c r="BG173" s="471"/>
      <c r="BH173" s="471"/>
      <c r="BI173" s="471"/>
      <c r="BJ173" s="471"/>
      <c r="BK173" s="471"/>
      <c r="BL173" s="471"/>
      <c r="BM173" s="471"/>
      <c r="BN173" s="471"/>
      <c r="BO173" s="482"/>
      <c r="BP173" s="482"/>
      <c r="BQ173" s="482"/>
      <c r="BR173" s="482"/>
      <c r="BS173" s="482"/>
      <c r="BT173" s="482"/>
      <c r="BU173" s="482"/>
      <c r="BV173" s="482"/>
      <c r="BW173" s="482"/>
      <c r="BX173" s="482"/>
      <c r="BY173" s="482"/>
      <c r="BZ173" s="482"/>
      <c r="CA173" s="482"/>
      <c r="CB173" s="468"/>
      <c r="CC173" s="491"/>
    </row>
    <row r="174" spans="1:81">
      <c r="A174" s="463"/>
      <c r="B174" s="463"/>
      <c r="C174" s="482" t="s">
        <v>190</v>
      </c>
      <c r="D174" s="515">
        <f>L37</f>
        <v>0</v>
      </c>
      <c r="E174" s="515">
        <f>R171</f>
        <v>0</v>
      </c>
      <c r="F174" s="515">
        <f t="shared" ref="F174:F178" si="77">+D174+E174</f>
        <v>0</v>
      </c>
      <c r="G174" s="515"/>
      <c r="H174" s="515"/>
      <c r="I174" s="515"/>
      <c r="J174" s="515"/>
      <c r="K174" s="515"/>
      <c r="L174" s="515"/>
      <c r="M174" s="515"/>
      <c r="N174" s="515"/>
      <c r="O174" s="515"/>
      <c r="P174" s="515"/>
      <c r="Q174" s="515"/>
      <c r="R174" s="515"/>
      <c r="S174" s="515"/>
      <c r="T174" s="515"/>
      <c r="U174" s="515"/>
      <c r="V174" s="515"/>
      <c r="W174" s="515"/>
      <c r="X174" s="515"/>
      <c r="Y174" s="515"/>
      <c r="Z174" s="515"/>
      <c r="AA174" s="515"/>
      <c r="AB174" s="515"/>
      <c r="AC174" s="515"/>
      <c r="AD174" s="515"/>
      <c r="AE174" s="515"/>
      <c r="AF174" s="515"/>
      <c r="AG174" s="515"/>
      <c r="AH174" s="471"/>
      <c r="AI174" s="471"/>
      <c r="AJ174" s="471"/>
      <c r="AK174" s="502"/>
      <c r="AL174" s="543"/>
      <c r="AM174" s="543"/>
      <c r="AO174" s="543"/>
      <c r="AP174" s="543"/>
      <c r="AQ174" s="543"/>
      <c r="AR174" s="543"/>
      <c r="AS174" s="543"/>
      <c r="AT174" s="543"/>
      <c r="AU174" s="543"/>
      <c r="AV174" s="543"/>
      <c r="AW174" s="543"/>
      <c r="AX174" s="543"/>
      <c r="AY174" s="543"/>
      <c r="AZ174" s="543"/>
      <c r="BA174" s="543"/>
      <c r="BB174" s="543"/>
      <c r="BC174" s="543"/>
      <c r="BD174" s="543"/>
      <c r="BE174" s="543"/>
      <c r="BF174" s="471"/>
      <c r="BG174" s="471"/>
      <c r="BH174" s="471"/>
      <c r="BI174" s="471"/>
      <c r="BJ174" s="471"/>
      <c r="BK174" s="471"/>
      <c r="BL174" s="471"/>
      <c r="BM174" s="471"/>
      <c r="BN174" s="471"/>
      <c r="BO174" s="482"/>
      <c r="BP174" s="482"/>
      <c r="BQ174" s="482"/>
      <c r="BR174" s="482"/>
      <c r="BS174" s="482"/>
      <c r="BT174" s="482"/>
      <c r="BU174" s="482"/>
      <c r="BV174" s="482"/>
      <c r="BW174" s="482"/>
      <c r="BX174" s="482"/>
      <c r="BY174" s="482"/>
      <c r="BZ174" s="482"/>
      <c r="CA174" s="482"/>
      <c r="CB174" s="468"/>
      <c r="CC174" s="491"/>
    </row>
    <row r="175" spans="1:81">
      <c r="A175" s="463"/>
      <c r="B175" s="463"/>
      <c r="C175" s="482" t="s">
        <v>206</v>
      </c>
      <c r="D175" s="515">
        <f>L75</f>
        <v>0</v>
      </c>
      <c r="E175" s="515">
        <f>Q171</f>
        <v>0</v>
      </c>
      <c r="F175" s="515">
        <f t="shared" si="77"/>
        <v>0</v>
      </c>
      <c r="G175" s="515"/>
      <c r="H175" s="515"/>
      <c r="I175" s="515"/>
      <c r="J175" s="515"/>
      <c r="K175" s="515"/>
      <c r="L175" s="515"/>
      <c r="M175" s="515"/>
      <c r="N175" s="515"/>
      <c r="O175" s="515"/>
      <c r="P175" s="515"/>
      <c r="Q175" s="515"/>
      <c r="R175" s="515"/>
      <c r="S175" s="515"/>
      <c r="T175" s="515"/>
      <c r="U175" s="515"/>
      <c r="V175" s="515"/>
      <c r="W175" s="515">
        <f>362+21+21+19+22+22</f>
        <v>467</v>
      </c>
      <c r="X175" s="515"/>
      <c r="Y175" s="515"/>
      <c r="Z175" s="515"/>
      <c r="AA175" s="515"/>
      <c r="AB175" s="515"/>
      <c r="AC175" s="515"/>
      <c r="AD175" s="515"/>
      <c r="AE175" s="515"/>
      <c r="AF175" s="515"/>
      <c r="AG175" s="515"/>
      <c r="AH175" s="471"/>
      <c r="AI175" s="471"/>
      <c r="AJ175" s="471"/>
      <c r="AK175" s="502"/>
      <c r="AL175" s="543"/>
      <c r="AM175" s="543"/>
      <c r="AO175" s="543"/>
      <c r="AP175" s="543"/>
      <c r="AQ175" s="543"/>
      <c r="AR175" s="543"/>
      <c r="AS175" s="543"/>
      <c r="AT175" s="543"/>
      <c r="AU175" s="543"/>
      <c r="AV175" s="543"/>
      <c r="AW175" s="543"/>
      <c r="AX175" s="543"/>
      <c r="AY175" s="543"/>
      <c r="AZ175" s="543"/>
      <c r="BA175" s="543"/>
      <c r="BB175" s="543"/>
      <c r="BC175" s="543"/>
      <c r="BD175" s="543"/>
      <c r="BE175" s="543"/>
      <c r="BF175" s="471"/>
      <c r="BG175" s="471"/>
      <c r="BH175" s="471"/>
      <c r="BI175" s="471"/>
      <c r="BJ175" s="471"/>
      <c r="BK175" s="471"/>
      <c r="BL175" s="471"/>
      <c r="BM175" s="471"/>
      <c r="BN175" s="471"/>
      <c r="BO175" s="482"/>
      <c r="BP175" s="482"/>
      <c r="BQ175" s="482"/>
      <c r="BR175" s="482"/>
      <c r="BS175" s="482"/>
      <c r="BT175" s="482"/>
      <c r="BU175" s="482"/>
      <c r="BV175" s="482"/>
      <c r="BW175" s="482"/>
      <c r="BX175" s="482"/>
      <c r="BY175" s="482"/>
      <c r="BZ175" s="482"/>
      <c r="CA175" s="482"/>
      <c r="CB175" s="468"/>
      <c r="CC175" s="491"/>
    </row>
    <row r="176" spans="1:81">
      <c r="A176" s="463"/>
      <c r="B176" s="463"/>
      <c r="C176" s="482" t="s">
        <v>213</v>
      </c>
      <c r="D176" s="515">
        <f>L56</f>
        <v>43</v>
      </c>
      <c r="E176" s="515">
        <f>P171</f>
        <v>-43</v>
      </c>
      <c r="F176" s="515">
        <f t="shared" si="77"/>
        <v>0</v>
      </c>
      <c r="G176" s="515"/>
      <c r="H176" s="515"/>
      <c r="I176" s="515"/>
      <c r="J176" s="515"/>
      <c r="K176" s="515"/>
      <c r="L176" s="515"/>
      <c r="M176" s="515"/>
      <c r="N176" s="515"/>
      <c r="O176" s="515"/>
      <c r="P176" s="515"/>
      <c r="Q176" s="515"/>
      <c r="R176" s="515"/>
      <c r="S176" s="515"/>
      <c r="T176" s="515">
        <f>272+279+286+250+276</f>
        <v>1363</v>
      </c>
      <c r="U176" s="515"/>
      <c r="V176" s="515"/>
      <c r="W176" s="515"/>
      <c r="X176" s="515"/>
      <c r="Y176" s="515"/>
      <c r="Z176" s="515"/>
      <c r="AA176" s="515"/>
      <c r="AB176" s="515"/>
      <c r="AC176" s="515"/>
      <c r="AD176" s="515"/>
      <c r="AE176" s="515"/>
      <c r="AF176" s="515"/>
      <c r="AG176" s="515"/>
      <c r="AH176" s="471"/>
      <c r="AI176" s="471"/>
      <c r="AJ176" s="471"/>
      <c r="AK176" s="502"/>
      <c r="AL176" s="543"/>
      <c r="AM176" s="543"/>
      <c r="AO176" s="543"/>
      <c r="AP176" s="543"/>
      <c r="AQ176" s="543"/>
      <c r="AR176" s="543"/>
      <c r="AS176" s="543"/>
      <c r="AT176" s="543"/>
      <c r="AU176" s="543"/>
      <c r="AV176" s="543"/>
      <c r="AW176" s="543"/>
      <c r="AX176" s="543"/>
      <c r="AY176" s="543"/>
      <c r="AZ176" s="543"/>
      <c r="BA176" s="543"/>
      <c r="BB176" s="543"/>
      <c r="BC176" s="543"/>
      <c r="BD176" s="543"/>
      <c r="BE176" s="543"/>
      <c r="BF176" s="471"/>
      <c r="BG176" s="471"/>
      <c r="BH176" s="471"/>
      <c r="BI176" s="471"/>
      <c r="BJ176" s="471"/>
      <c r="BK176" s="471"/>
      <c r="BL176" s="471"/>
      <c r="BM176" s="471"/>
      <c r="BN176" s="471"/>
      <c r="BO176" s="482"/>
      <c r="BP176" s="482"/>
      <c r="BQ176" s="482"/>
      <c r="BR176" s="482"/>
      <c r="BS176" s="482"/>
      <c r="BT176" s="482"/>
      <c r="BU176" s="482"/>
      <c r="BV176" s="482"/>
      <c r="BW176" s="482"/>
      <c r="BX176" s="482"/>
      <c r="BY176" s="482"/>
      <c r="BZ176" s="482"/>
      <c r="CA176" s="482"/>
      <c r="CB176" s="468"/>
      <c r="CC176" s="491"/>
    </row>
    <row r="177" spans="1:92">
      <c r="A177" s="463"/>
      <c r="B177" s="464"/>
      <c r="C177" s="482" t="s">
        <v>214</v>
      </c>
      <c r="D177" s="515">
        <f>L95</f>
        <v>17</v>
      </c>
      <c r="E177" s="515">
        <f>S171</f>
        <v>-17</v>
      </c>
      <c r="F177" s="515">
        <f t="shared" si="77"/>
        <v>0</v>
      </c>
      <c r="G177" s="515"/>
      <c r="H177" s="515"/>
      <c r="I177" s="515"/>
      <c r="J177" s="515"/>
      <c r="K177" s="515"/>
      <c r="L177" s="515"/>
      <c r="M177" s="515"/>
      <c r="N177" s="515"/>
      <c r="O177" s="515"/>
      <c r="P177" s="515"/>
      <c r="Q177" s="515"/>
      <c r="R177" s="515"/>
      <c r="S177" s="515"/>
      <c r="T177" s="515">
        <f>10+5+12+12+14+29+170</f>
        <v>252</v>
      </c>
      <c r="U177" s="515"/>
      <c r="V177" s="515"/>
      <c r="W177" s="515"/>
      <c r="X177" s="515"/>
      <c r="Y177" s="515"/>
      <c r="Z177" s="515"/>
      <c r="AA177" s="515"/>
      <c r="AB177" s="515"/>
      <c r="AC177" s="515"/>
      <c r="AD177" s="515"/>
      <c r="AE177" s="515"/>
      <c r="AF177" s="515"/>
      <c r="AG177" s="515"/>
      <c r="AH177" s="471"/>
      <c r="AI177" s="471"/>
      <c r="AJ177" s="471"/>
      <c r="AK177" s="502"/>
      <c r="AL177" s="543"/>
      <c r="AM177" s="543"/>
      <c r="AO177" s="543"/>
      <c r="AP177" s="543"/>
      <c r="AQ177" s="543"/>
      <c r="AR177" s="543"/>
      <c r="AS177" s="543"/>
      <c r="AT177" s="543"/>
      <c r="AU177" s="543"/>
      <c r="AV177" s="543"/>
      <c r="AW177" s="543"/>
      <c r="AX177" s="543"/>
      <c r="AY177" s="543"/>
      <c r="AZ177" s="543"/>
      <c r="BA177" s="543"/>
      <c r="BB177" s="543"/>
      <c r="BC177" s="543"/>
      <c r="BD177" s="543"/>
      <c r="BE177" s="543"/>
      <c r="BF177" s="471"/>
      <c r="BG177" s="471"/>
      <c r="BH177" s="471"/>
      <c r="BI177" s="471"/>
      <c r="BJ177" s="471"/>
      <c r="BK177" s="471"/>
      <c r="BL177" s="471"/>
      <c r="BM177" s="471"/>
      <c r="BN177" s="471"/>
      <c r="BO177" s="482"/>
      <c r="BP177" s="482"/>
      <c r="BQ177" s="482"/>
      <c r="BR177" s="482"/>
      <c r="BS177" s="482"/>
      <c r="BT177" s="482"/>
      <c r="BU177" s="482"/>
      <c r="BV177" s="482"/>
      <c r="BW177" s="482"/>
      <c r="BX177" s="482"/>
      <c r="BY177" s="482"/>
      <c r="BZ177" s="482"/>
      <c r="CA177" s="482"/>
      <c r="CB177" s="468"/>
      <c r="CC177" s="491"/>
    </row>
    <row r="178" spans="1:92">
      <c r="A178" s="463"/>
      <c r="B178" s="463"/>
      <c r="C178" s="482" t="s">
        <v>189</v>
      </c>
      <c r="D178" s="515">
        <f>L114</f>
        <v>45</v>
      </c>
      <c r="E178" s="515">
        <f>O171</f>
        <v>-45</v>
      </c>
      <c r="F178" s="515">
        <f t="shared" si="77"/>
        <v>0</v>
      </c>
      <c r="G178" s="515"/>
      <c r="H178" s="515"/>
      <c r="I178" s="515"/>
      <c r="J178" s="515"/>
      <c r="K178" s="515"/>
      <c r="L178" s="515"/>
      <c r="M178" s="515"/>
      <c r="N178" s="515"/>
      <c r="O178" s="515"/>
      <c r="P178" s="515"/>
      <c r="Q178" s="515"/>
      <c r="R178" s="515"/>
      <c r="S178" s="515"/>
      <c r="T178" s="515">
        <f>10+5+14+12+12+23+203</f>
        <v>279</v>
      </c>
      <c r="U178" s="515"/>
      <c r="V178" s="515"/>
      <c r="W178" s="515"/>
      <c r="X178" s="515"/>
      <c r="Y178" s="515"/>
      <c r="Z178" s="515"/>
      <c r="AA178" s="515"/>
      <c r="AB178" s="515"/>
      <c r="AC178" s="515"/>
      <c r="AD178" s="515"/>
      <c r="AE178" s="515"/>
      <c r="AF178" s="515"/>
      <c r="AG178" s="515"/>
      <c r="AH178" s="471"/>
      <c r="AI178" s="471"/>
      <c r="AJ178" s="471"/>
      <c r="AK178" s="502"/>
      <c r="AL178" s="543"/>
      <c r="AM178" s="543"/>
      <c r="AO178" s="543"/>
      <c r="AP178" s="543"/>
      <c r="AQ178" s="543"/>
      <c r="AR178" s="543"/>
      <c r="AS178" s="543"/>
      <c r="AT178" s="543"/>
      <c r="AU178" s="543"/>
      <c r="AV178" s="543"/>
      <c r="AW178" s="543"/>
      <c r="AX178" s="543"/>
      <c r="AY178" s="543"/>
      <c r="AZ178" s="543"/>
      <c r="BA178" s="543"/>
      <c r="BB178" s="543"/>
      <c r="BC178" s="543"/>
      <c r="BD178" s="543"/>
      <c r="BE178" s="543"/>
      <c r="BF178" s="471"/>
      <c r="BG178" s="471"/>
      <c r="BH178" s="471"/>
      <c r="BI178" s="471"/>
      <c r="BJ178" s="471"/>
      <c r="BK178" s="471"/>
      <c r="BL178" s="471"/>
      <c r="BM178" s="471"/>
      <c r="BN178" s="471"/>
      <c r="BO178" s="482"/>
      <c r="BP178" s="482"/>
      <c r="BQ178" s="482"/>
      <c r="BR178" s="482"/>
      <c r="BS178" s="482"/>
      <c r="BT178" s="482"/>
      <c r="BU178" s="482"/>
      <c r="BV178" s="482"/>
      <c r="BW178" s="482"/>
      <c r="BX178" s="482"/>
      <c r="BY178" s="482"/>
      <c r="BZ178" s="482"/>
      <c r="CA178" s="482"/>
      <c r="CB178" s="468"/>
      <c r="CC178" s="491"/>
    </row>
    <row r="179" spans="1:92">
      <c r="A179" s="463"/>
      <c r="B179" s="463"/>
      <c r="C179" s="482" t="s">
        <v>127</v>
      </c>
      <c r="D179" s="515">
        <f>L18</f>
        <v>95</v>
      </c>
      <c r="E179" s="515">
        <f>T171</f>
        <v>-95</v>
      </c>
      <c r="F179" s="515">
        <f>+D179+E179</f>
        <v>0</v>
      </c>
      <c r="G179" s="515"/>
      <c r="H179" s="515"/>
      <c r="I179" s="515"/>
      <c r="J179" s="515"/>
      <c r="K179" s="515"/>
      <c r="L179" s="515"/>
      <c r="M179" s="515"/>
      <c r="N179" s="515"/>
      <c r="O179" s="515"/>
      <c r="P179" s="515"/>
      <c r="Q179" s="515"/>
      <c r="R179" s="515"/>
      <c r="S179" s="515"/>
      <c r="T179" s="515">
        <f>10+5+12+12+14+24+207</f>
        <v>284</v>
      </c>
      <c r="U179" s="515"/>
      <c r="V179" s="515"/>
      <c r="W179" s="515"/>
      <c r="X179" s="515"/>
      <c r="Y179" s="515"/>
      <c r="Z179" s="515"/>
      <c r="AA179" s="515"/>
      <c r="AB179" s="515"/>
      <c r="AC179" s="515"/>
      <c r="AD179" s="515"/>
      <c r="AE179" s="515"/>
      <c r="AF179" s="515"/>
      <c r="AG179" s="515"/>
      <c r="AH179" s="471"/>
      <c r="AI179" s="471"/>
      <c r="AJ179" s="471"/>
      <c r="AK179" s="502"/>
      <c r="AL179" s="543"/>
      <c r="AM179" s="543"/>
      <c r="AO179" s="543"/>
      <c r="AP179" s="543"/>
      <c r="AQ179" s="543"/>
      <c r="AR179" s="543"/>
      <c r="AS179" s="543"/>
      <c r="AT179" s="543"/>
      <c r="AU179" s="543"/>
      <c r="AV179" s="543"/>
      <c r="AW179" s="543"/>
      <c r="AX179" s="543"/>
      <c r="AY179" s="543"/>
      <c r="AZ179" s="543"/>
      <c r="BA179" s="543"/>
      <c r="BB179" s="543"/>
      <c r="BC179" s="543"/>
      <c r="BD179" s="543"/>
      <c r="BE179" s="543"/>
      <c r="BF179" s="471"/>
      <c r="BG179" s="471"/>
      <c r="BH179" s="471"/>
      <c r="BI179" s="471"/>
      <c r="BJ179" s="471"/>
      <c r="BK179" s="471"/>
      <c r="BL179" s="471"/>
      <c r="BM179" s="471"/>
      <c r="BN179" s="471"/>
      <c r="BO179" s="482"/>
      <c r="BP179" s="482"/>
      <c r="BQ179" s="482"/>
      <c r="BR179" s="482"/>
      <c r="BS179" s="482"/>
      <c r="BT179" s="482"/>
      <c r="BU179" s="482"/>
      <c r="BV179" s="482"/>
      <c r="BW179" s="482"/>
      <c r="BX179" s="482"/>
      <c r="BY179" s="482"/>
      <c r="BZ179" s="482"/>
      <c r="CA179" s="482"/>
      <c r="CB179" s="468"/>
      <c r="CC179" s="491"/>
    </row>
    <row r="180" spans="1:92">
      <c r="A180" s="463"/>
      <c r="B180" s="463"/>
      <c r="C180" s="525">
        <f>+C171-C172</f>
        <v>-75</v>
      </c>
      <c r="D180" s="515"/>
      <c r="E180" s="515"/>
      <c r="F180" s="515"/>
      <c r="G180" s="515"/>
      <c r="H180" s="515"/>
      <c r="I180" s="515"/>
      <c r="J180" s="515"/>
      <c r="K180" s="515"/>
      <c r="L180" s="515"/>
      <c r="M180" s="515"/>
      <c r="N180" s="515"/>
      <c r="O180" s="515"/>
      <c r="P180" s="515"/>
      <c r="Q180" s="515"/>
      <c r="R180" s="515"/>
      <c r="S180" s="515"/>
      <c r="T180" s="515">
        <f>10+5+12+12+14+24+173</f>
        <v>250</v>
      </c>
      <c r="U180" s="515"/>
      <c r="V180" s="515"/>
      <c r="W180" s="515"/>
      <c r="X180" s="515"/>
      <c r="Y180" s="515"/>
      <c r="Z180" s="515"/>
      <c r="AA180" s="515"/>
      <c r="AB180" s="515"/>
      <c r="AC180" s="515"/>
      <c r="AD180" s="515"/>
      <c r="AE180" s="515"/>
      <c r="AF180" s="515"/>
      <c r="AG180" s="515"/>
      <c r="AH180" s="471"/>
      <c r="AI180" s="471"/>
      <c r="AJ180" s="471"/>
      <c r="AK180" s="502"/>
      <c r="AL180" s="543"/>
      <c r="AM180" s="543"/>
      <c r="AO180" s="543"/>
      <c r="AP180" s="543"/>
      <c r="AQ180" s="543"/>
      <c r="AR180" s="543"/>
      <c r="AS180" s="543"/>
      <c r="AT180" s="543"/>
      <c r="AU180" s="543"/>
      <c r="AV180" s="543"/>
      <c r="AW180" s="543"/>
      <c r="AX180" s="543"/>
      <c r="AY180" s="543"/>
      <c r="AZ180" s="543"/>
      <c r="BA180" s="543"/>
      <c r="BB180" s="543"/>
      <c r="BC180" s="543"/>
      <c r="BD180" s="543"/>
      <c r="BE180" s="543"/>
      <c r="BF180" s="471"/>
      <c r="BG180" s="471"/>
      <c r="BH180" s="471"/>
      <c r="BI180" s="471"/>
      <c r="BJ180" s="471"/>
      <c r="BK180" s="471"/>
      <c r="BL180" s="471"/>
      <c r="BM180" s="471"/>
      <c r="BN180" s="471"/>
      <c r="BO180" s="482"/>
      <c r="BP180" s="482"/>
      <c r="BQ180" s="482"/>
      <c r="BR180" s="482"/>
      <c r="BS180" s="482"/>
      <c r="BT180" s="482"/>
      <c r="BU180" s="482"/>
      <c r="BV180" s="482"/>
      <c r="BW180" s="482"/>
      <c r="BX180" s="482"/>
      <c r="BY180" s="482"/>
      <c r="BZ180" s="482"/>
      <c r="CA180" s="482"/>
      <c r="CB180" s="468"/>
      <c r="CC180" s="491"/>
    </row>
    <row r="181" spans="1:92">
      <c r="A181" s="463"/>
      <c r="B181" s="463"/>
      <c r="C181" s="515"/>
      <c r="D181" s="515"/>
      <c r="E181" s="515"/>
      <c r="F181" s="515"/>
      <c r="G181" s="515"/>
      <c r="H181" s="515"/>
      <c r="I181" s="515"/>
      <c r="J181" s="515"/>
      <c r="K181" s="515"/>
      <c r="L181" s="515"/>
      <c r="M181" s="515"/>
      <c r="N181" s="515"/>
      <c r="O181" s="515"/>
      <c r="P181" s="515"/>
      <c r="Q181" s="515"/>
      <c r="R181" s="515"/>
      <c r="S181" s="515"/>
      <c r="T181" s="515">
        <f>12+14+12+5+10+195+28</f>
        <v>276</v>
      </c>
      <c r="U181" s="515"/>
      <c r="V181" s="515"/>
      <c r="W181" s="515"/>
      <c r="X181" s="515"/>
      <c r="Y181" s="515"/>
      <c r="Z181" s="515"/>
      <c r="AA181" s="515"/>
      <c r="AB181" s="515"/>
      <c r="AC181" s="515"/>
      <c r="AD181" s="515"/>
      <c r="AE181" s="515"/>
      <c r="AF181" s="515"/>
      <c r="AG181" s="515"/>
      <c r="AH181" s="471"/>
      <c r="AI181" s="471"/>
      <c r="AJ181" s="471"/>
      <c r="AK181" s="502"/>
      <c r="AL181" s="543"/>
      <c r="AM181" s="543"/>
      <c r="AO181" s="543"/>
      <c r="AP181" s="543"/>
      <c r="AQ181" s="543"/>
      <c r="AR181" s="543"/>
      <c r="AS181" s="543"/>
      <c r="AT181" s="543"/>
      <c r="AU181" s="543"/>
      <c r="AV181" s="543"/>
      <c r="AW181" s="543"/>
      <c r="AX181" s="543"/>
      <c r="AY181" s="543"/>
      <c r="AZ181" s="543"/>
      <c r="BA181" s="543"/>
      <c r="BB181" s="543"/>
      <c r="BC181" s="543"/>
      <c r="BD181" s="543"/>
      <c r="BE181" s="543"/>
      <c r="BF181" s="471"/>
      <c r="BG181" s="471"/>
      <c r="BH181" s="471"/>
      <c r="BI181" s="471"/>
      <c r="BJ181" s="471"/>
      <c r="BK181" s="471"/>
      <c r="BL181" s="471"/>
      <c r="BM181" s="471"/>
      <c r="BN181" s="471"/>
      <c r="BO181" s="482"/>
      <c r="BP181" s="482"/>
      <c r="BQ181" s="482"/>
      <c r="BR181" s="482"/>
      <c r="BS181" s="482"/>
      <c r="BT181" s="482"/>
      <c r="BU181" s="482"/>
      <c r="BV181" s="482"/>
      <c r="BW181" s="482"/>
      <c r="BX181" s="482"/>
      <c r="BY181" s="482"/>
      <c r="BZ181" s="482"/>
      <c r="CA181" s="482"/>
      <c r="CB181" s="468"/>
      <c r="CC181" s="491"/>
    </row>
    <row r="182" spans="1:92">
      <c r="A182" s="463"/>
      <c r="B182" s="463"/>
      <c r="C182" s="515"/>
      <c r="D182" s="515"/>
      <c r="E182" s="515"/>
      <c r="F182" s="515"/>
      <c r="G182" s="515"/>
      <c r="H182" s="515"/>
      <c r="I182" s="515"/>
      <c r="J182" s="515"/>
      <c r="K182" s="515"/>
      <c r="L182" s="515"/>
      <c r="M182" s="515"/>
      <c r="N182" s="515"/>
      <c r="O182" s="515"/>
      <c r="P182" s="515"/>
      <c r="Q182" s="515"/>
      <c r="R182" s="515"/>
      <c r="S182" s="515"/>
      <c r="T182" s="515"/>
      <c r="U182" s="515"/>
      <c r="V182" s="515"/>
      <c r="W182" s="515"/>
      <c r="X182" s="515"/>
      <c r="Y182" s="515"/>
      <c r="Z182" s="515"/>
      <c r="AA182" s="515"/>
      <c r="AB182" s="515"/>
      <c r="AC182" s="515"/>
      <c r="AD182" s="515"/>
      <c r="AE182" s="515"/>
      <c r="AF182" s="515"/>
      <c r="AG182" s="515"/>
      <c r="AH182" s="471"/>
      <c r="AI182" s="471"/>
      <c r="AJ182" s="471"/>
      <c r="AK182" s="502"/>
      <c r="AL182" s="543"/>
      <c r="AM182" s="543"/>
      <c r="AO182" s="543"/>
      <c r="AP182" s="543"/>
      <c r="AQ182" s="543"/>
      <c r="AR182" s="543"/>
      <c r="AS182" s="543"/>
      <c r="AT182" s="543"/>
      <c r="AU182" s="543"/>
      <c r="AV182" s="543"/>
      <c r="AW182" s="543"/>
      <c r="AX182" s="543"/>
      <c r="AY182" s="543"/>
      <c r="AZ182" s="543"/>
      <c r="BA182" s="543"/>
      <c r="BB182" s="543"/>
      <c r="BC182" s="543"/>
      <c r="BD182" s="543"/>
      <c r="BE182" s="543"/>
      <c r="BF182" s="471"/>
      <c r="BG182" s="471"/>
      <c r="BH182" s="471"/>
      <c r="BI182" s="471"/>
      <c r="BJ182" s="471"/>
      <c r="BK182" s="471"/>
      <c r="BL182" s="471"/>
      <c r="BM182" s="471"/>
      <c r="BN182" s="471"/>
      <c r="BO182" s="482"/>
      <c r="BP182" s="482"/>
      <c r="BQ182" s="482"/>
      <c r="BR182" s="482"/>
      <c r="BS182" s="482"/>
      <c r="BT182" s="482"/>
      <c r="BU182" s="482"/>
      <c r="BV182" s="482"/>
      <c r="BW182" s="482"/>
      <c r="BX182" s="482"/>
      <c r="BY182" s="482"/>
      <c r="BZ182" s="482"/>
      <c r="CA182" s="482"/>
      <c r="CB182" s="468"/>
      <c r="CC182" s="491"/>
    </row>
    <row r="183" spans="1:92" ht="15" thickBot="1">
      <c r="A183" s="463"/>
      <c r="B183" s="463"/>
      <c r="C183" s="515"/>
      <c r="D183" s="515"/>
      <c r="E183" s="515"/>
      <c r="F183" s="515"/>
      <c r="G183" s="515"/>
      <c r="H183" s="515"/>
      <c r="I183" s="515"/>
      <c r="J183" s="515"/>
      <c r="K183" s="515"/>
      <c r="L183" s="515"/>
      <c r="M183" s="515"/>
      <c r="N183" s="515"/>
      <c r="O183" s="515"/>
      <c r="P183" s="515"/>
      <c r="Q183" s="515"/>
      <c r="R183" s="515"/>
      <c r="S183" s="515"/>
      <c r="T183" s="515"/>
      <c r="U183" s="515"/>
      <c r="V183" s="515"/>
      <c r="W183" s="515"/>
      <c r="X183" s="515"/>
      <c r="Y183" s="515"/>
      <c r="Z183" s="515"/>
      <c r="AA183" s="515"/>
      <c r="AB183" s="515"/>
      <c r="AC183" s="515"/>
      <c r="AD183" s="515"/>
      <c r="AE183" s="515"/>
      <c r="AF183" s="515"/>
      <c r="AG183" s="515"/>
      <c r="AH183" s="471"/>
      <c r="AI183" s="471"/>
      <c r="AJ183" s="471"/>
      <c r="AK183" s="502"/>
      <c r="AL183" s="543"/>
      <c r="AM183" s="543"/>
      <c r="AO183" s="543"/>
      <c r="AP183" s="543"/>
      <c r="AQ183" s="543"/>
      <c r="AR183" s="543"/>
      <c r="AS183" s="543"/>
      <c r="AT183" s="543"/>
      <c r="AU183" s="543"/>
      <c r="AV183" s="543"/>
      <c r="AW183" s="543"/>
      <c r="AX183" s="543"/>
      <c r="AY183" s="543"/>
      <c r="AZ183" s="543"/>
      <c r="BA183" s="543"/>
      <c r="BB183" s="543"/>
      <c r="BC183" s="543"/>
      <c r="BD183" s="543"/>
      <c r="BE183" s="543"/>
      <c r="BF183" s="471"/>
      <c r="BG183" s="471"/>
      <c r="BH183" s="471"/>
      <c r="BI183" s="471"/>
      <c r="BJ183" s="471"/>
      <c r="BK183" s="471"/>
      <c r="BL183" s="471"/>
      <c r="BM183" s="471"/>
      <c r="BN183" s="471"/>
      <c r="BO183" s="482"/>
      <c r="BP183" s="482"/>
      <c r="BQ183" s="482"/>
      <c r="BR183" s="482"/>
      <c r="BS183" s="482"/>
      <c r="BT183" s="482"/>
      <c r="BU183" s="482"/>
      <c r="BV183" s="482"/>
      <c r="BW183" s="482"/>
      <c r="BX183" s="482"/>
      <c r="BY183" s="482"/>
      <c r="BZ183" s="482"/>
      <c r="CA183" s="482"/>
      <c r="CB183" s="468"/>
      <c r="CC183" s="491"/>
    </row>
    <row r="184" spans="1:92" ht="14.25" customHeight="1" thickBot="1">
      <c r="A184" s="463" t="s">
        <v>86</v>
      </c>
      <c r="B184" s="487" t="s">
        <v>115</v>
      </c>
      <c r="C184" s="2131" t="s">
        <v>219</v>
      </c>
      <c r="D184" s="2132"/>
      <c r="E184" s="2132"/>
      <c r="F184" s="2132"/>
      <c r="G184" s="2132"/>
      <c r="H184" s="2132"/>
      <c r="I184" s="2132"/>
      <c r="J184" s="2132"/>
      <c r="K184" s="2132"/>
      <c r="L184" s="2137"/>
      <c r="M184" s="463"/>
      <c r="N184" s="2133" t="s">
        <v>220</v>
      </c>
      <c r="O184" s="2134"/>
      <c r="P184" s="2134"/>
      <c r="Q184" s="2134"/>
      <c r="R184" s="2134"/>
      <c r="S184" s="2134"/>
      <c r="T184" s="2134"/>
      <c r="U184" s="2134"/>
      <c r="V184" s="2134"/>
      <c r="W184" s="2134"/>
      <c r="X184" s="2134"/>
      <c r="Y184" s="2134"/>
      <c r="Z184" s="2134"/>
      <c r="AA184" s="2134"/>
      <c r="AB184" s="2134"/>
      <c r="AC184" s="2135"/>
      <c r="AD184" s="488"/>
      <c r="AE184" s="488"/>
      <c r="AF184" s="464"/>
      <c r="AG184" s="564"/>
      <c r="AH184" s="471"/>
      <c r="AI184" s="471"/>
      <c r="AJ184" s="471"/>
      <c r="AK184" s="502"/>
      <c r="AL184" s="543"/>
      <c r="AM184" s="543"/>
      <c r="AO184" s="543"/>
      <c r="AP184" s="543"/>
      <c r="AQ184" s="543"/>
      <c r="AR184" s="543"/>
      <c r="AS184" s="543"/>
      <c r="AT184" s="543"/>
      <c r="AU184" s="543"/>
      <c r="AV184" s="543"/>
      <c r="AW184" s="543"/>
      <c r="AX184" s="543"/>
      <c r="AY184" s="543"/>
      <c r="AZ184" s="543"/>
      <c r="BA184" s="543"/>
      <c r="BB184" s="543"/>
      <c r="BC184" s="543"/>
      <c r="BD184" s="543"/>
      <c r="BE184" s="543"/>
      <c r="BF184" s="471"/>
      <c r="BG184" s="471"/>
      <c r="BH184" s="471"/>
      <c r="BI184" s="471"/>
      <c r="BJ184" s="471"/>
      <c r="BK184" s="471"/>
      <c r="BL184" s="471"/>
      <c r="BM184" s="471"/>
      <c r="BN184" s="471"/>
      <c r="BO184" s="482"/>
      <c r="BP184" s="482"/>
      <c r="BQ184" s="482"/>
      <c r="BR184" s="482"/>
      <c r="BS184" s="482"/>
      <c r="BT184" s="482"/>
      <c r="BU184" s="482"/>
      <c r="BV184" s="482"/>
      <c r="BW184" s="482"/>
      <c r="BX184" s="482"/>
      <c r="BY184" s="482"/>
      <c r="BZ184" s="482"/>
      <c r="CA184" s="482"/>
    </row>
    <row r="185" spans="1:92" s="463" customFormat="1" ht="29.45" thickBot="1">
      <c r="A185" s="563" t="s">
        <v>87</v>
      </c>
      <c r="B185" s="496" t="s">
        <v>88</v>
      </c>
      <c r="C185" s="565" t="s">
        <v>221</v>
      </c>
      <c r="D185" s="499" t="s">
        <v>212</v>
      </c>
      <c r="E185" s="492" t="s">
        <v>213</v>
      </c>
      <c r="F185" s="493" t="s">
        <v>188</v>
      </c>
      <c r="G185" s="493" t="s">
        <v>189</v>
      </c>
      <c r="H185" s="566" t="s">
        <v>190</v>
      </c>
      <c r="I185" s="494" t="s">
        <v>214</v>
      </c>
      <c r="J185" s="495" t="s">
        <v>265</v>
      </c>
      <c r="K185" s="1268" t="s">
        <v>223</v>
      </c>
      <c r="L185" s="1262" t="s">
        <v>225</v>
      </c>
      <c r="M185" s="496" t="s">
        <v>71</v>
      </c>
      <c r="N185" s="497" t="s">
        <v>216</v>
      </c>
      <c r="O185" s="493" t="s">
        <v>224</v>
      </c>
      <c r="P185" s="493" t="s">
        <v>188</v>
      </c>
      <c r="Q185" s="493" t="s">
        <v>189</v>
      </c>
      <c r="R185" s="560" t="s">
        <v>190</v>
      </c>
      <c r="S185" s="493" t="s">
        <v>214</v>
      </c>
      <c r="T185" s="1263" t="s">
        <v>223</v>
      </c>
      <c r="U185" s="1519" t="s">
        <v>225</v>
      </c>
      <c r="V185" s="1519"/>
      <c r="W185" s="493" t="s">
        <v>226</v>
      </c>
      <c r="X185" s="498" t="s">
        <v>227</v>
      </c>
      <c r="Y185" s="529" t="s">
        <v>228</v>
      </c>
      <c r="Z185" s="566" t="s">
        <v>229</v>
      </c>
      <c r="AA185" s="1165" t="s">
        <v>230</v>
      </c>
      <c r="AB185" s="497" t="s">
        <v>231</v>
      </c>
      <c r="AC185" s="1453" t="s">
        <v>232</v>
      </c>
      <c r="AD185" s="553" t="s">
        <v>71</v>
      </c>
      <c r="AE185" s="529" t="s">
        <v>233</v>
      </c>
      <c r="AF185" s="555" t="s">
        <v>234</v>
      </c>
      <c r="AG185" s="556" t="s">
        <v>185</v>
      </c>
      <c r="AH185" s="470"/>
      <c r="AI185" s="466"/>
      <c r="AJ185" s="466"/>
      <c r="AK185" s="466"/>
      <c r="AL185" s="501"/>
      <c r="AM185" s="501"/>
      <c r="AN185" s="501"/>
      <c r="AO185" s="503"/>
      <c r="AP185" s="465"/>
      <c r="AQ185" s="465"/>
      <c r="AR185" s="465"/>
      <c r="AS185" s="465"/>
      <c r="AT185" s="465"/>
      <c r="AU185" s="465"/>
      <c r="AV185" s="465"/>
      <c r="AW185" s="465"/>
      <c r="AX185" s="465"/>
      <c r="AY185" s="465"/>
      <c r="AZ185" s="465"/>
      <c r="BA185" s="465"/>
      <c r="BB185" s="465"/>
      <c r="BC185" s="465"/>
      <c r="BD185" s="466"/>
      <c r="BE185" s="467"/>
      <c r="BF185" s="471"/>
      <c r="BG185" s="467"/>
      <c r="BH185" s="469"/>
      <c r="BI185" s="469"/>
      <c r="BJ185" s="469"/>
      <c r="BU185" s="504"/>
      <c r="BV185" s="490"/>
      <c r="BW185" s="490"/>
      <c r="BX185" s="490"/>
      <c r="BY185" s="490"/>
      <c r="BZ185" s="482"/>
      <c r="CA185" s="490"/>
      <c r="CB185" s="468"/>
      <c r="CC185" s="491"/>
      <c r="CD185" s="490"/>
      <c r="CE185" s="491"/>
      <c r="CF185" s="469"/>
      <c r="CG185" s="469"/>
      <c r="CH185" s="469"/>
      <c r="CI185" s="469"/>
      <c r="CJ185" s="469"/>
      <c r="CK185" s="469"/>
      <c r="CL185" s="469"/>
      <c r="CM185" s="469"/>
      <c r="CN185" s="469"/>
    </row>
    <row r="186" spans="1:92">
      <c r="A186" s="546" t="s">
        <v>105</v>
      </c>
      <c r="B186" s="539" t="s">
        <v>82</v>
      </c>
      <c r="C186" s="547">
        <f>+C127+C108+C89+C50+C12+C69+C31+C146+C165</f>
        <v>14720</v>
      </c>
      <c r="D186" s="547">
        <f t="shared" ref="D186:L186" si="78">+D127+D108+D89+D50+D12+D69+D31+D146+D165</f>
        <v>0</v>
      </c>
      <c r="E186" s="547">
        <f t="shared" si="78"/>
        <v>0</v>
      </c>
      <c r="F186" s="547">
        <f t="shared" si="78"/>
        <v>0</v>
      </c>
      <c r="G186" s="547">
        <f t="shared" si="78"/>
        <v>0</v>
      </c>
      <c r="H186" s="547">
        <f t="shared" si="78"/>
        <v>0</v>
      </c>
      <c r="I186" s="547">
        <f t="shared" si="78"/>
        <v>0</v>
      </c>
      <c r="J186" s="547">
        <f>+J127+J108+J89+J50+J12+J69+J31+J146+J165</f>
        <v>17091</v>
      </c>
      <c r="K186" s="547">
        <f t="shared" si="78"/>
        <v>0</v>
      </c>
      <c r="L186" s="547">
        <f t="shared" si="78"/>
        <v>0</v>
      </c>
      <c r="M186" s="1544">
        <f>SUM(C186:L186)</f>
        <v>31811</v>
      </c>
      <c r="N186" s="507">
        <f t="shared" ref="N186:AC186" si="79">+N12+N50+N69+N89+N108+N127+N31+N146+N165</f>
        <v>-13654</v>
      </c>
      <c r="O186" s="507">
        <f t="shared" si="79"/>
        <v>-45</v>
      </c>
      <c r="P186" s="507">
        <f t="shared" si="79"/>
        <v>-127</v>
      </c>
      <c r="Q186" s="507">
        <f t="shared" si="79"/>
        <v>-390</v>
      </c>
      <c r="R186" s="507">
        <f t="shared" si="79"/>
        <v>-1501</v>
      </c>
      <c r="S186" s="507">
        <f t="shared" si="79"/>
        <v>-17</v>
      </c>
      <c r="T186" s="507">
        <f t="shared" si="79"/>
        <v>-95</v>
      </c>
      <c r="U186" s="507">
        <f t="shared" si="79"/>
        <v>-47</v>
      </c>
      <c r="V186" s="507">
        <f t="shared" ref="V186" si="80">+V12+V50+V69+V89+V108+V127+V31+V146+V165</f>
        <v>0</v>
      </c>
      <c r="W186" s="507">
        <f>+W12+W50+W69+W89+W108+W127+W31+W146+W165</f>
        <v>-1468</v>
      </c>
      <c r="X186" s="507">
        <f t="shared" si="79"/>
        <v>0</v>
      </c>
      <c r="Y186" s="507">
        <f t="shared" si="79"/>
        <v>0</v>
      </c>
      <c r="Z186" s="507">
        <f t="shared" si="79"/>
        <v>0</v>
      </c>
      <c r="AA186" s="507">
        <f t="shared" si="79"/>
        <v>0</v>
      </c>
      <c r="AB186" s="507">
        <f t="shared" si="79"/>
        <v>0</v>
      </c>
      <c r="AC186" s="507">
        <f t="shared" si="79"/>
        <v>0</v>
      </c>
      <c r="AD186" s="506">
        <f>SUM(N186:AC186)</f>
        <v>-17344</v>
      </c>
      <c r="AE186" s="508">
        <f>+M186+AD186</f>
        <v>14467</v>
      </c>
      <c r="AF186" s="506">
        <f>+AF12+AF31+AF50+AF69+AF89+AF108+AF127+AF146+AF165</f>
        <v>14467</v>
      </c>
      <c r="AG186" s="1137">
        <f>+AF186-AE186</f>
        <v>0</v>
      </c>
      <c r="AH186" s="482"/>
      <c r="AI186" s="482"/>
      <c r="AJ186" s="482">
        <f>AF186-C186</f>
        <v>-253</v>
      </c>
      <c r="AK186" s="567"/>
      <c r="AL186" s="482"/>
      <c r="AM186" s="482"/>
      <c r="AN186" s="540"/>
      <c r="AO186" s="482"/>
      <c r="AP186" s="482"/>
      <c r="AQ186" s="482"/>
      <c r="AR186" s="482"/>
      <c r="AS186" s="482"/>
      <c r="AT186" s="482"/>
      <c r="AU186" s="482"/>
      <c r="AV186" s="482"/>
      <c r="AW186" s="482"/>
      <c r="AX186" s="482"/>
      <c r="AY186" s="482"/>
      <c r="AZ186" s="482"/>
      <c r="BA186" s="482"/>
      <c r="BB186" s="482"/>
      <c r="BC186" s="482"/>
      <c r="BD186" s="482"/>
      <c r="BE186" s="482"/>
      <c r="BF186" s="482"/>
      <c r="BG186" s="482"/>
      <c r="BH186" s="482"/>
      <c r="BI186" s="482"/>
      <c r="BJ186" s="482"/>
      <c r="BK186" s="482"/>
      <c r="BL186" s="482"/>
      <c r="BM186" s="482"/>
      <c r="BN186" s="482"/>
      <c r="BO186" s="482"/>
      <c r="BP186" s="482"/>
      <c r="BQ186" s="482"/>
      <c r="BR186" s="482"/>
      <c r="BS186" s="482"/>
      <c r="BT186" s="482"/>
      <c r="BU186" s="482"/>
      <c r="BV186" s="482"/>
      <c r="BW186" s="482"/>
      <c r="BX186" s="482"/>
      <c r="BY186" s="482"/>
      <c r="BZ186" s="482"/>
      <c r="CA186" s="482"/>
      <c r="CB186" s="482"/>
      <c r="CC186" s="482"/>
      <c r="CD186" s="482"/>
      <c r="CE186" s="482"/>
    </row>
    <row r="187" spans="1:92">
      <c r="A187" s="538" t="s">
        <v>107</v>
      </c>
      <c r="B187" s="539" t="s">
        <v>82</v>
      </c>
      <c r="C187" s="547">
        <f t="shared" ref="C187:L191" si="81">+C128+C109+C90+C51+C13+C70+C32+C147+C166</f>
        <v>23276</v>
      </c>
      <c r="D187" s="547">
        <f>+D128+D109+D90+D51+D13+D70+D32+D147+D166</f>
        <v>13614</v>
      </c>
      <c r="E187" s="547">
        <f t="shared" si="81"/>
        <v>0</v>
      </c>
      <c r="F187" s="547">
        <f t="shared" si="81"/>
        <v>119</v>
      </c>
      <c r="G187" s="547">
        <f t="shared" si="81"/>
        <v>380</v>
      </c>
      <c r="H187" s="547">
        <f t="shared" si="81"/>
        <v>1203</v>
      </c>
      <c r="I187" s="547">
        <f t="shared" si="81"/>
        <v>440</v>
      </c>
      <c r="J187" s="547">
        <f t="shared" si="81"/>
        <v>0</v>
      </c>
      <c r="K187" s="547">
        <f t="shared" si="81"/>
        <v>248</v>
      </c>
      <c r="L187" s="547">
        <f t="shared" si="81"/>
        <v>45</v>
      </c>
      <c r="M187" s="1544">
        <f t="shared" ref="M187:M190" si="82">SUM(C187:L187)</f>
        <v>39325</v>
      </c>
      <c r="N187" s="507">
        <f t="shared" ref="N187:AC191" si="83">+N13+N51+N70+N90+N109+N128+N32+N147+N166</f>
        <v>-15420</v>
      </c>
      <c r="O187" s="507">
        <f t="shared" si="83"/>
        <v>0</v>
      </c>
      <c r="P187" s="507">
        <f t="shared" si="83"/>
        <v>-36</v>
      </c>
      <c r="Q187" s="507">
        <f t="shared" si="83"/>
        <v>-380</v>
      </c>
      <c r="R187" s="507">
        <f t="shared" si="83"/>
        <v>0</v>
      </c>
      <c r="S187" s="507">
        <f t="shared" si="83"/>
        <v>0</v>
      </c>
      <c r="T187" s="507">
        <f t="shared" si="83"/>
        <v>0</v>
      </c>
      <c r="U187" s="507">
        <f t="shared" si="83"/>
        <v>0</v>
      </c>
      <c r="V187" s="507">
        <f t="shared" ref="V187" si="84">+V13+V51+V70+V90+V109+V128+V32+V147+V166</f>
        <v>-4</v>
      </c>
      <c r="W187" s="507">
        <f t="shared" si="83"/>
        <v>-159</v>
      </c>
      <c r="X187" s="507">
        <f t="shared" si="83"/>
        <v>0</v>
      </c>
      <c r="Y187" s="507">
        <f t="shared" si="83"/>
        <v>0</v>
      </c>
      <c r="Z187" s="507">
        <f t="shared" si="83"/>
        <v>0</v>
      </c>
      <c r="AA187" s="507">
        <f t="shared" si="83"/>
        <v>0</v>
      </c>
      <c r="AB187" s="507">
        <f t="shared" si="83"/>
        <v>0</v>
      </c>
      <c r="AC187" s="507">
        <f t="shared" si="83"/>
        <v>0</v>
      </c>
      <c r="AD187" s="506">
        <f t="shared" ref="AD187:AD191" si="85">SUM(N187:AC187)</f>
        <v>-15999</v>
      </c>
      <c r="AE187" s="511">
        <f t="shared" ref="AE187:AE190" si="86">+M187+AD187</f>
        <v>23326</v>
      </c>
      <c r="AF187" s="506">
        <f>+AF13+AF32+AF51+AF70+AF90+AF109+AF128+AF147+AF166</f>
        <v>23326</v>
      </c>
      <c r="AG187" s="1137">
        <f t="shared" ref="AG187:AG191" si="87">+AF187-AE187</f>
        <v>0</v>
      </c>
      <c r="AH187" s="482"/>
      <c r="AI187" s="482"/>
      <c r="AJ187" s="482">
        <f t="shared" ref="AJ187:AJ191" si="88">AF187-C187</f>
        <v>50</v>
      </c>
      <c r="AK187" s="567"/>
      <c r="AL187" s="482"/>
      <c r="AM187" s="482"/>
      <c r="AN187" s="540"/>
      <c r="AO187" s="482"/>
      <c r="AP187" s="482"/>
      <c r="AQ187" s="482"/>
      <c r="AR187" s="482"/>
      <c r="AS187" s="482"/>
      <c r="AT187" s="482"/>
      <c r="AU187" s="482"/>
      <c r="AV187" s="482"/>
      <c r="AW187" s="482"/>
      <c r="AX187" s="482"/>
      <c r="AY187" s="482"/>
      <c r="AZ187" s="482"/>
      <c r="BA187" s="482"/>
      <c r="BB187" s="482"/>
      <c r="BC187" s="482"/>
      <c r="BD187" s="482"/>
      <c r="BE187" s="482"/>
      <c r="BF187" s="482"/>
      <c r="BG187" s="482"/>
      <c r="BH187" s="482"/>
      <c r="BI187" s="482"/>
      <c r="BJ187" s="482"/>
      <c r="BK187" s="482"/>
      <c r="BL187" s="482"/>
      <c r="BM187" s="482"/>
      <c r="BN187" s="482"/>
      <c r="BO187" s="482"/>
      <c r="BP187" s="482"/>
      <c r="BQ187" s="482"/>
      <c r="BR187" s="482"/>
      <c r="BS187" s="482"/>
      <c r="BT187" s="482"/>
      <c r="BU187" s="482"/>
      <c r="BV187" s="482"/>
      <c r="BW187" s="482"/>
      <c r="BX187" s="482"/>
      <c r="BY187" s="482"/>
      <c r="BZ187" s="482"/>
      <c r="CA187" s="482"/>
      <c r="CB187" s="482"/>
      <c r="CC187" s="482"/>
      <c r="CD187" s="482"/>
      <c r="CE187" s="482"/>
    </row>
    <row r="188" spans="1:92">
      <c r="A188" s="538" t="s">
        <v>109</v>
      </c>
      <c r="B188" s="539" t="s">
        <v>82</v>
      </c>
      <c r="C188" s="547">
        <f t="shared" si="81"/>
        <v>47245</v>
      </c>
      <c r="D188" s="547">
        <f>+D129+D110+D91+D52+D14+D71+D33+D148+D167</f>
        <v>15399</v>
      </c>
      <c r="E188" s="547">
        <f t="shared" si="81"/>
        <v>0</v>
      </c>
      <c r="F188" s="547">
        <f t="shared" si="81"/>
        <v>0</v>
      </c>
      <c r="G188" s="547">
        <f t="shared" si="81"/>
        <v>0</v>
      </c>
      <c r="H188" s="547">
        <f t="shared" si="81"/>
        <v>0</v>
      </c>
      <c r="I188" s="547">
        <f t="shared" si="81"/>
        <v>0</v>
      </c>
      <c r="J188" s="547">
        <f t="shared" si="81"/>
        <v>0</v>
      </c>
      <c r="K188" s="547">
        <f t="shared" si="81"/>
        <v>0</v>
      </c>
      <c r="L188" s="547">
        <f t="shared" si="81"/>
        <v>0</v>
      </c>
      <c r="M188" s="1544">
        <f t="shared" si="82"/>
        <v>62644</v>
      </c>
      <c r="N188" s="507">
        <f t="shared" si="83"/>
        <v>-4</v>
      </c>
      <c r="O188" s="507">
        <f t="shared" si="83"/>
        <v>0</v>
      </c>
      <c r="P188" s="507">
        <f t="shared" si="83"/>
        <v>0</v>
      </c>
      <c r="Q188" s="507">
        <f t="shared" si="83"/>
        <v>0</v>
      </c>
      <c r="R188" s="507">
        <f t="shared" si="83"/>
        <v>0</v>
      </c>
      <c r="S188" s="507">
        <f t="shared" si="83"/>
        <v>0</v>
      </c>
      <c r="T188" s="507">
        <f>+T14+T52+T71+T91+T110+T129+T33+T148+T167</f>
        <v>0</v>
      </c>
      <c r="U188" s="507">
        <f t="shared" si="83"/>
        <v>0</v>
      </c>
      <c r="V188" s="507">
        <f t="shared" ref="V188" si="89">+V14+V52+V71+V91+V110+V129+V33+V148+V167</f>
        <v>-7</v>
      </c>
      <c r="W188" s="507">
        <f>+W14+W52+W71+W91+W110+W129+W33+W148+W167</f>
        <v>-316</v>
      </c>
      <c r="X188" s="507">
        <f>+X14+X52+X71+X91+X110+X129+X33+X148+X167</f>
        <v>-15728</v>
      </c>
      <c r="Y188" s="507">
        <f t="shared" si="83"/>
        <v>-25</v>
      </c>
      <c r="Z188" s="507">
        <f t="shared" si="83"/>
        <v>-51</v>
      </c>
      <c r="AA188" s="507">
        <f t="shared" si="83"/>
        <v>0</v>
      </c>
      <c r="AB188" s="507">
        <f t="shared" si="83"/>
        <v>0</v>
      </c>
      <c r="AC188" s="507">
        <f>+AC14+AC52+AC71+AC91+AC110+AC129+AC33+AC148+AC167</f>
        <v>-18</v>
      </c>
      <c r="AD188" s="506">
        <f>SUM(N188:AC188)</f>
        <v>-16149</v>
      </c>
      <c r="AE188" s="511">
        <f t="shared" si="86"/>
        <v>46495</v>
      </c>
      <c r="AF188" s="506">
        <f t="shared" ref="AF188:AF191" si="90">+AF14+AF33+AF52+AF71+AF91+AF110+AF129+AF148+AF167</f>
        <v>46495</v>
      </c>
      <c r="AG188" s="1137">
        <f t="shared" si="87"/>
        <v>0</v>
      </c>
      <c r="AH188" s="482"/>
      <c r="AI188" s="482"/>
      <c r="AJ188" s="482">
        <f t="shared" si="88"/>
        <v>-750</v>
      </c>
      <c r="AK188" s="567"/>
      <c r="AL188" s="482"/>
      <c r="AM188" s="482"/>
      <c r="AN188" s="540"/>
      <c r="AO188" s="482"/>
      <c r="AP188" s="482"/>
      <c r="AQ188" s="482"/>
      <c r="AR188" s="482"/>
      <c r="AS188" s="482"/>
      <c r="AT188" s="482"/>
      <c r="AU188" s="482"/>
      <c r="AV188" s="482"/>
      <c r="AW188" s="482"/>
      <c r="AX188" s="482"/>
      <c r="AY188" s="482"/>
      <c r="AZ188" s="482"/>
      <c r="BA188" s="482"/>
      <c r="BB188" s="482"/>
      <c r="BC188" s="482"/>
      <c r="BD188" s="482"/>
      <c r="BE188" s="482"/>
      <c r="BF188" s="482"/>
      <c r="BG188" s="482"/>
      <c r="BH188" s="482"/>
      <c r="BI188" s="482"/>
      <c r="BJ188" s="482"/>
      <c r="BK188" s="482"/>
      <c r="BL188" s="482"/>
      <c r="BM188" s="482"/>
      <c r="BN188" s="482"/>
      <c r="BO188" s="482"/>
      <c r="BP188" s="482"/>
      <c r="BQ188" s="482"/>
      <c r="BR188" s="482"/>
      <c r="BS188" s="482"/>
      <c r="BT188" s="482"/>
      <c r="BU188" s="482"/>
      <c r="BV188" s="482"/>
      <c r="BW188" s="482"/>
      <c r="BX188" s="482"/>
      <c r="BY188" s="482"/>
      <c r="BZ188" s="482"/>
      <c r="CA188" s="482"/>
      <c r="CB188" s="482"/>
      <c r="CC188" s="482"/>
      <c r="CD188" s="482"/>
      <c r="CE188" s="482"/>
    </row>
    <row r="189" spans="1:92">
      <c r="A189" s="538" t="s">
        <v>111</v>
      </c>
      <c r="B189" s="539" t="s">
        <v>82</v>
      </c>
      <c r="C189" s="547">
        <f t="shared" si="81"/>
        <v>1841</v>
      </c>
      <c r="D189" s="547">
        <f t="shared" si="81"/>
        <v>332</v>
      </c>
      <c r="E189" s="547">
        <f t="shared" si="81"/>
        <v>0</v>
      </c>
      <c r="F189" s="547">
        <f t="shared" si="81"/>
        <v>0</v>
      </c>
      <c r="G189" s="547">
        <f t="shared" si="81"/>
        <v>0</v>
      </c>
      <c r="H189" s="547">
        <f t="shared" si="81"/>
        <v>0</v>
      </c>
      <c r="I189" s="547">
        <f t="shared" si="81"/>
        <v>0</v>
      </c>
      <c r="J189" s="547">
        <f t="shared" si="81"/>
        <v>84</v>
      </c>
      <c r="K189" s="547">
        <f t="shared" si="81"/>
        <v>47</v>
      </c>
      <c r="L189" s="547">
        <f t="shared" si="81"/>
        <v>166</v>
      </c>
      <c r="M189" s="1544">
        <f t="shared" si="82"/>
        <v>2470</v>
      </c>
      <c r="N189" s="507">
        <f>+N15+N53+N72+N92+N111+N130+N34+N149+N168</f>
        <v>-561</v>
      </c>
      <c r="O189" s="507">
        <f t="shared" si="83"/>
        <v>0</v>
      </c>
      <c r="P189" s="507">
        <f t="shared" si="83"/>
        <v>0</v>
      </c>
      <c r="Q189" s="507">
        <f t="shared" si="83"/>
        <v>0</v>
      </c>
      <c r="R189" s="507">
        <f t="shared" si="83"/>
        <v>0</v>
      </c>
      <c r="S189" s="507">
        <f t="shared" si="83"/>
        <v>0</v>
      </c>
      <c r="T189" s="507">
        <f t="shared" si="83"/>
        <v>0</v>
      </c>
      <c r="U189" s="507">
        <f t="shared" si="83"/>
        <v>0</v>
      </c>
      <c r="V189" s="507">
        <f t="shared" ref="V189" si="91">+V15+V53+V72+V92+V111+V130+V34+V149+V168</f>
        <v>0</v>
      </c>
      <c r="W189" s="507">
        <f>+W168+W149+W130+W111+W92+W72+W53+W34+W15</f>
        <v>-15</v>
      </c>
      <c r="X189" s="507">
        <f>+X15+X53+X72+X92+X111+X130+X34+X149+X168</f>
        <v>-1</v>
      </c>
      <c r="Y189" s="507">
        <f t="shared" si="83"/>
        <v>0</v>
      </c>
      <c r="Z189" s="507">
        <f t="shared" si="83"/>
        <v>-3</v>
      </c>
      <c r="AA189" s="507">
        <f t="shared" si="83"/>
        <v>0</v>
      </c>
      <c r="AB189" s="507">
        <f t="shared" si="83"/>
        <v>0</v>
      </c>
      <c r="AC189" s="507">
        <f t="shared" si="83"/>
        <v>0</v>
      </c>
      <c r="AD189" s="506">
        <f t="shared" si="85"/>
        <v>-580</v>
      </c>
      <c r="AE189" s="511">
        <f>+M189+AD189</f>
        <v>1890</v>
      </c>
      <c r="AF189" s="506">
        <f>+AF15+AF34+AF53+AF72+AF92+AF111+AF130+AF149+AF168</f>
        <v>1890</v>
      </c>
      <c r="AG189" s="1137">
        <f t="shared" si="87"/>
        <v>0</v>
      </c>
      <c r="AH189" s="482"/>
      <c r="AI189" s="482"/>
      <c r="AJ189" s="482">
        <f t="shared" si="88"/>
        <v>49</v>
      </c>
      <c r="AK189" s="567"/>
      <c r="AL189" s="482"/>
      <c r="AM189" s="482"/>
      <c r="AN189" s="540"/>
      <c r="AO189" s="482"/>
      <c r="AP189" s="482"/>
      <c r="AQ189" s="482"/>
      <c r="AR189" s="482"/>
      <c r="AS189" s="482"/>
      <c r="AT189" s="482"/>
      <c r="AU189" s="482"/>
      <c r="AV189" s="482"/>
      <c r="AW189" s="482"/>
      <c r="AX189" s="482"/>
      <c r="AY189" s="482"/>
      <c r="AZ189" s="482"/>
      <c r="BA189" s="482"/>
      <c r="BB189" s="482"/>
      <c r="BC189" s="482"/>
      <c r="BD189" s="482"/>
      <c r="BE189" s="482"/>
      <c r="BF189" s="482"/>
      <c r="BG189" s="482"/>
      <c r="BH189" s="482"/>
      <c r="BI189" s="482"/>
      <c r="BJ189" s="482"/>
      <c r="BK189" s="482"/>
      <c r="BL189" s="482"/>
      <c r="BM189" s="482"/>
      <c r="BN189" s="482"/>
      <c r="BO189" s="482"/>
      <c r="BP189" s="482"/>
      <c r="BQ189" s="482"/>
      <c r="BR189" s="482"/>
      <c r="BS189" s="482"/>
      <c r="BT189" s="482"/>
      <c r="BU189" s="482"/>
      <c r="BV189" s="482"/>
      <c r="BW189" s="482"/>
      <c r="BX189" s="482"/>
      <c r="BY189" s="482"/>
      <c r="BZ189" s="482"/>
      <c r="CA189" s="482"/>
      <c r="CB189" s="482"/>
      <c r="CC189" s="482"/>
      <c r="CD189" s="482"/>
      <c r="CE189" s="482"/>
    </row>
    <row r="190" spans="1:92">
      <c r="A190" s="538" t="s">
        <v>112</v>
      </c>
      <c r="B190" s="539" t="s">
        <v>82</v>
      </c>
      <c r="C190" s="547">
        <f>+C131+C112+C93+C54+C16+C73+C35+C150+C169</f>
        <v>6111</v>
      </c>
      <c r="D190" s="547">
        <f t="shared" si="81"/>
        <v>2693</v>
      </c>
      <c r="E190" s="547">
        <f t="shared" si="81"/>
        <v>0</v>
      </c>
      <c r="F190" s="547">
        <f t="shared" si="81"/>
        <v>0</v>
      </c>
      <c r="G190" s="547">
        <f t="shared" si="81"/>
        <v>0</v>
      </c>
      <c r="H190" s="547">
        <f t="shared" si="81"/>
        <v>0</v>
      </c>
      <c r="I190" s="547">
        <f t="shared" si="81"/>
        <v>0</v>
      </c>
      <c r="J190" s="547">
        <f t="shared" si="81"/>
        <v>0</v>
      </c>
      <c r="K190" s="547">
        <f t="shared" si="81"/>
        <v>0</v>
      </c>
      <c r="L190" s="547">
        <f>+L131+L112+L93+L54+L16+L73+L35+L150+L169</f>
        <v>0</v>
      </c>
      <c r="M190" s="1544">
        <f t="shared" si="82"/>
        <v>8804</v>
      </c>
      <c r="N190" s="507">
        <f t="shared" si="83"/>
        <v>-2399</v>
      </c>
      <c r="O190" s="507">
        <f t="shared" si="83"/>
        <v>0</v>
      </c>
      <c r="P190" s="507">
        <f t="shared" si="83"/>
        <v>0</v>
      </c>
      <c r="Q190" s="507">
        <f t="shared" si="83"/>
        <v>0</v>
      </c>
      <c r="R190" s="507">
        <f t="shared" si="83"/>
        <v>0</v>
      </c>
      <c r="S190" s="507">
        <f t="shared" si="83"/>
        <v>0</v>
      </c>
      <c r="T190" s="507">
        <f t="shared" si="83"/>
        <v>0</v>
      </c>
      <c r="U190" s="507">
        <f t="shared" si="83"/>
        <v>0</v>
      </c>
      <c r="V190" s="507">
        <f t="shared" ref="V190" si="92">+V16+V54+V73+V93+V112+V131+V35+V150+V169</f>
        <v>0</v>
      </c>
      <c r="W190" s="507">
        <f>+W16+W54+W73+W93+W112+W131+W35+W150+W169</f>
        <v>-24</v>
      </c>
      <c r="X190" s="507">
        <f>+X16+X54+X73+X93+X112+X131+X35+X150+X169</f>
        <v>-193</v>
      </c>
      <c r="Y190" s="507">
        <f t="shared" si="83"/>
        <v>0</v>
      </c>
      <c r="Z190" s="507">
        <f t="shared" si="83"/>
        <v>-58</v>
      </c>
      <c r="AA190" s="507">
        <f t="shared" si="83"/>
        <v>0</v>
      </c>
      <c r="AB190" s="507">
        <f t="shared" si="83"/>
        <v>0</v>
      </c>
      <c r="AC190" s="507">
        <f t="shared" si="83"/>
        <v>0</v>
      </c>
      <c r="AD190" s="506">
        <f t="shared" si="85"/>
        <v>-2674</v>
      </c>
      <c r="AE190" s="511">
        <f t="shared" si="86"/>
        <v>6130</v>
      </c>
      <c r="AF190" s="506">
        <f>+AF16+AF35+AF54+AF73+AF93+AF112+AF131+AF150+AF169</f>
        <v>6130</v>
      </c>
      <c r="AG190" s="1137">
        <f t="shared" si="87"/>
        <v>0</v>
      </c>
      <c r="AH190" s="482"/>
      <c r="AI190" s="482"/>
      <c r="AJ190" s="482">
        <f t="shared" si="88"/>
        <v>19</v>
      </c>
      <c r="AK190" s="567"/>
      <c r="AL190" s="482"/>
      <c r="AM190" s="482"/>
      <c r="AN190" s="540"/>
      <c r="AO190" s="482"/>
      <c r="AP190" s="482"/>
      <c r="AQ190" s="482"/>
      <c r="AR190" s="482"/>
      <c r="AS190" s="482"/>
      <c r="AT190" s="482"/>
      <c r="AU190" s="482"/>
      <c r="AV190" s="482"/>
      <c r="AW190" s="482"/>
      <c r="AX190" s="482"/>
      <c r="AY190" s="482"/>
      <c r="AZ190" s="482"/>
      <c r="BA190" s="482"/>
      <c r="BB190" s="482"/>
      <c r="BC190" s="482"/>
      <c r="BD190" s="482"/>
      <c r="BE190" s="482"/>
      <c r="BF190" s="482"/>
      <c r="BG190" s="482"/>
      <c r="BH190" s="482"/>
      <c r="BI190" s="482"/>
      <c r="BJ190" s="482"/>
      <c r="BK190" s="482"/>
      <c r="BL190" s="482"/>
      <c r="BM190" s="482"/>
      <c r="BN190" s="482"/>
      <c r="BO190" s="482"/>
      <c r="BP190" s="482"/>
      <c r="BQ190" s="482"/>
      <c r="BR190" s="482"/>
      <c r="BS190" s="482"/>
      <c r="BT190" s="482"/>
      <c r="BU190" s="482"/>
      <c r="BV190" s="482"/>
      <c r="BW190" s="482"/>
      <c r="BX190" s="482"/>
      <c r="BY190" s="482"/>
      <c r="BZ190" s="482"/>
      <c r="CA190" s="482"/>
      <c r="CB190" s="482"/>
      <c r="CC190" s="482"/>
      <c r="CD190" s="482"/>
      <c r="CE190" s="482"/>
    </row>
    <row r="191" spans="1:92" ht="15" thickBot="1">
      <c r="A191" s="548" t="s">
        <v>113</v>
      </c>
      <c r="B191" s="539" t="s">
        <v>82</v>
      </c>
      <c r="C191" s="547">
        <f t="shared" si="81"/>
        <v>76</v>
      </c>
      <c r="D191" s="547">
        <f t="shared" si="81"/>
        <v>4</v>
      </c>
      <c r="E191" s="547">
        <f t="shared" si="81"/>
        <v>0</v>
      </c>
      <c r="F191" s="547">
        <f t="shared" si="81"/>
        <v>0</v>
      </c>
      <c r="G191" s="547">
        <f t="shared" si="81"/>
        <v>0</v>
      </c>
      <c r="H191" s="547">
        <f t="shared" si="81"/>
        <v>0</v>
      </c>
      <c r="I191" s="547">
        <f t="shared" si="81"/>
        <v>0</v>
      </c>
      <c r="J191" s="547">
        <f t="shared" si="81"/>
        <v>6</v>
      </c>
      <c r="K191" s="547">
        <f t="shared" si="81"/>
        <v>1</v>
      </c>
      <c r="L191" s="547">
        <f t="shared" si="81"/>
        <v>0</v>
      </c>
      <c r="M191" s="1544">
        <f>SUM(C191:L191)</f>
        <v>87</v>
      </c>
      <c r="N191" s="507">
        <f t="shared" si="83"/>
        <v>0</v>
      </c>
      <c r="O191" s="507">
        <f t="shared" si="83"/>
        <v>0</v>
      </c>
      <c r="P191" s="507">
        <f t="shared" si="83"/>
        <v>0</v>
      </c>
      <c r="Q191" s="507">
        <f t="shared" si="83"/>
        <v>0</v>
      </c>
      <c r="R191" s="507">
        <f t="shared" si="83"/>
        <v>0</v>
      </c>
      <c r="S191" s="507">
        <f t="shared" si="83"/>
        <v>0</v>
      </c>
      <c r="T191" s="507">
        <f t="shared" si="83"/>
        <v>-1</v>
      </c>
      <c r="U191" s="507">
        <f t="shared" si="83"/>
        <v>0</v>
      </c>
      <c r="V191" s="507">
        <f t="shared" ref="V191" si="93">+V17+V55+V74+V94+V113+V132+V36+V151+V170</f>
        <v>0</v>
      </c>
      <c r="W191" s="507">
        <f t="shared" si="83"/>
        <v>0</v>
      </c>
      <c r="X191" s="507">
        <f t="shared" si="83"/>
        <v>0</v>
      </c>
      <c r="Y191" s="507">
        <f t="shared" si="83"/>
        <v>0</v>
      </c>
      <c r="Z191" s="507">
        <f t="shared" si="83"/>
        <v>-1</v>
      </c>
      <c r="AA191" s="507">
        <f t="shared" si="83"/>
        <v>0</v>
      </c>
      <c r="AB191" s="507">
        <f t="shared" si="83"/>
        <v>0</v>
      </c>
      <c r="AC191" s="507">
        <f t="shared" si="83"/>
        <v>0</v>
      </c>
      <c r="AD191" s="513">
        <f t="shared" si="85"/>
        <v>-2</v>
      </c>
      <c r="AE191" s="512">
        <f>+M191+AD191</f>
        <v>85</v>
      </c>
      <c r="AF191" s="506">
        <f t="shared" si="90"/>
        <v>85</v>
      </c>
      <c r="AG191" s="1515">
        <f t="shared" si="87"/>
        <v>0</v>
      </c>
      <c r="AH191" s="482"/>
      <c r="AI191" s="482"/>
      <c r="AJ191" s="482">
        <f t="shared" si="88"/>
        <v>9</v>
      </c>
      <c r="AK191" s="567"/>
      <c r="AL191" s="482"/>
      <c r="AM191" s="482"/>
      <c r="AN191" s="540"/>
      <c r="AO191" s="482"/>
      <c r="AP191" s="482"/>
      <c r="AQ191" s="482"/>
      <c r="AR191" s="482"/>
      <c r="AS191" s="482"/>
      <c r="AT191" s="482"/>
      <c r="AU191" s="482"/>
      <c r="AV191" s="482"/>
      <c r="AW191" s="482"/>
      <c r="AX191" s="482"/>
      <c r="AY191" s="482"/>
      <c r="AZ191" s="482"/>
      <c r="BA191" s="482"/>
      <c r="BB191" s="482"/>
      <c r="BC191" s="482"/>
      <c r="BD191" s="482"/>
      <c r="BE191" s="482"/>
      <c r="BF191" s="482"/>
      <c r="BG191" s="482"/>
      <c r="BH191" s="482"/>
      <c r="BI191" s="482"/>
      <c r="BJ191" s="482"/>
      <c r="BK191" s="482"/>
      <c r="BL191" s="482"/>
      <c r="BM191" s="482"/>
      <c r="BN191" s="482"/>
      <c r="BO191" s="482"/>
      <c r="BP191" s="482"/>
      <c r="BQ191" s="482"/>
      <c r="BR191" s="482"/>
      <c r="BS191" s="482"/>
      <c r="BT191" s="482"/>
      <c r="BU191" s="482"/>
      <c r="BV191" s="482"/>
      <c r="BW191" s="482"/>
      <c r="BX191" s="482"/>
      <c r="BY191" s="482"/>
      <c r="BZ191" s="482"/>
      <c r="CA191" s="482"/>
      <c r="CB191" s="482"/>
      <c r="CC191" s="482"/>
      <c r="CD191" s="482"/>
      <c r="CE191" s="482"/>
    </row>
    <row r="192" spans="1:92" ht="15" thickBot="1">
      <c r="A192" s="541" t="s">
        <v>115</v>
      </c>
      <c r="B192" s="542"/>
      <c r="C192" s="549">
        <f>SUM(C186:C191)</f>
        <v>93269</v>
      </c>
      <c r="D192" s="2084">
        <f t="shared" ref="D192:J192" si="94">SUM(D186:D191)</f>
        <v>32042</v>
      </c>
      <c r="E192" s="2084">
        <f t="shared" si="94"/>
        <v>0</v>
      </c>
      <c r="F192" s="2084">
        <f t="shared" si="94"/>
        <v>119</v>
      </c>
      <c r="G192" s="2084">
        <f t="shared" si="94"/>
        <v>380</v>
      </c>
      <c r="H192" s="2084">
        <f t="shared" si="94"/>
        <v>1203</v>
      </c>
      <c r="I192" s="2084">
        <f t="shared" si="94"/>
        <v>440</v>
      </c>
      <c r="J192" s="549">
        <f t="shared" si="94"/>
        <v>17181</v>
      </c>
      <c r="K192" s="2084">
        <f>SUM(K186:K191)</f>
        <v>296</v>
      </c>
      <c r="L192" s="2084">
        <f>SUM(L186:L191)</f>
        <v>211</v>
      </c>
      <c r="M192" s="549">
        <f>SUM(M186:M191)</f>
        <v>145141</v>
      </c>
      <c r="N192" s="2084">
        <f>SUM(N186:N191)</f>
        <v>-32038</v>
      </c>
      <c r="O192" s="2084">
        <f t="shared" ref="O192:Y192" si="95">SUM(O186:O191)</f>
        <v>-45</v>
      </c>
      <c r="P192" s="2084">
        <f t="shared" si="95"/>
        <v>-163</v>
      </c>
      <c r="Q192" s="2084">
        <f t="shared" si="95"/>
        <v>-770</v>
      </c>
      <c r="R192" s="2084">
        <f t="shared" si="95"/>
        <v>-1501</v>
      </c>
      <c r="S192" s="2084">
        <f t="shared" si="95"/>
        <v>-17</v>
      </c>
      <c r="T192" s="2084">
        <f>SUM(T186:T191)</f>
        <v>-96</v>
      </c>
      <c r="U192" s="2084">
        <f>SUM(U186:U191)</f>
        <v>-47</v>
      </c>
      <c r="V192" s="2084">
        <f>SUM(V186:V191)</f>
        <v>-11</v>
      </c>
      <c r="W192" s="549">
        <f t="shared" si="95"/>
        <v>-1982</v>
      </c>
      <c r="X192" s="549">
        <f>SUM(X186:X191)</f>
        <v>-15922</v>
      </c>
      <c r="Y192" s="549">
        <f t="shared" si="95"/>
        <v>-25</v>
      </c>
      <c r="Z192" s="549">
        <f t="shared" ref="Z192:AG192" si="96">SUM(Z186:Z191)</f>
        <v>-113</v>
      </c>
      <c r="AA192" s="549">
        <f t="shared" si="96"/>
        <v>0</v>
      </c>
      <c r="AB192" s="549">
        <f t="shared" si="96"/>
        <v>0</v>
      </c>
      <c r="AC192" s="549">
        <f t="shared" si="96"/>
        <v>-18</v>
      </c>
      <c r="AD192" s="519">
        <f t="shared" si="96"/>
        <v>-52748</v>
      </c>
      <c r="AE192" s="517">
        <f>SUM(AE186:AE191)</f>
        <v>92393</v>
      </c>
      <c r="AF192" s="518">
        <f>SUM(AF186:AF191)</f>
        <v>92393</v>
      </c>
      <c r="AG192" s="558">
        <f t="shared" si="96"/>
        <v>0</v>
      </c>
      <c r="AH192" s="515"/>
      <c r="AI192" s="515"/>
      <c r="AJ192" s="515">
        <f>SUM(AJ186:AJ191)</f>
        <v>-876</v>
      </c>
      <c r="AK192" s="568"/>
      <c r="AL192" s="515"/>
      <c r="AM192" s="515"/>
      <c r="AN192" s="1722"/>
      <c r="AO192" s="515"/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  <c r="BC192" s="515"/>
      <c r="BD192" s="515"/>
      <c r="BE192" s="515"/>
      <c r="BF192" s="515"/>
      <c r="BG192" s="515"/>
      <c r="BH192" s="515"/>
      <c r="BI192" s="515"/>
      <c r="BJ192" s="515"/>
      <c r="BK192" s="515"/>
      <c r="BL192" s="515"/>
      <c r="BM192" s="515"/>
      <c r="BN192" s="515"/>
      <c r="BO192" s="482"/>
      <c r="BP192" s="482"/>
      <c r="BQ192" s="482"/>
      <c r="BR192" s="482"/>
      <c r="BS192" s="482"/>
      <c r="BT192" s="482"/>
      <c r="BU192" s="482"/>
      <c r="BV192" s="482"/>
      <c r="BW192" s="482"/>
      <c r="BX192" s="482"/>
      <c r="BY192" s="491"/>
      <c r="BZ192" s="491"/>
      <c r="CA192" s="491"/>
      <c r="CB192" s="491"/>
      <c r="CC192" s="491"/>
      <c r="CD192" s="491"/>
      <c r="CE192" s="491"/>
    </row>
    <row r="193" spans="1:86" ht="15" thickBot="1">
      <c r="A193" s="463"/>
      <c r="B193" s="463"/>
      <c r="C193" s="514"/>
      <c r="D193" s="515"/>
      <c r="E193" s="515"/>
      <c r="F193" s="515"/>
      <c r="G193" s="515"/>
      <c r="H193" s="515"/>
      <c r="I193" s="515"/>
      <c r="J193" s="515"/>
      <c r="K193" s="515"/>
      <c r="L193" s="515"/>
      <c r="M193" s="515"/>
      <c r="N193" s="515"/>
      <c r="O193" s="515"/>
      <c r="P193" s="515"/>
      <c r="Q193" s="515"/>
      <c r="R193" s="515"/>
      <c r="S193" s="515"/>
      <c r="T193" s="515"/>
      <c r="U193" s="515"/>
      <c r="V193" s="515"/>
      <c r="W193" s="515"/>
      <c r="X193" s="515"/>
      <c r="Y193" s="515"/>
      <c r="Z193" s="515"/>
      <c r="AA193" s="515"/>
      <c r="AB193" s="515"/>
      <c r="AC193" s="515"/>
      <c r="AD193" s="515"/>
      <c r="AE193" s="515"/>
      <c r="AF193" s="515"/>
      <c r="AG193" s="515"/>
      <c r="AH193" s="515"/>
      <c r="AI193" s="515"/>
      <c r="AJ193" s="515"/>
      <c r="AK193" s="568"/>
      <c r="AL193" s="515"/>
      <c r="AM193" s="515"/>
      <c r="AN193" s="1722"/>
      <c r="AO193" s="515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  <c r="BC193" s="515"/>
      <c r="BD193" s="515"/>
      <c r="BE193" s="515"/>
      <c r="BF193" s="515"/>
      <c r="BG193" s="515"/>
      <c r="BH193" s="515"/>
      <c r="BI193" s="515"/>
      <c r="BJ193" s="515"/>
      <c r="BK193" s="515"/>
      <c r="BL193" s="515"/>
      <c r="BM193" s="515"/>
      <c r="BN193" s="515"/>
      <c r="BO193" s="482"/>
      <c r="BP193" s="482"/>
      <c r="BQ193" s="482"/>
      <c r="BR193" s="482"/>
      <c r="BS193" s="482"/>
      <c r="BT193" s="482"/>
      <c r="BU193" s="482"/>
      <c r="BV193" s="482"/>
      <c r="BW193" s="482"/>
      <c r="BX193" s="482"/>
      <c r="BY193" s="491"/>
      <c r="BZ193" s="491"/>
      <c r="CA193" s="491"/>
      <c r="CB193" s="491"/>
      <c r="CC193" s="491"/>
      <c r="CD193" s="491"/>
      <c r="CE193" s="491"/>
    </row>
    <row r="194" spans="1:86" ht="15" thickBot="1">
      <c r="A194" s="1512"/>
      <c r="B194" s="1513"/>
      <c r="C194" s="1514">
        <f>C18+C56+C95+C133+C114+C75+C37+C152+C171</f>
        <v>93269</v>
      </c>
      <c r="D194" s="1514">
        <f>D18+D56+D95+D133+D114+D75+D37+D152+D171</f>
        <v>32042</v>
      </c>
      <c r="E194" s="1514">
        <f t="shared" ref="E194:AA194" si="97">E18+E56+E95+E133+E114+E75+E37+E152</f>
        <v>0</v>
      </c>
      <c r="F194" s="1514">
        <f t="shared" si="97"/>
        <v>119</v>
      </c>
      <c r="G194" s="1514">
        <f t="shared" si="97"/>
        <v>380</v>
      </c>
      <c r="H194" s="1514">
        <f t="shared" si="97"/>
        <v>1203</v>
      </c>
      <c r="I194" s="1514">
        <f t="shared" si="97"/>
        <v>440</v>
      </c>
      <c r="J194" s="1514">
        <f t="shared" si="97"/>
        <v>15885</v>
      </c>
      <c r="K194" s="1514">
        <f t="shared" si="97"/>
        <v>296</v>
      </c>
      <c r="L194" s="1514">
        <f t="shared" si="97"/>
        <v>200</v>
      </c>
      <c r="M194" s="1514">
        <f t="shared" si="97"/>
        <v>136466</v>
      </c>
      <c r="N194" s="1514">
        <f t="shared" si="97"/>
        <v>-30193</v>
      </c>
      <c r="O194" s="1514">
        <f t="shared" si="97"/>
        <v>0</v>
      </c>
      <c r="P194" s="1514">
        <f t="shared" si="97"/>
        <v>-120</v>
      </c>
      <c r="Q194" s="1514">
        <f t="shared" si="97"/>
        <v>-770</v>
      </c>
      <c r="R194" s="1514">
        <f t="shared" si="97"/>
        <v>-1501</v>
      </c>
      <c r="S194" s="1514">
        <f t="shared" si="97"/>
        <v>0</v>
      </c>
      <c r="T194" s="1514">
        <f t="shared" si="97"/>
        <v>-1</v>
      </c>
      <c r="U194" s="1514">
        <f t="shared" si="97"/>
        <v>0</v>
      </c>
      <c r="V194" s="1514"/>
      <c r="W194" s="1514">
        <f>W18+W56+W95+W133+W114+W75+W37+W152+W170</f>
        <v>-1853</v>
      </c>
      <c r="X194" s="1514">
        <f>X18+X56+X95+X133+X114+X75+X37+X152+X171</f>
        <v>-15922</v>
      </c>
      <c r="Y194" s="1514">
        <f t="shared" si="97"/>
        <v>-24</v>
      </c>
      <c r="Z194" s="1514">
        <f t="shared" si="97"/>
        <v>-113</v>
      </c>
      <c r="AA194" s="1514">
        <f t="shared" si="97"/>
        <v>0</v>
      </c>
      <c r="AB194" s="1514">
        <f>AB18+AB56+AB95+AB133+AB114+AB75+AB37+AB152</f>
        <v>0</v>
      </c>
      <c r="AC194" s="1514">
        <f>AC18+AC56+AC95+AC133+AC114+AC75+AC37+AC152</f>
        <v>-18</v>
      </c>
      <c r="AD194" s="1514">
        <f>AD18+AD56+AD95+AD133+AD114+AD75+AD37+AD152+AD171</f>
        <v>-52748</v>
      </c>
      <c r="AE194" s="1514">
        <f>AE18+AE56+AE95+AE133+AE114+AE75+AE37+AE152+AE171</f>
        <v>92393</v>
      </c>
      <c r="AF194" s="1514">
        <f>AF18+AF56+AF95+AF133+AF114+AF75+AF37+AF152+AF171</f>
        <v>92393</v>
      </c>
      <c r="AG194" s="1514">
        <f>AG18+AG56+AG95+AG133+AG114+AG75+AG37</f>
        <v>0</v>
      </c>
      <c r="AH194" s="482"/>
      <c r="AI194" s="482"/>
      <c r="AJ194" s="482"/>
      <c r="AK194" s="567"/>
      <c r="AL194" s="482"/>
      <c r="AM194" s="482"/>
      <c r="AN194" s="540"/>
      <c r="AO194" s="482"/>
      <c r="AP194" s="482"/>
      <c r="AQ194" s="482"/>
      <c r="AR194" s="482"/>
      <c r="AS194" s="482"/>
      <c r="AT194" s="482"/>
      <c r="AU194" s="482"/>
      <c r="AV194" s="482"/>
      <c r="AW194" s="482"/>
      <c r="AX194" s="482"/>
      <c r="AY194" s="482"/>
      <c r="AZ194" s="482"/>
      <c r="BA194" s="482"/>
      <c r="BB194" s="482"/>
      <c r="BC194" s="482"/>
      <c r="BD194" s="482"/>
      <c r="BE194" s="543"/>
      <c r="BF194" s="471"/>
      <c r="BG194" s="471"/>
      <c r="BH194" s="471"/>
      <c r="BI194" s="471"/>
      <c r="BJ194" s="471"/>
      <c r="BK194" s="471"/>
      <c r="BL194" s="471"/>
      <c r="BM194" s="471"/>
      <c r="BN194" s="471"/>
      <c r="BO194" s="482"/>
      <c r="BP194" s="482"/>
      <c r="BQ194" s="482"/>
      <c r="BR194" s="482"/>
      <c r="BS194" s="482"/>
      <c r="BT194" s="482"/>
      <c r="BU194" s="482"/>
      <c r="BV194" s="482"/>
      <c r="BW194" s="482"/>
      <c r="BX194" s="482"/>
      <c r="BY194" s="510"/>
      <c r="BZ194" s="510"/>
      <c r="CA194" s="510"/>
      <c r="CB194" s="510"/>
      <c r="CC194" s="510"/>
      <c r="CD194" s="510"/>
      <c r="CE194" s="510"/>
    </row>
    <row r="195" spans="1:86">
      <c r="C195" s="569">
        <f>+C192-C194</f>
        <v>0</v>
      </c>
      <c r="D195" s="569">
        <f t="shared" ref="D195:AC195" si="98">+D192-D194</f>
        <v>0</v>
      </c>
      <c r="E195" s="569">
        <f t="shared" si="98"/>
        <v>0</v>
      </c>
      <c r="F195" s="569">
        <f t="shared" si="98"/>
        <v>0</v>
      </c>
      <c r="G195" s="569">
        <f>+G192-G194</f>
        <v>0</v>
      </c>
      <c r="H195" s="569"/>
      <c r="I195" s="569">
        <f t="shared" si="98"/>
        <v>0</v>
      </c>
      <c r="J195" s="569">
        <f t="shared" si="98"/>
        <v>1296</v>
      </c>
      <c r="K195" s="569"/>
      <c r="L195" s="569"/>
      <c r="M195" s="569" t="s">
        <v>138</v>
      </c>
      <c r="N195" s="569">
        <f t="shared" si="98"/>
        <v>-1845</v>
      </c>
      <c r="O195" s="569">
        <f t="shared" si="98"/>
        <v>-45</v>
      </c>
      <c r="P195" s="569">
        <f t="shared" si="98"/>
        <v>-43</v>
      </c>
      <c r="Q195" s="569">
        <f t="shared" si="98"/>
        <v>0</v>
      </c>
      <c r="R195" s="569"/>
      <c r="S195" s="569">
        <f t="shared" si="98"/>
        <v>-17</v>
      </c>
      <c r="T195" s="569"/>
      <c r="U195" s="569"/>
      <c r="V195" s="569"/>
      <c r="W195" s="569">
        <f t="shared" si="98"/>
        <v>-129</v>
      </c>
      <c r="X195" s="569">
        <f t="shared" si="98"/>
        <v>0</v>
      </c>
      <c r="Y195" s="569"/>
      <c r="Z195" s="569">
        <f t="shared" si="98"/>
        <v>0</v>
      </c>
      <c r="AA195" s="569"/>
      <c r="AB195" s="569">
        <f t="shared" si="98"/>
        <v>0</v>
      </c>
      <c r="AC195" s="569">
        <f t="shared" si="98"/>
        <v>0</v>
      </c>
      <c r="AD195" s="569">
        <f>+AD192-AD194</f>
        <v>0</v>
      </c>
      <c r="AE195" s="569">
        <f>+AE192-AE194</f>
        <v>0</v>
      </c>
      <c r="AF195" s="569">
        <f>+AF192-AF194</f>
        <v>0</v>
      </c>
      <c r="AG195" s="569">
        <f>+AG192-AG194</f>
        <v>0</v>
      </c>
      <c r="AH195" s="540"/>
      <c r="AI195" s="540"/>
      <c r="AJ195" s="540"/>
      <c r="AK195" s="567"/>
      <c r="AL195" s="569"/>
      <c r="AM195" s="569"/>
      <c r="AN195" s="569"/>
      <c r="AO195" s="569"/>
      <c r="AP195" s="569"/>
      <c r="AQ195" s="569"/>
      <c r="AR195" s="569"/>
      <c r="AS195" s="569"/>
      <c r="AT195" s="569"/>
      <c r="AU195" s="569"/>
      <c r="AV195" s="569"/>
      <c r="AW195" s="569"/>
      <c r="AX195" s="569"/>
      <c r="AY195" s="569"/>
      <c r="AZ195" s="569"/>
      <c r="BA195" s="569"/>
      <c r="BB195" s="569"/>
      <c r="BC195" s="569"/>
      <c r="BD195" s="569"/>
      <c r="BE195" s="569"/>
      <c r="BO195" s="482"/>
      <c r="BP195" s="482"/>
      <c r="BQ195" s="482"/>
      <c r="BR195" s="482"/>
      <c r="BS195" s="482"/>
      <c r="BT195" s="482"/>
      <c r="BU195" s="482"/>
      <c r="BV195" s="482"/>
      <c r="BW195" s="482"/>
      <c r="BX195" s="482"/>
      <c r="BY195" s="510"/>
      <c r="BZ195" s="510"/>
      <c r="CA195" s="510"/>
      <c r="CB195" s="510"/>
      <c r="CC195" s="510"/>
      <c r="CD195" s="510"/>
      <c r="CE195" s="510"/>
    </row>
    <row r="196" spans="1:86">
      <c r="C196" s="570"/>
      <c r="D196" s="491"/>
      <c r="E196" s="491"/>
      <c r="F196" s="491"/>
      <c r="G196" s="491"/>
      <c r="H196" s="491"/>
      <c r="I196" s="491"/>
      <c r="J196" s="491"/>
      <c r="K196" s="491"/>
      <c r="L196" s="491"/>
      <c r="Q196" s="491"/>
      <c r="R196" s="491"/>
      <c r="S196" s="491"/>
      <c r="T196" s="491"/>
      <c r="U196" s="491"/>
      <c r="V196" s="491"/>
      <c r="W196" s="491"/>
      <c r="X196" s="491"/>
      <c r="Y196" s="491"/>
      <c r="Z196" s="491"/>
      <c r="AA196" s="491"/>
      <c r="AB196" s="491"/>
      <c r="AC196" s="491"/>
      <c r="AD196" s="491"/>
      <c r="AE196" s="491"/>
      <c r="AF196" s="491">
        <f>C192+J192+W192+X192+Z192+AB192+AC192+Y192+U192</f>
        <v>92343</v>
      </c>
      <c r="AG196" s="491"/>
      <c r="BO196" s="482"/>
      <c r="BP196" s="482"/>
      <c r="BQ196" s="482"/>
      <c r="BR196" s="482"/>
      <c r="BS196" s="482"/>
      <c r="BT196" s="482"/>
      <c r="BU196" s="482"/>
      <c r="BV196" s="482"/>
      <c r="BW196" s="482"/>
      <c r="BX196" s="482"/>
    </row>
    <row r="197" spans="1:86">
      <c r="C197" s="570"/>
      <c r="D197" s="491"/>
      <c r="E197" s="491"/>
      <c r="F197" s="491"/>
      <c r="G197" s="491"/>
      <c r="H197" s="491"/>
      <c r="I197" s="491"/>
      <c r="J197" s="491"/>
      <c r="K197" s="491"/>
      <c r="L197" s="491"/>
      <c r="Q197" s="491"/>
      <c r="R197" s="491"/>
      <c r="S197" s="491"/>
      <c r="T197" s="491"/>
      <c r="U197" s="491"/>
      <c r="V197" s="491"/>
      <c r="W197" s="491"/>
      <c r="X197" s="491"/>
      <c r="Y197" s="491"/>
      <c r="Z197" s="491"/>
      <c r="AA197" s="491"/>
      <c r="AB197" s="491"/>
      <c r="AC197" s="491"/>
      <c r="AD197" s="491"/>
      <c r="AE197" s="491"/>
      <c r="AF197" s="491">
        <f>+[30]Sheet1!$H$12</f>
        <v>92393</v>
      </c>
      <c r="AG197" s="491"/>
      <c r="BO197" s="482"/>
      <c r="BP197" s="482"/>
      <c r="BQ197" s="482"/>
      <c r="BR197" s="482"/>
      <c r="BS197" s="482"/>
      <c r="BT197" s="482"/>
      <c r="BU197" s="482"/>
      <c r="BV197" s="482"/>
      <c r="BW197" s="482"/>
      <c r="BX197" s="482"/>
    </row>
    <row r="198" spans="1:86" s="463" customFormat="1">
      <c r="B198" s="463" t="s">
        <v>169</v>
      </c>
      <c r="D198" s="1454"/>
      <c r="E198" s="2138" t="s">
        <v>50</v>
      </c>
      <c r="F198" s="2138"/>
      <c r="G198" s="2138" t="s">
        <v>277</v>
      </c>
      <c r="H198" s="2138"/>
      <c r="I198" s="2138" t="s">
        <v>278</v>
      </c>
      <c r="J198" s="2138"/>
      <c r="K198" s="464"/>
      <c r="L198" s="464"/>
      <c r="M198" s="464"/>
      <c r="O198" s="464"/>
      <c r="P198" s="571"/>
      <c r="Q198" s="464"/>
      <c r="R198" s="464"/>
      <c r="S198" s="464"/>
      <c r="T198" s="464"/>
      <c r="U198" s="1454" t="s">
        <v>87</v>
      </c>
      <c r="V198" s="1454"/>
      <c r="W198" s="1457" t="s">
        <v>226</v>
      </c>
      <c r="X198" s="1454"/>
      <c r="Y198" s="464"/>
      <c r="AB198" s="571"/>
      <c r="AC198" s="464"/>
      <c r="AD198" s="571"/>
      <c r="AE198" s="571">
        <f>AE171+AE152+AE133+AE114+AE95+AE75+AE56+AE37+AE18</f>
        <v>92393</v>
      </c>
      <c r="AF198" s="465">
        <f>AF192-C192</f>
        <v>-876</v>
      </c>
      <c r="AG198" s="464">
        <f>AF191-39</f>
        <v>46</v>
      </c>
      <c r="AH198" s="466"/>
      <c r="AI198" s="466"/>
      <c r="AJ198" s="466"/>
      <c r="AK198" s="466"/>
      <c r="AL198" s="466"/>
      <c r="AM198" s="466"/>
      <c r="AN198" s="485"/>
      <c r="AO198" s="466"/>
      <c r="AP198" s="466"/>
      <c r="AQ198" s="466"/>
      <c r="AR198" s="466"/>
      <c r="AS198" s="466"/>
      <c r="AT198" s="466"/>
      <c r="AU198" s="466"/>
      <c r="AV198" s="466"/>
      <c r="AW198" s="466"/>
      <c r="AX198" s="466"/>
      <c r="AY198" s="466"/>
      <c r="AZ198" s="466"/>
      <c r="BA198" s="466"/>
      <c r="BB198" s="466"/>
      <c r="BC198" s="466"/>
      <c r="BD198" s="466"/>
      <c r="BE198" s="466"/>
      <c r="BF198" s="466"/>
      <c r="BG198" s="466"/>
      <c r="BH198" s="466"/>
      <c r="BI198" s="466"/>
      <c r="BJ198" s="466"/>
      <c r="BK198" s="466"/>
      <c r="BL198" s="466"/>
      <c r="BM198" s="466"/>
      <c r="BN198" s="466"/>
      <c r="BO198" s="515"/>
      <c r="BP198" s="515"/>
      <c r="BQ198" s="515"/>
      <c r="BR198" s="515"/>
      <c r="BS198" s="515"/>
      <c r="BT198" s="515"/>
      <c r="BU198" s="515"/>
      <c r="BV198" s="515"/>
      <c r="BW198" s="515"/>
      <c r="BX198" s="515"/>
    </row>
    <row r="199" spans="1:86" s="463" customFormat="1">
      <c r="D199" s="1454"/>
      <c r="E199" s="1455" t="s">
        <v>167</v>
      </c>
      <c r="F199" s="1455" t="s">
        <v>168</v>
      </c>
      <c r="G199" s="1455" t="s">
        <v>167</v>
      </c>
      <c r="H199" s="1455" t="s">
        <v>168</v>
      </c>
      <c r="I199" s="1455" t="s">
        <v>167</v>
      </c>
      <c r="J199" s="1455" t="s">
        <v>168</v>
      </c>
      <c r="K199" s="464"/>
      <c r="L199" s="464"/>
      <c r="O199" s="464"/>
      <c r="U199" s="1457" t="s">
        <v>105</v>
      </c>
      <c r="V199" s="1457"/>
      <c r="W199" s="1454">
        <f t="shared" ref="W199:W204" si="99">W186</f>
        <v>-1468</v>
      </c>
      <c r="X199" s="1832">
        <f>W199/$W$205</f>
        <v>0.74066599394550958</v>
      </c>
      <c r="AB199" s="571"/>
      <c r="AC199" s="464"/>
      <c r="AF199" s="464">
        <f>+AF197-AF194</f>
        <v>0</v>
      </c>
      <c r="AH199" s="466"/>
      <c r="AI199" s="466"/>
      <c r="AJ199" s="466"/>
      <c r="AK199" s="466"/>
      <c r="AL199" s="466"/>
      <c r="AM199" s="466"/>
      <c r="AN199" s="485"/>
      <c r="AO199" s="466"/>
      <c r="AP199" s="466"/>
      <c r="AQ199" s="466"/>
      <c r="AR199" s="466"/>
      <c r="AS199" s="466"/>
      <c r="AT199" s="466"/>
      <c r="AU199" s="466"/>
      <c r="AV199" s="466"/>
      <c r="AW199" s="466"/>
      <c r="AX199" s="466"/>
      <c r="AY199" s="466"/>
      <c r="AZ199" s="466"/>
      <c r="BA199" s="466"/>
      <c r="BB199" s="466"/>
      <c r="BC199" s="466"/>
      <c r="BD199" s="466"/>
      <c r="BE199" s="466"/>
      <c r="BF199" s="466"/>
      <c r="BG199" s="466"/>
      <c r="BH199" s="466"/>
      <c r="BI199" s="466"/>
      <c r="BJ199" s="466"/>
      <c r="BK199" s="466"/>
      <c r="BL199" s="466"/>
      <c r="BM199" s="466"/>
      <c r="BN199" s="466"/>
      <c r="BO199" s="515"/>
      <c r="BP199" s="515"/>
      <c r="BQ199" s="515"/>
      <c r="BR199" s="515"/>
      <c r="BS199" s="515"/>
      <c r="BT199" s="515"/>
      <c r="BU199" s="515"/>
      <c r="BV199" s="515"/>
      <c r="BW199" s="515"/>
      <c r="BX199" s="515"/>
    </row>
    <row r="200" spans="1:86">
      <c r="D200" s="505" t="s">
        <v>127</v>
      </c>
      <c r="E200" s="1456">
        <f>SUM(E15:I15)+K15+L15</f>
        <v>95</v>
      </c>
      <c r="F200" s="1456">
        <f>SUM(O15:U15)</f>
        <v>0</v>
      </c>
      <c r="G200" s="1456">
        <f>SUM(E16:I17,K16:L17)</f>
        <v>0</v>
      </c>
      <c r="H200" s="1456">
        <f>SUM(O16:U17)</f>
        <v>-1</v>
      </c>
      <c r="I200" s="1456">
        <f>SUM(E12:I14,K12:K14)</f>
        <v>0</v>
      </c>
      <c r="J200" s="1456">
        <f>SUM(O12:T14)</f>
        <v>-1203</v>
      </c>
      <c r="K200" s="491"/>
      <c r="L200" s="491"/>
      <c r="N200" s="491"/>
      <c r="O200" s="491"/>
      <c r="P200" s="571"/>
      <c r="Q200" s="491"/>
      <c r="R200" s="491"/>
      <c r="S200" s="491"/>
      <c r="T200" s="491"/>
      <c r="U200" s="1456" t="s">
        <v>107</v>
      </c>
      <c r="V200" s="1456"/>
      <c r="W200" s="1456">
        <f t="shared" si="99"/>
        <v>-159</v>
      </c>
      <c r="X200" s="1832">
        <f t="shared" ref="X200:X204" si="100">W200/$W$205</f>
        <v>8.0221997981836532E-2</v>
      </c>
      <c r="Y200" s="491"/>
      <c r="Z200" s="491">
        <f>+X194+'[31]Sales USD'!$T$12</f>
        <v>3418</v>
      </c>
      <c r="AA200" s="491"/>
      <c r="AB200" s="510"/>
      <c r="BO200" s="482"/>
      <c r="BP200" s="482"/>
      <c r="BQ200" s="482"/>
      <c r="BR200" s="482"/>
      <c r="BS200" s="482"/>
      <c r="BT200" s="482"/>
      <c r="BU200" s="482"/>
      <c r="BV200" s="482"/>
      <c r="BW200" s="482"/>
      <c r="BX200" s="482"/>
      <c r="CH200" s="491"/>
    </row>
    <row r="201" spans="1:86">
      <c r="D201" s="1456" t="s">
        <v>213</v>
      </c>
      <c r="E201" s="1456">
        <f>SUM(E53:I53)+K53+L53</f>
        <v>43</v>
      </c>
      <c r="F201" s="1456">
        <f>SUM(O53:U53)</f>
        <v>0</v>
      </c>
      <c r="G201" s="1456">
        <f>SUM(E54:I55,K54:L55)</f>
        <v>0</v>
      </c>
      <c r="H201" s="1456">
        <f>SUM(O54:U55)</f>
        <v>0</v>
      </c>
      <c r="I201" s="1456">
        <f>SUM(E50:I52,K50:K52)</f>
        <v>0</v>
      </c>
      <c r="J201" s="1456">
        <f>SUM(O50:T52)</f>
        <v>-120</v>
      </c>
      <c r="K201" s="491"/>
      <c r="L201" s="491"/>
      <c r="O201" s="491"/>
      <c r="Q201" s="491"/>
      <c r="R201" s="491"/>
      <c r="S201" s="491"/>
      <c r="T201" s="491"/>
      <c r="U201" s="1456" t="s">
        <v>109</v>
      </c>
      <c r="V201" s="1456"/>
      <c r="W201" s="1456">
        <f t="shared" si="99"/>
        <v>-316</v>
      </c>
      <c r="X201" s="1832">
        <f t="shared" si="100"/>
        <v>0.15943491422805248</v>
      </c>
      <c r="Y201" s="491"/>
      <c r="Z201" s="491"/>
      <c r="AA201" s="491"/>
      <c r="AB201" s="510"/>
      <c r="BO201" s="482"/>
      <c r="BP201" s="482"/>
      <c r="BQ201" s="482"/>
      <c r="BR201" s="482"/>
      <c r="BS201" s="482"/>
      <c r="BT201" s="482"/>
      <c r="BU201" s="482"/>
      <c r="BV201" s="482"/>
      <c r="BW201" s="482"/>
      <c r="BX201" s="482"/>
      <c r="CH201" s="491"/>
    </row>
    <row r="202" spans="1:86">
      <c r="D202" s="505" t="s">
        <v>186</v>
      </c>
      <c r="E202" s="1456">
        <f>SUM(E92:I92)+K92+L92</f>
        <v>17</v>
      </c>
      <c r="F202" s="1456">
        <f>SUM(O92:U92)</f>
        <v>0</v>
      </c>
      <c r="G202" s="1456">
        <f>SUM(E93:I94,K93:L94)</f>
        <v>0</v>
      </c>
      <c r="H202" s="1456">
        <f>SUM(O93:U94)</f>
        <v>0</v>
      </c>
      <c r="I202" s="1456">
        <f>SUM(E89:I91,K89:K91)</f>
        <v>0</v>
      </c>
      <c r="J202" s="1456">
        <f>SUM(O89:T91)</f>
        <v>-440</v>
      </c>
      <c r="O202" s="491"/>
      <c r="Q202" s="491"/>
      <c r="R202" s="491"/>
      <c r="S202" s="491"/>
      <c r="T202" s="491"/>
      <c r="U202" s="1456" t="s">
        <v>111</v>
      </c>
      <c r="V202" s="1456"/>
      <c r="W202" s="1456">
        <f t="shared" si="99"/>
        <v>-15</v>
      </c>
      <c r="X202" s="1832">
        <f t="shared" si="100"/>
        <v>7.5681130171543895E-3</v>
      </c>
      <c r="Y202" s="491"/>
      <c r="Z202" s="491"/>
      <c r="AA202" s="491"/>
      <c r="AB202" s="520"/>
      <c r="AD202" s="520"/>
      <c r="AE202" s="520"/>
      <c r="AF202" s="520"/>
      <c r="AG202" s="520"/>
      <c r="BO202" s="482"/>
      <c r="BP202" s="467"/>
      <c r="BQ202" s="482"/>
      <c r="BR202" s="482"/>
      <c r="BS202" s="482"/>
      <c r="BT202" s="482"/>
      <c r="BU202" s="482"/>
      <c r="BV202" s="482"/>
      <c r="BW202" s="482"/>
      <c r="BX202" s="482"/>
    </row>
    <row r="203" spans="1:86">
      <c r="D203" s="505" t="s">
        <v>189</v>
      </c>
      <c r="E203" s="1456">
        <f>SUM(E111:I111)+K111+L111</f>
        <v>0</v>
      </c>
      <c r="F203" s="1456">
        <f>SUM(O111:U111)</f>
        <v>0</v>
      </c>
      <c r="G203" s="1456">
        <f>SUM(E112:I113,K112:L113)</f>
        <v>0</v>
      </c>
      <c r="H203" s="1456">
        <f>SUM(O112:U113)</f>
        <v>0</v>
      </c>
      <c r="I203" s="1456">
        <f>SUM(E108:I110,K108:K110)</f>
        <v>0</v>
      </c>
      <c r="J203" s="1456">
        <f>SUM(O108:T110)</f>
        <v>-380</v>
      </c>
      <c r="O203" s="491"/>
      <c r="Q203" s="491"/>
      <c r="R203" s="491"/>
      <c r="S203" s="491"/>
      <c r="T203" s="491"/>
      <c r="U203" s="1456" t="s">
        <v>112</v>
      </c>
      <c r="V203" s="1456"/>
      <c r="W203" s="1456">
        <f t="shared" si="99"/>
        <v>-24</v>
      </c>
      <c r="X203" s="1832">
        <f t="shared" si="100"/>
        <v>1.2108980827447022E-2</v>
      </c>
      <c r="Y203" s="491"/>
      <c r="Z203" s="491"/>
      <c r="AA203" s="491"/>
      <c r="AB203" s="520"/>
      <c r="AC203" s="510"/>
      <c r="BO203" s="482"/>
      <c r="BP203" s="482"/>
      <c r="BQ203" s="482"/>
      <c r="BR203" s="482"/>
      <c r="BS203" s="482"/>
      <c r="BT203" s="482"/>
      <c r="BU203" s="482"/>
      <c r="BV203" s="482"/>
      <c r="BW203" s="482"/>
      <c r="BX203" s="482"/>
    </row>
    <row r="204" spans="1:86">
      <c r="C204" s="469">
        <v>3</v>
      </c>
      <c r="D204" s="505" t="s">
        <v>190</v>
      </c>
      <c r="E204" s="1456">
        <f>SUM(E34:I34)+K34+L34</f>
        <v>0</v>
      </c>
      <c r="F204" s="1456">
        <f>SUM(O34:U34)</f>
        <v>0</v>
      </c>
      <c r="G204" s="1456">
        <f>SUM(E35:I36,K35:L36)</f>
        <v>0</v>
      </c>
      <c r="H204" s="1456">
        <f>SUM(O35:U36)</f>
        <v>0</v>
      </c>
      <c r="I204" s="1456">
        <f>SUM(E31:I33,K31:K33)</f>
        <v>1501</v>
      </c>
      <c r="J204" s="1456">
        <f>SUM(O31:T33)</f>
        <v>0</v>
      </c>
      <c r="O204" s="491"/>
      <c r="Q204" s="491"/>
      <c r="R204" s="491"/>
      <c r="S204" s="491"/>
      <c r="T204" s="491"/>
      <c r="U204" s="1456" t="s">
        <v>113</v>
      </c>
      <c r="V204" s="1456"/>
      <c r="W204" s="1456">
        <f t="shared" si="99"/>
        <v>0</v>
      </c>
      <c r="X204" s="1832">
        <f t="shared" si="100"/>
        <v>0</v>
      </c>
      <c r="Y204" s="491"/>
      <c r="Z204" s="491"/>
      <c r="AA204" s="491"/>
      <c r="AB204" s="520"/>
      <c r="BO204" s="482"/>
      <c r="BP204" s="482"/>
      <c r="BQ204" s="482"/>
      <c r="BR204" s="482"/>
      <c r="BS204" s="482"/>
      <c r="BT204" s="482"/>
      <c r="BU204" s="482"/>
      <c r="BV204" s="482"/>
      <c r="BW204" s="482"/>
      <c r="BX204" s="482"/>
    </row>
    <row r="205" spans="1:86">
      <c r="D205" s="505" t="s">
        <v>279</v>
      </c>
      <c r="E205" s="1456">
        <f>SUM(E72:I72)+K72+L72</f>
        <v>0</v>
      </c>
      <c r="F205" s="1456">
        <f>SUM(O72:U72)</f>
        <v>0</v>
      </c>
      <c r="G205" s="1456">
        <f>SUM(E73:I74,K73:L74)</f>
        <v>0</v>
      </c>
      <c r="H205" s="1456">
        <f>SUM(O73:U74)</f>
        <v>0</v>
      </c>
      <c r="I205" s="1456">
        <f>SUM(E69:I71,K69:K71)</f>
        <v>889</v>
      </c>
      <c r="J205" s="1456">
        <f>SUM(O69:T71)</f>
        <v>0</v>
      </c>
      <c r="Q205" s="491"/>
      <c r="R205" s="491"/>
      <c r="S205" s="491"/>
      <c r="T205" s="491"/>
      <c r="U205" s="1456"/>
      <c r="V205" s="1456"/>
      <c r="W205" s="1456">
        <f>SUM(W199:W204)</f>
        <v>-1982</v>
      </c>
      <c r="X205" s="1833">
        <f>SUM(X199:X204)</f>
        <v>1</v>
      </c>
      <c r="Y205" s="491"/>
      <c r="Z205" s="491"/>
      <c r="AA205" s="491"/>
      <c r="BO205" s="482"/>
      <c r="BP205" s="482"/>
      <c r="BQ205" s="482"/>
      <c r="BR205" s="482"/>
      <c r="BS205" s="482"/>
      <c r="BT205" s="482"/>
      <c r="BU205" s="482"/>
      <c r="BV205" s="482"/>
      <c r="BW205" s="482"/>
      <c r="BX205" s="482"/>
    </row>
    <row r="206" spans="1:86">
      <c r="D206" s="505" t="s">
        <v>76</v>
      </c>
      <c r="E206" s="1456">
        <f>SUM(E130:I130)+K130+L130</f>
        <v>11</v>
      </c>
      <c r="F206" s="1456">
        <f>SUM(O130:U130)</f>
        <v>0</v>
      </c>
      <c r="G206" s="1456">
        <f>SUM(E131:I132,K131:K132)</f>
        <v>1</v>
      </c>
      <c r="H206" s="1456">
        <f>SUM(O131:U132)</f>
        <v>0</v>
      </c>
      <c r="I206" s="1456">
        <f>SUM(E127:I129,K127:K129)</f>
        <v>0</v>
      </c>
      <c r="J206" s="1456">
        <f>SUM(O127:T129)</f>
        <v>0</v>
      </c>
      <c r="Q206" s="491"/>
      <c r="R206" s="491"/>
      <c r="S206" s="491"/>
      <c r="T206" s="491"/>
      <c r="U206" s="491"/>
      <c r="V206" s="491"/>
      <c r="W206" s="491"/>
      <c r="X206" s="491"/>
      <c r="Y206" s="491"/>
      <c r="Z206" s="491"/>
      <c r="AA206" s="491"/>
      <c r="BO206" s="482"/>
      <c r="BP206" s="482"/>
      <c r="BQ206" s="482"/>
      <c r="BR206" s="482"/>
      <c r="BS206" s="482"/>
      <c r="BT206" s="482"/>
      <c r="BU206" s="482"/>
      <c r="BV206" s="482"/>
      <c r="BW206" s="482"/>
      <c r="BX206" s="482"/>
    </row>
    <row r="207" spans="1:86" s="463" customFormat="1">
      <c r="D207" s="1457" t="s">
        <v>71</v>
      </c>
      <c r="E207" s="1454">
        <f>SUM(E200:E206)</f>
        <v>166</v>
      </c>
      <c r="F207" s="1454">
        <f>SUM(F200:F206)</f>
        <v>0</v>
      </c>
      <c r="G207" s="1454">
        <f>SUM(G200:G206)</f>
        <v>1</v>
      </c>
      <c r="H207" s="1454">
        <f>SUM(H200:H206)</f>
        <v>-1</v>
      </c>
      <c r="I207" s="1454">
        <f>SUM(I200:I206)</f>
        <v>2390</v>
      </c>
      <c r="J207" s="1454">
        <f>SUM(J200:J205)</f>
        <v>-2143</v>
      </c>
      <c r="K207" s="1458">
        <f>SUM(E207:J207)</f>
        <v>413</v>
      </c>
      <c r="L207" s="1520"/>
      <c r="P207" s="464"/>
      <c r="AH207" s="466"/>
      <c r="AI207" s="466"/>
      <c r="AJ207" s="466"/>
      <c r="AK207" s="466"/>
      <c r="AL207" s="466"/>
      <c r="AM207" s="466"/>
      <c r="AN207" s="485"/>
      <c r="AO207" s="466"/>
      <c r="AP207" s="466"/>
      <c r="AQ207" s="466"/>
      <c r="AR207" s="466"/>
      <c r="AS207" s="466"/>
      <c r="AT207" s="466"/>
      <c r="AU207" s="466"/>
      <c r="AV207" s="466"/>
      <c r="AW207" s="466"/>
      <c r="AX207" s="466"/>
      <c r="AY207" s="466"/>
      <c r="AZ207" s="466"/>
      <c r="BA207" s="466"/>
      <c r="BB207" s="466"/>
      <c r="BC207" s="466"/>
      <c r="BD207" s="466"/>
      <c r="BE207" s="466"/>
      <c r="BF207" s="466"/>
      <c r="BG207" s="466"/>
      <c r="BH207" s="466"/>
      <c r="BI207" s="466"/>
      <c r="BJ207" s="466"/>
      <c r="BK207" s="466"/>
      <c r="BL207" s="466"/>
      <c r="BM207" s="466"/>
      <c r="BN207" s="466"/>
      <c r="BO207" s="515"/>
      <c r="BP207" s="515"/>
      <c r="BQ207" s="515"/>
      <c r="BR207" s="515"/>
      <c r="BS207" s="515"/>
      <c r="BT207" s="515"/>
      <c r="BU207" s="515"/>
      <c r="BV207" s="515"/>
      <c r="BW207" s="515"/>
      <c r="BX207" s="515"/>
    </row>
    <row r="208" spans="1:86">
      <c r="X208" s="491"/>
      <c r="Y208" s="491"/>
      <c r="Z208" s="491"/>
      <c r="AA208" s="491">
        <f>+X192+'[31]Sales USD'!$T$12</f>
        <v>3418</v>
      </c>
      <c r="AB208" s="491"/>
      <c r="AD208" s="491"/>
      <c r="AE208" s="491"/>
      <c r="AF208" s="572"/>
      <c r="BO208" s="482"/>
      <c r="BP208" s="482"/>
      <c r="BQ208" s="482"/>
      <c r="BR208" s="482"/>
      <c r="BS208" s="482"/>
      <c r="BT208" s="482"/>
      <c r="BU208" s="482"/>
      <c r="BV208" s="482"/>
      <c r="BW208" s="482"/>
      <c r="BX208" s="482"/>
    </row>
    <row r="209" spans="4:76">
      <c r="X209" s="491">
        <f>+X192+'[3]Sales USD'!$T$12</f>
        <v>0</v>
      </c>
      <c r="Y209" s="491"/>
      <c r="AB209" s="491"/>
      <c r="AD209" s="491"/>
      <c r="AE209" s="491"/>
      <c r="AF209" s="520"/>
      <c r="BO209" s="482"/>
      <c r="BP209" s="482"/>
      <c r="BQ209" s="482"/>
      <c r="BR209" s="482"/>
      <c r="BS209" s="482"/>
      <c r="BT209" s="482"/>
      <c r="BU209" s="482"/>
      <c r="BV209" s="482"/>
      <c r="BW209" s="482"/>
      <c r="BX209" s="482"/>
    </row>
    <row r="210" spans="4:76">
      <c r="AB210" s="491"/>
      <c r="AD210" s="491"/>
      <c r="AE210" s="491"/>
      <c r="BO210" s="482"/>
      <c r="BP210" s="482"/>
      <c r="BQ210" s="482"/>
      <c r="BR210" s="482"/>
      <c r="BS210" s="482"/>
      <c r="BT210" s="482"/>
      <c r="BU210" s="482"/>
      <c r="BV210" s="482"/>
      <c r="BW210" s="482"/>
      <c r="BX210" s="482"/>
    </row>
    <row r="211" spans="4:76">
      <c r="X211" s="491"/>
      <c r="Y211" s="491"/>
      <c r="Z211" s="491"/>
      <c r="AA211" s="491"/>
      <c r="AB211" s="491"/>
      <c r="AD211" s="491"/>
      <c r="AE211" s="491"/>
      <c r="BO211" s="482"/>
      <c r="BP211" s="482"/>
      <c r="BQ211" s="482"/>
      <c r="BR211" s="482"/>
      <c r="BS211" s="482"/>
      <c r="BT211" s="482"/>
      <c r="BU211" s="482"/>
      <c r="BV211" s="482"/>
      <c r="BW211" s="482"/>
      <c r="BX211" s="482"/>
    </row>
    <row r="212" spans="4:76">
      <c r="AE212" s="491"/>
      <c r="BO212" s="482"/>
      <c r="BP212" s="482"/>
      <c r="BQ212" s="482"/>
      <c r="BR212" s="482"/>
      <c r="BS212" s="482"/>
      <c r="BT212" s="482"/>
      <c r="BU212" s="482"/>
      <c r="BV212" s="482"/>
      <c r="BW212" s="482"/>
      <c r="BX212" s="482"/>
    </row>
    <row r="213" spans="4:76">
      <c r="W213" s="463"/>
      <c r="X213" s="464"/>
      <c r="Y213" s="464"/>
      <c r="Z213" s="464"/>
      <c r="AA213" s="464"/>
      <c r="AB213" s="464"/>
      <c r="AC213" s="464"/>
      <c r="AD213" s="464"/>
      <c r="AE213" s="464"/>
      <c r="BO213" s="482"/>
      <c r="BP213" s="482"/>
      <c r="BQ213" s="482"/>
      <c r="BR213" s="482"/>
      <c r="BS213" s="482"/>
      <c r="BT213" s="482"/>
      <c r="BU213" s="482"/>
      <c r="BV213" s="482"/>
      <c r="BW213" s="482"/>
      <c r="BX213" s="482"/>
    </row>
    <row r="214" spans="4:76">
      <c r="BO214" s="482"/>
      <c r="BP214" s="482"/>
      <c r="BQ214" s="482"/>
      <c r="BR214" s="482"/>
      <c r="BS214" s="482"/>
      <c r="BT214" s="482"/>
      <c r="BU214" s="482"/>
      <c r="BV214" s="482"/>
      <c r="BW214" s="482"/>
      <c r="BX214" s="482"/>
    </row>
    <row r="215" spans="4:76">
      <c r="D215" s="487"/>
      <c r="E215" s="487"/>
      <c r="F215" s="487"/>
      <c r="G215" s="487"/>
      <c r="H215" s="487"/>
      <c r="I215" s="487"/>
      <c r="J215" s="487"/>
      <c r="K215" s="487"/>
      <c r="L215" s="487"/>
      <c r="BO215" s="482"/>
      <c r="BP215" s="482"/>
      <c r="BQ215" s="482"/>
      <c r="BR215" s="482"/>
      <c r="BS215" s="482"/>
      <c r="BT215" s="482"/>
      <c r="BU215" s="482"/>
      <c r="BV215" s="482"/>
      <c r="BW215" s="482"/>
      <c r="BX215" s="482"/>
    </row>
    <row r="218" spans="4:76">
      <c r="BR218" s="469"/>
      <c r="BS218" s="469"/>
    </row>
    <row r="223" spans="4:76">
      <c r="N223" s="491"/>
    </row>
    <row r="227" spans="13:76">
      <c r="BT227" s="469"/>
      <c r="BU227" s="469"/>
      <c r="BV227" s="469"/>
      <c r="BW227" s="469"/>
      <c r="BX227" s="469"/>
    </row>
    <row r="228" spans="13:76">
      <c r="BO228" s="467"/>
      <c r="BP228" s="467"/>
      <c r="BQ228" s="467"/>
      <c r="BT228" s="469"/>
      <c r="BU228" s="469"/>
      <c r="BV228" s="469"/>
      <c r="BW228" s="469"/>
      <c r="BX228" s="469"/>
    </row>
    <row r="229" spans="13:76">
      <c r="BT229" s="469"/>
      <c r="BU229" s="469"/>
      <c r="BV229" s="469"/>
      <c r="BW229" s="469"/>
      <c r="BX229" s="469"/>
    </row>
    <row r="230" spans="13:76">
      <c r="BT230" s="469"/>
      <c r="BU230" s="469"/>
      <c r="BV230" s="469"/>
      <c r="BW230" s="469"/>
      <c r="BX230" s="469"/>
    </row>
    <row r="231" spans="13:76">
      <c r="BT231" s="469"/>
      <c r="BU231" s="469"/>
      <c r="BV231" s="469"/>
      <c r="BW231" s="469"/>
      <c r="BX231" s="469"/>
    </row>
    <row r="232" spans="13:76">
      <c r="BT232" s="469"/>
      <c r="BU232" s="469"/>
      <c r="BV232" s="469"/>
      <c r="BW232" s="469"/>
      <c r="BX232" s="469"/>
    </row>
    <row r="233" spans="13:76">
      <c r="BT233" s="469"/>
      <c r="BU233" s="469"/>
      <c r="BV233" s="469"/>
      <c r="BW233" s="469"/>
      <c r="BX233" s="469"/>
    </row>
    <row r="234" spans="13:76">
      <c r="BO234" s="467"/>
      <c r="BP234" s="467"/>
      <c r="BQ234" s="467"/>
      <c r="BR234" s="467"/>
      <c r="BS234" s="467"/>
      <c r="BT234" s="469"/>
      <c r="BU234" s="469"/>
      <c r="BV234" s="469"/>
      <c r="BW234" s="469"/>
      <c r="BX234" s="469"/>
    </row>
    <row r="235" spans="13:76">
      <c r="BT235" s="469"/>
      <c r="BU235" s="469"/>
      <c r="BV235" s="469"/>
      <c r="BW235" s="469"/>
      <c r="BX235" s="469"/>
    </row>
    <row r="236" spans="13:76">
      <c r="BT236" s="469"/>
      <c r="BU236" s="469"/>
      <c r="BV236" s="469"/>
      <c r="BW236" s="469"/>
      <c r="BX236" s="469"/>
    </row>
    <row r="237" spans="13:76">
      <c r="M237" s="569"/>
      <c r="BT237" s="469"/>
      <c r="BU237" s="469"/>
      <c r="BV237" s="469"/>
      <c r="BW237" s="469"/>
      <c r="BX237" s="469"/>
    </row>
    <row r="238" spans="13:76">
      <c r="M238" s="569"/>
      <c r="BT238" s="469"/>
      <c r="BU238" s="469"/>
      <c r="BV238" s="469"/>
      <c r="BW238" s="469"/>
      <c r="BX238" s="469"/>
    </row>
    <row r="239" spans="13:76">
      <c r="M239" s="569"/>
      <c r="BT239" s="469"/>
      <c r="BU239" s="469"/>
      <c r="BV239" s="469"/>
      <c r="BW239" s="469"/>
      <c r="BX239" s="469"/>
    </row>
    <row r="240" spans="13:76">
      <c r="BT240" s="469"/>
      <c r="BU240" s="469"/>
      <c r="BV240" s="469"/>
      <c r="BW240" s="469"/>
      <c r="BX240" s="469"/>
    </row>
    <row r="241" spans="3:76">
      <c r="D241" s="491"/>
      <c r="E241" s="491"/>
      <c r="F241" s="491"/>
      <c r="G241" s="491"/>
      <c r="H241" s="491"/>
      <c r="I241" s="491"/>
      <c r="J241" s="491"/>
      <c r="K241" s="491"/>
      <c r="L241" s="491"/>
      <c r="BT241" s="469"/>
      <c r="BU241" s="469"/>
      <c r="BV241" s="469"/>
      <c r="BW241" s="469"/>
      <c r="BX241" s="469"/>
    </row>
    <row r="242" spans="3:76">
      <c r="BT242" s="469"/>
      <c r="BU242" s="469"/>
      <c r="BV242" s="469"/>
      <c r="BW242" s="469"/>
      <c r="BX242" s="469"/>
    </row>
    <row r="243" spans="3:76">
      <c r="C243" s="520"/>
      <c r="BE243" s="469"/>
      <c r="BF243" s="469"/>
      <c r="BG243" s="469"/>
      <c r="BH243" s="469"/>
      <c r="BI243" s="469"/>
      <c r="BJ243" s="469"/>
      <c r="BK243" s="469"/>
      <c r="BL243" s="469"/>
      <c r="BM243" s="469"/>
      <c r="BN243" s="469"/>
      <c r="BO243" s="469"/>
      <c r="BP243" s="469"/>
      <c r="BQ243" s="469"/>
      <c r="BR243" s="469"/>
      <c r="BS243" s="469"/>
      <c r="BT243" s="469"/>
      <c r="BU243" s="469"/>
      <c r="BV243" s="469"/>
      <c r="BW243" s="469"/>
      <c r="BX243" s="469"/>
    </row>
  </sheetData>
  <mergeCells count="25">
    <mergeCell ref="N125:AC125"/>
    <mergeCell ref="N87:AC87"/>
    <mergeCell ref="N106:AC106"/>
    <mergeCell ref="N184:AC184"/>
    <mergeCell ref="E198:F198"/>
    <mergeCell ref="G198:H198"/>
    <mergeCell ref="I198:J198"/>
    <mergeCell ref="C106:L106"/>
    <mergeCell ref="C125:L125"/>
    <mergeCell ref="C144:L144"/>
    <mergeCell ref="N144:AC144"/>
    <mergeCell ref="C184:L184"/>
    <mergeCell ref="C87:L87"/>
    <mergeCell ref="C163:L163"/>
    <mergeCell ref="N163:AC163"/>
    <mergeCell ref="A10:B10"/>
    <mergeCell ref="N10:AC10"/>
    <mergeCell ref="A29:B29"/>
    <mergeCell ref="N67:AC67"/>
    <mergeCell ref="N48:AC48"/>
    <mergeCell ref="N29:AC29"/>
    <mergeCell ref="C10:L10"/>
    <mergeCell ref="C29:L29"/>
    <mergeCell ref="C48:L48"/>
    <mergeCell ref="C67:L67"/>
  </mergeCells>
  <phoneticPr fontId="0" type="noConversion"/>
  <pageMargins left="0.23622047244094491" right="0" top="0.23622047244094491" bottom="0" header="0.51181102362204722" footer="0.51181102362204722"/>
  <pageSetup scale="20" orientation="landscape" r:id="rId1"/>
  <headerFooter alignWithMargins="0"/>
  <rowBreaks count="1" manualBreakCount="1">
    <brk id="85" max="28" man="1"/>
  </row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FFFF00"/>
  </sheetPr>
  <dimension ref="A1:DH309"/>
  <sheetViews>
    <sheetView view="pageBreakPreview" zoomScale="70" zoomScaleNormal="100" zoomScaleSheetLayoutView="59" workbookViewId="0">
      <pane xSplit="2" ySplit="1" topLeftCell="C109" activePane="bottomRight" state="frozen"/>
      <selection pane="bottomRight" activeCell="C139" sqref="C139"/>
      <selection pane="bottomLeft" activeCell="A4" sqref="A4"/>
      <selection pane="topRight" activeCell="C1" sqref="C1"/>
    </sheetView>
  </sheetViews>
  <sheetFormatPr defaultColWidth="9.140625" defaultRowHeight="13.9"/>
  <cols>
    <col min="1" max="1" width="14" style="354" bestFit="1" customWidth="1"/>
    <col min="2" max="3" width="16" style="354" customWidth="1"/>
    <col min="4" max="4" width="18.28515625" style="354" customWidth="1"/>
    <col min="5" max="6" width="14" style="354" customWidth="1"/>
    <col min="7" max="7" width="27.7109375" style="354" bestFit="1" customWidth="1"/>
    <col min="8" max="8" width="23.140625" style="354" bestFit="1" customWidth="1"/>
    <col min="9" max="10" width="14" style="354" customWidth="1"/>
    <col min="11" max="11" width="17" style="354" customWidth="1"/>
    <col min="12" max="12" width="14" style="354" customWidth="1"/>
    <col min="13" max="13" width="18.5703125" style="354" customWidth="1"/>
    <col min="14" max="14" width="14" style="354" customWidth="1"/>
    <col min="15" max="15" width="18.28515625" style="354" bestFit="1" customWidth="1"/>
    <col min="16" max="28" width="14" style="354" customWidth="1"/>
    <col min="29" max="29" width="18.28515625" style="354" bestFit="1" customWidth="1"/>
    <col min="30" max="57" width="18.28515625" style="354" customWidth="1"/>
    <col min="58" max="58" width="23.85546875" style="354" customWidth="1"/>
    <col min="59" max="59" width="16.140625" style="354" bestFit="1" customWidth="1"/>
    <col min="60" max="61" width="14" style="354" bestFit="1" customWidth="1"/>
    <col min="62" max="62" width="16.42578125" style="354" bestFit="1" customWidth="1"/>
    <col min="63" max="63" width="22.140625" style="354" bestFit="1" customWidth="1"/>
    <col min="64" max="64" width="18.140625" style="354" bestFit="1" customWidth="1"/>
    <col min="65" max="65" width="15" style="354" customWidth="1"/>
    <col min="66" max="66" width="17.7109375" style="354" bestFit="1" customWidth="1"/>
    <col min="67" max="67" width="21.7109375" style="354" bestFit="1" customWidth="1"/>
    <col min="68" max="69" width="18.28515625" style="354" bestFit="1" customWidth="1"/>
    <col min="70" max="70" width="21" style="354" bestFit="1" customWidth="1"/>
    <col min="71" max="71" width="19.28515625" style="354" bestFit="1" customWidth="1"/>
    <col min="72" max="72" width="13.7109375" style="354" bestFit="1" customWidth="1"/>
    <col min="73" max="73" width="17.140625" style="354" bestFit="1" customWidth="1"/>
    <col min="74" max="74" width="16.5703125" style="354" customWidth="1"/>
    <col min="75" max="75" width="13" style="354" customWidth="1"/>
    <col min="76" max="76" width="15.5703125" style="354" customWidth="1"/>
    <col min="77" max="77" width="17.140625" style="354" customWidth="1"/>
    <col min="78" max="78" width="17.140625" style="354" bestFit="1" customWidth="1"/>
    <col min="79" max="79" width="19.5703125" style="354" bestFit="1" customWidth="1"/>
    <col min="80" max="80" width="14.85546875" style="354" customWidth="1"/>
    <col min="81" max="81" width="20.28515625" style="354" bestFit="1" customWidth="1"/>
    <col min="82" max="82" width="23.85546875" style="354" bestFit="1" customWidth="1"/>
    <col min="83" max="83" width="19.5703125" style="354" bestFit="1" customWidth="1"/>
    <col min="84" max="84" width="15.5703125" style="354" bestFit="1" customWidth="1"/>
    <col min="85" max="85" width="18.28515625" style="354" bestFit="1" customWidth="1"/>
    <col min="86" max="86" width="16.85546875" style="354" bestFit="1" customWidth="1"/>
    <col min="87" max="87" width="13.28515625" style="354" bestFit="1" customWidth="1"/>
    <col min="88" max="88" width="14" style="354" customWidth="1"/>
    <col min="89" max="89" width="17.140625" style="354" bestFit="1" customWidth="1"/>
    <col min="90" max="90" width="17.85546875" style="354" bestFit="1" customWidth="1"/>
    <col min="91" max="91" width="17.85546875" style="354" customWidth="1"/>
    <col min="92" max="92" width="17.7109375" style="354" bestFit="1" customWidth="1"/>
    <col min="93" max="93" width="20.28515625" style="354" bestFit="1" customWidth="1"/>
    <col min="94" max="94" width="23.85546875" style="354" bestFit="1" customWidth="1"/>
    <col min="95" max="95" width="15.7109375" style="354" customWidth="1"/>
    <col min="96" max="96" width="16" style="354" customWidth="1"/>
    <col min="97" max="97" width="20.28515625" style="354" bestFit="1" customWidth="1"/>
    <col min="98" max="98" width="23.85546875" style="354" bestFit="1" customWidth="1"/>
    <col min="99" max="99" width="19.5703125" style="354" bestFit="1" customWidth="1"/>
    <col min="100" max="100" width="15.5703125" style="354" bestFit="1" customWidth="1"/>
    <col min="101" max="101" width="18.28515625" style="354" bestFit="1" customWidth="1"/>
    <col min="102" max="102" width="13.7109375" style="354" bestFit="1" customWidth="1"/>
    <col min="103" max="103" width="12.7109375" style="354" bestFit="1" customWidth="1"/>
    <col min="104" max="104" width="18" style="354" bestFit="1" customWidth="1"/>
    <col min="105" max="105" width="17.140625" style="354" bestFit="1" customWidth="1"/>
    <col min="106" max="106" width="17.85546875" style="354" bestFit="1" customWidth="1"/>
    <col min="107" max="107" width="17.85546875" style="354" customWidth="1"/>
    <col min="108" max="108" width="14" style="354" bestFit="1" customWidth="1"/>
    <col min="109" max="109" width="20.28515625" style="354" bestFit="1" customWidth="1"/>
    <col min="110" max="110" width="23.85546875" style="354" bestFit="1" customWidth="1"/>
    <col min="111" max="111" width="16.42578125" style="354" customWidth="1"/>
    <col min="112" max="112" width="14.42578125" style="354" customWidth="1"/>
    <col min="113" max="113" width="12.42578125" style="354" customWidth="1"/>
    <col min="114" max="114" width="17.140625" style="354" customWidth="1"/>
    <col min="115" max="115" width="15.7109375" style="354" customWidth="1"/>
    <col min="116" max="116" width="15.42578125" style="354" customWidth="1"/>
    <col min="117" max="117" width="14.42578125" style="354" bestFit="1" customWidth="1"/>
    <col min="118" max="118" width="13.7109375" style="354" bestFit="1" customWidth="1"/>
    <col min="119" max="119" width="12.7109375" style="354" bestFit="1" customWidth="1"/>
    <col min="120" max="120" width="13.42578125" style="354" bestFit="1" customWidth="1"/>
    <col min="121" max="121" width="17.140625" style="354" bestFit="1" customWidth="1"/>
    <col min="122" max="122" width="17.85546875" style="354" bestFit="1" customWidth="1"/>
    <col min="123" max="123" width="17.85546875" style="354" customWidth="1"/>
    <col min="124" max="124" width="14" style="354" bestFit="1" customWidth="1"/>
    <col min="125" max="125" width="20.28515625" style="354" bestFit="1" customWidth="1"/>
    <col min="126" max="126" width="23.85546875" style="354" bestFit="1" customWidth="1"/>
    <col min="127" max="127" width="16.140625" style="354" customWidth="1"/>
    <col min="128" max="128" width="15.140625" style="354" customWidth="1"/>
    <col min="129" max="129" width="20.28515625" style="354" bestFit="1" customWidth="1"/>
    <col min="130" max="130" width="23.85546875" style="354" bestFit="1" customWidth="1"/>
    <col min="131" max="131" width="19.5703125" style="354" bestFit="1" customWidth="1"/>
    <col min="132" max="132" width="20.28515625" style="354" customWidth="1"/>
    <col min="133" max="133" width="14.42578125" style="354" bestFit="1" customWidth="1"/>
    <col min="134" max="134" width="13.7109375" style="354" bestFit="1" customWidth="1"/>
    <col min="135" max="135" width="20.42578125" style="354" bestFit="1" customWidth="1"/>
    <col min="136" max="136" width="13.42578125" style="354" customWidth="1"/>
    <col min="137" max="137" width="17.140625" style="354" bestFit="1" customWidth="1"/>
    <col min="138" max="138" width="17.85546875" style="354" bestFit="1" customWidth="1"/>
    <col min="139" max="139" width="17.85546875" style="354" customWidth="1"/>
    <col min="140" max="140" width="12.7109375" style="354" bestFit="1" customWidth="1"/>
    <col min="141" max="141" width="20.28515625" style="354" bestFit="1" customWidth="1"/>
    <col min="142" max="142" width="23.85546875" style="354" bestFit="1" customWidth="1"/>
    <col min="143" max="143" width="15.7109375" style="354" customWidth="1"/>
    <col min="144" max="144" width="15.140625" style="354" customWidth="1"/>
    <col min="145" max="145" width="20.28515625" style="354" bestFit="1" customWidth="1"/>
    <col min="146" max="146" width="23.85546875" style="354" bestFit="1" customWidth="1"/>
    <col min="147" max="147" width="19.5703125" style="354" bestFit="1" customWidth="1"/>
    <col min="148" max="148" width="19" style="354" customWidth="1"/>
    <col min="149" max="149" width="14.42578125" style="354" bestFit="1" customWidth="1"/>
    <col min="150" max="150" width="13.7109375" style="354" bestFit="1" customWidth="1"/>
    <col min="151" max="151" width="17.140625" style="354" bestFit="1" customWidth="1"/>
    <col min="152" max="152" width="17.85546875" style="354" bestFit="1" customWidth="1"/>
    <col min="153" max="153" width="17.140625" style="354" bestFit="1" customWidth="1"/>
    <col min="154" max="154" width="20.28515625" style="354" bestFit="1" customWidth="1"/>
    <col min="155" max="155" width="20.28515625" style="354" customWidth="1"/>
    <col min="156" max="156" width="18.7109375" style="354" customWidth="1"/>
    <col min="157" max="157" width="20.28515625" style="354" bestFit="1" customWidth="1"/>
    <col min="158" max="158" width="23.85546875" style="354" bestFit="1" customWidth="1"/>
    <col min="159" max="159" width="16.42578125" style="354" customWidth="1"/>
    <col min="160" max="160" width="15.5703125" style="354" customWidth="1"/>
    <col min="161" max="161" width="20.28515625" style="354" bestFit="1" customWidth="1"/>
    <col min="162" max="162" width="15.85546875" style="354" bestFit="1" customWidth="1"/>
    <col min="163" max="163" width="22" style="354" bestFit="1" customWidth="1"/>
    <col min="164" max="165" width="14.42578125" style="354" bestFit="1" customWidth="1"/>
    <col min="166" max="166" width="15.85546875" style="354" bestFit="1" customWidth="1"/>
    <col min="167" max="167" width="12.7109375" style="354" bestFit="1" customWidth="1"/>
    <col min="168" max="168" width="13.42578125" style="354" bestFit="1" customWidth="1"/>
    <col min="169" max="169" width="17.140625" style="354" bestFit="1" customWidth="1"/>
    <col min="170" max="170" width="17.85546875" style="354" bestFit="1" customWidth="1"/>
    <col min="171" max="171" width="17.85546875" style="354" customWidth="1"/>
    <col min="172" max="172" width="14" style="354" bestFit="1" customWidth="1"/>
    <col min="173" max="173" width="20.28515625" style="354" bestFit="1" customWidth="1"/>
    <col min="174" max="174" width="23.85546875" style="354" bestFit="1" customWidth="1"/>
    <col min="175" max="175" width="15.7109375" style="354" customWidth="1"/>
    <col min="176" max="176" width="16.85546875" style="354" customWidth="1"/>
    <col min="177" max="177" width="20.28515625" style="354" bestFit="1" customWidth="1"/>
    <col min="178" max="178" width="23.85546875" style="354" bestFit="1" customWidth="1"/>
    <col min="179" max="179" width="23.85546875" style="354" customWidth="1"/>
    <col min="180" max="180" width="22" style="354" bestFit="1" customWidth="1"/>
    <col min="181" max="181" width="16.42578125" style="354" customWidth="1"/>
    <col min="182" max="182" width="14.42578125" style="354" bestFit="1" customWidth="1"/>
    <col min="183" max="183" width="15.85546875" style="354" bestFit="1" customWidth="1"/>
    <col min="184" max="184" width="12.7109375" style="354" bestFit="1" customWidth="1"/>
    <col min="185" max="185" width="13.42578125" style="354" bestFit="1" customWidth="1"/>
    <col min="186" max="186" width="17.140625" style="354" bestFit="1" customWidth="1"/>
    <col min="187" max="187" width="17.85546875" style="354" bestFit="1" customWidth="1"/>
    <col min="188" max="188" width="17.85546875" style="354" customWidth="1"/>
    <col min="189" max="189" width="14" style="354" bestFit="1" customWidth="1"/>
    <col min="190" max="190" width="20.28515625" style="354" bestFit="1" customWidth="1"/>
    <col min="191" max="191" width="23.85546875" style="354" bestFit="1" customWidth="1"/>
    <col min="192" max="192" width="15.140625" style="354" customWidth="1"/>
    <col min="193" max="193" width="15.85546875" style="354" customWidth="1"/>
    <col min="194" max="194" width="20.28515625" style="354" bestFit="1" customWidth="1"/>
    <col min="195" max="195" width="23.85546875" style="354" bestFit="1" customWidth="1"/>
    <col min="196" max="196" width="23.85546875" style="354" customWidth="1"/>
    <col min="197" max="197" width="22" style="354" bestFit="1" customWidth="1"/>
    <col min="198" max="199" width="14.42578125" style="354" bestFit="1" customWidth="1"/>
    <col min="200" max="200" width="13.28515625" style="354" bestFit="1" customWidth="1"/>
    <col min="201" max="201" width="12.7109375" style="354" bestFit="1" customWidth="1"/>
    <col min="202" max="202" width="13.42578125" style="354" bestFit="1" customWidth="1"/>
    <col min="203" max="203" width="17.140625" style="354" bestFit="1" customWidth="1"/>
    <col min="204" max="204" width="17.85546875" style="354" bestFit="1" customWidth="1"/>
    <col min="205" max="205" width="17.85546875" style="354" customWidth="1"/>
    <col min="206" max="206" width="14" style="354" bestFit="1" customWidth="1"/>
    <col min="207" max="207" width="20.28515625" style="354" bestFit="1" customWidth="1"/>
    <col min="208" max="208" width="23.85546875" style="354" bestFit="1" customWidth="1"/>
    <col min="209" max="209" width="15.42578125" style="354" customWidth="1"/>
    <col min="210" max="210" width="17.140625" style="354" customWidth="1"/>
    <col min="211" max="211" width="20.28515625" style="354" bestFit="1" customWidth="1"/>
    <col min="212" max="212" width="23.85546875" style="354" bestFit="1" customWidth="1"/>
    <col min="213" max="213" width="23.85546875" style="354" customWidth="1"/>
    <col min="214" max="214" width="22" style="354" bestFit="1" customWidth="1"/>
    <col min="215" max="215" width="18" style="354" customWidth="1"/>
    <col min="216" max="216" width="14.42578125" style="354" bestFit="1" customWidth="1"/>
    <col min="217" max="217" width="15.85546875" style="354" bestFit="1" customWidth="1"/>
    <col min="218" max="218" width="20.42578125" style="354" bestFit="1" customWidth="1"/>
    <col min="219" max="219" width="13.42578125" style="354" bestFit="1" customWidth="1"/>
    <col min="220" max="220" width="17.140625" style="354" bestFit="1" customWidth="1"/>
    <col min="221" max="221" width="17.85546875" style="354" bestFit="1" customWidth="1"/>
    <col min="222" max="222" width="17.85546875" style="354" customWidth="1"/>
    <col min="223" max="223" width="14" style="354" bestFit="1" customWidth="1"/>
    <col min="224" max="224" width="20.28515625" style="354" bestFit="1" customWidth="1"/>
    <col min="225" max="225" width="23.85546875" style="354" bestFit="1" customWidth="1"/>
    <col min="226" max="226" width="23.85546875" style="354" customWidth="1"/>
    <col min="227" max="227" width="20.42578125" style="354" customWidth="1"/>
    <col min="228" max="228" width="20.7109375" style="354" customWidth="1"/>
    <col min="229" max="229" width="23.85546875" style="354" bestFit="1" customWidth="1"/>
    <col min="230" max="230" width="23.85546875" style="354" customWidth="1"/>
    <col min="231" max="231" width="22" style="354" bestFit="1" customWidth="1"/>
    <col min="232" max="232" width="17.140625" style="354" customWidth="1"/>
    <col min="233" max="233" width="14.42578125" style="354" bestFit="1" customWidth="1"/>
    <col min="234" max="234" width="15.85546875" style="354" bestFit="1" customWidth="1"/>
    <col min="235" max="235" width="20.42578125" style="354" bestFit="1" customWidth="1"/>
    <col min="236" max="236" width="13.42578125" style="354" bestFit="1" customWidth="1"/>
    <col min="237" max="237" width="9.28515625" style="354" bestFit="1" customWidth="1"/>
    <col min="238" max="238" width="8.140625" style="354" bestFit="1" customWidth="1"/>
    <col min="239" max="239" width="9.85546875" style="354" bestFit="1" customWidth="1"/>
    <col min="240" max="240" width="14" style="354" bestFit="1" customWidth="1"/>
    <col min="241" max="241" width="20.28515625" style="354" bestFit="1" customWidth="1"/>
    <col min="242" max="242" width="17.140625" style="354" bestFit="1" customWidth="1"/>
    <col min="243" max="243" width="18.7109375" style="354" customWidth="1"/>
    <col min="244" max="244" width="16.5703125" style="354" customWidth="1"/>
    <col min="245" max="245" width="21.85546875" style="354" customWidth="1"/>
    <col min="246" max="246" width="23.85546875" style="354" bestFit="1" customWidth="1"/>
    <col min="247" max="247" width="23.85546875" style="354" customWidth="1"/>
    <col min="248" max="248" width="22" style="354" bestFit="1" customWidth="1"/>
    <col min="249" max="249" width="24.140625" style="354" bestFit="1" customWidth="1"/>
    <col min="250" max="250" width="14.42578125" style="354" bestFit="1" customWidth="1"/>
    <col min="251" max="251" width="15.85546875" style="354" bestFit="1" customWidth="1"/>
    <col min="252" max="252" width="16.28515625" style="354" customWidth="1"/>
    <col min="253" max="253" width="13.42578125" style="354" bestFit="1" customWidth="1"/>
    <col min="254" max="254" width="9.28515625" style="354" bestFit="1" customWidth="1"/>
    <col min="255" max="255" width="8.140625" style="354" bestFit="1" customWidth="1"/>
    <col min="256" max="256" width="9.85546875" style="354" bestFit="1" customWidth="1"/>
    <col min="257" max="257" width="14" style="354" bestFit="1" customWidth="1"/>
    <col min="258" max="258" width="15.85546875" style="354" customWidth="1"/>
    <col min="259" max="259" width="18.28515625" style="354" customWidth="1"/>
    <col min="260" max="260" width="17.5703125" style="354" customWidth="1"/>
    <col min="261" max="261" width="15.85546875" style="354" customWidth="1"/>
    <col min="262" max="262" width="23.85546875" style="354" customWidth="1"/>
    <col min="263" max="263" width="23.85546875" style="354" bestFit="1" customWidth="1"/>
    <col min="264" max="264" width="23.85546875" style="354" customWidth="1"/>
    <col min="265" max="265" width="22" style="354" bestFit="1" customWidth="1"/>
    <col min="266" max="266" width="29.42578125" style="354" bestFit="1" customWidth="1"/>
    <col min="267" max="267" width="20.42578125" style="354" bestFit="1" customWidth="1"/>
    <col min="268" max="268" width="23.5703125" style="354" bestFit="1" customWidth="1"/>
    <col min="269" max="269" width="20.42578125" style="354" bestFit="1" customWidth="1"/>
    <col min="270" max="270" width="13.42578125" style="354" bestFit="1" customWidth="1"/>
    <col min="271" max="271" width="9.28515625" style="354" bestFit="1" customWidth="1"/>
    <col min="272" max="272" width="8.140625" style="354" bestFit="1" customWidth="1"/>
    <col min="273" max="273" width="9.85546875" style="354" bestFit="1" customWidth="1"/>
    <col min="274" max="274" width="14" style="354" bestFit="1" customWidth="1"/>
    <col min="275" max="275" width="13.42578125" style="354" bestFit="1" customWidth="1"/>
    <col min="276" max="276" width="17.140625" style="354" bestFit="1" customWidth="1"/>
    <col min="277" max="277" width="15.85546875" style="354" customWidth="1"/>
    <col min="278" max="278" width="17.28515625" style="354" customWidth="1"/>
    <col min="279" max="279" width="20.28515625" style="354" bestFit="1" customWidth="1"/>
    <col min="280" max="280" width="23.85546875" style="354" bestFit="1" customWidth="1"/>
    <col min="281" max="281" width="23.85546875" style="354" customWidth="1"/>
    <col min="282" max="282" width="22" style="354" bestFit="1" customWidth="1"/>
    <col min="283" max="283" width="15.5703125" style="354" bestFit="1" customWidth="1"/>
    <col min="284" max="284" width="14.42578125" style="354" bestFit="1" customWidth="1"/>
    <col min="285" max="285" width="15.85546875" style="354" bestFit="1" customWidth="1"/>
    <col min="286" max="286" width="20.42578125" style="354" bestFit="1" customWidth="1"/>
    <col min="287" max="287" width="13.42578125" style="354" bestFit="1" customWidth="1"/>
    <col min="288" max="288" width="9.28515625" style="354" bestFit="1" customWidth="1"/>
    <col min="289" max="289" width="8.140625" style="354" bestFit="1" customWidth="1"/>
    <col min="290" max="290" width="9.85546875" style="354" bestFit="1" customWidth="1"/>
    <col min="291" max="291" width="14" style="354" bestFit="1" customWidth="1"/>
    <col min="292" max="292" width="13.42578125" style="354" bestFit="1" customWidth="1"/>
    <col min="293" max="293" width="17.140625" style="354" bestFit="1" customWidth="1"/>
    <col min="294" max="294" width="17.85546875" style="354" customWidth="1"/>
    <col min="295" max="295" width="15.140625" style="354" customWidth="1"/>
    <col min="296" max="296" width="20.28515625" style="354" bestFit="1" customWidth="1"/>
    <col min="297" max="297" width="23.85546875" style="354" bestFit="1" customWidth="1"/>
    <col min="298" max="298" width="23.85546875" style="354" customWidth="1"/>
    <col min="299" max="299" width="22" style="354" bestFit="1" customWidth="1"/>
    <col min="300" max="300" width="26.85546875" style="354" customWidth="1"/>
    <col min="301" max="301" width="14.42578125" style="354" bestFit="1" customWidth="1"/>
    <col min="302" max="302" width="15.85546875" style="354" bestFit="1" customWidth="1"/>
    <col min="303" max="303" width="20.42578125" style="354" bestFit="1" customWidth="1"/>
    <col min="304" max="304" width="13.42578125" style="354" bestFit="1" customWidth="1"/>
    <col min="305" max="305" width="9.28515625" style="354" bestFit="1" customWidth="1"/>
    <col min="306" max="306" width="8.140625" style="354" bestFit="1" customWidth="1"/>
    <col min="307" max="307" width="9.85546875" style="354" bestFit="1" customWidth="1"/>
    <col min="308" max="308" width="12.7109375" style="354" bestFit="1" customWidth="1"/>
    <col min="309" max="309" width="13.42578125" style="354" bestFit="1" customWidth="1"/>
    <col min="310" max="310" width="17.140625" style="354" bestFit="1" customWidth="1"/>
    <col min="311" max="311" width="16" style="354" customWidth="1"/>
    <col min="312" max="312" width="16.140625" style="354" customWidth="1"/>
    <col min="313" max="313" width="20.28515625" style="354" bestFit="1" customWidth="1"/>
    <col min="314" max="314" width="23.85546875" style="354" bestFit="1" customWidth="1"/>
    <col min="315" max="315" width="23.85546875" style="354" customWidth="1"/>
    <col min="316" max="316" width="15.7109375" style="354" customWidth="1"/>
    <col min="317" max="317" width="17.5703125" style="354" customWidth="1"/>
    <col min="318" max="318" width="14.42578125" style="354" bestFit="1" customWidth="1"/>
    <col min="319" max="319" width="19.85546875" style="354" customWidth="1"/>
    <col min="320" max="320" width="12.7109375" style="354" bestFit="1" customWidth="1"/>
    <col min="321" max="321" width="13.42578125" style="354" bestFit="1" customWidth="1"/>
    <col min="322" max="322" width="9.28515625" style="354" bestFit="1" customWidth="1"/>
    <col min="323" max="323" width="8.140625" style="354" bestFit="1" customWidth="1"/>
    <col min="324" max="324" width="8.140625" style="354" customWidth="1"/>
    <col min="325" max="325" width="14" style="354" bestFit="1" customWidth="1"/>
    <col min="326" max="326" width="20.28515625" style="354" bestFit="1" customWidth="1"/>
    <col min="327" max="327" width="17.140625" style="354" bestFit="1" customWidth="1"/>
    <col min="328" max="329" width="16.140625" style="354" customWidth="1"/>
    <col min="330" max="330" width="20.28515625" style="354" bestFit="1" customWidth="1"/>
    <col min="331" max="331" width="23.85546875" style="354" bestFit="1" customWidth="1"/>
    <col min="332" max="332" width="23.85546875" style="354" customWidth="1"/>
    <col min="333" max="333" width="22" style="354" bestFit="1" customWidth="1"/>
    <col min="334" max="334" width="21.28515625" style="354" customWidth="1"/>
    <col min="335" max="335" width="14.42578125" style="354" bestFit="1" customWidth="1"/>
    <col min="336" max="336" width="21.42578125" style="354" customWidth="1"/>
    <col min="337" max="337" width="20.42578125" style="354" bestFit="1" customWidth="1"/>
    <col min="338" max="338" width="13.42578125" style="354" bestFit="1" customWidth="1"/>
    <col min="339" max="339" width="9.28515625" style="354" bestFit="1" customWidth="1"/>
    <col min="340" max="340" width="8.140625" style="354" bestFit="1" customWidth="1"/>
    <col min="341" max="341" width="9.85546875" style="354" bestFit="1" customWidth="1"/>
    <col min="342" max="342" width="14" style="354" bestFit="1" customWidth="1"/>
    <col min="343" max="343" width="20.28515625" style="354" bestFit="1" customWidth="1"/>
    <col min="344" max="344" width="23.85546875" style="354" bestFit="1" customWidth="1"/>
    <col min="345" max="345" width="15.7109375" style="354" customWidth="1"/>
    <col min="346" max="346" width="17.5703125" style="354" customWidth="1"/>
    <col min="347" max="347" width="20.28515625" style="354" bestFit="1" customWidth="1"/>
    <col min="348" max="348" width="23.85546875" style="354" bestFit="1" customWidth="1"/>
    <col min="349" max="349" width="23.85546875" style="354" customWidth="1"/>
    <col min="350" max="350" width="22" style="354" bestFit="1" customWidth="1"/>
    <col min="351" max="351" width="17.140625" style="354" customWidth="1"/>
    <col min="352" max="352" width="14.42578125" style="354" bestFit="1" customWidth="1"/>
    <col min="353" max="353" width="13.28515625" style="354" bestFit="1" customWidth="1"/>
    <col min="354" max="354" width="12.7109375" style="354" bestFit="1" customWidth="1"/>
    <col min="355" max="355" width="13.42578125" style="354" bestFit="1" customWidth="1"/>
    <col min="356" max="356" width="9.28515625" style="354" bestFit="1" customWidth="1"/>
    <col min="357" max="357" width="8.140625" style="354" bestFit="1" customWidth="1"/>
    <col min="358" max="358" width="8.140625" style="354" customWidth="1"/>
    <col min="359" max="359" width="14" style="354" bestFit="1" customWidth="1"/>
    <col min="360" max="360" width="20.28515625" style="354" bestFit="1" customWidth="1"/>
    <col min="361" max="361" width="17.140625" style="354" bestFit="1" customWidth="1"/>
    <col min="362" max="362" width="16.42578125" style="354" customWidth="1"/>
    <col min="363" max="363" width="17.28515625" style="354" customWidth="1"/>
    <col min="364" max="364" width="20.28515625" style="354" bestFit="1" customWidth="1"/>
    <col min="365" max="365" width="23.85546875" style="354" bestFit="1" customWidth="1"/>
    <col min="366" max="366" width="23.85546875" style="354" customWidth="1"/>
    <col min="367" max="367" width="22" style="354" bestFit="1" customWidth="1"/>
    <col min="368" max="368" width="16.5703125" style="354" customWidth="1"/>
    <col min="369" max="369" width="14.42578125" style="354" bestFit="1" customWidth="1"/>
    <col min="370" max="370" width="16.42578125" style="354" customWidth="1"/>
    <col min="371" max="371" width="14.85546875" style="354" customWidth="1"/>
    <col min="372" max="372" width="13.42578125" style="354" bestFit="1" customWidth="1"/>
    <col min="373" max="373" width="9.28515625" style="354" bestFit="1" customWidth="1"/>
    <col min="374" max="374" width="8.140625" style="354" bestFit="1" customWidth="1"/>
    <col min="375" max="375" width="8.140625" style="354" customWidth="1"/>
    <col min="376" max="376" width="14" style="354" bestFit="1" customWidth="1"/>
    <col min="377" max="377" width="13.42578125" style="354" bestFit="1" customWidth="1"/>
    <col min="378" max="378" width="17.140625" style="354" bestFit="1" customWidth="1"/>
    <col min="379" max="379" width="18.85546875" style="354" customWidth="1"/>
    <col min="380" max="380" width="16.140625" style="354" customWidth="1"/>
    <col min="381" max="381" width="20.28515625" style="354" bestFit="1" customWidth="1"/>
    <col min="382" max="382" width="23.85546875" style="354" bestFit="1" customWidth="1"/>
    <col min="383" max="383" width="23.85546875" style="354" customWidth="1"/>
    <col min="384" max="384" width="16.28515625" style="354" customWidth="1"/>
    <col min="385" max="385" width="16.5703125" style="354" customWidth="1"/>
    <col min="386" max="386" width="14.42578125" style="354" bestFit="1" customWidth="1"/>
    <col min="387" max="387" width="15.42578125" style="354" customWidth="1"/>
    <col min="388" max="388" width="12.7109375" style="354" bestFit="1" customWidth="1"/>
    <col min="389" max="389" width="13.42578125" style="354" bestFit="1" customWidth="1"/>
    <col min="390" max="390" width="9.28515625" style="354" bestFit="1" customWidth="1"/>
    <col min="391" max="391" width="8.140625" style="354" bestFit="1" customWidth="1"/>
    <col min="392" max="392" width="9.85546875" style="354" bestFit="1" customWidth="1"/>
    <col min="393" max="393" width="12.7109375" style="354" bestFit="1" customWidth="1"/>
    <col min="394" max="394" width="13.42578125" style="354" bestFit="1" customWidth="1"/>
    <col min="395" max="395" width="17.140625" style="354" bestFit="1" customWidth="1"/>
    <col min="396" max="396" width="15.42578125" style="354" customWidth="1"/>
    <col min="397" max="397" width="16.5703125" style="354" customWidth="1"/>
    <col min="398" max="398" width="20.28515625" style="354" bestFit="1" customWidth="1"/>
    <col min="399" max="399" width="23.85546875" style="354" bestFit="1" customWidth="1"/>
    <col min="400" max="400" width="23.85546875" style="354" customWidth="1"/>
    <col min="401" max="401" width="22" style="354" bestFit="1" customWidth="1"/>
    <col min="402" max="402" width="16.140625" style="354" customWidth="1"/>
    <col min="403" max="403" width="14.42578125" style="354" bestFit="1" customWidth="1"/>
    <col min="404" max="404" width="19.7109375" style="354" customWidth="1"/>
    <col min="405" max="405" width="12.7109375" style="354" bestFit="1" customWidth="1"/>
    <col min="406" max="406" width="13.42578125" style="354" bestFit="1" customWidth="1"/>
    <col min="407" max="407" width="9.28515625" style="354" bestFit="1" customWidth="1"/>
    <col min="408" max="408" width="8.140625" style="354" bestFit="1" customWidth="1"/>
    <col min="409" max="409" width="9.85546875" style="354" bestFit="1" customWidth="1"/>
    <col min="410" max="410" width="14" style="354" bestFit="1" customWidth="1"/>
    <col min="411" max="411" width="20.28515625" style="354" bestFit="1" customWidth="1"/>
    <col min="412" max="412" width="16.42578125" style="354" customWidth="1"/>
    <col min="413" max="413" width="18.140625" style="354" customWidth="1"/>
    <col min="414" max="414" width="18.5703125" style="354" customWidth="1"/>
    <col min="415" max="415" width="20.28515625" style="354" bestFit="1" customWidth="1"/>
    <col min="416" max="416" width="23.85546875" style="354" bestFit="1" customWidth="1"/>
    <col min="417" max="417" width="23.85546875" style="354" customWidth="1"/>
    <col min="418" max="418" width="22" style="354" bestFit="1" customWidth="1"/>
    <col min="419" max="419" width="15.42578125" style="354" customWidth="1"/>
    <col min="420" max="420" width="14.42578125" style="354" bestFit="1" customWidth="1"/>
    <col min="421" max="421" width="15.42578125" style="354" customWidth="1"/>
    <col min="422" max="422" width="17.5703125" style="354" customWidth="1"/>
    <col min="423" max="423" width="13.42578125" style="354" bestFit="1" customWidth="1"/>
    <col min="424" max="424" width="9.28515625" style="354" bestFit="1" customWidth="1"/>
    <col min="425" max="425" width="8.140625" style="354" bestFit="1" customWidth="1"/>
    <col min="426" max="426" width="8.140625" style="354" customWidth="1"/>
    <col min="427" max="427" width="14" style="354" bestFit="1" customWidth="1"/>
    <col min="428" max="428" width="13.42578125" style="354" bestFit="1" customWidth="1"/>
    <col min="429" max="429" width="17.140625" style="354" bestFit="1" customWidth="1"/>
    <col min="430" max="430" width="15.42578125" style="354" customWidth="1"/>
    <col min="431" max="431" width="17.28515625" style="354" customWidth="1"/>
    <col min="432" max="432" width="20.28515625" style="354" bestFit="1" customWidth="1"/>
    <col min="433" max="433" width="23.85546875" style="354" bestFit="1" customWidth="1"/>
    <col min="434" max="434" width="23.85546875" style="354" customWidth="1"/>
    <col min="435" max="435" width="15.42578125" style="354" bestFit="1" customWidth="1"/>
    <col min="436" max="436" width="16.42578125" style="354" customWidth="1"/>
    <col min="437" max="437" width="15.42578125" style="354" bestFit="1" customWidth="1"/>
    <col min="438" max="438" width="18.140625" style="354" customWidth="1"/>
    <col min="439" max="439" width="20.42578125" style="354" bestFit="1" customWidth="1"/>
    <col min="440" max="440" width="13.42578125" style="354" bestFit="1" customWidth="1"/>
    <col min="441" max="441" width="15.42578125" style="354" bestFit="1" customWidth="1"/>
    <col min="442" max="442" width="8.140625" style="354" bestFit="1" customWidth="1"/>
    <col min="443" max="443" width="9.85546875" style="354" bestFit="1" customWidth="1"/>
    <col min="444" max="444" width="14" style="354" bestFit="1" customWidth="1"/>
    <col min="445" max="445" width="13.42578125" style="354" bestFit="1" customWidth="1"/>
    <col min="446" max="446" width="17.140625" style="354" bestFit="1" customWidth="1"/>
    <col min="447" max="447" width="15.140625" style="354" customWidth="1"/>
    <col min="448" max="448" width="16.85546875" style="354" customWidth="1"/>
    <col min="449" max="449" width="20.28515625" style="354" bestFit="1" customWidth="1"/>
    <col min="450" max="450" width="23.85546875" style="354" bestFit="1" customWidth="1"/>
    <col min="451" max="451" width="22" style="354" bestFit="1" customWidth="1"/>
    <col min="452" max="452" width="21.28515625" style="354" customWidth="1"/>
    <col min="453" max="453" width="14.42578125" style="354" bestFit="1" customWidth="1"/>
    <col min="454" max="454" width="15.42578125" style="354" bestFit="1" customWidth="1"/>
    <col min="455" max="455" width="12.7109375" style="354" bestFit="1" customWidth="1"/>
    <col min="456" max="456" width="13.42578125" style="354" bestFit="1" customWidth="1"/>
    <col min="457" max="457" width="17.140625" style="354" bestFit="1" customWidth="1"/>
    <col min="458" max="458" width="8.140625" style="354" bestFit="1" customWidth="1"/>
    <col min="459" max="459" width="9.85546875" style="354" bestFit="1" customWidth="1"/>
    <col min="460" max="460" width="14" style="354" bestFit="1" customWidth="1"/>
    <col min="461" max="461" width="13.42578125" style="354" bestFit="1" customWidth="1"/>
    <col min="462" max="462" width="17.140625" style="354" bestFit="1" customWidth="1"/>
    <col min="463" max="463" width="17.85546875" style="354" bestFit="1" customWidth="1"/>
    <col min="464" max="464" width="14" style="354" bestFit="1" customWidth="1"/>
    <col min="465" max="465" width="23.85546875" style="354" customWidth="1"/>
    <col min="466" max="466" width="23.85546875" style="354" bestFit="1" customWidth="1"/>
    <col min="467" max="467" width="22" style="354" bestFit="1" customWidth="1"/>
    <col min="468" max="468" width="29.140625" style="354" customWidth="1"/>
    <col min="469" max="469" width="14.42578125" style="354" bestFit="1" customWidth="1"/>
    <col min="470" max="470" width="23.5703125" style="354" bestFit="1" customWidth="1"/>
    <col min="471" max="471" width="13.28515625" style="354" bestFit="1" customWidth="1"/>
    <col min="472" max="16384" width="9.140625" style="354"/>
  </cols>
  <sheetData>
    <row r="1" spans="1:78">
      <c r="BF1" s="357"/>
    </row>
    <row r="2" spans="1:78" ht="14.45" thickBot="1">
      <c r="BF2" s="357"/>
    </row>
    <row r="3" spans="1:78">
      <c r="B3" s="441" t="s">
        <v>280</v>
      </c>
      <c r="C3" s="442"/>
      <c r="D3" s="442"/>
      <c r="E3" s="442"/>
      <c r="F3" s="442"/>
      <c r="G3" s="442"/>
      <c r="H3" s="442"/>
      <c r="I3" s="443"/>
      <c r="J3" s="444" t="s">
        <v>281</v>
      </c>
      <c r="K3" s="442"/>
      <c r="L3" s="442"/>
      <c r="M3" s="442"/>
      <c r="N3" s="442"/>
      <c r="O3" s="442"/>
      <c r="P3" s="442"/>
      <c r="Q3" s="443"/>
      <c r="R3" s="441" t="s">
        <v>282</v>
      </c>
      <c r="S3" s="442"/>
      <c r="T3" s="442"/>
      <c r="U3" s="442"/>
      <c r="V3" s="442"/>
      <c r="W3" s="442"/>
      <c r="X3" s="442"/>
      <c r="Y3" s="442"/>
      <c r="Z3" s="441" t="s">
        <v>283</v>
      </c>
      <c r="AA3" s="442"/>
      <c r="AB3" s="442"/>
      <c r="AC3" s="442"/>
      <c r="AD3" s="442"/>
      <c r="AE3" s="442"/>
      <c r="AF3" s="442"/>
      <c r="AG3" s="442"/>
      <c r="AH3" s="443"/>
      <c r="AI3" s="441" t="s">
        <v>284</v>
      </c>
      <c r="AJ3" s="442"/>
      <c r="AK3" s="442"/>
      <c r="AL3" s="442"/>
      <c r="AM3" s="442"/>
      <c r="AN3" s="442"/>
      <c r="AO3" s="442"/>
      <c r="AP3" s="442"/>
      <c r="AQ3" s="443"/>
      <c r="AR3" s="441" t="s">
        <v>285</v>
      </c>
      <c r="AS3" s="442"/>
      <c r="AT3" s="442"/>
      <c r="AU3" s="442"/>
      <c r="AV3" s="442"/>
      <c r="AW3" s="442"/>
      <c r="AX3" s="442"/>
      <c r="AY3" s="443"/>
      <c r="AZ3" s="440"/>
      <c r="BA3" s="440"/>
      <c r="BB3" s="440"/>
      <c r="BC3" s="440"/>
      <c r="BD3" s="440"/>
      <c r="BE3" s="440"/>
      <c r="BF3" s="440"/>
      <c r="BG3" s="440"/>
      <c r="BH3" s="440"/>
      <c r="BI3" s="440"/>
      <c r="BJ3" s="440"/>
    </row>
    <row r="4" spans="1:78" ht="73.5" customHeight="1">
      <c r="A4" s="440" t="s">
        <v>286</v>
      </c>
      <c r="B4" s="445" t="s">
        <v>222</v>
      </c>
      <c r="C4" s="354" t="s">
        <v>287</v>
      </c>
      <c r="D4" s="354" t="s">
        <v>226</v>
      </c>
      <c r="E4" s="446" t="s">
        <v>288</v>
      </c>
      <c r="F4" s="446" t="s">
        <v>289</v>
      </c>
      <c r="G4" s="446" t="s">
        <v>290</v>
      </c>
      <c r="H4" s="446" t="s">
        <v>291</v>
      </c>
      <c r="I4" s="447" t="s">
        <v>292</v>
      </c>
      <c r="J4" s="354" t="str">
        <f>+B4</f>
        <v>Births</v>
      </c>
      <c r="K4" s="354" t="str">
        <f>+C4</f>
        <v>Born Dead</v>
      </c>
      <c r="L4" s="354" t="str">
        <f>+D4</f>
        <v>Deaths</v>
      </c>
      <c r="M4" s="446" t="str">
        <f t="shared" ref="M4:Q4" si="0">+E4</f>
        <v>Sows Mortaulity</v>
      </c>
      <c r="N4" s="446" t="str">
        <f t="shared" si="0"/>
        <v>Piglets To Weaner</v>
      </c>
      <c r="O4" s="446" t="str">
        <f t="shared" si="0"/>
        <v>Piglets to Learig</v>
      </c>
      <c r="P4" s="446" t="str">
        <f t="shared" si="0"/>
        <v>Piglets to Quarantine</v>
      </c>
      <c r="Q4" s="354" t="str">
        <f t="shared" si="0"/>
        <v>F1 Weaner</v>
      </c>
      <c r="R4" s="445" t="str">
        <f t="shared" ref="R4:W4" si="1">+B4</f>
        <v>Births</v>
      </c>
      <c r="S4" s="354" t="str">
        <f t="shared" si="1"/>
        <v>Born Dead</v>
      </c>
      <c r="T4" s="354" t="str">
        <f t="shared" si="1"/>
        <v>Deaths</v>
      </c>
      <c r="U4" s="446" t="str">
        <f t="shared" si="1"/>
        <v>Sows Mortaulity</v>
      </c>
      <c r="V4" s="446" t="str">
        <f t="shared" si="1"/>
        <v>Piglets To Weaner</v>
      </c>
      <c r="W4" s="446" t="str">
        <f t="shared" si="1"/>
        <v>Piglets to Learig</v>
      </c>
      <c r="X4" s="446" t="str">
        <f>+P4</f>
        <v>Piglets to Quarantine</v>
      </c>
      <c r="Y4" s="354" t="str">
        <f>+I4</f>
        <v>F1 Weaner</v>
      </c>
      <c r="Z4" s="445" t="str">
        <f t="shared" ref="Z4:AG4" si="2">+B4</f>
        <v>Births</v>
      </c>
      <c r="AA4" s="354" t="str">
        <f t="shared" si="2"/>
        <v>Born Dead</v>
      </c>
      <c r="AB4" s="354" t="str">
        <f t="shared" si="2"/>
        <v>Deaths</v>
      </c>
      <c r="AC4" s="446" t="str">
        <f t="shared" si="2"/>
        <v>Sows Mortaulity</v>
      </c>
      <c r="AD4" s="446" t="str">
        <f t="shared" si="2"/>
        <v>Piglets To Weaner</v>
      </c>
      <c r="AE4" s="446" t="str">
        <f t="shared" si="2"/>
        <v>Piglets to Learig</v>
      </c>
      <c r="AF4" s="446" t="str">
        <f t="shared" si="2"/>
        <v>Piglets to Quarantine</v>
      </c>
      <c r="AG4" s="354" t="str">
        <f t="shared" si="2"/>
        <v>F1 Weaner</v>
      </c>
      <c r="AH4" s="447" t="s">
        <v>293</v>
      </c>
      <c r="AI4" s="445" t="str">
        <f t="shared" ref="AI4:AN4" si="3">+B4</f>
        <v>Births</v>
      </c>
      <c r="AJ4" s="354" t="str">
        <f t="shared" si="3"/>
        <v>Born Dead</v>
      </c>
      <c r="AK4" s="354" t="str">
        <f t="shared" si="3"/>
        <v>Deaths</v>
      </c>
      <c r="AL4" s="446" t="str">
        <f t="shared" si="3"/>
        <v>Sows Mortaulity</v>
      </c>
      <c r="AM4" s="446" t="str">
        <f t="shared" si="3"/>
        <v>Piglets To Weaner</v>
      </c>
      <c r="AN4" s="446" t="str">
        <f t="shared" si="3"/>
        <v>Piglets to Learig</v>
      </c>
      <c r="AO4" s="446" t="str">
        <f>+X4</f>
        <v>Piglets to Quarantine</v>
      </c>
      <c r="AP4" s="354" t="str">
        <f>+I4</f>
        <v>F1 Weaner</v>
      </c>
      <c r="AQ4" s="447" t="s">
        <v>294</v>
      </c>
      <c r="AR4" s="445" t="str">
        <f t="shared" ref="AR4:AY4" si="4">+B4</f>
        <v>Births</v>
      </c>
      <c r="AS4" s="354" t="str">
        <f t="shared" si="4"/>
        <v>Born Dead</v>
      </c>
      <c r="AT4" s="354" t="str">
        <f t="shared" si="4"/>
        <v>Deaths</v>
      </c>
      <c r="AU4" s="446" t="str">
        <f t="shared" si="4"/>
        <v>Sows Mortaulity</v>
      </c>
      <c r="AV4" s="446" t="str">
        <f t="shared" si="4"/>
        <v>Piglets To Weaner</v>
      </c>
      <c r="AW4" s="446" t="str">
        <f t="shared" si="4"/>
        <v>Piglets to Learig</v>
      </c>
      <c r="AX4" s="446" t="str">
        <f t="shared" si="4"/>
        <v>Piglets to Quarantine</v>
      </c>
      <c r="AY4" s="447" t="str">
        <f t="shared" si="4"/>
        <v>F1 Weaner</v>
      </c>
    </row>
    <row r="5" spans="1:78">
      <c r="B5" s="445" t="s">
        <v>138</v>
      </c>
      <c r="I5" s="447"/>
      <c r="L5" s="448"/>
      <c r="Q5" s="447"/>
      <c r="R5" s="445"/>
      <c r="Z5" s="445" t="s">
        <v>138</v>
      </c>
      <c r="AH5" s="447"/>
      <c r="AI5" s="445"/>
      <c r="AQ5" s="447"/>
      <c r="AR5" s="445"/>
      <c r="AY5" s="447"/>
    </row>
    <row r="6" spans="1:78">
      <c r="A6" s="440">
        <v>27</v>
      </c>
      <c r="B6" s="591">
        <f>1465+179</f>
        <v>1644</v>
      </c>
      <c r="C6" s="578">
        <f>117+17</f>
        <v>134</v>
      </c>
      <c r="D6" s="578">
        <f>30+5+37+34</f>
        <v>106</v>
      </c>
      <c r="E6" s="584"/>
      <c r="F6" s="578">
        <v>1097</v>
      </c>
      <c r="G6" s="578">
        <v>292</v>
      </c>
      <c r="H6" s="578"/>
      <c r="I6" s="592"/>
      <c r="J6" s="598"/>
      <c r="K6" s="578"/>
      <c r="L6" s="585"/>
      <c r="M6" s="584"/>
      <c r="N6" s="578"/>
      <c r="O6" s="578"/>
      <c r="P6" s="578"/>
      <c r="Q6" s="578"/>
      <c r="R6" s="578"/>
      <c r="S6" s="584"/>
      <c r="T6" s="578"/>
      <c r="U6" s="584"/>
      <c r="V6" s="578"/>
      <c r="W6" s="578"/>
      <c r="X6" s="578"/>
      <c r="Y6" s="589"/>
      <c r="Z6" s="591"/>
      <c r="AA6" s="578"/>
      <c r="AB6" s="578"/>
      <c r="AC6" s="584"/>
      <c r="AD6" s="578"/>
      <c r="AE6" s="578"/>
      <c r="AF6" s="578"/>
      <c r="AG6" s="578"/>
      <c r="AH6" s="592"/>
      <c r="AI6" s="591"/>
      <c r="AJ6" s="578"/>
      <c r="AK6" s="578"/>
      <c r="AL6" s="584"/>
      <c r="AM6" s="578"/>
      <c r="AN6" s="578"/>
      <c r="AO6" s="578"/>
      <c r="AP6" s="578"/>
      <c r="AQ6" s="592"/>
      <c r="AR6" s="591"/>
      <c r="AS6" s="578"/>
      <c r="AT6" s="578"/>
      <c r="AU6" s="578"/>
      <c r="AV6" s="578"/>
      <c r="AW6" s="578"/>
      <c r="AX6" s="578"/>
      <c r="AY6" s="592"/>
      <c r="BA6" s="357"/>
      <c r="BB6" s="357"/>
      <c r="BW6" s="354">
        <v>1000</v>
      </c>
      <c r="BX6" s="354">
        <f>+BW6/25</f>
        <v>40</v>
      </c>
      <c r="BY6" s="354">
        <v>20</v>
      </c>
      <c r="BZ6" s="450">
        <f>+BY6/40</f>
        <v>0.5</v>
      </c>
    </row>
    <row r="7" spans="1:78">
      <c r="A7" s="440">
        <f>+A6+1</f>
        <v>28</v>
      </c>
      <c r="B7" s="591"/>
      <c r="C7" s="578"/>
      <c r="D7" s="578"/>
      <c r="E7" s="584"/>
      <c r="F7" s="578"/>
      <c r="G7" s="578"/>
      <c r="H7" s="578"/>
      <c r="I7" s="592"/>
      <c r="J7" s="598">
        <v>1096</v>
      </c>
      <c r="K7" s="578">
        <v>83</v>
      </c>
      <c r="L7" s="585">
        <f>42+15+2+21</f>
        <v>80</v>
      </c>
      <c r="M7" s="584"/>
      <c r="N7" s="578">
        <v>1100</v>
      </c>
      <c r="O7" s="578">
        <v>320</v>
      </c>
      <c r="P7" s="578"/>
      <c r="Q7" s="578"/>
      <c r="R7" s="578"/>
      <c r="S7" s="578"/>
      <c r="T7" s="578"/>
      <c r="U7" s="584"/>
      <c r="V7" s="578"/>
      <c r="W7" s="578"/>
      <c r="X7" s="578"/>
      <c r="Y7" s="589"/>
      <c r="Z7" s="591"/>
      <c r="AA7" s="578"/>
      <c r="AB7" s="578"/>
      <c r="AC7" s="584"/>
      <c r="AD7" s="578"/>
      <c r="AE7" s="578"/>
      <c r="AF7" s="578"/>
      <c r="AG7" s="578"/>
      <c r="AH7" s="592"/>
      <c r="AI7" s="591"/>
      <c r="AJ7" s="578"/>
      <c r="AK7" s="578"/>
      <c r="AL7" s="584"/>
      <c r="AM7" s="578"/>
      <c r="AN7" s="578"/>
      <c r="AO7" s="578"/>
      <c r="AP7" s="578"/>
      <c r="AQ7" s="592"/>
      <c r="AR7" s="591"/>
      <c r="AS7" s="578"/>
      <c r="AT7" s="578"/>
      <c r="AU7" s="578"/>
      <c r="AV7" s="578"/>
      <c r="AW7" s="578"/>
      <c r="AX7" s="578"/>
      <c r="AY7" s="592"/>
      <c r="BA7" s="357"/>
      <c r="BB7" s="357"/>
      <c r="BZ7" s="450"/>
    </row>
    <row r="8" spans="1:78">
      <c r="A8" s="440">
        <f>+A7+1</f>
        <v>29</v>
      </c>
      <c r="B8" s="591"/>
      <c r="C8" s="578"/>
      <c r="D8" s="578"/>
      <c r="E8" s="584"/>
      <c r="F8" s="578"/>
      <c r="G8" s="578"/>
      <c r="H8" s="578"/>
      <c r="I8" s="592"/>
      <c r="J8" s="598"/>
      <c r="K8" s="578"/>
      <c r="L8" s="585"/>
      <c r="M8" s="584"/>
      <c r="N8" s="578"/>
      <c r="O8" s="578"/>
      <c r="P8" s="578"/>
      <c r="Q8" s="578"/>
      <c r="R8" s="578">
        <v>593</v>
      </c>
      <c r="S8" s="578">
        <v>43</v>
      </c>
      <c r="T8" s="578">
        <f>79+20+8+10</f>
        <v>117</v>
      </c>
      <c r="U8" s="584"/>
      <c r="V8" s="578">
        <v>1157</v>
      </c>
      <c r="W8" s="578">
        <v>311</v>
      </c>
      <c r="X8" s="578"/>
      <c r="Y8" s="589"/>
      <c r="Z8" s="591"/>
      <c r="AA8" s="578"/>
      <c r="AB8" s="578"/>
      <c r="AC8" s="584"/>
      <c r="AD8" s="578"/>
      <c r="AE8" s="578"/>
      <c r="AF8" s="578"/>
      <c r="AG8" s="578"/>
      <c r="AH8" s="592"/>
      <c r="AI8" s="591"/>
      <c r="AJ8" s="578"/>
      <c r="AK8" s="578"/>
      <c r="AL8" s="584"/>
      <c r="AM8" s="578"/>
      <c r="AN8" s="578"/>
      <c r="AO8" s="578"/>
      <c r="AP8" s="578"/>
      <c r="AQ8" s="592"/>
      <c r="AR8" s="591"/>
      <c r="AS8" s="578"/>
      <c r="AT8" s="578"/>
      <c r="AU8" s="578"/>
      <c r="AV8" s="578"/>
      <c r="AW8" s="578"/>
      <c r="AX8" s="578"/>
      <c r="AY8" s="592"/>
      <c r="BA8" s="357"/>
      <c r="BB8" s="357"/>
      <c r="BZ8" s="450"/>
    </row>
    <row r="9" spans="1:78">
      <c r="A9" s="440">
        <f>+A8+1</f>
        <v>30</v>
      </c>
      <c r="B9" s="591"/>
      <c r="C9" s="578"/>
      <c r="D9" s="578"/>
      <c r="E9" s="584"/>
      <c r="F9" s="578"/>
      <c r="G9" s="578"/>
      <c r="H9" s="578"/>
      <c r="I9" s="592"/>
      <c r="J9" s="598"/>
      <c r="K9" s="578"/>
      <c r="L9" s="585"/>
      <c r="M9" s="584"/>
      <c r="N9" s="578"/>
      <c r="O9" s="578"/>
      <c r="P9" s="578"/>
      <c r="Q9" s="578"/>
      <c r="R9" s="578"/>
      <c r="S9" s="578"/>
      <c r="T9" s="578"/>
      <c r="U9" s="584"/>
      <c r="V9" s="578"/>
      <c r="W9" s="578"/>
      <c r="X9" s="578"/>
      <c r="Y9" s="589"/>
      <c r="Z9" s="591">
        <v>1751</v>
      </c>
      <c r="AA9" s="578">
        <v>174</v>
      </c>
      <c r="AB9" s="578">
        <f>60+45+25+6</f>
        <v>136</v>
      </c>
      <c r="AC9" s="584"/>
      <c r="AD9" s="578"/>
      <c r="AE9" s="578"/>
      <c r="AF9" s="578"/>
      <c r="AG9" s="578"/>
      <c r="AH9" s="592"/>
      <c r="AI9" s="591"/>
      <c r="AJ9" s="578"/>
      <c r="AK9" s="578"/>
      <c r="AL9" s="584"/>
      <c r="AM9" s="578"/>
      <c r="AN9" s="578"/>
      <c r="AO9" s="578"/>
      <c r="AP9" s="578"/>
      <c r="AQ9" s="592"/>
      <c r="AR9" s="591"/>
      <c r="AS9" s="578"/>
      <c r="AT9" s="578"/>
      <c r="AU9" s="578"/>
      <c r="AV9" s="578"/>
      <c r="AW9" s="578"/>
      <c r="AX9" s="578"/>
      <c r="AY9" s="592"/>
      <c r="BA9" s="357"/>
      <c r="BB9" s="357"/>
      <c r="BZ9" s="450"/>
    </row>
    <row r="10" spans="1:78" ht="14.45" thickBot="1">
      <c r="A10" s="440">
        <f>+A9+1</f>
        <v>31</v>
      </c>
      <c r="B10" s="593"/>
      <c r="C10" s="594"/>
      <c r="D10" s="594"/>
      <c r="E10" s="596"/>
      <c r="F10" s="594"/>
      <c r="G10" s="594"/>
      <c r="H10" s="594"/>
      <c r="I10" s="595"/>
      <c r="J10" s="599"/>
      <c r="K10" s="586"/>
      <c r="L10" s="588"/>
      <c r="M10" s="587"/>
      <c r="N10" s="586"/>
      <c r="O10" s="586"/>
      <c r="P10" s="586"/>
      <c r="Q10" s="586"/>
      <c r="R10" s="578"/>
      <c r="S10" s="578"/>
      <c r="T10" s="578"/>
      <c r="U10" s="584"/>
      <c r="V10" s="578"/>
      <c r="W10" s="586"/>
      <c r="X10" s="586"/>
      <c r="Y10" s="590"/>
      <c r="Z10" s="593"/>
      <c r="AA10" s="594"/>
      <c r="AB10" s="578"/>
      <c r="AC10" s="596"/>
      <c r="AD10" s="597"/>
      <c r="AE10" s="594"/>
      <c r="AF10" s="594"/>
      <c r="AG10" s="594"/>
      <c r="AH10" s="595"/>
      <c r="AI10" s="593">
        <f>1577+104</f>
        <v>1681</v>
      </c>
      <c r="AJ10" s="594">
        <f>165+9</f>
        <v>174</v>
      </c>
      <c r="AK10" s="578">
        <f>37+48+29</f>
        <v>114</v>
      </c>
      <c r="AL10" s="596"/>
      <c r="AM10" s="597">
        <v>1111</v>
      </c>
      <c r="AN10" s="594">
        <v>280</v>
      </c>
      <c r="AO10" s="594"/>
      <c r="AP10" s="594"/>
      <c r="AQ10" s="595"/>
      <c r="AR10" s="593"/>
      <c r="AS10" s="594"/>
      <c r="AT10" s="594"/>
      <c r="AU10" s="594"/>
      <c r="AV10" s="594"/>
      <c r="AW10" s="594"/>
      <c r="AX10" s="594"/>
      <c r="AY10" s="595"/>
      <c r="BA10" s="357"/>
      <c r="BB10" s="357"/>
      <c r="BZ10" s="450"/>
    </row>
    <row r="11" spans="1:78" ht="14.45" thickBot="1">
      <c r="B11" s="582">
        <f>SUM(B5:B10)</f>
        <v>1644</v>
      </c>
      <c r="C11" s="582">
        <f t="shared" ref="C11:AY11" si="5">SUM(C5:C10)</f>
        <v>134</v>
      </c>
      <c r="D11" s="582">
        <f t="shared" si="5"/>
        <v>106</v>
      </c>
      <c r="E11" s="582">
        <f t="shared" si="5"/>
        <v>0</v>
      </c>
      <c r="F11" s="582">
        <f t="shared" si="5"/>
        <v>1097</v>
      </c>
      <c r="G11" s="582">
        <f t="shared" si="5"/>
        <v>292</v>
      </c>
      <c r="H11" s="582">
        <f t="shared" si="5"/>
        <v>0</v>
      </c>
      <c r="I11" s="582">
        <f t="shared" si="5"/>
        <v>0</v>
      </c>
      <c r="J11" s="582">
        <f>SUM(J5:J10)</f>
        <v>1096</v>
      </c>
      <c r="K11" s="582">
        <f t="shared" si="5"/>
        <v>83</v>
      </c>
      <c r="L11" s="582">
        <f t="shared" si="5"/>
        <v>80</v>
      </c>
      <c r="M11" s="582">
        <f t="shared" si="5"/>
        <v>0</v>
      </c>
      <c r="N11" s="582">
        <f t="shared" si="5"/>
        <v>1100</v>
      </c>
      <c r="O11" s="582">
        <f t="shared" si="5"/>
        <v>320</v>
      </c>
      <c r="P11" s="582">
        <f t="shared" si="5"/>
        <v>0</v>
      </c>
      <c r="Q11" s="582">
        <f t="shared" si="5"/>
        <v>0</v>
      </c>
      <c r="R11" s="582">
        <f t="shared" si="5"/>
        <v>593</v>
      </c>
      <c r="S11" s="582">
        <f t="shared" si="5"/>
        <v>43</v>
      </c>
      <c r="T11" s="582">
        <f t="shared" si="5"/>
        <v>117</v>
      </c>
      <c r="U11" s="582">
        <f t="shared" si="5"/>
        <v>0</v>
      </c>
      <c r="V11" s="582">
        <f t="shared" si="5"/>
        <v>1157</v>
      </c>
      <c r="W11" s="582">
        <f t="shared" si="5"/>
        <v>311</v>
      </c>
      <c r="X11" s="582">
        <f t="shared" si="5"/>
        <v>0</v>
      </c>
      <c r="Y11" s="582">
        <f t="shared" si="5"/>
        <v>0</v>
      </c>
      <c r="Z11" s="582">
        <f>SUM(Z5:Z10)</f>
        <v>1751</v>
      </c>
      <c r="AA11" s="582">
        <f>SUM(AA5:AA10)</f>
        <v>174</v>
      </c>
      <c r="AB11" s="582">
        <f t="shared" si="5"/>
        <v>136</v>
      </c>
      <c r="AC11" s="582">
        <f t="shared" si="5"/>
        <v>0</v>
      </c>
      <c r="AD11" s="582">
        <f t="shared" si="5"/>
        <v>0</v>
      </c>
      <c r="AE11" s="582">
        <f t="shared" si="5"/>
        <v>0</v>
      </c>
      <c r="AF11" s="582">
        <f t="shared" si="5"/>
        <v>0</v>
      </c>
      <c r="AG11" s="582">
        <f t="shared" si="5"/>
        <v>0</v>
      </c>
      <c r="AH11" s="582">
        <f t="shared" si="5"/>
        <v>0</v>
      </c>
      <c r="AI11" s="582">
        <f>SUM(AI5:AI10)</f>
        <v>1681</v>
      </c>
      <c r="AJ11" s="582">
        <f t="shared" si="5"/>
        <v>174</v>
      </c>
      <c r="AK11" s="582">
        <f t="shared" si="5"/>
        <v>114</v>
      </c>
      <c r="AL11" s="582">
        <f t="shared" si="5"/>
        <v>0</v>
      </c>
      <c r="AM11" s="582">
        <f t="shared" si="5"/>
        <v>1111</v>
      </c>
      <c r="AN11" s="582">
        <f t="shared" si="5"/>
        <v>280</v>
      </c>
      <c r="AO11" s="582">
        <f t="shared" si="5"/>
        <v>0</v>
      </c>
      <c r="AP11" s="582">
        <f t="shared" si="5"/>
        <v>0</v>
      </c>
      <c r="AQ11" s="582">
        <f t="shared" si="5"/>
        <v>0</v>
      </c>
      <c r="AR11" s="582">
        <f t="shared" si="5"/>
        <v>0</v>
      </c>
      <c r="AS11" s="582">
        <f t="shared" si="5"/>
        <v>0</v>
      </c>
      <c r="AT11" s="582">
        <f t="shared" si="5"/>
        <v>0</v>
      </c>
      <c r="AU11" s="582">
        <f t="shared" si="5"/>
        <v>0</v>
      </c>
      <c r="AV11" s="582">
        <f t="shared" si="5"/>
        <v>0</v>
      </c>
      <c r="AW11" s="582">
        <f t="shared" si="5"/>
        <v>0</v>
      </c>
      <c r="AX11" s="582">
        <f t="shared" si="5"/>
        <v>0</v>
      </c>
      <c r="AY11" s="583">
        <f t="shared" si="5"/>
        <v>0</v>
      </c>
    </row>
    <row r="12" spans="1:78">
      <c r="B12" s="448"/>
      <c r="C12" s="448"/>
      <c r="D12" s="448"/>
      <c r="E12" s="448"/>
      <c r="F12" s="448"/>
      <c r="G12" s="448"/>
      <c r="H12" s="448"/>
      <c r="I12" s="448">
        <f>1590-130-997-94-338</f>
        <v>31</v>
      </c>
      <c r="J12" s="448"/>
      <c r="K12" s="448"/>
      <c r="L12" s="448"/>
      <c r="M12" s="448"/>
      <c r="N12" s="448"/>
      <c r="O12" s="448"/>
      <c r="P12" s="448" t="s">
        <v>138</v>
      </c>
      <c r="Q12" s="448">
        <f>1630-145-123</f>
        <v>1362</v>
      </c>
      <c r="R12" s="448"/>
      <c r="S12" s="448"/>
      <c r="T12" s="448"/>
      <c r="U12" s="448"/>
      <c r="V12" s="448"/>
      <c r="W12" s="448"/>
      <c r="X12" s="448"/>
      <c r="Y12" s="448">
        <f>1660-173-120-1248-70</f>
        <v>49</v>
      </c>
      <c r="Z12" s="448"/>
      <c r="AA12" s="448"/>
      <c r="AB12" s="448"/>
      <c r="AC12" s="448"/>
      <c r="AD12" s="448"/>
      <c r="AE12" s="448"/>
      <c r="AF12" s="448"/>
      <c r="AG12" s="448"/>
      <c r="AH12" s="448">
        <f>Z11-AA11-AB11-AD11-AG11</f>
        <v>1441</v>
      </c>
      <c r="AI12" s="448"/>
      <c r="AJ12" s="448"/>
      <c r="AK12" s="448"/>
      <c r="AL12" s="448"/>
      <c r="AM12" s="448"/>
      <c r="AN12" s="448"/>
      <c r="AO12" s="448"/>
      <c r="AP12" s="448"/>
      <c r="AQ12" s="448">
        <f>0+AI11-AJ11-AK11-AM11-AP11</f>
        <v>282</v>
      </c>
      <c r="AR12" s="448"/>
      <c r="AS12" s="448"/>
      <c r="AT12" s="448"/>
      <c r="AU12" s="448"/>
      <c r="AV12" s="448"/>
      <c r="AW12" s="448"/>
    </row>
    <row r="13" spans="1:78">
      <c r="D13" s="452"/>
      <c r="E13" s="452"/>
      <c r="F13" s="452"/>
      <c r="G13" s="452"/>
      <c r="H13" s="452"/>
      <c r="I13" s="452">
        <f>0+B11-C11-D11-F11-I11</f>
        <v>307</v>
      </c>
      <c r="J13" s="452" t="s">
        <v>138</v>
      </c>
      <c r="K13" s="452"/>
      <c r="Q13" s="354">
        <f>0+J11-K11-L11-N11-Q11</f>
        <v>-167</v>
      </c>
      <c r="R13" s="354" t="s">
        <v>138</v>
      </c>
      <c r="W13" s="450"/>
      <c r="Y13" s="354">
        <f>R11-S11-T11-V11-Y11</f>
        <v>-724</v>
      </c>
      <c r="AH13" s="354">
        <f>1643-157-101-1222-69</f>
        <v>94</v>
      </c>
      <c r="AQ13" s="354">
        <f>1679-148-163</f>
        <v>1368</v>
      </c>
      <c r="AR13" s="354" t="s">
        <v>138</v>
      </c>
      <c r="AW13" s="354" t="s">
        <v>138</v>
      </c>
    </row>
    <row r="14" spans="1:78">
      <c r="D14" s="452"/>
      <c r="E14" s="452"/>
      <c r="F14" s="452"/>
      <c r="G14" s="452"/>
      <c r="H14" s="452"/>
      <c r="I14" s="459">
        <f>+I12-I13</f>
        <v>-276</v>
      </c>
      <c r="J14" s="452"/>
      <c r="K14" s="452">
        <v>-51</v>
      </c>
      <c r="L14" s="354">
        <v>-54</v>
      </c>
      <c r="M14" s="354">
        <v>-57</v>
      </c>
      <c r="N14" s="354">
        <v>-60</v>
      </c>
      <c r="Q14" s="459">
        <f>+Q12-Q13</f>
        <v>1529</v>
      </c>
      <c r="W14" s="450"/>
      <c r="Y14" s="459">
        <f>+Y12-Y13</f>
        <v>773</v>
      </c>
      <c r="AH14" s="459">
        <f>+AH12-AH13</f>
        <v>1347</v>
      </c>
      <c r="AQ14" s="459">
        <f>AQ12-AQ13</f>
        <v>-1086</v>
      </c>
      <c r="AY14" s="459"/>
    </row>
    <row r="15" spans="1:78">
      <c r="B15" s="354" t="s">
        <v>268</v>
      </c>
      <c r="D15" s="452"/>
      <c r="E15" s="452"/>
      <c r="F15" s="452"/>
      <c r="G15" s="452"/>
      <c r="H15" s="452"/>
      <c r="I15" s="452"/>
      <c r="J15" s="452"/>
      <c r="K15" s="452"/>
      <c r="W15" s="450"/>
    </row>
    <row r="16" spans="1:78">
      <c r="C16" s="354">
        <f>+C20-C21</f>
        <v>1510</v>
      </c>
      <c r="D16" s="354">
        <f>+D20-D21</f>
        <v>1013</v>
      </c>
      <c r="E16" s="449">
        <f>+E20-E21</f>
        <v>550</v>
      </c>
      <c r="F16" s="449">
        <f>+F20-F21</f>
        <v>1577</v>
      </c>
      <c r="G16" s="354">
        <f>+G20-G21</f>
        <v>1507</v>
      </c>
      <c r="H16" s="452"/>
      <c r="I16" s="451"/>
      <c r="J16" s="451"/>
      <c r="K16" s="451"/>
      <c r="W16" s="390"/>
    </row>
    <row r="17" spans="2:23">
      <c r="B17" s="453" t="s">
        <v>295</v>
      </c>
      <c r="C17" s="462" t="s">
        <v>296</v>
      </c>
      <c r="D17" s="462" t="s">
        <v>297</v>
      </c>
      <c r="E17" s="462" t="s">
        <v>298</v>
      </c>
      <c r="F17" s="462" t="s">
        <v>299</v>
      </c>
      <c r="G17" s="462" t="s">
        <v>300</v>
      </c>
      <c r="H17" s="452"/>
      <c r="I17" s="451"/>
      <c r="J17" s="451"/>
      <c r="K17" s="451"/>
      <c r="W17" s="390"/>
    </row>
    <row r="18" spans="2:23">
      <c r="B18" s="453" t="s">
        <v>301</v>
      </c>
      <c r="C18" s="454"/>
      <c r="D18" s="455"/>
      <c r="E18" s="455"/>
      <c r="F18" s="455"/>
      <c r="G18" s="455"/>
      <c r="H18" s="455"/>
      <c r="I18" s="455" t="s">
        <v>71</v>
      </c>
      <c r="K18" s="452"/>
      <c r="M18" s="446"/>
      <c r="W18" s="450"/>
    </row>
    <row r="19" spans="2:23">
      <c r="B19" s="357"/>
      <c r="C19" s="440" t="s">
        <v>302</v>
      </c>
      <c r="D19" s="440" t="s">
        <v>303</v>
      </c>
      <c r="E19" s="440" t="s">
        <v>304</v>
      </c>
      <c r="F19" s="440" t="s">
        <v>305</v>
      </c>
      <c r="G19" s="440" t="s">
        <v>306</v>
      </c>
      <c r="H19" s="440" t="s">
        <v>307</v>
      </c>
      <c r="L19" s="354" t="s">
        <v>138</v>
      </c>
      <c r="W19" s="450"/>
    </row>
    <row r="20" spans="2:23">
      <c r="B20" s="357" t="str">
        <f>+B4</f>
        <v>Births</v>
      </c>
      <c r="C20" s="354">
        <f>B11</f>
        <v>1644</v>
      </c>
      <c r="D20" s="354">
        <f>J11</f>
        <v>1096</v>
      </c>
      <c r="E20" s="354">
        <f>R11</f>
        <v>593</v>
      </c>
      <c r="F20" s="452">
        <f>Z11</f>
        <v>1751</v>
      </c>
      <c r="G20" s="452">
        <f>AI11</f>
        <v>1681</v>
      </c>
      <c r="H20" s="354">
        <f>+AR11</f>
        <v>0</v>
      </c>
      <c r="I20" s="456">
        <f>SUM(C20:H20)</f>
        <v>6765</v>
      </c>
      <c r="M20" s="440"/>
      <c r="P20" s="440"/>
      <c r="Q20" s="440"/>
      <c r="W20" s="450"/>
    </row>
    <row r="21" spans="2:23">
      <c r="B21" s="357" t="str">
        <f>+C4</f>
        <v>Born Dead</v>
      </c>
      <c r="C21" s="354">
        <f>+C11</f>
        <v>134</v>
      </c>
      <c r="D21" s="452">
        <f>K11</f>
        <v>83</v>
      </c>
      <c r="E21" s="452">
        <f>S11</f>
        <v>43</v>
      </c>
      <c r="F21" s="452">
        <f>AA11</f>
        <v>174</v>
      </c>
      <c r="G21" s="452">
        <f>AJ11</f>
        <v>174</v>
      </c>
      <c r="H21" s="354">
        <f>+AS11</f>
        <v>0</v>
      </c>
      <c r="I21" s="456">
        <f t="shared" ref="I21:I30" si="6">SUM(C21:H21)</f>
        <v>608</v>
      </c>
      <c r="J21" s="354">
        <f>+I20-I21</f>
        <v>6157</v>
      </c>
      <c r="M21" s="440"/>
      <c r="P21" s="440"/>
      <c r="Q21" s="440"/>
      <c r="W21" s="450"/>
    </row>
    <row r="22" spans="2:23">
      <c r="B22" s="357" t="str">
        <f>+D4</f>
        <v>Deaths</v>
      </c>
      <c r="C22" s="354">
        <f>+D11</f>
        <v>106</v>
      </c>
      <c r="D22" s="452">
        <f>+L11</f>
        <v>80</v>
      </c>
      <c r="E22" s="452">
        <f>T11</f>
        <v>117</v>
      </c>
      <c r="F22" s="452">
        <f>AB11</f>
        <v>136</v>
      </c>
      <c r="G22" s="452">
        <f>AK11</f>
        <v>114</v>
      </c>
      <c r="H22" s="354">
        <f>+AT11</f>
        <v>0</v>
      </c>
      <c r="I22" s="456">
        <f>SUM(C22:H22)</f>
        <v>553</v>
      </c>
      <c r="M22" s="440">
        <f>+C20-C21</f>
        <v>1510</v>
      </c>
      <c r="N22" s="440">
        <f>+D20-D21</f>
        <v>1013</v>
      </c>
      <c r="O22" s="440">
        <f>+E20-E21</f>
        <v>550</v>
      </c>
      <c r="P22" s="440">
        <f>+F20-F21</f>
        <v>1577</v>
      </c>
      <c r="Q22" s="440">
        <f>+G20-G21</f>
        <v>1507</v>
      </c>
      <c r="W22" s="450"/>
    </row>
    <row r="23" spans="2:23">
      <c r="B23" s="357" t="str">
        <f>+E4</f>
        <v>Sows Mortaulity</v>
      </c>
      <c r="C23" s="354">
        <f>+E11</f>
        <v>0</v>
      </c>
      <c r="D23" s="457">
        <f>M11</f>
        <v>0</v>
      </c>
      <c r="E23" s="457">
        <f>U11</f>
        <v>0</v>
      </c>
      <c r="F23" s="457">
        <f>+AC11</f>
        <v>0</v>
      </c>
      <c r="G23" s="457">
        <f>AL11</f>
        <v>0</v>
      </c>
      <c r="H23" s="354">
        <f>+AU11</f>
        <v>0</v>
      </c>
      <c r="I23" s="456">
        <f t="shared" si="6"/>
        <v>0</v>
      </c>
      <c r="M23" s="440">
        <f>+C22</f>
        <v>106</v>
      </c>
      <c r="N23" s="440">
        <f>+D22</f>
        <v>80</v>
      </c>
      <c r="O23" s="440">
        <f>+E22</f>
        <v>117</v>
      </c>
      <c r="P23" s="440">
        <f>+F22</f>
        <v>136</v>
      </c>
      <c r="Q23" s="440">
        <f>+G22</f>
        <v>114</v>
      </c>
      <c r="W23" s="450"/>
    </row>
    <row r="24" spans="2:23">
      <c r="B24" s="357" t="str">
        <f>+F4</f>
        <v>Piglets To Weaner</v>
      </c>
      <c r="C24" s="354">
        <f>F11</f>
        <v>1097</v>
      </c>
      <c r="D24" s="457">
        <f>N11</f>
        <v>1100</v>
      </c>
      <c r="E24" s="457">
        <f>+V11</f>
        <v>1157</v>
      </c>
      <c r="F24" s="457">
        <f>AD11</f>
        <v>0</v>
      </c>
      <c r="G24" s="457">
        <f>AM11</f>
        <v>1111</v>
      </c>
      <c r="H24" s="354">
        <f>+AV11</f>
        <v>0</v>
      </c>
      <c r="I24" s="456">
        <f>SUM(C24:H24)</f>
        <v>4465</v>
      </c>
      <c r="W24" s="450"/>
    </row>
    <row r="25" spans="2:23">
      <c r="B25" s="357" t="str">
        <f>+G4</f>
        <v>Piglets to Learig</v>
      </c>
      <c r="C25" s="354">
        <f>AN11</f>
        <v>280</v>
      </c>
      <c r="D25" s="452">
        <f>AE11</f>
        <v>0</v>
      </c>
      <c r="E25" s="452">
        <f>W11</f>
        <v>311</v>
      </c>
      <c r="F25" s="452">
        <f>O11</f>
        <v>320</v>
      </c>
      <c r="G25" s="452">
        <f>G11</f>
        <v>292</v>
      </c>
      <c r="H25" s="354">
        <f>+AW11</f>
        <v>0</v>
      </c>
      <c r="I25" s="456">
        <f t="shared" si="6"/>
        <v>1203</v>
      </c>
      <c r="W25" s="450"/>
    </row>
    <row r="26" spans="2:23">
      <c r="B26" s="357" t="str">
        <f>+H4</f>
        <v>Piglets to Quarantine</v>
      </c>
      <c r="C26" s="354">
        <f>+H6</f>
        <v>0</v>
      </c>
      <c r="D26" s="452">
        <f>+P6</f>
        <v>0</v>
      </c>
      <c r="E26" s="452">
        <f>+X6</f>
        <v>0</v>
      </c>
      <c r="F26" s="452">
        <f>+AF6</f>
        <v>0</v>
      </c>
      <c r="G26" s="452">
        <f>+AO11</f>
        <v>0</v>
      </c>
      <c r="H26" s="354">
        <f>+AX11</f>
        <v>0</v>
      </c>
      <c r="I26" s="456">
        <f t="shared" si="6"/>
        <v>0</v>
      </c>
      <c r="W26" s="450"/>
    </row>
    <row r="27" spans="2:23">
      <c r="B27" s="357" t="str">
        <f>+I4</f>
        <v>F1 Weaner</v>
      </c>
      <c r="C27" s="354">
        <f>I11</f>
        <v>0</v>
      </c>
      <c r="D27" s="452">
        <f>Q11</f>
        <v>0</v>
      </c>
      <c r="E27" s="452">
        <f>Y11</f>
        <v>0</v>
      </c>
      <c r="F27" s="452">
        <f>AG11</f>
        <v>0</v>
      </c>
      <c r="G27" s="452">
        <f>AP11</f>
        <v>0</v>
      </c>
      <c r="H27" s="354">
        <f>+AY11</f>
        <v>0</v>
      </c>
      <c r="I27" s="456">
        <f>SUM(C27:H27)</f>
        <v>0</v>
      </c>
      <c r="J27" s="354">
        <f>+I24+I27</f>
        <v>4465</v>
      </c>
      <c r="M27" s="354">
        <v>1214</v>
      </c>
      <c r="N27" s="354">
        <v>1192</v>
      </c>
      <c r="W27" s="450"/>
    </row>
    <row r="28" spans="2:23">
      <c r="B28" s="357" t="s">
        <v>293</v>
      </c>
      <c r="D28" s="452"/>
      <c r="E28" s="452"/>
      <c r="F28" s="452"/>
      <c r="G28" s="452"/>
      <c r="I28" s="456">
        <f t="shared" si="6"/>
        <v>0</v>
      </c>
      <c r="M28" s="354">
        <v>1184</v>
      </c>
      <c r="N28" s="354">
        <v>1196</v>
      </c>
      <c r="W28" s="450"/>
    </row>
    <row r="29" spans="2:23">
      <c r="B29" s="357" t="s">
        <v>294</v>
      </c>
      <c r="D29" s="452"/>
      <c r="E29" s="452"/>
      <c r="F29" s="452"/>
      <c r="G29" s="452"/>
      <c r="H29" s="452"/>
      <c r="I29" s="456">
        <f t="shared" si="6"/>
        <v>0</v>
      </c>
      <c r="M29" s="354">
        <v>1237</v>
      </c>
      <c r="N29" s="354">
        <v>939</v>
      </c>
      <c r="W29" s="450"/>
    </row>
    <row r="30" spans="2:23">
      <c r="B30" s="357" t="s">
        <v>161</v>
      </c>
      <c r="D30" s="452"/>
      <c r="E30" s="452"/>
      <c r="F30" s="452"/>
      <c r="G30" s="452"/>
      <c r="H30" s="452"/>
      <c r="I30" s="456">
        <f t="shared" si="6"/>
        <v>0</v>
      </c>
      <c r="M30" s="354">
        <v>922</v>
      </c>
      <c r="N30" s="354">
        <v>1179</v>
      </c>
      <c r="W30" s="450"/>
    </row>
    <row r="31" spans="2:23" ht="14.45" thickBot="1">
      <c r="B31" s="357"/>
      <c r="C31" s="458">
        <f>SUM(C20:C30)</f>
        <v>3261</v>
      </c>
      <c r="D31" s="458">
        <f t="shared" ref="D31:I31" si="7">SUM(D20:D30)</f>
        <v>2359</v>
      </c>
      <c r="E31" s="458">
        <f t="shared" si="7"/>
        <v>2221</v>
      </c>
      <c r="F31" s="458">
        <f>SUM(F20:F30)</f>
        <v>2381</v>
      </c>
      <c r="G31" s="458">
        <f t="shared" si="7"/>
        <v>3372</v>
      </c>
      <c r="H31" s="458">
        <f t="shared" si="7"/>
        <v>0</v>
      </c>
      <c r="I31" s="458">
        <f t="shared" si="7"/>
        <v>13594</v>
      </c>
      <c r="K31" s="450"/>
      <c r="W31" s="450"/>
    </row>
    <row r="32" spans="2:23" ht="14.45" thickTop="1">
      <c r="B32" s="440"/>
      <c r="D32" s="452"/>
      <c r="E32" s="452"/>
      <c r="F32" s="452"/>
      <c r="G32" s="452"/>
      <c r="H32" s="452"/>
      <c r="I32" s="452"/>
      <c r="J32" s="452"/>
      <c r="W32" s="450"/>
    </row>
    <row r="33" spans="2:53">
      <c r="B33" s="440" t="s">
        <v>308</v>
      </c>
      <c r="C33" s="440" t="s">
        <v>309</v>
      </c>
      <c r="D33" s="460" t="s">
        <v>310</v>
      </c>
      <c r="E33" s="460" t="s">
        <v>293</v>
      </c>
      <c r="F33" s="440" t="s">
        <v>232</v>
      </c>
      <c r="G33" s="440" t="s">
        <v>311</v>
      </c>
      <c r="H33" s="460" t="s">
        <v>312</v>
      </c>
      <c r="I33" s="460" t="s">
        <v>231</v>
      </c>
      <c r="J33" s="440" t="s">
        <v>71</v>
      </c>
      <c r="W33" s="450"/>
    </row>
    <row r="34" spans="2:53">
      <c r="B34" s="354" t="s">
        <v>313</v>
      </c>
      <c r="C34" s="449"/>
      <c r="D34" s="457"/>
      <c r="E34" s="457"/>
      <c r="H34" s="457"/>
      <c r="I34" s="452">
        <v>0</v>
      </c>
      <c r="J34" s="456">
        <f t="shared" ref="J34:J39" si="8">SUM(C34:I34)</f>
        <v>0</v>
      </c>
      <c r="W34" s="450"/>
    </row>
    <row r="35" spans="2:53">
      <c r="B35" s="354" t="s">
        <v>314</v>
      </c>
      <c r="C35" s="449"/>
      <c r="D35" s="457"/>
      <c r="E35" s="457"/>
      <c r="H35" s="457"/>
      <c r="I35" s="452"/>
      <c r="J35" s="456">
        <f t="shared" si="8"/>
        <v>0</v>
      </c>
      <c r="W35" s="450"/>
    </row>
    <row r="36" spans="2:53">
      <c r="B36" s="354" t="s">
        <v>315</v>
      </c>
      <c r="C36" s="449"/>
      <c r="D36" s="457"/>
      <c r="E36" s="457"/>
      <c r="H36" s="457"/>
      <c r="I36" s="452"/>
      <c r="J36" s="456">
        <f t="shared" si="8"/>
        <v>0</v>
      </c>
    </row>
    <row r="37" spans="2:53">
      <c r="B37" s="354" t="s">
        <v>316</v>
      </c>
      <c r="C37" s="449"/>
      <c r="J37" s="456">
        <f t="shared" si="8"/>
        <v>0</v>
      </c>
      <c r="BA37" s="357"/>
    </row>
    <row r="38" spans="2:53">
      <c r="B38" s="354" t="s">
        <v>317</v>
      </c>
      <c r="C38" s="449"/>
      <c r="J38" s="456">
        <f t="shared" si="8"/>
        <v>0</v>
      </c>
    </row>
    <row r="39" spans="2:53">
      <c r="B39" s="1793" t="s">
        <v>318</v>
      </c>
      <c r="C39" s="449"/>
      <c r="D39" s="449"/>
      <c r="E39" s="449"/>
      <c r="F39" s="449"/>
      <c r="G39" s="449"/>
      <c r="H39" s="449"/>
      <c r="I39" s="449"/>
      <c r="J39" s="1794">
        <f t="shared" si="8"/>
        <v>0</v>
      </c>
      <c r="N39" s="354" t="s">
        <v>138</v>
      </c>
      <c r="P39" s="354" t="s">
        <v>138</v>
      </c>
    </row>
    <row r="40" spans="2:53" ht="14.45" thickBot="1">
      <c r="B40" s="440" t="s">
        <v>71</v>
      </c>
      <c r="C40" s="461">
        <f>SUM(C34:C39)</f>
        <v>0</v>
      </c>
      <c r="D40" s="461">
        <f t="shared" ref="D40:I40" si="9">SUM(D34:D39)</f>
        <v>0</v>
      </c>
      <c r="E40" s="461">
        <f t="shared" si="9"/>
        <v>0</v>
      </c>
      <c r="F40" s="461">
        <f t="shared" si="9"/>
        <v>0</v>
      </c>
      <c r="G40" s="461">
        <f t="shared" si="9"/>
        <v>0</v>
      </c>
      <c r="H40" s="461">
        <f t="shared" si="9"/>
        <v>0</v>
      </c>
      <c r="I40" s="461">
        <f t="shared" si="9"/>
        <v>0</v>
      </c>
      <c r="J40" s="461">
        <f>SUM(J34:J39)</f>
        <v>0</v>
      </c>
    </row>
    <row r="41" spans="2:53" ht="14.45" thickTop="1">
      <c r="C41" s="354" t="s">
        <v>138</v>
      </c>
      <c r="D41" s="354" t="s">
        <v>138</v>
      </c>
      <c r="E41" s="354" t="s">
        <v>138</v>
      </c>
    </row>
    <row r="43" spans="2:53">
      <c r="C43" s="440" t="s">
        <v>309</v>
      </c>
      <c r="D43" s="460" t="s">
        <v>310</v>
      </c>
      <c r="E43" s="460" t="s">
        <v>293</v>
      </c>
      <c r="F43" s="440" t="s">
        <v>232</v>
      </c>
      <c r="G43" s="440" t="s">
        <v>311</v>
      </c>
      <c r="H43" s="460" t="s">
        <v>319</v>
      </c>
      <c r="I43" s="460" t="s">
        <v>231</v>
      </c>
      <c r="J43" s="440" t="s">
        <v>71</v>
      </c>
    </row>
    <row r="44" spans="2:53">
      <c r="B44" s="440" t="s">
        <v>292</v>
      </c>
      <c r="C44" s="449">
        <v>0</v>
      </c>
      <c r="D44" s="354">
        <v>0</v>
      </c>
      <c r="J44" s="456">
        <f>SUM(C44:I44)</f>
        <v>0</v>
      </c>
      <c r="T44" s="354">
        <f>100+100+100+100+99+290+280+299+383+383</f>
        <v>2134</v>
      </c>
    </row>
    <row r="45" spans="2:53">
      <c r="B45" s="440" t="s">
        <v>320</v>
      </c>
      <c r="C45" s="449">
        <v>0</v>
      </c>
      <c r="F45" s="354">
        <v>0</v>
      </c>
      <c r="H45" s="354">
        <v>0</v>
      </c>
      <c r="J45" s="456">
        <f>SUM(C45:I45)</f>
        <v>0</v>
      </c>
      <c r="T45" s="354">
        <f>+T44-2147</f>
        <v>-13</v>
      </c>
    </row>
    <row r="46" spans="2:53">
      <c r="B46" s="440" t="s">
        <v>321</v>
      </c>
      <c r="C46" s="449">
        <v>0</v>
      </c>
      <c r="J46" s="456">
        <f>SUM(C46:I46)</f>
        <v>0</v>
      </c>
    </row>
    <row r="47" spans="2:53" ht="14.45" thickBot="1">
      <c r="B47" s="440" t="s">
        <v>71</v>
      </c>
      <c r="C47" s="461">
        <f>SUM(C44:C46)</f>
        <v>0</v>
      </c>
      <c r="D47" s="461">
        <f t="shared" ref="D47:J47" si="10">SUM(D44:D46)</f>
        <v>0</v>
      </c>
      <c r="E47" s="461">
        <f t="shared" si="10"/>
        <v>0</v>
      </c>
      <c r="F47" s="461">
        <f t="shared" si="10"/>
        <v>0</v>
      </c>
      <c r="G47" s="461">
        <f t="shared" si="10"/>
        <v>0</v>
      </c>
      <c r="H47" s="461">
        <f t="shared" si="10"/>
        <v>0</v>
      </c>
      <c r="I47" s="461">
        <f t="shared" si="10"/>
        <v>0</v>
      </c>
      <c r="J47" s="461">
        <f t="shared" si="10"/>
        <v>0</v>
      </c>
      <c r="W47" s="354">
        <f>13*8</f>
        <v>104</v>
      </c>
    </row>
    <row r="48" spans="2:53" ht="14.45" thickTop="1">
      <c r="B48" s="440"/>
      <c r="C48" s="440"/>
      <c r="D48" s="440"/>
      <c r="E48" s="440"/>
      <c r="F48" s="440"/>
      <c r="G48" s="440"/>
      <c r="H48" s="440"/>
      <c r="I48" s="440"/>
      <c r="J48" s="440"/>
      <c r="W48" s="354">
        <f>13*7</f>
        <v>91</v>
      </c>
    </row>
    <row r="49" spans="1:26">
      <c r="B49" s="440"/>
      <c r="C49" s="440"/>
      <c r="D49" s="440"/>
      <c r="E49" s="440"/>
      <c r="F49" s="440"/>
      <c r="G49" s="440"/>
      <c r="H49" s="440"/>
      <c r="I49" s="440" t="s">
        <v>322</v>
      </c>
      <c r="J49" s="440"/>
      <c r="K49" s="440"/>
      <c r="L49" s="440"/>
      <c r="M49" s="440"/>
      <c r="N49" s="440"/>
      <c r="O49" s="440"/>
      <c r="P49" s="440"/>
      <c r="Q49" s="440"/>
      <c r="R49" s="440"/>
      <c r="S49" s="440"/>
      <c r="W49" s="354">
        <f>+W48+8</f>
        <v>99</v>
      </c>
    </row>
    <row r="50" spans="1:26">
      <c r="B50" s="575"/>
      <c r="C50" s="575"/>
      <c r="D50" s="575"/>
      <c r="E50" s="575"/>
      <c r="F50" s="575"/>
      <c r="G50" s="575"/>
      <c r="H50" s="575"/>
      <c r="I50" s="575"/>
      <c r="J50" s="575"/>
      <c r="K50" s="575"/>
      <c r="L50" s="575"/>
      <c r="M50" s="575"/>
      <c r="N50" s="575"/>
      <c r="O50" s="575"/>
      <c r="P50" s="575"/>
      <c r="Q50" s="575"/>
      <c r="R50" s="575"/>
      <c r="S50" s="575"/>
    </row>
    <row r="51" spans="1:26">
      <c r="B51" s="575" t="s">
        <v>323</v>
      </c>
      <c r="C51" s="575" t="s">
        <v>324</v>
      </c>
      <c r="D51" s="575" t="s">
        <v>325</v>
      </c>
      <c r="E51" s="575" t="s">
        <v>326</v>
      </c>
      <c r="F51" s="575" t="s">
        <v>327</v>
      </c>
      <c r="G51" s="575" t="s">
        <v>328</v>
      </c>
      <c r="H51" s="575" t="s">
        <v>329</v>
      </c>
      <c r="I51" s="575" t="s">
        <v>330</v>
      </c>
      <c r="J51" s="575" t="s">
        <v>331</v>
      </c>
      <c r="K51" s="575" t="s">
        <v>332</v>
      </c>
      <c r="L51" s="575" t="s">
        <v>333</v>
      </c>
      <c r="M51" s="575" t="s">
        <v>331</v>
      </c>
      <c r="N51" s="575" t="s">
        <v>334</v>
      </c>
      <c r="O51" s="575" t="s">
        <v>333</v>
      </c>
      <c r="P51" s="575" t="s">
        <v>331</v>
      </c>
      <c r="Q51" s="575" t="s">
        <v>335</v>
      </c>
      <c r="R51" s="575" t="s">
        <v>331</v>
      </c>
      <c r="S51" s="575" t="s">
        <v>336</v>
      </c>
    </row>
    <row r="52" spans="1:26">
      <c r="B52" s="334">
        <f>+A6</f>
        <v>27</v>
      </c>
      <c r="C52" s="334"/>
      <c r="D52" s="334">
        <v>4971</v>
      </c>
      <c r="E52" s="334">
        <f t="shared" ref="E52:F56" si="11">+B6+J6+R6+Z6+AI6+AR6</f>
        <v>1644</v>
      </c>
      <c r="F52" s="334">
        <f t="shared" si="11"/>
        <v>134</v>
      </c>
      <c r="G52" s="334">
        <f>+F6+N6+V6+AD6+AM6+AV6</f>
        <v>1097</v>
      </c>
      <c r="H52" s="334">
        <f>+I6+Q6+Y6+AG6+AP6+AY6</f>
        <v>0</v>
      </c>
      <c r="I52" s="334"/>
      <c r="J52" s="334"/>
      <c r="K52" s="334">
        <f>+D6+L6+T6+AB6+AK6+AT6</f>
        <v>106</v>
      </c>
      <c r="L52" s="334"/>
      <c r="M52" s="334"/>
      <c r="N52" s="334"/>
      <c r="O52" s="334"/>
      <c r="P52" s="334"/>
      <c r="Q52" s="334"/>
      <c r="R52" s="334"/>
      <c r="S52" s="334">
        <f>+D52+E52-F52-G52-H52-K52-N52-Q52</f>
        <v>5278</v>
      </c>
    </row>
    <row r="53" spans="1:26">
      <c r="B53" s="334">
        <f>+B52+1</f>
        <v>28</v>
      </c>
      <c r="C53" s="334"/>
      <c r="D53" s="334">
        <f>+S52</f>
        <v>5278</v>
      </c>
      <c r="E53" s="334">
        <f t="shared" si="11"/>
        <v>1096</v>
      </c>
      <c r="F53" s="334">
        <f t="shared" si="11"/>
        <v>83</v>
      </c>
      <c r="G53" s="334">
        <f>+F7+N7+V7+AD7+AM7+AV7</f>
        <v>1100</v>
      </c>
      <c r="H53" s="334">
        <f>+I7+Q7+Y7+AG7+AP7+AY7</f>
        <v>0</v>
      </c>
      <c r="I53" s="334"/>
      <c r="J53" s="334"/>
      <c r="K53" s="334">
        <f>+D7+L7+T7+AB7+AK7+AT7</f>
        <v>80</v>
      </c>
      <c r="L53" s="334"/>
      <c r="M53" s="334"/>
      <c r="N53" s="334"/>
      <c r="O53" s="334"/>
      <c r="P53" s="334"/>
      <c r="Q53" s="334"/>
      <c r="R53" s="334"/>
      <c r="S53" s="334">
        <f>+D53+E53-F53-G53-H53-K53-N53-Q53</f>
        <v>5111</v>
      </c>
    </row>
    <row r="54" spans="1:26">
      <c r="B54" s="334">
        <f>+B53+1</f>
        <v>29</v>
      </c>
      <c r="C54" s="334"/>
      <c r="D54" s="334">
        <f>+S53</f>
        <v>5111</v>
      </c>
      <c r="E54" s="334">
        <f t="shared" si="11"/>
        <v>593</v>
      </c>
      <c r="F54" s="334">
        <f t="shared" si="11"/>
        <v>43</v>
      </c>
      <c r="G54" s="334">
        <f>+F8+N8+V8+AD8+AM8+AV8</f>
        <v>1157</v>
      </c>
      <c r="H54" s="334">
        <f>+I8+Q8+Y8+AG8+AP8+AY8</f>
        <v>0</v>
      </c>
      <c r="I54" s="334"/>
      <c r="J54" s="334"/>
      <c r="K54" s="334">
        <f>+D8+L8+T8+AB8+AK8+AT8</f>
        <v>117</v>
      </c>
      <c r="L54" s="334"/>
      <c r="M54" s="334"/>
      <c r="N54" s="334"/>
      <c r="O54" s="334"/>
      <c r="P54" s="334"/>
      <c r="Q54" s="334"/>
      <c r="R54" s="334"/>
      <c r="S54" s="334">
        <f>+D54+E54-F54-G54-H54-K54-N54-Q54</f>
        <v>4387</v>
      </c>
    </row>
    <row r="55" spans="1:26">
      <c r="B55" s="334">
        <f>+B54+1</f>
        <v>30</v>
      </c>
      <c r="C55" s="334"/>
      <c r="D55" s="334">
        <f>+S54</f>
        <v>4387</v>
      </c>
      <c r="E55" s="334">
        <f t="shared" si="11"/>
        <v>1751</v>
      </c>
      <c r="F55" s="334">
        <f t="shared" si="11"/>
        <v>174</v>
      </c>
      <c r="G55" s="334">
        <f>+F9+N9+V9+AD9+AM9+AV9</f>
        <v>0</v>
      </c>
      <c r="H55" s="334">
        <f>+I9+Q9+Y9+AG9+AP9+AY9</f>
        <v>0</v>
      </c>
      <c r="I55" s="334"/>
      <c r="J55" s="334"/>
      <c r="K55" s="334">
        <f>+D9+L9+T9+AB9+AK9+AT9</f>
        <v>136</v>
      </c>
      <c r="L55" s="334"/>
      <c r="M55" s="334"/>
      <c r="N55" s="334"/>
      <c r="O55" s="334"/>
      <c r="P55" s="334"/>
      <c r="Q55" s="334"/>
      <c r="R55" s="334"/>
      <c r="S55" s="334">
        <f>+D55+E55-F55-G55-H55-K55-N55-Q55</f>
        <v>5828</v>
      </c>
    </row>
    <row r="56" spans="1:26">
      <c r="B56" s="334">
        <f>+B55+1</f>
        <v>31</v>
      </c>
      <c r="C56" s="334"/>
      <c r="D56" s="334">
        <f>+S55</f>
        <v>5828</v>
      </c>
      <c r="E56" s="334">
        <f>+B10+J10+R10+Z10+AI10+AR10</f>
        <v>1681</v>
      </c>
      <c r="F56" s="334">
        <f t="shared" si="11"/>
        <v>174</v>
      </c>
      <c r="G56" s="334">
        <f>+F10+N10+V10+AD10+AM10+AV10</f>
        <v>1111</v>
      </c>
      <c r="H56" s="334">
        <f>+I10+Q10+Y10+AG10+AP10+AY10</f>
        <v>0</v>
      </c>
      <c r="I56" s="334"/>
      <c r="J56" s="334"/>
      <c r="K56" s="334">
        <f>+D10+L10+T10+AB10+AK10+AT10</f>
        <v>114</v>
      </c>
      <c r="L56" s="334"/>
      <c r="M56" s="334"/>
      <c r="N56" s="334"/>
      <c r="O56" s="334"/>
      <c r="P56" s="334"/>
      <c r="Q56" s="334"/>
      <c r="R56" s="334"/>
      <c r="S56" s="334">
        <f>+D56+E56-F56-G56-H56-K56-N56-Q56</f>
        <v>6110</v>
      </c>
    </row>
    <row r="57" spans="1:26" ht="14.45" thickBot="1">
      <c r="B57" s="576"/>
      <c r="C57" s="577"/>
      <c r="D57" s="577"/>
      <c r="E57" s="577">
        <f>SUM(E52:E56)</f>
        <v>6765</v>
      </c>
      <c r="F57" s="577">
        <f t="shared" ref="F57:R57" si="12">SUM(F52:F56)</f>
        <v>608</v>
      </c>
      <c r="G57" s="577">
        <f t="shared" si="12"/>
        <v>4465</v>
      </c>
      <c r="H57" s="577">
        <f t="shared" si="12"/>
        <v>0</v>
      </c>
      <c r="I57" s="577">
        <f t="shared" si="12"/>
        <v>0</v>
      </c>
      <c r="J57" s="577">
        <f t="shared" si="12"/>
        <v>0</v>
      </c>
      <c r="K57" s="577">
        <f t="shared" si="12"/>
        <v>553</v>
      </c>
      <c r="L57" s="577">
        <f t="shared" si="12"/>
        <v>0</v>
      </c>
      <c r="M57" s="577">
        <f t="shared" si="12"/>
        <v>0</v>
      </c>
      <c r="N57" s="577">
        <f t="shared" si="12"/>
        <v>0</v>
      </c>
      <c r="O57" s="577">
        <f t="shared" si="12"/>
        <v>0</v>
      </c>
      <c r="P57" s="577">
        <f t="shared" si="12"/>
        <v>0</v>
      </c>
      <c r="Q57" s="577">
        <f t="shared" si="12"/>
        <v>0</v>
      </c>
      <c r="R57" s="577">
        <f t="shared" si="12"/>
        <v>0</v>
      </c>
      <c r="S57" s="577">
        <f>+S56</f>
        <v>6110</v>
      </c>
      <c r="T57" s="1504">
        <f>+S57-I25-'Summary Total Pigs'!AE12</f>
        <v>-289</v>
      </c>
    </row>
    <row r="58" spans="1:26" ht="14.45" thickTop="1">
      <c r="B58" s="440"/>
      <c r="C58" s="440"/>
      <c r="D58" s="440">
        <f>+'Summary Total Pigs'!C12-'Grasmere Batch Mvnt'!D52</f>
        <v>289</v>
      </c>
      <c r="E58" s="440"/>
      <c r="F58" s="440"/>
      <c r="G58" s="440"/>
      <c r="H58" s="440"/>
      <c r="I58" s="440"/>
      <c r="J58" s="440"/>
    </row>
    <row r="59" spans="1:26">
      <c r="B59" s="440" t="s">
        <v>221</v>
      </c>
      <c r="C59" s="440"/>
      <c r="D59" s="440" t="s">
        <v>337</v>
      </c>
      <c r="E59" s="440" t="s">
        <v>338</v>
      </c>
      <c r="F59" s="440" t="s">
        <v>339</v>
      </c>
      <c r="G59" s="440" t="s">
        <v>71</v>
      </c>
      <c r="H59" s="440" t="s">
        <v>340</v>
      </c>
      <c r="I59" s="440" t="s">
        <v>341</v>
      </c>
      <c r="J59" s="440" t="s">
        <v>342</v>
      </c>
      <c r="K59" s="440" t="s">
        <v>71</v>
      </c>
      <c r="L59" s="440" t="s">
        <v>226</v>
      </c>
      <c r="M59" s="440" t="s">
        <v>312</v>
      </c>
      <c r="N59" s="440" t="s">
        <v>232</v>
      </c>
      <c r="O59" s="440" t="s">
        <v>343</v>
      </c>
      <c r="P59" s="440" t="s">
        <v>293</v>
      </c>
      <c r="Q59" s="440" t="s">
        <v>231</v>
      </c>
      <c r="R59" s="440" t="s">
        <v>237</v>
      </c>
      <c r="S59" s="440" t="s">
        <v>192</v>
      </c>
      <c r="T59" s="440" t="s">
        <v>344</v>
      </c>
      <c r="U59" s="440" t="s">
        <v>345</v>
      </c>
      <c r="V59" s="440" t="s">
        <v>71</v>
      </c>
      <c r="W59" s="440" t="s">
        <v>346</v>
      </c>
    </row>
    <row r="60" spans="1:26">
      <c r="B60" s="440">
        <f>SUM(B61:B66)</f>
        <v>1655</v>
      </c>
      <c r="C60" s="440"/>
      <c r="D60" s="440">
        <f>SUM(D61:D66)</f>
        <v>801</v>
      </c>
      <c r="E60" s="440">
        <f>SUM(E61:E66)</f>
        <v>406</v>
      </c>
      <c r="F60" s="440">
        <f>SUM(F61:F66)</f>
        <v>0</v>
      </c>
      <c r="G60" s="440">
        <f>+D60+E60+F60</f>
        <v>1207</v>
      </c>
      <c r="H60" s="440">
        <f>SUM(H61:H66)</f>
        <v>657</v>
      </c>
      <c r="I60" s="440">
        <f>SUM(I61:I66)</f>
        <v>405</v>
      </c>
      <c r="J60" s="440">
        <f>SUM(J61:J66)</f>
        <v>58</v>
      </c>
      <c r="K60" s="440">
        <f>SUM(K61:K66)</f>
        <v>1120</v>
      </c>
      <c r="L60" s="440">
        <f>SUM(L61:L66)</f>
        <v>4</v>
      </c>
      <c r="M60" s="440">
        <f t="shared" ref="M60:Q60" si="13">SUM(M61:M66)</f>
        <v>2</v>
      </c>
      <c r="N60" s="440">
        <f t="shared" si="13"/>
        <v>0</v>
      </c>
      <c r="O60" s="440">
        <f>SUM(O61:O66)</f>
        <v>35</v>
      </c>
      <c r="P60" s="440">
        <f>SUM(P61:P66)</f>
        <v>40</v>
      </c>
      <c r="Q60" s="440">
        <f t="shared" si="13"/>
        <v>0</v>
      </c>
      <c r="R60" s="440">
        <f>SUM(R61:R66)</f>
        <v>0</v>
      </c>
      <c r="S60" s="440">
        <f>SUM(S61:S66)</f>
        <v>0</v>
      </c>
      <c r="T60" s="440">
        <f t="shared" ref="T60:U60" si="14">SUM(T61:T66)</f>
        <v>0</v>
      </c>
      <c r="U60" s="440">
        <f t="shared" si="14"/>
        <v>0</v>
      </c>
      <c r="V60" s="440">
        <f>SUM(V61:V66)</f>
        <v>81</v>
      </c>
      <c r="W60" s="440">
        <f>SUM(W61:W66)</f>
        <v>1661</v>
      </c>
      <c r="X60" s="440">
        <f>SUM(X61:X66)</f>
        <v>1664</v>
      </c>
      <c r="Y60" s="354">
        <f>+W60-X60</f>
        <v>-3</v>
      </c>
    </row>
    <row r="61" spans="1:26">
      <c r="A61" s="354">
        <v>16</v>
      </c>
      <c r="B61" s="1793">
        <v>16</v>
      </c>
      <c r="C61" s="1793" t="s">
        <v>347</v>
      </c>
      <c r="D61" s="440">
        <f>1+1+1+1+1+6+1+1+11+1+1+2+1+13+2+2+1+1+2+6+1</f>
        <v>57</v>
      </c>
      <c r="E61" s="440">
        <f>3+1+2+1+1+1+4+4+2</f>
        <v>19</v>
      </c>
      <c r="F61" s="440"/>
      <c r="G61" s="440">
        <f>+D61+E61+F61</f>
        <v>76</v>
      </c>
      <c r="H61" s="440"/>
      <c r="I61" s="1900"/>
      <c r="J61" s="440"/>
      <c r="K61" s="440">
        <f t="shared" ref="K61:K63" si="15">+H61+I61+J61</f>
        <v>0</v>
      </c>
      <c r="L61" s="440">
        <v>0</v>
      </c>
      <c r="M61" s="440">
        <v>2</v>
      </c>
      <c r="N61" s="440"/>
      <c r="O61" s="440">
        <f>6+4+2+3+3+3+2+5+3+4</f>
        <v>35</v>
      </c>
      <c r="P61" s="440">
        <f>13+9+8+10</f>
        <v>40</v>
      </c>
      <c r="Q61" s="440"/>
      <c r="R61" s="440"/>
      <c r="S61" s="440"/>
      <c r="T61" s="440"/>
      <c r="U61" s="440"/>
      <c r="V61" s="440">
        <f>+L61+M61+N61+O61+P61+Q61+R61+U61+T61+S61</f>
        <v>77</v>
      </c>
      <c r="W61" s="1545">
        <f>+B61+G61-K61-V61</f>
        <v>15</v>
      </c>
      <c r="X61" s="449">
        <v>15</v>
      </c>
      <c r="Y61" s="354">
        <f t="shared" ref="Y61" si="16">+W61-X61</f>
        <v>0</v>
      </c>
      <c r="Z61" s="354" t="s">
        <v>79</v>
      </c>
    </row>
    <row r="62" spans="1:26">
      <c r="A62" s="354">
        <v>384</v>
      </c>
      <c r="B62" s="440">
        <v>384</v>
      </c>
      <c r="C62" s="440" t="s">
        <v>348</v>
      </c>
      <c r="D62" s="454">
        <v>206</v>
      </c>
      <c r="E62" s="440"/>
      <c r="F62" s="440"/>
      <c r="G62" s="440">
        <f>+D62+E62+F62</f>
        <v>206</v>
      </c>
      <c r="H62" s="440">
        <f>98+97</f>
        <v>195</v>
      </c>
      <c r="I62" s="440"/>
      <c r="J62" s="440">
        <f>1+1+2+1+1+2+1</f>
        <v>9</v>
      </c>
      <c r="K62" s="440">
        <f>+H62+I62+J62</f>
        <v>204</v>
      </c>
      <c r="L62" s="440"/>
      <c r="M62" s="440"/>
      <c r="N62" s="440"/>
      <c r="O62" s="440"/>
      <c r="P62" s="440"/>
      <c r="Q62" s="440"/>
      <c r="R62" s="440"/>
      <c r="S62" s="440"/>
      <c r="T62" s="440"/>
      <c r="U62" s="440"/>
      <c r="V62" s="440">
        <f>+L62+M62+N62+O62+P62+Q62+R62+U62+T62+S62</f>
        <v>0</v>
      </c>
      <c r="W62" s="1545">
        <f t="shared" ref="W62:W66" si="17">+B62+G62-K62-V62</f>
        <v>386</v>
      </c>
      <c r="X62" s="449">
        <v>387</v>
      </c>
      <c r="Y62" s="354">
        <f>+W62-X62</f>
        <v>-1</v>
      </c>
      <c r="Z62" s="354" t="s">
        <v>79</v>
      </c>
    </row>
    <row r="63" spans="1:26">
      <c r="A63" s="354">
        <v>382</v>
      </c>
      <c r="B63" s="440">
        <v>382</v>
      </c>
      <c r="C63" s="440" t="s">
        <v>349</v>
      </c>
      <c r="D63" s="440"/>
      <c r="E63" s="440"/>
      <c r="F63" s="440"/>
      <c r="G63" s="440">
        <f t="shared" ref="G63:G65" si="18">+D63+E63+F63</f>
        <v>0</v>
      </c>
      <c r="H63" s="440"/>
      <c r="I63" s="440"/>
      <c r="J63" s="440">
        <v>6</v>
      </c>
      <c r="K63" s="440">
        <f t="shared" si="15"/>
        <v>6</v>
      </c>
      <c r="L63" s="440">
        <v>1</v>
      </c>
      <c r="M63" s="440"/>
      <c r="N63" s="440"/>
      <c r="O63" s="440"/>
      <c r="P63" s="440"/>
      <c r="Q63" s="440"/>
      <c r="R63" s="440"/>
      <c r="S63" s="440"/>
      <c r="T63" s="440"/>
      <c r="U63" s="440"/>
      <c r="V63" s="440">
        <f t="shared" ref="V63:V65" si="19">+L63+M63+N63+O63+P63+Q63+R63+U63+T63+S63</f>
        <v>1</v>
      </c>
      <c r="W63" s="1545">
        <f t="shared" si="17"/>
        <v>375</v>
      </c>
      <c r="X63" s="449">
        <v>376</v>
      </c>
      <c r="Y63" s="354">
        <f t="shared" ref="Y63:Y66" si="20">+W63-X63</f>
        <v>-1</v>
      </c>
      <c r="Z63" s="354" t="s">
        <v>79</v>
      </c>
    </row>
    <row r="64" spans="1:26">
      <c r="A64" s="354">
        <v>297</v>
      </c>
      <c r="B64" s="440">
        <v>297</v>
      </c>
      <c r="C64" s="440" t="s">
        <v>350</v>
      </c>
      <c r="D64" s="440">
        <f>98+2+2+97+98+93+7</f>
        <v>397</v>
      </c>
      <c r="E64" s="440"/>
      <c r="F64" s="440"/>
      <c r="G64" s="440">
        <f>+D64+E64+F64</f>
        <v>397</v>
      </c>
      <c r="H64" s="440"/>
      <c r="I64" s="454">
        <f>99+97+1+100+100</f>
        <v>397</v>
      </c>
      <c r="J64" s="440"/>
      <c r="K64" s="440">
        <f>+H64+I64+J64</f>
        <v>397</v>
      </c>
      <c r="L64" s="440"/>
      <c r="M64" s="440"/>
      <c r="N64" s="440"/>
      <c r="O64" s="440"/>
      <c r="P64" s="440"/>
      <c r="Q64" s="440"/>
      <c r="R64" s="440"/>
      <c r="S64" s="440"/>
      <c r="T64" s="440"/>
      <c r="U64" s="440"/>
      <c r="V64" s="440">
        <f>+L64+M64+N64+O64+P64+Q64+R64+U64+T64+S64</f>
        <v>0</v>
      </c>
      <c r="W64" s="1545">
        <f t="shared" si="17"/>
        <v>297</v>
      </c>
      <c r="X64" s="449">
        <v>298</v>
      </c>
      <c r="Y64" s="354">
        <f t="shared" si="20"/>
        <v>-1</v>
      </c>
      <c r="Z64" s="354" t="s">
        <v>79</v>
      </c>
    </row>
    <row r="65" spans="1:30">
      <c r="A65" s="354">
        <v>282</v>
      </c>
      <c r="B65" s="440">
        <v>282</v>
      </c>
      <c r="C65" s="440" t="s">
        <v>351</v>
      </c>
      <c r="D65" s="440">
        <v>127</v>
      </c>
      <c r="E65" s="440"/>
      <c r="F65" s="440"/>
      <c r="G65" s="440">
        <f t="shared" si="18"/>
        <v>127</v>
      </c>
      <c r="H65" s="440">
        <f>2+2+2+98+7</f>
        <v>111</v>
      </c>
      <c r="I65" s="440">
        <f>5+3</f>
        <v>8</v>
      </c>
      <c r="J65" s="440">
        <v>1</v>
      </c>
      <c r="K65" s="440">
        <f>+H65+I65+J65</f>
        <v>120</v>
      </c>
      <c r="L65" s="440">
        <v>1</v>
      </c>
      <c r="M65" s="440"/>
      <c r="N65" s="440"/>
      <c r="O65" s="440"/>
      <c r="P65" s="440"/>
      <c r="Q65" s="440"/>
      <c r="R65" s="440"/>
      <c r="S65" s="440"/>
      <c r="T65" s="440"/>
      <c r="U65" s="440"/>
      <c r="V65" s="440">
        <f t="shared" si="19"/>
        <v>1</v>
      </c>
      <c r="W65" s="1545">
        <f t="shared" si="17"/>
        <v>288</v>
      </c>
      <c r="X65" s="449">
        <v>288</v>
      </c>
      <c r="Y65" s="354">
        <f t="shared" si="20"/>
        <v>0</v>
      </c>
    </row>
    <row r="66" spans="1:30">
      <c r="A66" s="354">
        <v>294</v>
      </c>
      <c r="B66" s="440">
        <v>294</v>
      </c>
      <c r="C66" s="440" t="s">
        <v>352</v>
      </c>
      <c r="D66" s="440">
        <f>9+5</f>
        <v>14</v>
      </c>
      <c r="E66" s="440">
        <f>96+97+97+96+1</f>
        <v>387</v>
      </c>
      <c r="F66" s="440"/>
      <c r="G66" s="440">
        <f>+D66+E66+F66</f>
        <v>401</v>
      </c>
      <c r="H66" s="440">
        <f>1+2+87+3+80+3+75+3+3+93+1</f>
        <v>351</v>
      </c>
      <c r="I66" s="440"/>
      <c r="J66" s="440">
        <f>6+2+11+2+13+2+6</f>
        <v>42</v>
      </c>
      <c r="K66" s="440">
        <f>+H66+I66+J66</f>
        <v>393</v>
      </c>
      <c r="L66" s="440">
        <f>1+1</f>
        <v>2</v>
      </c>
      <c r="M66" s="440"/>
      <c r="N66" s="440"/>
      <c r="O66" s="440"/>
      <c r="P66" s="440"/>
      <c r="Q66" s="440"/>
      <c r="R66" s="440"/>
      <c r="S66" s="440"/>
      <c r="T66" s="440"/>
      <c r="U66" s="440"/>
      <c r="V66" s="440">
        <f>+L66+M66+N66+O66+P66+Q66+R66+U66+T66+S66</f>
        <v>2</v>
      </c>
      <c r="W66" s="1545">
        <f t="shared" si="17"/>
        <v>300</v>
      </c>
      <c r="X66" s="449">
        <v>300</v>
      </c>
      <c r="Y66" s="354">
        <f t="shared" si="20"/>
        <v>0</v>
      </c>
      <c r="Z66" s="440"/>
    </row>
    <row r="67" spans="1:30">
      <c r="B67" s="440"/>
      <c r="C67" s="440"/>
      <c r="D67" s="440"/>
      <c r="E67" s="440"/>
      <c r="F67" s="440"/>
      <c r="G67" s="440"/>
      <c r="H67" s="440"/>
      <c r="I67" s="440"/>
      <c r="J67" s="440"/>
      <c r="K67" s="440"/>
      <c r="L67" s="440"/>
      <c r="M67" s="440"/>
      <c r="N67" s="440"/>
      <c r="O67" s="440"/>
      <c r="P67" s="440"/>
      <c r="Q67" s="440"/>
      <c r="R67" s="440"/>
      <c r="S67" s="440"/>
      <c r="T67" s="440"/>
      <c r="U67" s="440"/>
      <c r="V67" s="440"/>
    </row>
    <row r="68" spans="1:30">
      <c r="A68" s="354">
        <v>494</v>
      </c>
      <c r="B68" s="440">
        <f>SUM(B69:B74)</f>
        <v>494</v>
      </c>
      <c r="C68" s="440"/>
      <c r="D68" s="440">
        <f>SUM(D69:D74)</f>
        <v>305</v>
      </c>
      <c r="E68" s="440">
        <f>SUM(E69:E74)</f>
        <v>24</v>
      </c>
      <c r="F68" s="440">
        <f t="shared" ref="F68:J68" si="21">SUM(F69:F74)</f>
        <v>0</v>
      </c>
      <c r="G68" s="440">
        <f>SUM(G69:G74)</f>
        <v>329</v>
      </c>
      <c r="H68" s="440">
        <f t="shared" si="21"/>
        <v>291</v>
      </c>
      <c r="I68" s="440">
        <f t="shared" si="21"/>
        <v>24</v>
      </c>
      <c r="J68" s="440">
        <f t="shared" si="21"/>
        <v>11</v>
      </c>
      <c r="K68" s="440">
        <f>SUM(K69:K74)</f>
        <v>326</v>
      </c>
      <c r="L68" s="440">
        <f>SUM(L69:L74)</f>
        <v>1</v>
      </c>
      <c r="M68" s="440">
        <f t="shared" ref="M68:Q68" si="22">SUM(M69:M74)</f>
        <v>2</v>
      </c>
      <c r="N68" s="440">
        <f t="shared" si="22"/>
        <v>0</v>
      </c>
      <c r="O68" s="440">
        <f>SUM(O69:O74)</f>
        <v>0</v>
      </c>
      <c r="P68" s="440">
        <f t="shared" si="22"/>
        <v>0</v>
      </c>
      <c r="Q68" s="440">
        <f t="shared" si="22"/>
        <v>0</v>
      </c>
      <c r="R68" s="440">
        <f>SUM(R69:R74)</f>
        <v>0</v>
      </c>
      <c r="S68" s="440">
        <f>SUM(S69:S74)</f>
        <v>0</v>
      </c>
      <c r="T68" s="440">
        <f>SUM(T69:T74)</f>
        <v>3</v>
      </c>
      <c r="U68" s="440">
        <f>SUM(U70:U74)</f>
        <v>494</v>
      </c>
      <c r="V68" s="440">
        <f>SUM(V70:V74)</f>
        <v>494</v>
      </c>
      <c r="W68" s="440">
        <f>SUM(W70:W74)</f>
        <v>0</v>
      </c>
    </row>
    <row r="69" spans="1:30">
      <c r="A69" s="354">
        <v>0</v>
      </c>
      <c r="B69" s="440">
        <v>0</v>
      </c>
      <c r="C69" s="440" t="s">
        <v>353</v>
      </c>
      <c r="D69" s="440"/>
      <c r="E69" s="440"/>
      <c r="F69" s="440"/>
      <c r="G69" s="440"/>
      <c r="H69" s="440"/>
      <c r="I69" s="440"/>
      <c r="J69" s="440"/>
      <c r="K69" s="440"/>
      <c r="L69" s="440"/>
      <c r="M69" s="440"/>
      <c r="N69" s="440"/>
      <c r="O69" s="440"/>
      <c r="P69" s="440">
        <f>+K69+L69+M69+N69+O69</f>
        <v>0</v>
      </c>
      <c r="Q69" s="440"/>
      <c r="R69" s="440"/>
      <c r="S69" s="440"/>
      <c r="T69" s="440"/>
      <c r="U69" s="440"/>
      <c r="V69" s="354">
        <f>+S69-T69</f>
        <v>0</v>
      </c>
      <c r="W69" s="354">
        <f t="shared" ref="W69:W72" si="23">+U69-V69</f>
        <v>0</v>
      </c>
    </row>
    <row r="70" spans="1:30">
      <c r="A70" s="354">
        <v>96</v>
      </c>
      <c r="B70" s="440">
        <v>96</v>
      </c>
      <c r="C70" s="440" t="s">
        <v>275</v>
      </c>
      <c r="D70" s="440">
        <f>99+1</f>
        <v>100</v>
      </c>
      <c r="E70" s="440">
        <f>3+1+1+2</f>
        <v>7</v>
      </c>
      <c r="F70" s="440"/>
      <c r="G70" s="440">
        <f t="shared" ref="G70:G72" si="24">+D70+E70+F70</f>
        <v>107</v>
      </c>
      <c r="H70" s="440">
        <v>96</v>
      </c>
      <c r="I70" s="440">
        <f>1+1</f>
        <v>2</v>
      </c>
      <c r="J70" s="440">
        <f>2+1+3</f>
        <v>6</v>
      </c>
      <c r="K70" s="440">
        <f t="shared" ref="K70:K72" si="25">+H70+I70+J70</f>
        <v>104</v>
      </c>
      <c r="L70" s="440"/>
      <c r="M70" s="440"/>
      <c r="N70" s="440"/>
      <c r="O70" s="440"/>
      <c r="P70" s="440"/>
      <c r="Q70" s="440"/>
      <c r="R70" s="440"/>
      <c r="S70" s="440"/>
      <c r="T70" s="440">
        <f>+L70+M70+N70+O70+P70+Q70+R70+S70</f>
        <v>0</v>
      </c>
      <c r="U70" s="1545">
        <f>+B70+G70-K70-T70</f>
        <v>99</v>
      </c>
      <c r="V70" s="354">
        <v>99</v>
      </c>
      <c r="W70" s="354">
        <f t="shared" si="23"/>
        <v>0</v>
      </c>
    </row>
    <row r="71" spans="1:30">
      <c r="A71" s="354">
        <v>99</v>
      </c>
      <c r="B71" s="440">
        <v>99</v>
      </c>
      <c r="C71" s="440" t="s">
        <v>274</v>
      </c>
      <c r="D71" s="440">
        <v>5</v>
      </c>
      <c r="E71" s="440">
        <f>1+1</f>
        <v>2</v>
      </c>
      <c r="F71" s="440"/>
      <c r="G71" s="440">
        <f t="shared" si="24"/>
        <v>7</v>
      </c>
      <c r="H71" s="440">
        <v>1</v>
      </c>
      <c r="I71" s="440">
        <f>4+2</f>
        <v>6</v>
      </c>
      <c r="J71" s="440"/>
      <c r="K71" s="440">
        <f t="shared" si="25"/>
        <v>7</v>
      </c>
      <c r="L71" s="440"/>
      <c r="M71" s="440">
        <f>1+1</f>
        <v>2</v>
      </c>
      <c r="N71" s="440"/>
      <c r="O71" s="440"/>
      <c r="P71" s="440"/>
      <c r="Q71" s="440"/>
      <c r="R71" s="440"/>
      <c r="S71" s="440">
        <v>0</v>
      </c>
      <c r="T71" s="440">
        <f>+L71+M71+N71+O71+P71+Q71+R71+S71</f>
        <v>2</v>
      </c>
      <c r="U71" s="1545">
        <f>+B71+G71-K71-T71</f>
        <v>97</v>
      </c>
      <c r="V71" s="354">
        <v>97</v>
      </c>
      <c r="W71" s="354">
        <f t="shared" si="23"/>
        <v>0</v>
      </c>
    </row>
    <row r="72" spans="1:30">
      <c r="A72" s="354">
        <v>100</v>
      </c>
      <c r="B72" s="440">
        <v>100</v>
      </c>
      <c r="C72" s="440" t="s">
        <v>273</v>
      </c>
      <c r="D72" s="440">
        <v>0</v>
      </c>
      <c r="E72" s="440">
        <v>4</v>
      </c>
      <c r="F72" s="440"/>
      <c r="G72" s="440">
        <f t="shared" si="24"/>
        <v>4</v>
      </c>
      <c r="H72" s="440"/>
      <c r="I72" s="440">
        <v>4</v>
      </c>
      <c r="J72" s="440"/>
      <c r="K72" s="440">
        <f t="shared" si="25"/>
        <v>4</v>
      </c>
      <c r="L72" s="440"/>
      <c r="M72" s="440"/>
      <c r="N72" s="440"/>
      <c r="O72" s="440"/>
      <c r="P72" s="440"/>
      <c r="Q72" s="440"/>
      <c r="R72" s="440"/>
      <c r="S72" s="440">
        <v>0</v>
      </c>
      <c r="T72" s="440">
        <f t="shared" ref="T72:T74" si="26">+L72+M72+N72+O72+P72+Q72+R72+S72</f>
        <v>0</v>
      </c>
      <c r="U72" s="1545">
        <f>+B72+G72-K72-T72</f>
        <v>100</v>
      </c>
      <c r="V72" s="354">
        <v>100</v>
      </c>
      <c r="W72" s="354">
        <f t="shared" si="23"/>
        <v>0</v>
      </c>
      <c r="AA72" s="354">
        <f>+X60+V68</f>
        <v>2158</v>
      </c>
    </row>
    <row r="73" spans="1:30">
      <c r="A73" s="354">
        <v>100</v>
      </c>
      <c r="B73" s="440">
        <v>100</v>
      </c>
      <c r="C73" s="440" t="s">
        <v>272</v>
      </c>
      <c r="D73" s="440">
        <v>100</v>
      </c>
      <c r="E73" s="440">
        <v>4</v>
      </c>
      <c r="F73" s="440"/>
      <c r="G73" s="440">
        <f>+D73+E73+F73</f>
        <v>104</v>
      </c>
      <c r="H73" s="440">
        <v>97</v>
      </c>
      <c r="I73" s="440">
        <f>4+1+1+1</f>
        <v>7</v>
      </c>
      <c r="J73" s="440">
        <f>1+1</f>
        <v>2</v>
      </c>
      <c r="K73" s="440">
        <f>+H73+I73+J73</f>
        <v>106</v>
      </c>
      <c r="L73" s="440"/>
      <c r="M73" s="440"/>
      <c r="N73" s="440"/>
      <c r="O73" s="440"/>
      <c r="P73" s="440"/>
      <c r="Q73" s="440"/>
      <c r="R73" s="440"/>
      <c r="S73" s="440">
        <v>0</v>
      </c>
      <c r="T73" s="440">
        <f>+L73+M73+N73+O73+P73+Q73+R73+S73</f>
        <v>0</v>
      </c>
      <c r="U73" s="1545">
        <f>+B73+G73-K73-T73</f>
        <v>98</v>
      </c>
      <c r="V73" s="354">
        <v>98</v>
      </c>
      <c r="W73" s="354">
        <f>+U73-V73</f>
        <v>0</v>
      </c>
    </row>
    <row r="74" spans="1:30">
      <c r="A74" s="354">
        <v>99</v>
      </c>
      <c r="B74" s="440">
        <v>99</v>
      </c>
      <c r="C74" s="440" t="s">
        <v>270</v>
      </c>
      <c r="D74" s="440">
        <f>97+3</f>
        <v>100</v>
      </c>
      <c r="E74" s="440">
        <f>4+1+1+1</f>
        <v>7</v>
      </c>
      <c r="F74" s="440"/>
      <c r="G74" s="440">
        <f>+D74+E74+F74</f>
        <v>107</v>
      </c>
      <c r="H74" s="440">
        <f>18+79</f>
        <v>97</v>
      </c>
      <c r="I74" s="440">
        <f>3+1+1</f>
        <v>5</v>
      </c>
      <c r="J74" s="440">
        <f>1+2</f>
        <v>3</v>
      </c>
      <c r="K74" s="440">
        <f t="shared" ref="K74" si="27">+H74+I74+J74</f>
        <v>105</v>
      </c>
      <c r="L74" s="440">
        <v>1</v>
      </c>
      <c r="M74" s="440"/>
      <c r="N74" s="440"/>
      <c r="O74" s="440"/>
      <c r="P74" s="440"/>
      <c r="Q74" s="440"/>
      <c r="R74" s="440"/>
      <c r="S74" s="440">
        <v>0</v>
      </c>
      <c r="T74" s="440">
        <f t="shared" si="26"/>
        <v>1</v>
      </c>
      <c r="U74" s="1545">
        <f>+B74+G74-K74-T74</f>
        <v>100</v>
      </c>
      <c r="V74" s="1791">
        <v>100</v>
      </c>
      <c r="W74" s="354">
        <f>+U74-V74</f>
        <v>0</v>
      </c>
    </row>
    <row r="75" spans="1:30">
      <c r="B75" s="440" t="s">
        <v>221</v>
      </c>
      <c r="C75" s="440"/>
      <c r="D75" s="440" t="s">
        <v>337</v>
      </c>
      <c r="E75" s="440" t="s">
        <v>338</v>
      </c>
      <c r="F75" s="354" t="s">
        <v>354</v>
      </c>
      <c r="G75" s="440" t="s">
        <v>71</v>
      </c>
      <c r="H75" s="440" t="s">
        <v>340</v>
      </c>
      <c r="I75" s="440" t="s">
        <v>341</v>
      </c>
      <c r="J75" s="440" t="s">
        <v>342</v>
      </c>
      <c r="K75" s="440" t="s">
        <v>71</v>
      </c>
      <c r="L75" s="440" t="s">
        <v>226</v>
      </c>
      <c r="M75" s="440" t="s">
        <v>312</v>
      </c>
      <c r="N75" s="440" t="s">
        <v>232</v>
      </c>
      <c r="O75" s="440" t="s">
        <v>343</v>
      </c>
      <c r="P75" s="440" t="s">
        <v>293</v>
      </c>
      <c r="Q75" s="440" t="s">
        <v>231</v>
      </c>
      <c r="R75" s="440" t="s">
        <v>237</v>
      </c>
      <c r="S75" s="440" t="s">
        <v>192</v>
      </c>
      <c r="T75" s="440" t="str">
        <f>+U59</f>
        <v>Qurantine</v>
      </c>
      <c r="U75" s="440" t="s">
        <v>71</v>
      </c>
      <c r="V75" s="440" t="s">
        <v>346</v>
      </c>
      <c r="W75" s="440"/>
    </row>
    <row r="76" spans="1:30">
      <c r="A76" s="462">
        <f>+B76-'Summary Total Pigs'!C16</f>
        <v>0</v>
      </c>
      <c r="B76" s="440">
        <f>B60+B68</f>
        <v>2149</v>
      </c>
      <c r="C76" s="440"/>
      <c r="D76" s="440"/>
      <c r="E76" s="440"/>
      <c r="F76" s="440">
        <f>+F68+F60</f>
        <v>0</v>
      </c>
      <c r="G76" s="440">
        <f>G60+G68</f>
        <v>1536</v>
      </c>
      <c r="H76" s="440"/>
      <c r="I76" s="440"/>
      <c r="J76" s="440">
        <f>+J68+J60</f>
        <v>69</v>
      </c>
      <c r="K76" s="440">
        <f>+K68+K60</f>
        <v>1446</v>
      </c>
      <c r="L76" s="440">
        <f t="shared" ref="L76:R76" si="28">+L68+L60</f>
        <v>5</v>
      </c>
      <c r="M76" s="440">
        <f t="shared" si="28"/>
        <v>4</v>
      </c>
      <c r="N76" s="440">
        <f t="shared" si="28"/>
        <v>0</v>
      </c>
      <c r="O76" s="440">
        <f t="shared" si="28"/>
        <v>35</v>
      </c>
      <c r="P76" s="440">
        <f>+P68+P60</f>
        <v>40</v>
      </c>
      <c r="Q76" s="440">
        <f t="shared" si="28"/>
        <v>0</v>
      </c>
      <c r="R76" s="440">
        <f t="shared" si="28"/>
        <v>0</v>
      </c>
      <c r="S76" s="440"/>
      <c r="T76" s="440">
        <f>+T68+U60</f>
        <v>3</v>
      </c>
      <c r="U76" s="440">
        <f>+V60+T68</f>
        <v>84</v>
      </c>
      <c r="V76" s="440"/>
      <c r="W76" s="440"/>
    </row>
    <row r="77" spans="1:30">
      <c r="B77" s="440"/>
      <c r="C77" s="440"/>
      <c r="D77" s="440"/>
      <c r="E77" s="440"/>
      <c r="F77" s="440"/>
      <c r="G77" s="440"/>
      <c r="H77" s="440"/>
      <c r="I77" s="440"/>
      <c r="J77" s="440"/>
      <c r="K77" s="440"/>
      <c r="L77" s="440"/>
      <c r="M77" s="440"/>
      <c r="N77" s="440"/>
      <c r="O77" s="440"/>
      <c r="P77" s="440"/>
      <c r="Q77" s="440"/>
      <c r="R77" s="440"/>
      <c r="S77" s="440"/>
      <c r="T77" s="440"/>
      <c r="U77" s="440">
        <f>+B76+F76-J76-K76-L76-M76-N76-O76-P76-Q76+R76</f>
        <v>550</v>
      </c>
      <c r="V77" s="1950">
        <f>W60+U68</f>
        <v>2155</v>
      </c>
    </row>
    <row r="78" spans="1:30">
      <c r="B78" s="440"/>
      <c r="C78" s="440"/>
      <c r="D78" s="440" t="s">
        <v>339</v>
      </c>
      <c r="E78" s="440" t="s">
        <v>355</v>
      </c>
      <c r="F78" s="440" t="s">
        <v>338</v>
      </c>
      <c r="G78" s="440" t="s">
        <v>356</v>
      </c>
      <c r="H78" s="440" t="s">
        <v>357</v>
      </c>
      <c r="I78" s="440" t="s">
        <v>358</v>
      </c>
      <c r="J78" s="440" t="s">
        <v>359</v>
      </c>
      <c r="K78" s="440" t="s">
        <v>360</v>
      </c>
      <c r="L78" s="440" t="s">
        <v>361</v>
      </c>
      <c r="M78" s="440" t="s">
        <v>362</v>
      </c>
      <c r="N78" s="440" t="s">
        <v>363</v>
      </c>
      <c r="O78" s="440" t="s">
        <v>364</v>
      </c>
      <c r="P78" s="440" t="s">
        <v>365</v>
      </c>
      <c r="Q78" s="440" t="s">
        <v>366</v>
      </c>
      <c r="R78" s="440" t="s">
        <v>367</v>
      </c>
      <c r="S78" s="440" t="s">
        <v>192</v>
      </c>
      <c r="T78" s="440" t="s">
        <v>226</v>
      </c>
      <c r="U78" s="440" t="s">
        <v>368</v>
      </c>
      <c r="V78" s="440" t="s">
        <v>346</v>
      </c>
      <c r="W78" s="440"/>
      <c r="X78" s="440"/>
      <c r="Y78" s="440"/>
      <c r="Z78" s="440"/>
      <c r="AA78" s="440"/>
      <c r="AB78" s="440"/>
      <c r="AC78" s="440"/>
      <c r="AD78" s="440"/>
    </row>
    <row r="79" spans="1:30">
      <c r="A79" s="354">
        <v>286</v>
      </c>
      <c r="B79" s="354">
        <v>286</v>
      </c>
      <c r="C79" s="440" t="s">
        <v>292</v>
      </c>
      <c r="D79" s="440">
        <f>26+13+20+36</f>
        <v>95</v>
      </c>
      <c r="E79" s="440"/>
      <c r="F79" s="456"/>
      <c r="G79" s="456"/>
      <c r="H79" s="456"/>
      <c r="I79" s="1676">
        <f>22+19+21+20</f>
        <v>82</v>
      </c>
      <c r="J79" s="440"/>
      <c r="K79" s="440"/>
      <c r="L79" s="440">
        <v>4</v>
      </c>
      <c r="M79" s="440"/>
      <c r="N79" s="440"/>
      <c r="O79" s="440"/>
      <c r="P79" s="440"/>
      <c r="Q79" s="440"/>
      <c r="R79" s="440"/>
      <c r="S79" s="440"/>
      <c r="T79" s="440">
        <v>6</v>
      </c>
      <c r="U79" s="440"/>
      <c r="V79" s="440">
        <f>+B79+D79+E79+F79-I79-J79-K79-L79-N79-O79-P79-Q79-T79+M79+G79+H79-U79-S79</f>
        <v>289</v>
      </c>
      <c r="W79" s="354">
        <v>289</v>
      </c>
      <c r="X79" s="440">
        <f>+V79-W79</f>
        <v>0</v>
      </c>
      <c r="Y79" s="440"/>
      <c r="Z79" s="440"/>
      <c r="AA79" s="440"/>
      <c r="AB79" s="440"/>
      <c r="AC79" s="440"/>
      <c r="AD79" s="440"/>
    </row>
    <row r="80" spans="1:30">
      <c r="A80" s="354">
        <v>206</v>
      </c>
      <c r="B80" s="354">
        <v>206</v>
      </c>
      <c r="C80" s="440" t="s">
        <v>320</v>
      </c>
      <c r="D80" s="440"/>
      <c r="E80" s="454">
        <v>82</v>
      </c>
      <c r="F80" s="440"/>
      <c r="G80" s="440"/>
      <c r="H80" s="440"/>
      <c r="I80" s="440"/>
      <c r="J80" s="454">
        <v>84</v>
      </c>
      <c r="K80" s="440"/>
      <c r="L80" s="440"/>
      <c r="M80" s="440"/>
      <c r="N80" s="440"/>
      <c r="O80" s="440"/>
      <c r="P80" s="440"/>
      <c r="Q80" s="440"/>
      <c r="R80" s="440"/>
      <c r="S80" s="440"/>
      <c r="T80" s="440"/>
      <c r="U80" s="440"/>
      <c r="V80" s="440">
        <f t="shared" ref="V80:V81" si="29">+B80+D80+E80+F80-I80-J80-K80-L80-N80-O80-P80-Q80-T80+M80+G80+H80-U80-S80</f>
        <v>204</v>
      </c>
      <c r="W80" s="354">
        <v>204</v>
      </c>
      <c r="X80" s="440">
        <f>+V80-W80</f>
        <v>0</v>
      </c>
      <c r="Y80" s="440"/>
      <c r="Z80" s="440"/>
      <c r="AA80" s="440"/>
      <c r="AB80" s="440"/>
      <c r="AC80" s="440"/>
      <c r="AD80" s="440"/>
    </row>
    <row r="81" spans="1:30">
      <c r="A81" s="354">
        <v>139</v>
      </c>
      <c r="B81" s="354">
        <v>139</v>
      </c>
      <c r="C81" s="440" t="s">
        <v>369</v>
      </c>
      <c r="D81" s="456"/>
      <c r="E81" s="440"/>
      <c r="F81" s="440">
        <f>84+70</f>
        <v>154</v>
      </c>
      <c r="G81" s="440"/>
      <c r="H81" s="440"/>
      <c r="I81" s="440"/>
      <c r="J81" s="440">
        <f>4+5+13+4+2+5+5+2+4+8+1+7+10+85</f>
        <v>155</v>
      </c>
      <c r="K81" s="440"/>
      <c r="L81" s="440">
        <v>1</v>
      </c>
      <c r="M81" s="1793"/>
      <c r="N81" s="440"/>
      <c r="O81" s="440"/>
      <c r="P81" s="440"/>
      <c r="Q81" s="440"/>
      <c r="R81" s="440"/>
      <c r="S81" s="440"/>
      <c r="T81" s="440">
        <v>1</v>
      </c>
      <c r="U81" s="440"/>
      <c r="V81" s="440">
        <f t="shared" si="29"/>
        <v>136</v>
      </c>
      <c r="W81" s="354">
        <f>90+46</f>
        <v>136</v>
      </c>
      <c r="X81" s="440">
        <f>+V81-W81</f>
        <v>0</v>
      </c>
      <c r="Y81" s="440"/>
      <c r="Z81" s="440"/>
      <c r="AA81" s="440"/>
      <c r="AB81" s="440"/>
      <c r="AC81" s="440"/>
      <c r="AD81" s="440"/>
    </row>
    <row r="82" spans="1:30">
      <c r="B82" s="440">
        <f>SUM(B79:B81)</f>
        <v>631</v>
      </c>
      <c r="C82" s="440"/>
      <c r="D82" s="440">
        <f t="shared" ref="D82:N82" si="30">SUM(D79:D81)</f>
        <v>95</v>
      </c>
      <c r="E82" s="440">
        <f>SUM(E79:E81)</f>
        <v>82</v>
      </c>
      <c r="F82" s="440">
        <f>SUM(F79:F81)</f>
        <v>154</v>
      </c>
      <c r="G82" s="440">
        <f t="shared" si="30"/>
        <v>0</v>
      </c>
      <c r="H82" s="440">
        <f>SUM(H79:H81)</f>
        <v>0</v>
      </c>
      <c r="I82" s="440">
        <f>SUM(I79:I81)</f>
        <v>82</v>
      </c>
      <c r="J82" s="440">
        <f>SUM(J79:J81)</f>
        <v>239</v>
      </c>
      <c r="K82" s="440">
        <f t="shared" si="30"/>
        <v>0</v>
      </c>
      <c r="L82" s="440">
        <f>SUM(L79:L81)</f>
        <v>5</v>
      </c>
      <c r="M82" s="440">
        <f>SUM(M79:M81)</f>
        <v>0</v>
      </c>
      <c r="N82" s="440">
        <f t="shared" si="30"/>
        <v>0</v>
      </c>
      <c r="O82" s="440">
        <f t="shared" ref="O82:U82" si="31">SUM(O79:O81)</f>
        <v>0</v>
      </c>
      <c r="P82" s="440">
        <f t="shared" si="31"/>
        <v>0</v>
      </c>
      <c r="Q82" s="440">
        <f t="shared" si="31"/>
        <v>0</v>
      </c>
      <c r="R82" s="440">
        <f>SUM(R79:R81)</f>
        <v>0</v>
      </c>
      <c r="S82" s="440">
        <f>SUM(S79:S81)</f>
        <v>0</v>
      </c>
      <c r="T82" s="440">
        <f t="shared" si="31"/>
        <v>7</v>
      </c>
      <c r="U82" s="440">
        <f t="shared" si="31"/>
        <v>0</v>
      </c>
      <c r="V82" s="1950">
        <f>SUM(V79:V81)</f>
        <v>629</v>
      </c>
      <c r="W82" s="440"/>
      <c r="X82" s="440"/>
      <c r="Y82" s="440"/>
      <c r="Z82" s="440"/>
      <c r="AA82" s="440"/>
      <c r="AB82" s="440"/>
      <c r="AC82" s="440"/>
    </row>
    <row r="83" spans="1:30">
      <c r="B83" s="440"/>
      <c r="C83" s="440"/>
      <c r="D83" s="440"/>
      <c r="E83" s="440"/>
      <c r="F83" s="440"/>
      <c r="G83" s="440"/>
      <c r="H83" s="440"/>
      <c r="I83" s="440"/>
      <c r="J83" s="440"/>
      <c r="K83" s="440"/>
      <c r="L83" s="440"/>
      <c r="M83" s="440"/>
      <c r="N83" s="440"/>
      <c r="O83" s="440"/>
      <c r="P83" s="440"/>
      <c r="Q83" s="440"/>
      <c r="R83" s="440"/>
      <c r="S83" s="440"/>
    </row>
    <row r="84" spans="1:30">
      <c r="B84" s="440"/>
      <c r="C84" s="440"/>
      <c r="D84" s="440"/>
      <c r="E84" s="440"/>
      <c r="F84" s="440"/>
      <c r="G84" s="440"/>
      <c r="H84" s="440"/>
      <c r="I84" s="440"/>
      <c r="J84" s="440"/>
      <c r="K84" s="440"/>
      <c r="L84" s="440"/>
      <c r="M84" s="440"/>
      <c r="N84" s="440"/>
      <c r="O84" s="440"/>
      <c r="P84" s="440"/>
      <c r="Q84" s="440"/>
      <c r="R84" s="440"/>
      <c r="S84" s="440"/>
    </row>
    <row r="85" spans="1:30">
      <c r="B85" s="440"/>
      <c r="C85" s="440"/>
      <c r="D85" s="440"/>
      <c r="E85" s="440"/>
      <c r="F85" s="440"/>
      <c r="G85" s="440"/>
      <c r="H85" s="440"/>
      <c r="I85" s="440" t="s">
        <v>370</v>
      </c>
      <c r="J85" s="440"/>
      <c r="K85" s="440"/>
      <c r="L85" s="440"/>
      <c r="M85" s="440"/>
      <c r="N85" s="440"/>
      <c r="O85" s="440"/>
      <c r="P85" s="440"/>
      <c r="Q85" s="440"/>
      <c r="R85" s="440"/>
      <c r="S85" s="440"/>
    </row>
    <row r="86" spans="1:30">
      <c r="B86" s="575"/>
      <c r="C86" s="575"/>
      <c r="D86" s="575"/>
      <c r="E86" s="575"/>
      <c r="F86" s="575"/>
      <c r="G86" s="575"/>
      <c r="H86" s="575"/>
      <c r="I86" s="575"/>
      <c r="J86" s="575"/>
      <c r="K86" s="575"/>
      <c r="L86" s="575"/>
      <c r="M86" s="575"/>
      <c r="N86" s="575"/>
      <c r="O86" s="575"/>
      <c r="P86" s="575"/>
      <c r="Q86" s="575"/>
      <c r="R86" s="575"/>
      <c r="S86" s="575"/>
    </row>
    <row r="87" spans="1:30">
      <c r="B87" s="575" t="s">
        <v>323</v>
      </c>
      <c r="C87" s="575" t="s">
        <v>324</v>
      </c>
      <c r="D87" s="575" t="s">
        <v>325</v>
      </c>
      <c r="E87" s="575" t="s">
        <v>371</v>
      </c>
      <c r="F87" s="575" t="s">
        <v>330</v>
      </c>
      <c r="G87" s="575" t="s">
        <v>331</v>
      </c>
      <c r="H87" s="575" t="s">
        <v>328</v>
      </c>
      <c r="I87" s="575" t="s">
        <v>330</v>
      </c>
      <c r="J87" s="575" t="s">
        <v>331</v>
      </c>
      <c r="K87" s="575" t="s">
        <v>332</v>
      </c>
      <c r="L87" s="575" t="s">
        <v>333</v>
      </c>
      <c r="M87" s="575" t="s">
        <v>331</v>
      </c>
      <c r="N87" s="575" t="s">
        <v>334</v>
      </c>
      <c r="O87" s="575" t="s">
        <v>333</v>
      </c>
      <c r="P87" s="575" t="s">
        <v>331</v>
      </c>
      <c r="Q87" s="575" t="s">
        <v>335</v>
      </c>
      <c r="R87" s="575" t="s">
        <v>331</v>
      </c>
      <c r="S87" s="575" t="s">
        <v>336</v>
      </c>
    </row>
    <row r="88" spans="1:30">
      <c r="A88" s="449"/>
      <c r="B88" s="334">
        <f>+B52</f>
        <v>27</v>
      </c>
      <c r="C88" s="334"/>
      <c r="D88" s="334">
        <v>33</v>
      </c>
      <c r="E88" s="334">
        <f>2+2</f>
        <v>4</v>
      </c>
      <c r="F88" s="334" t="s">
        <v>76</v>
      </c>
      <c r="G88" s="334"/>
      <c r="H88" s="334"/>
      <c r="I88" s="334" t="s">
        <v>213</v>
      </c>
      <c r="J88" s="334"/>
      <c r="K88" s="334">
        <v>0</v>
      </c>
      <c r="L88" s="334"/>
      <c r="M88" s="334"/>
      <c r="N88" s="334"/>
      <c r="O88" s="334"/>
      <c r="P88" s="334"/>
      <c r="Q88" s="334">
        <v>0</v>
      </c>
      <c r="R88" s="334"/>
      <c r="S88" s="334">
        <f>+D88+E88-H88-K88-N88-Q88</f>
        <v>37</v>
      </c>
    </row>
    <row r="89" spans="1:30">
      <c r="A89" s="449"/>
      <c r="B89" s="334">
        <f>+B88+1</f>
        <v>28</v>
      </c>
      <c r="C89" s="334"/>
      <c r="D89" s="334">
        <f>+S88</f>
        <v>37</v>
      </c>
      <c r="E89" s="334"/>
      <c r="F89" s="334"/>
      <c r="G89" s="334"/>
      <c r="H89" s="334">
        <v>1</v>
      </c>
      <c r="I89" s="334" t="s">
        <v>76</v>
      </c>
      <c r="J89" s="334"/>
      <c r="K89" s="334"/>
      <c r="L89" s="334"/>
      <c r="M89" s="334"/>
      <c r="N89" s="334"/>
      <c r="O89" s="334"/>
      <c r="P89" s="334"/>
      <c r="Q89" s="334"/>
      <c r="R89" s="334"/>
      <c r="S89" s="334">
        <f>+D89+E89-H89-K89-N89-Q89</f>
        <v>36</v>
      </c>
    </row>
    <row r="90" spans="1:30">
      <c r="A90" s="449"/>
      <c r="B90" s="334">
        <f>+B89+1</f>
        <v>29</v>
      </c>
      <c r="C90" s="334"/>
      <c r="D90" s="334">
        <f>+S89</f>
        <v>36</v>
      </c>
      <c r="E90" s="334"/>
      <c r="F90" s="334"/>
      <c r="G90" s="334"/>
      <c r="H90" s="334"/>
      <c r="I90" s="334" t="s">
        <v>191</v>
      </c>
      <c r="J90" s="334"/>
      <c r="K90" s="334"/>
      <c r="L90" s="334"/>
      <c r="M90" s="334"/>
      <c r="N90" s="334"/>
      <c r="O90" s="334"/>
      <c r="P90" s="334"/>
      <c r="Q90" s="334"/>
      <c r="R90" s="334"/>
      <c r="S90" s="334">
        <f>+D90+E90-H90-K90-N90-Q90</f>
        <v>36</v>
      </c>
    </row>
    <row r="91" spans="1:30">
      <c r="A91" s="449"/>
      <c r="B91" s="334">
        <f>+B90+1</f>
        <v>30</v>
      </c>
      <c r="C91" s="334"/>
      <c r="D91" s="334">
        <f>+S90</f>
        <v>36</v>
      </c>
      <c r="E91" s="334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>
        <f>+D91+E91-H91-K91-N91-Q91</f>
        <v>36</v>
      </c>
    </row>
    <row r="92" spans="1:30">
      <c r="A92" s="449"/>
      <c r="B92" s="334">
        <f>+B91+1</f>
        <v>31</v>
      </c>
      <c r="C92" s="334"/>
      <c r="D92" s="334">
        <f>+S91</f>
        <v>36</v>
      </c>
      <c r="E92" s="334"/>
      <c r="F92" s="334"/>
      <c r="G92" s="334"/>
      <c r="H92" s="334">
        <v>0</v>
      </c>
      <c r="I92" s="334" t="s">
        <v>372</v>
      </c>
      <c r="J92" s="334"/>
      <c r="K92" s="334"/>
      <c r="L92" s="334"/>
      <c r="M92" s="334"/>
      <c r="N92" s="334"/>
      <c r="O92" s="334"/>
      <c r="P92" s="334"/>
      <c r="Q92" s="334"/>
      <c r="R92" s="334"/>
      <c r="S92" s="334">
        <f>+D92+E92-H92-K92-N92-Q92</f>
        <v>36</v>
      </c>
    </row>
    <row r="93" spans="1:30" ht="14.45" thickBot="1">
      <c r="A93" s="449"/>
      <c r="B93" s="576"/>
      <c r="C93" s="577"/>
      <c r="D93" s="577"/>
      <c r="E93" s="577">
        <f t="shared" ref="E93:R93" si="32">SUM(E88:E92)</f>
        <v>4</v>
      </c>
      <c r="F93" s="577">
        <f t="shared" si="32"/>
        <v>0</v>
      </c>
      <c r="G93" s="577">
        <f t="shared" si="32"/>
        <v>0</v>
      </c>
      <c r="H93" s="577">
        <f t="shared" si="32"/>
        <v>1</v>
      </c>
      <c r="I93" s="577">
        <f t="shared" si="32"/>
        <v>0</v>
      </c>
      <c r="J93" s="577">
        <f t="shared" si="32"/>
        <v>0</v>
      </c>
      <c r="K93" s="577">
        <f>SUM(K88:K92)</f>
        <v>0</v>
      </c>
      <c r="L93" s="577">
        <f t="shared" si="32"/>
        <v>0</v>
      </c>
      <c r="M93" s="577">
        <f t="shared" si="32"/>
        <v>0</v>
      </c>
      <c r="N93" s="577">
        <f t="shared" si="32"/>
        <v>0</v>
      </c>
      <c r="O93" s="577">
        <f t="shared" si="32"/>
        <v>0</v>
      </c>
      <c r="P93" s="577">
        <f t="shared" si="32"/>
        <v>0</v>
      </c>
      <c r="Q93" s="577">
        <f t="shared" si="32"/>
        <v>0</v>
      </c>
      <c r="R93" s="577">
        <f t="shared" si="32"/>
        <v>0</v>
      </c>
      <c r="S93" s="577">
        <f>+S92</f>
        <v>36</v>
      </c>
      <c r="T93" s="1504">
        <f>22+11-S93</f>
        <v>-3</v>
      </c>
    </row>
    <row r="94" spans="1:30" ht="14.45" thickTop="1"/>
    <row r="95" spans="1:30">
      <c r="B95" s="440"/>
      <c r="C95" s="440"/>
      <c r="D95" s="440"/>
      <c r="E95" s="440"/>
      <c r="F95" s="440"/>
      <c r="G95" s="440"/>
      <c r="H95" s="440"/>
      <c r="I95" s="440" t="s">
        <v>373</v>
      </c>
      <c r="J95" s="440"/>
      <c r="K95" s="440"/>
      <c r="L95" s="440"/>
      <c r="M95" s="440"/>
      <c r="N95" s="440"/>
      <c r="O95" s="440"/>
      <c r="P95" s="440"/>
      <c r="Q95" s="440"/>
      <c r="R95" s="440"/>
      <c r="S95" s="440"/>
      <c r="T95" s="440"/>
      <c r="U95" s="440"/>
      <c r="V95" s="440"/>
      <c r="W95" s="440">
        <f>4+1+1+1+1+1+2+7+1+1+2+5+12+3+1+3</f>
        <v>46</v>
      </c>
      <c r="X95" s="440"/>
    </row>
    <row r="96" spans="1:30" ht="52.9" customHeight="1">
      <c r="B96" s="575"/>
      <c r="C96" s="575"/>
      <c r="D96" s="575"/>
      <c r="E96" s="575"/>
      <c r="F96" s="575"/>
      <c r="G96" s="575"/>
      <c r="H96" s="575"/>
      <c r="I96" s="575"/>
      <c r="J96" s="575"/>
      <c r="K96" s="575"/>
      <c r="L96" s="575"/>
      <c r="M96" s="575"/>
      <c r="N96" s="575"/>
      <c r="O96" s="575"/>
      <c r="P96" s="575"/>
      <c r="Q96" s="575"/>
      <c r="R96" s="575"/>
      <c r="S96" s="575"/>
    </row>
    <row r="97" spans="2:24">
      <c r="B97" s="575" t="s">
        <v>323</v>
      </c>
      <c r="C97" s="575" t="s">
        <v>324</v>
      </c>
      <c r="D97" s="575" t="s">
        <v>325</v>
      </c>
      <c r="E97" s="575" t="s">
        <v>371</v>
      </c>
      <c r="F97" s="575" t="s">
        <v>235</v>
      </c>
      <c r="G97" s="575" t="s">
        <v>328</v>
      </c>
      <c r="H97" s="575" t="s">
        <v>101</v>
      </c>
      <c r="I97" s="575" t="s">
        <v>330</v>
      </c>
      <c r="J97" s="575" t="s">
        <v>191</v>
      </c>
      <c r="K97" s="575" t="s">
        <v>332</v>
      </c>
      <c r="L97" s="575" t="s">
        <v>189</v>
      </c>
      <c r="M97" s="575" t="s">
        <v>187</v>
      </c>
      <c r="N97" s="575" t="s">
        <v>334</v>
      </c>
      <c r="O97" s="575" t="s">
        <v>214</v>
      </c>
      <c r="P97" s="575" t="s">
        <v>374</v>
      </c>
      <c r="Q97" s="575" t="s">
        <v>335</v>
      </c>
      <c r="R97" s="575" t="s">
        <v>331</v>
      </c>
      <c r="S97" s="575" t="s">
        <v>336</v>
      </c>
    </row>
    <row r="98" spans="2:24">
      <c r="B98" s="334">
        <f>+B88</f>
        <v>27</v>
      </c>
      <c r="C98" s="334"/>
      <c r="D98" s="334">
        <v>6380</v>
      </c>
      <c r="E98" s="334">
        <v>4465</v>
      </c>
      <c r="F98" s="334"/>
      <c r="G98" s="334">
        <v>4229</v>
      </c>
      <c r="H98" s="334"/>
      <c r="I98" s="334" t="s">
        <v>190</v>
      </c>
      <c r="J98" s="334"/>
      <c r="K98" s="334">
        <v>34</v>
      </c>
      <c r="L98" s="334"/>
      <c r="M98" s="334"/>
      <c r="N98" s="334"/>
      <c r="O98" s="334"/>
      <c r="P98" s="334"/>
      <c r="Q98" s="334">
        <v>9</v>
      </c>
      <c r="R98" s="334"/>
      <c r="S98" s="334">
        <f>+D98+E98-G98-H98-K98-N98-Q98-L98-M98-O98-P98-F98-J98</f>
        <v>6573</v>
      </c>
    </row>
    <row r="99" spans="2:24">
      <c r="B99" s="334">
        <f>+B98+1</f>
        <v>28</v>
      </c>
      <c r="C99" s="334"/>
      <c r="D99" s="334">
        <f>+S98</f>
        <v>6573</v>
      </c>
      <c r="E99" s="334"/>
      <c r="F99" s="334"/>
      <c r="G99" s="334"/>
      <c r="H99" s="334"/>
      <c r="I99" s="334" t="s">
        <v>76</v>
      </c>
      <c r="J99" s="334"/>
      <c r="K99" s="334"/>
      <c r="L99" s="334"/>
      <c r="M99" s="334"/>
      <c r="N99" s="334"/>
      <c r="O99" s="334"/>
      <c r="P99" s="334"/>
      <c r="Q99" s="334"/>
      <c r="R99" s="334"/>
      <c r="S99" s="334">
        <f>+D99+E99-G99-H99-K99-N99-Q99-L99-M99-O99-P99-F99-J99</f>
        <v>6573</v>
      </c>
      <c r="T99" s="334"/>
      <c r="U99" s="334"/>
    </row>
    <row r="100" spans="2:24">
      <c r="B100" s="334">
        <f>+B99+1</f>
        <v>29</v>
      </c>
      <c r="C100" s="334"/>
      <c r="D100" s="334">
        <f>+S99</f>
        <v>6573</v>
      </c>
      <c r="E100" s="334"/>
      <c r="F100" s="334"/>
      <c r="G100" s="334"/>
      <c r="H100" s="334"/>
      <c r="I100" s="334" t="s">
        <v>190</v>
      </c>
      <c r="J100" s="334"/>
      <c r="K100" s="334"/>
      <c r="L100" s="334"/>
      <c r="M100" s="334"/>
      <c r="N100" s="334"/>
      <c r="O100" s="334"/>
      <c r="P100" s="334"/>
      <c r="Q100" s="334"/>
      <c r="R100" s="334"/>
      <c r="S100" s="334">
        <f>+D100+E100-G100-H100-K100-N100-Q100-L100-M100-O100-P100-F100-J100</f>
        <v>6573</v>
      </c>
      <c r="T100" s="334"/>
      <c r="U100" s="334"/>
    </row>
    <row r="101" spans="2:24">
      <c r="B101" s="334">
        <f>+B100+1</f>
        <v>30</v>
      </c>
      <c r="C101" s="334"/>
      <c r="D101" s="334">
        <f>+S100</f>
        <v>6573</v>
      </c>
      <c r="E101" s="334"/>
      <c r="F101" s="334"/>
      <c r="G101" s="334"/>
      <c r="H101" s="334"/>
      <c r="I101" s="334" t="s">
        <v>257</v>
      </c>
      <c r="J101" s="334"/>
      <c r="K101" s="334"/>
      <c r="L101" s="334"/>
      <c r="M101" s="334"/>
      <c r="N101" s="334"/>
      <c r="O101" s="334"/>
      <c r="P101" s="334"/>
      <c r="Q101" s="334"/>
      <c r="R101" s="334"/>
      <c r="S101" s="334">
        <f>+D101+E101-G101-H101-K101-N101-Q101-L101-M101-O101-P101-F101-J101</f>
        <v>6573</v>
      </c>
      <c r="T101" s="334"/>
      <c r="U101" s="334"/>
    </row>
    <row r="102" spans="2:24">
      <c r="B102" s="334">
        <f>+B101+1</f>
        <v>31</v>
      </c>
      <c r="C102" s="334"/>
      <c r="D102" s="334">
        <f>+S101</f>
        <v>6573</v>
      </c>
      <c r="E102" s="334"/>
      <c r="F102" s="334"/>
      <c r="G102" s="334"/>
      <c r="H102" s="334"/>
      <c r="I102" s="334" t="s">
        <v>190</v>
      </c>
      <c r="J102" s="334"/>
      <c r="K102" s="334"/>
      <c r="L102" s="334"/>
      <c r="M102" s="334"/>
      <c r="N102" s="334"/>
      <c r="O102" s="334"/>
      <c r="P102" s="334"/>
      <c r="Q102" s="334"/>
      <c r="R102" s="334"/>
      <c r="S102" s="334">
        <f>+D102+E102-G102-H102-K102-N102-Q102-L102-M102-O102-P102-F102-J102</f>
        <v>6573</v>
      </c>
      <c r="T102" s="334"/>
      <c r="U102" s="334"/>
    </row>
    <row r="103" spans="2:24" ht="14.45" thickBot="1">
      <c r="B103" s="576"/>
      <c r="C103" s="577"/>
      <c r="D103" s="577"/>
      <c r="E103" s="577">
        <f>SUM(E98:E102)</f>
        <v>4465</v>
      </c>
      <c r="F103" s="577">
        <f>SUM(F98:F102)</f>
        <v>0</v>
      </c>
      <c r="G103" s="577">
        <f>SUM(G98:G102)</f>
        <v>4229</v>
      </c>
      <c r="H103" s="577">
        <f>SUM(H98:H102)</f>
        <v>0</v>
      </c>
      <c r="I103" s="577"/>
      <c r="J103" s="577">
        <f t="shared" ref="J103:R103" si="33">SUM(J98:J102)</f>
        <v>0</v>
      </c>
      <c r="K103" s="577">
        <f t="shared" si="33"/>
        <v>34</v>
      </c>
      <c r="L103" s="577">
        <f t="shared" si="33"/>
        <v>0</v>
      </c>
      <c r="M103" s="577">
        <f t="shared" si="33"/>
        <v>0</v>
      </c>
      <c r="N103" s="577">
        <f t="shared" si="33"/>
        <v>0</v>
      </c>
      <c r="O103" s="577">
        <f t="shared" si="33"/>
        <v>0</v>
      </c>
      <c r="P103" s="577">
        <f t="shared" si="33"/>
        <v>0</v>
      </c>
      <c r="Q103" s="577">
        <f t="shared" si="33"/>
        <v>9</v>
      </c>
      <c r="R103" s="577">
        <f t="shared" si="33"/>
        <v>0</v>
      </c>
      <c r="S103" s="577">
        <f>+S102</f>
        <v>6573</v>
      </c>
      <c r="T103" s="1504">
        <f>+S103-'Summary Total Pigs'!AE13</f>
        <v>0</v>
      </c>
    </row>
    <row r="104" spans="2:24" ht="14.45" thickTop="1">
      <c r="B104" s="353"/>
      <c r="E104" s="357"/>
      <c r="H104" s="357"/>
      <c r="K104" s="357"/>
      <c r="R104" s="357"/>
      <c r="U104" s="357"/>
    </row>
    <row r="105" spans="2:24">
      <c r="B105" s="353"/>
      <c r="E105" s="357"/>
      <c r="F105" s="357"/>
      <c r="G105" s="357"/>
      <c r="J105" s="357"/>
      <c r="K105" s="357"/>
      <c r="R105" s="357"/>
      <c r="U105" s="357"/>
    </row>
    <row r="106" spans="2:24">
      <c r="B106" s="440"/>
      <c r="C106" s="440"/>
      <c r="D106" s="440"/>
      <c r="E106" s="440"/>
      <c r="F106" s="440"/>
      <c r="G106" s="440"/>
      <c r="H106" s="440"/>
      <c r="I106" s="440" t="s">
        <v>375</v>
      </c>
      <c r="J106" s="440"/>
      <c r="K106" s="440"/>
      <c r="L106" s="440"/>
      <c r="M106" s="440"/>
      <c r="N106" s="440"/>
      <c r="O106" s="440"/>
      <c r="P106" s="440"/>
      <c r="Q106" s="440"/>
      <c r="R106" s="440"/>
      <c r="S106" s="440"/>
      <c r="U106" s="357"/>
    </row>
    <row r="107" spans="2:24">
      <c r="B107" s="575"/>
      <c r="C107" s="575"/>
      <c r="D107" s="575"/>
      <c r="E107" s="575"/>
      <c r="F107" s="575"/>
      <c r="G107" s="575"/>
      <c r="H107" s="575"/>
      <c r="I107" s="575"/>
      <c r="J107" s="575"/>
      <c r="K107" s="575"/>
      <c r="L107" s="575"/>
      <c r="M107" s="575"/>
      <c r="N107" s="575"/>
      <c r="O107" s="575"/>
      <c r="P107" s="575"/>
      <c r="Q107" s="575"/>
      <c r="R107" s="575"/>
      <c r="S107" s="575"/>
    </row>
    <row r="108" spans="2:24">
      <c r="B108" s="575" t="s">
        <v>323</v>
      </c>
      <c r="C108" s="575" t="s">
        <v>324</v>
      </c>
      <c r="D108" s="575" t="s">
        <v>325</v>
      </c>
      <c r="E108" s="575" t="s">
        <v>371</v>
      </c>
      <c r="F108" s="575" t="s">
        <v>330</v>
      </c>
      <c r="G108" s="575" t="s">
        <v>376</v>
      </c>
      <c r="H108" s="575" t="s">
        <v>101</v>
      </c>
      <c r="I108" s="575" t="s">
        <v>330</v>
      </c>
      <c r="J108" s="575" t="s">
        <v>192</v>
      </c>
      <c r="K108" s="575" t="s">
        <v>332</v>
      </c>
      <c r="L108" s="575" t="s">
        <v>333</v>
      </c>
      <c r="M108" s="575" t="s">
        <v>377</v>
      </c>
      <c r="N108" s="575" t="s">
        <v>334</v>
      </c>
      <c r="O108" s="575" t="s">
        <v>191</v>
      </c>
      <c r="P108" s="575" t="s">
        <v>139</v>
      </c>
      <c r="Q108" s="575" t="s">
        <v>378</v>
      </c>
      <c r="R108" s="575" t="s">
        <v>374</v>
      </c>
      <c r="S108" s="575" t="s">
        <v>336</v>
      </c>
    </row>
    <row r="109" spans="2:24">
      <c r="B109" s="334">
        <f>+B98</f>
        <v>27</v>
      </c>
      <c r="C109" s="334"/>
      <c r="D109" s="334">
        <v>13029</v>
      </c>
      <c r="E109" s="334">
        <v>4229</v>
      </c>
      <c r="F109" s="334"/>
      <c r="G109" s="334">
        <v>4018</v>
      </c>
      <c r="H109" s="334">
        <f>2+2</f>
        <v>4</v>
      </c>
      <c r="I109" s="334" t="s">
        <v>379</v>
      </c>
      <c r="J109" s="334"/>
      <c r="K109" s="334">
        <v>83</v>
      </c>
      <c r="L109" s="334"/>
      <c r="M109" s="334"/>
      <c r="N109" s="334">
        <f>3+15</f>
        <v>18</v>
      </c>
      <c r="O109" s="334"/>
      <c r="P109" s="334"/>
      <c r="Q109" s="334"/>
      <c r="R109" s="334">
        <v>5</v>
      </c>
      <c r="S109" s="334">
        <f>+D109+E109-G109-H109-K109-N109-P109-Q109-R109-O109-J109</f>
        <v>13130</v>
      </c>
      <c r="U109" s="357"/>
      <c r="X109" s="357"/>
    </row>
    <row r="110" spans="2:24">
      <c r="B110" s="334">
        <f>+B99</f>
        <v>28</v>
      </c>
      <c r="C110" s="334"/>
      <c r="D110" s="334">
        <f>+S109</f>
        <v>13130</v>
      </c>
      <c r="E110" s="334"/>
      <c r="F110" s="334"/>
      <c r="G110" s="334"/>
      <c r="H110" s="334"/>
      <c r="I110" s="334" t="s">
        <v>186</v>
      </c>
      <c r="J110" s="334"/>
      <c r="K110" s="334"/>
      <c r="L110" s="334"/>
      <c r="M110" s="334"/>
      <c r="N110" s="334"/>
      <c r="O110" s="334"/>
      <c r="P110" s="334"/>
      <c r="Q110" s="334"/>
      <c r="R110" s="334"/>
      <c r="S110" s="334">
        <f t="shared" ref="S110:S112" si="34">+D110+E110-G110-H110-K110-N110-P110-Q110-R110-O110-J110</f>
        <v>13130</v>
      </c>
      <c r="U110" s="357"/>
      <c r="X110" s="357"/>
    </row>
    <row r="111" spans="2:24">
      <c r="B111" s="334">
        <f>+B100</f>
        <v>29</v>
      </c>
      <c r="C111" s="334"/>
      <c r="D111" s="334">
        <f>+S110</f>
        <v>13130</v>
      </c>
      <c r="E111" s="334"/>
      <c r="F111" s="334"/>
      <c r="G111" s="334"/>
      <c r="H111" s="584"/>
      <c r="I111" s="334" t="s">
        <v>237</v>
      </c>
      <c r="J111" s="334"/>
      <c r="K111" s="334"/>
      <c r="L111" s="334"/>
      <c r="M111" s="334"/>
      <c r="N111" s="334"/>
      <c r="O111" s="334"/>
      <c r="P111" s="334"/>
      <c r="Q111" s="334"/>
      <c r="R111" s="334"/>
      <c r="S111" s="334">
        <f t="shared" si="34"/>
        <v>13130</v>
      </c>
    </row>
    <row r="112" spans="2:24">
      <c r="B112" s="334">
        <f>+B101</f>
        <v>30</v>
      </c>
      <c r="C112" s="334"/>
      <c r="D112" s="334">
        <f>+S111</f>
        <v>13130</v>
      </c>
      <c r="E112" s="334"/>
      <c r="F112" s="334"/>
      <c r="G112" s="334"/>
      <c r="H112" s="334"/>
      <c r="I112" s="334" t="s">
        <v>380</v>
      </c>
      <c r="J112" s="334"/>
      <c r="K112" s="334"/>
      <c r="L112" s="334"/>
      <c r="M112" s="334"/>
      <c r="N112" s="334"/>
      <c r="O112" s="334"/>
      <c r="P112" s="334"/>
      <c r="Q112" s="334"/>
      <c r="R112" s="334"/>
      <c r="S112" s="334">
        <f t="shared" si="34"/>
        <v>13130</v>
      </c>
    </row>
    <row r="113" spans="2:28">
      <c r="B113" s="334">
        <f>+B102</f>
        <v>31</v>
      </c>
      <c r="C113" s="334"/>
      <c r="D113" s="334">
        <f>+S112</f>
        <v>13130</v>
      </c>
      <c r="E113" s="334"/>
      <c r="F113" s="334"/>
      <c r="G113" s="334"/>
      <c r="H113" s="334"/>
      <c r="I113" s="334" t="s">
        <v>76</v>
      </c>
      <c r="J113" s="334"/>
      <c r="K113" s="334"/>
      <c r="L113" s="334"/>
      <c r="M113" s="334"/>
      <c r="N113" s="334"/>
      <c r="O113" s="334"/>
      <c r="P113" s="334"/>
      <c r="Q113" s="334"/>
      <c r="R113" s="334"/>
      <c r="S113" s="334">
        <f>+D113+E113-G113-H113-K113-N113-P113-Q113-R113-O113-J113</f>
        <v>13130</v>
      </c>
    </row>
    <row r="114" spans="2:28" ht="14.45" thickBot="1">
      <c r="B114" s="576"/>
      <c r="C114" s="577"/>
      <c r="D114" s="577"/>
      <c r="E114" s="577">
        <f>SUM(E109:E113)</f>
        <v>4229</v>
      </c>
      <c r="F114" s="577"/>
      <c r="G114" s="577">
        <f>SUM(G109:G113)</f>
        <v>4018</v>
      </c>
      <c r="H114" s="577">
        <f t="shared" ref="H114:R114" si="35">SUM(H109:H113)</f>
        <v>4</v>
      </c>
      <c r="I114" s="577">
        <f t="shared" si="35"/>
        <v>0</v>
      </c>
      <c r="J114" s="577">
        <f t="shared" si="35"/>
        <v>0</v>
      </c>
      <c r="K114" s="577">
        <f t="shared" si="35"/>
        <v>83</v>
      </c>
      <c r="L114" s="577">
        <f t="shared" si="35"/>
        <v>0</v>
      </c>
      <c r="M114" s="577">
        <f t="shared" si="35"/>
        <v>0</v>
      </c>
      <c r="N114" s="577">
        <f>SUM(N109:N113)</f>
        <v>18</v>
      </c>
      <c r="O114" s="577">
        <f t="shared" si="35"/>
        <v>0</v>
      </c>
      <c r="P114" s="577">
        <f t="shared" si="35"/>
        <v>0</v>
      </c>
      <c r="Q114" s="577">
        <f t="shared" si="35"/>
        <v>0</v>
      </c>
      <c r="R114" s="577">
        <f t="shared" si="35"/>
        <v>5</v>
      </c>
      <c r="S114" s="577">
        <f>+S113</f>
        <v>13130</v>
      </c>
      <c r="T114" s="1504">
        <f>+'Summary Total Pigs'!AE14-'Grasmere Batch Mvnt'!S114</f>
        <v>0</v>
      </c>
    </row>
    <row r="115" spans="2:28" ht="14.45" thickTop="1">
      <c r="B115" s="353"/>
    </row>
    <row r="116" spans="2:28">
      <c r="B116" s="440" t="s">
        <v>381</v>
      </c>
      <c r="C116" s="440" t="s">
        <v>382</v>
      </c>
      <c r="E116" s="354">
        <f>+E103-G57</f>
        <v>0</v>
      </c>
      <c r="G116" s="453"/>
      <c r="H116" s="453"/>
    </row>
    <row r="117" spans="2:28">
      <c r="B117" s="1149" t="s">
        <v>383</v>
      </c>
      <c r="C117" s="1150">
        <v>992</v>
      </c>
      <c r="D117" s="2139" t="s">
        <v>384</v>
      </c>
      <c r="M117" s="453"/>
      <c r="T117" s="453"/>
      <c r="U117" s="453"/>
      <c r="Y117" s="453"/>
      <c r="AB117" s="453"/>
    </row>
    <row r="118" spans="2:28" ht="14.25" customHeight="1">
      <c r="B118" s="1149" t="s">
        <v>385</v>
      </c>
      <c r="C118" s="1150">
        <v>1448</v>
      </c>
      <c r="D118" s="2140"/>
      <c r="H118" s="449"/>
      <c r="I118" s="1134" t="s">
        <v>79</v>
      </c>
      <c r="J118" s="1805">
        <f>14+22</f>
        <v>36</v>
      </c>
      <c r="K118" s="1135">
        <f>+'Summary Total Pigs'!AE17</f>
        <v>36</v>
      </c>
      <c r="L118" s="354">
        <f>+J118-K118</f>
        <v>0</v>
      </c>
    </row>
    <row r="119" spans="2:28" ht="14.25" customHeight="1">
      <c r="B119" s="1149" t="s">
        <v>386</v>
      </c>
      <c r="C119" s="1150">
        <v>1373</v>
      </c>
      <c r="D119" s="2140"/>
      <c r="I119" s="1134" t="s">
        <v>55</v>
      </c>
      <c r="J119" s="1135">
        <v>2155</v>
      </c>
      <c r="K119" s="1135">
        <f>+'Summary Total Pigs'!AE16</f>
        <v>2155</v>
      </c>
      <c r="L119" s="1791">
        <f>+J119-K119</f>
        <v>0</v>
      </c>
      <c r="M119" s="357"/>
      <c r="T119" s="357"/>
      <c r="U119" s="357"/>
      <c r="Y119" s="357"/>
      <c r="AB119" s="357"/>
    </row>
    <row r="120" spans="2:28" ht="14.25" customHeight="1">
      <c r="B120" s="1149" t="s">
        <v>387</v>
      </c>
      <c r="C120" s="1150">
        <v>1383</v>
      </c>
      <c r="D120" s="2141"/>
      <c r="I120" s="1134" t="s">
        <v>50</v>
      </c>
      <c r="J120" s="1135">
        <v>629</v>
      </c>
      <c r="K120" s="1135">
        <f>+'Summary Total Pigs'!AE15</f>
        <v>629</v>
      </c>
      <c r="L120" s="354">
        <f>+J120-K120</f>
        <v>0</v>
      </c>
    </row>
    <row r="121" spans="2:28" ht="14.25" customHeight="1">
      <c r="B121" s="1136" t="s">
        <v>388</v>
      </c>
      <c r="C121" s="1136">
        <v>1155</v>
      </c>
      <c r="D121" s="2142" t="s">
        <v>389</v>
      </c>
      <c r="E121" s="354">
        <f>SUM(C117:C120)</f>
        <v>5196</v>
      </c>
      <c r="F121" s="354">
        <f>+'Summary Total Pigs'!AE12</f>
        <v>5196</v>
      </c>
      <c r="G121" s="580">
        <f>+E121-F121</f>
        <v>0</v>
      </c>
      <c r="H121" s="357" t="s">
        <v>390</v>
      </c>
      <c r="I121" s="1217" t="s">
        <v>71</v>
      </c>
      <c r="J121" s="334">
        <f>SUM(J118:J120)</f>
        <v>2820</v>
      </c>
      <c r="K121" s="334">
        <f>SUM(K118:K120)</f>
        <v>2820</v>
      </c>
      <c r="L121" s="580">
        <f>SUM(L118:L120)</f>
        <v>0</v>
      </c>
      <c r="M121" s="354" t="s">
        <v>207</v>
      </c>
    </row>
    <row r="122" spans="2:28" ht="14.25" customHeight="1">
      <c r="B122" s="1136" t="s">
        <v>391</v>
      </c>
      <c r="C122" s="1136">
        <v>1096</v>
      </c>
      <c r="D122" s="2143"/>
      <c r="L122" s="357"/>
      <c r="O122" s="354">
        <f>J119-404</f>
        <v>1751</v>
      </c>
      <c r="Q122" s="357"/>
      <c r="T122" s="357"/>
      <c r="U122" s="357"/>
      <c r="Y122" s="357"/>
      <c r="AB122" s="357"/>
    </row>
    <row r="123" spans="2:28" ht="14.25" customHeight="1">
      <c r="B123" s="1136" t="s">
        <v>392</v>
      </c>
      <c r="C123" s="1136">
        <v>1104</v>
      </c>
      <c r="D123" s="2143"/>
      <c r="O123" s="354">
        <v>3</v>
      </c>
    </row>
    <row r="124" spans="2:28" ht="14.25" customHeight="1">
      <c r="B124" s="1136" t="s">
        <v>393</v>
      </c>
      <c r="C124" s="1136">
        <v>1090</v>
      </c>
      <c r="D124" s="2143"/>
      <c r="O124" s="354">
        <v>624</v>
      </c>
    </row>
    <row r="125" spans="2:28" ht="14.25" customHeight="1">
      <c r="B125" s="1136" t="s">
        <v>394</v>
      </c>
      <c r="C125" s="1136">
        <v>1076</v>
      </c>
      <c r="D125" s="2143"/>
    </row>
    <row r="126" spans="2:28" ht="14.25" customHeight="1">
      <c r="B126" s="1136" t="s">
        <v>395</v>
      </c>
      <c r="C126" s="1136">
        <v>1052</v>
      </c>
      <c r="D126" s="2144"/>
      <c r="E126" s="354">
        <f>SUM(C121:C126)</f>
        <v>6573</v>
      </c>
      <c r="F126" s="354">
        <f>+'Summary Total Pigs'!AE13</f>
        <v>6573</v>
      </c>
      <c r="G126" s="580">
        <f>+E126-F126</f>
        <v>0</v>
      </c>
      <c r="H126" s="357" t="s">
        <v>390</v>
      </c>
      <c r="J126" s="354">
        <f>J119-301</f>
        <v>1854</v>
      </c>
    </row>
    <row r="127" spans="2:28" ht="14.25" customHeight="1">
      <c r="B127" s="579" t="s">
        <v>396</v>
      </c>
      <c r="C127" s="579">
        <v>1122</v>
      </c>
      <c r="D127" s="2145" t="s">
        <v>397</v>
      </c>
      <c r="G127" s="357"/>
      <c r="J127" s="354">
        <f>J118-31</f>
        <v>5</v>
      </c>
    </row>
    <row r="128" spans="2:28" ht="14.25" customHeight="1">
      <c r="B128" s="579" t="s">
        <v>398</v>
      </c>
      <c r="C128" s="579">
        <v>1061</v>
      </c>
      <c r="D128" s="2146"/>
      <c r="G128" s="357"/>
      <c r="J128" s="354">
        <f>J120</f>
        <v>629</v>
      </c>
      <c r="M128" s="357"/>
      <c r="R128" s="357"/>
      <c r="V128" s="357"/>
      <c r="AB128" s="357"/>
    </row>
    <row r="129" spans="2:54" ht="14.25" customHeight="1">
      <c r="B129" s="579" t="s">
        <v>399</v>
      </c>
      <c r="C129" s="579">
        <v>988</v>
      </c>
      <c r="D129" s="2146"/>
      <c r="M129" s="357"/>
      <c r="R129" s="357"/>
      <c r="V129" s="357"/>
      <c r="AB129" s="357"/>
    </row>
    <row r="130" spans="2:54" ht="14.25" customHeight="1">
      <c r="B130" s="579" t="s">
        <v>400</v>
      </c>
      <c r="C130" s="579">
        <v>1039</v>
      </c>
      <c r="D130" s="2146"/>
      <c r="J130" s="354">
        <f>SUM(J126:J129)</f>
        <v>2488</v>
      </c>
    </row>
    <row r="131" spans="2:54" ht="14.25" customHeight="1">
      <c r="B131" s="579" t="s">
        <v>401</v>
      </c>
      <c r="C131" s="579">
        <v>1031</v>
      </c>
      <c r="D131" s="2146"/>
    </row>
    <row r="132" spans="2:54" ht="14.25" customHeight="1">
      <c r="B132" s="579" t="s">
        <v>402</v>
      </c>
      <c r="C132" s="579">
        <v>990</v>
      </c>
      <c r="D132" s="2146"/>
    </row>
    <row r="133" spans="2:54" ht="14.25" customHeight="1">
      <c r="B133" s="579" t="s">
        <v>403</v>
      </c>
      <c r="C133" s="579">
        <v>979</v>
      </c>
      <c r="D133" s="2146"/>
      <c r="BA133" s="357"/>
      <c r="BB133" s="357"/>
    </row>
    <row r="134" spans="2:54" ht="14.25" customHeight="1">
      <c r="B134" s="579" t="s">
        <v>404</v>
      </c>
      <c r="C134" s="579">
        <v>1009</v>
      </c>
      <c r="D134" s="2146"/>
    </row>
    <row r="135" spans="2:54" ht="14.25" customHeight="1">
      <c r="B135" s="579" t="s">
        <v>405</v>
      </c>
      <c r="C135" s="579">
        <v>979</v>
      </c>
      <c r="D135" s="2146"/>
    </row>
    <row r="136" spans="2:54" ht="14.25" customHeight="1">
      <c r="B136" s="579" t="s">
        <v>406</v>
      </c>
      <c r="C136" s="579">
        <v>974</v>
      </c>
      <c r="D136" s="2146"/>
      <c r="L136" s="354">
        <v>1104</v>
      </c>
    </row>
    <row r="137" spans="2:54" ht="14.25" customHeight="1">
      <c r="B137" s="579" t="s">
        <v>407</v>
      </c>
      <c r="C137" s="579">
        <v>1037</v>
      </c>
      <c r="D137" s="2146"/>
    </row>
    <row r="138" spans="2:54" ht="14.25" customHeight="1">
      <c r="B138" s="579" t="s">
        <v>408</v>
      </c>
      <c r="C138" s="579">
        <v>962</v>
      </c>
      <c r="D138" s="2146"/>
    </row>
    <row r="139" spans="2:54" ht="14.25" customHeight="1">
      <c r="B139" s="579" t="s">
        <v>409</v>
      </c>
      <c r="C139" s="579">
        <f>943+16</f>
        <v>959</v>
      </c>
      <c r="D139" s="2146"/>
    </row>
    <row r="140" spans="2:54" ht="14.25" customHeight="1">
      <c r="B140" s="579" t="s">
        <v>410</v>
      </c>
      <c r="C140" s="579"/>
      <c r="D140" s="2146"/>
    </row>
    <row r="141" spans="2:54" ht="14.25" customHeight="1">
      <c r="B141" s="579" t="s">
        <v>411</v>
      </c>
      <c r="C141" s="579"/>
      <c r="D141" s="2146"/>
    </row>
    <row r="142" spans="2:54" ht="14.25" customHeight="1">
      <c r="B142" s="579" t="s">
        <v>411</v>
      </c>
      <c r="C142" s="579"/>
      <c r="D142" s="2147"/>
      <c r="E142" s="354">
        <f>SUM(C127:C142)</f>
        <v>13130</v>
      </c>
      <c r="F142" s="354">
        <f>+'Summary Total Pigs'!AF14</f>
        <v>13130</v>
      </c>
      <c r="G142" s="580">
        <f>+E142-F142</f>
        <v>0</v>
      </c>
      <c r="H142" s="357" t="s">
        <v>390</v>
      </c>
    </row>
    <row r="143" spans="2:54">
      <c r="D143" s="600"/>
      <c r="H143" s="357"/>
    </row>
    <row r="144" spans="2:54">
      <c r="E144" s="440">
        <f>+E142+E126+E121+J118+J119+J120</f>
        <v>27719</v>
      </c>
      <c r="F144" s="440">
        <f>SUM('Summary Total Pigs'!AE12:AE17,'Summary Total Pigs'!AE132)</f>
        <v>27726</v>
      </c>
      <c r="G144" s="580">
        <f>+E144-F144</f>
        <v>-7</v>
      </c>
      <c r="H144" s="357" t="s">
        <v>390</v>
      </c>
    </row>
    <row r="145" spans="2:67">
      <c r="B145" s="353"/>
    </row>
    <row r="146" spans="2:67">
      <c r="BF146" s="353"/>
    </row>
    <row r="147" spans="2:67">
      <c r="BF147" s="353"/>
    </row>
    <row r="148" spans="2:67">
      <c r="BF148" s="353"/>
    </row>
    <row r="149" spans="2:67">
      <c r="BF149" s="353"/>
    </row>
    <row r="150" spans="2:67">
      <c r="BF150" s="353"/>
    </row>
    <row r="151" spans="2:67">
      <c r="BF151" s="353"/>
    </row>
    <row r="152" spans="2:67">
      <c r="BF152" s="353"/>
    </row>
    <row r="153" spans="2:67">
      <c r="BF153" s="353"/>
    </row>
    <row r="154" spans="2:67">
      <c r="BF154" s="353"/>
    </row>
    <row r="155" spans="2:67">
      <c r="BF155" s="353"/>
    </row>
    <row r="156" spans="2:67">
      <c r="BF156" s="353"/>
    </row>
    <row r="157" spans="2:67">
      <c r="BF157" s="353"/>
      <c r="BJ157" s="357"/>
      <c r="BK157" s="357"/>
    </row>
    <row r="158" spans="2:67">
      <c r="BF158" s="353"/>
      <c r="BJ158" s="357"/>
      <c r="BK158" s="357"/>
      <c r="BO158" s="357"/>
    </row>
    <row r="159" spans="2:67">
      <c r="BF159" s="353"/>
    </row>
    <row r="160" spans="2:67">
      <c r="BF160" s="353"/>
    </row>
    <row r="161" spans="58:63">
      <c r="BF161" s="353"/>
      <c r="BJ161" s="357"/>
      <c r="BK161" s="357"/>
    </row>
    <row r="162" spans="58:63">
      <c r="BF162" s="353"/>
      <c r="BJ162" s="357"/>
      <c r="BK162" s="357"/>
    </row>
    <row r="163" spans="58:63">
      <c r="BF163" s="353"/>
    </row>
    <row r="164" spans="58:63">
      <c r="BF164" s="353"/>
    </row>
    <row r="165" spans="58:63">
      <c r="BF165" s="353"/>
    </row>
    <row r="166" spans="58:63">
      <c r="BF166" s="353"/>
    </row>
    <row r="167" spans="58:63">
      <c r="BF167" s="353"/>
      <c r="BJ167" s="453"/>
      <c r="BK167" s="453"/>
    </row>
    <row r="168" spans="58:63">
      <c r="BF168" s="353"/>
    </row>
    <row r="169" spans="58:63">
      <c r="BF169" s="353"/>
      <c r="BJ169" s="357"/>
      <c r="BK169" s="357"/>
    </row>
    <row r="172" spans="58:63">
      <c r="BJ172" s="357"/>
      <c r="BK172" s="357"/>
    </row>
    <row r="177" spans="62:112">
      <c r="BJ177" s="357"/>
      <c r="BK177" s="357"/>
    </row>
    <row r="178" spans="62:112">
      <c r="BJ178" s="357"/>
      <c r="BK178" s="357"/>
    </row>
    <row r="187" spans="62:112">
      <c r="DG187" s="357"/>
      <c r="DH187" s="357"/>
    </row>
    <row r="197" spans="62:67">
      <c r="BJ197" s="357"/>
      <c r="BK197" s="357"/>
      <c r="BO197" s="357"/>
    </row>
    <row r="198" spans="62:67">
      <c r="BJ198" s="357"/>
      <c r="BK198" s="357"/>
      <c r="BO198" s="357"/>
    </row>
    <row r="201" spans="62:67">
      <c r="BJ201" s="357"/>
      <c r="BK201" s="357"/>
    </row>
    <row r="202" spans="62:67">
      <c r="BJ202" s="357"/>
      <c r="BK202" s="357"/>
    </row>
    <row r="207" spans="62:67">
      <c r="BJ207" s="453"/>
      <c r="BK207" s="453"/>
    </row>
    <row r="209" spans="62:63">
      <c r="BJ209" s="357"/>
      <c r="BK209" s="357"/>
    </row>
    <row r="212" spans="62:63">
      <c r="BJ212" s="357"/>
      <c r="BK212" s="357"/>
    </row>
    <row r="217" spans="62:63">
      <c r="BJ217" s="357"/>
      <c r="BK217" s="357"/>
    </row>
    <row r="218" spans="62:63">
      <c r="BJ218" s="357"/>
      <c r="BK218" s="357"/>
    </row>
    <row r="232" spans="62:112">
      <c r="DG232" s="357"/>
      <c r="DH232" s="357"/>
    </row>
    <row r="238" spans="62:112">
      <c r="BJ238" s="357"/>
      <c r="BK238" s="357"/>
      <c r="BO238" s="357"/>
    </row>
    <row r="239" spans="62:112">
      <c r="BJ239" s="357"/>
      <c r="BK239" s="357"/>
      <c r="BO239" s="357"/>
    </row>
    <row r="242" spans="62:63">
      <c r="BJ242" s="357"/>
      <c r="BK242" s="357"/>
    </row>
    <row r="243" spans="62:63">
      <c r="BJ243" s="357"/>
      <c r="BK243" s="357"/>
    </row>
    <row r="248" spans="62:63">
      <c r="BJ248" s="453"/>
      <c r="BK248" s="453"/>
    </row>
    <row r="250" spans="62:63">
      <c r="BJ250" s="357"/>
      <c r="BK250" s="357"/>
    </row>
    <row r="253" spans="62:63">
      <c r="BJ253" s="357"/>
      <c r="BK253" s="357"/>
    </row>
    <row r="258" spans="62:63">
      <c r="BJ258" s="357"/>
      <c r="BK258" s="357"/>
    </row>
    <row r="259" spans="62:63">
      <c r="BJ259" s="357"/>
      <c r="BK259" s="357"/>
    </row>
    <row r="288" spans="62:67">
      <c r="BJ288" s="357"/>
      <c r="BK288" s="357"/>
      <c r="BO288" s="357"/>
    </row>
    <row r="289" spans="62:67">
      <c r="BJ289" s="357"/>
      <c r="BK289" s="357"/>
      <c r="BO289" s="357"/>
    </row>
    <row r="292" spans="62:67">
      <c r="BJ292" s="357"/>
      <c r="BK292" s="357"/>
    </row>
    <row r="293" spans="62:67">
      <c r="BJ293" s="357"/>
      <c r="BK293" s="357"/>
    </row>
    <row r="298" spans="62:67">
      <c r="BJ298" s="453"/>
      <c r="BK298" s="453"/>
    </row>
    <row r="300" spans="62:67">
      <c r="BJ300" s="357"/>
      <c r="BK300" s="357"/>
    </row>
    <row r="303" spans="62:67">
      <c r="BJ303" s="357"/>
      <c r="BK303" s="357"/>
    </row>
    <row r="308" spans="62:63">
      <c r="BJ308" s="357"/>
      <c r="BK308" s="357"/>
    </row>
    <row r="309" spans="62:63">
      <c r="BJ309" s="357"/>
      <c r="BK309" s="357"/>
    </row>
  </sheetData>
  <mergeCells count="3">
    <mergeCell ref="D117:D120"/>
    <mergeCell ref="D121:D126"/>
    <mergeCell ref="D127:D142"/>
  </mergeCells>
  <phoneticPr fontId="19" type="noConversion"/>
  <pageMargins left="0.75" right="0.75" top="1" bottom="1" header="0.5" footer="0.5"/>
  <pageSetup paperSize="9" scale="14" orientation="landscape" r:id="rId1"/>
  <headerFooter alignWithMargins="0"/>
  <colBreaks count="1" manualBreakCount="1">
    <brk id="109" max="1048575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FFFF00"/>
  </sheetPr>
  <dimension ref="A2:S28"/>
  <sheetViews>
    <sheetView view="pageBreakPreview" zoomScale="60" zoomScaleNormal="59" workbookViewId="0">
      <pane xSplit="2" ySplit="1" topLeftCell="C2" activePane="bottomRight" state="frozen"/>
      <selection pane="bottomRight" activeCell="B26" sqref="B26"/>
      <selection pane="bottomLeft" activeCell="A5" sqref="A5"/>
      <selection pane="topRight" activeCell="C1" sqref="C1"/>
    </sheetView>
  </sheetViews>
  <sheetFormatPr defaultRowHeight="13.15"/>
  <cols>
    <col min="1" max="1" width="18.85546875" bestFit="1" customWidth="1"/>
    <col min="2" max="2" width="17.85546875" bestFit="1" customWidth="1"/>
    <col min="3" max="3" width="12.28515625" bestFit="1" customWidth="1"/>
    <col min="4" max="4" width="8.140625" bestFit="1" customWidth="1"/>
    <col min="5" max="5" width="9.5703125" bestFit="1" customWidth="1"/>
    <col min="6" max="6" width="15.140625" bestFit="1" customWidth="1"/>
    <col min="7" max="7" width="10.85546875" bestFit="1" customWidth="1"/>
    <col min="8" max="8" width="22.42578125" bestFit="1" customWidth="1"/>
    <col min="9" max="9" width="25.140625" bestFit="1" customWidth="1"/>
    <col min="10" max="10" width="24.140625" bestFit="1" customWidth="1"/>
    <col min="11" max="11" width="22" bestFit="1" customWidth="1"/>
    <col min="12" max="12" width="18" bestFit="1" customWidth="1"/>
    <col min="13" max="13" width="27.5703125" bestFit="1" customWidth="1"/>
    <col min="14" max="14" width="23.42578125" bestFit="1" customWidth="1"/>
    <col min="15" max="15" width="18.28515625" bestFit="1" customWidth="1"/>
    <col min="17" max="17" width="7.5703125" bestFit="1" customWidth="1"/>
    <col min="18" max="18" width="8.140625" bestFit="1" customWidth="1"/>
    <col min="19" max="19" width="9.5703125" bestFit="1" customWidth="1"/>
    <col min="20" max="20" width="15.140625" bestFit="1" customWidth="1"/>
    <col min="21" max="21" width="10.85546875" bestFit="1" customWidth="1"/>
    <col min="22" max="22" width="22.42578125" bestFit="1" customWidth="1"/>
    <col min="23" max="23" width="25.140625" bestFit="1" customWidth="1"/>
    <col min="24" max="24" width="24.140625" bestFit="1" customWidth="1"/>
    <col min="25" max="25" width="22" bestFit="1" customWidth="1"/>
    <col min="26" max="26" width="18" bestFit="1" customWidth="1"/>
    <col min="27" max="27" width="17.85546875" bestFit="1" customWidth="1"/>
    <col min="28" max="28" width="23.42578125" bestFit="1" customWidth="1"/>
    <col min="29" max="29" width="18.28515625" bestFit="1" customWidth="1"/>
    <col min="31" max="31" width="7.5703125" bestFit="1" customWidth="1"/>
    <col min="32" max="32" width="8.140625" bestFit="1" customWidth="1"/>
    <col min="33" max="33" width="9.5703125" bestFit="1" customWidth="1"/>
    <col min="34" max="34" width="15.140625" bestFit="1" customWidth="1"/>
    <col min="35" max="35" width="10.85546875" bestFit="1" customWidth="1"/>
    <col min="36" max="36" width="22.42578125" bestFit="1" customWidth="1"/>
    <col min="37" max="37" width="29" bestFit="1" customWidth="1"/>
    <col min="38" max="38" width="28" bestFit="1" customWidth="1"/>
    <col min="39" max="39" width="35.28515625" bestFit="1" customWidth="1"/>
    <col min="40" max="40" width="30.42578125" bestFit="1" customWidth="1"/>
    <col min="41" max="41" width="31.140625" bestFit="1" customWidth="1"/>
    <col min="42" max="42" width="24.28515625" bestFit="1" customWidth="1"/>
    <col min="43" max="43" width="18.28515625" bestFit="1" customWidth="1"/>
    <col min="45" max="45" width="7.5703125" bestFit="1" customWidth="1"/>
    <col min="46" max="46" width="8.140625" bestFit="1" customWidth="1"/>
    <col min="47" max="47" width="9.5703125" bestFit="1" customWidth="1"/>
    <col min="48" max="48" width="15.140625" bestFit="1" customWidth="1"/>
    <col min="49" max="49" width="10.85546875" bestFit="1" customWidth="1"/>
    <col min="50" max="50" width="22.42578125" bestFit="1" customWidth="1"/>
    <col min="51" max="51" width="25.140625" bestFit="1" customWidth="1"/>
    <col min="52" max="52" width="24.140625" bestFit="1" customWidth="1"/>
    <col min="53" max="53" width="22" bestFit="1" customWidth="1"/>
    <col min="54" max="54" width="18" bestFit="1" customWidth="1"/>
    <col min="55" max="55" width="17.85546875" bestFit="1" customWidth="1"/>
    <col min="56" max="56" width="23.42578125" bestFit="1" customWidth="1"/>
    <col min="57" max="57" width="18.28515625" bestFit="1" customWidth="1"/>
    <col min="59" max="59" width="7.5703125" bestFit="1" customWidth="1"/>
    <col min="60" max="60" width="8.140625" bestFit="1" customWidth="1"/>
    <col min="61" max="61" width="9.5703125" bestFit="1" customWidth="1"/>
    <col min="62" max="62" width="15.140625" bestFit="1" customWidth="1"/>
    <col min="63" max="63" width="10.85546875" bestFit="1" customWidth="1"/>
    <col min="64" max="64" width="22.42578125" bestFit="1" customWidth="1"/>
    <col min="65" max="65" width="25.140625" bestFit="1" customWidth="1"/>
    <col min="66" max="66" width="24.140625" bestFit="1" customWidth="1"/>
    <col min="67" max="67" width="22" bestFit="1" customWidth="1"/>
    <col min="68" max="68" width="18" bestFit="1" customWidth="1"/>
    <col min="69" max="69" width="17.85546875" bestFit="1" customWidth="1"/>
    <col min="70" max="70" width="23.42578125" bestFit="1" customWidth="1"/>
    <col min="71" max="71" width="18.28515625" bestFit="1" customWidth="1"/>
    <col min="73" max="73" width="7.85546875" bestFit="1" customWidth="1"/>
    <col min="74" max="74" width="8.140625" bestFit="1" customWidth="1"/>
    <col min="76" max="76" width="20.28515625" bestFit="1" customWidth="1"/>
    <col min="77" max="77" width="13.42578125" bestFit="1" customWidth="1"/>
    <col min="78" max="78" width="17.140625" bestFit="1" customWidth="1"/>
    <col min="79" max="79" width="14" bestFit="1" customWidth="1"/>
    <col min="80" max="80" width="22.85546875" bestFit="1" customWidth="1"/>
    <col min="81" max="81" width="20.28515625" bestFit="1" customWidth="1"/>
    <col min="82" max="82" width="23.85546875" bestFit="1" customWidth="1"/>
    <col min="83" max="83" width="19.5703125" bestFit="1" customWidth="1"/>
    <col min="84" max="84" width="15.42578125" customWidth="1"/>
    <col min="85" max="85" width="18.5703125" customWidth="1"/>
    <col min="86" max="86" width="14.7109375" customWidth="1"/>
    <col min="87" max="87" width="14.140625" customWidth="1"/>
    <col min="89" max="89" width="8.28515625" bestFit="1" customWidth="1"/>
    <col min="90" max="90" width="8.140625" bestFit="1" customWidth="1"/>
    <col min="91" max="91" width="9.140625" bestFit="1" customWidth="1"/>
    <col min="92" max="92" width="20.28515625" bestFit="1" customWidth="1"/>
    <col min="93" max="93" width="13.42578125" bestFit="1" customWidth="1"/>
    <col min="94" max="94" width="17.140625" bestFit="1" customWidth="1"/>
    <col min="95" max="95" width="14" bestFit="1" customWidth="1"/>
    <col min="96" max="96" width="22.85546875" bestFit="1" customWidth="1"/>
    <col min="97" max="97" width="20.28515625" bestFit="1" customWidth="1"/>
    <col min="98" max="98" width="23.85546875" bestFit="1" customWidth="1"/>
    <col min="99" max="99" width="19.5703125" bestFit="1" customWidth="1"/>
    <col min="100" max="100" width="23.140625" bestFit="1" customWidth="1"/>
    <col min="101" max="101" width="18.28515625" bestFit="1" customWidth="1"/>
    <col min="102" max="102" width="19" bestFit="1" customWidth="1"/>
    <col min="103" max="103" width="22.42578125" bestFit="1" customWidth="1"/>
    <col min="105" max="105" width="8.28515625" bestFit="1" customWidth="1"/>
    <col min="106" max="106" width="8.140625" bestFit="1" customWidth="1"/>
    <col min="107" max="107" width="9.140625" bestFit="1" customWidth="1"/>
    <col min="108" max="108" width="12.42578125" bestFit="1" customWidth="1"/>
    <col min="109" max="109" width="13.42578125" bestFit="1" customWidth="1"/>
    <col min="110" max="110" width="17.140625" bestFit="1" customWidth="1"/>
    <col min="111" max="111" width="14" bestFit="1" customWidth="1"/>
    <col min="112" max="112" width="22.85546875" bestFit="1" customWidth="1"/>
    <col min="113" max="113" width="20.28515625" bestFit="1" customWidth="1"/>
    <col min="114" max="114" width="23.85546875" bestFit="1" customWidth="1"/>
    <col min="115" max="115" width="19.5703125" bestFit="1" customWidth="1"/>
    <col min="116" max="116" width="23.140625" bestFit="1" customWidth="1"/>
    <col min="117" max="117" width="18.28515625" bestFit="1" customWidth="1"/>
    <col min="118" max="118" width="19" bestFit="1" customWidth="1"/>
    <col min="119" max="119" width="22.42578125" bestFit="1" customWidth="1"/>
    <col min="121" max="121" width="8.28515625" bestFit="1" customWidth="1"/>
    <col min="122" max="122" width="8.140625" bestFit="1" customWidth="1"/>
    <col min="123" max="123" width="9.140625" bestFit="1" customWidth="1"/>
    <col min="124" max="124" width="20.28515625" bestFit="1" customWidth="1"/>
    <col min="125" max="125" width="13.42578125" bestFit="1" customWidth="1"/>
    <col min="126" max="126" width="17.140625" bestFit="1" customWidth="1"/>
    <col min="127" max="127" width="14" bestFit="1" customWidth="1"/>
    <col min="128" max="128" width="22.85546875" bestFit="1" customWidth="1"/>
    <col min="129" max="129" width="20.28515625" bestFit="1" customWidth="1"/>
    <col min="130" max="130" width="23.85546875" bestFit="1" customWidth="1"/>
    <col min="131" max="131" width="19.5703125" bestFit="1" customWidth="1"/>
    <col min="132" max="132" width="23.140625" bestFit="1" customWidth="1"/>
    <col min="133" max="133" width="18.28515625" bestFit="1" customWidth="1"/>
    <col min="134" max="134" width="19" bestFit="1" customWidth="1"/>
    <col min="135" max="135" width="22.42578125" bestFit="1" customWidth="1"/>
    <col min="137" max="137" width="8.28515625" bestFit="1" customWidth="1"/>
    <col min="138" max="138" width="8.140625" bestFit="1" customWidth="1"/>
    <col min="139" max="139" width="9.140625" bestFit="1" customWidth="1"/>
    <col min="140" max="140" width="20.28515625" bestFit="1" customWidth="1"/>
    <col min="141" max="141" width="13.42578125" bestFit="1" customWidth="1"/>
    <col min="142" max="142" width="17.140625" bestFit="1" customWidth="1"/>
    <col min="143" max="143" width="14" bestFit="1" customWidth="1"/>
    <col min="144" max="144" width="22.85546875" bestFit="1" customWidth="1"/>
    <col min="145" max="145" width="20.28515625" bestFit="1" customWidth="1"/>
    <col min="146" max="146" width="23.85546875" bestFit="1" customWidth="1"/>
    <col min="147" max="147" width="19.5703125" bestFit="1" customWidth="1"/>
    <col min="148" max="148" width="23.140625" bestFit="1" customWidth="1"/>
    <col min="149" max="149" width="18.28515625" bestFit="1" customWidth="1"/>
    <col min="150" max="150" width="19" bestFit="1" customWidth="1"/>
    <col min="151" max="151" width="20.7109375" customWidth="1"/>
    <col min="153" max="153" width="7.85546875" bestFit="1" customWidth="1"/>
    <col min="154" max="154" width="8.140625" bestFit="1" customWidth="1"/>
    <col min="155" max="155" width="9.140625" bestFit="1" customWidth="1"/>
    <col min="156" max="156" width="20.28515625" bestFit="1" customWidth="1"/>
    <col min="157" max="157" width="13.42578125" bestFit="1" customWidth="1"/>
    <col min="158" max="158" width="17.140625" bestFit="1" customWidth="1"/>
    <col min="159" max="159" width="14" bestFit="1" customWidth="1"/>
    <col min="160" max="160" width="22.85546875" bestFit="1" customWidth="1"/>
    <col min="161" max="161" width="20.28515625" bestFit="1" customWidth="1"/>
    <col min="162" max="162" width="23.85546875" bestFit="1" customWidth="1"/>
    <col min="163" max="163" width="19.5703125" bestFit="1" customWidth="1"/>
    <col min="164" max="164" width="24.140625" bestFit="1" customWidth="1"/>
    <col min="165" max="165" width="18.28515625" bestFit="1" customWidth="1"/>
    <col min="166" max="166" width="19" bestFit="1" customWidth="1"/>
    <col min="167" max="167" width="22.42578125" bestFit="1" customWidth="1"/>
    <col min="169" max="169" width="7.85546875" bestFit="1" customWidth="1"/>
    <col min="170" max="170" width="8.140625" bestFit="1" customWidth="1"/>
    <col min="171" max="171" width="9.140625" bestFit="1" customWidth="1"/>
    <col min="172" max="172" width="20.28515625" bestFit="1" customWidth="1"/>
    <col min="173" max="173" width="13.42578125" bestFit="1" customWidth="1"/>
    <col min="174" max="174" width="17.140625" bestFit="1" customWidth="1"/>
    <col min="175" max="175" width="14" bestFit="1" customWidth="1"/>
    <col min="176" max="176" width="22.85546875" bestFit="1" customWidth="1"/>
    <col min="177" max="177" width="20.28515625" bestFit="1" customWidth="1"/>
    <col min="178" max="178" width="23.85546875" bestFit="1" customWidth="1"/>
    <col min="179" max="179" width="19.5703125" bestFit="1" customWidth="1"/>
    <col min="180" max="180" width="24.140625" bestFit="1" customWidth="1"/>
    <col min="181" max="181" width="18.28515625" bestFit="1" customWidth="1"/>
    <col min="182" max="182" width="19" bestFit="1" customWidth="1"/>
    <col min="183" max="183" width="22.42578125" bestFit="1" customWidth="1"/>
    <col min="185" max="185" width="7.85546875" bestFit="1" customWidth="1"/>
    <col min="186" max="186" width="8.140625" bestFit="1" customWidth="1"/>
    <col min="187" max="187" width="9.140625" bestFit="1" customWidth="1"/>
    <col min="188" max="188" width="20.28515625" bestFit="1" customWidth="1"/>
    <col min="189" max="189" width="13.42578125" bestFit="1" customWidth="1"/>
    <col min="190" max="190" width="17.140625" bestFit="1" customWidth="1"/>
    <col min="191" max="191" width="14" bestFit="1" customWidth="1"/>
    <col min="192" max="192" width="22.85546875" bestFit="1" customWidth="1"/>
    <col min="193" max="193" width="20.28515625" bestFit="1" customWidth="1"/>
    <col min="194" max="194" width="23.85546875" bestFit="1" customWidth="1"/>
    <col min="195" max="195" width="19.5703125" bestFit="1" customWidth="1"/>
    <col min="196" max="196" width="24.140625" bestFit="1" customWidth="1"/>
    <col min="197" max="197" width="18.28515625" bestFit="1" customWidth="1"/>
    <col min="198" max="198" width="19" bestFit="1" customWidth="1"/>
    <col min="199" max="199" width="22.42578125" bestFit="1" customWidth="1"/>
    <col min="201" max="201" width="7.85546875" bestFit="1" customWidth="1"/>
    <col min="202" max="202" width="8.140625" bestFit="1" customWidth="1"/>
    <col min="203" max="203" width="9.140625" bestFit="1" customWidth="1"/>
    <col min="204" max="204" width="20.28515625" bestFit="1" customWidth="1"/>
    <col min="205" max="205" width="13.42578125" bestFit="1" customWidth="1"/>
    <col min="206" max="206" width="17.140625" bestFit="1" customWidth="1"/>
    <col min="207" max="207" width="14" bestFit="1" customWidth="1"/>
    <col min="208" max="208" width="22.85546875" bestFit="1" customWidth="1"/>
    <col min="209" max="209" width="20.28515625" bestFit="1" customWidth="1"/>
    <col min="210" max="210" width="23.85546875" bestFit="1" customWidth="1"/>
    <col min="211" max="211" width="23.85546875" customWidth="1"/>
    <col min="212" max="212" width="19.5703125" bestFit="1" customWidth="1"/>
    <col min="213" max="213" width="24.140625" bestFit="1" customWidth="1"/>
    <col min="214" max="214" width="18.28515625" bestFit="1" customWidth="1"/>
    <col min="215" max="215" width="19" bestFit="1" customWidth="1"/>
    <col min="216" max="216" width="22.42578125" bestFit="1" customWidth="1"/>
    <col min="218" max="218" width="9.28515625" bestFit="1" customWidth="1"/>
    <col min="219" max="219" width="8.140625" bestFit="1" customWidth="1"/>
    <col min="220" max="220" width="9.140625" bestFit="1" customWidth="1"/>
    <col min="221" max="221" width="20.28515625" bestFit="1" customWidth="1"/>
    <col min="222" max="222" width="13.42578125" bestFit="1" customWidth="1"/>
    <col min="223" max="223" width="17.140625" bestFit="1" customWidth="1"/>
    <col min="224" max="224" width="14" bestFit="1" customWidth="1"/>
    <col min="225" max="225" width="22.85546875" bestFit="1" customWidth="1"/>
    <col min="226" max="226" width="20.28515625" bestFit="1" customWidth="1"/>
    <col min="227" max="227" width="23.85546875" bestFit="1" customWidth="1"/>
    <col min="228" max="228" width="19.5703125" bestFit="1" customWidth="1"/>
    <col min="229" max="229" width="24.140625" bestFit="1" customWidth="1"/>
    <col min="230" max="230" width="18.28515625" bestFit="1" customWidth="1"/>
    <col min="231" max="231" width="19" bestFit="1" customWidth="1"/>
    <col min="232" max="232" width="22.42578125" bestFit="1" customWidth="1"/>
    <col min="234" max="234" width="9.28515625" bestFit="1" customWidth="1"/>
    <col min="235" max="235" width="8.140625" bestFit="1" customWidth="1"/>
    <col min="236" max="236" width="9.140625" bestFit="1" customWidth="1"/>
    <col min="237" max="237" width="20.28515625" bestFit="1" customWidth="1"/>
    <col min="238" max="238" width="13.42578125" bestFit="1" customWidth="1"/>
    <col min="239" max="239" width="17.140625" bestFit="1" customWidth="1"/>
    <col min="240" max="240" width="14" bestFit="1" customWidth="1"/>
    <col min="241" max="241" width="22.85546875" bestFit="1" customWidth="1"/>
    <col min="242" max="242" width="20.28515625" bestFit="1" customWidth="1"/>
    <col min="243" max="243" width="23.85546875" bestFit="1" customWidth="1"/>
    <col min="244" max="244" width="19.5703125" bestFit="1" customWidth="1"/>
    <col min="245" max="245" width="24.140625" bestFit="1" customWidth="1"/>
    <col min="246" max="246" width="18.28515625" bestFit="1" customWidth="1"/>
    <col min="247" max="247" width="19" bestFit="1" customWidth="1"/>
    <col min="248" max="248" width="22.42578125" bestFit="1" customWidth="1"/>
    <col min="250" max="250" width="9.28515625" bestFit="1" customWidth="1"/>
    <col min="251" max="251" width="8.140625" bestFit="1" customWidth="1"/>
    <col min="252" max="252" width="9.140625" bestFit="1" customWidth="1"/>
    <col min="253" max="253" width="20.28515625" bestFit="1" customWidth="1"/>
    <col min="254" max="254" width="13.42578125" bestFit="1" customWidth="1"/>
    <col min="255" max="255" width="17.140625" bestFit="1" customWidth="1"/>
    <col min="256" max="256" width="14" bestFit="1" customWidth="1"/>
    <col min="257" max="257" width="22.85546875" bestFit="1" customWidth="1"/>
    <col min="258" max="258" width="20.28515625" bestFit="1" customWidth="1"/>
    <col min="259" max="259" width="23.85546875" bestFit="1" customWidth="1"/>
    <col min="260" max="260" width="23.85546875" customWidth="1"/>
    <col min="261" max="261" width="19.5703125" bestFit="1" customWidth="1"/>
    <col min="262" max="262" width="24.140625" bestFit="1" customWidth="1"/>
    <col min="263" max="263" width="18.28515625" bestFit="1" customWidth="1"/>
    <col min="264" max="264" width="19" bestFit="1" customWidth="1"/>
    <col min="265" max="265" width="22.42578125" bestFit="1" customWidth="1"/>
    <col min="266" max="266" width="3" bestFit="1" customWidth="1"/>
    <col min="267" max="267" width="9.28515625" bestFit="1" customWidth="1"/>
    <col min="268" max="268" width="8.140625" bestFit="1" customWidth="1"/>
    <col min="269" max="269" width="9.140625" bestFit="1" customWidth="1"/>
    <col min="270" max="270" width="20.28515625" bestFit="1" customWidth="1"/>
    <col min="271" max="271" width="13.42578125" bestFit="1" customWidth="1"/>
    <col min="272" max="272" width="17.140625" bestFit="1" customWidth="1"/>
    <col min="273" max="273" width="14" bestFit="1" customWidth="1"/>
    <col min="274" max="274" width="22.85546875" bestFit="1" customWidth="1"/>
    <col min="275" max="275" width="20.28515625" bestFit="1" customWidth="1"/>
    <col min="276" max="276" width="23.85546875" bestFit="1" customWidth="1"/>
    <col min="277" max="277" width="19.5703125" bestFit="1" customWidth="1"/>
    <col min="278" max="278" width="24.140625" bestFit="1" customWidth="1"/>
    <col min="279" max="279" width="18.28515625" bestFit="1" customWidth="1"/>
    <col min="280" max="280" width="19" bestFit="1" customWidth="1"/>
    <col min="281" max="281" width="22.42578125" bestFit="1" customWidth="1"/>
    <col min="283" max="283" width="9.28515625" bestFit="1" customWidth="1"/>
    <col min="284" max="284" width="8.140625" bestFit="1" customWidth="1"/>
    <col min="285" max="285" width="9.140625" bestFit="1" customWidth="1"/>
    <col min="286" max="286" width="20.28515625" bestFit="1" customWidth="1"/>
    <col min="287" max="287" width="13.42578125" bestFit="1" customWidth="1"/>
    <col min="288" max="288" width="17.140625" bestFit="1" customWidth="1"/>
    <col min="289" max="289" width="14" bestFit="1" customWidth="1"/>
    <col min="290" max="290" width="22.85546875" bestFit="1" customWidth="1"/>
    <col min="291" max="291" width="20.28515625" bestFit="1" customWidth="1"/>
    <col min="292" max="292" width="23.85546875" bestFit="1" customWidth="1"/>
    <col min="293" max="293" width="19.5703125" bestFit="1" customWidth="1"/>
    <col min="294" max="294" width="24.140625" bestFit="1" customWidth="1"/>
    <col min="295" max="295" width="18.28515625" bestFit="1" customWidth="1"/>
    <col min="296" max="296" width="19" bestFit="1" customWidth="1"/>
    <col min="297" max="297" width="22.42578125" bestFit="1" customWidth="1"/>
    <col min="299" max="299" width="9.28515625" bestFit="1" customWidth="1"/>
    <col min="300" max="300" width="8.140625" bestFit="1" customWidth="1"/>
    <col min="301" max="301" width="9.140625" bestFit="1" customWidth="1"/>
    <col min="302" max="302" width="20.28515625" bestFit="1" customWidth="1"/>
    <col min="303" max="303" width="13.42578125" bestFit="1" customWidth="1"/>
    <col min="304" max="304" width="17.140625" bestFit="1" customWidth="1"/>
    <col min="305" max="305" width="14" bestFit="1" customWidth="1"/>
    <col min="306" max="306" width="22.85546875" bestFit="1" customWidth="1"/>
    <col min="307" max="307" width="20.28515625" bestFit="1" customWidth="1"/>
    <col min="308" max="308" width="23.85546875" bestFit="1" customWidth="1"/>
    <col min="309" max="309" width="19.5703125" bestFit="1" customWidth="1"/>
    <col min="310" max="310" width="24.140625" bestFit="1" customWidth="1"/>
    <col min="311" max="311" width="18.28515625" bestFit="1" customWidth="1"/>
    <col min="312" max="312" width="19" bestFit="1" customWidth="1"/>
    <col min="313" max="313" width="22.42578125" bestFit="1" customWidth="1"/>
    <col min="315" max="315" width="9.28515625" bestFit="1" customWidth="1"/>
    <col min="316" max="316" width="8.140625" bestFit="1" customWidth="1"/>
    <col min="317" max="317" width="9.140625" bestFit="1" customWidth="1"/>
    <col min="318" max="318" width="20.28515625" bestFit="1" customWidth="1"/>
    <col min="319" max="319" width="13.42578125" bestFit="1" customWidth="1"/>
    <col min="320" max="320" width="17.140625" bestFit="1" customWidth="1"/>
    <col min="321" max="321" width="14" bestFit="1" customWidth="1"/>
    <col min="322" max="322" width="22.85546875" bestFit="1" customWidth="1"/>
    <col min="323" max="323" width="20.28515625" bestFit="1" customWidth="1"/>
    <col min="324" max="324" width="23.85546875" bestFit="1" customWidth="1"/>
    <col min="325" max="325" width="19.5703125" bestFit="1" customWidth="1"/>
    <col min="326" max="326" width="24.140625" bestFit="1" customWidth="1"/>
    <col min="327" max="327" width="18.28515625" bestFit="1" customWidth="1"/>
    <col min="328" max="328" width="19" bestFit="1" customWidth="1"/>
    <col min="329" max="329" width="22.42578125" bestFit="1" customWidth="1"/>
    <col min="331" max="331" width="9.28515625" bestFit="1" customWidth="1"/>
    <col min="332" max="332" width="8.140625" bestFit="1" customWidth="1"/>
    <col min="333" max="333" width="9.140625" bestFit="1" customWidth="1"/>
    <col min="334" max="334" width="20.28515625" bestFit="1" customWidth="1"/>
    <col min="335" max="335" width="13.42578125" bestFit="1" customWidth="1"/>
    <col min="336" max="336" width="17.140625" bestFit="1" customWidth="1"/>
    <col min="337" max="337" width="14" bestFit="1" customWidth="1"/>
    <col min="338" max="338" width="22.85546875" bestFit="1" customWidth="1"/>
    <col min="339" max="339" width="20.28515625" bestFit="1" customWidth="1"/>
    <col min="340" max="340" width="23.85546875" bestFit="1" customWidth="1"/>
    <col min="341" max="341" width="23.85546875" customWidth="1"/>
    <col min="342" max="342" width="19.5703125" bestFit="1" customWidth="1"/>
    <col min="343" max="343" width="24.140625" bestFit="1" customWidth="1"/>
    <col min="344" max="344" width="18.28515625" bestFit="1" customWidth="1"/>
    <col min="345" max="345" width="19" bestFit="1" customWidth="1"/>
    <col min="346" max="346" width="22.42578125" bestFit="1" customWidth="1"/>
    <col min="348" max="348" width="9.28515625" bestFit="1" customWidth="1"/>
    <col min="349" max="349" width="8.140625" bestFit="1" customWidth="1"/>
    <col min="350" max="350" width="9.140625" bestFit="1" customWidth="1"/>
    <col min="351" max="351" width="20.28515625" bestFit="1" customWidth="1"/>
    <col min="352" max="352" width="13.42578125" bestFit="1" customWidth="1"/>
    <col min="353" max="353" width="17.140625" bestFit="1" customWidth="1"/>
    <col min="354" max="354" width="14" bestFit="1" customWidth="1"/>
    <col min="355" max="355" width="22.85546875" bestFit="1" customWidth="1"/>
    <col min="356" max="356" width="20.28515625" bestFit="1" customWidth="1"/>
    <col min="357" max="357" width="23.85546875" bestFit="1" customWidth="1"/>
    <col min="358" max="358" width="19.5703125" bestFit="1" customWidth="1"/>
    <col min="359" max="359" width="24.140625" bestFit="1" customWidth="1"/>
    <col min="360" max="360" width="18.28515625" bestFit="1" customWidth="1"/>
    <col min="361" max="361" width="19" bestFit="1" customWidth="1"/>
    <col min="362" max="362" width="22.42578125" bestFit="1" customWidth="1"/>
    <col min="364" max="364" width="9.28515625" bestFit="1" customWidth="1"/>
    <col min="365" max="365" width="8.140625" bestFit="1" customWidth="1"/>
    <col min="366" max="366" width="9.140625" bestFit="1" customWidth="1"/>
    <col min="367" max="367" width="20.28515625" bestFit="1" customWidth="1"/>
    <col min="368" max="368" width="13.42578125" bestFit="1" customWidth="1"/>
    <col min="369" max="369" width="17.140625" bestFit="1" customWidth="1"/>
    <col min="370" max="370" width="14" bestFit="1" customWidth="1"/>
    <col min="371" max="371" width="22.85546875" bestFit="1" customWidth="1"/>
    <col min="372" max="372" width="20.28515625" bestFit="1" customWidth="1"/>
    <col min="373" max="373" width="23.85546875" bestFit="1" customWidth="1"/>
    <col min="374" max="374" width="23.85546875" customWidth="1"/>
    <col min="375" max="375" width="19.5703125" bestFit="1" customWidth="1"/>
    <col min="376" max="376" width="24.140625" bestFit="1" customWidth="1"/>
    <col min="377" max="377" width="18.28515625" bestFit="1" customWidth="1"/>
    <col min="378" max="378" width="19" bestFit="1" customWidth="1"/>
    <col min="379" max="379" width="22.42578125" bestFit="1" customWidth="1"/>
    <col min="381" max="381" width="9.28515625" bestFit="1" customWidth="1"/>
    <col min="382" max="382" width="8.140625" bestFit="1" customWidth="1"/>
    <col min="383" max="383" width="9.140625" bestFit="1" customWidth="1"/>
    <col min="384" max="384" width="20.28515625" bestFit="1" customWidth="1"/>
    <col min="385" max="385" width="13.42578125" bestFit="1" customWidth="1"/>
    <col min="386" max="386" width="17.140625" bestFit="1" customWidth="1"/>
    <col min="387" max="387" width="14" bestFit="1" customWidth="1"/>
    <col min="388" max="388" width="22.85546875" bestFit="1" customWidth="1"/>
    <col min="389" max="389" width="20.28515625" bestFit="1" customWidth="1"/>
    <col min="390" max="390" width="23.85546875" bestFit="1" customWidth="1"/>
    <col min="391" max="391" width="23.85546875" customWidth="1"/>
    <col min="392" max="392" width="19.5703125" bestFit="1" customWidth="1"/>
    <col min="393" max="393" width="24.140625" bestFit="1" customWidth="1"/>
    <col min="394" max="394" width="18.28515625" bestFit="1" customWidth="1"/>
    <col min="395" max="395" width="19" bestFit="1" customWidth="1"/>
    <col min="396" max="396" width="22.42578125" bestFit="1" customWidth="1"/>
    <col min="398" max="398" width="9.28515625" bestFit="1" customWidth="1"/>
    <col min="399" max="399" width="8.140625" bestFit="1" customWidth="1"/>
    <col min="400" max="400" width="9.140625" bestFit="1" customWidth="1"/>
    <col min="401" max="401" width="20.28515625" bestFit="1" customWidth="1"/>
    <col min="402" max="402" width="13.42578125" bestFit="1" customWidth="1"/>
    <col min="403" max="403" width="17.140625" bestFit="1" customWidth="1"/>
    <col min="404" max="404" width="14" bestFit="1" customWidth="1"/>
    <col min="405" max="405" width="22.85546875" bestFit="1" customWidth="1"/>
    <col min="406" max="406" width="20.28515625" bestFit="1" customWidth="1"/>
    <col min="407" max="407" width="23.85546875" bestFit="1" customWidth="1"/>
    <col min="408" max="408" width="19.5703125" bestFit="1" customWidth="1"/>
    <col min="409" max="409" width="24.140625" bestFit="1" customWidth="1"/>
    <col min="410" max="410" width="18.28515625" bestFit="1" customWidth="1"/>
    <col min="411" max="411" width="19" bestFit="1" customWidth="1"/>
    <col min="412" max="412" width="22.42578125" bestFit="1" customWidth="1"/>
    <col min="414" max="414" width="9.28515625" bestFit="1" customWidth="1"/>
    <col min="415" max="415" width="8.140625" bestFit="1" customWidth="1"/>
    <col min="416" max="416" width="9.140625" bestFit="1" customWidth="1"/>
    <col min="417" max="417" width="20.28515625" bestFit="1" customWidth="1"/>
    <col min="418" max="418" width="13.42578125" bestFit="1" customWidth="1"/>
    <col min="419" max="419" width="17.140625" bestFit="1" customWidth="1"/>
    <col min="420" max="420" width="14" bestFit="1" customWidth="1"/>
    <col min="421" max="421" width="22.85546875" bestFit="1" customWidth="1"/>
    <col min="422" max="422" width="20.28515625" bestFit="1" customWidth="1"/>
    <col min="423" max="423" width="23.85546875" bestFit="1" customWidth="1"/>
    <col min="424" max="424" width="23.85546875" customWidth="1"/>
    <col min="425" max="425" width="19.5703125" bestFit="1" customWidth="1"/>
    <col min="426" max="426" width="24.140625" bestFit="1" customWidth="1"/>
    <col min="427" max="427" width="18.28515625" bestFit="1" customWidth="1"/>
    <col min="428" max="428" width="19" bestFit="1" customWidth="1"/>
    <col min="429" max="429" width="22.42578125" bestFit="1" customWidth="1"/>
    <col min="431" max="431" width="15.42578125" bestFit="1" customWidth="1"/>
    <col min="432" max="432" width="8.140625" bestFit="1" customWidth="1"/>
    <col min="433" max="433" width="9.140625" bestFit="1" customWidth="1"/>
    <col min="434" max="434" width="20.28515625" bestFit="1" customWidth="1"/>
    <col min="435" max="435" width="13.42578125" bestFit="1" customWidth="1"/>
    <col min="436" max="436" width="17.140625" bestFit="1" customWidth="1"/>
    <col min="437" max="437" width="14" bestFit="1" customWidth="1"/>
    <col min="438" max="438" width="22.85546875" bestFit="1" customWidth="1"/>
    <col min="439" max="439" width="20.28515625" bestFit="1" customWidth="1"/>
    <col min="440" max="440" width="23.85546875" bestFit="1" customWidth="1"/>
    <col min="441" max="441" width="19.5703125" bestFit="1" customWidth="1"/>
    <col min="442" max="442" width="24.140625" bestFit="1" customWidth="1"/>
    <col min="443" max="443" width="18.28515625" bestFit="1" customWidth="1"/>
    <col min="444" max="444" width="19" bestFit="1" customWidth="1"/>
    <col min="445" max="445" width="22.42578125" bestFit="1" customWidth="1"/>
    <col min="447" max="447" width="17.140625" bestFit="1" customWidth="1"/>
    <col min="448" max="448" width="8.140625" bestFit="1" customWidth="1"/>
    <col min="449" max="449" width="9.140625" bestFit="1" customWidth="1"/>
    <col min="450" max="450" width="20.28515625" bestFit="1" customWidth="1"/>
    <col min="451" max="451" width="13.42578125" customWidth="1"/>
    <col min="452" max="452" width="17.140625" bestFit="1" customWidth="1"/>
    <col min="453" max="453" width="14" bestFit="1" customWidth="1"/>
    <col min="454" max="454" width="22.85546875" bestFit="1" customWidth="1"/>
    <col min="455" max="455" width="20.28515625" bestFit="1" customWidth="1"/>
    <col min="456" max="456" width="23.85546875" bestFit="1" customWidth="1"/>
    <col min="457" max="457" width="19.5703125" bestFit="1" customWidth="1"/>
    <col min="458" max="458" width="24.140625" bestFit="1" customWidth="1"/>
    <col min="459" max="459" width="18.28515625" bestFit="1" customWidth="1"/>
    <col min="460" max="460" width="19" bestFit="1" customWidth="1"/>
    <col min="461" max="461" width="22.42578125" bestFit="1" customWidth="1"/>
  </cols>
  <sheetData>
    <row r="2" spans="1:19" ht="13.9">
      <c r="A2" s="440" t="s">
        <v>381</v>
      </c>
      <c r="B2" s="440" t="s">
        <v>382</v>
      </c>
      <c r="C2" s="354"/>
      <c r="D2" s="354"/>
      <c r="E2" s="354"/>
      <c r="F2" s="354"/>
      <c r="G2" s="354"/>
      <c r="H2" s="354"/>
      <c r="I2" s="354"/>
      <c r="J2" s="354"/>
      <c r="K2" s="354"/>
      <c r="L2" s="453"/>
      <c r="M2" s="354"/>
      <c r="N2" s="354"/>
      <c r="O2" s="354"/>
      <c r="P2" s="354"/>
      <c r="Q2" s="354"/>
      <c r="R2" s="354"/>
      <c r="S2" s="453"/>
    </row>
    <row r="3" spans="1:19" ht="14.25" customHeight="1">
      <c r="A3" s="578" t="s">
        <v>383</v>
      </c>
      <c r="B3" s="589"/>
      <c r="C3" s="2148" t="s">
        <v>384</v>
      </c>
      <c r="D3" s="354"/>
      <c r="E3" s="354"/>
      <c r="F3" s="354"/>
      <c r="G3" s="354"/>
      <c r="H3" s="1134" t="s">
        <v>79</v>
      </c>
      <c r="I3" s="1135"/>
      <c r="J3" s="1135">
        <f>+'Summary Total Pigs'!AE36</f>
        <v>0</v>
      </c>
      <c r="K3" s="354">
        <f>+I3-J3</f>
        <v>0</v>
      </c>
      <c r="L3" s="354"/>
      <c r="M3" s="354"/>
      <c r="N3" s="354"/>
      <c r="O3" s="354"/>
      <c r="P3" s="354"/>
      <c r="Q3" s="354"/>
      <c r="R3" s="354"/>
      <c r="S3" s="354"/>
    </row>
    <row r="4" spans="1:19" ht="14.25" customHeight="1">
      <c r="A4" s="578" t="s">
        <v>385</v>
      </c>
      <c r="B4" s="589"/>
      <c r="C4" s="2149"/>
      <c r="D4" s="354"/>
      <c r="E4" s="354"/>
      <c r="F4" s="354"/>
      <c r="G4" s="354"/>
      <c r="H4" s="1134" t="s">
        <v>55</v>
      </c>
      <c r="I4" s="1135"/>
      <c r="J4" s="1135">
        <f>+'Summary Total Pigs'!AE35</f>
        <v>0</v>
      </c>
      <c r="K4" s="354">
        <f>+I4-J4</f>
        <v>0</v>
      </c>
      <c r="L4" s="357"/>
      <c r="M4" s="354"/>
      <c r="N4" s="354"/>
      <c r="O4" s="354"/>
      <c r="P4" s="354"/>
      <c r="Q4" s="354"/>
      <c r="R4" s="354"/>
      <c r="S4" s="357"/>
    </row>
    <row r="5" spans="1:19" ht="14.25" customHeight="1">
      <c r="A5" s="578" t="s">
        <v>386</v>
      </c>
      <c r="B5" s="589"/>
      <c r="C5" s="2149"/>
      <c r="D5" s="354"/>
      <c r="E5" s="354"/>
      <c r="F5" s="354"/>
      <c r="G5" s="354"/>
      <c r="H5" s="1134" t="s">
        <v>50</v>
      </c>
      <c r="I5" s="1135"/>
      <c r="J5" s="1135">
        <f>+'Summary Total Pigs'!AE34</f>
        <v>0</v>
      </c>
      <c r="K5" s="354">
        <f>+I5-J5</f>
        <v>0</v>
      </c>
      <c r="L5" s="354"/>
      <c r="M5" s="354"/>
      <c r="N5" s="354"/>
      <c r="O5" s="354"/>
      <c r="P5" s="354"/>
      <c r="Q5" s="354"/>
      <c r="R5" s="354"/>
      <c r="S5" s="354"/>
    </row>
    <row r="6" spans="1:19" ht="14.25" customHeight="1">
      <c r="A6" s="578" t="s">
        <v>387</v>
      </c>
      <c r="B6" s="589"/>
      <c r="C6" s="2150"/>
      <c r="D6" s="354">
        <f>SUM(B3:B6)</f>
        <v>0</v>
      </c>
      <c r="E6" s="354">
        <f>+'Summary Total Pigs'!AF31</f>
        <v>0</v>
      </c>
      <c r="F6" s="580">
        <f>+D6-E6</f>
        <v>0</v>
      </c>
      <c r="G6" s="357" t="s">
        <v>390</v>
      </c>
      <c r="H6" s="1134" t="s">
        <v>71</v>
      </c>
      <c r="I6" s="1135"/>
      <c r="J6" s="1135">
        <f>SUM(J3:J5)</f>
        <v>0</v>
      </c>
      <c r="K6" s="580">
        <f>SUM(K3:K5)</f>
        <v>0</v>
      </c>
      <c r="L6" s="354" t="s">
        <v>207</v>
      </c>
      <c r="M6" s="354"/>
      <c r="N6" s="354"/>
      <c r="O6" s="354"/>
      <c r="P6" s="354"/>
      <c r="Q6" s="354"/>
      <c r="R6" s="354"/>
      <c r="S6" s="354"/>
    </row>
    <row r="7" spans="1:19" ht="14.25" customHeight="1">
      <c r="A7" s="1136" t="s">
        <v>388</v>
      </c>
      <c r="B7" s="1136">
        <v>401</v>
      </c>
      <c r="C7" s="2151" t="s">
        <v>389</v>
      </c>
      <c r="D7" s="354"/>
      <c r="E7" s="354"/>
      <c r="F7" s="354"/>
      <c r="G7" s="354"/>
      <c r="H7" s="354"/>
      <c r="I7" s="354"/>
      <c r="J7" s="354"/>
      <c r="K7" s="357"/>
      <c r="L7" s="354"/>
      <c r="M7" s="354"/>
      <c r="N7" s="354"/>
      <c r="O7" s="354"/>
      <c r="P7" s="357"/>
      <c r="Q7" s="354"/>
      <c r="R7" s="354"/>
      <c r="S7" s="357"/>
    </row>
    <row r="8" spans="1:19" ht="14.25" customHeight="1">
      <c r="A8" s="1136" t="s">
        <v>391</v>
      </c>
      <c r="B8" s="1136">
        <v>420</v>
      </c>
      <c r="C8" s="2152"/>
      <c r="D8" s="354"/>
      <c r="E8" s="354"/>
      <c r="F8" s="354"/>
      <c r="G8" s="354"/>
      <c r="H8" s="354"/>
      <c r="I8" s="354"/>
      <c r="J8" s="354"/>
      <c r="K8" s="354"/>
      <c r="L8" s="354"/>
      <c r="M8" s="354"/>
      <c r="N8" s="354"/>
      <c r="O8" s="354"/>
      <c r="P8" s="354"/>
      <c r="Q8" s="354"/>
      <c r="R8" s="354"/>
      <c r="S8" s="354"/>
    </row>
    <row r="9" spans="1:19" ht="14.25" customHeight="1">
      <c r="A9" s="1136" t="s">
        <v>392</v>
      </c>
      <c r="B9" s="1136">
        <v>339</v>
      </c>
      <c r="C9" s="2152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</row>
    <row r="10" spans="1:19" ht="14.25" customHeight="1">
      <c r="A10" s="1136" t="s">
        <v>393</v>
      </c>
      <c r="B10" s="1136">
        <v>340</v>
      </c>
      <c r="C10" s="2152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</row>
    <row r="11" spans="1:19" ht="14.25" customHeight="1">
      <c r="A11" s="1136" t="s">
        <v>394</v>
      </c>
      <c r="B11" s="1136">
        <v>422</v>
      </c>
      <c r="C11" s="2152"/>
      <c r="D11" s="354">
        <f>SUM(B7:B12)</f>
        <v>2278</v>
      </c>
      <c r="E11" s="354">
        <f>+'Summary Total Pigs'!AF32</f>
        <v>2278</v>
      </c>
      <c r="F11" s="580">
        <f>+D11-E11</f>
        <v>0</v>
      </c>
      <c r="G11" s="357" t="s">
        <v>390</v>
      </c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</row>
    <row r="12" spans="1:19" ht="14.25" customHeight="1">
      <c r="A12" s="1136" t="s">
        <v>395</v>
      </c>
      <c r="B12" s="1136">
        <v>356</v>
      </c>
      <c r="C12" s="2153"/>
      <c r="D12" s="354"/>
      <c r="E12" s="354"/>
      <c r="F12" s="357"/>
      <c r="G12" s="354"/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</row>
    <row r="13" spans="1:19" ht="14.25" customHeight="1">
      <c r="A13" s="579" t="s">
        <v>396</v>
      </c>
      <c r="B13" s="579">
        <v>342</v>
      </c>
      <c r="C13" s="2154" t="s">
        <v>397</v>
      </c>
      <c r="D13" s="354"/>
      <c r="E13" s="354"/>
      <c r="F13" s="357"/>
      <c r="G13" s="354"/>
      <c r="H13" s="354"/>
      <c r="I13" s="354"/>
      <c r="J13" s="354"/>
      <c r="K13" s="354"/>
      <c r="L13" s="357"/>
      <c r="M13" s="354"/>
      <c r="N13" s="354"/>
      <c r="O13" s="354"/>
      <c r="P13" s="354"/>
      <c r="Q13" s="357"/>
      <c r="R13" s="354"/>
      <c r="S13" s="354"/>
    </row>
    <row r="14" spans="1:19" ht="14.25" customHeight="1">
      <c r="A14" s="579" t="s">
        <v>398</v>
      </c>
      <c r="B14" s="579">
        <v>398</v>
      </c>
      <c r="C14" s="2155"/>
      <c r="D14" s="354"/>
      <c r="E14" s="354"/>
      <c r="F14" s="354"/>
      <c r="G14" s="354"/>
      <c r="H14" s="354"/>
      <c r="I14" s="354"/>
      <c r="J14" s="354"/>
      <c r="K14" s="354"/>
      <c r="L14" s="357"/>
      <c r="M14" s="354"/>
      <c r="N14" s="354"/>
      <c r="O14" s="354"/>
      <c r="P14" s="354"/>
      <c r="Q14" s="357"/>
      <c r="R14" s="354"/>
      <c r="S14" s="354"/>
    </row>
    <row r="15" spans="1:19" ht="14.25" customHeight="1">
      <c r="A15" s="579" t="s">
        <v>399</v>
      </c>
      <c r="B15" s="579">
        <v>409</v>
      </c>
      <c r="C15" s="2155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</row>
    <row r="16" spans="1:19" ht="14.25" customHeight="1">
      <c r="A16" s="579" t="s">
        <v>400</v>
      </c>
      <c r="B16" s="579">
        <v>350</v>
      </c>
      <c r="C16" s="2155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</row>
    <row r="17" spans="1:19" ht="14.25" customHeight="1">
      <c r="A17" s="579" t="s">
        <v>401</v>
      </c>
      <c r="B17" s="579">
        <v>407</v>
      </c>
      <c r="C17" s="2155"/>
      <c r="D17" s="354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</row>
    <row r="18" spans="1:19" ht="14.25" customHeight="1">
      <c r="A18" s="579" t="s">
        <v>402</v>
      </c>
      <c r="B18" s="579">
        <v>407</v>
      </c>
      <c r="C18" s="2155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</row>
    <row r="19" spans="1:19" ht="14.25" customHeight="1">
      <c r="A19" s="579" t="s">
        <v>403</v>
      </c>
      <c r="B19" s="579">
        <v>418</v>
      </c>
      <c r="C19" s="2155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</row>
    <row r="20" spans="1:19" ht="14.25" customHeight="1">
      <c r="A20" s="579" t="s">
        <v>404</v>
      </c>
      <c r="B20" s="579">
        <v>414</v>
      </c>
      <c r="C20" s="2155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</row>
    <row r="21" spans="1:19" ht="14.25" customHeight="1">
      <c r="A21" s="579" t="s">
        <v>405</v>
      </c>
      <c r="B21" s="579">
        <v>399</v>
      </c>
      <c r="C21" s="2155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</row>
    <row r="22" spans="1:19" ht="14.25" customHeight="1">
      <c r="A22" s="579" t="s">
        <v>406</v>
      </c>
      <c r="B22" s="579">
        <v>327</v>
      </c>
      <c r="C22" s="2155"/>
      <c r="D22" s="354"/>
      <c r="E22" s="354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</row>
    <row r="23" spans="1:19" ht="14.25" customHeight="1">
      <c r="A23" s="579" t="s">
        <v>407</v>
      </c>
      <c r="B23" s="1804">
        <v>324</v>
      </c>
      <c r="C23" s="2155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</row>
    <row r="24" spans="1:19" ht="14.25" customHeight="1">
      <c r="A24" s="579" t="s">
        <v>408</v>
      </c>
      <c r="B24" s="579">
        <v>407</v>
      </c>
      <c r="C24" s="2155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</row>
    <row r="25" spans="1:19" ht="14.25" customHeight="1">
      <c r="A25" s="579" t="s">
        <v>409</v>
      </c>
      <c r="B25" s="579">
        <f>361+22</f>
        <v>383</v>
      </c>
      <c r="C25" s="2155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</row>
    <row r="26" spans="1:19" ht="14.25" customHeight="1">
      <c r="A26" s="579" t="s">
        <v>410</v>
      </c>
      <c r="B26" s="579"/>
      <c r="C26" s="2155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</row>
    <row r="27" spans="1:19" ht="14.25" customHeight="1">
      <c r="A27" s="579" t="s">
        <v>411</v>
      </c>
      <c r="B27" s="579"/>
      <c r="C27" s="2155"/>
      <c r="D27" s="354">
        <f>SUM(B13:B28)</f>
        <v>4985</v>
      </c>
      <c r="E27" s="354">
        <f>+'Summary Total Pigs'!AF33</f>
        <v>4985</v>
      </c>
      <c r="F27" s="580">
        <f>+D27-E27</f>
        <v>0</v>
      </c>
      <c r="G27" s="357" t="s">
        <v>390</v>
      </c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</row>
    <row r="28" spans="1:19" ht="14.25" customHeight="1">
      <c r="A28" s="1629" t="s">
        <v>412</v>
      </c>
      <c r="B28" s="579"/>
      <c r="C28" s="2156"/>
      <c r="D28" s="354"/>
      <c r="E28" s="354"/>
      <c r="F28" s="354"/>
      <c r="G28" s="354"/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</row>
  </sheetData>
  <mergeCells count="3">
    <mergeCell ref="C3:C6"/>
    <mergeCell ref="C7:C12"/>
    <mergeCell ref="C13:C28"/>
  </mergeCells>
  <pageMargins left="0.7" right="0.7" top="0.75" bottom="0.75" header="0.3" footer="0.3"/>
  <pageSetup scale="4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FFFF00"/>
  </sheetPr>
  <dimension ref="A3:S33"/>
  <sheetViews>
    <sheetView view="pageBreakPreview" zoomScale="60" zoomScaleNormal="100" workbookViewId="0">
      <pane xSplit="2" ySplit="1" topLeftCell="C2" activePane="bottomRight" state="frozen"/>
      <selection pane="bottomRight" activeCell="B26" sqref="B26"/>
      <selection pane="bottomLeft" activeCell="A5" sqref="A5"/>
      <selection pane="topRight" activeCell="C1" sqref="C1"/>
    </sheetView>
  </sheetViews>
  <sheetFormatPr defaultRowHeight="13.15"/>
  <cols>
    <col min="1" max="1" width="18.85546875" bestFit="1" customWidth="1"/>
    <col min="2" max="2" width="17.85546875" bestFit="1" customWidth="1"/>
    <col min="3" max="3" width="12.28515625" bestFit="1" customWidth="1"/>
    <col min="4" max="4" width="8" bestFit="1" customWidth="1"/>
    <col min="5" max="5" width="9.42578125" bestFit="1" customWidth="1"/>
    <col min="6" max="6" width="14.85546875" bestFit="1" customWidth="1"/>
    <col min="7" max="7" width="10.5703125" bestFit="1" customWidth="1"/>
    <col min="8" max="8" width="14.42578125" bestFit="1" customWidth="1"/>
    <col min="9" max="9" width="14.7109375" bestFit="1" customWidth="1"/>
    <col min="10" max="10" width="14.140625" bestFit="1" customWidth="1"/>
    <col min="11" max="12" width="14" bestFit="1" customWidth="1"/>
    <col min="13" max="13" width="26.28515625" bestFit="1" customWidth="1"/>
    <col min="14" max="14" width="14" bestFit="1" customWidth="1"/>
    <col min="15" max="15" width="18" bestFit="1" customWidth="1"/>
    <col min="17" max="17" width="7.5703125" bestFit="1" customWidth="1"/>
    <col min="18" max="18" width="8" bestFit="1" customWidth="1"/>
    <col min="19" max="19" width="9.42578125" bestFit="1" customWidth="1"/>
    <col min="20" max="20" width="14.85546875" bestFit="1" customWidth="1"/>
    <col min="21" max="21" width="10.5703125" bestFit="1" customWidth="1"/>
    <col min="22" max="22" width="14.42578125" bestFit="1" customWidth="1"/>
    <col min="23" max="23" width="14.7109375" bestFit="1" customWidth="1"/>
    <col min="24" max="24" width="14.140625" bestFit="1" customWidth="1"/>
    <col min="25" max="28" width="14" bestFit="1" customWidth="1"/>
    <col min="29" max="29" width="18" bestFit="1" customWidth="1"/>
    <col min="31" max="31" width="7.5703125" bestFit="1" customWidth="1"/>
    <col min="32" max="32" width="8" bestFit="1" customWidth="1"/>
    <col min="33" max="33" width="9.42578125" bestFit="1" customWidth="1"/>
    <col min="34" max="34" width="14.85546875" bestFit="1" customWidth="1"/>
    <col min="35" max="35" width="10.5703125" bestFit="1" customWidth="1"/>
    <col min="36" max="36" width="14.42578125" bestFit="1" customWidth="1"/>
    <col min="37" max="37" width="14.7109375" bestFit="1" customWidth="1"/>
    <col min="38" max="38" width="14.140625" bestFit="1" customWidth="1"/>
    <col min="39" max="42" width="14" bestFit="1" customWidth="1"/>
    <col min="43" max="43" width="18" bestFit="1" customWidth="1"/>
    <col min="45" max="45" width="7.5703125" bestFit="1" customWidth="1"/>
    <col min="46" max="46" width="8" bestFit="1" customWidth="1"/>
    <col min="47" max="47" width="9.42578125" bestFit="1" customWidth="1"/>
    <col min="48" max="48" width="14.85546875" bestFit="1" customWidth="1"/>
    <col min="49" max="49" width="10.5703125" bestFit="1" customWidth="1"/>
    <col min="50" max="50" width="14.42578125" bestFit="1" customWidth="1"/>
    <col min="51" max="51" width="14.7109375" bestFit="1" customWidth="1"/>
    <col min="52" max="52" width="14.140625" bestFit="1" customWidth="1"/>
    <col min="53" max="56" width="14" bestFit="1" customWidth="1"/>
    <col min="57" max="57" width="18" bestFit="1" customWidth="1"/>
    <col min="59" max="59" width="7.5703125" bestFit="1" customWidth="1"/>
    <col min="60" max="60" width="8" bestFit="1" customWidth="1"/>
    <col min="61" max="61" width="9.42578125" bestFit="1" customWidth="1"/>
    <col min="62" max="62" width="14.85546875" bestFit="1" customWidth="1"/>
    <col min="63" max="63" width="10.5703125" bestFit="1" customWidth="1"/>
    <col min="64" max="64" width="14.42578125" bestFit="1" customWidth="1"/>
    <col min="65" max="65" width="14.7109375" bestFit="1" customWidth="1"/>
    <col min="66" max="66" width="14.140625" bestFit="1" customWidth="1"/>
    <col min="67" max="70" width="14" bestFit="1" customWidth="1"/>
    <col min="71" max="71" width="18" bestFit="1" customWidth="1"/>
    <col min="73" max="73" width="7.7109375" bestFit="1" customWidth="1"/>
    <col min="74" max="74" width="8" bestFit="1" customWidth="1"/>
    <col min="75" max="75" width="9" bestFit="1" customWidth="1"/>
    <col min="76" max="76" width="12.28515625" bestFit="1" customWidth="1"/>
    <col min="77" max="77" width="13.28515625" bestFit="1" customWidth="1"/>
    <col min="78" max="78" width="16.85546875" bestFit="1" customWidth="1"/>
    <col min="79" max="80" width="13.7109375" bestFit="1" customWidth="1"/>
    <col min="81" max="81" width="19.85546875" bestFit="1" customWidth="1"/>
    <col min="82" max="82" width="23.42578125" bestFit="1" customWidth="1"/>
    <col min="83" max="83" width="18.7109375" bestFit="1" customWidth="1"/>
    <col min="84" max="85" width="14.7109375" bestFit="1" customWidth="1"/>
    <col min="86" max="86" width="14.85546875" bestFit="1" customWidth="1"/>
    <col min="87" max="87" width="13" bestFit="1" customWidth="1"/>
    <col min="89" max="89" width="8.28515625" bestFit="1" customWidth="1"/>
    <col min="90" max="90" width="8" bestFit="1" customWidth="1"/>
    <col min="91" max="91" width="9.7109375" bestFit="1" customWidth="1"/>
    <col min="92" max="92" width="12.28515625" bestFit="1" customWidth="1"/>
    <col min="93" max="93" width="13.28515625" bestFit="1" customWidth="1"/>
    <col min="94" max="94" width="16.85546875" bestFit="1" customWidth="1"/>
    <col min="95" max="96" width="13.7109375" bestFit="1" customWidth="1"/>
    <col min="97" max="97" width="19.85546875" bestFit="1" customWidth="1"/>
    <col min="98" max="98" width="23.42578125" bestFit="1" customWidth="1"/>
    <col min="99" max="100" width="13.7109375" bestFit="1" customWidth="1"/>
    <col min="101" max="101" width="14.140625" bestFit="1" customWidth="1"/>
    <col min="102" max="102" width="13.42578125" bestFit="1" customWidth="1"/>
    <col min="103" max="103" width="13" bestFit="1" customWidth="1"/>
    <col min="105" max="105" width="8.28515625" bestFit="1" customWidth="1"/>
    <col min="106" max="106" width="8" bestFit="1" customWidth="1"/>
    <col min="107" max="107" width="9.7109375" bestFit="1" customWidth="1"/>
    <col min="108" max="108" width="11.5703125" bestFit="1" customWidth="1"/>
    <col min="109" max="109" width="13.28515625" bestFit="1" customWidth="1"/>
    <col min="110" max="110" width="16.85546875" bestFit="1" customWidth="1"/>
    <col min="111" max="112" width="13.7109375" bestFit="1" customWidth="1"/>
    <col min="113" max="113" width="19.85546875" bestFit="1" customWidth="1"/>
    <col min="114" max="114" width="23.42578125" bestFit="1" customWidth="1"/>
    <col min="115" max="115" width="18.7109375" bestFit="1" customWidth="1"/>
    <col min="116" max="116" width="22.7109375" bestFit="1" customWidth="1"/>
    <col min="117" max="117" width="18" bestFit="1" customWidth="1"/>
    <col min="118" max="118" width="13.42578125" bestFit="1" customWidth="1"/>
    <col min="119" max="119" width="13" bestFit="1" customWidth="1"/>
    <col min="121" max="121" width="8.28515625" bestFit="1" customWidth="1"/>
    <col min="122" max="122" width="8" bestFit="1" customWidth="1"/>
    <col min="123" max="123" width="9.7109375" bestFit="1" customWidth="1"/>
    <col min="124" max="124" width="11.85546875" bestFit="1" customWidth="1"/>
    <col min="125" max="125" width="13.28515625" bestFit="1" customWidth="1"/>
    <col min="126" max="126" width="16.85546875" bestFit="1" customWidth="1"/>
    <col min="127" max="128" width="13.7109375" bestFit="1" customWidth="1"/>
    <col min="129" max="129" width="19.85546875" bestFit="1" customWidth="1"/>
    <col min="130" max="130" width="23.42578125" bestFit="1" customWidth="1"/>
    <col min="131" max="132" width="13.7109375" bestFit="1" customWidth="1"/>
    <col min="133" max="133" width="14.140625" bestFit="1" customWidth="1"/>
    <col min="134" max="134" width="13.42578125" bestFit="1" customWidth="1"/>
    <col min="135" max="135" width="13" bestFit="1" customWidth="1"/>
    <col min="137" max="137" width="8.28515625" bestFit="1" customWidth="1"/>
    <col min="138" max="138" width="8" bestFit="1" customWidth="1"/>
    <col min="139" max="139" width="11.140625" bestFit="1" customWidth="1"/>
    <col min="140" max="140" width="11.85546875" bestFit="1" customWidth="1"/>
    <col min="141" max="141" width="13.28515625" bestFit="1" customWidth="1"/>
    <col min="142" max="142" width="16.85546875" bestFit="1" customWidth="1"/>
    <col min="143" max="144" width="13.7109375" bestFit="1" customWidth="1"/>
    <col min="145" max="145" width="19.85546875" bestFit="1" customWidth="1"/>
    <col min="146" max="146" width="23.42578125" bestFit="1" customWidth="1"/>
    <col min="147" max="148" width="13.7109375" bestFit="1" customWidth="1"/>
    <col min="149" max="149" width="14.140625" bestFit="1" customWidth="1"/>
    <col min="150" max="150" width="13.42578125" bestFit="1" customWidth="1"/>
    <col min="151" max="151" width="13" bestFit="1" customWidth="1"/>
    <col min="153" max="153" width="7.7109375" bestFit="1" customWidth="1"/>
    <col min="154" max="154" width="8" bestFit="1" customWidth="1"/>
    <col min="155" max="155" width="9.7109375" bestFit="1" customWidth="1"/>
    <col min="156" max="156" width="11.85546875" bestFit="1" customWidth="1"/>
    <col min="157" max="157" width="13.28515625" bestFit="1" customWidth="1"/>
    <col min="158" max="158" width="16.85546875" bestFit="1" customWidth="1"/>
    <col min="159" max="160" width="13.7109375" bestFit="1" customWidth="1"/>
    <col min="161" max="161" width="19.85546875" bestFit="1" customWidth="1"/>
    <col min="162" max="162" width="23.42578125" bestFit="1" customWidth="1"/>
    <col min="163" max="163" width="13.7109375" bestFit="1" customWidth="1"/>
    <col min="164" max="165" width="14.140625" bestFit="1" customWidth="1"/>
    <col min="166" max="167" width="13" bestFit="1" customWidth="1"/>
    <col min="169" max="169" width="7.7109375" bestFit="1" customWidth="1"/>
    <col min="170" max="170" width="8" bestFit="1" customWidth="1"/>
    <col min="171" max="171" width="9.7109375" bestFit="1" customWidth="1"/>
    <col min="172" max="172" width="12.5703125" bestFit="1" customWidth="1"/>
    <col min="173" max="173" width="13.28515625" bestFit="1" customWidth="1"/>
    <col min="174" max="174" width="16.85546875" bestFit="1" customWidth="1"/>
    <col min="175" max="176" width="13.7109375" bestFit="1" customWidth="1"/>
    <col min="177" max="177" width="19.85546875" bestFit="1" customWidth="1"/>
    <col min="178" max="178" width="23.42578125" bestFit="1" customWidth="1"/>
    <col min="179" max="179" width="13.7109375" bestFit="1" customWidth="1"/>
    <col min="180" max="181" width="14.140625" bestFit="1" customWidth="1"/>
    <col min="182" max="183" width="13" bestFit="1" customWidth="1"/>
    <col min="185" max="185" width="7.7109375" bestFit="1" customWidth="1"/>
    <col min="186" max="186" width="8" bestFit="1" customWidth="1"/>
    <col min="187" max="187" width="9.7109375" bestFit="1" customWidth="1"/>
    <col min="188" max="188" width="11.85546875" bestFit="1" customWidth="1"/>
    <col min="189" max="189" width="13.28515625" bestFit="1" customWidth="1"/>
    <col min="190" max="190" width="16.85546875" bestFit="1" customWidth="1"/>
    <col min="191" max="192" width="13.7109375" bestFit="1" customWidth="1"/>
    <col min="193" max="193" width="19.85546875" bestFit="1" customWidth="1"/>
    <col min="194" max="194" width="23.42578125" bestFit="1" customWidth="1"/>
    <col min="195" max="195" width="13.7109375" bestFit="1" customWidth="1"/>
    <col min="196" max="197" width="14.140625" bestFit="1" customWidth="1"/>
    <col min="198" max="199" width="13" bestFit="1" customWidth="1"/>
    <col min="201" max="201" width="7.7109375" bestFit="1" customWidth="1"/>
    <col min="202" max="202" width="8" bestFit="1" customWidth="1"/>
    <col min="203" max="203" width="9.7109375" bestFit="1" customWidth="1"/>
    <col min="204" max="204" width="11.85546875" bestFit="1" customWidth="1"/>
    <col min="205" max="205" width="13.28515625" bestFit="1" customWidth="1"/>
    <col min="206" max="206" width="16.85546875" bestFit="1" customWidth="1"/>
    <col min="207" max="208" width="13.7109375" bestFit="1" customWidth="1"/>
    <col min="209" max="209" width="19.85546875" bestFit="1" customWidth="1"/>
    <col min="210" max="210" width="23.42578125" bestFit="1" customWidth="1"/>
    <col min="211" max="211" width="13.7109375" bestFit="1" customWidth="1"/>
    <col min="212" max="213" width="14.140625" bestFit="1" customWidth="1"/>
    <col min="214" max="215" width="13" bestFit="1" customWidth="1"/>
    <col min="218" max="218" width="8" bestFit="1" customWidth="1"/>
    <col min="219" max="219" width="9.7109375" bestFit="1" customWidth="1"/>
    <col min="220" max="220" width="12.5703125" bestFit="1" customWidth="1"/>
    <col min="221" max="221" width="13.28515625" bestFit="1" customWidth="1"/>
    <col min="222" max="222" width="16.85546875" bestFit="1" customWidth="1"/>
    <col min="223" max="224" width="13.7109375" bestFit="1" customWidth="1"/>
    <col min="225" max="225" width="19.85546875" bestFit="1" customWidth="1"/>
    <col min="226" max="226" width="23.42578125" bestFit="1" customWidth="1"/>
    <col min="227" max="227" width="13.7109375" bestFit="1" customWidth="1"/>
    <col min="228" max="229" width="14.140625" bestFit="1" customWidth="1"/>
    <col min="230" max="231" width="13" bestFit="1" customWidth="1"/>
    <col min="234" max="234" width="8" bestFit="1" customWidth="1"/>
    <col min="235" max="235" width="9.7109375" bestFit="1" customWidth="1"/>
    <col min="236" max="236" width="12.5703125" bestFit="1" customWidth="1"/>
    <col min="237" max="237" width="13.28515625" bestFit="1" customWidth="1"/>
    <col min="238" max="238" width="16.85546875" bestFit="1" customWidth="1"/>
    <col min="239" max="240" width="13.7109375" bestFit="1" customWidth="1"/>
    <col min="241" max="241" width="19.85546875" bestFit="1" customWidth="1"/>
    <col min="242" max="242" width="23.42578125" bestFit="1" customWidth="1"/>
    <col min="243" max="243" width="13.7109375" bestFit="1" customWidth="1"/>
    <col min="244" max="245" width="14.140625" bestFit="1" customWidth="1"/>
    <col min="246" max="247" width="13" bestFit="1" customWidth="1"/>
    <col min="250" max="250" width="8" bestFit="1" customWidth="1"/>
    <col min="251" max="251" width="9.7109375" bestFit="1" customWidth="1"/>
    <col min="252" max="252" width="11.85546875" bestFit="1" customWidth="1"/>
    <col min="253" max="253" width="13.28515625" bestFit="1" customWidth="1"/>
    <col min="254" max="254" width="16.85546875" bestFit="1" customWidth="1"/>
    <col min="255" max="256" width="13.7109375" bestFit="1" customWidth="1"/>
    <col min="257" max="257" width="19.85546875" bestFit="1" customWidth="1"/>
    <col min="258" max="258" width="23.42578125" bestFit="1" customWidth="1"/>
    <col min="259" max="259" width="13.7109375" bestFit="1" customWidth="1"/>
    <col min="260" max="261" width="14.140625" bestFit="1" customWidth="1"/>
    <col min="262" max="263" width="13" bestFit="1" customWidth="1"/>
    <col min="264" max="264" width="3" bestFit="1" customWidth="1"/>
    <col min="266" max="266" width="8" bestFit="1" customWidth="1"/>
    <col min="267" max="267" width="9.7109375" bestFit="1" customWidth="1"/>
    <col min="268" max="268" width="12.5703125" bestFit="1" customWidth="1"/>
    <col min="269" max="269" width="13.28515625" bestFit="1" customWidth="1"/>
    <col min="270" max="270" width="16.85546875" bestFit="1" customWidth="1"/>
    <col min="271" max="272" width="13.7109375" bestFit="1" customWidth="1"/>
    <col min="273" max="273" width="19.85546875" bestFit="1" customWidth="1"/>
    <col min="274" max="274" width="23.42578125" bestFit="1" customWidth="1"/>
    <col min="275" max="275" width="13.7109375" bestFit="1" customWidth="1"/>
    <col min="276" max="277" width="14.140625" bestFit="1" customWidth="1"/>
    <col min="278" max="279" width="13" bestFit="1" customWidth="1"/>
    <col min="282" max="282" width="8" bestFit="1" customWidth="1"/>
    <col min="283" max="283" width="9.7109375" bestFit="1" customWidth="1"/>
    <col min="284" max="284" width="12.5703125" bestFit="1" customWidth="1"/>
    <col min="285" max="285" width="13.28515625" bestFit="1" customWidth="1"/>
    <col min="286" max="286" width="16.85546875" bestFit="1" customWidth="1"/>
    <col min="287" max="288" width="13.7109375" bestFit="1" customWidth="1"/>
    <col min="289" max="289" width="19.85546875" bestFit="1" customWidth="1"/>
    <col min="290" max="290" width="23.42578125" bestFit="1" customWidth="1"/>
    <col min="291" max="291" width="13.7109375" bestFit="1" customWidth="1"/>
    <col min="292" max="293" width="14.140625" bestFit="1" customWidth="1"/>
    <col min="294" max="295" width="13" bestFit="1" customWidth="1"/>
    <col min="298" max="298" width="8" bestFit="1" customWidth="1"/>
    <col min="299" max="299" width="9.7109375" bestFit="1" customWidth="1"/>
    <col min="300" max="300" width="12.5703125" bestFit="1" customWidth="1"/>
    <col min="301" max="301" width="13.28515625" bestFit="1" customWidth="1"/>
    <col min="302" max="302" width="16.85546875" bestFit="1" customWidth="1"/>
    <col min="303" max="304" width="13.7109375" bestFit="1" customWidth="1"/>
    <col min="305" max="305" width="19.85546875" bestFit="1" customWidth="1"/>
    <col min="306" max="306" width="23.42578125" bestFit="1" customWidth="1"/>
    <col min="307" max="307" width="13.7109375" bestFit="1" customWidth="1"/>
    <col min="308" max="309" width="14.140625" bestFit="1" customWidth="1"/>
    <col min="310" max="311" width="13" bestFit="1" customWidth="1"/>
    <col min="314" max="314" width="8" bestFit="1" customWidth="1"/>
    <col min="315" max="315" width="9.7109375" bestFit="1" customWidth="1"/>
    <col min="316" max="316" width="12.5703125" bestFit="1" customWidth="1"/>
    <col min="317" max="317" width="13.28515625" bestFit="1" customWidth="1"/>
    <col min="318" max="318" width="16.85546875" bestFit="1" customWidth="1"/>
    <col min="319" max="320" width="13.7109375" bestFit="1" customWidth="1"/>
    <col min="321" max="321" width="19.85546875" bestFit="1" customWidth="1"/>
    <col min="322" max="322" width="23.42578125" bestFit="1" customWidth="1"/>
    <col min="323" max="323" width="13.7109375" bestFit="1" customWidth="1"/>
    <col min="324" max="325" width="14.140625" bestFit="1" customWidth="1"/>
    <col min="326" max="327" width="13" bestFit="1" customWidth="1"/>
    <col min="330" max="330" width="8" bestFit="1" customWidth="1"/>
    <col min="331" max="331" width="9.7109375" bestFit="1" customWidth="1"/>
    <col min="332" max="332" width="12.5703125" bestFit="1" customWidth="1"/>
    <col min="333" max="333" width="13.28515625" bestFit="1" customWidth="1"/>
    <col min="334" max="334" width="16.85546875" bestFit="1" customWidth="1"/>
    <col min="335" max="336" width="13.7109375" bestFit="1" customWidth="1"/>
    <col min="337" max="337" width="19.85546875" bestFit="1" customWidth="1"/>
    <col min="338" max="338" width="23.42578125" bestFit="1" customWidth="1"/>
    <col min="339" max="339" width="13.7109375" bestFit="1" customWidth="1"/>
    <col min="340" max="341" width="14.140625" bestFit="1" customWidth="1"/>
    <col min="342" max="343" width="13" bestFit="1" customWidth="1"/>
    <col min="346" max="346" width="8" bestFit="1" customWidth="1"/>
    <col min="347" max="347" width="9.7109375" bestFit="1" customWidth="1"/>
    <col min="348" max="348" width="12.5703125" bestFit="1" customWidth="1"/>
    <col min="349" max="349" width="13.28515625" bestFit="1" customWidth="1"/>
    <col min="350" max="350" width="16.85546875" bestFit="1" customWidth="1"/>
    <col min="351" max="352" width="13.7109375" bestFit="1" customWidth="1"/>
    <col min="353" max="353" width="19.85546875" bestFit="1" customWidth="1"/>
    <col min="354" max="354" width="23.42578125" bestFit="1" customWidth="1"/>
    <col min="355" max="355" width="13.7109375" bestFit="1" customWidth="1"/>
    <col min="356" max="357" width="14.140625" bestFit="1" customWidth="1"/>
    <col min="358" max="359" width="13" bestFit="1" customWidth="1"/>
    <col min="362" max="362" width="8" bestFit="1" customWidth="1"/>
    <col min="363" max="363" width="9.7109375" bestFit="1" customWidth="1"/>
    <col min="364" max="364" width="12.5703125" bestFit="1" customWidth="1"/>
    <col min="365" max="365" width="13.28515625" bestFit="1" customWidth="1"/>
    <col min="366" max="366" width="16.85546875" bestFit="1" customWidth="1"/>
    <col min="367" max="368" width="13.7109375" bestFit="1" customWidth="1"/>
    <col min="369" max="369" width="19.85546875" bestFit="1" customWidth="1"/>
    <col min="370" max="370" width="23.42578125" bestFit="1" customWidth="1"/>
    <col min="371" max="371" width="13.7109375" bestFit="1" customWidth="1"/>
    <col min="372" max="373" width="14.140625" bestFit="1" customWidth="1"/>
    <col min="374" max="375" width="13" bestFit="1" customWidth="1"/>
    <col min="378" max="378" width="8" bestFit="1" customWidth="1"/>
    <col min="379" max="379" width="9.7109375" bestFit="1" customWidth="1"/>
    <col min="380" max="380" width="12.5703125" bestFit="1" customWidth="1"/>
    <col min="381" max="381" width="13.28515625" bestFit="1" customWidth="1"/>
    <col min="382" max="382" width="16.85546875" bestFit="1" customWidth="1"/>
    <col min="383" max="384" width="13.7109375" bestFit="1" customWidth="1"/>
    <col min="385" max="385" width="19.85546875" bestFit="1" customWidth="1"/>
    <col min="386" max="386" width="23.42578125" bestFit="1" customWidth="1"/>
    <col min="387" max="387" width="13.7109375" bestFit="1" customWidth="1"/>
    <col min="388" max="389" width="14.140625" bestFit="1" customWidth="1"/>
    <col min="390" max="391" width="13" bestFit="1" customWidth="1"/>
    <col min="394" max="394" width="8" bestFit="1" customWidth="1"/>
    <col min="395" max="395" width="9.7109375" bestFit="1" customWidth="1"/>
    <col min="396" max="396" width="12.5703125" bestFit="1" customWidth="1"/>
    <col min="397" max="397" width="13.28515625" bestFit="1" customWidth="1"/>
    <col min="398" max="398" width="16.85546875" bestFit="1" customWidth="1"/>
    <col min="399" max="400" width="13.7109375" bestFit="1" customWidth="1"/>
    <col min="401" max="401" width="19.85546875" bestFit="1" customWidth="1"/>
    <col min="402" max="402" width="23.42578125" bestFit="1" customWidth="1"/>
    <col min="403" max="403" width="13.7109375" bestFit="1" customWidth="1"/>
    <col min="404" max="405" width="14.140625" bestFit="1" customWidth="1"/>
    <col min="406" max="407" width="13" bestFit="1" customWidth="1"/>
    <col min="410" max="410" width="8" bestFit="1" customWidth="1"/>
    <col min="411" max="411" width="9.7109375" bestFit="1" customWidth="1"/>
    <col min="412" max="412" width="12.5703125" bestFit="1" customWidth="1"/>
    <col min="413" max="413" width="13.28515625" bestFit="1" customWidth="1"/>
    <col min="414" max="414" width="16.85546875" bestFit="1" customWidth="1"/>
    <col min="415" max="416" width="13.7109375" bestFit="1" customWidth="1"/>
    <col min="417" max="417" width="19.85546875" bestFit="1" customWidth="1"/>
    <col min="418" max="418" width="23.42578125" bestFit="1" customWidth="1"/>
    <col min="419" max="419" width="13.7109375" bestFit="1" customWidth="1"/>
    <col min="420" max="421" width="14.140625" bestFit="1" customWidth="1"/>
    <col min="422" max="423" width="13" bestFit="1" customWidth="1"/>
    <col min="425" max="425" width="15.42578125" bestFit="1" customWidth="1"/>
    <col min="426" max="426" width="8" bestFit="1" customWidth="1"/>
    <col min="427" max="427" width="9.7109375" bestFit="1" customWidth="1"/>
    <col min="428" max="428" width="12.5703125" bestFit="1" customWidth="1"/>
    <col min="429" max="429" width="13.28515625" bestFit="1" customWidth="1"/>
    <col min="430" max="430" width="16.85546875" bestFit="1" customWidth="1"/>
    <col min="431" max="432" width="13.7109375" bestFit="1" customWidth="1"/>
    <col min="433" max="433" width="19.85546875" bestFit="1" customWidth="1"/>
    <col min="434" max="434" width="23.42578125" bestFit="1" customWidth="1"/>
    <col min="435" max="435" width="18.7109375" bestFit="1" customWidth="1"/>
    <col min="436" max="436" width="22.7109375" bestFit="1" customWidth="1"/>
    <col min="437" max="437" width="18" bestFit="1" customWidth="1"/>
    <col min="438" max="438" width="16.5703125" bestFit="1" customWidth="1"/>
    <col min="439" max="439" width="20.140625" bestFit="1" customWidth="1"/>
    <col min="441" max="441" width="17.140625" bestFit="1" customWidth="1"/>
    <col min="442" max="442" width="8" bestFit="1" customWidth="1"/>
    <col min="443" max="443" width="9.7109375" bestFit="1" customWidth="1"/>
    <col min="444" max="444" width="12.5703125" bestFit="1" customWidth="1"/>
    <col min="445" max="445" width="13.28515625" bestFit="1" customWidth="1"/>
    <col min="446" max="446" width="16.85546875" bestFit="1" customWidth="1"/>
    <col min="447" max="448" width="13.7109375" bestFit="1" customWidth="1"/>
    <col min="449" max="449" width="19.85546875" bestFit="1" customWidth="1"/>
    <col min="450" max="450" width="23.42578125" bestFit="1" customWidth="1"/>
    <col min="451" max="451" width="13.7109375" bestFit="1" customWidth="1"/>
    <col min="452" max="453" width="14.140625" bestFit="1" customWidth="1"/>
    <col min="454" max="455" width="13" bestFit="1" customWidth="1"/>
  </cols>
  <sheetData>
    <row r="3" spans="1:19" ht="13.9">
      <c r="A3" s="440" t="s">
        <v>381</v>
      </c>
      <c r="B3" s="440" t="s">
        <v>382</v>
      </c>
      <c r="C3" s="354"/>
      <c r="D3" s="354"/>
      <c r="E3" s="354"/>
      <c r="F3" s="354"/>
      <c r="G3" s="354"/>
      <c r="H3" s="354"/>
      <c r="I3" s="354"/>
      <c r="J3" s="354"/>
      <c r="K3" s="354"/>
      <c r="L3" s="453"/>
      <c r="M3" s="354"/>
      <c r="N3" s="354"/>
      <c r="O3" s="354"/>
      <c r="P3" s="354"/>
      <c r="Q3" s="354"/>
      <c r="R3" s="354"/>
      <c r="S3" s="453"/>
    </row>
    <row r="4" spans="1:19" ht="14.25" customHeight="1">
      <c r="A4" s="578" t="s">
        <v>383</v>
      </c>
      <c r="B4" s="589">
        <v>277</v>
      </c>
      <c r="C4" s="2148" t="s">
        <v>384</v>
      </c>
      <c r="D4" s="354"/>
      <c r="E4" s="354"/>
      <c r="F4" s="354"/>
      <c r="G4" s="354"/>
      <c r="H4" s="1134" t="s">
        <v>79</v>
      </c>
      <c r="I4" s="1135">
        <v>9</v>
      </c>
      <c r="J4" s="1135">
        <f>+'Summary Total Pigs'!AE55</f>
        <v>9</v>
      </c>
      <c r="K4" s="354">
        <f>+I4-J4</f>
        <v>0</v>
      </c>
      <c r="L4" s="354"/>
      <c r="M4" s="354"/>
      <c r="N4" s="354"/>
      <c r="O4" s="354"/>
      <c r="P4" s="354"/>
      <c r="Q4" s="354"/>
      <c r="R4" s="354"/>
      <c r="S4" s="354"/>
    </row>
    <row r="5" spans="1:19" ht="14.25" customHeight="1">
      <c r="A5" s="578" t="s">
        <v>385</v>
      </c>
      <c r="B5" s="589">
        <v>728</v>
      </c>
      <c r="C5" s="2149"/>
      <c r="D5" s="354"/>
      <c r="E5" s="354"/>
      <c r="F5" s="354"/>
      <c r="G5" s="354"/>
      <c r="H5" s="1134" t="s">
        <v>55</v>
      </c>
      <c r="I5" s="1135">
        <v>1072</v>
      </c>
      <c r="J5" s="1135">
        <f>+'Summary Total Pigs'!AE54</f>
        <v>1072</v>
      </c>
      <c r="K5" s="354">
        <f>+I5-J5</f>
        <v>0</v>
      </c>
      <c r="L5" s="357"/>
      <c r="M5" s="354"/>
      <c r="N5" s="354"/>
      <c r="O5" s="354"/>
      <c r="P5" s="354"/>
      <c r="Q5" s="354"/>
      <c r="R5" s="354"/>
      <c r="S5" s="357"/>
    </row>
    <row r="6" spans="1:19" ht="14.25" customHeight="1">
      <c r="A6" s="578" t="s">
        <v>386</v>
      </c>
      <c r="B6" s="589">
        <v>676</v>
      </c>
      <c r="C6" s="2149"/>
      <c r="D6" s="354"/>
      <c r="E6" s="354"/>
      <c r="F6" s="354"/>
      <c r="G6" s="354"/>
      <c r="H6" s="1134" t="s">
        <v>50</v>
      </c>
      <c r="I6" s="1135">
        <v>337</v>
      </c>
      <c r="J6" s="1135">
        <f>+'Summary Total Pigs'!AE53</f>
        <v>337</v>
      </c>
      <c r="K6" s="354">
        <f>+I6-J6</f>
        <v>0</v>
      </c>
      <c r="L6" s="354"/>
      <c r="M6" s="354"/>
      <c r="N6" s="354"/>
      <c r="O6" s="354"/>
      <c r="P6" s="354"/>
      <c r="Q6" s="354"/>
      <c r="R6" s="354"/>
      <c r="S6" s="354"/>
    </row>
    <row r="7" spans="1:19" ht="14.25" customHeight="1">
      <c r="A7" s="578" t="s">
        <v>387</v>
      </c>
      <c r="B7" s="589">
        <v>654</v>
      </c>
      <c r="C7" s="2150"/>
      <c r="D7" s="354">
        <f>SUM(B4:B7)</f>
        <v>2335</v>
      </c>
      <c r="E7" s="354">
        <f>+'Summary Total Pigs'!AF50</f>
        <v>2335</v>
      </c>
      <c r="F7" s="580">
        <f>+D7-E7</f>
        <v>0</v>
      </c>
      <c r="G7" s="357" t="s">
        <v>390</v>
      </c>
      <c r="H7" s="1134" t="s">
        <v>71</v>
      </c>
      <c r="I7" s="1135">
        <f>SUM(I4:I6)</f>
        <v>1418</v>
      </c>
      <c r="J7" s="1135">
        <f>SUM(J4:J6)</f>
        <v>1418</v>
      </c>
      <c r="K7" s="580">
        <f>SUM(K4:K6)</f>
        <v>0</v>
      </c>
      <c r="L7" s="354" t="s">
        <v>207</v>
      </c>
      <c r="M7" s="354"/>
      <c r="N7" s="354"/>
      <c r="O7" s="354"/>
      <c r="P7" s="354"/>
      <c r="Q7" s="354"/>
      <c r="R7" s="354"/>
      <c r="S7" s="354"/>
    </row>
    <row r="8" spans="1:19" ht="14.25" customHeight="1">
      <c r="A8" s="1136" t="s">
        <v>388</v>
      </c>
      <c r="B8" s="1136">
        <v>650</v>
      </c>
      <c r="C8" s="2151" t="s">
        <v>389</v>
      </c>
      <c r="D8" s="354"/>
      <c r="E8" s="354"/>
      <c r="F8" s="354"/>
      <c r="G8" s="354"/>
      <c r="H8" s="354"/>
      <c r="I8" s="354"/>
      <c r="J8" s="354"/>
      <c r="K8" s="357"/>
      <c r="L8" s="354"/>
      <c r="M8" s="354"/>
      <c r="N8" s="354"/>
      <c r="O8" s="354"/>
      <c r="P8" s="357"/>
      <c r="Q8" s="354"/>
      <c r="R8" s="354"/>
      <c r="S8" s="357"/>
    </row>
    <row r="9" spans="1:19" ht="14.25" customHeight="1">
      <c r="A9" s="1136" t="s">
        <v>391</v>
      </c>
      <c r="B9" s="1136">
        <v>646</v>
      </c>
      <c r="C9" s="2152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</row>
    <row r="10" spans="1:19" ht="14.25" customHeight="1">
      <c r="A10" s="1136" t="s">
        <v>392</v>
      </c>
      <c r="B10" s="1136">
        <v>627</v>
      </c>
      <c r="C10" s="2152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</row>
    <row r="11" spans="1:19" ht="14.25" customHeight="1">
      <c r="A11" s="1136" t="s">
        <v>393</v>
      </c>
      <c r="B11" s="1136">
        <v>648</v>
      </c>
      <c r="C11" s="2152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</row>
    <row r="12" spans="1:19" ht="14.25" customHeight="1">
      <c r="A12" s="1136" t="s">
        <v>394</v>
      </c>
      <c r="B12" s="1136">
        <v>648</v>
      </c>
      <c r="C12" s="2152"/>
      <c r="D12" s="354">
        <f>SUM(B8:B13)</f>
        <v>3864</v>
      </c>
      <c r="E12" s="354">
        <f>+'Summary Total Pigs'!AF51</f>
        <v>3864</v>
      </c>
      <c r="F12" s="580">
        <f>+D12-E12</f>
        <v>0</v>
      </c>
      <c r="G12" s="357" t="s">
        <v>390</v>
      </c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</row>
    <row r="13" spans="1:19" ht="14.25" customHeight="1">
      <c r="A13" s="1136" t="s">
        <v>395</v>
      </c>
      <c r="B13" s="1136">
        <v>645</v>
      </c>
      <c r="C13" s="2153"/>
      <c r="D13" s="354"/>
      <c r="E13" s="354"/>
      <c r="F13" s="357"/>
      <c r="G13" s="354"/>
      <c r="H13" s="354"/>
      <c r="I13" s="354"/>
      <c r="J13" s="354"/>
      <c r="K13" s="354"/>
      <c r="L13" s="354"/>
      <c r="M13" s="354"/>
      <c r="N13" s="354"/>
      <c r="O13" s="354"/>
      <c r="P13" s="354"/>
      <c r="Q13" s="354"/>
      <c r="R13" s="354"/>
      <c r="S13" s="354"/>
    </row>
    <row r="14" spans="1:19" ht="14.25" customHeight="1">
      <c r="A14" s="579" t="s">
        <v>396</v>
      </c>
      <c r="B14" s="579">
        <v>640</v>
      </c>
      <c r="C14" s="2154" t="s">
        <v>397</v>
      </c>
      <c r="D14" s="354"/>
      <c r="E14" s="354"/>
      <c r="F14" s="357"/>
      <c r="G14" s="354"/>
      <c r="H14" s="354"/>
      <c r="I14" s="354"/>
      <c r="J14" s="354"/>
      <c r="K14" s="354"/>
      <c r="L14" s="357"/>
      <c r="M14" s="354"/>
      <c r="N14" s="354"/>
      <c r="O14" s="354"/>
      <c r="P14" s="354"/>
      <c r="Q14" s="357"/>
      <c r="R14" s="354"/>
      <c r="S14" s="354"/>
    </row>
    <row r="15" spans="1:19" ht="14.25" customHeight="1">
      <c r="A15" s="579" t="s">
        <v>398</v>
      </c>
      <c r="B15" s="579">
        <v>642</v>
      </c>
      <c r="C15" s="2155"/>
      <c r="D15" s="354"/>
      <c r="E15" s="354"/>
      <c r="F15" s="354"/>
      <c r="G15" s="354"/>
      <c r="H15" s="354"/>
      <c r="I15" s="354"/>
      <c r="J15" s="354"/>
      <c r="K15" s="354"/>
      <c r="L15" s="357"/>
      <c r="M15" s="354"/>
      <c r="N15" s="354"/>
      <c r="O15" s="354"/>
      <c r="P15" s="354"/>
      <c r="Q15" s="357"/>
      <c r="R15" s="354"/>
      <c r="S15" s="354"/>
    </row>
    <row r="16" spans="1:19" ht="14.25" customHeight="1">
      <c r="A16" s="579" t="s">
        <v>399</v>
      </c>
      <c r="B16" s="579">
        <v>611</v>
      </c>
      <c r="C16" s="2155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</row>
    <row r="17" spans="1:19" ht="14.25" customHeight="1">
      <c r="A17" s="579" t="s">
        <v>400</v>
      </c>
      <c r="B17" s="579">
        <v>615</v>
      </c>
      <c r="C17" s="2155"/>
      <c r="D17" s="354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</row>
    <row r="18" spans="1:19" ht="14.25" customHeight="1">
      <c r="A18" s="579" t="s">
        <v>401</v>
      </c>
      <c r="B18" s="579">
        <v>576</v>
      </c>
      <c r="C18" s="2155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</row>
    <row r="19" spans="1:19" ht="14.25" customHeight="1">
      <c r="A19" s="579" t="s">
        <v>402</v>
      </c>
      <c r="B19" s="579">
        <v>584</v>
      </c>
      <c r="C19" s="2155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</row>
    <row r="20" spans="1:19" ht="14.25" customHeight="1">
      <c r="A20" s="579" t="s">
        <v>403</v>
      </c>
      <c r="B20" s="579">
        <v>591</v>
      </c>
      <c r="C20" s="2155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</row>
    <row r="21" spans="1:19" ht="14.25" customHeight="1">
      <c r="A21" s="579" t="s">
        <v>404</v>
      </c>
      <c r="B21" s="579">
        <v>637</v>
      </c>
      <c r="C21" s="2155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</row>
    <row r="22" spans="1:19" ht="14.25" customHeight="1">
      <c r="A22" s="579" t="s">
        <v>405</v>
      </c>
      <c r="B22" s="579">
        <v>639</v>
      </c>
      <c r="C22" s="2155"/>
      <c r="D22" s="354"/>
      <c r="E22" s="354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</row>
    <row r="23" spans="1:19" ht="14.25" customHeight="1">
      <c r="A23" s="579" t="s">
        <v>406</v>
      </c>
      <c r="B23" s="579">
        <v>634</v>
      </c>
      <c r="C23" s="2155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</row>
    <row r="24" spans="1:19" ht="14.25" customHeight="1">
      <c r="A24" s="579" t="s">
        <v>407</v>
      </c>
      <c r="B24" s="579">
        <v>612</v>
      </c>
      <c r="C24" s="2155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</row>
    <row r="25" spans="1:19" ht="14.25" customHeight="1">
      <c r="A25" s="579" t="s">
        <v>408</v>
      </c>
      <c r="B25" s="579">
        <v>574</v>
      </c>
      <c r="C25" s="2155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</row>
    <row r="26" spans="1:19" ht="14.25" customHeight="1">
      <c r="A26" s="579" t="s">
        <v>409</v>
      </c>
      <c r="B26" s="579"/>
      <c r="C26" s="2155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</row>
    <row r="27" spans="1:19" ht="14.25" customHeight="1">
      <c r="A27" s="579" t="s">
        <v>410</v>
      </c>
      <c r="B27" s="579"/>
      <c r="C27" s="2155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</row>
    <row r="28" spans="1:19" ht="14.25" customHeight="1">
      <c r="A28" s="579" t="s">
        <v>411</v>
      </c>
      <c r="B28" s="579"/>
      <c r="C28" s="2155"/>
      <c r="D28" s="354">
        <f>SUM(B14:B29)</f>
        <v>7355</v>
      </c>
      <c r="E28" s="354">
        <f>+'Summary Total Pigs'!AF52</f>
        <v>7355</v>
      </c>
      <c r="F28" s="580">
        <f>+D28-E28</f>
        <v>0</v>
      </c>
      <c r="G28" s="357" t="s">
        <v>390</v>
      </c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</row>
    <row r="29" spans="1:19" ht="14.25" customHeight="1">
      <c r="A29" s="579"/>
      <c r="B29" s="579"/>
      <c r="C29" s="2156"/>
      <c r="D29" s="354"/>
      <c r="E29" s="354"/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</row>
    <row r="33" spans="2:2">
      <c r="B33">
        <f>530+2392</f>
        <v>2922</v>
      </c>
    </row>
  </sheetData>
  <mergeCells count="3">
    <mergeCell ref="C4:C7"/>
    <mergeCell ref="C8:C13"/>
    <mergeCell ref="C14:C29"/>
  </mergeCells>
  <pageMargins left="0.7" right="0.7" top="0.75" bottom="0.75" header="0.3" footer="0.3"/>
  <pageSetup paperSize="9" scale="4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FFFF00"/>
  </sheetPr>
  <dimension ref="A3:S29"/>
  <sheetViews>
    <sheetView view="pageBreakPreview" zoomScale="70" zoomScaleNormal="100" zoomScaleSheetLayoutView="70" workbookViewId="0">
      <pane xSplit="2" ySplit="1" topLeftCell="C2" activePane="bottomRight" state="frozen"/>
      <selection pane="bottomRight" activeCell="B26" sqref="B26"/>
      <selection pane="bottomLeft" activeCell="A5" sqref="A5"/>
      <selection pane="topRight" activeCell="C1" sqref="C1"/>
    </sheetView>
  </sheetViews>
  <sheetFormatPr defaultRowHeight="13.15"/>
  <cols>
    <col min="1" max="1" width="18.85546875" bestFit="1" customWidth="1"/>
    <col min="2" max="2" width="17.85546875" bestFit="1" customWidth="1"/>
    <col min="3" max="3" width="12.28515625" bestFit="1" customWidth="1"/>
    <col min="4" max="4" width="11.42578125" bestFit="1" customWidth="1"/>
    <col min="5" max="5" width="13.42578125" customWidth="1"/>
    <col min="6" max="6" width="14.85546875" bestFit="1" customWidth="1"/>
    <col min="7" max="7" width="10.140625" customWidth="1"/>
    <col min="8" max="8" width="14.42578125" bestFit="1" customWidth="1"/>
    <col min="9" max="9" width="14.7109375" bestFit="1" customWidth="1"/>
    <col min="10" max="10" width="14.140625" bestFit="1" customWidth="1"/>
    <col min="11" max="11" width="21.5703125" bestFit="1" customWidth="1"/>
    <col min="12" max="12" width="17.7109375" bestFit="1" customWidth="1"/>
    <col min="13" max="13" width="16.28515625" bestFit="1" customWidth="1"/>
    <col min="14" max="14" width="14" bestFit="1" customWidth="1"/>
    <col min="15" max="15" width="18" bestFit="1" customWidth="1"/>
    <col min="17" max="17" width="7.5703125" bestFit="1" customWidth="1"/>
    <col min="18" max="18" width="11" bestFit="1" customWidth="1"/>
    <col min="19" max="19" width="9.42578125" bestFit="1" customWidth="1"/>
    <col min="20" max="20" width="14.85546875" bestFit="1" customWidth="1"/>
    <col min="21" max="21" width="10.5703125" bestFit="1" customWidth="1"/>
    <col min="22" max="22" width="14.42578125" bestFit="1" customWidth="1"/>
    <col min="23" max="23" width="14.7109375" bestFit="1" customWidth="1"/>
    <col min="24" max="24" width="14.140625" bestFit="1" customWidth="1"/>
    <col min="25" max="25" width="17.5703125" bestFit="1" customWidth="1"/>
    <col min="26" max="26" width="17.7109375" bestFit="1" customWidth="1"/>
    <col min="27" max="28" width="14" bestFit="1" customWidth="1"/>
    <col min="29" max="29" width="18" bestFit="1" customWidth="1"/>
    <col min="33" max="33" width="9.42578125" bestFit="1" customWidth="1"/>
    <col min="34" max="34" width="14.85546875" bestFit="1" customWidth="1"/>
    <col min="35" max="35" width="10.5703125" bestFit="1" customWidth="1"/>
    <col min="36" max="36" width="22" bestFit="1" customWidth="1"/>
    <col min="37" max="37" width="28.42578125" bestFit="1" customWidth="1"/>
    <col min="38" max="38" width="27.5703125" bestFit="1" customWidth="1"/>
    <col min="39" max="39" width="28.7109375" bestFit="1" customWidth="1"/>
    <col min="40" max="40" width="29" bestFit="1" customWidth="1"/>
    <col min="41" max="41" width="26.28515625" bestFit="1" customWidth="1"/>
    <col min="42" max="42" width="24" bestFit="1" customWidth="1"/>
    <col min="43" max="43" width="18" bestFit="1" customWidth="1"/>
    <col min="44" max="44" width="15.85546875" customWidth="1"/>
    <col min="45" max="45" width="7.28515625" customWidth="1"/>
    <col min="46" max="46" width="8" bestFit="1" customWidth="1"/>
    <col min="47" max="47" width="9.42578125" bestFit="1" customWidth="1"/>
    <col min="48" max="48" width="14.85546875" bestFit="1" customWidth="1"/>
    <col min="49" max="49" width="10.5703125" bestFit="1" customWidth="1"/>
    <col min="50" max="50" width="22" bestFit="1" customWidth="1"/>
    <col min="51" max="51" width="28.42578125" bestFit="1" customWidth="1"/>
    <col min="52" max="52" width="27.5703125" bestFit="1" customWidth="1"/>
    <col min="53" max="53" width="21.85546875" customWidth="1"/>
    <col min="54" max="54" width="23.28515625" customWidth="1"/>
    <col min="55" max="55" width="14.85546875" customWidth="1"/>
    <col min="56" max="56" width="18.7109375" customWidth="1"/>
    <col min="57" max="57" width="18" bestFit="1" customWidth="1"/>
    <col min="58" max="58" width="15.85546875" customWidth="1"/>
    <col min="59" max="59" width="9.42578125" customWidth="1"/>
    <col min="60" max="60" width="8" bestFit="1" customWidth="1"/>
    <col min="61" max="61" width="9.42578125" bestFit="1" customWidth="1"/>
    <col min="62" max="62" width="14.85546875" bestFit="1" customWidth="1"/>
    <col min="63" max="63" width="10.5703125" bestFit="1" customWidth="1"/>
    <col min="64" max="64" width="22" bestFit="1" customWidth="1"/>
    <col min="65" max="65" width="28.42578125" bestFit="1" customWidth="1"/>
    <col min="66" max="66" width="27.5703125" bestFit="1" customWidth="1"/>
    <col min="67" max="67" width="27" bestFit="1" customWidth="1"/>
    <col min="68" max="68" width="27.28515625" bestFit="1" customWidth="1"/>
    <col min="69" max="69" width="26.28515625" bestFit="1" customWidth="1"/>
    <col min="70" max="70" width="24" bestFit="1" customWidth="1"/>
    <col min="71" max="71" width="18" bestFit="1" customWidth="1"/>
    <col min="72" max="72" width="15.85546875" customWidth="1"/>
    <col min="73" max="73" width="7.7109375" bestFit="1" customWidth="1"/>
    <col min="74" max="74" width="8" bestFit="1" customWidth="1"/>
    <col min="75" max="75" width="9" bestFit="1" customWidth="1"/>
    <col min="76" max="76" width="23.7109375" bestFit="1" customWidth="1"/>
    <col min="77" max="77" width="13.28515625" bestFit="1" customWidth="1"/>
    <col min="78" max="78" width="16.85546875" bestFit="1" customWidth="1"/>
    <col min="79" max="79" width="24.85546875" bestFit="1" customWidth="1"/>
    <col min="80" max="80" width="22.5703125" bestFit="1" customWidth="1"/>
    <col min="81" max="81" width="19.85546875" bestFit="1" customWidth="1"/>
    <col min="82" max="82" width="23.42578125" bestFit="1" customWidth="1"/>
    <col min="83" max="83" width="31.85546875" bestFit="1" customWidth="1"/>
    <col min="84" max="84" width="29.42578125" bestFit="1" customWidth="1"/>
    <col min="85" max="85" width="28.7109375" bestFit="1" customWidth="1"/>
    <col min="86" max="86" width="29.7109375" bestFit="1" customWidth="1"/>
    <col min="87" max="87" width="24" bestFit="1" customWidth="1"/>
    <col min="88" max="88" width="15.85546875" customWidth="1"/>
    <col min="89" max="89" width="8.28515625" bestFit="1" customWidth="1"/>
    <col min="90" max="90" width="8" bestFit="1" customWidth="1"/>
    <col min="91" max="91" width="9" bestFit="1" customWidth="1"/>
    <col min="92" max="92" width="23.7109375" bestFit="1" customWidth="1"/>
    <col min="93" max="93" width="13.28515625" bestFit="1" customWidth="1"/>
    <col min="94" max="94" width="16.85546875" bestFit="1" customWidth="1"/>
    <col min="95" max="95" width="24.85546875" bestFit="1" customWidth="1"/>
    <col min="96" max="96" width="22.5703125" bestFit="1" customWidth="1"/>
    <col min="97" max="97" width="19.85546875" bestFit="1" customWidth="1"/>
    <col min="98" max="98" width="23.42578125" bestFit="1" customWidth="1"/>
    <col min="99" max="99" width="19.140625" bestFit="1" customWidth="1"/>
    <col min="100" max="100" width="20.42578125" customWidth="1"/>
    <col min="101" max="101" width="18.42578125" customWidth="1"/>
    <col min="102" max="102" width="20.42578125" customWidth="1"/>
    <col min="103" max="103" width="24" bestFit="1" customWidth="1"/>
    <col min="104" max="104" width="15.85546875" customWidth="1"/>
    <col min="105" max="105" width="8.28515625" bestFit="1" customWidth="1"/>
    <col min="106" max="106" width="8" bestFit="1" customWidth="1"/>
    <col min="107" max="107" width="9" bestFit="1" customWidth="1"/>
    <col min="108" max="108" width="23.7109375" bestFit="1" customWidth="1"/>
    <col min="109" max="109" width="13.28515625" bestFit="1" customWidth="1"/>
    <col min="110" max="110" width="16.85546875" bestFit="1" customWidth="1"/>
    <col min="111" max="111" width="24.85546875" bestFit="1" customWidth="1"/>
    <col min="112" max="112" width="22.5703125" bestFit="1" customWidth="1"/>
    <col min="113" max="113" width="19.85546875" bestFit="1" customWidth="1"/>
    <col min="114" max="114" width="23.42578125" bestFit="1" customWidth="1"/>
    <col min="115" max="115" width="31.85546875" bestFit="1" customWidth="1"/>
    <col min="116" max="116" width="29.42578125" bestFit="1" customWidth="1"/>
    <col min="117" max="117" width="28.7109375" bestFit="1" customWidth="1"/>
    <col min="118" max="118" width="29.7109375" bestFit="1" customWidth="1"/>
    <col min="119" max="119" width="24" bestFit="1" customWidth="1"/>
    <col min="120" max="120" width="15.85546875" customWidth="1"/>
    <col min="121" max="121" width="8.28515625" bestFit="1" customWidth="1"/>
    <col min="122" max="122" width="8" bestFit="1" customWidth="1"/>
    <col min="123" max="123" width="9" bestFit="1" customWidth="1"/>
    <col min="124" max="124" width="23.7109375" bestFit="1" customWidth="1"/>
    <col min="125" max="125" width="13.28515625" bestFit="1" customWidth="1"/>
    <col min="126" max="126" width="16.85546875" bestFit="1" customWidth="1"/>
    <col min="127" max="127" width="24.85546875" bestFit="1" customWidth="1"/>
    <col min="128" max="128" width="22.5703125" bestFit="1" customWidth="1"/>
    <col min="129" max="129" width="19.85546875" bestFit="1" customWidth="1"/>
    <col min="130" max="130" width="23.42578125" bestFit="1" customWidth="1"/>
    <col min="131" max="131" width="31.85546875" bestFit="1" customWidth="1"/>
    <col min="132" max="132" width="29.42578125" bestFit="1" customWidth="1"/>
    <col min="133" max="133" width="28.7109375" bestFit="1" customWidth="1"/>
    <col min="134" max="134" width="29.7109375" bestFit="1" customWidth="1"/>
    <col min="135" max="135" width="24" bestFit="1" customWidth="1"/>
    <col min="136" max="136" width="15.85546875" customWidth="1"/>
    <col min="137" max="137" width="8.28515625" bestFit="1" customWidth="1"/>
    <col min="138" max="138" width="8" bestFit="1" customWidth="1"/>
    <col min="139" max="139" width="9" bestFit="1" customWidth="1"/>
    <col min="140" max="140" width="23.7109375" bestFit="1" customWidth="1"/>
    <col min="141" max="141" width="13.28515625" bestFit="1" customWidth="1"/>
    <col min="142" max="142" width="16.85546875" bestFit="1" customWidth="1"/>
    <col min="143" max="143" width="24.85546875" bestFit="1" customWidth="1"/>
    <col min="144" max="144" width="22.5703125" bestFit="1" customWidth="1"/>
    <col min="145" max="145" width="19.85546875" bestFit="1" customWidth="1"/>
    <col min="146" max="146" width="23.42578125" bestFit="1" customWidth="1"/>
    <col min="147" max="147" width="31.85546875" bestFit="1" customWidth="1"/>
    <col min="148" max="148" width="29.42578125" bestFit="1" customWidth="1"/>
    <col min="149" max="149" width="28.7109375" bestFit="1" customWidth="1"/>
    <col min="150" max="150" width="29.7109375" bestFit="1" customWidth="1"/>
    <col min="151" max="151" width="24" bestFit="1" customWidth="1"/>
    <col min="152" max="152" width="15.85546875" customWidth="1"/>
    <col min="153" max="153" width="7.7109375" bestFit="1" customWidth="1"/>
    <col min="154" max="154" width="8" bestFit="1" customWidth="1"/>
    <col min="155" max="155" width="9" bestFit="1" customWidth="1"/>
    <col min="156" max="156" width="23.7109375" bestFit="1" customWidth="1"/>
    <col min="157" max="157" width="13.28515625" bestFit="1" customWidth="1"/>
    <col min="158" max="158" width="16.85546875" bestFit="1" customWidth="1"/>
    <col min="159" max="159" width="24.85546875" bestFit="1" customWidth="1"/>
    <col min="160" max="160" width="22.5703125" bestFit="1" customWidth="1"/>
    <col min="161" max="161" width="19.85546875" customWidth="1"/>
    <col min="162" max="162" width="23.42578125" bestFit="1" customWidth="1"/>
    <col min="163" max="163" width="31.85546875" bestFit="1" customWidth="1"/>
    <col min="164" max="164" width="29.42578125" bestFit="1" customWidth="1"/>
    <col min="165" max="165" width="28.7109375" bestFit="1" customWidth="1"/>
    <col min="166" max="166" width="29.7109375" bestFit="1" customWidth="1"/>
    <col min="167" max="167" width="24" bestFit="1" customWidth="1"/>
    <col min="168" max="168" width="15.85546875" customWidth="1"/>
    <col min="169" max="169" width="7.7109375" bestFit="1" customWidth="1"/>
    <col min="170" max="170" width="8" bestFit="1" customWidth="1"/>
    <col min="171" max="171" width="9" bestFit="1" customWidth="1"/>
    <col min="172" max="172" width="23.7109375" bestFit="1" customWidth="1"/>
    <col min="173" max="173" width="13.28515625" bestFit="1" customWidth="1"/>
    <col min="174" max="174" width="16.85546875" bestFit="1" customWidth="1"/>
    <col min="175" max="175" width="24.85546875" bestFit="1" customWidth="1"/>
    <col min="176" max="176" width="22.5703125" bestFit="1" customWidth="1"/>
    <col min="177" max="177" width="19.85546875" bestFit="1" customWidth="1"/>
    <col min="178" max="178" width="23.42578125" bestFit="1" customWidth="1"/>
    <col min="179" max="179" width="31.85546875" bestFit="1" customWidth="1"/>
    <col min="180" max="180" width="29.42578125" bestFit="1" customWidth="1"/>
    <col min="181" max="181" width="28.7109375" bestFit="1" customWidth="1"/>
    <col min="182" max="182" width="29.7109375" bestFit="1" customWidth="1"/>
    <col min="183" max="183" width="24" bestFit="1" customWidth="1"/>
    <col min="184" max="184" width="15.85546875" customWidth="1"/>
    <col min="185" max="185" width="7.7109375" bestFit="1" customWidth="1"/>
    <col min="186" max="186" width="8" bestFit="1" customWidth="1"/>
    <col min="187" max="187" width="9" bestFit="1" customWidth="1"/>
    <col min="188" max="188" width="23.7109375" bestFit="1" customWidth="1"/>
    <col min="189" max="189" width="13.28515625" bestFit="1" customWidth="1"/>
    <col min="190" max="190" width="16.85546875" bestFit="1" customWidth="1"/>
    <col min="191" max="191" width="24.85546875" bestFit="1" customWidth="1"/>
    <col min="192" max="192" width="22.5703125" bestFit="1" customWidth="1"/>
    <col min="193" max="193" width="19.85546875" bestFit="1" customWidth="1"/>
    <col min="194" max="194" width="23.42578125" bestFit="1" customWidth="1"/>
    <col min="195" max="195" width="31.85546875" bestFit="1" customWidth="1"/>
    <col min="196" max="196" width="29.42578125" bestFit="1" customWidth="1"/>
    <col min="197" max="197" width="28.7109375" bestFit="1" customWidth="1"/>
    <col min="198" max="198" width="29.7109375" bestFit="1" customWidth="1"/>
    <col min="199" max="199" width="24" bestFit="1" customWidth="1"/>
    <col min="200" max="200" width="15.85546875" customWidth="1"/>
    <col min="201" max="201" width="7.7109375" bestFit="1" customWidth="1"/>
    <col min="202" max="202" width="8" bestFit="1" customWidth="1"/>
    <col min="203" max="203" width="9" bestFit="1" customWidth="1"/>
    <col min="204" max="204" width="23.7109375" bestFit="1" customWidth="1"/>
    <col min="205" max="205" width="13.28515625" bestFit="1" customWidth="1"/>
    <col min="206" max="206" width="16.85546875" bestFit="1" customWidth="1"/>
    <col min="207" max="207" width="24.85546875" bestFit="1" customWidth="1"/>
    <col min="208" max="208" width="22.5703125" bestFit="1" customWidth="1"/>
    <col min="209" max="209" width="19.85546875" bestFit="1" customWidth="1"/>
    <col min="210" max="210" width="23.42578125" bestFit="1" customWidth="1"/>
    <col min="211" max="211" width="31.85546875" bestFit="1" customWidth="1"/>
    <col min="212" max="212" width="29.42578125" bestFit="1" customWidth="1"/>
    <col min="213" max="213" width="28.7109375" bestFit="1" customWidth="1"/>
    <col min="214" max="214" width="29.7109375" bestFit="1" customWidth="1"/>
    <col min="215" max="215" width="24" bestFit="1" customWidth="1"/>
    <col min="216" max="216" width="15.85546875" customWidth="1"/>
    <col min="217" max="217" width="9.140625" bestFit="1" customWidth="1"/>
    <col min="218" max="218" width="8" bestFit="1" customWidth="1"/>
    <col min="219" max="219" width="9" bestFit="1" customWidth="1"/>
    <col min="220" max="220" width="23.7109375" bestFit="1" customWidth="1"/>
    <col min="221" max="221" width="13.28515625" bestFit="1" customWidth="1"/>
    <col min="222" max="222" width="16.85546875" bestFit="1" customWidth="1"/>
    <col min="223" max="223" width="24.85546875" bestFit="1" customWidth="1"/>
    <col min="224" max="224" width="22.5703125" bestFit="1" customWidth="1"/>
    <col min="225" max="225" width="19.85546875" bestFit="1" customWidth="1"/>
    <col min="226" max="226" width="23.42578125" bestFit="1" customWidth="1"/>
    <col min="227" max="227" width="31.85546875" bestFit="1" customWidth="1"/>
    <col min="228" max="228" width="29.42578125" bestFit="1" customWidth="1"/>
    <col min="229" max="229" width="28.7109375" bestFit="1" customWidth="1"/>
    <col min="230" max="230" width="29.7109375" bestFit="1" customWidth="1"/>
    <col min="231" max="231" width="24" bestFit="1" customWidth="1"/>
    <col min="232" max="232" width="15.85546875" customWidth="1"/>
    <col min="233" max="233" width="9.140625" bestFit="1" customWidth="1"/>
    <col min="234" max="234" width="8" bestFit="1" customWidth="1"/>
    <col min="235" max="235" width="9" bestFit="1" customWidth="1"/>
    <col min="236" max="236" width="23.7109375" bestFit="1" customWidth="1"/>
    <col min="237" max="237" width="13.28515625" bestFit="1" customWidth="1"/>
    <col min="238" max="238" width="16.85546875" bestFit="1" customWidth="1"/>
    <col min="239" max="239" width="24.85546875" bestFit="1" customWidth="1"/>
    <col min="240" max="240" width="22.5703125" bestFit="1" customWidth="1"/>
    <col min="241" max="241" width="19.85546875" bestFit="1" customWidth="1"/>
    <col min="242" max="242" width="23.42578125" bestFit="1" customWidth="1"/>
    <col min="243" max="243" width="31.85546875" bestFit="1" customWidth="1"/>
    <col min="244" max="244" width="29.42578125" bestFit="1" customWidth="1"/>
    <col min="245" max="245" width="28.7109375" bestFit="1" customWidth="1"/>
    <col min="246" max="246" width="29.7109375" bestFit="1" customWidth="1"/>
    <col min="247" max="247" width="24" bestFit="1" customWidth="1"/>
    <col min="248" max="248" width="15.85546875" customWidth="1"/>
    <col min="249" max="249" width="9.140625" bestFit="1" customWidth="1"/>
    <col min="250" max="250" width="8" bestFit="1" customWidth="1"/>
    <col min="251" max="251" width="9" bestFit="1" customWidth="1"/>
    <col min="252" max="252" width="23.7109375" bestFit="1" customWidth="1"/>
    <col min="253" max="253" width="13.28515625" bestFit="1" customWidth="1"/>
    <col min="254" max="254" width="16.85546875" bestFit="1" customWidth="1"/>
    <col min="255" max="255" width="24.85546875" bestFit="1" customWidth="1"/>
    <col min="256" max="256" width="22.5703125" bestFit="1" customWidth="1"/>
    <col min="257" max="257" width="19.85546875" bestFit="1" customWidth="1"/>
    <col min="258" max="258" width="23.42578125" bestFit="1" customWidth="1"/>
    <col min="259" max="259" width="31.85546875" bestFit="1" customWidth="1"/>
    <col min="260" max="260" width="29.42578125" bestFit="1" customWidth="1"/>
    <col min="261" max="261" width="28.7109375" bestFit="1" customWidth="1"/>
    <col min="262" max="262" width="29.7109375" bestFit="1" customWidth="1"/>
    <col min="263" max="263" width="24" bestFit="1" customWidth="1"/>
    <col min="264" max="264" width="3" bestFit="1" customWidth="1"/>
    <col min="265" max="265" width="9.140625" bestFit="1" customWidth="1"/>
    <col min="266" max="266" width="8" bestFit="1" customWidth="1"/>
    <col min="267" max="267" width="9" bestFit="1" customWidth="1"/>
    <col min="268" max="268" width="23.7109375" bestFit="1" customWidth="1"/>
    <col min="269" max="269" width="13.28515625" bestFit="1" customWidth="1"/>
    <col min="270" max="270" width="16.85546875" bestFit="1" customWidth="1"/>
    <col min="271" max="271" width="24.85546875" bestFit="1" customWidth="1"/>
    <col min="272" max="272" width="22.5703125" bestFit="1" customWidth="1"/>
    <col min="273" max="273" width="19.85546875" bestFit="1" customWidth="1"/>
    <col min="274" max="274" width="23.42578125" bestFit="1" customWidth="1"/>
    <col min="275" max="275" width="31.85546875" bestFit="1" customWidth="1"/>
    <col min="276" max="276" width="29.42578125" bestFit="1" customWidth="1"/>
    <col min="277" max="277" width="28.7109375" bestFit="1" customWidth="1"/>
    <col min="278" max="278" width="29.7109375" bestFit="1" customWidth="1"/>
    <col min="279" max="279" width="24" bestFit="1" customWidth="1"/>
    <col min="280" max="280" width="15.85546875" customWidth="1"/>
    <col min="281" max="281" width="9.140625" bestFit="1" customWidth="1"/>
    <col min="282" max="282" width="8" bestFit="1" customWidth="1"/>
    <col min="283" max="283" width="9" bestFit="1" customWidth="1"/>
    <col min="284" max="284" width="23.7109375" bestFit="1" customWidth="1"/>
    <col min="285" max="285" width="13.28515625" bestFit="1" customWidth="1"/>
    <col min="286" max="286" width="16.85546875" bestFit="1" customWidth="1"/>
    <col min="287" max="287" width="24.85546875" bestFit="1" customWidth="1"/>
    <col min="288" max="288" width="22.5703125" bestFit="1" customWidth="1"/>
    <col min="289" max="289" width="19.85546875" bestFit="1" customWidth="1"/>
    <col min="290" max="290" width="23.42578125" bestFit="1" customWidth="1"/>
    <col min="291" max="291" width="31.85546875" bestFit="1" customWidth="1"/>
    <col min="292" max="292" width="29.42578125" bestFit="1" customWidth="1"/>
    <col min="293" max="293" width="28.7109375" bestFit="1" customWidth="1"/>
    <col min="294" max="294" width="29.7109375" bestFit="1" customWidth="1"/>
    <col min="295" max="295" width="24" bestFit="1" customWidth="1"/>
    <col min="296" max="296" width="15.85546875" customWidth="1"/>
    <col min="297" max="297" width="9.140625" bestFit="1" customWidth="1"/>
    <col min="298" max="298" width="8" bestFit="1" customWidth="1"/>
    <col min="299" max="299" width="9" bestFit="1" customWidth="1"/>
    <col min="300" max="300" width="23.7109375" bestFit="1" customWidth="1"/>
    <col min="301" max="301" width="13.28515625" bestFit="1" customWidth="1"/>
    <col min="302" max="302" width="16.85546875" bestFit="1" customWidth="1"/>
    <col min="303" max="303" width="24.85546875" bestFit="1" customWidth="1"/>
    <col min="304" max="304" width="22.5703125" bestFit="1" customWidth="1"/>
    <col min="305" max="305" width="19.85546875" bestFit="1" customWidth="1"/>
    <col min="306" max="306" width="23.42578125" bestFit="1" customWidth="1"/>
    <col min="307" max="307" width="31.85546875" bestFit="1" customWidth="1"/>
    <col min="308" max="308" width="29.42578125" bestFit="1" customWidth="1"/>
    <col min="309" max="309" width="28.7109375" bestFit="1" customWidth="1"/>
    <col min="310" max="310" width="29.7109375" bestFit="1" customWidth="1"/>
    <col min="311" max="311" width="24" bestFit="1" customWidth="1"/>
    <col min="312" max="312" width="15.85546875" customWidth="1"/>
    <col min="313" max="313" width="9.140625" bestFit="1" customWidth="1"/>
    <col min="314" max="314" width="8" bestFit="1" customWidth="1"/>
    <col min="315" max="315" width="9" bestFit="1" customWidth="1"/>
    <col min="316" max="316" width="23.7109375" bestFit="1" customWidth="1"/>
    <col min="317" max="317" width="13.28515625" bestFit="1" customWidth="1"/>
    <col min="318" max="318" width="16.85546875" bestFit="1" customWidth="1"/>
    <col min="319" max="319" width="24.85546875" bestFit="1" customWidth="1"/>
    <col min="320" max="320" width="22.5703125" bestFit="1" customWidth="1"/>
    <col min="321" max="321" width="19.85546875" bestFit="1" customWidth="1"/>
    <col min="322" max="322" width="23.42578125" bestFit="1" customWidth="1"/>
    <col min="323" max="323" width="31.85546875" bestFit="1" customWidth="1"/>
    <col min="324" max="324" width="29.42578125" bestFit="1" customWidth="1"/>
    <col min="325" max="325" width="28.7109375" bestFit="1" customWidth="1"/>
    <col min="326" max="326" width="29.7109375" bestFit="1" customWidth="1"/>
    <col min="327" max="327" width="24" bestFit="1" customWidth="1"/>
    <col min="328" max="328" width="15.85546875" customWidth="1"/>
    <col min="329" max="329" width="9.140625" bestFit="1" customWidth="1"/>
    <col min="330" max="330" width="8" bestFit="1" customWidth="1"/>
    <col min="331" max="331" width="9" bestFit="1" customWidth="1"/>
    <col min="332" max="332" width="23.7109375" bestFit="1" customWidth="1"/>
    <col min="333" max="333" width="13.28515625" bestFit="1" customWidth="1"/>
    <col min="334" max="334" width="16.85546875" bestFit="1" customWidth="1"/>
    <col min="335" max="335" width="24.85546875" bestFit="1" customWidth="1"/>
    <col min="336" max="336" width="22.5703125" bestFit="1" customWidth="1"/>
    <col min="337" max="337" width="19.85546875" bestFit="1" customWidth="1"/>
    <col min="338" max="338" width="23.42578125" bestFit="1" customWidth="1"/>
    <col min="339" max="339" width="31.85546875" bestFit="1" customWidth="1"/>
    <col min="340" max="340" width="29.42578125" bestFit="1" customWidth="1"/>
    <col min="341" max="341" width="28.7109375" bestFit="1" customWidth="1"/>
    <col min="342" max="342" width="29.7109375" bestFit="1" customWidth="1"/>
    <col min="343" max="343" width="24" bestFit="1" customWidth="1"/>
    <col min="344" max="344" width="15.85546875" customWidth="1"/>
    <col min="345" max="345" width="9.140625" bestFit="1" customWidth="1"/>
    <col min="346" max="346" width="8" bestFit="1" customWidth="1"/>
    <col min="347" max="347" width="9" bestFit="1" customWidth="1"/>
    <col min="348" max="348" width="23.7109375" bestFit="1" customWidth="1"/>
    <col min="349" max="349" width="13.28515625" bestFit="1" customWidth="1"/>
    <col min="350" max="350" width="16.85546875" bestFit="1" customWidth="1"/>
    <col min="351" max="351" width="24.85546875" bestFit="1" customWidth="1"/>
    <col min="352" max="352" width="22.5703125" bestFit="1" customWidth="1"/>
    <col min="353" max="353" width="19.85546875" bestFit="1" customWidth="1"/>
    <col min="354" max="354" width="23.42578125" bestFit="1" customWidth="1"/>
    <col min="355" max="355" width="31.85546875" bestFit="1" customWidth="1"/>
    <col min="356" max="356" width="29.42578125" bestFit="1" customWidth="1"/>
    <col min="357" max="357" width="28.7109375" bestFit="1" customWidth="1"/>
    <col min="358" max="358" width="29.7109375" bestFit="1" customWidth="1"/>
    <col min="359" max="359" width="24" bestFit="1" customWidth="1"/>
    <col min="360" max="360" width="15.85546875" customWidth="1"/>
    <col min="361" max="361" width="9.140625" bestFit="1" customWidth="1"/>
    <col min="362" max="362" width="8" bestFit="1" customWidth="1"/>
    <col min="363" max="363" width="9" bestFit="1" customWidth="1"/>
    <col min="364" max="364" width="23.7109375" bestFit="1" customWidth="1"/>
    <col min="365" max="365" width="13.28515625" bestFit="1" customWidth="1"/>
    <col min="366" max="366" width="16.85546875" bestFit="1" customWidth="1"/>
    <col min="367" max="367" width="24.85546875" bestFit="1" customWidth="1"/>
    <col min="368" max="368" width="22.5703125" bestFit="1" customWidth="1"/>
    <col min="369" max="369" width="19.85546875" bestFit="1" customWidth="1"/>
    <col min="370" max="370" width="23.42578125" bestFit="1" customWidth="1"/>
    <col min="371" max="371" width="31.85546875" bestFit="1" customWidth="1"/>
    <col min="372" max="372" width="29.42578125" bestFit="1" customWidth="1"/>
    <col min="373" max="373" width="28.7109375" bestFit="1" customWidth="1"/>
    <col min="374" max="374" width="29.7109375" bestFit="1" customWidth="1"/>
    <col min="375" max="375" width="24" bestFit="1" customWidth="1"/>
    <col min="376" max="376" width="15.85546875" customWidth="1"/>
    <col min="377" max="377" width="9.140625" bestFit="1" customWidth="1"/>
    <col min="378" max="378" width="8" bestFit="1" customWidth="1"/>
    <col min="379" max="379" width="9" bestFit="1" customWidth="1"/>
    <col min="380" max="380" width="23.7109375" bestFit="1" customWidth="1"/>
    <col min="381" max="381" width="13.28515625" bestFit="1" customWidth="1"/>
    <col min="382" max="382" width="16.85546875" bestFit="1" customWidth="1"/>
    <col min="383" max="383" width="24.85546875" bestFit="1" customWidth="1"/>
    <col min="384" max="384" width="22.5703125" bestFit="1" customWidth="1"/>
    <col min="385" max="385" width="19.85546875" bestFit="1" customWidth="1"/>
    <col min="386" max="386" width="23.42578125" bestFit="1" customWidth="1"/>
    <col min="387" max="387" width="31.85546875" bestFit="1" customWidth="1"/>
    <col min="388" max="388" width="29.42578125" bestFit="1" customWidth="1"/>
    <col min="389" max="389" width="28.7109375" bestFit="1" customWidth="1"/>
    <col min="390" max="390" width="29.7109375" bestFit="1" customWidth="1"/>
    <col min="391" max="391" width="24" bestFit="1" customWidth="1"/>
    <col min="392" max="392" width="15.85546875" customWidth="1"/>
    <col min="393" max="393" width="9.140625" bestFit="1" customWidth="1"/>
    <col min="394" max="394" width="8" bestFit="1" customWidth="1"/>
    <col min="395" max="395" width="9" bestFit="1" customWidth="1"/>
    <col min="396" max="396" width="23.7109375" bestFit="1" customWidth="1"/>
    <col min="397" max="397" width="13.28515625" bestFit="1" customWidth="1"/>
    <col min="398" max="398" width="16.85546875" bestFit="1" customWidth="1"/>
    <col min="399" max="399" width="24.85546875" bestFit="1" customWidth="1"/>
    <col min="400" max="400" width="22.5703125" bestFit="1" customWidth="1"/>
    <col min="401" max="401" width="19.85546875" bestFit="1" customWidth="1"/>
    <col min="402" max="402" width="23.42578125" bestFit="1" customWidth="1"/>
    <col min="403" max="403" width="31.85546875" bestFit="1" customWidth="1"/>
    <col min="404" max="404" width="29.42578125" bestFit="1" customWidth="1"/>
    <col min="405" max="405" width="28.7109375" bestFit="1" customWidth="1"/>
    <col min="406" max="406" width="29.7109375" bestFit="1" customWidth="1"/>
    <col min="407" max="407" width="24" bestFit="1" customWidth="1"/>
    <col min="408" max="408" width="15.85546875" customWidth="1"/>
    <col min="409" max="409" width="9.140625" bestFit="1" customWidth="1"/>
    <col min="410" max="410" width="8" bestFit="1" customWidth="1"/>
    <col min="411" max="411" width="9" bestFit="1" customWidth="1"/>
    <col min="412" max="412" width="23.7109375" bestFit="1" customWidth="1"/>
    <col min="413" max="413" width="13.28515625" bestFit="1" customWidth="1"/>
    <col min="414" max="414" width="16.85546875" bestFit="1" customWidth="1"/>
    <col min="415" max="415" width="24.85546875" bestFit="1" customWidth="1"/>
    <col min="416" max="416" width="22.5703125" bestFit="1" customWidth="1"/>
    <col min="417" max="417" width="19.85546875" bestFit="1" customWidth="1"/>
    <col min="418" max="418" width="23.42578125" bestFit="1" customWidth="1"/>
    <col min="419" max="419" width="31.85546875" bestFit="1" customWidth="1"/>
    <col min="420" max="420" width="29.42578125" bestFit="1" customWidth="1"/>
    <col min="421" max="421" width="28.7109375" bestFit="1" customWidth="1"/>
    <col min="422" max="422" width="29.7109375" bestFit="1" customWidth="1"/>
    <col min="423" max="423" width="24" bestFit="1" customWidth="1"/>
    <col min="424" max="424" width="15.85546875" customWidth="1"/>
    <col min="425" max="425" width="15.42578125" bestFit="1" customWidth="1"/>
    <col min="426" max="426" width="8" bestFit="1" customWidth="1"/>
    <col min="427" max="427" width="9" bestFit="1" customWidth="1"/>
    <col min="428" max="428" width="23.7109375" bestFit="1" customWidth="1"/>
    <col min="429" max="429" width="13.28515625" bestFit="1" customWidth="1"/>
    <col min="430" max="430" width="16.85546875" bestFit="1" customWidth="1"/>
    <col min="431" max="431" width="24.85546875" bestFit="1" customWidth="1"/>
    <col min="432" max="432" width="22.5703125" bestFit="1" customWidth="1"/>
    <col min="433" max="433" width="19.85546875" bestFit="1" customWidth="1"/>
    <col min="434" max="434" width="23.42578125" bestFit="1" customWidth="1"/>
    <col min="435" max="435" width="31.85546875" bestFit="1" customWidth="1"/>
    <col min="436" max="436" width="29.42578125" bestFit="1" customWidth="1"/>
    <col min="437" max="437" width="28.7109375" bestFit="1" customWidth="1"/>
    <col min="438" max="438" width="29.7109375" bestFit="1" customWidth="1"/>
    <col min="439" max="439" width="24" bestFit="1" customWidth="1"/>
    <col min="440" max="440" width="15.85546875" customWidth="1"/>
    <col min="441" max="441" width="17.140625" bestFit="1" customWidth="1"/>
    <col min="442" max="442" width="8" bestFit="1" customWidth="1"/>
    <col min="443" max="443" width="9" bestFit="1" customWidth="1"/>
    <col min="444" max="444" width="23.7109375" bestFit="1" customWidth="1"/>
    <col min="445" max="445" width="13.28515625" bestFit="1" customWidth="1"/>
    <col min="446" max="446" width="16.85546875" bestFit="1" customWidth="1"/>
    <col min="447" max="447" width="24.85546875" bestFit="1" customWidth="1"/>
    <col min="448" max="448" width="22.5703125" bestFit="1" customWidth="1"/>
    <col min="449" max="449" width="19.85546875" bestFit="1" customWidth="1"/>
    <col min="450" max="450" width="23.42578125" bestFit="1" customWidth="1"/>
    <col min="451" max="451" width="31.85546875" bestFit="1" customWidth="1"/>
    <col min="452" max="452" width="29.42578125" bestFit="1" customWidth="1"/>
    <col min="453" max="453" width="28.7109375" bestFit="1" customWidth="1"/>
    <col min="454" max="454" width="29.7109375" bestFit="1" customWidth="1"/>
    <col min="455" max="455" width="24" bestFit="1" customWidth="1"/>
  </cols>
  <sheetData>
    <row r="3" spans="1:19" ht="13.9">
      <c r="A3" s="440" t="s">
        <v>381</v>
      </c>
      <c r="B3" s="440" t="s">
        <v>382</v>
      </c>
      <c r="C3" s="354"/>
      <c r="D3" s="354"/>
      <c r="E3" s="354"/>
      <c r="F3" s="354"/>
      <c r="G3" s="354"/>
      <c r="H3" s="354"/>
      <c r="I3" s="354"/>
      <c r="J3" s="354"/>
      <c r="K3" s="354"/>
      <c r="L3" s="453"/>
      <c r="M3" s="354"/>
      <c r="N3" s="354"/>
      <c r="O3" s="354"/>
      <c r="P3" s="354"/>
      <c r="Q3" s="354"/>
      <c r="R3" s="354"/>
      <c r="S3" s="453"/>
    </row>
    <row r="4" spans="1:19" ht="14.25" customHeight="1">
      <c r="A4" s="578" t="s">
        <v>383</v>
      </c>
      <c r="B4" s="589"/>
      <c r="C4" s="2148" t="s">
        <v>384</v>
      </c>
      <c r="D4" s="354"/>
      <c r="E4" s="354"/>
      <c r="F4" s="354"/>
      <c r="G4" s="354"/>
      <c r="H4" s="1134" t="s">
        <v>79</v>
      </c>
      <c r="I4" s="1135">
        <v>0</v>
      </c>
      <c r="J4" s="1135">
        <f>+'Summary Total Pigs'!AF74</f>
        <v>0</v>
      </c>
      <c r="K4" s="354">
        <f>+I4-J4</f>
        <v>0</v>
      </c>
      <c r="L4" s="354"/>
      <c r="M4" s="354"/>
      <c r="N4" s="354"/>
      <c r="O4" s="354"/>
      <c r="P4" s="354"/>
      <c r="Q4" s="354"/>
      <c r="R4" s="354"/>
      <c r="S4" s="354"/>
    </row>
    <row r="5" spans="1:19" ht="14.25" customHeight="1">
      <c r="A5" s="578" t="s">
        <v>385</v>
      </c>
      <c r="B5" s="589"/>
      <c r="C5" s="2149"/>
      <c r="D5" s="354"/>
      <c r="E5" s="354"/>
      <c r="F5" s="354"/>
      <c r="G5" s="354"/>
      <c r="H5" s="1134" t="s">
        <v>55</v>
      </c>
      <c r="I5" s="1135">
        <v>0</v>
      </c>
      <c r="J5" s="1135">
        <f>+'Summary Total Pigs'!AF73</f>
        <v>0</v>
      </c>
      <c r="K5" s="354">
        <f>+I5-J5</f>
        <v>0</v>
      </c>
      <c r="L5" s="357"/>
      <c r="M5" s="354"/>
      <c r="N5" s="354"/>
      <c r="O5" s="354"/>
      <c r="P5" s="354"/>
      <c r="Q5" s="354"/>
      <c r="R5" s="354"/>
      <c r="S5" s="357"/>
    </row>
    <row r="6" spans="1:19" ht="14.25" customHeight="1">
      <c r="A6" s="578" t="s">
        <v>386</v>
      </c>
      <c r="B6" s="589"/>
      <c r="C6" s="2149"/>
      <c r="D6" s="354"/>
      <c r="E6" s="354"/>
      <c r="F6" s="354"/>
      <c r="G6" s="354"/>
      <c r="H6" s="1134" t="s">
        <v>50</v>
      </c>
      <c r="I6" s="1135">
        <v>0</v>
      </c>
      <c r="J6" s="1135">
        <f>+'Summary Total Pigs'!AF72</f>
        <v>0</v>
      </c>
      <c r="K6" s="354">
        <f>+I6-J6</f>
        <v>0</v>
      </c>
      <c r="L6" s="354"/>
      <c r="M6" s="354"/>
      <c r="N6" s="354"/>
      <c r="O6" s="354"/>
      <c r="P6" s="354"/>
      <c r="Q6" s="354"/>
      <c r="R6" s="354"/>
      <c r="S6" s="354"/>
    </row>
    <row r="7" spans="1:19" ht="14.25" customHeight="1">
      <c r="A7" s="578" t="s">
        <v>387</v>
      </c>
      <c r="B7" s="589"/>
      <c r="C7" s="2150"/>
      <c r="D7" s="354">
        <f>SUM(B4:B7)</f>
        <v>0</v>
      </c>
      <c r="E7" s="354">
        <f>+'Summary Total Pigs'!AF69</f>
        <v>0</v>
      </c>
      <c r="F7" s="580">
        <f>+D7-E7</f>
        <v>0</v>
      </c>
      <c r="G7" s="357" t="s">
        <v>390</v>
      </c>
      <c r="H7" s="1134" t="s">
        <v>71</v>
      </c>
      <c r="I7" s="1135">
        <f>SUM(I4:I6)</f>
        <v>0</v>
      </c>
      <c r="J7" s="1135">
        <f>SUM(J4:J6)</f>
        <v>0</v>
      </c>
      <c r="K7" s="580">
        <f>SUM(K4:K6)</f>
        <v>0</v>
      </c>
      <c r="L7" s="354" t="s">
        <v>207</v>
      </c>
      <c r="M7" s="354"/>
      <c r="N7" s="354"/>
      <c r="O7" s="354"/>
      <c r="P7" s="354"/>
      <c r="Q7" s="354"/>
      <c r="R7" s="354"/>
      <c r="S7" s="354"/>
    </row>
    <row r="8" spans="1:19" ht="14.25" customHeight="1">
      <c r="A8" s="1136" t="s">
        <v>388</v>
      </c>
      <c r="B8" s="1136">
        <v>104</v>
      </c>
      <c r="C8" s="2151" t="s">
        <v>389</v>
      </c>
      <c r="D8" s="354"/>
      <c r="E8" s="354"/>
      <c r="F8" s="354"/>
      <c r="G8" s="354"/>
      <c r="H8" s="354"/>
      <c r="I8" s="354"/>
      <c r="J8" s="354"/>
      <c r="K8" s="357"/>
      <c r="L8" s="354"/>
      <c r="M8" s="354"/>
      <c r="N8" s="354"/>
      <c r="O8" s="354"/>
      <c r="P8" s="357"/>
      <c r="Q8" s="354"/>
      <c r="R8" s="354"/>
      <c r="S8" s="357"/>
    </row>
    <row r="9" spans="1:19" ht="14.25" customHeight="1">
      <c r="A9" s="1136" t="s">
        <v>391</v>
      </c>
      <c r="B9" s="1136">
        <v>93</v>
      </c>
      <c r="C9" s="2152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</row>
    <row r="10" spans="1:19" ht="14.25" customHeight="1">
      <c r="A10" s="1136" t="s">
        <v>392</v>
      </c>
      <c r="B10" s="1136">
        <v>137</v>
      </c>
      <c r="C10" s="2152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</row>
    <row r="11" spans="1:19" ht="14.25" customHeight="1">
      <c r="A11" s="1136" t="s">
        <v>393</v>
      </c>
      <c r="B11" s="1136">
        <v>140</v>
      </c>
      <c r="C11" s="2152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</row>
    <row r="12" spans="1:19" ht="14.25" customHeight="1">
      <c r="A12" s="1136" t="s">
        <v>394</v>
      </c>
      <c r="B12" s="1136">
        <v>105</v>
      </c>
      <c r="C12" s="2152"/>
      <c r="D12" s="354">
        <f>SUM(B8:B13)</f>
        <v>791</v>
      </c>
      <c r="E12" s="354">
        <f>+'Summary Total Pigs'!AF70</f>
        <v>791</v>
      </c>
      <c r="F12" s="580">
        <f>+D12-E12</f>
        <v>0</v>
      </c>
      <c r="G12" s="357" t="s">
        <v>390</v>
      </c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</row>
    <row r="13" spans="1:19" ht="14.25" customHeight="1">
      <c r="A13" s="1136" t="s">
        <v>395</v>
      </c>
      <c r="B13" s="1136">
        <v>212</v>
      </c>
      <c r="C13" s="2153"/>
      <c r="D13" s="354"/>
      <c r="E13" s="354"/>
      <c r="F13" s="357"/>
      <c r="G13" s="354"/>
      <c r="H13" s="354"/>
      <c r="I13" s="354"/>
      <c r="J13" s="354"/>
      <c r="K13" s="354"/>
      <c r="L13" s="354"/>
      <c r="M13" s="354"/>
      <c r="N13" s="354"/>
      <c r="O13" s="354"/>
      <c r="P13" s="354"/>
      <c r="Q13" s="354"/>
      <c r="R13" s="354"/>
      <c r="S13" s="354"/>
    </row>
    <row r="14" spans="1:19" ht="14.25" customHeight="1">
      <c r="A14" s="579" t="s">
        <v>396</v>
      </c>
      <c r="B14" s="579">
        <v>216</v>
      </c>
      <c r="C14" s="2154" t="s">
        <v>397</v>
      </c>
      <c r="D14" s="354"/>
      <c r="E14" s="354"/>
      <c r="F14" s="357"/>
      <c r="G14" s="354"/>
      <c r="H14" s="354"/>
      <c r="I14" s="354"/>
      <c r="J14" s="354"/>
      <c r="K14" s="354"/>
      <c r="L14" s="357"/>
      <c r="M14" s="354"/>
      <c r="N14" s="354"/>
      <c r="O14" s="354"/>
      <c r="P14" s="354"/>
      <c r="Q14" s="357"/>
      <c r="R14" s="354"/>
      <c r="S14" s="354"/>
    </row>
    <row r="15" spans="1:19" ht="14.25" customHeight="1">
      <c r="A15" s="579" t="s">
        <v>398</v>
      </c>
      <c r="B15" s="579">
        <v>199</v>
      </c>
      <c r="C15" s="2155"/>
      <c r="D15" s="354"/>
      <c r="E15" s="354"/>
      <c r="F15" s="354"/>
      <c r="G15" s="354"/>
      <c r="H15" s="354"/>
      <c r="I15" s="354"/>
      <c r="J15" s="354"/>
      <c r="K15" s="354"/>
      <c r="L15" s="357"/>
      <c r="M15" s="354"/>
      <c r="N15" s="354"/>
      <c r="O15" s="354"/>
      <c r="P15" s="354"/>
      <c r="Q15" s="357"/>
      <c r="R15" s="354"/>
      <c r="S15" s="354"/>
    </row>
    <row r="16" spans="1:19" ht="14.25" customHeight="1">
      <c r="A16" s="579" t="s">
        <v>399</v>
      </c>
      <c r="B16" s="579">
        <v>210</v>
      </c>
      <c r="C16" s="2155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</row>
    <row r="17" spans="1:19" ht="14.25" customHeight="1">
      <c r="A17" s="579" t="s">
        <v>400</v>
      </c>
      <c r="B17" s="579">
        <v>190</v>
      </c>
      <c r="C17" s="2155"/>
      <c r="D17" s="354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</row>
    <row r="18" spans="1:19" ht="14.25" customHeight="1">
      <c r="A18" s="579" t="s">
        <v>401</v>
      </c>
      <c r="B18" s="579">
        <v>182</v>
      </c>
      <c r="C18" s="2155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</row>
    <row r="19" spans="1:19" ht="14.25" customHeight="1">
      <c r="A19" s="579" t="s">
        <v>402</v>
      </c>
      <c r="B19" s="579">
        <v>182</v>
      </c>
      <c r="C19" s="2155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</row>
    <row r="20" spans="1:19" ht="14.25" customHeight="1">
      <c r="A20" s="579" t="s">
        <v>403</v>
      </c>
      <c r="B20" s="579">
        <v>177</v>
      </c>
      <c r="C20" s="2155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</row>
    <row r="21" spans="1:19" ht="14.25" customHeight="1">
      <c r="A21" s="579" t="s">
        <v>404</v>
      </c>
      <c r="B21" s="579">
        <v>236</v>
      </c>
      <c r="C21" s="2155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</row>
    <row r="22" spans="1:19" ht="14.25" customHeight="1">
      <c r="A22" s="579" t="s">
        <v>405</v>
      </c>
      <c r="B22" s="579">
        <v>262</v>
      </c>
      <c r="C22" s="2155"/>
      <c r="D22" s="354"/>
      <c r="E22" s="354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</row>
    <row r="23" spans="1:19" ht="14.25" customHeight="1">
      <c r="A23" s="579" t="s">
        <v>406</v>
      </c>
      <c r="B23" s="579">
        <v>220</v>
      </c>
      <c r="C23" s="2155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</row>
    <row r="24" spans="1:19" ht="14.25" customHeight="1">
      <c r="A24" s="579" t="s">
        <v>407</v>
      </c>
      <c r="B24" s="579">
        <v>214</v>
      </c>
      <c r="C24" s="2155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</row>
    <row r="25" spans="1:19" ht="14.25" customHeight="1">
      <c r="A25" s="579" t="s">
        <v>408</v>
      </c>
      <c r="B25" s="579">
        <v>191</v>
      </c>
      <c r="C25" s="2155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</row>
    <row r="26" spans="1:19" ht="14.25" customHeight="1">
      <c r="A26" s="579" t="s">
        <v>409</v>
      </c>
      <c r="B26" s="579"/>
      <c r="C26" s="2155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</row>
    <row r="27" spans="1:19" ht="14.25" customHeight="1">
      <c r="A27" s="579" t="s">
        <v>410</v>
      </c>
      <c r="B27" s="579"/>
      <c r="C27" s="2155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</row>
    <row r="28" spans="1:19" ht="14.25" customHeight="1">
      <c r="A28" s="579" t="s">
        <v>411</v>
      </c>
      <c r="B28" s="579"/>
      <c r="C28" s="2155"/>
      <c r="D28" s="354">
        <f>SUM(B14:B29)</f>
        <v>2479</v>
      </c>
      <c r="E28" s="354">
        <f>+'Summary Total Pigs'!AF71</f>
        <v>2479</v>
      </c>
      <c r="F28" s="580">
        <f>+D28-E28</f>
        <v>0</v>
      </c>
      <c r="G28" s="357" t="s">
        <v>390</v>
      </c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</row>
    <row r="29" spans="1:19" ht="14.25" customHeight="1">
      <c r="A29" s="579"/>
      <c r="B29" s="579"/>
      <c r="C29" s="2156"/>
      <c r="D29" s="354"/>
      <c r="E29" s="354"/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</row>
  </sheetData>
  <mergeCells count="3">
    <mergeCell ref="C4:C7"/>
    <mergeCell ref="C8:C13"/>
    <mergeCell ref="C14:C29"/>
  </mergeCells>
  <pageMargins left="0.7" right="0.7" top="0.75" bottom="0.75" header="0.3" footer="0.3"/>
  <pageSetup paperSize="9" scale="4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</sheetPr>
  <dimension ref="A3:S29"/>
  <sheetViews>
    <sheetView view="pageBreakPreview" zoomScale="70" zoomScaleNormal="100" zoomScaleSheetLayoutView="70" workbookViewId="0">
      <pane xSplit="2" ySplit="1" topLeftCell="C2" activePane="bottomRight" state="frozen"/>
      <selection pane="bottomRight" activeCell="E12" sqref="E12"/>
      <selection pane="bottomLeft" activeCell="A5" sqref="A5"/>
      <selection pane="topRight" activeCell="C1" sqref="C1"/>
    </sheetView>
  </sheetViews>
  <sheetFormatPr defaultRowHeight="13.15"/>
  <cols>
    <col min="1" max="1" width="18.85546875" bestFit="1" customWidth="1"/>
    <col min="2" max="2" width="17.85546875" bestFit="1" customWidth="1"/>
    <col min="3" max="3" width="12.28515625" bestFit="1" customWidth="1"/>
    <col min="4" max="4" width="8" bestFit="1" customWidth="1"/>
    <col min="5" max="5" width="9.42578125" bestFit="1" customWidth="1"/>
    <col min="6" max="6" width="14.85546875" bestFit="1" customWidth="1"/>
    <col min="7" max="7" width="10.5703125" bestFit="1" customWidth="1"/>
    <col min="8" max="8" width="22" bestFit="1" customWidth="1"/>
    <col min="9" max="9" width="14.7109375" bestFit="1" customWidth="1"/>
    <col min="10" max="10" width="14.140625" bestFit="1" customWidth="1"/>
    <col min="11" max="12" width="14" bestFit="1" customWidth="1"/>
    <col min="13" max="13" width="26.28515625" bestFit="1" customWidth="1"/>
    <col min="14" max="14" width="14" bestFit="1" customWidth="1"/>
    <col min="15" max="15" width="18" bestFit="1" customWidth="1"/>
    <col min="17" max="17" width="7.5703125" bestFit="1" customWidth="1"/>
    <col min="18" max="18" width="11" bestFit="1" customWidth="1"/>
    <col min="20" max="20" width="14.85546875" bestFit="1" customWidth="1"/>
    <col min="21" max="21" width="10.5703125" bestFit="1" customWidth="1"/>
    <col min="22" max="22" width="14.42578125" bestFit="1" customWidth="1"/>
    <col min="23" max="23" width="14.7109375" bestFit="1" customWidth="1"/>
    <col min="24" max="24" width="14.140625" bestFit="1" customWidth="1"/>
    <col min="25" max="27" width="14" bestFit="1" customWidth="1"/>
    <col min="28" max="28" width="15.42578125" bestFit="1" customWidth="1"/>
    <col min="29" max="29" width="18" bestFit="1" customWidth="1"/>
    <col min="32" max="32" width="8" bestFit="1" customWidth="1"/>
    <col min="33" max="33" width="9.42578125" bestFit="1" customWidth="1"/>
    <col min="34" max="34" width="14.85546875" bestFit="1" customWidth="1"/>
    <col min="35" max="35" width="10.5703125" bestFit="1" customWidth="1"/>
    <col min="36" max="36" width="14.42578125" bestFit="1" customWidth="1"/>
    <col min="37" max="37" width="14.7109375" bestFit="1" customWidth="1"/>
    <col min="38" max="38" width="14.140625" bestFit="1" customWidth="1"/>
    <col min="39" max="41" width="14" bestFit="1" customWidth="1"/>
    <col min="42" max="42" width="15.42578125" bestFit="1" customWidth="1"/>
    <col min="43" max="43" width="18" bestFit="1" customWidth="1"/>
    <col min="46" max="46" width="8" bestFit="1" customWidth="1"/>
    <col min="47" max="47" width="9.42578125" bestFit="1" customWidth="1"/>
    <col min="48" max="48" width="14.85546875" bestFit="1" customWidth="1"/>
    <col min="49" max="49" width="10.5703125" bestFit="1" customWidth="1"/>
    <col min="50" max="50" width="14.42578125" bestFit="1" customWidth="1"/>
    <col min="51" max="51" width="14.7109375" bestFit="1" customWidth="1"/>
    <col min="52" max="52" width="14.140625" bestFit="1" customWidth="1"/>
    <col min="53" max="55" width="14" bestFit="1" customWidth="1"/>
    <col min="56" max="56" width="15.42578125" bestFit="1" customWidth="1"/>
    <col min="57" max="57" width="18" bestFit="1" customWidth="1"/>
    <col min="60" max="60" width="8" bestFit="1" customWidth="1"/>
    <col min="61" max="61" width="9.42578125" bestFit="1" customWidth="1"/>
    <col min="62" max="62" width="14.85546875" bestFit="1" customWidth="1"/>
    <col min="63" max="63" width="10.5703125" bestFit="1" customWidth="1"/>
    <col min="64" max="64" width="14.42578125" bestFit="1" customWidth="1"/>
    <col min="65" max="65" width="14.7109375" bestFit="1" customWidth="1"/>
    <col min="66" max="66" width="14.140625" bestFit="1" customWidth="1"/>
    <col min="67" max="69" width="14" bestFit="1" customWidth="1"/>
    <col min="70" max="70" width="15.42578125" bestFit="1" customWidth="1"/>
    <col min="71" max="71" width="18" bestFit="1" customWidth="1"/>
    <col min="74" max="74" width="8" bestFit="1" customWidth="1"/>
    <col min="75" max="75" width="9" bestFit="1" customWidth="1"/>
    <col min="76" max="76" width="19.85546875" bestFit="1" customWidth="1"/>
    <col min="77" max="77" width="13.28515625" bestFit="1" customWidth="1"/>
    <col min="78" max="78" width="16.85546875" bestFit="1" customWidth="1"/>
    <col min="79" max="79" width="13.7109375" bestFit="1" customWidth="1"/>
    <col min="80" max="80" width="22.5703125" bestFit="1" customWidth="1"/>
    <col min="81" max="81" width="19.85546875" bestFit="1" customWidth="1"/>
    <col min="82" max="82" width="23.42578125" bestFit="1" customWidth="1"/>
    <col min="83" max="83" width="19.140625" bestFit="1" customWidth="1"/>
    <col min="84" max="84" width="23.7109375" bestFit="1" customWidth="1"/>
    <col min="85" max="85" width="18" bestFit="1" customWidth="1"/>
    <col min="86" max="86" width="16.5703125" bestFit="1" customWidth="1"/>
    <col min="87" max="87" width="18.7109375" bestFit="1" customWidth="1"/>
    <col min="90" max="90" width="8" bestFit="1" customWidth="1"/>
    <col min="91" max="91" width="9" bestFit="1" customWidth="1"/>
    <col min="92" max="92" width="19.85546875" bestFit="1" customWidth="1"/>
    <col min="93" max="93" width="13.28515625" bestFit="1" customWidth="1"/>
    <col min="94" max="94" width="16.85546875" bestFit="1" customWidth="1"/>
    <col min="95" max="95" width="13.7109375" bestFit="1" customWidth="1"/>
    <col min="96" max="96" width="22.5703125" bestFit="1" customWidth="1"/>
    <col min="97" max="97" width="19.85546875" bestFit="1" customWidth="1"/>
    <col min="98" max="98" width="23.42578125" bestFit="1" customWidth="1"/>
    <col min="99" max="99" width="19.140625" bestFit="1" customWidth="1"/>
    <col min="100" max="100" width="23.7109375" bestFit="1" customWidth="1"/>
    <col min="101" max="101" width="18" bestFit="1" customWidth="1"/>
    <col min="102" max="102" width="16.5703125" bestFit="1" customWidth="1"/>
    <col min="103" max="103" width="18.7109375" bestFit="1" customWidth="1"/>
    <col min="105" max="105" width="8.28515625" bestFit="1" customWidth="1"/>
    <col min="106" max="106" width="8" bestFit="1" customWidth="1"/>
    <col min="107" max="107" width="9" bestFit="1" customWidth="1"/>
    <col min="108" max="108" width="19.85546875" bestFit="1" customWidth="1"/>
    <col min="109" max="109" width="13.28515625" bestFit="1" customWidth="1"/>
    <col min="110" max="110" width="16.85546875" bestFit="1" customWidth="1"/>
    <col min="111" max="111" width="13.7109375" bestFit="1" customWidth="1"/>
    <col min="112" max="112" width="22.5703125" bestFit="1" customWidth="1"/>
    <col min="113" max="113" width="19.85546875" bestFit="1" customWidth="1"/>
    <col min="114" max="114" width="23.42578125" bestFit="1" customWidth="1"/>
    <col min="115" max="115" width="19.140625" bestFit="1" customWidth="1"/>
    <col min="116" max="116" width="23.7109375" bestFit="1" customWidth="1"/>
    <col min="117" max="117" width="18" bestFit="1" customWidth="1"/>
    <col min="118" max="118" width="16.5703125" bestFit="1" customWidth="1"/>
    <col min="119" max="119" width="18.7109375" bestFit="1" customWidth="1"/>
    <col min="121" max="121" width="8.28515625" bestFit="1" customWidth="1"/>
    <col min="122" max="122" width="8" bestFit="1" customWidth="1"/>
    <col min="123" max="123" width="9" bestFit="1" customWidth="1"/>
    <col min="124" max="124" width="19.85546875" bestFit="1" customWidth="1"/>
    <col min="125" max="125" width="13.28515625" bestFit="1" customWidth="1"/>
    <col min="126" max="126" width="16.85546875" bestFit="1" customWidth="1"/>
    <col min="127" max="127" width="13.7109375" bestFit="1" customWidth="1"/>
    <col min="128" max="128" width="22.5703125" bestFit="1" customWidth="1"/>
    <col min="129" max="129" width="19.85546875" bestFit="1" customWidth="1"/>
    <col min="130" max="130" width="23.42578125" bestFit="1" customWidth="1"/>
    <col min="131" max="131" width="19.140625" bestFit="1" customWidth="1"/>
    <col min="132" max="132" width="23.7109375" bestFit="1" customWidth="1"/>
    <col min="133" max="133" width="18" bestFit="1" customWidth="1"/>
    <col min="134" max="134" width="16.5703125" bestFit="1" customWidth="1"/>
    <col min="135" max="135" width="18.7109375" bestFit="1" customWidth="1"/>
    <col min="137" max="137" width="8.28515625" bestFit="1" customWidth="1"/>
    <col min="138" max="138" width="8" bestFit="1" customWidth="1"/>
    <col min="139" max="139" width="9" bestFit="1" customWidth="1"/>
    <col min="140" max="140" width="19.85546875" bestFit="1" customWidth="1"/>
    <col min="141" max="141" width="13.28515625" bestFit="1" customWidth="1"/>
    <col min="142" max="142" width="16.85546875" bestFit="1" customWidth="1"/>
    <col min="143" max="143" width="13.7109375" bestFit="1" customWidth="1"/>
    <col min="144" max="144" width="22.5703125" bestFit="1" customWidth="1"/>
    <col min="145" max="145" width="19.85546875" bestFit="1" customWidth="1"/>
    <col min="146" max="146" width="23.42578125" bestFit="1" customWidth="1"/>
    <col min="147" max="147" width="19.140625" bestFit="1" customWidth="1"/>
    <col min="148" max="148" width="23.7109375" bestFit="1" customWidth="1"/>
    <col min="149" max="149" width="18" bestFit="1" customWidth="1"/>
    <col min="150" max="150" width="16.5703125" bestFit="1" customWidth="1"/>
    <col min="151" max="151" width="18.7109375" bestFit="1" customWidth="1"/>
    <col min="153" max="153" width="7.7109375" bestFit="1" customWidth="1"/>
    <col min="154" max="154" width="8" bestFit="1" customWidth="1"/>
    <col min="155" max="155" width="9" bestFit="1" customWidth="1"/>
    <col min="156" max="156" width="19.85546875" bestFit="1" customWidth="1"/>
    <col min="157" max="157" width="13.28515625" bestFit="1" customWidth="1"/>
    <col min="158" max="158" width="16.85546875" bestFit="1" customWidth="1"/>
    <col min="159" max="159" width="13.7109375" bestFit="1" customWidth="1"/>
    <col min="160" max="160" width="22.5703125" bestFit="1" customWidth="1"/>
    <col min="161" max="161" width="19.85546875" bestFit="1" customWidth="1"/>
    <col min="162" max="162" width="23.42578125" bestFit="1" customWidth="1"/>
    <col min="163" max="163" width="19.140625" bestFit="1" customWidth="1"/>
    <col min="164" max="164" width="23.7109375" bestFit="1" customWidth="1"/>
    <col min="165" max="165" width="18" bestFit="1" customWidth="1"/>
    <col min="166" max="166" width="16.5703125" bestFit="1" customWidth="1"/>
    <col min="167" max="167" width="18.7109375" bestFit="1" customWidth="1"/>
    <col min="169" max="169" width="7.7109375" bestFit="1" customWidth="1"/>
    <col min="170" max="170" width="8" bestFit="1" customWidth="1"/>
    <col min="171" max="171" width="9" bestFit="1" customWidth="1"/>
    <col min="172" max="172" width="19.85546875" bestFit="1" customWidth="1"/>
    <col min="173" max="173" width="13.28515625" bestFit="1" customWidth="1"/>
    <col min="174" max="174" width="16.85546875" bestFit="1" customWidth="1"/>
    <col min="175" max="175" width="13.7109375" bestFit="1" customWidth="1"/>
    <col min="176" max="176" width="22.5703125" bestFit="1" customWidth="1"/>
    <col min="177" max="177" width="19.85546875" bestFit="1" customWidth="1"/>
    <col min="178" max="178" width="23.42578125" bestFit="1" customWidth="1"/>
    <col min="179" max="179" width="19.140625" bestFit="1" customWidth="1"/>
    <col min="180" max="180" width="23.7109375" bestFit="1" customWidth="1"/>
    <col min="181" max="181" width="18" bestFit="1" customWidth="1"/>
    <col min="182" max="182" width="16.5703125" bestFit="1" customWidth="1"/>
    <col min="183" max="183" width="18.7109375" bestFit="1" customWidth="1"/>
    <col min="185" max="185" width="7.7109375" bestFit="1" customWidth="1"/>
    <col min="186" max="186" width="8" bestFit="1" customWidth="1"/>
    <col min="187" max="187" width="9" bestFit="1" customWidth="1"/>
    <col min="188" max="188" width="19.85546875" bestFit="1" customWidth="1"/>
    <col min="189" max="189" width="13.28515625" bestFit="1" customWidth="1"/>
    <col min="190" max="190" width="16.85546875" bestFit="1" customWidth="1"/>
    <col min="191" max="191" width="13.7109375" bestFit="1" customWidth="1"/>
    <col min="192" max="192" width="22.5703125" bestFit="1" customWidth="1"/>
    <col min="193" max="193" width="19.85546875" bestFit="1" customWidth="1"/>
    <col min="194" max="194" width="23.42578125" bestFit="1" customWidth="1"/>
    <col min="195" max="195" width="19.140625" bestFit="1" customWidth="1"/>
    <col min="196" max="196" width="23.7109375" bestFit="1" customWidth="1"/>
    <col min="197" max="197" width="18" bestFit="1" customWidth="1"/>
    <col min="198" max="198" width="16.5703125" bestFit="1" customWidth="1"/>
    <col min="199" max="199" width="18.7109375" bestFit="1" customWidth="1"/>
    <col min="201" max="201" width="7.7109375" bestFit="1" customWidth="1"/>
    <col min="202" max="202" width="8" bestFit="1" customWidth="1"/>
    <col min="203" max="203" width="9" bestFit="1" customWidth="1"/>
    <col min="204" max="204" width="19.85546875" bestFit="1" customWidth="1"/>
    <col min="205" max="205" width="13.28515625" bestFit="1" customWidth="1"/>
    <col min="206" max="206" width="16.85546875" bestFit="1" customWidth="1"/>
    <col min="207" max="207" width="13.7109375" bestFit="1" customWidth="1"/>
    <col min="208" max="208" width="22.5703125" bestFit="1" customWidth="1"/>
    <col min="209" max="209" width="19.85546875" bestFit="1" customWidth="1"/>
    <col min="210" max="210" width="23.42578125" bestFit="1" customWidth="1"/>
    <col min="211" max="211" width="19.140625" bestFit="1" customWidth="1"/>
    <col min="212" max="212" width="23.7109375" bestFit="1" customWidth="1"/>
    <col min="213" max="213" width="18" bestFit="1" customWidth="1"/>
    <col min="214" max="214" width="16.5703125" bestFit="1" customWidth="1"/>
    <col min="215" max="215" width="18.7109375" bestFit="1" customWidth="1"/>
    <col min="218" max="218" width="8" bestFit="1" customWidth="1"/>
    <col min="219" max="219" width="9" bestFit="1" customWidth="1"/>
    <col min="220" max="220" width="19.85546875" bestFit="1" customWidth="1"/>
    <col min="221" max="221" width="13.28515625" bestFit="1" customWidth="1"/>
    <col min="222" max="222" width="16.85546875" bestFit="1" customWidth="1"/>
    <col min="223" max="223" width="13.7109375" bestFit="1" customWidth="1"/>
    <col min="224" max="224" width="22.5703125" bestFit="1" customWidth="1"/>
    <col min="225" max="225" width="19.85546875" bestFit="1" customWidth="1"/>
    <col min="226" max="226" width="23.42578125" bestFit="1" customWidth="1"/>
    <col min="227" max="227" width="19.140625" bestFit="1" customWidth="1"/>
    <col min="228" max="228" width="23.7109375" bestFit="1" customWidth="1"/>
    <col min="229" max="229" width="18" bestFit="1" customWidth="1"/>
    <col min="230" max="230" width="16.5703125" bestFit="1" customWidth="1"/>
    <col min="231" max="231" width="18.7109375" bestFit="1" customWidth="1"/>
    <col min="234" max="234" width="8" bestFit="1" customWidth="1"/>
    <col min="235" max="235" width="9" bestFit="1" customWidth="1"/>
    <col min="236" max="236" width="19.85546875" bestFit="1" customWidth="1"/>
    <col min="237" max="237" width="13.28515625" bestFit="1" customWidth="1"/>
    <col min="238" max="238" width="16.85546875" bestFit="1" customWidth="1"/>
    <col min="239" max="239" width="13.7109375" bestFit="1" customWidth="1"/>
    <col min="240" max="240" width="22.5703125" bestFit="1" customWidth="1"/>
    <col min="241" max="241" width="19.85546875" bestFit="1" customWidth="1"/>
    <col min="242" max="242" width="23.42578125" bestFit="1" customWidth="1"/>
    <col min="243" max="243" width="19.140625" bestFit="1" customWidth="1"/>
    <col min="244" max="244" width="23.7109375" bestFit="1" customWidth="1"/>
    <col min="245" max="245" width="18" bestFit="1" customWidth="1"/>
    <col min="246" max="246" width="16.5703125" bestFit="1" customWidth="1"/>
    <col min="247" max="247" width="18.7109375" bestFit="1" customWidth="1"/>
    <col min="250" max="250" width="8" bestFit="1" customWidth="1"/>
    <col min="251" max="251" width="9" bestFit="1" customWidth="1"/>
    <col min="252" max="252" width="19.85546875" bestFit="1" customWidth="1"/>
    <col min="253" max="253" width="13.28515625" bestFit="1" customWidth="1"/>
    <col min="254" max="254" width="16.85546875" bestFit="1" customWidth="1"/>
    <col min="255" max="255" width="13.7109375" bestFit="1" customWidth="1"/>
    <col min="256" max="256" width="22.5703125" bestFit="1" customWidth="1"/>
    <col min="257" max="257" width="19.85546875" bestFit="1" customWidth="1"/>
    <col min="258" max="258" width="23.42578125" bestFit="1" customWidth="1"/>
    <col min="259" max="259" width="19.140625" bestFit="1" customWidth="1"/>
    <col min="260" max="260" width="23.7109375" bestFit="1" customWidth="1"/>
    <col min="261" max="261" width="18" bestFit="1" customWidth="1"/>
    <col min="262" max="262" width="16.5703125" bestFit="1" customWidth="1"/>
    <col min="263" max="263" width="18.7109375" bestFit="1" customWidth="1"/>
    <col min="264" max="264" width="3" bestFit="1" customWidth="1"/>
    <col min="266" max="266" width="8" bestFit="1" customWidth="1"/>
    <col min="267" max="267" width="9" bestFit="1" customWidth="1"/>
    <col min="268" max="268" width="19.85546875" bestFit="1" customWidth="1"/>
    <col min="269" max="269" width="13.28515625" bestFit="1" customWidth="1"/>
    <col min="270" max="270" width="16.85546875" bestFit="1" customWidth="1"/>
    <col min="271" max="271" width="13.7109375" bestFit="1" customWidth="1"/>
    <col min="272" max="272" width="22.5703125" bestFit="1" customWidth="1"/>
    <col min="273" max="273" width="19.85546875" bestFit="1" customWidth="1"/>
    <col min="274" max="274" width="23.42578125" bestFit="1" customWidth="1"/>
    <col min="275" max="275" width="19.140625" bestFit="1" customWidth="1"/>
    <col min="276" max="276" width="23.7109375" bestFit="1" customWidth="1"/>
    <col min="277" max="277" width="18" bestFit="1" customWidth="1"/>
    <col min="278" max="278" width="16.5703125" bestFit="1" customWidth="1"/>
    <col min="279" max="279" width="18.7109375" bestFit="1" customWidth="1"/>
    <col min="282" max="282" width="8" bestFit="1" customWidth="1"/>
    <col min="283" max="283" width="9" bestFit="1" customWidth="1"/>
    <col min="284" max="284" width="19.85546875" bestFit="1" customWidth="1"/>
    <col min="285" max="285" width="13.28515625" bestFit="1" customWidth="1"/>
    <col min="286" max="286" width="16.85546875" bestFit="1" customWidth="1"/>
    <col min="287" max="287" width="13.7109375" bestFit="1" customWidth="1"/>
    <col min="288" max="288" width="22.5703125" bestFit="1" customWidth="1"/>
    <col min="289" max="289" width="19.85546875" bestFit="1" customWidth="1"/>
    <col min="290" max="290" width="23.42578125" bestFit="1" customWidth="1"/>
    <col min="291" max="291" width="19.140625" bestFit="1" customWidth="1"/>
    <col min="292" max="292" width="23.7109375" bestFit="1" customWidth="1"/>
    <col min="293" max="293" width="18" bestFit="1" customWidth="1"/>
    <col min="294" max="294" width="16.5703125" bestFit="1" customWidth="1"/>
    <col min="295" max="295" width="18.7109375" bestFit="1" customWidth="1"/>
    <col min="298" max="298" width="8" bestFit="1" customWidth="1"/>
    <col min="299" max="299" width="9" bestFit="1" customWidth="1"/>
    <col min="300" max="300" width="19.85546875" bestFit="1" customWidth="1"/>
    <col min="301" max="301" width="13.28515625" bestFit="1" customWidth="1"/>
    <col min="302" max="302" width="16.85546875" bestFit="1" customWidth="1"/>
    <col min="303" max="303" width="13.7109375" bestFit="1" customWidth="1"/>
    <col min="304" max="304" width="22.5703125" bestFit="1" customWidth="1"/>
    <col min="305" max="305" width="19.85546875" bestFit="1" customWidth="1"/>
    <col min="306" max="306" width="23.42578125" bestFit="1" customWidth="1"/>
    <col min="307" max="307" width="19.140625" bestFit="1" customWidth="1"/>
    <col min="308" max="308" width="23.7109375" bestFit="1" customWidth="1"/>
    <col min="309" max="309" width="18" bestFit="1" customWidth="1"/>
    <col min="310" max="310" width="16.5703125" bestFit="1" customWidth="1"/>
    <col min="311" max="311" width="18.7109375" bestFit="1" customWidth="1"/>
    <col min="314" max="314" width="8" bestFit="1" customWidth="1"/>
    <col min="315" max="315" width="9" bestFit="1" customWidth="1"/>
    <col min="316" max="316" width="19.85546875" bestFit="1" customWidth="1"/>
    <col min="317" max="317" width="13.28515625" bestFit="1" customWidth="1"/>
    <col min="318" max="318" width="16.85546875" bestFit="1" customWidth="1"/>
    <col min="319" max="319" width="13.7109375" bestFit="1" customWidth="1"/>
    <col min="320" max="320" width="22.5703125" bestFit="1" customWidth="1"/>
    <col min="321" max="321" width="19.85546875" bestFit="1" customWidth="1"/>
    <col min="322" max="322" width="23.42578125" bestFit="1" customWidth="1"/>
    <col min="323" max="323" width="19.140625" bestFit="1" customWidth="1"/>
    <col min="324" max="324" width="23.7109375" bestFit="1" customWidth="1"/>
    <col min="325" max="325" width="18" bestFit="1" customWidth="1"/>
    <col min="326" max="326" width="16.5703125" bestFit="1" customWidth="1"/>
    <col min="327" max="327" width="18.7109375" bestFit="1" customWidth="1"/>
    <col min="330" max="330" width="8" bestFit="1" customWidth="1"/>
    <col min="331" max="331" width="9" bestFit="1" customWidth="1"/>
    <col min="332" max="332" width="19.85546875" bestFit="1" customWidth="1"/>
    <col min="333" max="333" width="13.28515625" bestFit="1" customWidth="1"/>
    <col min="334" max="334" width="16.85546875" bestFit="1" customWidth="1"/>
    <col min="335" max="335" width="13.7109375" bestFit="1" customWidth="1"/>
    <col min="336" max="336" width="22.5703125" bestFit="1" customWidth="1"/>
    <col min="337" max="337" width="19.85546875" bestFit="1" customWidth="1"/>
    <col min="338" max="338" width="23.42578125" bestFit="1" customWidth="1"/>
    <col min="339" max="339" width="19.140625" bestFit="1" customWidth="1"/>
    <col min="340" max="340" width="23.7109375" bestFit="1" customWidth="1"/>
    <col min="341" max="341" width="18" bestFit="1" customWidth="1"/>
    <col min="342" max="342" width="16.5703125" bestFit="1" customWidth="1"/>
    <col min="343" max="343" width="18.7109375" bestFit="1" customWidth="1"/>
    <col min="346" max="346" width="8" bestFit="1" customWidth="1"/>
    <col min="347" max="347" width="9" bestFit="1" customWidth="1"/>
    <col min="348" max="348" width="19.85546875" bestFit="1" customWidth="1"/>
    <col min="349" max="349" width="13.28515625" bestFit="1" customWidth="1"/>
    <col min="350" max="350" width="16.85546875" bestFit="1" customWidth="1"/>
    <col min="351" max="351" width="13.7109375" bestFit="1" customWidth="1"/>
    <col min="352" max="352" width="22.5703125" bestFit="1" customWidth="1"/>
    <col min="353" max="353" width="19.85546875" bestFit="1" customWidth="1"/>
    <col min="354" max="354" width="23.42578125" bestFit="1" customWidth="1"/>
    <col min="355" max="355" width="19.140625" bestFit="1" customWidth="1"/>
    <col min="356" max="356" width="23.7109375" bestFit="1" customWidth="1"/>
    <col min="357" max="357" width="18" bestFit="1" customWidth="1"/>
    <col min="358" max="358" width="16.5703125" bestFit="1" customWidth="1"/>
    <col min="359" max="359" width="18.7109375" bestFit="1" customWidth="1"/>
    <col min="362" max="362" width="8" bestFit="1" customWidth="1"/>
    <col min="363" max="363" width="9" bestFit="1" customWidth="1"/>
    <col min="364" max="364" width="19.85546875" bestFit="1" customWidth="1"/>
    <col min="365" max="365" width="13.28515625" bestFit="1" customWidth="1"/>
    <col min="366" max="366" width="16.85546875" bestFit="1" customWidth="1"/>
    <col min="367" max="367" width="13.7109375" bestFit="1" customWidth="1"/>
    <col min="368" max="368" width="22.5703125" bestFit="1" customWidth="1"/>
    <col min="369" max="369" width="19.85546875" bestFit="1" customWidth="1"/>
    <col min="370" max="370" width="23.42578125" bestFit="1" customWidth="1"/>
    <col min="371" max="371" width="19.140625" bestFit="1" customWidth="1"/>
    <col min="372" max="372" width="23.7109375" bestFit="1" customWidth="1"/>
    <col min="373" max="373" width="18" bestFit="1" customWidth="1"/>
    <col min="374" max="374" width="16.5703125" bestFit="1" customWidth="1"/>
    <col min="375" max="375" width="18.7109375" bestFit="1" customWidth="1"/>
    <col min="378" max="378" width="8" bestFit="1" customWidth="1"/>
    <col min="379" max="379" width="9" bestFit="1" customWidth="1"/>
    <col min="380" max="380" width="19.85546875" bestFit="1" customWidth="1"/>
    <col min="381" max="381" width="13.28515625" bestFit="1" customWidth="1"/>
    <col min="382" max="382" width="16.85546875" bestFit="1" customWidth="1"/>
    <col min="383" max="383" width="13.7109375" bestFit="1" customWidth="1"/>
    <col min="384" max="384" width="22.5703125" bestFit="1" customWidth="1"/>
    <col min="385" max="385" width="19.85546875" bestFit="1" customWidth="1"/>
    <col min="386" max="386" width="23.42578125" bestFit="1" customWidth="1"/>
    <col min="387" max="387" width="19.140625" bestFit="1" customWidth="1"/>
    <col min="388" max="388" width="23.7109375" bestFit="1" customWidth="1"/>
    <col min="389" max="389" width="18" bestFit="1" customWidth="1"/>
    <col min="390" max="390" width="16.5703125" bestFit="1" customWidth="1"/>
    <col min="391" max="391" width="18.7109375" bestFit="1" customWidth="1"/>
    <col min="394" max="394" width="8" bestFit="1" customWidth="1"/>
    <col min="395" max="395" width="9" bestFit="1" customWidth="1"/>
    <col min="396" max="396" width="19.85546875" bestFit="1" customWidth="1"/>
    <col min="397" max="397" width="13.28515625" bestFit="1" customWidth="1"/>
    <col min="398" max="398" width="16.85546875" bestFit="1" customWidth="1"/>
    <col min="399" max="399" width="13.7109375" bestFit="1" customWidth="1"/>
    <col min="400" max="400" width="22.5703125" bestFit="1" customWidth="1"/>
    <col min="401" max="401" width="19.85546875" bestFit="1" customWidth="1"/>
    <col min="402" max="402" width="23.42578125" bestFit="1" customWidth="1"/>
    <col min="403" max="403" width="19.140625" bestFit="1" customWidth="1"/>
    <col min="404" max="404" width="23.7109375" bestFit="1" customWidth="1"/>
    <col min="405" max="405" width="18" bestFit="1" customWidth="1"/>
    <col min="406" max="406" width="16.5703125" bestFit="1" customWidth="1"/>
    <col min="407" max="407" width="18.7109375" bestFit="1" customWidth="1"/>
    <col min="410" max="410" width="8" bestFit="1" customWidth="1"/>
    <col min="411" max="411" width="9" bestFit="1" customWidth="1"/>
    <col min="412" max="412" width="19.85546875" bestFit="1" customWidth="1"/>
    <col min="413" max="413" width="13.28515625" bestFit="1" customWidth="1"/>
    <col min="414" max="414" width="16.85546875" bestFit="1" customWidth="1"/>
    <col min="415" max="415" width="13.7109375" bestFit="1" customWidth="1"/>
    <col min="416" max="416" width="22.5703125" bestFit="1" customWidth="1"/>
    <col min="417" max="417" width="19.85546875" bestFit="1" customWidth="1"/>
    <col min="418" max="418" width="23.42578125" bestFit="1" customWidth="1"/>
    <col min="419" max="419" width="19.140625" bestFit="1" customWidth="1"/>
    <col min="420" max="420" width="23.7109375" bestFit="1" customWidth="1"/>
    <col min="421" max="421" width="18" bestFit="1" customWidth="1"/>
    <col min="422" max="422" width="16.5703125" bestFit="1" customWidth="1"/>
    <col min="423" max="423" width="18.7109375" bestFit="1" customWidth="1"/>
    <col min="425" max="425" width="15.42578125" bestFit="1" customWidth="1"/>
    <col min="426" max="426" width="8" bestFit="1" customWidth="1"/>
    <col min="427" max="427" width="9" bestFit="1" customWidth="1"/>
    <col min="428" max="428" width="19.85546875" bestFit="1" customWidth="1"/>
    <col min="429" max="429" width="13.28515625" bestFit="1" customWidth="1"/>
    <col min="430" max="430" width="16.85546875" bestFit="1" customWidth="1"/>
    <col min="431" max="431" width="13.7109375" bestFit="1" customWidth="1"/>
    <col min="432" max="432" width="22.5703125" bestFit="1" customWidth="1"/>
    <col min="433" max="433" width="19.85546875" bestFit="1" customWidth="1"/>
    <col min="434" max="434" width="23.42578125" bestFit="1" customWidth="1"/>
    <col min="435" max="435" width="19.140625" bestFit="1" customWidth="1"/>
    <col min="436" max="436" width="23.7109375" bestFit="1" customWidth="1"/>
    <col min="437" max="437" width="18" bestFit="1" customWidth="1"/>
    <col min="438" max="438" width="16.5703125" bestFit="1" customWidth="1"/>
    <col min="439" max="439" width="18.7109375" bestFit="1" customWidth="1"/>
    <col min="441" max="441" width="17.140625" bestFit="1" customWidth="1"/>
    <col min="442" max="442" width="8" bestFit="1" customWidth="1"/>
    <col min="443" max="443" width="9" bestFit="1" customWidth="1"/>
    <col min="444" max="444" width="19.85546875" bestFit="1" customWidth="1"/>
    <col min="445" max="445" width="13.28515625" bestFit="1" customWidth="1"/>
    <col min="446" max="446" width="16.85546875" bestFit="1" customWidth="1"/>
    <col min="447" max="447" width="13.7109375" bestFit="1" customWidth="1"/>
    <col min="448" max="448" width="22.5703125" bestFit="1" customWidth="1"/>
    <col min="449" max="449" width="19.85546875" bestFit="1" customWidth="1"/>
    <col min="450" max="450" width="23.42578125" bestFit="1" customWidth="1"/>
    <col min="451" max="451" width="19.140625" bestFit="1" customWidth="1"/>
    <col min="452" max="452" width="23.7109375" bestFit="1" customWidth="1"/>
    <col min="453" max="453" width="18" bestFit="1" customWidth="1"/>
    <col min="454" max="454" width="16.5703125" bestFit="1" customWidth="1"/>
    <col min="455" max="455" width="18.7109375" bestFit="1" customWidth="1"/>
  </cols>
  <sheetData>
    <row r="3" spans="1:19" ht="13.9">
      <c r="A3" s="440" t="s">
        <v>381</v>
      </c>
      <c r="B3" s="440" t="s">
        <v>382</v>
      </c>
      <c r="C3" s="354"/>
      <c r="D3" s="354"/>
      <c r="E3" s="354"/>
      <c r="F3" s="354"/>
      <c r="G3" s="354"/>
      <c r="H3" s="874"/>
      <c r="I3" s="873"/>
      <c r="J3" s="354"/>
      <c r="K3" s="354"/>
      <c r="L3" s="453"/>
      <c r="M3" s="354"/>
      <c r="N3" s="354"/>
      <c r="O3" s="354"/>
      <c r="P3" s="354"/>
      <c r="Q3" s="354"/>
      <c r="R3" s="354"/>
      <c r="S3" s="453"/>
    </row>
    <row r="4" spans="1:19" ht="14.25" customHeight="1">
      <c r="A4" s="578" t="s">
        <v>383</v>
      </c>
      <c r="B4" s="578">
        <v>137</v>
      </c>
      <c r="C4" s="2148" t="s">
        <v>384</v>
      </c>
      <c r="D4" s="354"/>
      <c r="E4" s="354"/>
      <c r="F4" s="354"/>
      <c r="G4" s="354"/>
      <c r="H4" s="1134" t="s">
        <v>79</v>
      </c>
      <c r="I4" s="1135">
        <v>6</v>
      </c>
      <c r="J4" s="1135">
        <f>+'Summary Total Pigs'!AF94</f>
        <v>6</v>
      </c>
      <c r="K4" s="354">
        <f>+I4-J4</f>
        <v>0</v>
      </c>
      <c r="L4" s="354"/>
      <c r="M4" s="354"/>
      <c r="N4" s="354"/>
      <c r="O4" s="354"/>
      <c r="P4" s="354"/>
      <c r="Q4" s="354"/>
      <c r="R4" s="354"/>
      <c r="S4" s="354"/>
    </row>
    <row r="5" spans="1:19" ht="14.25" customHeight="1">
      <c r="A5" s="578" t="s">
        <v>385</v>
      </c>
      <c r="B5" s="578">
        <v>272</v>
      </c>
      <c r="C5" s="2149"/>
      <c r="D5" s="354"/>
      <c r="E5" s="354"/>
      <c r="F5" s="354"/>
      <c r="G5" s="354"/>
      <c r="H5" s="1134" t="s">
        <v>55</v>
      </c>
      <c r="I5" s="1135">
        <v>433</v>
      </c>
      <c r="J5" s="1135">
        <f>+'Summary Total Pigs'!AF93</f>
        <v>433</v>
      </c>
      <c r="K5" s="354">
        <f>+I5-J5</f>
        <v>0</v>
      </c>
      <c r="L5" s="357"/>
      <c r="M5" s="354"/>
      <c r="N5" s="354"/>
      <c r="O5" s="354"/>
      <c r="P5" s="354"/>
      <c r="Q5" s="354"/>
      <c r="R5" s="354"/>
      <c r="S5" s="357"/>
    </row>
    <row r="6" spans="1:19" ht="14.25" customHeight="1">
      <c r="A6" s="578" t="s">
        <v>386</v>
      </c>
      <c r="B6" s="578">
        <v>308</v>
      </c>
      <c r="C6" s="2149"/>
      <c r="D6" s="354"/>
      <c r="E6" s="354"/>
      <c r="F6" s="354"/>
      <c r="G6" s="354"/>
      <c r="H6" s="1134" t="s">
        <v>50</v>
      </c>
      <c r="I6" s="1135">
        <v>137</v>
      </c>
      <c r="J6" s="1135">
        <f>+'Summary Total Pigs'!AF92</f>
        <v>137</v>
      </c>
      <c r="K6" s="354">
        <f>+I6-J6</f>
        <v>0</v>
      </c>
      <c r="L6" s="354"/>
      <c r="M6" s="354"/>
      <c r="N6" s="354"/>
      <c r="O6" s="354"/>
      <c r="P6" s="354"/>
      <c r="Q6" s="354"/>
      <c r="R6" s="354"/>
      <c r="S6" s="354"/>
    </row>
    <row r="7" spans="1:19" ht="14.25" customHeight="1">
      <c r="A7" s="578" t="s">
        <v>387</v>
      </c>
      <c r="B7" s="578">
        <v>300</v>
      </c>
      <c r="C7" s="2150"/>
      <c r="D7" s="354">
        <f>SUM(B4:B7)</f>
        <v>1017</v>
      </c>
      <c r="E7" s="354">
        <f>+'Summary Total Pigs'!AF89</f>
        <v>1017</v>
      </c>
      <c r="F7" s="580">
        <f>+D7-E7</f>
        <v>0</v>
      </c>
      <c r="G7" s="357" t="s">
        <v>390</v>
      </c>
      <c r="H7" s="1134" t="s">
        <v>71</v>
      </c>
      <c r="I7" s="1135">
        <f>SUM(I4:I6)</f>
        <v>576</v>
      </c>
      <c r="J7" s="1135">
        <f>SUM(J4:J6)</f>
        <v>576</v>
      </c>
      <c r="K7" s="580">
        <f>SUM(K4:K6)</f>
        <v>0</v>
      </c>
      <c r="L7" s="354" t="s">
        <v>207</v>
      </c>
      <c r="M7" s="354"/>
      <c r="N7" s="354"/>
      <c r="O7" s="354"/>
      <c r="P7" s="354"/>
      <c r="Q7" s="354"/>
      <c r="R7" s="354"/>
      <c r="S7" s="354"/>
    </row>
    <row r="8" spans="1:19" ht="14.25" customHeight="1">
      <c r="A8" s="1136" t="s">
        <v>388</v>
      </c>
      <c r="B8" s="1136">
        <v>168</v>
      </c>
      <c r="C8" s="2157" t="s">
        <v>389</v>
      </c>
      <c r="D8" s="354"/>
      <c r="E8" s="354"/>
      <c r="F8" s="354"/>
      <c r="G8" s="354"/>
      <c r="H8" s="354"/>
      <c r="I8" s="354"/>
      <c r="J8" s="354"/>
      <c r="K8" s="357"/>
      <c r="L8" s="354"/>
      <c r="M8" s="354"/>
      <c r="N8" s="354"/>
      <c r="O8" s="354"/>
      <c r="P8" s="357"/>
      <c r="Q8" s="354"/>
      <c r="R8" s="354"/>
      <c r="S8" s="357"/>
    </row>
    <row r="9" spans="1:19" ht="14.25" customHeight="1">
      <c r="A9" s="1136" t="s">
        <v>391</v>
      </c>
      <c r="B9" s="1136">
        <v>185</v>
      </c>
      <c r="C9" s="2158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</row>
    <row r="10" spans="1:19" ht="14.25" customHeight="1">
      <c r="A10" s="1136" t="s">
        <v>392</v>
      </c>
      <c r="B10" s="1136">
        <v>162</v>
      </c>
      <c r="C10" s="2158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</row>
    <row r="11" spans="1:19" ht="14.25" customHeight="1">
      <c r="A11" s="1136" t="s">
        <v>393</v>
      </c>
      <c r="B11" s="1136">
        <v>151</v>
      </c>
      <c r="C11" s="2158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</row>
    <row r="12" spans="1:19" ht="14.25" customHeight="1">
      <c r="A12" s="1136" t="s">
        <v>394</v>
      </c>
      <c r="B12" s="1136">
        <v>177</v>
      </c>
      <c r="C12" s="2158"/>
      <c r="D12" s="354">
        <f>SUM(B8:B13)</f>
        <v>998</v>
      </c>
      <c r="E12" s="354">
        <f>+'Summary Total Pigs'!AF90</f>
        <v>998</v>
      </c>
      <c r="F12" s="580">
        <f>+D12-E12</f>
        <v>0</v>
      </c>
      <c r="G12" s="357" t="s">
        <v>390</v>
      </c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</row>
    <row r="13" spans="1:19" ht="14.25" customHeight="1">
      <c r="A13" s="1136" t="s">
        <v>395</v>
      </c>
      <c r="B13" s="1136">
        <v>155</v>
      </c>
      <c r="C13" s="2159"/>
      <c r="D13" s="354"/>
      <c r="E13" s="354"/>
      <c r="F13" s="357"/>
      <c r="G13" s="354"/>
      <c r="H13" s="354"/>
      <c r="I13" s="354"/>
      <c r="J13" s="354"/>
      <c r="K13" s="354"/>
      <c r="L13" s="354"/>
      <c r="M13" s="354"/>
      <c r="N13" s="354"/>
      <c r="O13" s="354"/>
      <c r="P13" s="354"/>
      <c r="Q13" s="354"/>
      <c r="R13" s="354"/>
      <c r="S13" s="354"/>
    </row>
    <row r="14" spans="1:19" ht="14.25" customHeight="1">
      <c r="A14" s="579" t="s">
        <v>396</v>
      </c>
      <c r="B14" s="579">
        <v>192</v>
      </c>
      <c r="C14" s="2154" t="s">
        <v>397</v>
      </c>
      <c r="D14" s="354"/>
      <c r="E14" s="354"/>
      <c r="F14" s="357"/>
      <c r="G14" s="354"/>
      <c r="H14" s="354"/>
      <c r="I14" s="354"/>
      <c r="J14" s="354"/>
      <c r="K14" s="354"/>
      <c r="L14" s="357"/>
      <c r="M14" s="354"/>
      <c r="N14" s="354"/>
      <c r="O14" s="354"/>
      <c r="P14" s="354"/>
      <c r="Q14" s="357"/>
      <c r="R14" s="354"/>
      <c r="S14" s="354"/>
    </row>
    <row r="15" spans="1:19" ht="14.25" customHeight="1">
      <c r="A15" s="579" t="s">
        <v>398</v>
      </c>
      <c r="B15" s="579">
        <v>196</v>
      </c>
      <c r="C15" s="2155"/>
      <c r="D15" s="354"/>
      <c r="E15" s="354"/>
      <c r="F15" s="354"/>
      <c r="G15" s="354"/>
      <c r="H15" s="354"/>
      <c r="I15" s="354"/>
      <c r="J15" s="354"/>
      <c r="K15" s="354"/>
      <c r="L15" s="357"/>
      <c r="M15" s="354"/>
      <c r="N15" s="354"/>
      <c r="O15" s="354"/>
      <c r="P15" s="354"/>
      <c r="Q15" s="357"/>
      <c r="R15" s="354"/>
      <c r="S15" s="354"/>
    </row>
    <row r="16" spans="1:19" ht="14.25" customHeight="1">
      <c r="A16" s="579" t="s">
        <v>399</v>
      </c>
      <c r="B16" s="579">
        <v>183</v>
      </c>
      <c r="C16" s="2155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</row>
    <row r="17" spans="1:19" ht="14.25" customHeight="1">
      <c r="A17" s="579" t="s">
        <v>400</v>
      </c>
      <c r="B17" s="579">
        <v>179</v>
      </c>
      <c r="C17" s="2155"/>
      <c r="D17" s="354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</row>
    <row r="18" spans="1:19" ht="14.25" customHeight="1">
      <c r="A18" s="579" t="s">
        <v>401</v>
      </c>
      <c r="B18" s="579">
        <v>174</v>
      </c>
      <c r="C18" s="2155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</row>
    <row r="19" spans="1:19" ht="14.25" customHeight="1">
      <c r="A19" s="579" t="s">
        <v>402</v>
      </c>
      <c r="B19" s="579">
        <v>171</v>
      </c>
      <c r="C19" s="2155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</row>
    <row r="20" spans="1:19" ht="14.25" customHeight="1">
      <c r="A20" s="579" t="s">
        <v>403</v>
      </c>
      <c r="B20" s="579">
        <v>171</v>
      </c>
      <c r="C20" s="2155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</row>
    <row r="21" spans="1:19" ht="14.25" customHeight="1">
      <c r="A21" s="579" t="s">
        <v>404</v>
      </c>
      <c r="B21" s="579">
        <v>180</v>
      </c>
      <c r="C21" s="2155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</row>
    <row r="22" spans="1:19" ht="14.25" customHeight="1">
      <c r="A22" s="579" t="s">
        <v>405</v>
      </c>
      <c r="B22" s="579">
        <v>162</v>
      </c>
      <c r="C22" s="2155"/>
      <c r="D22" s="354"/>
      <c r="E22" s="354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</row>
    <row r="23" spans="1:19" ht="14.25" customHeight="1">
      <c r="A23" s="579" t="s">
        <v>406</v>
      </c>
      <c r="B23" s="579">
        <v>182</v>
      </c>
      <c r="C23" s="2155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</row>
    <row r="24" spans="1:19" ht="14.25" customHeight="1">
      <c r="A24" s="579" t="s">
        <v>407</v>
      </c>
      <c r="B24" s="579">
        <v>180</v>
      </c>
      <c r="C24" s="2155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</row>
    <row r="25" spans="1:19" ht="14.25" customHeight="1">
      <c r="A25" s="579" t="s">
        <v>408</v>
      </c>
      <c r="B25" s="579">
        <v>150</v>
      </c>
      <c r="C25" s="2155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</row>
    <row r="26" spans="1:19" ht="14.25" customHeight="1">
      <c r="A26" s="579" t="s">
        <v>409</v>
      </c>
      <c r="B26" s="579">
        <v>42</v>
      </c>
      <c r="C26" s="2155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</row>
    <row r="27" spans="1:19" ht="14.25" customHeight="1">
      <c r="A27" s="579" t="s">
        <v>410</v>
      </c>
      <c r="B27" s="579"/>
      <c r="C27" s="2155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</row>
    <row r="28" spans="1:19" ht="14.25" customHeight="1">
      <c r="A28" s="579" t="s">
        <v>411</v>
      </c>
      <c r="B28" s="579"/>
      <c r="C28" s="2155"/>
      <c r="D28" s="354">
        <f>SUM(B14:B29)</f>
        <v>2162</v>
      </c>
      <c r="E28" s="354">
        <f>+'Summary Total Pigs'!AF91</f>
        <v>2162</v>
      </c>
      <c r="F28" s="580">
        <f>+D28-E28</f>
        <v>0</v>
      </c>
      <c r="G28" s="357" t="s">
        <v>390</v>
      </c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</row>
    <row r="29" spans="1:19" ht="13.9">
      <c r="A29" s="579"/>
      <c r="B29" s="579"/>
      <c r="C29" s="2156"/>
      <c r="D29" s="354"/>
      <c r="E29" s="354"/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</row>
  </sheetData>
  <mergeCells count="3">
    <mergeCell ref="C4:C7"/>
    <mergeCell ref="C8:C13"/>
    <mergeCell ref="C14:C29"/>
  </mergeCells>
  <pageMargins left="0.7" right="0.7" top="0.75" bottom="0.75" header="0.3" footer="0.3"/>
  <pageSetup paperSize="9" scale="42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FFFF00"/>
  </sheetPr>
  <dimension ref="A3:S29"/>
  <sheetViews>
    <sheetView view="pageBreakPreview" zoomScale="60" zoomScaleNormal="100" workbookViewId="0">
      <pane xSplit="2" ySplit="1" topLeftCell="C2" activePane="bottomRight" state="frozen"/>
      <selection pane="bottomRight" activeCell="B26" sqref="B26"/>
      <selection pane="bottomLeft" activeCell="A5" sqref="A5"/>
      <selection pane="topRight" activeCell="C1" sqref="C1"/>
    </sheetView>
  </sheetViews>
  <sheetFormatPr defaultRowHeight="13.15"/>
  <cols>
    <col min="1" max="1" width="18.85546875" bestFit="1" customWidth="1"/>
    <col min="2" max="2" width="17.85546875" bestFit="1" customWidth="1"/>
    <col min="3" max="3" width="12.28515625" bestFit="1" customWidth="1"/>
    <col min="4" max="4" width="8" bestFit="1" customWidth="1"/>
    <col min="5" max="5" width="9.42578125" bestFit="1" customWidth="1"/>
    <col min="6" max="6" width="14.85546875" bestFit="1" customWidth="1"/>
    <col min="7" max="7" width="10.5703125" bestFit="1" customWidth="1"/>
    <col min="8" max="8" width="22" bestFit="1" customWidth="1"/>
    <col min="9" max="9" width="24.7109375" bestFit="1" customWidth="1"/>
    <col min="10" max="10" width="23.7109375" bestFit="1" customWidth="1"/>
    <col min="11" max="11" width="34.7109375" bestFit="1" customWidth="1"/>
    <col min="12" max="12" width="30.85546875" bestFit="1" customWidth="1"/>
    <col min="13" max="13" width="26.28515625" bestFit="1" customWidth="1"/>
    <col min="14" max="14" width="30.5703125" bestFit="1" customWidth="1"/>
    <col min="15" max="15" width="18" bestFit="1" customWidth="1"/>
    <col min="17" max="17" width="8" customWidth="1"/>
    <col min="18" max="18" width="8" bestFit="1" customWidth="1"/>
    <col min="19" max="19" width="9.42578125" bestFit="1" customWidth="1"/>
    <col min="20" max="20" width="14.85546875" bestFit="1" customWidth="1"/>
    <col min="21" max="21" width="10.5703125" bestFit="1" customWidth="1"/>
    <col min="22" max="22" width="22" bestFit="1" customWidth="1"/>
    <col min="23" max="23" width="24.7109375" bestFit="1" customWidth="1"/>
    <col min="24" max="24" width="23.7109375" bestFit="1" customWidth="1"/>
    <col min="25" max="25" width="30" customWidth="1"/>
    <col min="26" max="26" width="25.42578125" customWidth="1"/>
    <col min="27" max="27" width="22.5703125" bestFit="1" customWidth="1"/>
    <col min="28" max="28" width="28.7109375" bestFit="1" customWidth="1"/>
    <col min="29" max="29" width="18" bestFit="1" customWidth="1"/>
    <col min="31" max="31" width="7" customWidth="1"/>
    <col min="32" max="32" width="8" customWidth="1"/>
    <col min="33" max="33" width="9.42578125" bestFit="1" customWidth="1"/>
    <col min="34" max="34" width="14.85546875" bestFit="1" customWidth="1"/>
    <col min="35" max="35" width="10.5703125" bestFit="1" customWidth="1"/>
    <col min="36" max="36" width="22" bestFit="1" customWidth="1"/>
    <col min="37" max="37" width="24.7109375" bestFit="1" customWidth="1"/>
    <col min="38" max="38" width="23.7109375" bestFit="1" customWidth="1"/>
    <col min="39" max="39" width="22.28515625" customWidth="1"/>
    <col min="40" max="40" width="18.28515625" customWidth="1"/>
    <col min="41" max="41" width="22.5703125" bestFit="1" customWidth="1"/>
    <col min="42" max="42" width="28.7109375" bestFit="1" customWidth="1"/>
    <col min="43" max="43" width="18" bestFit="1" customWidth="1"/>
    <col min="45" max="45" width="6.28515625" customWidth="1"/>
    <col min="46" max="46" width="8" bestFit="1" customWidth="1"/>
    <col min="47" max="47" width="9.42578125" bestFit="1" customWidth="1"/>
    <col min="48" max="48" width="14.85546875" bestFit="1" customWidth="1"/>
    <col min="49" max="49" width="10.5703125" bestFit="1" customWidth="1"/>
    <col min="50" max="50" width="22" bestFit="1" customWidth="1"/>
    <col min="51" max="51" width="24.7109375" bestFit="1" customWidth="1"/>
    <col min="52" max="52" width="23.7109375" bestFit="1" customWidth="1"/>
    <col min="53" max="53" width="25.42578125" customWidth="1"/>
    <col min="54" max="54" width="23" customWidth="1"/>
    <col min="55" max="55" width="22.5703125" bestFit="1" customWidth="1"/>
    <col min="56" max="56" width="28.7109375" bestFit="1" customWidth="1"/>
    <col min="57" max="57" width="18" bestFit="1" customWidth="1"/>
    <col min="59" max="59" width="6.85546875" customWidth="1"/>
    <col min="60" max="60" width="8" bestFit="1" customWidth="1"/>
    <col min="61" max="61" width="9.42578125" bestFit="1" customWidth="1"/>
    <col min="62" max="62" width="14.85546875" bestFit="1" customWidth="1"/>
    <col min="63" max="63" width="10.5703125" bestFit="1" customWidth="1"/>
    <col min="64" max="64" width="22" bestFit="1" customWidth="1"/>
    <col min="65" max="65" width="24.7109375" bestFit="1" customWidth="1"/>
    <col min="66" max="66" width="23.7109375" bestFit="1" customWidth="1"/>
    <col min="67" max="67" width="24.5703125" customWidth="1"/>
    <col min="68" max="68" width="23" customWidth="1"/>
    <col min="69" max="69" width="22.5703125" bestFit="1" customWidth="1"/>
    <col min="70" max="70" width="28.7109375" bestFit="1" customWidth="1"/>
    <col min="71" max="71" width="18" bestFit="1" customWidth="1"/>
    <col min="73" max="73" width="7.7109375" bestFit="1" customWidth="1"/>
    <col min="74" max="74" width="8" bestFit="1" customWidth="1"/>
    <col min="75" max="75" width="9" bestFit="1" customWidth="1"/>
    <col min="76" max="76" width="19.85546875" bestFit="1" customWidth="1"/>
    <col min="77" max="77" width="13.28515625" bestFit="1" customWidth="1"/>
    <col min="78" max="78" width="16.85546875" bestFit="1" customWidth="1"/>
    <col min="79" max="79" width="13.7109375" bestFit="1" customWidth="1"/>
    <col min="80" max="80" width="22.5703125" bestFit="1" customWidth="1"/>
    <col min="81" max="81" width="19.85546875" bestFit="1" customWidth="1"/>
    <col min="82" max="82" width="23.42578125" bestFit="1" customWidth="1"/>
    <col min="83" max="83" width="19.140625" bestFit="1" customWidth="1"/>
    <col min="84" max="84" width="29.42578125" customWidth="1"/>
    <col min="85" max="85" width="18" customWidth="1"/>
    <col min="86" max="86" width="26.140625" bestFit="1" customWidth="1"/>
    <col min="87" max="87" width="18" customWidth="1"/>
    <col min="89" max="89" width="10.28515625" customWidth="1"/>
    <col min="90" max="90" width="8" bestFit="1" customWidth="1"/>
    <col min="91" max="91" width="9" bestFit="1" customWidth="1"/>
    <col min="92" max="92" width="19.85546875" bestFit="1" customWidth="1"/>
    <col min="93" max="93" width="13.28515625" bestFit="1" customWidth="1"/>
    <col min="94" max="94" width="16.85546875" bestFit="1" customWidth="1"/>
    <col min="95" max="95" width="13.7109375" bestFit="1" customWidth="1"/>
    <col min="96" max="96" width="22.5703125" bestFit="1" customWidth="1"/>
    <col min="97" max="97" width="19.85546875" bestFit="1" customWidth="1"/>
    <col min="98" max="98" width="23.42578125" bestFit="1" customWidth="1"/>
    <col min="99" max="99" width="18.7109375" customWidth="1"/>
    <col min="100" max="100" width="30.28515625" customWidth="1"/>
    <col min="101" max="101" width="27" customWidth="1"/>
    <col min="102" max="102" width="26.140625" bestFit="1" customWidth="1"/>
    <col min="103" max="103" width="19" customWidth="1"/>
    <col min="105" max="105" width="7.7109375" customWidth="1"/>
    <col min="106" max="106" width="8" bestFit="1" customWidth="1"/>
    <col min="107" max="107" width="9" bestFit="1" customWidth="1"/>
    <col min="108" max="108" width="19.85546875" bestFit="1" customWidth="1"/>
    <col min="109" max="109" width="13.28515625" bestFit="1" customWidth="1"/>
    <col min="110" max="110" width="16.85546875" bestFit="1" customWidth="1"/>
    <col min="111" max="111" width="13.7109375" bestFit="1" customWidth="1"/>
    <col min="112" max="112" width="22.5703125" bestFit="1" customWidth="1"/>
    <col min="113" max="113" width="19.85546875" bestFit="1" customWidth="1"/>
    <col min="114" max="114" width="23.42578125" bestFit="1" customWidth="1"/>
    <col min="115" max="115" width="19" customWidth="1"/>
    <col min="116" max="116" width="24.140625" customWidth="1"/>
    <col min="117" max="117" width="28.7109375" bestFit="1" customWidth="1"/>
    <col min="118" max="118" width="15.85546875" customWidth="1"/>
    <col min="119" max="119" width="16.5703125" customWidth="1"/>
    <col min="121" max="121" width="7.7109375" bestFit="1" customWidth="1"/>
    <col min="122" max="122" width="8" bestFit="1" customWidth="1"/>
    <col min="123" max="123" width="9" bestFit="1" customWidth="1"/>
    <col min="124" max="124" width="19.85546875" bestFit="1" customWidth="1"/>
    <col min="125" max="125" width="13.28515625" bestFit="1" customWidth="1"/>
    <col min="126" max="126" width="16.85546875" bestFit="1" customWidth="1"/>
    <col min="127" max="127" width="13.7109375" bestFit="1" customWidth="1"/>
    <col min="128" max="128" width="22.5703125" bestFit="1" customWidth="1"/>
    <col min="129" max="129" width="19.85546875" bestFit="1" customWidth="1"/>
    <col min="130" max="130" width="23.42578125" bestFit="1" customWidth="1"/>
    <col min="131" max="131" width="19.7109375" customWidth="1"/>
    <col min="132" max="132" width="24.7109375" bestFit="1" customWidth="1"/>
    <col min="133" max="133" width="18.7109375" bestFit="1" customWidth="1"/>
    <col min="134" max="134" width="16.5703125" bestFit="1" customWidth="1"/>
    <col min="135" max="135" width="15.85546875" customWidth="1"/>
    <col min="137" max="137" width="7.7109375" bestFit="1" customWidth="1"/>
    <col min="138" max="138" width="8" bestFit="1" customWidth="1"/>
    <col min="139" max="139" width="9" bestFit="1" customWidth="1"/>
    <col min="140" max="140" width="19.85546875" bestFit="1" customWidth="1"/>
    <col min="141" max="141" width="13.28515625" bestFit="1" customWidth="1"/>
    <col min="142" max="142" width="16.85546875" bestFit="1" customWidth="1"/>
    <col min="143" max="143" width="13.7109375" bestFit="1" customWidth="1"/>
    <col min="144" max="144" width="22.5703125" bestFit="1" customWidth="1"/>
    <col min="145" max="145" width="19.85546875" bestFit="1" customWidth="1"/>
    <col min="146" max="146" width="23.42578125" bestFit="1" customWidth="1"/>
    <col min="147" max="147" width="20.140625" customWidth="1"/>
    <col min="148" max="148" width="24.7109375" bestFit="1" customWidth="1"/>
    <col min="149" max="149" width="18.7109375" bestFit="1" customWidth="1"/>
    <col min="150" max="150" width="16.140625" customWidth="1"/>
    <col min="151" max="151" width="15.85546875" customWidth="1"/>
    <col min="153" max="153" width="7.7109375" bestFit="1" customWidth="1"/>
    <col min="154" max="154" width="8" bestFit="1" customWidth="1"/>
    <col min="155" max="155" width="9" bestFit="1" customWidth="1"/>
    <col min="156" max="156" width="19.85546875" bestFit="1" customWidth="1"/>
    <col min="157" max="157" width="13.28515625" bestFit="1" customWidth="1"/>
    <col min="158" max="158" width="16.85546875" bestFit="1" customWidth="1"/>
    <col min="159" max="159" width="13.7109375" bestFit="1" customWidth="1"/>
    <col min="160" max="160" width="22.5703125" bestFit="1" customWidth="1"/>
    <col min="161" max="161" width="19.85546875" bestFit="1" customWidth="1"/>
    <col min="162" max="162" width="23.42578125" bestFit="1" customWidth="1"/>
    <col min="163" max="163" width="19.140625" bestFit="1" customWidth="1"/>
    <col min="164" max="164" width="20.140625" customWidth="1"/>
    <col min="165" max="165" width="18.7109375" bestFit="1" customWidth="1"/>
    <col min="166" max="166" width="16.42578125" customWidth="1"/>
    <col min="167" max="167" width="16.5703125" customWidth="1"/>
    <col min="169" max="169" width="10.85546875" customWidth="1"/>
    <col min="170" max="170" width="8" bestFit="1" customWidth="1"/>
    <col min="171" max="171" width="9" bestFit="1" customWidth="1"/>
    <col min="172" max="172" width="19.85546875" bestFit="1" customWidth="1"/>
    <col min="173" max="173" width="13.28515625" bestFit="1" customWidth="1"/>
    <col min="174" max="174" width="16.85546875" bestFit="1" customWidth="1"/>
    <col min="175" max="175" width="13.7109375" bestFit="1" customWidth="1"/>
    <col min="176" max="176" width="22.5703125" bestFit="1" customWidth="1"/>
    <col min="177" max="177" width="19.85546875" bestFit="1" customWidth="1"/>
    <col min="178" max="178" width="23.42578125" bestFit="1" customWidth="1"/>
    <col min="179" max="179" width="20" customWidth="1"/>
    <col min="180" max="180" width="20.5703125" customWidth="1"/>
    <col min="181" max="181" width="19.7109375" customWidth="1"/>
    <col min="182" max="182" width="16.140625" customWidth="1"/>
    <col min="183" max="183" width="17.5703125" customWidth="1"/>
    <col min="185" max="185" width="11.5703125" customWidth="1"/>
    <col min="186" max="186" width="8" bestFit="1" customWidth="1"/>
    <col min="187" max="187" width="9" bestFit="1" customWidth="1"/>
    <col min="188" max="188" width="19.85546875" bestFit="1" customWidth="1"/>
    <col min="189" max="189" width="13.28515625" bestFit="1" customWidth="1"/>
    <col min="190" max="190" width="16.85546875" bestFit="1" customWidth="1"/>
    <col min="191" max="191" width="13.7109375" bestFit="1" customWidth="1"/>
    <col min="192" max="192" width="22.5703125" bestFit="1" customWidth="1"/>
    <col min="193" max="193" width="19.85546875" bestFit="1" customWidth="1"/>
    <col min="194" max="194" width="23.42578125" bestFit="1" customWidth="1"/>
    <col min="195" max="195" width="19.28515625" customWidth="1"/>
    <col min="196" max="196" width="26.28515625" customWidth="1"/>
    <col min="197" max="197" width="18.7109375" bestFit="1" customWidth="1"/>
    <col min="198" max="198" width="16.140625" customWidth="1"/>
    <col min="199" max="199" width="19.42578125" customWidth="1"/>
    <col min="201" max="201" width="7.7109375" customWidth="1"/>
    <col min="202" max="202" width="8" bestFit="1" customWidth="1"/>
    <col min="203" max="203" width="9" bestFit="1" customWidth="1"/>
    <col min="204" max="204" width="19.85546875" bestFit="1" customWidth="1"/>
    <col min="205" max="205" width="13.28515625" bestFit="1" customWidth="1"/>
    <col min="206" max="206" width="16.85546875" bestFit="1" customWidth="1"/>
    <col min="207" max="207" width="13.7109375" bestFit="1" customWidth="1"/>
    <col min="208" max="208" width="22.5703125" bestFit="1" customWidth="1"/>
    <col min="209" max="209" width="19.85546875" bestFit="1" customWidth="1"/>
    <col min="210" max="210" width="23.42578125" bestFit="1" customWidth="1"/>
    <col min="211" max="211" width="31.85546875" bestFit="1" customWidth="1"/>
    <col min="212" max="212" width="21" customWidth="1"/>
    <col min="213" max="213" width="19.42578125" customWidth="1"/>
    <col min="214" max="214" width="17.140625" customWidth="1"/>
    <col min="215" max="215" width="17.28515625" customWidth="1"/>
    <col min="218" max="218" width="8" bestFit="1" customWidth="1"/>
    <col min="219" max="219" width="9" bestFit="1" customWidth="1"/>
    <col min="220" max="220" width="19.85546875" bestFit="1" customWidth="1"/>
    <col min="221" max="221" width="13.28515625" bestFit="1" customWidth="1"/>
    <col min="222" max="222" width="16.85546875" bestFit="1" customWidth="1"/>
    <col min="223" max="223" width="13.7109375" bestFit="1" customWidth="1"/>
    <col min="224" max="224" width="22.5703125" bestFit="1" customWidth="1"/>
    <col min="225" max="225" width="19.85546875" bestFit="1" customWidth="1"/>
    <col min="226" max="226" width="23.42578125" bestFit="1" customWidth="1"/>
    <col min="227" max="227" width="21.140625" customWidth="1"/>
    <col min="228" max="228" width="29.140625" customWidth="1"/>
    <col min="229" max="229" width="18" customWidth="1"/>
    <col min="230" max="230" width="16.85546875" customWidth="1"/>
    <col min="231" max="231" width="17.7109375" customWidth="1"/>
    <col min="234" max="234" width="8" bestFit="1" customWidth="1"/>
    <col min="235" max="235" width="9" bestFit="1" customWidth="1"/>
    <col min="236" max="236" width="19.85546875" bestFit="1" customWidth="1"/>
    <col min="237" max="237" width="13.28515625" bestFit="1" customWidth="1"/>
    <col min="238" max="238" width="16.85546875" bestFit="1" customWidth="1"/>
    <col min="239" max="239" width="13.7109375" bestFit="1" customWidth="1"/>
    <col min="240" max="240" width="22.5703125" bestFit="1" customWidth="1"/>
    <col min="241" max="241" width="19.85546875" bestFit="1" customWidth="1"/>
    <col min="242" max="242" width="23.42578125" bestFit="1" customWidth="1"/>
    <col min="243" max="243" width="20.42578125" customWidth="1"/>
    <col min="244" max="244" width="24.140625" customWidth="1"/>
    <col min="245" max="245" width="18" customWidth="1"/>
    <col min="246" max="246" width="18.28515625" customWidth="1"/>
    <col min="247" max="247" width="17.7109375" customWidth="1"/>
    <col min="250" max="250" width="8" bestFit="1" customWidth="1"/>
    <col min="251" max="251" width="9" bestFit="1" customWidth="1"/>
    <col min="252" max="252" width="19.85546875" bestFit="1" customWidth="1"/>
    <col min="253" max="253" width="13.28515625" bestFit="1" customWidth="1"/>
    <col min="254" max="254" width="16.85546875" bestFit="1" customWidth="1"/>
    <col min="255" max="255" width="13.7109375" bestFit="1" customWidth="1"/>
    <col min="256" max="256" width="22.5703125" bestFit="1" customWidth="1"/>
    <col min="257" max="257" width="19.85546875" bestFit="1" customWidth="1"/>
    <col min="258" max="258" width="23.42578125" bestFit="1" customWidth="1"/>
    <col min="259" max="259" width="19.28515625" customWidth="1"/>
    <col min="260" max="260" width="21.5703125" customWidth="1"/>
    <col min="261" max="261" width="20" customWidth="1"/>
    <col min="262" max="262" width="20.42578125" customWidth="1"/>
    <col min="263" max="263" width="23" customWidth="1"/>
    <col min="264" max="264" width="3" bestFit="1" customWidth="1"/>
    <col min="266" max="266" width="8" bestFit="1" customWidth="1"/>
    <col min="267" max="267" width="9" bestFit="1" customWidth="1"/>
    <col min="268" max="268" width="19.85546875" bestFit="1" customWidth="1"/>
    <col min="269" max="269" width="13.28515625" bestFit="1" customWidth="1"/>
    <col min="270" max="270" width="16.85546875" bestFit="1" customWidth="1"/>
    <col min="271" max="271" width="13.7109375" bestFit="1" customWidth="1"/>
    <col min="272" max="272" width="22.5703125" bestFit="1" customWidth="1"/>
    <col min="273" max="273" width="19.85546875" bestFit="1" customWidth="1"/>
    <col min="274" max="274" width="23.42578125" bestFit="1" customWidth="1"/>
    <col min="275" max="275" width="16.42578125" customWidth="1"/>
    <col min="276" max="276" width="28.7109375" customWidth="1"/>
    <col min="277" max="277" width="18.42578125" customWidth="1"/>
    <col min="278" max="278" width="13.28515625" customWidth="1"/>
    <col min="279" max="279" width="19.42578125" customWidth="1"/>
    <col min="282" max="282" width="8" bestFit="1" customWidth="1"/>
    <col min="283" max="283" width="9" bestFit="1" customWidth="1"/>
    <col min="284" max="284" width="19.85546875" bestFit="1" customWidth="1"/>
    <col min="285" max="285" width="13.28515625" bestFit="1" customWidth="1"/>
    <col min="286" max="286" width="16.85546875" bestFit="1" customWidth="1"/>
    <col min="287" max="287" width="13.7109375" bestFit="1" customWidth="1"/>
    <col min="288" max="288" width="22.5703125" bestFit="1" customWidth="1"/>
    <col min="289" max="289" width="19.85546875" bestFit="1" customWidth="1"/>
    <col min="290" max="290" width="23.42578125" bestFit="1" customWidth="1"/>
    <col min="291" max="291" width="24.42578125" customWidth="1"/>
    <col min="292" max="292" width="20.85546875" customWidth="1"/>
    <col min="293" max="293" width="19.85546875" customWidth="1"/>
    <col min="294" max="294" width="17.5703125" customWidth="1"/>
    <col min="295" max="295" width="20.42578125" customWidth="1"/>
    <col min="298" max="298" width="8" bestFit="1" customWidth="1"/>
    <col min="299" max="299" width="9" bestFit="1" customWidth="1"/>
    <col min="300" max="300" width="19.85546875" bestFit="1" customWidth="1"/>
    <col min="301" max="301" width="13.28515625" bestFit="1" customWidth="1"/>
    <col min="302" max="302" width="16.85546875" bestFit="1" customWidth="1"/>
    <col min="303" max="303" width="13.7109375" bestFit="1" customWidth="1"/>
    <col min="304" max="304" width="22.5703125" bestFit="1" customWidth="1"/>
    <col min="305" max="305" width="19.85546875" bestFit="1" customWidth="1"/>
    <col min="306" max="306" width="23.42578125" bestFit="1" customWidth="1"/>
    <col min="307" max="307" width="19" customWidth="1"/>
    <col min="308" max="308" width="16.7109375" customWidth="1"/>
    <col min="309" max="309" width="18.5703125" customWidth="1"/>
    <col min="310" max="310" width="16.140625" customWidth="1"/>
    <col min="311" max="311" width="20.85546875" customWidth="1"/>
    <col min="314" max="314" width="8" bestFit="1" customWidth="1"/>
    <col min="315" max="315" width="9" bestFit="1" customWidth="1"/>
    <col min="316" max="316" width="19.85546875" bestFit="1" customWidth="1"/>
    <col min="317" max="317" width="13.28515625" bestFit="1" customWidth="1"/>
    <col min="318" max="318" width="16.85546875" bestFit="1" customWidth="1"/>
    <col min="319" max="319" width="13.7109375" bestFit="1" customWidth="1"/>
    <col min="320" max="320" width="22.5703125" bestFit="1" customWidth="1"/>
    <col min="321" max="321" width="19.85546875" bestFit="1" customWidth="1"/>
    <col min="322" max="322" width="23.42578125" bestFit="1" customWidth="1"/>
    <col min="323" max="323" width="24" customWidth="1"/>
    <col min="324" max="324" width="21.7109375" customWidth="1"/>
    <col min="325" max="325" width="20.42578125" customWidth="1"/>
    <col min="326" max="326" width="21.140625" customWidth="1"/>
    <col min="327" max="327" width="16.85546875" customWidth="1"/>
    <col min="330" max="330" width="8" bestFit="1" customWidth="1"/>
    <col min="331" max="331" width="9" bestFit="1" customWidth="1"/>
    <col min="332" max="332" width="19.85546875" bestFit="1" customWidth="1"/>
    <col min="333" max="333" width="13.28515625" bestFit="1" customWidth="1"/>
    <col min="334" max="334" width="16.85546875" bestFit="1" customWidth="1"/>
    <col min="335" max="335" width="13.7109375" bestFit="1" customWidth="1"/>
    <col min="336" max="336" width="22.5703125" bestFit="1" customWidth="1"/>
    <col min="337" max="337" width="19.85546875" bestFit="1" customWidth="1"/>
    <col min="338" max="338" width="23.42578125" bestFit="1" customWidth="1"/>
    <col min="339" max="339" width="20.85546875" customWidth="1"/>
    <col min="340" max="340" width="21.28515625" customWidth="1"/>
    <col min="341" max="341" width="15.85546875" customWidth="1"/>
    <col min="342" max="342" width="26.140625" bestFit="1" customWidth="1"/>
    <col min="343" max="343" width="16.140625" customWidth="1"/>
    <col min="346" max="346" width="8" bestFit="1" customWidth="1"/>
    <col min="347" max="347" width="9" bestFit="1" customWidth="1"/>
    <col min="348" max="348" width="19.85546875" bestFit="1" customWidth="1"/>
    <col min="349" max="349" width="13.28515625" bestFit="1" customWidth="1"/>
    <col min="350" max="350" width="16.85546875" bestFit="1" customWidth="1"/>
    <col min="351" max="351" width="13.7109375" bestFit="1" customWidth="1"/>
    <col min="352" max="352" width="22.5703125" bestFit="1" customWidth="1"/>
    <col min="353" max="353" width="19.85546875" bestFit="1" customWidth="1"/>
    <col min="354" max="354" width="23.42578125" bestFit="1" customWidth="1"/>
    <col min="355" max="355" width="31.85546875" bestFit="1" customWidth="1"/>
    <col min="356" max="356" width="19.42578125" customWidth="1"/>
    <col min="357" max="357" width="19.28515625" customWidth="1"/>
    <col min="358" max="358" width="17.5703125" customWidth="1"/>
    <col min="359" max="359" width="15.85546875" customWidth="1"/>
    <col min="362" max="362" width="8" bestFit="1" customWidth="1"/>
    <col min="363" max="363" width="9" bestFit="1" customWidth="1"/>
    <col min="364" max="364" width="19.85546875" bestFit="1" customWidth="1"/>
    <col min="365" max="365" width="13.28515625" bestFit="1" customWidth="1"/>
    <col min="366" max="366" width="16.85546875" bestFit="1" customWidth="1"/>
    <col min="367" max="367" width="13.7109375" bestFit="1" customWidth="1"/>
    <col min="368" max="368" width="22.5703125" bestFit="1" customWidth="1"/>
    <col min="369" max="369" width="19.85546875" bestFit="1" customWidth="1"/>
    <col min="370" max="370" width="23.42578125" bestFit="1" customWidth="1"/>
    <col min="371" max="371" width="16.140625" customWidth="1"/>
    <col min="372" max="372" width="24.42578125" customWidth="1"/>
    <col min="373" max="373" width="18" customWidth="1"/>
    <col min="374" max="374" width="17.140625" customWidth="1"/>
    <col min="375" max="375" width="17" customWidth="1"/>
    <col min="378" max="378" width="8" bestFit="1" customWidth="1"/>
    <col min="379" max="379" width="9" bestFit="1" customWidth="1"/>
    <col min="380" max="380" width="19.85546875" bestFit="1" customWidth="1"/>
    <col min="381" max="381" width="13.28515625" bestFit="1" customWidth="1"/>
    <col min="382" max="382" width="16.85546875" bestFit="1" customWidth="1"/>
    <col min="383" max="383" width="13.7109375" bestFit="1" customWidth="1"/>
    <col min="384" max="384" width="22.5703125" bestFit="1" customWidth="1"/>
    <col min="385" max="385" width="19.85546875" bestFit="1" customWidth="1"/>
    <col min="386" max="386" width="23.42578125" bestFit="1" customWidth="1"/>
    <col min="387" max="387" width="18.5703125" customWidth="1"/>
    <col min="388" max="388" width="20.140625" customWidth="1"/>
    <col min="389" max="389" width="18.42578125" customWidth="1"/>
    <col min="390" max="390" width="21.85546875" customWidth="1"/>
    <col min="391" max="391" width="14.85546875" customWidth="1"/>
    <col min="394" max="394" width="8" bestFit="1" customWidth="1"/>
    <col min="395" max="395" width="9" bestFit="1" customWidth="1"/>
    <col min="396" max="396" width="19.85546875" bestFit="1" customWidth="1"/>
    <col min="397" max="397" width="13.28515625" bestFit="1" customWidth="1"/>
    <col min="398" max="398" width="16.85546875" bestFit="1" customWidth="1"/>
    <col min="399" max="399" width="13.7109375" bestFit="1" customWidth="1"/>
    <col min="400" max="400" width="22.5703125" bestFit="1" customWidth="1"/>
    <col min="401" max="401" width="19.85546875" bestFit="1" customWidth="1"/>
    <col min="402" max="402" width="23.42578125" bestFit="1" customWidth="1"/>
    <col min="403" max="403" width="23.28515625" customWidth="1"/>
    <col min="404" max="404" width="20.5703125" customWidth="1"/>
    <col min="405" max="405" width="18.42578125" customWidth="1"/>
    <col min="406" max="406" width="15.85546875" customWidth="1"/>
    <col min="407" max="407" width="13" customWidth="1"/>
    <col min="410" max="410" width="8" bestFit="1" customWidth="1"/>
    <col min="411" max="411" width="9" bestFit="1" customWidth="1"/>
    <col min="412" max="412" width="19.85546875" bestFit="1" customWidth="1"/>
    <col min="413" max="413" width="13.28515625" bestFit="1" customWidth="1"/>
    <col min="414" max="414" width="16.85546875" bestFit="1" customWidth="1"/>
    <col min="415" max="415" width="13.7109375" bestFit="1" customWidth="1"/>
    <col min="416" max="416" width="22.5703125" bestFit="1" customWidth="1"/>
    <col min="417" max="417" width="19.85546875" bestFit="1" customWidth="1"/>
    <col min="418" max="418" width="23.42578125" bestFit="1" customWidth="1"/>
    <col min="419" max="419" width="20.140625" customWidth="1"/>
    <col min="420" max="420" width="24.140625" customWidth="1"/>
    <col min="421" max="421" width="21.28515625" customWidth="1"/>
    <col min="422" max="422" width="22.5703125" customWidth="1"/>
    <col min="423" max="423" width="17.42578125" customWidth="1"/>
    <col min="425" max="425" width="15.42578125" bestFit="1" customWidth="1"/>
    <col min="426" max="426" width="8" bestFit="1" customWidth="1"/>
    <col min="427" max="427" width="9" bestFit="1" customWidth="1"/>
    <col min="428" max="428" width="19.85546875" bestFit="1" customWidth="1"/>
    <col min="429" max="429" width="13.28515625" bestFit="1" customWidth="1"/>
    <col min="430" max="430" width="16.85546875" bestFit="1" customWidth="1"/>
    <col min="431" max="431" width="13.7109375" bestFit="1" customWidth="1"/>
    <col min="432" max="432" width="22.5703125" bestFit="1" customWidth="1"/>
    <col min="433" max="433" width="19.85546875" bestFit="1" customWidth="1"/>
    <col min="434" max="434" width="23.42578125" bestFit="1" customWidth="1"/>
    <col min="435" max="435" width="20" customWidth="1"/>
    <col min="436" max="436" width="27.28515625" customWidth="1"/>
    <col min="437" max="437" width="21.5703125" customWidth="1"/>
    <col min="438" max="438" width="17.28515625" customWidth="1"/>
    <col min="439" max="439" width="17.5703125" customWidth="1"/>
    <col min="441" max="441" width="17.140625" bestFit="1" customWidth="1"/>
    <col min="442" max="442" width="8" bestFit="1" customWidth="1"/>
    <col min="443" max="443" width="9" bestFit="1" customWidth="1"/>
    <col min="444" max="444" width="19.85546875" bestFit="1" customWidth="1"/>
    <col min="445" max="445" width="13.28515625" bestFit="1" customWidth="1"/>
    <col min="446" max="446" width="16.85546875" bestFit="1" customWidth="1"/>
    <col min="447" max="447" width="13.7109375" bestFit="1" customWidth="1"/>
    <col min="448" max="448" width="22.5703125" bestFit="1" customWidth="1"/>
    <col min="449" max="449" width="19.85546875" bestFit="1" customWidth="1"/>
    <col min="450" max="450" width="23.42578125" bestFit="1" customWidth="1"/>
    <col min="451" max="451" width="31.85546875" bestFit="1" customWidth="1"/>
    <col min="452" max="452" width="39.140625" bestFit="1" customWidth="1"/>
    <col min="453" max="453" width="28.7109375" bestFit="1" customWidth="1"/>
    <col min="454" max="454" width="26.140625" bestFit="1" customWidth="1"/>
    <col min="455" max="455" width="30.140625" bestFit="1" customWidth="1"/>
  </cols>
  <sheetData>
    <row r="3" spans="1:19" ht="13.9">
      <c r="A3" s="440" t="s">
        <v>381</v>
      </c>
      <c r="B3" s="440" t="s">
        <v>382</v>
      </c>
      <c r="C3" s="354"/>
      <c r="D3" s="354"/>
      <c r="E3" s="354"/>
      <c r="F3" s="354"/>
      <c r="G3" s="354"/>
      <c r="H3" s="354"/>
      <c r="I3" s="354"/>
      <c r="J3" s="354"/>
      <c r="K3" s="354"/>
      <c r="L3" s="453"/>
      <c r="M3" s="354"/>
      <c r="N3" s="354"/>
      <c r="O3" s="354"/>
      <c r="P3" s="354"/>
      <c r="Q3" s="354"/>
      <c r="R3" s="354"/>
      <c r="S3" s="453"/>
    </row>
    <row r="4" spans="1:19" ht="14.25" customHeight="1">
      <c r="A4" s="578" t="s">
        <v>383</v>
      </c>
      <c r="B4" s="589">
        <v>276</v>
      </c>
      <c r="C4" s="2148" t="s">
        <v>384</v>
      </c>
      <c r="D4" s="354"/>
      <c r="E4" s="354"/>
      <c r="F4" s="354"/>
      <c r="G4" s="354"/>
      <c r="H4" s="1134" t="s">
        <v>79</v>
      </c>
      <c r="I4" s="1135">
        <v>12</v>
      </c>
      <c r="J4" s="1135">
        <f>+'Summary Total Pigs'!AE113</f>
        <v>12</v>
      </c>
      <c r="K4" s="354">
        <f>+I4-J4</f>
        <v>0</v>
      </c>
      <c r="L4" s="354"/>
      <c r="M4" s="354"/>
      <c r="N4" s="354"/>
      <c r="O4" s="354"/>
      <c r="P4" s="354"/>
      <c r="Q4" s="354"/>
      <c r="R4" s="354"/>
      <c r="S4" s="354"/>
    </row>
    <row r="5" spans="1:19" ht="14.25" customHeight="1">
      <c r="A5" s="578" t="s">
        <v>385</v>
      </c>
      <c r="B5" s="589">
        <v>637</v>
      </c>
      <c r="C5" s="2149"/>
      <c r="D5" s="354"/>
      <c r="E5" s="354"/>
      <c r="F5" s="354"/>
      <c r="G5" s="354"/>
      <c r="H5" s="1134" t="s">
        <v>55</v>
      </c>
      <c r="I5" s="1135">
        <v>992</v>
      </c>
      <c r="J5" s="1135">
        <f>+'Summary Total Pigs'!AE112</f>
        <v>992</v>
      </c>
      <c r="K5" s="354">
        <f>+I5-J5</f>
        <v>0</v>
      </c>
      <c r="L5" s="357"/>
      <c r="M5" s="354"/>
      <c r="N5" s="354"/>
      <c r="O5" s="354"/>
      <c r="P5" s="354"/>
      <c r="Q5" s="354"/>
      <c r="R5" s="354"/>
      <c r="S5" s="357"/>
    </row>
    <row r="6" spans="1:19" ht="14.25" customHeight="1">
      <c r="A6" s="578" t="s">
        <v>386</v>
      </c>
      <c r="B6" s="589">
        <v>602</v>
      </c>
      <c r="C6" s="2149"/>
      <c r="D6" s="354"/>
      <c r="E6" s="354"/>
      <c r="F6" s="354"/>
      <c r="G6" s="354"/>
      <c r="H6" s="1134" t="s">
        <v>50</v>
      </c>
      <c r="I6" s="1135">
        <v>268</v>
      </c>
      <c r="J6" s="1135">
        <f>+'Summary Total Pigs'!AE111</f>
        <v>268</v>
      </c>
      <c r="K6" s="354">
        <f>+I6-J6</f>
        <v>0</v>
      </c>
      <c r="L6" s="354"/>
      <c r="M6" s="354"/>
      <c r="N6" s="354"/>
      <c r="O6" s="354"/>
      <c r="P6" s="354"/>
      <c r="Q6" s="354"/>
      <c r="R6" s="354"/>
      <c r="S6" s="354"/>
    </row>
    <row r="7" spans="1:19" ht="14.25" customHeight="1">
      <c r="A7" s="578" t="s">
        <v>387</v>
      </c>
      <c r="B7" s="589">
        <v>601</v>
      </c>
      <c r="C7" s="2150"/>
      <c r="D7" s="354">
        <f>SUM(B4:B7)</f>
        <v>2116</v>
      </c>
      <c r="E7" s="354">
        <f>+'Summary Total Pigs'!AF108</f>
        <v>2116</v>
      </c>
      <c r="F7" s="580">
        <f>+D7-E7</f>
        <v>0</v>
      </c>
      <c r="G7" s="357" t="s">
        <v>390</v>
      </c>
      <c r="H7" s="1134" t="s">
        <v>71</v>
      </c>
      <c r="I7" s="1135">
        <f>SUM(I4:I6)</f>
        <v>1272</v>
      </c>
      <c r="J7" s="1135">
        <f>SUM(J4:J6)</f>
        <v>1272</v>
      </c>
      <c r="K7" s="580">
        <f>SUM(K4:K6)</f>
        <v>0</v>
      </c>
      <c r="L7" s="354" t="s">
        <v>207</v>
      </c>
      <c r="M7" s="354"/>
      <c r="N7" s="354"/>
      <c r="O7" s="354"/>
      <c r="P7" s="354"/>
      <c r="Q7" s="354"/>
      <c r="R7" s="354"/>
      <c r="S7" s="354"/>
    </row>
    <row r="8" spans="1:19" ht="14.25" customHeight="1">
      <c r="A8" s="1136" t="s">
        <v>388</v>
      </c>
      <c r="B8" s="1136">
        <v>638</v>
      </c>
      <c r="C8" s="2151" t="s">
        <v>389</v>
      </c>
      <c r="D8" s="354"/>
      <c r="E8" s="354"/>
      <c r="F8" s="354"/>
      <c r="G8" s="354"/>
      <c r="H8" s="354"/>
      <c r="I8" s="354"/>
      <c r="J8" s="354"/>
      <c r="K8" s="357"/>
      <c r="L8" s="354"/>
      <c r="M8" s="354"/>
      <c r="N8" s="354"/>
      <c r="O8" s="354"/>
      <c r="P8" s="357"/>
      <c r="Q8" s="354"/>
      <c r="R8" s="354"/>
      <c r="S8" s="357"/>
    </row>
    <row r="9" spans="1:19" ht="14.25" customHeight="1">
      <c r="A9" s="1136" t="s">
        <v>391</v>
      </c>
      <c r="B9" s="1136">
        <v>622</v>
      </c>
      <c r="C9" s="2152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</row>
    <row r="10" spans="1:19" ht="14.25" customHeight="1">
      <c r="A10" s="1136" t="s">
        <v>392</v>
      </c>
      <c r="B10" s="1136">
        <v>605</v>
      </c>
      <c r="C10" s="2152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</row>
    <row r="11" spans="1:19" ht="14.25" customHeight="1">
      <c r="A11" s="1136" t="s">
        <v>393</v>
      </c>
      <c r="B11" s="1136">
        <v>627</v>
      </c>
      <c r="C11" s="2152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</row>
    <row r="12" spans="1:19" ht="14.25" customHeight="1">
      <c r="A12" s="1136" t="s">
        <v>394</v>
      </c>
      <c r="B12" s="1136">
        <v>669</v>
      </c>
      <c r="C12" s="2152"/>
      <c r="D12" s="354">
        <f>SUM(B8:B13)</f>
        <v>3789</v>
      </c>
      <c r="E12" s="354">
        <f>+'Summary Total Pigs'!AF109</f>
        <v>3789</v>
      </c>
      <c r="F12" s="580">
        <f>+D12-E12</f>
        <v>0</v>
      </c>
      <c r="G12" s="357" t="s">
        <v>390</v>
      </c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</row>
    <row r="13" spans="1:19" ht="14.25" customHeight="1">
      <c r="A13" s="1136" t="s">
        <v>395</v>
      </c>
      <c r="B13" s="1136">
        <v>628</v>
      </c>
      <c r="C13" s="2153"/>
      <c r="D13" s="354"/>
      <c r="E13" s="354"/>
      <c r="F13" s="357"/>
      <c r="G13" s="354"/>
      <c r="H13" s="354"/>
      <c r="I13" s="354"/>
      <c r="J13" s="354"/>
      <c r="K13" s="354"/>
      <c r="L13" s="354"/>
      <c r="M13" s="354"/>
      <c r="N13" s="354"/>
      <c r="O13" s="354"/>
      <c r="P13" s="354"/>
      <c r="Q13" s="354"/>
      <c r="R13" s="354"/>
      <c r="S13" s="354"/>
    </row>
    <row r="14" spans="1:19" ht="14.25" customHeight="1">
      <c r="A14" s="579" t="s">
        <v>396</v>
      </c>
      <c r="B14" s="579">
        <v>537</v>
      </c>
      <c r="C14" s="2154" t="s">
        <v>397</v>
      </c>
      <c r="D14" s="354"/>
      <c r="E14" s="354"/>
      <c r="F14" s="357"/>
      <c r="G14" s="354"/>
      <c r="H14" s="354"/>
      <c r="I14" s="354"/>
      <c r="J14" s="354"/>
      <c r="K14" s="354"/>
      <c r="L14" s="357"/>
      <c r="M14" s="354"/>
      <c r="N14" s="354"/>
      <c r="O14" s="354"/>
      <c r="P14" s="354"/>
      <c r="Q14" s="357"/>
      <c r="R14" s="354"/>
      <c r="S14" s="354"/>
    </row>
    <row r="15" spans="1:19" ht="14.25" customHeight="1">
      <c r="A15" s="579" t="s">
        <v>398</v>
      </c>
      <c r="B15" s="579">
        <v>552</v>
      </c>
      <c r="C15" s="2155"/>
      <c r="D15" s="354"/>
      <c r="E15" s="354"/>
      <c r="F15" s="354"/>
      <c r="G15" s="354"/>
      <c r="H15" s="354"/>
      <c r="I15" s="354"/>
      <c r="J15" s="354"/>
      <c r="K15" s="354"/>
      <c r="L15" s="357"/>
      <c r="M15" s="354"/>
      <c r="N15" s="354"/>
      <c r="O15" s="354"/>
      <c r="P15" s="354"/>
      <c r="Q15" s="357"/>
      <c r="R15" s="354"/>
      <c r="S15" s="354"/>
    </row>
    <row r="16" spans="1:19" ht="14.25" customHeight="1">
      <c r="A16" s="579" t="s">
        <v>399</v>
      </c>
      <c r="B16" s="579">
        <v>505</v>
      </c>
      <c r="C16" s="2155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</row>
    <row r="17" spans="1:19" ht="14.25" customHeight="1">
      <c r="A17" s="579" t="s">
        <v>400</v>
      </c>
      <c r="B17" s="579">
        <v>537</v>
      </c>
      <c r="C17" s="2155"/>
      <c r="D17" s="354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</row>
    <row r="18" spans="1:19" ht="14.25" customHeight="1">
      <c r="A18" s="579" t="s">
        <v>401</v>
      </c>
      <c r="B18" s="579">
        <v>527</v>
      </c>
      <c r="C18" s="2155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</row>
    <row r="19" spans="1:19" ht="14.25" customHeight="1">
      <c r="A19" s="579" t="s">
        <v>402</v>
      </c>
      <c r="B19" s="579">
        <v>495</v>
      </c>
      <c r="C19" s="2155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</row>
    <row r="20" spans="1:19" ht="14.25" customHeight="1">
      <c r="A20" s="579" t="s">
        <v>403</v>
      </c>
      <c r="B20" s="579">
        <v>528</v>
      </c>
      <c r="C20" s="2155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</row>
    <row r="21" spans="1:19" ht="14.25" customHeight="1">
      <c r="A21" s="579" t="s">
        <v>404</v>
      </c>
      <c r="B21" s="579">
        <v>516</v>
      </c>
      <c r="C21" s="2155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</row>
    <row r="22" spans="1:19" ht="14.25" customHeight="1">
      <c r="A22" s="579" t="s">
        <v>405</v>
      </c>
      <c r="B22" s="579">
        <v>510</v>
      </c>
      <c r="C22" s="2155"/>
      <c r="D22" s="354"/>
      <c r="E22" s="354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</row>
    <row r="23" spans="1:19" ht="14.25" customHeight="1">
      <c r="A23" s="579" t="s">
        <v>406</v>
      </c>
      <c r="B23" s="579">
        <v>528</v>
      </c>
      <c r="C23" s="2155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</row>
    <row r="24" spans="1:19" ht="14.25" customHeight="1">
      <c r="A24" s="579" t="s">
        <v>407</v>
      </c>
      <c r="B24" s="579">
        <v>598</v>
      </c>
      <c r="C24" s="2155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</row>
    <row r="25" spans="1:19" ht="14.25" customHeight="1">
      <c r="A25" s="579" t="s">
        <v>408</v>
      </c>
      <c r="B25" s="579">
        <v>7</v>
      </c>
      <c r="C25" s="2155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</row>
    <row r="26" spans="1:19" ht="14.25" customHeight="1">
      <c r="A26" s="579" t="s">
        <v>409</v>
      </c>
      <c r="B26" s="579"/>
      <c r="C26" s="2155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</row>
    <row r="27" spans="1:19" ht="14.25" customHeight="1">
      <c r="A27" s="579" t="s">
        <v>410</v>
      </c>
      <c r="B27" s="579"/>
      <c r="C27" s="2155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</row>
    <row r="28" spans="1:19" ht="14.25" customHeight="1">
      <c r="A28" s="579" t="s">
        <v>411</v>
      </c>
      <c r="B28" s="579"/>
      <c r="C28" s="2155"/>
      <c r="D28" s="354">
        <f>SUM(B14:B29)</f>
        <v>5840</v>
      </c>
      <c r="E28" s="354">
        <f>+'Summary Total Pigs'!AF110</f>
        <v>5840</v>
      </c>
      <c r="F28" s="580">
        <f>+D28-E28</f>
        <v>0</v>
      </c>
      <c r="G28" s="357" t="s">
        <v>390</v>
      </c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</row>
    <row r="29" spans="1:19" ht="14.25" customHeight="1">
      <c r="A29" s="579"/>
      <c r="B29" s="579"/>
      <c r="C29" s="2156"/>
      <c r="D29" s="354"/>
      <c r="E29" s="354"/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</row>
  </sheetData>
  <mergeCells count="3">
    <mergeCell ref="C4:C7"/>
    <mergeCell ref="C8:C13"/>
    <mergeCell ref="C14:C29"/>
  </mergeCells>
  <pageMargins left="0.7" right="0.7" top="0.75" bottom="0.75" header="0.3" footer="0.3"/>
  <pageSetup paperSize="9" scale="3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A282-5735-4612-BB3D-EE180C78DC51}">
  <sheetPr codeName="Sheet20">
    <tabColor rgb="FFFFFF00"/>
  </sheetPr>
  <dimension ref="A3:S29"/>
  <sheetViews>
    <sheetView view="pageBreakPreview" zoomScale="60" zoomScaleNormal="100" workbookViewId="0">
      <pane xSplit="2" ySplit="1" topLeftCell="C2" activePane="bottomRight" state="frozen"/>
      <selection pane="bottomRight" activeCell="I5" sqref="I5"/>
      <selection pane="bottomLeft" activeCell="A5" sqref="A5"/>
      <selection pane="topRight" activeCell="C1" sqref="C1"/>
    </sheetView>
  </sheetViews>
  <sheetFormatPr defaultRowHeight="13.15"/>
  <cols>
    <col min="1" max="1" width="18.85546875" bestFit="1" customWidth="1"/>
    <col min="2" max="2" width="17.85546875" bestFit="1" customWidth="1"/>
    <col min="3" max="3" width="12.28515625" bestFit="1" customWidth="1"/>
    <col min="4" max="4" width="8" bestFit="1" customWidth="1"/>
    <col min="5" max="5" width="9.42578125" bestFit="1" customWidth="1"/>
    <col min="6" max="6" width="14.85546875" bestFit="1" customWidth="1"/>
    <col min="7" max="7" width="10.5703125" bestFit="1" customWidth="1"/>
    <col min="8" max="8" width="22" bestFit="1" customWidth="1"/>
    <col min="9" max="9" width="24.7109375" bestFit="1" customWidth="1"/>
    <col min="10" max="10" width="23.7109375" bestFit="1" customWidth="1"/>
    <col min="11" max="11" width="34.7109375" bestFit="1" customWidth="1"/>
    <col min="12" max="12" width="30.85546875" bestFit="1" customWidth="1"/>
    <col min="13" max="13" width="26.28515625" bestFit="1" customWidth="1"/>
    <col min="14" max="14" width="30.5703125" bestFit="1" customWidth="1"/>
    <col min="15" max="15" width="18" bestFit="1" customWidth="1"/>
    <col min="17" max="17" width="8" customWidth="1"/>
    <col min="18" max="18" width="8" bestFit="1" customWidth="1"/>
    <col min="19" max="19" width="9.42578125" bestFit="1" customWidth="1"/>
    <col min="20" max="20" width="14.85546875" bestFit="1" customWidth="1"/>
    <col min="21" max="21" width="10.5703125" bestFit="1" customWidth="1"/>
    <col min="22" max="22" width="22" bestFit="1" customWidth="1"/>
    <col min="23" max="23" width="24.7109375" bestFit="1" customWidth="1"/>
    <col min="24" max="24" width="23.7109375" bestFit="1" customWidth="1"/>
    <col min="25" max="25" width="30" customWidth="1"/>
    <col min="26" max="26" width="25.42578125" customWidth="1"/>
    <col min="27" max="27" width="22.5703125" bestFit="1" customWidth="1"/>
    <col min="28" max="28" width="28.7109375" bestFit="1" customWidth="1"/>
    <col min="29" max="29" width="18" bestFit="1" customWidth="1"/>
    <col min="31" max="31" width="7" customWidth="1"/>
    <col min="32" max="32" width="8" customWidth="1"/>
    <col min="33" max="33" width="9.42578125" bestFit="1" customWidth="1"/>
    <col min="34" max="34" width="14.85546875" bestFit="1" customWidth="1"/>
    <col min="35" max="35" width="10.5703125" bestFit="1" customWidth="1"/>
    <col min="36" max="36" width="22" bestFit="1" customWidth="1"/>
    <col min="37" max="37" width="24.7109375" bestFit="1" customWidth="1"/>
    <col min="38" max="38" width="23.7109375" bestFit="1" customWidth="1"/>
    <col min="39" max="39" width="22.28515625" customWidth="1"/>
    <col min="40" max="40" width="18.28515625" customWidth="1"/>
    <col min="41" max="41" width="22.5703125" bestFit="1" customWidth="1"/>
    <col min="42" max="42" width="28.7109375" bestFit="1" customWidth="1"/>
    <col min="43" max="43" width="18" bestFit="1" customWidth="1"/>
    <col min="45" max="45" width="6.28515625" customWidth="1"/>
    <col min="46" max="46" width="8" bestFit="1" customWidth="1"/>
    <col min="47" max="47" width="9.42578125" bestFit="1" customWidth="1"/>
    <col min="48" max="48" width="14.85546875" bestFit="1" customWidth="1"/>
    <col min="49" max="49" width="10.5703125" bestFit="1" customWidth="1"/>
    <col min="50" max="50" width="22" bestFit="1" customWidth="1"/>
    <col min="51" max="51" width="24.7109375" bestFit="1" customWidth="1"/>
    <col min="52" max="52" width="23.7109375" bestFit="1" customWidth="1"/>
    <col min="53" max="53" width="25.42578125" customWidth="1"/>
    <col min="54" max="54" width="23" customWidth="1"/>
    <col min="55" max="55" width="22.5703125" bestFit="1" customWidth="1"/>
    <col min="56" max="56" width="28.7109375" bestFit="1" customWidth="1"/>
    <col min="57" max="57" width="18" bestFit="1" customWidth="1"/>
    <col min="59" max="59" width="6.85546875" customWidth="1"/>
    <col min="60" max="60" width="8" bestFit="1" customWidth="1"/>
    <col min="61" max="61" width="9.42578125" bestFit="1" customWidth="1"/>
    <col min="62" max="62" width="14.85546875" bestFit="1" customWidth="1"/>
    <col min="63" max="63" width="10.5703125" bestFit="1" customWidth="1"/>
    <col min="64" max="64" width="22" bestFit="1" customWidth="1"/>
    <col min="65" max="65" width="24.7109375" bestFit="1" customWidth="1"/>
    <col min="66" max="66" width="23.7109375" bestFit="1" customWidth="1"/>
    <col min="67" max="67" width="24.5703125" customWidth="1"/>
    <col min="68" max="68" width="23" customWidth="1"/>
    <col min="69" max="69" width="22.5703125" bestFit="1" customWidth="1"/>
    <col min="70" max="70" width="28.7109375" bestFit="1" customWidth="1"/>
    <col min="71" max="71" width="18" bestFit="1" customWidth="1"/>
    <col min="73" max="73" width="7.7109375" bestFit="1" customWidth="1"/>
    <col min="74" max="74" width="8" bestFit="1" customWidth="1"/>
    <col min="75" max="75" width="9" bestFit="1" customWidth="1"/>
    <col min="76" max="76" width="19.85546875" bestFit="1" customWidth="1"/>
    <col min="77" max="77" width="13.28515625" bestFit="1" customWidth="1"/>
    <col min="78" max="78" width="16.85546875" bestFit="1" customWidth="1"/>
    <col min="79" max="79" width="13.7109375" bestFit="1" customWidth="1"/>
    <col min="80" max="80" width="22.5703125" bestFit="1" customWidth="1"/>
    <col min="81" max="81" width="19.85546875" bestFit="1" customWidth="1"/>
    <col min="82" max="82" width="23.42578125" bestFit="1" customWidth="1"/>
    <col min="83" max="83" width="19.140625" bestFit="1" customWidth="1"/>
    <col min="84" max="84" width="29.42578125" customWidth="1"/>
    <col min="85" max="85" width="18" customWidth="1"/>
    <col min="86" max="86" width="26.140625" bestFit="1" customWidth="1"/>
    <col min="87" max="87" width="18" customWidth="1"/>
    <col min="89" max="89" width="10.28515625" customWidth="1"/>
    <col min="90" max="90" width="8" bestFit="1" customWidth="1"/>
    <col min="91" max="91" width="9" bestFit="1" customWidth="1"/>
    <col min="92" max="92" width="19.85546875" bestFit="1" customWidth="1"/>
    <col min="93" max="93" width="13.28515625" bestFit="1" customWidth="1"/>
    <col min="94" max="94" width="16.85546875" bestFit="1" customWidth="1"/>
    <col min="95" max="95" width="13.7109375" bestFit="1" customWidth="1"/>
    <col min="96" max="96" width="22.5703125" bestFit="1" customWidth="1"/>
    <col min="97" max="97" width="19.85546875" bestFit="1" customWidth="1"/>
    <col min="98" max="98" width="23.42578125" bestFit="1" customWidth="1"/>
    <col min="99" max="99" width="18.7109375" customWidth="1"/>
    <col min="100" max="100" width="30.28515625" customWidth="1"/>
    <col min="101" max="101" width="27" customWidth="1"/>
    <col min="102" max="102" width="26.140625" bestFit="1" customWidth="1"/>
    <col min="103" max="103" width="19" customWidth="1"/>
    <col min="105" max="105" width="7.7109375" customWidth="1"/>
    <col min="106" max="106" width="8" bestFit="1" customWidth="1"/>
    <col min="107" max="107" width="9" bestFit="1" customWidth="1"/>
    <col min="108" max="108" width="19.85546875" bestFit="1" customWidth="1"/>
    <col min="109" max="109" width="13.28515625" bestFit="1" customWidth="1"/>
    <col min="110" max="110" width="16.85546875" bestFit="1" customWidth="1"/>
    <col min="111" max="111" width="13.7109375" bestFit="1" customWidth="1"/>
    <col min="112" max="112" width="22.5703125" bestFit="1" customWidth="1"/>
    <col min="113" max="113" width="19.85546875" bestFit="1" customWidth="1"/>
    <col min="114" max="114" width="23.42578125" bestFit="1" customWidth="1"/>
    <col min="115" max="115" width="19" customWidth="1"/>
    <col min="116" max="116" width="24.140625" customWidth="1"/>
    <col min="117" max="117" width="28.7109375" bestFit="1" customWidth="1"/>
    <col min="118" max="118" width="15.85546875" customWidth="1"/>
    <col min="119" max="119" width="16.5703125" customWidth="1"/>
    <col min="121" max="121" width="7.7109375" bestFit="1" customWidth="1"/>
    <col min="122" max="122" width="8" bestFit="1" customWidth="1"/>
    <col min="123" max="123" width="9" bestFit="1" customWidth="1"/>
    <col min="124" max="124" width="19.85546875" bestFit="1" customWidth="1"/>
    <col min="125" max="125" width="13.28515625" bestFit="1" customWidth="1"/>
    <col min="126" max="126" width="16.85546875" bestFit="1" customWidth="1"/>
    <col min="127" max="127" width="13.7109375" bestFit="1" customWidth="1"/>
    <col min="128" max="128" width="22.5703125" bestFit="1" customWidth="1"/>
    <col min="129" max="129" width="19.85546875" bestFit="1" customWidth="1"/>
    <col min="130" max="130" width="23.42578125" bestFit="1" customWidth="1"/>
    <col min="131" max="131" width="19.7109375" customWidth="1"/>
    <col min="132" max="132" width="24.7109375" bestFit="1" customWidth="1"/>
    <col min="133" max="133" width="18.7109375" bestFit="1" customWidth="1"/>
    <col min="134" max="134" width="16.5703125" bestFit="1" customWidth="1"/>
    <col min="135" max="135" width="15.85546875" customWidth="1"/>
    <col min="137" max="137" width="7.7109375" bestFit="1" customWidth="1"/>
    <col min="138" max="138" width="8" bestFit="1" customWidth="1"/>
    <col min="139" max="139" width="9" bestFit="1" customWidth="1"/>
    <col min="140" max="140" width="19.85546875" bestFit="1" customWidth="1"/>
    <col min="141" max="141" width="13.28515625" bestFit="1" customWidth="1"/>
    <col min="142" max="142" width="16.85546875" bestFit="1" customWidth="1"/>
    <col min="143" max="143" width="13.7109375" bestFit="1" customWidth="1"/>
    <col min="144" max="144" width="22.5703125" bestFit="1" customWidth="1"/>
    <col min="145" max="145" width="19.85546875" bestFit="1" customWidth="1"/>
    <col min="146" max="146" width="23.42578125" bestFit="1" customWidth="1"/>
    <col min="147" max="147" width="20.140625" customWidth="1"/>
    <col min="148" max="148" width="24.7109375" bestFit="1" customWidth="1"/>
    <col min="149" max="149" width="18.7109375" bestFit="1" customWidth="1"/>
    <col min="150" max="150" width="16.140625" customWidth="1"/>
    <col min="151" max="151" width="15.85546875" customWidth="1"/>
    <col min="153" max="153" width="7.7109375" bestFit="1" customWidth="1"/>
    <col min="154" max="154" width="8" bestFit="1" customWidth="1"/>
    <col min="155" max="155" width="9" bestFit="1" customWidth="1"/>
    <col min="156" max="156" width="19.85546875" bestFit="1" customWidth="1"/>
    <col min="157" max="157" width="13.28515625" bestFit="1" customWidth="1"/>
    <col min="158" max="158" width="16.85546875" bestFit="1" customWidth="1"/>
    <col min="159" max="159" width="13.7109375" bestFit="1" customWidth="1"/>
    <col min="160" max="160" width="22.5703125" bestFit="1" customWidth="1"/>
    <col min="161" max="161" width="19.85546875" bestFit="1" customWidth="1"/>
    <col min="162" max="162" width="23.42578125" bestFit="1" customWidth="1"/>
    <col min="163" max="163" width="19.140625" bestFit="1" customWidth="1"/>
    <col min="164" max="164" width="20.140625" customWidth="1"/>
    <col min="165" max="165" width="18.7109375" bestFit="1" customWidth="1"/>
    <col min="166" max="166" width="16.42578125" customWidth="1"/>
    <col min="167" max="167" width="16.5703125" customWidth="1"/>
    <col min="169" max="169" width="10.85546875" customWidth="1"/>
    <col min="170" max="170" width="8" bestFit="1" customWidth="1"/>
    <col min="171" max="171" width="9" bestFit="1" customWidth="1"/>
    <col min="172" max="172" width="19.85546875" bestFit="1" customWidth="1"/>
    <col min="173" max="173" width="13.28515625" bestFit="1" customWidth="1"/>
    <col min="174" max="174" width="16.85546875" bestFit="1" customWidth="1"/>
    <col min="175" max="175" width="13.7109375" bestFit="1" customWidth="1"/>
    <col min="176" max="176" width="22.5703125" bestFit="1" customWidth="1"/>
    <col min="177" max="177" width="19.85546875" bestFit="1" customWidth="1"/>
    <col min="178" max="178" width="23.42578125" bestFit="1" customWidth="1"/>
    <col min="179" max="179" width="20" customWidth="1"/>
    <col min="180" max="180" width="20.5703125" customWidth="1"/>
    <col min="181" max="181" width="19.7109375" customWidth="1"/>
    <col min="182" max="182" width="16.140625" customWidth="1"/>
    <col min="183" max="183" width="17.5703125" customWidth="1"/>
    <col min="185" max="185" width="11.5703125" customWidth="1"/>
    <col min="186" max="186" width="8" bestFit="1" customWidth="1"/>
    <col min="187" max="187" width="9" bestFit="1" customWidth="1"/>
    <col min="188" max="188" width="19.85546875" bestFit="1" customWidth="1"/>
    <col min="189" max="189" width="13.28515625" bestFit="1" customWidth="1"/>
    <col min="190" max="190" width="16.85546875" bestFit="1" customWidth="1"/>
    <col min="191" max="191" width="13.7109375" bestFit="1" customWidth="1"/>
    <col min="192" max="192" width="22.5703125" bestFit="1" customWidth="1"/>
    <col min="193" max="193" width="19.85546875" bestFit="1" customWidth="1"/>
    <col min="194" max="194" width="23.42578125" bestFit="1" customWidth="1"/>
    <col min="195" max="195" width="19.28515625" customWidth="1"/>
    <col min="196" max="196" width="26.28515625" customWidth="1"/>
    <col min="197" max="197" width="18.7109375" bestFit="1" customWidth="1"/>
    <col min="198" max="198" width="16.140625" customWidth="1"/>
    <col min="199" max="199" width="19.42578125" customWidth="1"/>
    <col min="201" max="201" width="7.7109375" customWidth="1"/>
    <col min="202" max="202" width="8" bestFit="1" customWidth="1"/>
    <col min="203" max="203" width="9" bestFit="1" customWidth="1"/>
    <col min="204" max="204" width="19.85546875" bestFit="1" customWidth="1"/>
    <col min="205" max="205" width="13.28515625" bestFit="1" customWidth="1"/>
    <col min="206" max="206" width="16.85546875" bestFit="1" customWidth="1"/>
    <col min="207" max="207" width="13.7109375" bestFit="1" customWidth="1"/>
    <col min="208" max="208" width="22.5703125" bestFit="1" customWidth="1"/>
    <col min="209" max="209" width="19.85546875" bestFit="1" customWidth="1"/>
    <col min="210" max="210" width="23.42578125" bestFit="1" customWidth="1"/>
    <col min="211" max="211" width="31.85546875" bestFit="1" customWidth="1"/>
    <col min="212" max="212" width="21" customWidth="1"/>
    <col min="213" max="213" width="19.42578125" customWidth="1"/>
    <col min="214" max="214" width="17.140625" customWidth="1"/>
    <col min="215" max="215" width="17.28515625" customWidth="1"/>
    <col min="218" max="218" width="8" bestFit="1" customWidth="1"/>
    <col min="219" max="219" width="9" bestFit="1" customWidth="1"/>
    <col min="220" max="220" width="19.85546875" bestFit="1" customWidth="1"/>
    <col min="221" max="221" width="13.28515625" bestFit="1" customWidth="1"/>
    <col min="222" max="222" width="16.85546875" bestFit="1" customWidth="1"/>
    <col min="223" max="223" width="13.7109375" bestFit="1" customWidth="1"/>
    <col min="224" max="224" width="22.5703125" bestFit="1" customWidth="1"/>
    <col min="225" max="225" width="19.85546875" bestFit="1" customWidth="1"/>
    <col min="226" max="226" width="23.42578125" bestFit="1" customWidth="1"/>
    <col min="227" max="227" width="21.140625" customWidth="1"/>
    <col min="228" max="228" width="29.140625" customWidth="1"/>
    <col min="229" max="229" width="18" customWidth="1"/>
    <col min="230" max="230" width="16.85546875" customWidth="1"/>
    <col min="231" max="231" width="17.7109375" customWidth="1"/>
    <col min="234" max="234" width="8" bestFit="1" customWidth="1"/>
    <col min="235" max="235" width="9" bestFit="1" customWidth="1"/>
    <col min="236" max="236" width="19.85546875" bestFit="1" customWidth="1"/>
    <col min="237" max="237" width="13.28515625" bestFit="1" customWidth="1"/>
    <col min="238" max="238" width="16.85546875" bestFit="1" customWidth="1"/>
    <col min="239" max="239" width="13.7109375" bestFit="1" customWidth="1"/>
    <col min="240" max="240" width="22.5703125" bestFit="1" customWidth="1"/>
    <col min="241" max="241" width="19.85546875" bestFit="1" customWidth="1"/>
    <col min="242" max="242" width="23.42578125" bestFit="1" customWidth="1"/>
    <col min="243" max="243" width="20.42578125" customWidth="1"/>
    <col min="244" max="244" width="24.140625" customWidth="1"/>
    <col min="245" max="245" width="18" customWidth="1"/>
    <col min="246" max="246" width="18.28515625" customWidth="1"/>
    <col min="247" max="247" width="17.7109375" customWidth="1"/>
    <col min="250" max="250" width="8" bestFit="1" customWidth="1"/>
    <col min="251" max="251" width="9" bestFit="1" customWidth="1"/>
    <col min="252" max="252" width="19.85546875" bestFit="1" customWidth="1"/>
    <col min="253" max="253" width="13.28515625" bestFit="1" customWidth="1"/>
    <col min="254" max="254" width="16.85546875" bestFit="1" customWidth="1"/>
    <col min="255" max="255" width="13.7109375" bestFit="1" customWidth="1"/>
    <col min="256" max="256" width="22.5703125" bestFit="1" customWidth="1"/>
    <col min="257" max="257" width="19.85546875" bestFit="1" customWidth="1"/>
    <col min="258" max="258" width="23.42578125" bestFit="1" customWidth="1"/>
    <col min="259" max="259" width="19.28515625" customWidth="1"/>
    <col min="260" max="260" width="21.5703125" customWidth="1"/>
    <col min="261" max="261" width="20" customWidth="1"/>
    <col min="262" max="262" width="20.42578125" customWidth="1"/>
    <col min="263" max="263" width="23" customWidth="1"/>
    <col min="264" max="264" width="3" bestFit="1" customWidth="1"/>
    <col min="266" max="266" width="8" bestFit="1" customWidth="1"/>
    <col min="267" max="267" width="9" bestFit="1" customWidth="1"/>
    <col min="268" max="268" width="19.85546875" bestFit="1" customWidth="1"/>
    <col min="269" max="269" width="13.28515625" bestFit="1" customWidth="1"/>
    <col min="270" max="270" width="16.85546875" bestFit="1" customWidth="1"/>
    <col min="271" max="271" width="13.7109375" bestFit="1" customWidth="1"/>
    <col min="272" max="272" width="22.5703125" bestFit="1" customWidth="1"/>
    <col min="273" max="273" width="19.85546875" bestFit="1" customWidth="1"/>
    <col min="274" max="274" width="23.42578125" bestFit="1" customWidth="1"/>
    <col min="275" max="275" width="16.42578125" customWidth="1"/>
    <col min="276" max="276" width="28.7109375" customWidth="1"/>
    <col min="277" max="277" width="18.42578125" customWidth="1"/>
    <col min="278" max="278" width="13.28515625" customWidth="1"/>
    <col min="279" max="279" width="19.42578125" customWidth="1"/>
    <col min="282" max="282" width="8" bestFit="1" customWidth="1"/>
    <col min="283" max="283" width="9" bestFit="1" customWidth="1"/>
    <col min="284" max="284" width="19.85546875" bestFit="1" customWidth="1"/>
    <col min="285" max="285" width="13.28515625" bestFit="1" customWidth="1"/>
    <col min="286" max="286" width="16.85546875" bestFit="1" customWidth="1"/>
    <col min="287" max="287" width="13.7109375" bestFit="1" customWidth="1"/>
    <col min="288" max="288" width="22.5703125" bestFit="1" customWidth="1"/>
    <col min="289" max="289" width="19.85546875" bestFit="1" customWidth="1"/>
    <col min="290" max="290" width="23.42578125" bestFit="1" customWidth="1"/>
    <col min="291" max="291" width="24.42578125" customWidth="1"/>
    <col min="292" max="292" width="20.85546875" customWidth="1"/>
    <col min="293" max="293" width="19.85546875" customWidth="1"/>
    <col min="294" max="294" width="17.5703125" customWidth="1"/>
    <col min="295" max="295" width="20.42578125" customWidth="1"/>
    <col min="298" max="298" width="8" bestFit="1" customWidth="1"/>
    <col min="299" max="299" width="9" bestFit="1" customWidth="1"/>
    <col min="300" max="300" width="19.85546875" bestFit="1" customWidth="1"/>
    <col min="301" max="301" width="13.28515625" bestFit="1" customWidth="1"/>
    <col min="302" max="302" width="16.85546875" bestFit="1" customWidth="1"/>
    <col min="303" max="303" width="13.7109375" bestFit="1" customWidth="1"/>
    <col min="304" max="304" width="22.5703125" bestFit="1" customWidth="1"/>
    <col min="305" max="305" width="19.85546875" bestFit="1" customWidth="1"/>
    <col min="306" max="306" width="23.42578125" bestFit="1" customWidth="1"/>
    <col min="307" max="307" width="19" customWidth="1"/>
    <col min="308" max="308" width="16.7109375" customWidth="1"/>
    <col min="309" max="309" width="18.5703125" customWidth="1"/>
    <col min="310" max="310" width="16.140625" customWidth="1"/>
    <col min="311" max="311" width="20.85546875" customWidth="1"/>
    <col min="314" max="314" width="8" bestFit="1" customWidth="1"/>
    <col min="315" max="315" width="9" bestFit="1" customWidth="1"/>
    <col min="316" max="316" width="19.85546875" bestFit="1" customWidth="1"/>
    <col min="317" max="317" width="13.28515625" bestFit="1" customWidth="1"/>
    <col min="318" max="318" width="16.85546875" bestFit="1" customWidth="1"/>
    <col min="319" max="319" width="13.7109375" bestFit="1" customWidth="1"/>
    <col min="320" max="320" width="22.5703125" bestFit="1" customWidth="1"/>
    <col min="321" max="321" width="19.85546875" bestFit="1" customWidth="1"/>
    <col min="322" max="322" width="23.42578125" bestFit="1" customWidth="1"/>
    <col min="323" max="323" width="24" customWidth="1"/>
    <col min="324" max="324" width="21.7109375" customWidth="1"/>
    <col min="325" max="325" width="20.42578125" customWidth="1"/>
    <col min="326" max="326" width="21.140625" customWidth="1"/>
    <col min="327" max="327" width="16.85546875" customWidth="1"/>
    <col min="330" max="330" width="8" bestFit="1" customWidth="1"/>
    <col min="331" max="331" width="9" bestFit="1" customWidth="1"/>
    <col min="332" max="332" width="19.85546875" bestFit="1" customWidth="1"/>
    <col min="333" max="333" width="13.28515625" bestFit="1" customWidth="1"/>
    <col min="334" max="334" width="16.85546875" bestFit="1" customWidth="1"/>
    <col min="335" max="335" width="13.7109375" bestFit="1" customWidth="1"/>
    <col min="336" max="336" width="22.5703125" bestFit="1" customWidth="1"/>
    <col min="337" max="337" width="19.85546875" bestFit="1" customWidth="1"/>
    <col min="338" max="338" width="23.42578125" bestFit="1" customWidth="1"/>
    <col min="339" max="339" width="20.85546875" customWidth="1"/>
    <col min="340" max="340" width="21.28515625" customWidth="1"/>
    <col min="341" max="341" width="15.85546875" customWidth="1"/>
    <col min="342" max="342" width="26.140625" bestFit="1" customWidth="1"/>
    <col min="343" max="343" width="16.140625" customWidth="1"/>
    <col min="346" max="346" width="8" bestFit="1" customWidth="1"/>
    <col min="347" max="347" width="9" bestFit="1" customWidth="1"/>
    <col min="348" max="348" width="19.85546875" bestFit="1" customWidth="1"/>
    <col min="349" max="349" width="13.28515625" bestFit="1" customWidth="1"/>
    <col min="350" max="350" width="16.85546875" bestFit="1" customWidth="1"/>
    <col min="351" max="351" width="13.7109375" bestFit="1" customWidth="1"/>
    <col min="352" max="352" width="22.5703125" bestFit="1" customWidth="1"/>
    <col min="353" max="353" width="19.85546875" bestFit="1" customWidth="1"/>
    <col min="354" max="354" width="23.42578125" bestFit="1" customWidth="1"/>
    <col min="355" max="355" width="31.85546875" bestFit="1" customWidth="1"/>
    <col min="356" max="356" width="19.42578125" customWidth="1"/>
    <col min="357" max="357" width="19.28515625" customWidth="1"/>
    <col min="358" max="358" width="17.5703125" customWidth="1"/>
    <col min="359" max="359" width="15.85546875" customWidth="1"/>
    <col min="362" max="362" width="8" bestFit="1" customWidth="1"/>
    <col min="363" max="363" width="9" bestFit="1" customWidth="1"/>
    <col min="364" max="364" width="19.85546875" bestFit="1" customWidth="1"/>
    <col min="365" max="365" width="13.28515625" bestFit="1" customWidth="1"/>
    <col min="366" max="366" width="16.85546875" bestFit="1" customWidth="1"/>
    <col min="367" max="367" width="13.7109375" bestFit="1" customWidth="1"/>
    <col min="368" max="368" width="22.5703125" bestFit="1" customWidth="1"/>
    <col min="369" max="369" width="19.85546875" bestFit="1" customWidth="1"/>
    <col min="370" max="370" width="23.42578125" bestFit="1" customWidth="1"/>
    <col min="371" max="371" width="16.140625" customWidth="1"/>
    <col min="372" max="372" width="24.42578125" customWidth="1"/>
    <col min="373" max="373" width="18" customWidth="1"/>
    <col min="374" max="374" width="17.140625" customWidth="1"/>
    <col min="375" max="375" width="17" customWidth="1"/>
    <col min="378" max="378" width="8" bestFit="1" customWidth="1"/>
    <col min="379" max="379" width="9" bestFit="1" customWidth="1"/>
    <col min="380" max="380" width="19.85546875" bestFit="1" customWidth="1"/>
    <col min="381" max="381" width="13.28515625" bestFit="1" customWidth="1"/>
    <col min="382" max="382" width="16.85546875" bestFit="1" customWidth="1"/>
    <col min="383" max="383" width="13.7109375" bestFit="1" customWidth="1"/>
    <col min="384" max="384" width="22.5703125" bestFit="1" customWidth="1"/>
    <col min="385" max="385" width="19.85546875" bestFit="1" customWidth="1"/>
    <col min="386" max="386" width="23.42578125" bestFit="1" customWidth="1"/>
    <col min="387" max="387" width="18.5703125" customWidth="1"/>
    <col min="388" max="388" width="20.140625" customWidth="1"/>
    <col min="389" max="389" width="18.42578125" customWidth="1"/>
    <col min="390" max="390" width="21.85546875" customWidth="1"/>
    <col min="391" max="391" width="14.85546875" customWidth="1"/>
    <col min="394" max="394" width="8" bestFit="1" customWidth="1"/>
    <col min="395" max="395" width="9" bestFit="1" customWidth="1"/>
    <col min="396" max="396" width="19.85546875" bestFit="1" customWidth="1"/>
    <col min="397" max="397" width="13.28515625" bestFit="1" customWidth="1"/>
    <col min="398" max="398" width="16.85546875" bestFit="1" customWidth="1"/>
    <col min="399" max="399" width="13.7109375" bestFit="1" customWidth="1"/>
    <col min="400" max="400" width="22.5703125" bestFit="1" customWidth="1"/>
    <col min="401" max="401" width="19.85546875" bestFit="1" customWidth="1"/>
    <col min="402" max="402" width="23.42578125" bestFit="1" customWidth="1"/>
    <col min="403" max="403" width="23.28515625" customWidth="1"/>
    <col min="404" max="404" width="20.5703125" customWidth="1"/>
    <col min="405" max="405" width="18.42578125" customWidth="1"/>
    <col min="406" max="406" width="15.85546875" customWidth="1"/>
    <col min="407" max="407" width="13" customWidth="1"/>
    <col min="410" max="410" width="8" bestFit="1" customWidth="1"/>
    <col min="411" max="411" width="9" bestFit="1" customWidth="1"/>
    <col min="412" max="412" width="19.85546875" bestFit="1" customWidth="1"/>
    <col min="413" max="413" width="13.28515625" bestFit="1" customWidth="1"/>
    <col min="414" max="414" width="16.85546875" bestFit="1" customWidth="1"/>
    <col min="415" max="415" width="13.7109375" bestFit="1" customWidth="1"/>
    <col min="416" max="416" width="22.5703125" bestFit="1" customWidth="1"/>
    <col min="417" max="417" width="19.85546875" bestFit="1" customWidth="1"/>
    <col min="418" max="418" width="23.42578125" bestFit="1" customWidth="1"/>
    <col min="419" max="419" width="20.140625" customWidth="1"/>
    <col min="420" max="420" width="24.140625" customWidth="1"/>
    <col min="421" max="421" width="21.28515625" customWidth="1"/>
    <col min="422" max="422" width="22.5703125" customWidth="1"/>
    <col min="423" max="423" width="17.42578125" customWidth="1"/>
    <col min="425" max="425" width="15.42578125" bestFit="1" customWidth="1"/>
    <col min="426" max="426" width="8" bestFit="1" customWidth="1"/>
    <col min="427" max="427" width="9" bestFit="1" customWidth="1"/>
    <col min="428" max="428" width="19.85546875" bestFit="1" customWidth="1"/>
    <col min="429" max="429" width="13.28515625" bestFit="1" customWidth="1"/>
    <col min="430" max="430" width="16.85546875" bestFit="1" customWidth="1"/>
    <col min="431" max="431" width="13.7109375" bestFit="1" customWidth="1"/>
    <col min="432" max="432" width="22.5703125" bestFit="1" customWidth="1"/>
    <col min="433" max="433" width="19.85546875" bestFit="1" customWidth="1"/>
    <col min="434" max="434" width="23.42578125" bestFit="1" customWidth="1"/>
    <col min="435" max="435" width="20" customWidth="1"/>
    <col min="436" max="436" width="27.28515625" customWidth="1"/>
    <col min="437" max="437" width="21.5703125" customWidth="1"/>
    <col min="438" max="438" width="17.28515625" customWidth="1"/>
    <col min="439" max="439" width="17.5703125" customWidth="1"/>
    <col min="441" max="441" width="17.140625" bestFit="1" customWidth="1"/>
    <col min="442" max="442" width="8" bestFit="1" customWidth="1"/>
    <col min="443" max="443" width="9" bestFit="1" customWidth="1"/>
    <col min="444" max="444" width="19.85546875" bestFit="1" customWidth="1"/>
    <col min="445" max="445" width="13.28515625" bestFit="1" customWidth="1"/>
    <col min="446" max="446" width="16.85546875" bestFit="1" customWidth="1"/>
    <col min="447" max="447" width="13.7109375" bestFit="1" customWidth="1"/>
    <col min="448" max="448" width="22.5703125" bestFit="1" customWidth="1"/>
    <col min="449" max="449" width="19.85546875" bestFit="1" customWidth="1"/>
    <col min="450" max="450" width="23.42578125" bestFit="1" customWidth="1"/>
    <col min="451" max="451" width="31.85546875" bestFit="1" customWidth="1"/>
    <col min="452" max="452" width="39.140625" bestFit="1" customWidth="1"/>
    <col min="453" max="453" width="28.7109375" bestFit="1" customWidth="1"/>
    <col min="454" max="454" width="26.140625" bestFit="1" customWidth="1"/>
    <col min="455" max="455" width="30.140625" bestFit="1" customWidth="1"/>
  </cols>
  <sheetData>
    <row r="3" spans="1:19" ht="13.9">
      <c r="A3" s="440" t="s">
        <v>381</v>
      </c>
      <c r="B3" s="440" t="s">
        <v>382</v>
      </c>
      <c r="C3" s="354"/>
      <c r="D3" s="354"/>
      <c r="E3" s="354"/>
      <c r="F3" s="354"/>
      <c r="G3" s="354"/>
      <c r="H3" s="354"/>
      <c r="I3" s="354"/>
      <c r="J3" s="354"/>
      <c r="K3" s="354"/>
      <c r="L3" s="453"/>
      <c r="M3" s="354"/>
      <c r="N3" s="354"/>
      <c r="O3" s="354"/>
      <c r="P3" s="354"/>
      <c r="Q3" s="354"/>
      <c r="R3" s="354"/>
      <c r="S3" s="453"/>
    </row>
    <row r="4" spans="1:19" ht="14.25" customHeight="1">
      <c r="A4" s="578" t="s">
        <v>383</v>
      </c>
      <c r="B4" s="589">
        <v>494</v>
      </c>
      <c r="C4" s="2148" t="s">
        <v>384</v>
      </c>
      <c r="D4" s="354"/>
      <c r="E4" s="354"/>
      <c r="F4" s="354"/>
      <c r="G4" s="354"/>
      <c r="H4" s="1134" t="s">
        <v>79</v>
      </c>
      <c r="I4" s="1135">
        <v>9</v>
      </c>
      <c r="J4" s="1135">
        <f>+'Summary Total Pigs'!AF151</f>
        <v>9</v>
      </c>
      <c r="K4" s="354">
        <f>+I4-J4</f>
        <v>0</v>
      </c>
      <c r="L4" s="354"/>
      <c r="M4" s="354"/>
      <c r="N4" s="354"/>
      <c r="O4" s="354"/>
      <c r="P4" s="354"/>
      <c r="Q4" s="354"/>
      <c r="R4" s="354"/>
      <c r="S4" s="354"/>
    </row>
    <row r="5" spans="1:19" ht="14.25" customHeight="1">
      <c r="A5" s="578" t="s">
        <v>385</v>
      </c>
      <c r="B5" s="589">
        <v>726</v>
      </c>
      <c r="C5" s="2149"/>
      <c r="D5" s="354"/>
      <c r="E5" s="354"/>
      <c r="F5" s="354"/>
      <c r="G5" s="354"/>
      <c r="H5" s="1134" t="s">
        <v>55</v>
      </c>
      <c r="I5" s="1135">
        <v>1004</v>
      </c>
      <c r="J5" s="1135">
        <f>+'Summary Total Pigs'!AF150</f>
        <v>1004</v>
      </c>
      <c r="K5" s="354">
        <f>+I5-J5</f>
        <v>0</v>
      </c>
      <c r="L5" s="357"/>
      <c r="M5" s="354"/>
      <c r="N5" s="354"/>
      <c r="O5" s="354"/>
      <c r="P5" s="354"/>
      <c r="Q5" s="354"/>
      <c r="R5" s="354"/>
      <c r="S5" s="357"/>
    </row>
    <row r="6" spans="1:19" ht="14.25" customHeight="1">
      <c r="A6" s="578" t="s">
        <v>386</v>
      </c>
      <c r="B6" s="589">
        <v>693</v>
      </c>
      <c r="C6" s="2149"/>
      <c r="D6" s="354"/>
      <c r="E6" s="354"/>
      <c r="F6" s="354"/>
      <c r="G6" s="354"/>
      <c r="H6" s="1134" t="s">
        <v>50</v>
      </c>
      <c r="I6" s="1135">
        <v>313</v>
      </c>
      <c r="J6" s="1135">
        <f>+'Summary Total Pigs'!AF149</f>
        <v>313</v>
      </c>
      <c r="K6" s="354">
        <f>+I6-J6</f>
        <v>0</v>
      </c>
      <c r="L6" s="354"/>
      <c r="M6" s="354"/>
      <c r="N6" s="354"/>
      <c r="O6" s="354"/>
      <c r="P6" s="354"/>
      <c r="Q6" s="354"/>
      <c r="R6" s="354"/>
      <c r="S6" s="354"/>
    </row>
    <row r="7" spans="1:19" ht="14.25" customHeight="1">
      <c r="A7" s="578" t="s">
        <v>387</v>
      </c>
      <c r="B7" s="589">
        <v>709</v>
      </c>
      <c r="C7" s="2150"/>
      <c r="D7" s="354">
        <f>SUM(B4:B7)</f>
        <v>2622</v>
      </c>
      <c r="E7" s="354">
        <f>+'Summary Total Pigs'!AF146</f>
        <v>2622</v>
      </c>
      <c r="F7" s="580">
        <f>+D7-E7</f>
        <v>0</v>
      </c>
      <c r="G7" s="357" t="s">
        <v>390</v>
      </c>
      <c r="H7" s="1134" t="s">
        <v>71</v>
      </c>
      <c r="I7" s="1135">
        <f>SUM(I4:I6)</f>
        <v>1326</v>
      </c>
      <c r="J7" s="1135">
        <f>SUM(J4:J6)</f>
        <v>1326</v>
      </c>
      <c r="K7" s="580">
        <f>SUM(K4:K6)</f>
        <v>0</v>
      </c>
      <c r="L7" s="354" t="s">
        <v>207</v>
      </c>
      <c r="M7" s="354"/>
      <c r="N7" s="354"/>
      <c r="O7" s="354"/>
      <c r="P7" s="354"/>
      <c r="Q7" s="354"/>
      <c r="R7" s="354"/>
      <c r="S7" s="354"/>
    </row>
    <row r="8" spans="1:19" ht="14.25" customHeight="1">
      <c r="A8" s="1136" t="s">
        <v>388</v>
      </c>
      <c r="B8" s="1136">
        <v>662</v>
      </c>
      <c r="C8" s="2151" t="s">
        <v>389</v>
      </c>
      <c r="D8" s="354"/>
      <c r="E8" s="354"/>
      <c r="F8" s="354"/>
      <c r="G8" s="354"/>
      <c r="H8" s="354"/>
      <c r="I8" s="354"/>
      <c r="J8" s="354"/>
      <c r="K8" s="357"/>
      <c r="L8" s="354"/>
      <c r="M8" s="354"/>
      <c r="N8" s="354"/>
      <c r="O8" s="354"/>
      <c r="P8" s="357"/>
      <c r="Q8" s="354"/>
      <c r="R8" s="354"/>
      <c r="S8" s="357"/>
    </row>
    <row r="9" spans="1:19" ht="14.25" customHeight="1">
      <c r="A9" s="1136" t="s">
        <v>391</v>
      </c>
      <c r="B9" s="1136">
        <v>628</v>
      </c>
      <c r="C9" s="2152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</row>
    <row r="10" spans="1:19" ht="14.25" customHeight="1">
      <c r="A10" s="1136" t="s">
        <v>392</v>
      </c>
      <c r="B10" s="1136">
        <v>700</v>
      </c>
      <c r="C10" s="2152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</row>
    <row r="11" spans="1:19" ht="14.25" customHeight="1">
      <c r="A11" s="1136" t="s">
        <v>393</v>
      </c>
      <c r="B11" s="1136">
        <v>669</v>
      </c>
      <c r="C11" s="2152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</row>
    <row r="12" spans="1:19" ht="14.25" customHeight="1">
      <c r="A12" s="1136" t="s">
        <v>394</v>
      </c>
      <c r="B12" s="1136">
        <v>618</v>
      </c>
      <c r="C12" s="2152"/>
      <c r="D12" s="354">
        <f>SUM(B8:B13)</f>
        <v>3924</v>
      </c>
      <c r="E12" s="354">
        <f>+'Summary Total Pigs'!AF147</f>
        <v>3924</v>
      </c>
      <c r="F12" s="580">
        <f>+D12-E12</f>
        <v>0</v>
      </c>
      <c r="G12" s="357" t="s">
        <v>390</v>
      </c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</row>
    <row r="13" spans="1:19" ht="14.25" customHeight="1">
      <c r="A13" s="1136" t="s">
        <v>395</v>
      </c>
      <c r="B13" s="1136">
        <v>647</v>
      </c>
      <c r="C13" s="2153"/>
      <c r="D13" s="354"/>
      <c r="E13" s="354"/>
      <c r="F13" s="357"/>
      <c r="G13" s="354"/>
      <c r="H13" s="354"/>
      <c r="I13" s="354"/>
      <c r="J13" s="354"/>
      <c r="K13" s="354"/>
      <c r="L13" s="354"/>
      <c r="M13" s="354">
        <f>I7-839-2</f>
        <v>485</v>
      </c>
      <c r="N13" s="354"/>
      <c r="O13" s="354"/>
      <c r="P13" s="354"/>
      <c r="Q13" s="354"/>
      <c r="R13" s="354"/>
      <c r="S13" s="354"/>
    </row>
    <row r="14" spans="1:19" ht="14.25" customHeight="1">
      <c r="A14" s="579" t="s">
        <v>396</v>
      </c>
      <c r="B14" s="579">
        <v>662</v>
      </c>
      <c r="C14" s="2154" t="s">
        <v>397</v>
      </c>
      <c r="D14" s="354"/>
      <c r="E14" s="354"/>
      <c r="F14" s="357"/>
      <c r="G14" s="354"/>
      <c r="H14" s="354"/>
      <c r="I14" s="354"/>
      <c r="J14" s="354"/>
      <c r="K14" s="354"/>
      <c r="L14" s="357"/>
      <c r="M14" s="354"/>
      <c r="N14" s="354"/>
      <c r="O14" s="354"/>
      <c r="P14" s="354"/>
      <c r="Q14" s="357"/>
      <c r="R14" s="354"/>
      <c r="S14" s="354"/>
    </row>
    <row r="15" spans="1:19" ht="14.25" customHeight="1">
      <c r="A15" s="579" t="s">
        <v>398</v>
      </c>
      <c r="B15" s="579">
        <v>665</v>
      </c>
      <c r="C15" s="2155"/>
      <c r="D15" s="354"/>
      <c r="E15" s="354"/>
      <c r="F15" s="354"/>
      <c r="G15" s="354"/>
      <c r="H15" s="354"/>
      <c r="I15" s="354"/>
      <c r="J15" s="354"/>
      <c r="K15" s="354"/>
      <c r="L15" s="357"/>
      <c r="M15" s="354"/>
      <c r="N15" s="354"/>
      <c r="O15" s="354"/>
      <c r="P15" s="354"/>
      <c r="Q15" s="357"/>
      <c r="R15" s="354"/>
      <c r="S15" s="354"/>
    </row>
    <row r="16" spans="1:19" ht="14.25" customHeight="1">
      <c r="A16" s="579" t="s">
        <v>399</v>
      </c>
      <c r="B16" s="579">
        <v>620</v>
      </c>
      <c r="C16" s="2155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</row>
    <row r="17" spans="1:19" ht="14.25" customHeight="1">
      <c r="A17" s="579" t="s">
        <v>400</v>
      </c>
      <c r="B17" s="579">
        <v>639</v>
      </c>
      <c r="C17" s="2155"/>
      <c r="D17" s="354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</row>
    <row r="18" spans="1:19" ht="14.25" customHeight="1">
      <c r="A18" s="579" t="s">
        <v>401</v>
      </c>
      <c r="B18" s="579">
        <v>666</v>
      </c>
      <c r="C18" s="2155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</row>
    <row r="19" spans="1:19" ht="14.25" customHeight="1">
      <c r="A19" s="579" t="s">
        <v>402</v>
      </c>
      <c r="B19" s="579">
        <v>603</v>
      </c>
      <c r="C19" s="2155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</row>
    <row r="20" spans="1:19" ht="14.25" customHeight="1">
      <c r="A20" s="579" t="s">
        <v>403</v>
      </c>
      <c r="B20" s="579">
        <v>633</v>
      </c>
      <c r="C20" s="2155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</row>
    <row r="21" spans="1:19" ht="14.25" customHeight="1">
      <c r="A21" s="579" t="s">
        <v>404</v>
      </c>
      <c r="B21" s="579">
        <v>652</v>
      </c>
      <c r="C21" s="2155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</row>
    <row r="22" spans="1:19" ht="14.25" customHeight="1">
      <c r="A22" s="579" t="s">
        <v>405</v>
      </c>
      <c r="B22" s="579">
        <v>637</v>
      </c>
      <c r="C22" s="2155"/>
      <c r="D22" s="354"/>
      <c r="E22" s="354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</row>
    <row r="23" spans="1:19" ht="14.25" customHeight="1">
      <c r="A23" s="579" t="s">
        <v>406</v>
      </c>
      <c r="B23" s="579">
        <v>652</v>
      </c>
      <c r="C23" s="2155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</row>
    <row r="24" spans="1:19" ht="14.25" customHeight="1">
      <c r="A24" s="579" t="s">
        <v>407</v>
      </c>
      <c r="B24" s="579">
        <v>656</v>
      </c>
      <c r="C24" s="2155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</row>
    <row r="25" spans="1:19" ht="14.25" customHeight="1">
      <c r="A25" s="579" t="s">
        <v>408</v>
      </c>
      <c r="B25" s="579">
        <v>608</v>
      </c>
      <c r="C25" s="2155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</row>
    <row r="26" spans="1:19" ht="14.25" customHeight="1">
      <c r="A26" s="579" t="s">
        <v>409</v>
      </c>
      <c r="B26" s="579"/>
      <c r="C26" s="2155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</row>
    <row r="27" spans="1:19" ht="14.25" customHeight="1">
      <c r="A27" s="579" t="s">
        <v>410</v>
      </c>
      <c r="B27" s="579"/>
      <c r="C27" s="2155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</row>
    <row r="28" spans="1:19" ht="14.25" customHeight="1">
      <c r="A28" s="579" t="s">
        <v>411</v>
      </c>
      <c r="B28" s="579"/>
      <c r="C28" s="2155"/>
      <c r="D28" s="354">
        <f>SUM(B14:B29)</f>
        <v>7693</v>
      </c>
      <c r="E28" s="354">
        <f>+'Summary Total Pigs'!AF148</f>
        <v>7693</v>
      </c>
      <c r="F28" s="580">
        <f>+D28-E28</f>
        <v>0</v>
      </c>
      <c r="G28" s="357" t="s">
        <v>390</v>
      </c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</row>
    <row r="29" spans="1:19" ht="14.25" customHeight="1">
      <c r="A29" s="579"/>
      <c r="B29" s="579"/>
      <c r="C29" s="2156"/>
      <c r="D29" s="354"/>
      <c r="E29" s="354"/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</row>
  </sheetData>
  <mergeCells count="3">
    <mergeCell ref="C4:C7"/>
    <mergeCell ref="C8:C13"/>
    <mergeCell ref="C14:C29"/>
  </mergeCells>
  <pageMargins left="0.7" right="0.7" top="0.75" bottom="0.75" header="0.3" footer="0.3"/>
  <pageSetup paperSize="9" scale="35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478B-5EF6-4FE0-AF97-2BB610DC3DE0}">
  <sheetPr>
    <tabColor rgb="FFFFFF00"/>
  </sheetPr>
  <dimension ref="B1:DJ183"/>
  <sheetViews>
    <sheetView view="pageBreakPreview" zoomScale="70" zoomScaleNormal="100" zoomScaleSheetLayoutView="59" workbookViewId="0">
      <pane xSplit="2" ySplit="1" topLeftCell="E2" activePane="bottomRight" state="frozen"/>
      <selection pane="bottomRight" activeCell="M6" sqref="M6"/>
      <selection pane="bottomLeft" activeCell="A4" sqref="A4"/>
      <selection pane="topRight" activeCell="C1" sqref="C1"/>
    </sheetView>
  </sheetViews>
  <sheetFormatPr defaultColWidth="9.140625" defaultRowHeight="13.9"/>
  <cols>
    <col min="1" max="1" width="14" style="354" bestFit="1" customWidth="1"/>
    <col min="2" max="3" width="16" style="354" customWidth="1"/>
    <col min="4" max="4" width="18.28515625" style="354" customWidth="1"/>
    <col min="5" max="5" width="19" style="354" bestFit="1" customWidth="1"/>
    <col min="6" max="6" width="17.28515625" style="354" customWidth="1"/>
    <col min="7" max="7" width="27.7109375" style="354" bestFit="1" customWidth="1"/>
    <col min="8" max="8" width="23.28515625" style="354" bestFit="1" customWidth="1"/>
    <col min="9" max="9" width="23.140625" style="354" bestFit="1" customWidth="1"/>
    <col min="10" max="10" width="23.140625" style="354" customWidth="1"/>
    <col min="11" max="12" width="14" style="354" customWidth="1"/>
    <col min="13" max="13" width="17" style="354" customWidth="1"/>
    <col min="14" max="14" width="18.28515625" style="354" bestFit="1" customWidth="1"/>
    <col min="15" max="15" width="18.5703125" style="354" customWidth="1"/>
    <col min="16" max="16" width="14" style="354" customWidth="1"/>
    <col min="17" max="17" width="18.28515625" style="354" bestFit="1" customWidth="1"/>
    <col min="18" max="30" width="14" style="354" customWidth="1"/>
    <col min="31" max="31" width="18.28515625" style="354" bestFit="1" customWidth="1"/>
    <col min="32" max="59" width="18.28515625" style="354" customWidth="1"/>
    <col min="60" max="60" width="23.85546875" style="354" customWidth="1"/>
    <col min="61" max="61" width="16.140625" style="354" bestFit="1" customWidth="1"/>
    <col min="62" max="63" width="14" style="354" bestFit="1" customWidth="1"/>
    <col min="64" max="64" width="16.42578125" style="354" bestFit="1" customWidth="1"/>
    <col min="65" max="65" width="22.140625" style="354" bestFit="1" customWidth="1"/>
    <col min="66" max="66" width="18.140625" style="354" bestFit="1" customWidth="1"/>
    <col min="67" max="67" width="15" style="354" customWidth="1"/>
    <col min="68" max="68" width="17.7109375" style="354" bestFit="1" customWidth="1"/>
    <col min="69" max="69" width="21.7109375" style="354" bestFit="1" customWidth="1"/>
    <col min="70" max="71" width="18.28515625" style="354" bestFit="1" customWidth="1"/>
    <col min="72" max="72" width="21" style="354" bestFit="1" customWidth="1"/>
    <col min="73" max="73" width="19.28515625" style="354" bestFit="1" customWidth="1"/>
    <col min="74" max="74" width="13.7109375" style="354" bestFit="1" customWidth="1"/>
    <col min="75" max="75" width="17.140625" style="354" bestFit="1" customWidth="1"/>
    <col min="76" max="76" width="16.5703125" style="354" customWidth="1"/>
    <col min="77" max="77" width="13" style="354" customWidth="1"/>
    <col min="78" max="78" width="15.5703125" style="354" customWidth="1"/>
    <col min="79" max="79" width="17.140625" style="354" customWidth="1"/>
    <col min="80" max="80" width="17.140625" style="354" bestFit="1" customWidth="1"/>
    <col min="81" max="81" width="19.5703125" style="354" bestFit="1" customWidth="1"/>
    <col min="82" max="82" width="14.85546875" style="354" customWidth="1"/>
    <col min="83" max="83" width="20.28515625" style="354" bestFit="1" customWidth="1"/>
    <col min="84" max="84" width="23.85546875" style="354" bestFit="1" customWidth="1"/>
    <col min="85" max="85" width="19.5703125" style="354" bestFit="1" customWidth="1"/>
    <col min="86" max="86" width="15.5703125" style="354" bestFit="1" customWidth="1"/>
    <col min="87" max="87" width="18.28515625" style="354" bestFit="1" customWidth="1"/>
    <col min="88" max="88" width="16.85546875" style="354" bestFit="1" customWidth="1"/>
    <col min="89" max="89" width="13.28515625" style="354" bestFit="1" customWidth="1"/>
    <col min="90" max="90" width="14" style="354" customWidth="1"/>
    <col min="91" max="91" width="17.140625" style="354" bestFit="1" customWidth="1"/>
    <col min="92" max="92" width="17.85546875" style="354" bestFit="1" customWidth="1"/>
    <col min="93" max="93" width="17.85546875" style="354" customWidth="1"/>
    <col min="94" max="94" width="17.7109375" style="354" bestFit="1" customWidth="1"/>
    <col min="95" max="95" width="20.28515625" style="354" bestFit="1" customWidth="1"/>
    <col min="96" max="96" width="23.85546875" style="354" bestFit="1" customWidth="1"/>
    <col min="97" max="97" width="15.7109375" style="354" customWidth="1"/>
    <col min="98" max="98" width="16" style="354" customWidth="1"/>
    <col min="99" max="99" width="20.28515625" style="354" bestFit="1" customWidth="1"/>
    <col min="100" max="100" width="23.85546875" style="354" bestFit="1" customWidth="1"/>
    <col min="101" max="101" width="19.5703125" style="354" bestFit="1" customWidth="1"/>
    <col min="102" max="102" width="15.5703125" style="354" bestFit="1" customWidth="1"/>
    <col min="103" max="103" width="18.28515625" style="354" bestFit="1" customWidth="1"/>
    <col min="104" max="104" width="13.7109375" style="354" bestFit="1" customWidth="1"/>
    <col min="105" max="105" width="12.7109375" style="354" bestFit="1" customWidth="1"/>
    <col min="106" max="106" width="18" style="354" bestFit="1" customWidth="1"/>
    <col min="107" max="107" width="17.140625" style="354" bestFit="1" customWidth="1"/>
    <col min="108" max="108" width="17.85546875" style="354" bestFit="1" customWidth="1"/>
    <col min="109" max="109" width="17.85546875" style="354" customWidth="1"/>
    <col min="110" max="110" width="14" style="354" bestFit="1" customWidth="1"/>
    <col min="111" max="111" width="20.28515625" style="354" bestFit="1" customWidth="1"/>
    <col min="112" max="112" width="23.85546875" style="354" bestFit="1" customWidth="1"/>
    <col min="113" max="113" width="16.42578125" style="354" customWidth="1"/>
    <col min="114" max="114" width="14.42578125" style="354" customWidth="1"/>
    <col min="115" max="115" width="12.42578125" style="354" customWidth="1"/>
    <col min="116" max="116" width="17.140625" style="354" customWidth="1"/>
    <col min="117" max="117" width="15.7109375" style="354" customWidth="1"/>
    <col min="118" max="118" width="15.42578125" style="354" customWidth="1"/>
    <col min="119" max="119" width="14.42578125" style="354" bestFit="1" customWidth="1"/>
    <col min="120" max="120" width="13.7109375" style="354" bestFit="1" customWidth="1"/>
    <col min="121" max="121" width="12.7109375" style="354" bestFit="1" customWidth="1"/>
    <col min="122" max="122" width="13.42578125" style="354" bestFit="1" customWidth="1"/>
    <col min="123" max="123" width="17.140625" style="354" bestFit="1" customWidth="1"/>
    <col min="124" max="124" width="17.85546875" style="354" bestFit="1" customWidth="1"/>
    <col min="125" max="125" width="17.85546875" style="354" customWidth="1"/>
    <col min="126" max="126" width="14" style="354" bestFit="1" customWidth="1"/>
    <col min="127" max="127" width="20.28515625" style="354" bestFit="1" customWidth="1"/>
    <col min="128" max="128" width="23.85546875" style="354" bestFit="1" customWidth="1"/>
    <col min="129" max="129" width="16.140625" style="354" customWidth="1"/>
    <col min="130" max="130" width="15.140625" style="354" customWidth="1"/>
    <col min="131" max="131" width="20.28515625" style="354" bestFit="1" customWidth="1"/>
    <col min="132" max="132" width="23.85546875" style="354" bestFit="1" customWidth="1"/>
    <col min="133" max="133" width="19.5703125" style="354" bestFit="1" customWidth="1"/>
    <col min="134" max="134" width="20.28515625" style="354" customWidth="1"/>
    <col min="135" max="135" width="14.42578125" style="354" bestFit="1" customWidth="1"/>
    <col min="136" max="136" width="13.7109375" style="354" bestFit="1" customWidth="1"/>
    <col min="137" max="137" width="20.42578125" style="354" bestFit="1" customWidth="1"/>
    <col min="138" max="138" width="13.42578125" style="354" customWidth="1"/>
    <col min="139" max="139" width="17.140625" style="354" bestFit="1" customWidth="1"/>
    <col min="140" max="140" width="17.85546875" style="354" bestFit="1" customWidth="1"/>
    <col min="141" max="141" width="17.85546875" style="354" customWidth="1"/>
    <col min="142" max="142" width="12.7109375" style="354" bestFit="1" customWidth="1"/>
    <col min="143" max="143" width="20.28515625" style="354" bestFit="1" customWidth="1"/>
    <col min="144" max="144" width="23.85546875" style="354" bestFit="1" customWidth="1"/>
    <col min="145" max="145" width="15.7109375" style="354" customWidth="1"/>
    <col min="146" max="146" width="15.140625" style="354" customWidth="1"/>
    <col min="147" max="147" width="20.28515625" style="354" bestFit="1" customWidth="1"/>
    <col min="148" max="148" width="23.85546875" style="354" bestFit="1" customWidth="1"/>
    <col min="149" max="149" width="19.5703125" style="354" bestFit="1" customWidth="1"/>
    <col min="150" max="150" width="19" style="354" customWidth="1"/>
    <col min="151" max="151" width="14.42578125" style="354" bestFit="1" customWidth="1"/>
    <col min="152" max="152" width="13.7109375" style="354" bestFit="1" customWidth="1"/>
    <col min="153" max="153" width="17.140625" style="354" bestFit="1" customWidth="1"/>
    <col min="154" max="154" width="17.85546875" style="354" bestFit="1" customWidth="1"/>
    <col min="155" max="155" width="17.140625" style="354" bestFit="1" customWidth="1"/>
    <col min="156" max="156" width="20.28515625" style="354" bestFit="1" customWidth="1"/>
    <col min="157" max="157" width="20.28515625" style="354" customWidth="1"/>
    <col min="158" max="158" width="18.7109375" style="354" customWidth="1"/>
    <col min="159" max="159" width="20.28515625" style="354" bestFit="1" customWidth="1"/>
    <col min="160" max="160" width="23.85546875" style="354" bestFit="1" customWidth="1"/>
    <col min="161" max="161" width="16.42578125" style="354" customWidth="1"/>
    <col min="162" max="162" width="15.5703125" style="354" customWidth="1"/>
    <col min="163" max="163" width="20.28515625" style="354" bestFit="1" customWidth="1"/>
    <col min="164" max="164" width="15.85546875" style="354" bestFit="1" customWidth="1"/>
    <col min="165" max="165" width="22" style="354" bestFit="1" customWidth="1"/>
    <col min="166" max="167" width="14.42578125" style="354" bestFit="1" customWidth="1"/>
    <col min="168" max="168" width="15.85546875" style="354" bestFit="1" customWidth="1"/>
    <col min="169" max="169" width="12.7109375" style="354" bestFit="1" customWidth="1"/>
    <col min="170" max="170" width="13.42578125" style="354" bestFit="1" customWidth="1"/>
    <col min="171" max="171" width="17.140625" style="354" bestFit="1" customWidth="1"/>
    <col min="172" max="172" width="17.85546875" style="354" bestFit="1" customWidth="1"/>
    <col min="173" max="173" width="17.85546875" style="354" customWidth="1"/>
    <col min="174" max="174" width="14" style="354" bestFit="1" customWidth="1"/>
    <col min="175" max="175" width="20.28515625" style="354" bestFit="1" customWidth="1"/>
    <col min="176" max="176" width="23.85546875" style="354" bestFit="1" customWidth="1"/>
    <col min="177" max="177" width="15.7109375" style="354" customWidth="1"/>
    <col min="178" max="178" width="16.85546875" style="354" customWidth="1"/>
    <col min="179" max="179" width="20.28515625" style="354" bestFit="1" customWidth="1"/>
    <col min="180" max="180" width="23.85546875" style="354" bestFit="1" customWidth="1"/>
    <col min="181" max="181" width="23.85546875" style="354" customWidth="1"/>
    <col min="182" max="182" width="22" style="354" bestFit="1" customWidth="1"/>
    <col min="183" max="183" width="16.42578125" style="354" customWidth="1"/>
    <col min="184" max="184" width="14.42578125" style="354" bestFit="1" customWidth="1"/>
    <col min="185" max="185" width="15.85546875" style="354" bestFit="1" customWidth="1"/>
    <col min="186" max="186" width="12.7109375" style="354" bestFit="1" customWidth="1"/>
    <col min="187" max="187" width="13.42578125" style="354" bestFit="1" customWidth="1"/>
    <col min="188" max="188" width="17.140625" style="354" bestFit="1" customWidth="1"/>
    <col min="189" max="189" width="17.85546875" style="354" bestFit="1" customWidth="1"/>
    <col min="190" max="190" width="17.85546875" style="354" customWidth="1"/>
    <col min="191" max="191" width="14" style="354" bestFit="1" customWidth="1"/>
    <col min="192" max="192" width="20.28515625" style="354" bestFit="1" customWidth="1"/>
    <col min="193" max="193" width="23.85546875" style="354" bestFit="1" customWidth="1"/>
    <col min="194" max="194" width="15.140625" style="354" customWidth="1"/>
    <col min="195" max="195" width="15.85546875" style="354" customWidth="1"/>
    <col min="196" max="196" width="20.28515625" style="354" bestFit="1" customWidth="1"/>
    <col min="197" max="197" width="23.85546875" style="354" bestFit="1" customWidth="1"/>
    <col min="198" max="198" width="23.85546875" style="354" customWidth="1"/>
    <col min="199" max="199" width="22" style="354" bestFit="1" customWidth="1"/>
    <col min="200" max="201" width="14.42578125" style="354" bestFit="1" customWidth="1"/>
    <col min="202" max="202" width="13.28515625" style="354" bestFit="1" customWidth="1"/>
    <col min="203" max="203" width="12.7109375" style="354" bestFit="1" customWidth="1"/>
    <col min="204" max="204" width="13.42578125" style="354" bestFit="1" customWidth="1"/>
    <col min="205" max="205" width="17.140625" style="354" bestFit="1" customWidth="1"/>
    <col min="206" max="206" width="17.85546875" style="354" bestFit="1" customWidth="1"/>
    <col min="207" max="207" width="17.85546875" style="354" customWidth="1"/>
    <col min="208" max="208" width="14" style="354" bestFit="1" customWidth="1"/>
    <col min="209" max="209" width="20.28515625" style="354" bestFit="1" customWidth="1"/>
    <col min="210" max="210" width="23.85546875" style="354" bestFit="1" customWidth="1"/>
    <col min="211" max="211" width="15.42578125" style="354" customWidth="1"/>
    <col min="212" max="212" width="17.140625" style="354" customWidth="1"/>
    <col min="213" max="213" width="20.28515625" style="354" bestFit="1" customWidth="1"/>
    <col min="214" max="214" width="23.85546875" style="354" bestFit="1" customWidth="1"/>
    <col min="215" max="215" width="23.85546875" style="354" customWidth="1"/>
    <col min="216" max="216" width="22" style="354" bestFit="1" customWidth="1"/>
    <col min="217" max="217" width="18" style="354" customWidth="1"/>
    <col min="218" max="218" width="14.42578125" style="354" bestFit="1" customWidth="1"/>
    <col min="219" max="219" width="15.85546875" style="354" bestFit="1" customWidth="1"/>
    <col min="220" max="220" width="20.42578125" style="354" bestFit="1" customWidth="1"/>
    <col min="221" max="221" width="13.42578125" style="354" bestFit="1" customWidth="1"/>
    <col min="222" max="222" width="17.140625" style="354" bestFit="1" customWidth="1"/>
    <col min="223" max="223" width="17.85546875" style="354" bestFit="1" customWidth="1"/>
    <col min="224" max="224" width="17.85546875" style="354" customWidth="1"/>
    <col min="225" max="225" width="14" style="354" bestFit="1" customWidth="1"/>
    <col min="226" max="226" width="20.28515625" style="354" bestFit="1" customWidth="1"/>
    <col min="227" max="227" width="23.85546875" style="354" bestFit="1" customWidth="1"/>
    <col min="228" max="228" width="23.85546875" style="354" customWidth="1"/>
    <col min="229" max="229" width="20.42578125" style="354" customWidth="1"/>
    <col min="230" max="230" width="20.7109375" style="354" customWidth="1"/>
    <col min="231" max="231" width="23.85546875" style="354" bestFit="1" customWidth="1"/>
    <col min="232" max="232" width="23.85546875" style="354" customWidth="1"/>
    <col min="233" max="233" width="22" style="354" bestFit="1" customWidth="1"/>
    <col min="234" max="234" width="17.140625" style="354" customWidth="1"/>
    <col min="235" max="235" width="14.42578125" style="354" bestFit="1" customWidth="1"/>
    <col min="236" max="236" width="15.85546875" style="354" bestFit="1" customWidth="1"/>
    <col min="237" max="237" width="20.42578125" style="354" bestFit="1" customWidth="1"/>
    <col min="238" max="238" width="13.42578125" style="354" bestFit="1" customWidth="1"/>
    <col min="239" max="239" width="9.28515625" style="354" bestFit="1" customWidth="1"/>
    <col min="240" max="240" width="8.140625" style="354" bestFit="1" customWidth="1"/>
    <col min="241" max="241" width="9.85546875" style="354" bestFit="1" customWidth="1"/>
    <col min="242" max="242" width="14" style="354" bestFit="1" customWidth="1"/>
    <col min="243" max="243" width="20.28515625" style="354" bestFit="1" customWidth="1"/>
    <col min="244" max="244" width="17.140625" style="354" bestFit="1" customWidth="1"/>
    <col min="245" max="245" width="18.7109375" style="354" customWidth="1"/>
    <col min="246" max="246" width="16.5703125" style="354" customWidth="1"/>
    <col min="247" max="247" width="21.85546875" style="354" customWidth="1"/>
    <col min="248" max="248" width="23.85546875" style="354" bestFit="1" customWidth="1"/>
    <col min="249" max="249" width="23.85546875" style="354" customWidth="1"/>
    <col min="250" max="250" width="22" style="354" bestFit="1" customWidth="1"/>
    <col min="251" max="251" width="24.140625" style="354" bestFit="1" customWidth="1"/>
    <col min="252" max="252" width="14.42578125" style="354" bestFit="1" customWidth="1"/>
    <col min="253" max="253" width="15.85546875" style="354" bestFit="1" customWidth="1"/>
    <col min="254" max="254" width="16.28515625" style="354" customWidth="1"/>
    <col min="255" max="255" width="13.42578125" style="354" bestFit="1" customWidth="1"/>
    <col min="256" max="256" width="9.28515625" style="354" bestFit="1" customWidth="1"/>
    <col min="257" max="257" width="8.140625" style="354" bestFit="1" customWidth="1"/>
    <col min="258" max="258" width="9.85546875" style="354" bestFit="1" customWidth="1"/>
    <col min="259" max="259" width="14" style="354" bestFit="1" customWidth="1"/>
    <col min="260" max="260" width="15.85546875" style="354" customWidth="1"/>
    <col min="261" max="261" width="18.28515625" style="354" customWidth="1"/>
    <col min="262" max="262" width="17.5703125" style="354" customWidth="1"/>
    <col min="263" max="263" width="15.85546875" style="354" customWidth="1"/>
    <col min="264" max="264" width="23.85546875" style="354" customWidth="1"/>
    <col min="265" max="265" width="23.85546875" style="354" bestFit="1" customWidth="1"/>
    <col min="266" max="266" width="23.85546875" style="354" customWidth="1"/>
    <col min="267" max="267" width="22" style="354" bestFit="1" customWidth="1"/>
    <col min="268" max="268" width="29.42578125" style="354" bestFit="1" customWidth="1"/>
    <col min="269" max="269" width="20.42578125" style="354" bestFit="1" customWidth="1"/>
    <col min="270" max="270" width="23.5703125" style="354" bestFit="1" customWidth="1"/>
    <col min="271" max="271" width="20.42578125" style="354" bestFit="1" customWidth="1"/>
    <col min="272" max="272" width="13.42578125" style="354" bestFit="1" customWidth="1"/>
    <col min="273" max="273" width="9.28515625" style="354" bestFit="1" customWidth="1"/>
    <col min="274" max="274" width="8.140625" style="354" bestFit="1" customWidth="1"/>
    <col min="275" max="275" width="9.85546875" style="354" bestFit="1" customWidth="1"/>
    <col min="276" max="276" width="14" style="354" bestFit="1" customWidth="1"/>
    <col min="277" max="277" width="13.42578125" style="354" bestFit="1" customWidth="1"/>
    <col min="278" max="278" width="17.140625" style="354" bestFit="1" customWidth="1"/>
    <col min="279" max="279" width="15.85546875" style="354" customWidth="1"/>
    <col min="280" max="280" width="17.28515625" style="354" customWidth="1"/>
    <col min="281" max="281" width="20.28515625" style="354" bestFit="1" customWidth="1"/>
    <col min="282" max="282" width="23.85546875" style="354" bestFit="1" customWidth="1"/>
    <col min="283" max="283" width="23.85546875" style="354" customWidth="1"/>
    <col min="284" max="284" width="22" style="354" bestFit="1" customWidth="1"/>
    <col min="285" max="285" width="15.5703125" style="354" bestFit="1" customWidth="1"/>
    <col min="286" max="286" width="14.42578125" style="354" bestFit="1" customWidth="1"/>
    <col min="287" max="287" width="15.85546875" style="354" bestFit="1" customWidth="1"/>
    <col min="288" max="288" width="20.42578125" style="354" bestFit="1" customWidth="1"/>
    <col min="289" max="289" width="13.42578125" style="354" bestFit="1" customWidth="1"/>
    <col min="290" max="290" width="9.28515625" style="354" bestFit="1" customWidth="1"/>
    <col min="291" max="291" width="8.140625" style="354" bestFit="1" customWidth="1"/>
    <col min="292" max="292" width="9.85546875" style="354" bestFit="1" customWidth="1"/>
    <col min="293" max="293" width="14" style="354" bestFit="1" customWidth="1"/>
    <col min="294" max="294" width="13.42578125" style="354" bestFit="1" customWidth="1"/>
    <col min="295" max="295" width="17.140625" style="354" bestFit="1" customWidth="1"/>
    <col min="296" max="296" width="17.85546875" style="354" customWidth="1"/>
    <col min="297" max="297" width="15.140625" style="354" customWidth="1"/>
    <col min="298" max="298" width="20.28515625" style="354" bestFit="1" customWidth="1"/>
    <col min="299" max="299" width="23.85546875" style="354" bestFit="1" customWidth="1"/>
    <col min="300" max="300" width="23.85546875" style="354" customWidth="1"/>
    <col min="301" max="301" width="22" style="354" bestFit="1" customWidth="1"/>
    <col min="302" max="302" width="26.85546875" style="354" customWidth="1"/>
    <col min="303" max="303" width="14.42578125" style="354" bestFit="1" customWidth="1"/>
    <col min="304" max="304" width="15.85546875" style="354" bestFit="1" customWidth="1"/>
    <col min="305" max="305" width="20.42578125" style="354" bestFit="1" customWidth="1"/>
    <col min="306" max="306" width="13.42578125" style="354" bestFit="1" customWidth="1"/>
    <col min="307" max="307" width="9.28515625" style="354" bestFit="1" customWidth="1"/>
    <col min="308" max="308" width="8.140625" style="354" bestFit="1" customWidth="1"/>
    <col min="309" max="309" width="9.85546875" style="354" bestFit="1" customWidth="1"/>
    <col min="310" max="310" width="12.7109375" style="354" bestFit="1" customWidth="1"/>
    <col min="311" max="311" width="13.42578125" style="354" bestFit="1" customWidth="1"/>
    <col min="312" max="312" width="17.140625" style="354" bestFit="1" customWidth="1"/>
    <col min="313" max="313" width="16" style="354" customWidth="1"/>
    <col min="314" max="314" width="16.140625" style="354" customWidth="1"/>
    <col min="315" max="315" width="20.28515625" style="354" bestFit="1" customWidth="1"/>
    <col min="316" max="316" width="23.85546875" style="354" bestFit="1" customWidth="1"/>
    <col min="317" max="317" width="23.85546875" style="354" customWidth="1"/>
    <col min="318" max="318" width="15.7109375" style="354" customWidth="1"/>
    <col min="319" max="319" width="17.5703125" style="354" customWidth="1"/>
    <col min="320" max="320" width="14.42578125" style="354" bestFit="1" customWidth="1"/>
    <col min="321" max="321" width="19.85546875" style="354" customWidth="1"/>
    <col min="322" max="322" width="12.7109375" style="354" bestFit="1" customWidth="1"/>
    <col min="323" max="323" width="13.42578125" style="354" bestFit="1" customWidth="1"/>
    <col min="324" max="324" width="9.28515625" style="354" bestFit="1" customWidth="1"/>
    <col min="325" max="325" width="8.140625" style="354" bestFit="1" customWidth="1"/>
    <col min="326" max="326" width="8.140625" style="354" customWidth="1"/>
    <col min="327" max="327" width="14" style="354" bestFit="1" customWidth="1"/>
    <col min="328" max="328" width="20.28515625" style="354" bestFit="1" customWidth="1"/>
    <col min="329" max="329" width="17.140625" style="354" bestFit="1" customWidth="1"/>
    <col min="330" max="331" width="16.140625" style="354" customWidth="1"/>
    <col min="332" max="332" width="20.28515625" style="354" bestFit="1" customWidth="1"/>
    <col min="333" max="333" width="23.85546875" style="354" bestFit="1" customWidth="1"/>
    <col min="334" max="334" width="23.85546875" style="354" customWidth="1"/>
    <col min="335" max="335" width="22" style="354" bestFit="1" customWidth="1"/>
    <col min="336" max="336" width="21.28515625" style="354" customWidth="1"/>
    <col min="337" max="337" width="14.42578125" style="354" bestFit="1" customWidth="1"/>
    <col min="338" max="338" width="21.42578125" style="354" customWidth="1"/>
    <col min="339" max="339" width="20.42578125" style="354" bestFit="1" customWidth="1"/>
    <col min="340" max="340" width="13.42578125" style="354" bestFit="1" customWidth="1"/>
    <col min="341" max="341" width="9.28515625" style="354" bestFit="1" customWidth="1"/>
    <col min="342" max="342" width="8.140625" style="354" bestFit="1" customWidth="1"/>
    <col min="343" max="343" width="9.85546875" style="354" bestFit="1" customWidth="1"/>
    <col min="344" max="344" width="14" style="354" bestFit="1" customWidth="1"/>
    <col min="345" max="345" width="20.28515625" style="354" bestFit="1" customWidth="1"/>
    <col min="346" max="346" width="23.85546875" style="354" bestFit="1" customWidth="1"/>
    <col min="347" max="347" width="15.7109375" style="354" customWidth="1"/>
    <col min="348" max="348" width="17.5703125" style="354" customWidth="1"/>
    <col min="349" max="349" width="20.28515625" style="354" bestFit="1" customWidth="1"/>
    <col min="350" max="350" width="23.85546875" style="354" bestFit="1" customWidth="1"/>
    <col min="351" max="351" width="23.85546875" style="354" customWidth="1"/>
    <col min="352" max="352" width="22" style="354" bestFit="1" customWidth="1"/>
    <col min="353" max="353" width="17.140625" style="354" customWidth="1"/>
    <col min="354" max="354" width="14.42578125" style="354" bestFit="1" customWidth="1"/>
    <col min="355" max="355" width="13.28515625" style="354" bestFit="1" customWidth="1"/>
    <col min="356" max="356" width="12.7109375" style="354" bestFit="1" customWidth="1"/>
    <col min="357" max="357" width="13.42578125" style="354" bestFit="1" customWidth="1"/>
    <col min="358" max="358" width="9.28515625" style="354" bestFit="1" customWidth="1"/>
    <col min="359" max="359" width="8.140625" style="354" bestFit="1" customWidth="1"/>
    <col min="360" max="360" width="8.140625" style="354" customWidth="1"/>
    <col min="361" max="361" width="14" style="354" bestFit="1" customWidth="1"/>
    <col min="362" max="362" width="20.28515625" style="354" bestFit="1" customWidth="1"/>
    <col min="363" max="363" width="17.140625" style="354" bestFit="1" customWidth="1"/>
    <col min="364" max="364" width="16.42578125" style="354" customWidth="1"/>
    <col min="365" max="365" width="17.28515625" style="354" customWidth="1"/>
    <col min="366" max="366" width="20.28515625" style="354" bestFit="1" customWidth="1"/>
    <col min="367" max="367" width="23.85546875" style="354" bestFit="1" customWidth="1"/>
    <col min="368" max="368" width="23.85546875" style="354" customWidth="1"/>
    <col min="369" max="369" width="22" style="354" bestFit="1" customWidth="1"/>
    <col min="370" max="370" width="16.5703125" style="354" customWidth="1"/>
    <col min="371" max="371" width="14.42578125" style="354" bestFit="1" customWidth="1"/>
    <col min="372" max="372" width="16.42578125" style="354" customWidth="1"/>
    <col min="373" max="373" width="14.85546875" style="354" customWidth="1"/>
    <col min="374" max="374" width="13.42578125" style="354" bestFit="1" customWidth="1"/>
    <col min="375" max="375" width="9.28515625" style="354" bestFit="1" customWidth="1"/>
    <col min="376" max="376" width="8.140625" style="354" bestFit="1" customWidth="1"/>
    <col min="377" max="377" width="8.140625" style="354" customWidth="1"/>
    <col min="378" max="378" width="14" style="354" bestFit="1" customWidth="1"/>
    <col min="379" max="379" width="13.42578125" style="354" bestFit="1" customWidth="1"/>
    <col min="380" max="380" width="17.140625" style="354" bestFit="1" customWidth="1"/>
    <col min="381" max="381" width="18.85546875" style="354" customWidth="1"/>
    <col min="382" max="382" width="16.140625" style="354" customWidth="1"/>
    <col min="383" max="383" width="20.28515625" style="354" bestFit="1" customWidth="1"/>
    <col min="384" max="384" width="23.85546875" style="354" bestFit="1" customWidth="1"/>
    <col min="385" max="385" width="23.85546875" style="354" customWidth="1"/>
    <col min="386" max="386" width="16.28515625" style="354" customWidth="1"/>
    <col min="387" max="387" width="16.5703125" style="354" customWidth="1"/>
    <col min="388" max="388" width="14.42578125" style="354" bestFit="1" customWidth="1"/>
    <col min="389" max="389" width="15.42578125" style="354" customWidth="1"/>
    <col min="390" max="390" width="12.7109375" style="354" bestFit="1" customWidth="1"/>
    <col min="391" max="391" width="13.42578125" style="354" bestFit="1" customWidth="1"/>
    <col min="392" max="392" width="9.28515625" style="354" bestFit="1" customWidth="1"/>
    <col min="393" max="393" width="8.140625" style="354" bestFit="1" customWidth="1"/>
    <col min="394" max="394" width="9.85546875" style="354" bestFit="1" customWidth="1"/>
    <col min="395" max="395" width="12.7109375" style="354" bestFit="1" customWidth="1"/>
    <col min="396" max="396" width="13.42578125" style="354" bestFit="1" customWidth="1"/>
    <col min="397" max="397" width="17.140625" style="354" bestFit="1" customWidth="1"/>
    <col min="398" max="398" width="15.42578125" style="354" customWidth="1"/>
    <col min="399" max="399" width="16.5703125" style="354" customWidth="1"/>
    <col min="400" max="400" width="20.28515625" style="354" bestFit="1" customWidth="1"/>
    <col min="401" max="401" width="23.85546875" style="354" bestFit="1" customWidth="1"/>
    <col min="402" max="402" width="23.85546875" style="354" customWidth="1"/>
    <col min="403" max="403" width="22" style="354" bestFit="1" customWidth="1"/>
    <col min="404" max="404" width="16.140625" style="354" customWidth="1"/>
    <col min="405" max="405" width="14.42578125" style="354" bestFit="1" customWidth="1"/>
    <col min="406" max="406" width="19.7109375" style="354" customWidth="1"/>
    <col min="407" max="407" width="12.7109375" style="354" bestFit="1" customWidth="1"/>
    <col min="408" max="408" width="13.42578125" style="354" bestFit="1" customWidth="1"/>
    <col min="409" max="409" width="9.28515625" style="354" bestFit="1" customWidth="1"/>
    <col min="410" max="410" width="8.140625" style="354" bestFit="1" customWidth="1"/>
    <col min="411" max="411" width="9.85546875" style="354" bestFit="1" customWidth="1"/>
    <col min="412" max="412" width="14" style="354" bestFit="1" customWidth="1"/>
    <col min="413" max="413" width="20.28515625" style="354" bestFit="1" customWidth="1"/>
    <col min="414" max="414" width="16.42578125" style="354" customWidth="1"/>
    <col min="415" max="415" width="18.140625" style="354" customWidth="1"/>
    <col min="416" max="416" width="18.5703125" style="354" customWidth="1"/>
    <col min="417" max="417" width="20.28515625" style="354" bestFit="1" customWidth="1"/>
    <col min="418" max="418" width="23.85546875" style="354" bestFit="1" customWidth="1"/>
    <col min="419" max="419" width="23.85546875" style="354" customWidth="1"/>
    <col min="420" max="420" width="22" style="354" bestFit="1" customWidth="1"/>
    <col min="421" max="421" width="15.42578125" style="354" customWidth="1"/>
    <col min="422" max="422" width="14.42578125" style="354" bestFit="1" customWidth="1"/>
    <col min="423" max="423" width="15.42578125" style="354" customWidth="1"/>
    <col min="424" max="424" width="17.5703125" style="354" customWidth="1"/>
    <col min="425" max="425" width="13.42578125" style="354" bestFit="1" customWidth="1"/>
    <col min="426" max="426" width="9.28515625" style="354" bestFit="1" customWidth="1"/>
    <col min="427" max="427" width="8.140625" style="354" bestFit="1" customWidth="1"/>
    <col min="428" max="428" width="8.140625" style="354" customWidth="1"/>
    <col min="429" max="429" width="14" style="354" bestFit="1" customWidth="1"/>
    <col min="430" max="430" width="13.42578125" style="354" bestFit="1" customWidth="1"/>
    <col min="431" max="431" width="17.140625" style="354" bestFit="1" customWidth="1"/>
    <col min="432" max="432" width="15.42578125" style="354" customWidth="1"/>
    <col min="433" max="433" width="17.28515625" style="354" customWidth="1"/>
    <col min="434" max="434" width="20.28515625" style="354" bestFit="1" customWidth="1"/>
    <col min="435" max="435" width="23.85546875" style="354" bestFit="1" customWidth="1"/>
    <col min="436" max="436" width="23.85546875" style="354" customWidth="1"/>
    <col min="437" max="437" width="15.42578125" style="354" bestFit="1" customWidth="1"/>
    <col min="438" max="438" width="16.42578125" style="354" customWidth="1"/>
    <col min="439" max="439" width="15.42578125" style="354" bestFit="1" customWidth="1"/>
    <col min="440" max="440" width="18.140625" style="354" customWidth="1"/>
    <col min="441" max="441" width="20.42578125" style="354" bestFit="1" customWidth="1"/>
    <col min="442" max="442" width="13.42578125" style="354" bestFit="1" customWidth="1"/>
    <col min="443" max="443" width="15.42578125" style="354" bestFit="1" customWidth="1"/>
    <col min="444" max="444" width="8.140625" style="354" bestFit="1" customWidth="1"/>
    <col min="445" max="445" width="9.85546875" style="354" bestFit="1" customWidth="1"/>
    <col min="446" max="446" width="14" style="354" bestFit="1" customWidth="1"/>
    <col min="447" max="447" width="13.42578125" style="354" bestFit="1" customWidth="1"/>
    <col min="448" max="448" width="17.140625" style="354" bestFit="1" customWidth="1"/>
    <col min="449" max="449" width="15.140625" style="354" customWidth="1"/>
    <col min="450" max="450" width="16.85546875" style="354" customWidth="1"/>
    <col min="451" max="451" width="20.28515625" style="354" bestFit="1" customWidth="1"/>
    <col min="452" max="452" width="23.85546875" style="354" bestFit="1" customWidth="1"/>
    <col min="453" max="453" width="22" style="354" bestFit="1" customWidth="1"/>
    <col min="454" max="454" width="21.28515625" style="354" customWidth="1"/>
    <col min="455" max="455" width="14.42578125" style="354" bestFit="1" customWidth="1"/>
    <col min="456" max="456" width="15.42578125" style="354" bestFit="1" customWidth="1"/>
    <col min="457" max="457" width="12.7109375" style="354" bestFit="1" customWidth="1"/>
    <col min="458" max="458" width="13.42578125" style="354" bestFit="1" customWidth="1"/>
    <col min="459" max="459" width="17.140625" style="354" bestFit="1" customWidth="1"/>
    <col min="460" max="460" width="8.140625" style="354" bestFit="1" customWidth="1"/>
    <col min="461" max="461" width="9.85546875" style="354" bestFit="1" customWidth="1"/>
    <col min="462" max="462" width="14" style="354" bestFit="1" customWidth="1"/>
    <col min="463" max="463" width="13.42578125" style="354" bestFit="1" customWidth="1"/>
    <col min="464" max="464" width="17.140625" style="354" bestFit="1" customWidth="1"/>
    <col min="465" max="465" width="17.85546875" style="354" bestFit="1" customWidth="1"/>
    <col min="466" max="466" width="14" style="354" bestFit="1" customWidth="1"/>
    <col min="467" max="467" width="23.85546875" style="354" customWidth="1"/>
    <col min="468" max="468" width="23.85546875" style="354" bestFit="1" customWidth="1"/>
    <col min="469" max="469" width="22" style="354" bestFit="1" customWidth="1"/>
    <col min="470" max="470" width="29.140625" style="354" customWidth="1"/>
    <col min="471" max="471" width="14.42578125" style="354" bestFit="1" customWidth="1"/>
    <col min="472" max="472" width="23.5703125" style="354" bestFit="1" customWidth="1"/>
    <col min="473" max="473" width="13.28515625" style="354" bestFit="1" customWidth="1"/>
    <col min="474" max="16384" width="9.140625" style="354"/>
  </cols>
  <sheetData>
    <row r="1" spans="2:60">
      <c r="BH1" s="357"/>
    </row>
    <row r="2" spans="2:60">
      <c r="BH2" s="357"/>
    </row>
    <row r="3" spans="2:60">
      <c r="B3" s="440" t="s">
        <v>112</v>
      </c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2:60">
      <c r="B4" s="440" t="s">
        <v>221</v>
      </c>
      <c r="C4" s="440"/>
      <c r="D4" s="440" t="s">
        <v>221</v>
      </c>
      <c r="E4" s="440" t="s">
        <v>413</v>
      </c>
      <c r="F4" s="440" t="s">
        <v>414</v>
      </c>
      <c r="G4" s="440" t="s">
        <v>415</v>
      </c>
      <c r="H4" s="440" t="s">
        <v>416</v>
      </c>
      <c r="I4" s="440" t="s">
        <v>417</v>
      </c>
      <c r="J4" s="440" t="s">
        <v>342</v>
      </c>
      <c r="K4" s="440" t="s">
        <v>418</v>
      </c>
      <c r="L4" s="440" t="s">
        <v>419</v>
      </c>
      <c r="M4" s="440" t="s">
        <v>420</v>
      </c>
      <c r="N4" s="440" t="s">
        <v>421</v>
      </c>
      <c r="O4" s="440" t="s">
        <v>422</v>
      </c>
      <c r="P4" s="440"/>
      <c r="Q4" s="440"/>
      <c r="R4" s="440"/>
      <c r="S4" s="440"/>
      <c r="T4" s="440"/>
      <c r="U4" s="440"/>
      <c r="V4" s="440"/>
      <c r="W4" s="440"/>
      <c r="X4" s="440"/>
      <c r="Y4" s="440"/>
    </row>
    <row r="5" spans="2:60"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0"/>
      <c r="O5" s="440"/>
      <c r="P5" s="440"/>
      <c r="Q5" s="440"/>
      <c r="R5" s="440"/>
      <c r="S5" s="440"/>
      <c r="T5" s="440"/>
      <c r="U5" s="440"/>
      <c r="V5" s="440"/>
      <c r="W5" s="440"/>
      <c r="X5" s="440"/>
      <c r="Y5" s="440"/>
      <c r="Z5" s="440"/>
    </row>
    <row r="6" spans="2:60">
      <c r="B6" s="1793"/>
      <c r="C6" s="1793" t="s">
        <v>347</v>
      </c>
      <c r="D6" s="440">
        <v>5</v>
      </c>
      <c r="E6" s="440">
        <f>1+1+2+1+1+1+1+2+2+1</f>
        <v>13</v>
      </c>
      <c r="F6" s="440"/>
      <c r="G6" s="440"/>
      <c r="H6" s="440"/>
      <c r="I6" s="440"/>
      <c r="J6" s="440"/>
      <c r="K6" s="1900"/>
      <c r="L6" s="440"/>
      <c r="M6" s="440">
        <f>-4-3-4</f>
        <v>-11</v>
      </c>
      <c r="N6" s="440"/>
      <c r="O6" s="440">
        <f t="shared" ref="O6:O11" si="0">SUM(D6:N6)</f>
        <v>7</v>
      </c>
      <c r="P6" s="440"/>
      <c r="Q6" s="440"/>
      <c r="R6" s="440"/>
      <c r="S6" s="440"/>
      <c r="T6" s="440"/>
      <c r="U6" s="440"/>
      <c r="V6" s="440"/>
      <c r="W6" s="440"/>
      <c r="X6" s="440"/>
      <c r="Y6" s="1545"/>
      <c r="Z6" s="449"/>
    </row>
    <row r="7" spans="2:60">
      <c r="B7" s="440"/>
      <c r="C7" s="440" t="s">
        <v>348</v>
      </c>
      <c r="D7" s="454"/>
      <c r="E7" s="440"/>
      <c r="F7" s="440"/>
      <c r="G7" s="440"/>
      <c r="H7" s="440"/>
      <c r="I7" s="440"/>
      <c r="J7" s="440"/>
      <c r="K7" s="440"/>
      <c r="L7" s="440"/>
      <c r="M7" s="440"/>
      <c r="N7" s="440"/>
      <c r="O7" s="440">
        <f t="shared" si="0"/>
        <v>0</v>
      </c>
      <c r="P7" s="440"/>
      <c r="Q7" s="440"/>
      <c r="R7" s="440"/>
      <c r="S7" s="440"/>
      <c r="T7" s="440"/>
      <c r="U7" s="440"/>
      <c r="V7" s="440"/>
      <c r="W7" s="440"/>
      <c r="X7" s="440"/>
      <c r="Y7" s="1545"/>
      <c r="Z7" s="449"/>
    </row>
    <row r="8" spans="2:60">
      <c r="B8" s="440"/>
      <c r="C8" s="440" t="s">
        <v>349</v>
      </c>
      <c r="D8" s="440"/>
      <c r="E8" s="440"/>
      <c r="F8" s="440"/>
      <c r="G8" s="440"/>
      <c r="H8" s="440"/>
      <c r="I8" s="440"/>
      <c r="J8" s="440"/>
      <c r="K8" s="440"/>
      <c r="L8" s="440"/>
      <c r="M8" s="440"/>
      <c r="N8" s="440"/>
      <c r="O8" s="440">
        <f t="shared" si="0"/>
        <v>0</v>
      </c>
      <c r="P8" s="440"/>
      <c r="Q8" s="440"/>
      <c r="R8" s="440"/>
      <c r="S8" s="440"/>
      <c r="T8" s="440"/>
      <c r="U8" s="440"/>
      <c r="V8" s="440"/>
      <c r="W8" s="440"/>
      <c r="X8" s="440"/>
      <c r="Y8" s="1545"/>
      <c r="Z8" s="449"/>
    </row>
    <row r="9" spans="2:60">
      <c r="B9" s="440"/>
      <c r="C9" s="440" t="s">
        <v>350</v>
      </c>
      <c r="D9" s="440"/>
      <c r="E9" s="440"/>
      <c r="F9" s="440"/>
      <c r="G9" s="440"/>
      <c r="H9" s="440"/>
      <c r="I9" s="440"/>
      <c r="J9" s="440"/>
      <c r="K9" s="454"/>
      <c r="L9" s="440"/>
      <c r="M9" s="440"/>
      <c r="N9" s="440"/>
      <c r="O9" s="440">
        <f t="shared" si="0"/>
        <v>0</v>
      </c>
      <c r="P9" s="440"/>
      <c r="Q9" s="440"/>
      <c r="R9" s="440"/>
      <c r="S9" s="440"/>
      <c r="T9" s="440"/>
      <c r="U9" s="440"/>
      <c r="V9" s="440"/>
      <c r="W9" s="440"/>
      <c r="X9" s="440"/>
      <c r="Y9" s="1545"/>
      <c r="Z9" s="449"/>
    </row>
    <row r="10" spans="2:60">
      <c r="B10" s="440"/>
      <c r="C10" s="440" t="s">
        <v>351</v>
      </c>
      <c r="D10" s="440"/>
      <c r="E10" s="440"/>
      <c r="F10" s="440"/>
      <c r="G10" s="440"/>
      <c r="H10" s="440"/>
      <c r="I10" s="440"/>
      <c r="J10" s="440"/>
      <c r="K10" s="440"/>
      <c r="L10" s="440"/>
      <c r="M10" s="440"/>
      <c r="N10" s="440"/>
      <c r="O10" s="440">
        <f t="shared" si="0"/>
        <v>0</v>
      </c>
      <c r="P10" s="440">
        <v>7</v>
      </c>
      <c r="Q10" s="440"/>
      <c r="R10" s="440"/>
      <c r="S10" s="440"/>
      <c r="T10" s="440"/>
      <c r="U10" s="440"/>
      <c r="V10" s="440"/>
      <c r="W10" s="440"/>
      <c r="X10" s="440"/>
      <c r="Y10" s="1545"/>
      <c r="Z10" s="449"/>
    </row>
    <row r="11" spans="2:60">
      <c r="B11" s="440"/>
      <c r="C11" s="440" t="s">
        <v>352</v>
      </c>
      <c r="D11" s="440">
        <v>361</v>
      </c>
      <c r="E11" s="440">
        <f>1+1+3+21+1+3+1+19+1+2+2+18+3+3+2+21</f>
        <v>102</v>
      </c>
      <c r="F11" s="440">
        <v>0</v>
      </c>
      <c r="G11" s="440"/>
      <c r="H11" s="440"/>
      <c r="I11" s="440"/>
      <c r="J11" s="440">
        <f>-1-1-2-1-1-1-1-2-2-1</f>
        <v>-13</v>
      </c>
      <c r="K11" s="440"/>
      <c r="L11" s="440">
        <f>-23-21-23-1-1-19</f>
        <v>-88</v>
      </c>
      <c r="M11" s="440"/>
      <c r="N11" s="440"/>
      <c r="O11" s="440">
        <f t="shared" si="0"/>
        <v>362</v>
      </c>
      <c r="P11" s="440">
        <v>362</v>
      </c>
      <c r="Q11" s="440"/>
      <c r="R11" s="440"/>
      <c r="S11" s="440"/>
      <c r="T11" s="440"/>
      <c r="U11" s="440"/>
      <c r="V11" s="440"/>
      <c r="W11" s="440"/>
      <c r="X11" s="440"/>
      <c r="Y11" s="1545"/>
      <c r="Z11" s="449"/>
      <c r="AB11" s="440"/>
    </row>
    <row r="12" spans="2:60">
      <c r="B12" s="440"/>
      <c r="C12" s="440" t="s">
        <v>71</v>
      </c>
      <c r="D12" s="440">
        <f>SUM(D6:D11)</f>
        <v>366</v>
      </c>
      <c r="E12" s="440">
        <f t="shared" ref="E12:O12" si="1">SUM(E6:E11)</f>
        <v>115</v>
      </c>
      <c r="F12" s="440">
        <f t="shared" si="1"/>
        <v>0</v>
      </c>
      <c r="G12" s="440">
        <f t="shared" si="1"/>
        <v>0</v>
      </c>
      <c r="H12" s="440">
        <f t="shared" si="1"/>
        <v>0</v>
      </c>
      <c r="I12" s="440">
        <f t="shared" si="1"/>
        <v>0</v>
      </c>
      <c r="J12" s="440">
        <f t="shared" si="1"/>
        <v>-13</v>
      </c>
      <c r="K12" s="440">
        <f t="shared" si="1"/>
        <v>0</v>
      </c>
      <c r="L12" s="440">
        <f t="shared" si="1"/>
        <v>-88</v>
      </c>
      <c r="M12" s="440">
        <f t="shared" si="1"/>
        <v>-11</v>
      </c>
      <c r="N12" s="440">
        <f t="shared" si="1"/>
        <v>0</v>
      </c>
      <c r="O12" s="440">
        <f t="shared" si="1"/>
        <v>369</v>
      </c>
      <c r="P12" s="440">
        <f>+P11+P10</f>
        <v>369</v>
      </c>
      <c r="Q12" s="440"/>
      <c r="R12" s="440"/>
      <c r="S12" s="440"/>
      <c r="T12" s="440"/>
      <c r="U12" s="440"/>
      <c r="V12" s="440"/>
      <c r="W12" s="440"/>
      <c r="X12" s="440"/>
      <c r="Y12" s="1545"/>
      <c r="Z12" s="449"/>
      <c r="AB12" s="440"/>
    </row>
    <row r="13" spans="2:60">
      <c r="B13" s="440"/>
      <c r="C13" s="440"/>
      <c r="D13" s="440"/>
      <c r="E13" s="440"/>
      <c r="F13" s="440"/>
      <c r="G13" s="440"/>
      <c r="H13" s="440"/>
      <c r="I13" s="440"/>
      <c r="J13" s="440"/>
      <c r="K13" s="440"/>
      <c r="L13" s="440"/>
      <c r="M13" s="440"/>
      <c r="N13" s="440"/>
      <c r="O13" s="440"/>
      <c r="P13" s="440">
        <f>+P12+O21</f>
        <v>474</v>
      </c>
      <c r="Q13" s="440"/>
      <c r="R13" s="440"/>
      <c r="S13" s="440"/>
      <c r="T13" s="440"/>
      <c r="U13" s="440"/>
      <c r="V13" s="440"/>
      <c r="W13" s="440"/>
      <c r="X13" s="440"/>
    </row>
    <row r="14" spans="2:60">
      <c r="B14" s="440"/>
      <c r="C14" s="440"/>
      <c r="D14" s="440"/>
      <c r="E14" s="440"/>
      <c r="F14" s="440"/>
      <c r="G14" s="440"/>
      <c r="H14" s="440"/>
      <c r="I14" s="440"/>
      <c r="J14" s="440"/>
      <c r="K14" s="440"/>
      <c r="L14" s="440"/>
      <c r="M14" s="440"/>
      <c r="N14" s="440"/>
      <c r="O14" s="440"/>
      <c r="P14" s="440"/>
      <c r="Q14" s="440">
        <f>464+7</f>
        <v>471</v>
      </c>
      <c r="R14" s="440"/>
      <c r="S14" s="440"/>
      <c r="T14" s="440"/>
      <c r="U14" s="440"/>
      <c r="V14" s="440"/>
      <c r="W14" s="440"/>
      <c r="X14" s="440"/>
      <c r="Y14" s="440"/>
    </row>
    <row r="15" spans="2:60">
      <c r="B15" s="440"/>
      <c r="C15" s="440" t="s">
        <v>353</v>
      </c>
      <c r="D15" s="440"/>
      <c r="E15" s="440"/>
      <c r="F15" s="440"/>
      <c r="G15" s="440"/>
      <c r="H15" s="440"/>
      <c r="I15" s="440"/>
      <c r="J15" s="440"/>
      <c r="K15" s="440"/>
      <c r="L15" s="440"/>
      <c r="M15" s="440"/>
      <c r="N15" s="440"/>
      <c r="O15" s="440">
        <f t="shared" ref="O15:O19" si="2">SUM(D15:N15)</f>
        <v>0</v>
      </c>
      <c r="P15" s="440"/>
      <c r="Q15" s="440">
        <f>+Q14-P13</f>
        <v>-3</v>
      </c>
      <c r="R15" s="440"/>
      <c r="S15" s="440"/>
      <c r="T15" s="440"/>
      <c r="U15" s="440"/>
      <c r="V15" s="440"/>
      <c r="W15" s="440"/>
    </row>
    <row r="16" spans="2:60">
      <c r="B16" s="440"/>
      <c r="C16" s="440" t="s">
        <v>275</v>
      </c>
      <c r="D16" s="454">
        <v>18</v>
      </c>
      <c r="E16" s="440">
        <v>23</v>
      </c>
      <c r="F16" s="440"/>
      <c r="G16" s="440"/>
      <c r="H16" s="440"/>
      <c r="I16" s="440"/>
      <c r="J16" s="440"/>
      <c r="K16" s="440">
        <v>-18</v>
      </c>
      <c r="L16" s="440">
        <v>-2</v>
      </c>
      <c r="M16" s="440"/>
      <c r="N16" s="440"/>
      <c r="O16" s="440">
        <f t="shared" si="2"/>
        <v>21</v>
      </c>
      <c r="P16" s="440"/>
      <c r="Q16" s="440"/>
      <c r="R16" s="440"/>
      <c r="S16" s="440"/>
      <c r="T16" s="440"/>
      <c r="U16" s="440"/>
      <c r="V16" s="440"/>
      <c r="W16" s="1545"/>
    </row>
    <row r="17" spans="2:69">
      <c r="B17" s="440"/>
      <c r="C17" s="440" t="s">
        <v>274</v>
      </c>
      <c r="D17" s="454">
        <v>19</v>
      </c>
      <c r="E17" s="440"/>
      <c r="F17" s="440">
        <v>2</v>
      </c>
      <c r="G17" s="440"/>
      <c r="H17" s="440"/>
      <c r="I17" s="440"/>
      <c r="J17" s="440"/>
      <c r="K17" s="440"/>
      <c r="L17" s="440"/>
      <c r="M17" s="440"/>
      <c r="N17" s="440"/>
      <c r="O17" s="440">
        <f t="shared" si="2"/>
        <v>21</v>
      </c>
      <c r="P17" s="440"/>
      <c r="Q17" s="440"/>
      <c r="R17" s="440"/>
      <c r="S17" s="440"/>
      <c r="T17" s="440"/>
      <c r="U17" s="440"/>
      <c r="V17" s="440"/>
      <c r="W17" s="1545"/>
    </row>
    <row r="18" spans="2:69">
      <c r="B18" s="440"/>
      <c r="C18" s="440" t="s">
        <v>273</v>
      </c>
      <c r="D18" s="454">
        <v>21</v>
      </c>
      <c r="E18" s="440">
        <v>19</v>
      </c>
      <c r="F18" s="440">
        <f>1+1</f>
        <v>2</v>
      </c>
      <c r="G18" s="440"/>
      <c r="H18" s="440"/>
      <c r="I18" s="440">
        <v>-2</v>
      </c>
      <c r="J18" s="440"/>
      <c r="K18" s="440">
        <v>-21</v>
      </c>
      <c r="L18" s="440"/>
      <c r="M18" s="440"/>
      <c r="N18" s="440"/>
      <c r="O18" s="440">
        <f t="shared" si="2"/>
        <v>19</v>
      </c>
      <c r="P18" s="440"/>
      <c r="Q18" s="440"/>
      <c r="R18" s="440"/>
      <c r="S18" s="440"/>
      <c r="T18" s="440"/>
      <c r="U18" s="440"/>
      <c r="V18" s="440"/>
      <c r="W18" s="1545"/>
      <c r="AC18" s="354">
        <f>+Z5+X14</f>
        <v>0</v>
      </c>
    </row>
    <row r="19" spans="2:69">
      <c r="B19" s="440"/>
      <c r="C19" s="440" t="s">
        <v>272</v>
      </c>
      <c r="D19" s="454">
        <v>20</v>
      </c>
      <c r="E19" s="440">
        <v>23</v>
      </c>
      <c r="F19" s="440"/>
      <c r="G19" s="440"/>
      <c r="H19" s="440"/>
      <c r="I19" s="440">
        <v>-1</v>
      </c>
      <c r="J19" s="440"/>
      <c r="K19" s="440">
        <v>-18</v>
      </c>
      <c r="L19" s="440">
        <v>-2</v>
      </c>
      <c r="M19" s="440"/>
      <c r="N19" s="440"/>
      <c r="O19" s="440">
        <f t="shared" si="2"/>
        <v>22</v>
      </c>
      <c r="P19" s="440"/>
      <c r="Q19" s="440"/>
      <c r="R19" s="440"/>
      <c r="S19" s="440"/>
      <c r="T19" s="440"/>
      <c r="U19" s="440"/>
      <c r="V19" s="440"/>
      <c r="W19" s="1545"/>
    </row>
    <row r="20" spans="2:69">
      <c r="B20" s="440"/>
      <c r="C20" s="440" t="s">
        <v>270</v>
      </c>
      <c r="D20" s="454">
        <v>19</v>
      </c>
      <c r="E20" s="440">
        <v>21</v>
      </c>
      <c r="F20" s="440">
        <v>1</v>
      </c>
      <c r="G20" s="440"/>
      <c r="H20" s="440"/>
      <c r="I20" s="440"/>
      <c r="J20" s="440"/>
      <c r="K20" s="440">
        <v>-19</v>
      </c>
      <c r="L20" s="440"/>
      <c r="M20" s="440"/>
      <c r="N20" s="440"/>
      <c r="O20" s="440">
        <f>SUM(D20:N20)</f>
        <v>22</v>
      </c>
      <c r="P20" s="440"/>
      <c r="Q20" s="440"/>
      <c r="R20" s="440"/>
      <c r="S20" s="440"/>
      <c r="T20" s="440"/>
      <c r="U20" s="440"/>
      <c r="V20" s="440"/>
      <c r="W20" s="1545"/>
      <c r="X20" s="1791"/>
    </row>
    <row r="21" spans="2:69">
      <c r="B21" s="440"/>
      <c r="C21" s="440" t="s">
        <v>71</v>
      </c>
      <c r="D21" s="440">
        <f>SUM(D15:D20)</f>
        <v>97</v>
      </c>
      <c r="E21" s="440">
        <f t="shared" ref="E21:O21" si="3">SUM(E15:E20)</f>
        <v>86</v>
      </c>
      <c r="F21" s="440">
        <f t="shared" si="3"/>
        <v>5</v>
      </c>
      <c r="G21" s="440">
        <f t="shared" si="3"/>
        <v>0</v>
      </c>
      <c r="H21" s="440">
        <f t="shared" si="3"/>
        <v>0</v>
      </c>
      <c r="I21" s="440">
        <f t="shared" si="3"/>
        <v>-3</v>
      </c>
      <c r="J21" s="440"/>
      <c r="K21" s="440">
        <f t="shared" si="3"/>
        <v>-76</v>
      </c>
      <c r="L21" s="440">
        <f t="shared" si="3"/>
        <v>-4</v>
      </c>
      <c r="M21" s="440">
        <f t="shared" si="3"/>
        <v>0</v>
      </c>
      <c r="N21" s="440">
        <f t="shared" si="3"/>
        <v>0</v>
      </c>
      <c r="O21" s="440">
        <f t="shared" si="3"/>
        <v>105</v>
      </c>
      <c r="P21" s="440"/>
      <c r="Q21" s="440"/>
      <c r="R21" s="440"/>
      <c r="S21" s="440"/>
      <c r="T21" s="440"/>
      <c r="U21" s="440"/>
      <c r="V21" s="440"/>
      <c r="W21" s="1545"/>
      <c r="X21" s="1791"/>
    </row>
    <row r="22" spans="2:69">
      <c r="B22" s="440"/>
      <c r="C22" s="440"/>
      <c r="D22" s="440"/>
      <c r="E22" s="440"/>
      <c r="F22" s="440"/>
      <c r="G22" s="440"/>
      <c r="H22" s="440"/>
      <c r="I22" s="440"/>
      <c r="J22" s="440"/>
      <c r="K22" s="440"/>
      <c r="L22" s="440"/>
      <c r="M22" s="440"/>
      <c r="N22" s="440"/>
      <c r="O22" s="440"/>
      <c r="P22" s="440"/>
      <c r="Q22" s="440"/>
      <c r="R22" s="440"/>
      <c r="S22" s="440"/>
      <c r="T22" s="440"/>
      <c r="U22" s="440"/>
      <c r="V22" s="440"/>
      <c r="W22" s="1545"/>
      <c r="X22" s="1791"/>
    </row>
    <row r="23" spans="2:69" s="2122" customFormat="1">
      <c r="B23" s="2119"/>
      <c r="C23" s="2119"/>
      <c r="D23" s="2119">
        <f>+D21+D12</f>
        <v>463</v>
      </c>
      <c r="E23" s="2119">
        <f t="shared" ref="E23:O23" si="4">+E21+E12</f>
        <v>201</v>
      </c>
      <c r="F23" s="2119">
        <f t="shared" si="4"/>
        <v>5</v>
      </c>
      <c r="G23" s="2119">
        <f t="shared" si="4"/>
        <v>0</v>
      </c>
      <c r="H23" s="2119">
        <f t="shared" si="4"/>
        <v>0</v>
      </c>
      <c r="I23" s="2119">
        <f t="shared" si="4"/>
        <v>-3</v>
      </c>
      <c r="J23" s="2119">
        <f t="shared" si="4"/>
        <v>-13</v>
      </c>
      <c r="K23" s="2119">
        <f t="shared" si="4"/>
        <v>-76</v>
      </c>
      <c r="L23" s="2119">
        <f t="shared" si="4"/>
        <v>-92</v>
      </c>
      <c r="M23" s="2119">
        <f t="shared" si="4"/>
        <v>-11</v>
      </c>
      <c r="N23" s="2119">
        <f t="shared" si="4"/>
        <v>0</v>
      </c>
      <c r="O23" s="2119">
        <f t="shared" si="4"/>
        <v>474</v>
      </c>
      <c r="P23" s="2119"/>
      <c r="Q23" s="2119"/>
      <c r="R23" s="2119"/>
      <c r="S23" s="2119"/>
      <c r="T23" s="2119"/>
      <c r="U23" s="2119"/>
      <c r="V23" s="2119"/>
      <c r="W23" s="2120"/>
      <c r="X23" s="2121"/>
    </row>
    <row r="24" spans="2:69">
      <c r="B24" s="440"/>
      <c r="C24" s="440"/>
      <c r="D24" s="440"/>
      <c r="E24" s="440"/>
      <c r="F24" s="440"/>
      <c r="G24" s="440"/>
      <c r="H24" s="440"/>
      <c r="I24" s="440"/>
      <c r="J24" s="440"/>
      <c r="K24" s="440"/>
      <c r="L24" s="440"/>
      <c r="M24" s="440"/>
      <c r="N24" s="440"/>
      <c r="O24" s="440"/>
      <c r="P24" s="440"/>
      <c r="Q24" s="440"/>
      <c r="R24" s="440"/>
      <c r="S24" s="440"/>
      <c r="T24" s="440"/>
      <c r="U24" s="440"/>
      <c r="V24" s="440"/>
      <c r="W24" s="1545"/>
      <c r="X24" s="1791"/>
    </row>
    <row r="25" spans="2:69">
      <c r="B25" s="440"/>
      <c r="C25" s="440"/>
      <c r="D25" s="440"/>
      <c r="E25" s="440"/>
      <c r="F25" s="440"/>
      <c r="G25" s="440"/>
      <c r="H25" s="440"/>
      <c r="I25" s="440"/>
      <c r="J25" s="440"/>
      <c r="K25" s="440"/>
      <c r="L25" s="440"/>
      <c r="M25" s="440"/>
      <c r="N25" s="440"/>
      <c r="O25" s="440"/>
      <c r="P25" s="440"/>
      <c r="Q25" s="440"/>
      <c r="R25" s="440"/>
      <c r="S25" s="440"/>
      <c r="T25" s="440"/>
      <c r="U25" s="440"/>
      <c r="V25" s="440"/>
      <c r="W25" s="1545"/>
      <c r="X25" s="1791"/>
    </row>
    <row r="26" spans="2:69">
      <c r="B26" s="440"/>
      <c r="C26" s="440"/>
      <c r="D26" s="440" t="s">
        <v>221</v>
      </c>
      <c r="E26" s="440" t="s">
        <v>423</v>
      </c>
      <c r="F26" s="354" t="s">
        <v>424</v>
      </c>
      <c r="G26" s="440" t="s">
        <v>425</v>
      </c>
      <c r="H26" s="440" t="s">
        <v>426</v>
      </c>
      <c r="I26" s="440" t="s">
        <v>427</v>
      </c>
      <c r="J26" s="440"/>
      <c r="K26" s="440"/>
      <c r="L26" s="440"/>
      <c r="M26" s="440"/>
      <c r="N26" s="440"/>
      <c r="O26" s="440" t="s">
        <v>428</v>
      </c>
      <c r="P26" s="440"/>
      <c r="Q26" s="440"/>
      <c r="R26" s="440"/>
      <c r="S26" s="440"/>
      <c r="T26" s="440"/>
      <c r="U26" s="440"/>
      <c r="V26" s="440"/>
      <c r="W26" s="1545"/>
      <c r="X26" s="1791"/>
    </row>
    <row r="27" spans="2:69">
      <c r="B27" s="440"/>
      <c r="C27" s="440" t="s">
        <v>353</v>
      </c>
      <c r="D27" s="440"/>
      <c r="E27" s="440"/>
      <c r="F27" s="440"/>
      <c r="G27" s="440"/>
      <c r="H27" s="440"/>
      <c r="I27" s="440"/>
      <c r="J27" s="440"/>
      <c r="K27" s="440"/>
      <c r="L27" s="440"/>
      <c r="M27" s="440"/>
      <c r="N27" s="440"/>
      <c r="O27" s="440">
        <f t="shared" ref="O27:O32" si="5">SUM(D27:N27)</f>
        <v>0</v>
      </c>
      <c r="P27" s="440"/>
      <c r="Q27" s="440"/>
      <c r="R27" s="440"/>
      <c r="S27" s="440"/>
      <c r="T27" s="440"/>
      <c r="U27" s="440"/>
      <c r="V27" s="440"/>
      <c r="W27" s="1545"/>
      <c r="X27" s="1791"/>
    </row>
    <row r="28" spans="2:69">
      <c r="C28" s="440" t="s">
        <v>275</v>
      </c>
      <c r="D28" s="354">
        <v>288</v>
      </c>
      <c r="E28" s="354">
        <f>18+42+74+60+100+77+19</f>
        <v>390</v>
      </c>
      <c r="F28" s="354">
        <f>-2-5-7-6-8-26</f>
        <v>-54</v>
      </c>
      <c r="G28" s="354">
        <f>-1-4-2-2-2-4-2-1-1-2-1-1-1-1</f>
        <v>-25</v>
      </c>
      <c r="H28" s="354">
        <v>-208</v>
      </c>
      <c r="I28" s="354">
        <f>-26-12-14-12-5-10</f>
        <v>-79</v>
      </c>
      <c r="O28" s="440">
        <f t="shared" si="5"/>
        <v>312</v>
      </c>
      <c r="BH28" s="353"/>
    </row>
    <row r="29" spans="2:69">
      <c r="C29" s="440" t="s">
        <v>274</v>
      </c>
      <c r="D29" s="354">
        <v>19</v>
      </c>
      <c r="E29" s="354">
        <f>82+99+82+68+11</f>
        <v>342</v>
      </c>
      <c r="F29" s="354">
        <f>-9-7-4-3</f>
        <v>-23</v>
      </c>
      <c r="G29" s="354">
        <f>-2-1-2-3-2-8-4-5-1-2-1-1-1-1</f>
        <v>-34</v>
      </c>
      <c r="O29" s="440">
        <f t="shared" si="5"/>
        <v>304</v>
      </c>
      <c r="BH29" s="353"/>
    </row>
    <row r="30" spans="2:69">
      <c r="C30" s="440" t="s">
        <v>273</v>
      </c>
      <c r="D30" s="354">
        <v>245</v>
      </c>
      <c r="E30" s="354">
        <v>60</v>
      </c>
      <c r="F30" s="354">
        <v>-8</v>
      </c>
      <c r="G30" s="354">
        <f>-4-1-1-3-3-2-1-2-2-1-1</f>
        <v>-21</v>
      </c>
      <c r="H30" s="354">
        <v>-187</v>
      </c>
      <c r="I30" s="354">
        <f>-36-12-12-4-10-15</f>
        <v>-89</v>
      </c>
      <c r="O30" s="440">
        <f t="shared" si="5"/>
        <v>0</v>
      </c>
      <c r="BH30" s="353"/>
    </row>
    <row r="31" spans="2:69">
      <c r="C31" s="440" t="s">
        <v>272</v>
      </c>
      <c r="D31" s="354">
        <v>261</v>
      </c>
      <c r="E31" s="354">
        <f>11+17+48+34+63+99</f>
        <v>272</v>
      </c>
      <c r="F31" s="354">
        <f>-1-1-8-5-4-13</f>
        <v>-32</v>
      </c>
      <c r="G31" s="354">
        <f>-3-1-1-2-5</f>
        <v>-12</v>
      </c>
      <c r="H31" s="354">
        <v>-189</v>
      </c>
      <c r="I31" s="354">
        <f>-10-14-9-11-20-5</f>
        <v>-69</v>
      </c>
      <c r="O31" s="440">
        <f t="shared" si="5"/>
        <v>231</v>
      </c>
      <c r="BH31" s="353"/>
      <c r="BL31" s="357"/>
      <c r="BM31" s="357"/>
    </row>
    <row r="32" spans="2:69">
      <c r="C32" s="440" t="s">
        <v>270</v>
      </c>
      <c r="D32" s="354">
        <v>215</v>
      </c>
      <c r="E32" s="354">
        <f>57+19+32+85+86+89</f>
        <v>368</v>
      </c>
      <c r="F32" s="354">
        <f>-3-2-3-2-3-6</f>
        <v>-19</v>
      </c>
      <c r="G32" s="354">
        <f>-1-3-3-4-1-2</f>
        <v>-14</v>
      </c>
      <c r="H32" s="354">
        <v>-165</v>
      </c>
      <c r="I32" s="354">
        <f>-10-8-13-6-3-10</f>
        <v>-50</v>
      </c>
      <c r="O32" s="440">
        <f t="shared" si="5"/>
        <v>335</v>
      </c>
      <c r="BH32" s="353"/>
      <c r="BL32" s="357"/>
      <c r="BM32" s="357"/>
      <c r="BQ32" s="357"/>
    </row>
    <row r="33" spans="3:65" s="440" customFormat="1">
      <c r="C33" s="440" t="s">
        <v>71</v>
      </c>
      <c r="D33" s="440">
        <f>SUM(D27:D32)</f>
        <v>1028</v>
      </c>
      <c r="E33" s="440">
        <f t="shared" ref="E33:O33" si="6">SUM(E27:E32)</f>
        <v>1432</v>
      </c>
      <c r="F33" s="440">
        <f t="shared" si="6"/>
        <v>-136</v>
      </c>
      <c r="G33" s="440">
        <f t="shared" si="6"/>
        <v>-106</v>
      </c>
      <c r="H33" s="440">
        <f t="shared" si="6"/>
        <v>-749</v>
      </c>
      <c r="I33" s="440">
        <f t="shared" si="6"/>
        <v>-287</v>
      </c>
      <c r="K33" s="440">
        <f t="shared" si="6"/>
        <v>0</v>
      </c>
      <c r="L33" s="440">
        <f t="shared" si="6"/>
        <v>0</v>
      </c>
      <c r="M33" s="440">
        <f t="shared" si="6"/>
        <v>0</v>
      </c>
      <c r="N33" s="440">
        <f t="shared" si="6"/>
        <v>0</v>
      </c>
      <c r="O33" s="440">
        <f t="shared" si="6"/>
        <v>1182</v>
      </c>
      <c r="BH33" s="2118"/>
    </row>
    <row r="34" spans="3:65">
      <c r="O34" s="440"/>
      <c r="BH34" s="353"/>
    </row>
    <row r="35" spans="3:65">
      <c r="BH35" s="353"/>
      <c r="BL35" s="357"/>
      <c r="BM35" s="357"/>
    </row>
    <row r="36" spans="3:65">
      <c r="BH36" s="353"/>
      <c r="BL36" s="357"/>
      <c r="BM36" s="357"/>
    </row>
    <row r="37" spans="3:65">
      <c r="BH37" s="353"/>
    </row>
    <row r="38" spans="3:65">
      <c r="BH38" s="353"/>
    </row>
    <row r="39" spans="3:65">
      <c r="BH39" s="353"/>
    </row>
    <row r="40" spans="3:65">
      <c r="BH40" s="353"/>
    </row>
    <row r="41" spans="3:65">
      <c r="BH41" s="353"/>
      <c r="BL41" s="453"/>
      <c r="BM41" s="453"/>
    </row>
    <row r="42" spans="3:65">
      <c r="BH42" s="353"/>
    </row>
    <row r="43" spans="3:65">
      <c r="BH43" s="353"/>
      <c r="BL43" s="357"/>
      <c r="BM43" s="357"/>
    </row>
    <row r="46" spans="3:65">
      <c r="BL46" s="357"/>
      <c r="BM46" s="357"/>
    </row>
    <row r="51" spans="64:114">
      <c r="BL51" s="357"/>
      <c r="BM51" s="357"/>
    </row>
    <row r="52" spans="64:114">
      <c r="BL52" s="357"/>
      <c r="BM52" s="357"/>
    </row>
    <row r="61" spans="64:114">
      <c r="DI61" s="357"/>
      <c r="DJ61" s="357"/>
    </row>
    <row r="71" spans="64:69">
      <c r="BL71" s="357"/>
      <c r="BM71" s="357"/>
      <c r="BQ71" s="357"/>
    </row>
    <row r="72" spans="64:69">
      <c r="BL72" s="357"/>
      <c r="BM72" s="357"/>
      <c r="BQ72" s="357"/>
    </row>
    <row r="75" spans="64:69">
      <c r="BL75" s="357"/>
      <c r="BM75" s="357"/>
    </row>
    <row r="76" spans="64:69">
      <c r="BL76" s="357"/>
      <c r="BM76" s="357"/>
    </row>
    <row r="81" spans="64:65">
      <c r="BL81" s="453"/>
      <c r="BM81" s="453"/>
    </row>
    <row r="83" spans="64:65">
      <c r="BL83" s="357"/>
      <c r="BM83" s="357"/>
    </row>
    <row r="86" spans="64:65">
      <c r="BL86" s="357"/>
      <c r="BM86" s="357"/>
    </row>
    <row r="91" spans="64:65">
      <c r="BL91" s="357"/>
      <c r="BM91" s="357"/>
    </row>
    <row r="92" spans="64:65">
      <c r="BL92" s="357"/>
      <c r="BM92" s="357"/>
    </row>
    <row r="106" spans="64:114">
      <c r="DI106" s="357"/>
      <c r="DJ106" s="357"/>
    </row>
    <row r="112" spans="64:114">
      <c r="BL112" s="357"/>
      <c r="BM112" s="357"/>
      <c r="BQ112" s="357"/>
    </row>
    <row r="113" spans="64:69">
      <c r="BL113" s="357"/>
      <c r="BM113" s="357"/>
      <c r="BQ113" s="357"/>
    </row>
    <row r="116" spans="64:69">
      <c r="BL116" s="357"/>
      <c r="BM116" s="357"/>
    </row>
    <row r="117" spans="64:69">
      <c r="BL117" s="357"/>
      <c r="BM117" s="357"/>
    </row>
    <row r="122" spans="64:69">
      <c r="BL122" s="453"/>
      <c r="BM122" s="453"/>
    </row>
    <row r="124" spans="64:69">
      <c r="BL124" s="357"/>
      <c r="BM124" s="357"/>
    </row>
    <row r="127" spans="64:69">
      <c r="BL127" s="357"/>
      <c r="BM127" s="357"/>
    </row>
    <row r="132" spans="64:65">
      <c r="BL132" s="357"/>
      <c r="BM132" s="357"/>
    </row>
    <row r="133" spans="64:65">
      <c r="BL133" s="357"/>
      <c r="BM133" s="357"/>
    </row>
    <row r="162" spans="64:69">
      <c r="BL162" s="357"/>
      <c r="BM162" s="357"/>
      <c r="BQ162" s="357"/>
    </row>
    <row r="163" spans="64:69">
      <c r="BL163" s="357"/>
      <c r="BM163" s="357"/>
      <c r="BQ163" s="357"/>
    </row>
    <row r="166" spans="64:69">
      <c r="BL166" s="357"/>
      <c r="BM166" s="357"/>
    </row>
    <row r="167" spans="64:69">
      <c r="BL167" s="357"/>
      <c r="BM167" s="357"/>
    </row>
    <row r="172" spans="64:69">
      <c r="BL172" s="453"/>
      <c r="BM172" s="453"/>
    </row>
    <row r="174" spans="64:69">
      <c r="BL174" s="357"/>
      <c r="BM174" s="357"/>
    </row>
    <row r="177" spans="64:65">
      <c r="BL177" s="357"/>
      <c r="BM177" s="357"/>
    </row>
    <row r="182" spans="64:65">
      <c r="BL182" s="357"/>
      <c r="BM182" s="357"/>
    </row>
    <row r="183" spans="64:65">
      <c r="BL183" s="357"/>
      <c r="BM183" s="357"/>
    </row>
  </sheetData>
  <pageMargins left="0.75" right="0.75" top="1" bottom="1" header="0.5" footer="0.5"/>
  <pageSetup paperSize="9" scale="14" orientation="landscape" r:id="rId1"/>
  <headerFooter alignWithMargins="0"/>
  <colBreaks count="1" manualBreakCount="1">
    <brk id="111" max="1048575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BFF1-AF6E-4170-9B84-A043661D949F}">
  <sheetPr>
    <tabColor rgb="FFFFFF00"/>
  </sheetPr>
  <dimension ref="A3:S29"/>
  <sheetViews>
    <sheetView zoomScale="89" zoomScaleNormal="80" workbookViewId="0">
      <pane xSplit="2" ySplit="1" topLeftCell="C2" activePane="bottomRight" state="frozen"/>
      <selection pane="bottomRight" activeCell="I24" sqref="I24"/>
      <selection pane="bottomLeft" activeCell="A5" sqref="A5"/>
      <selection pane="topRight" activeCell="C1" sqref="C1"/>
    </sheetView>
  </sheetViews>
  <sheetFormatPr defaultRowHeight="13.15"/>
  <cols>
    <col min="1" max="1" width="18.85546875" bestFit="1" customWidth="1"/>
    <col min="2" max="2" width="17.85546875" bestFit="1" customWidth="1"/>
    <col min="3" max="3" width="12.28515625" bestFit="1" customWidth="1"/>
    <col min="4" max="4" width="8" bestFit="1" customWidth="1"/>
    <col min="5" max="5" width="9.42578125" bestFit="1" customWidth="1"/>
    <col min="6" max="6" width="14.85546875" bestFit="1" customWidth="1"/>
    <col min="7" max="7" width="10.5703125" bestFit="1" customWidth="1"/>
    <col min="8" max="8" width="22" bestFit="1" customWidth="1"/>
    <col min="9" max="9" width="24.7109375" bestFit="1" customWidth="1"/>
    <col min="10" max="10" width="23.7109375" bestFit="1" customWidth="1"/>
    <col min="11" max="11" width="34.7109375" bestFit="1" customWidth="1"/>
    <col min="12" max="12" width="30.85546875" bestFit="1" customWidth="1"/>
    <col min="13" max="13" width="26.28515625" bestFit="1" customWidth="1"/>
    <col min="14" max="14" width="30.5703125" bestFit="1" customWidth="1"/>
    <col min="15" max="15" width="18" bestFit="1" customWidth="1"/>
    <col min="17" max="17" width="8" customWidth="1"/>
    <col min="18" max="18" width="8" bestFit="1" customWidth="1"/>
    <col min="19" max="19" width="9.42578125" bestFit="1" customWidth="1"/>
    <col min="20" max="20" width="14.85546875" bestFit="1" customWidth="1"/>
    <col min="21" max="21" width="10.5703125" bestFit="1" customWidth="1"/>
    <col min="22" max="22" width="22" bestFit="1" customWidth="1"/>
    <col min="23" max="23" width="24.7109375" bestFit="1" customWidth="1"/>
    <col min="24" max="24" width="23.7109375" bestFit="1" customWidth="1"/>
    <col min="25" max="25" width="30" customWidth="1"/>
    <col min="26" max="26" width="25.42578125" customWidth="1"/>
    <col min="27" max="27" width="22.5703125" bestFit="1" customWidth="1"/>
    <col min="28" max="28" width="28.7109375" bestFit="1" customWidth="1"/>
    <col min="29" max="29" width="18" bestFit="1" customWidth="1"/>
    <col min="31" max="31" width="7" customWidth="1"/>
    <col min="32" max="32" width="8" customWidth="1"/>
    <col min="33" max="33" width="9.42578125" bestFit="1" customWidth="1"/>
    <col min="34" max="34" width="14.85546875" bestFit="1" customWidth="1"/>
    <col min="35" max="35" width="10.5703125" bestFit="1" customWidth="1"/>
    <col min="36" max="36" width="22" bestFit="1" customWidth="1"/>
    <col min="37" max="37" width="24.7109375" bestFit="1" customWidth="1"/>
    <col min="38" max="38" width="23.7109375" bestFit="1" customWidth="1"/>
    <col min="39" max="39" width="22.28515625" customWidth="1"/>
    <col min="40" max="40" width="18.28515625" customWidth="1"/>
    <col min="41" max="41" width="22.5703125" bestFit="1" customWidth="1"/>
    <col min="42" max="42" width="28.7109375" bestFit="1" customWidth="1"/>
    <col min="43" max="43" width="18" bestFit="1" customWidth="1"/>
    <col min="45" max="45" width="6.28515625" customWidth="1"/>
    <col min="46" max="46" width="8" bestFit="1" customWidth="1"/>
    <col min="47" max="47" width="9.42578125" bestFit="1" customWidth="1"/>
    <col min="48" max="48" width="14.85546875" bestFit="1" customWidth="1"/>
    <col min="49" max="49" width="10.5703125" bestFit="1" customWidth="1"/>
    <col min="50" max="50" width="22" bestFit="1" customWidth="1"/>
    <col min="51" max="51" width="24.7109375" bestFit="1" customWidth="1"/>
    <col min="52" max="52" width="23.7109375" bestFit="1" customWidth="1"/>
    <col min="53" max="53" width="25.42578125" customWidth="1"/>
    <col min="54" max="54" width="23" customWidth="1"/>
    <col min="55" max="55" width="22.5703125" bestFit="1" customWidth="1"/>
    <col min="56" max="56" width="28.7109375" bestFit="1" customWidth="1"/>
    <col min="57" max="57" width="18" bestFit="1" customWidth="1"/>
    <col min="59" max="59" width="6.85546875" customWidth="1"/>
    <col min="60" max="60" width="8" bestFit="1" customWidth="1"/>
    <col min="61" max="61" width="9.42578125" bestFit="1" customWidth="1"/>
    <col min="62" max="62" width="14.85546875" bestFit="1" customWidth="1"/>
    <col min="63" max="63" width="10.5703125" bestFit="1" customWidth="1"/>
    <col min="64" max="64" width="22" bestFit="1" customWidth="1"/>
    <col min="65" max="65" width="24.7109375" bestFit="1" customWidth="1"/>
    <col min="66" max="66" width="23.7109375" bestFit="1" customWidth="1"/>
    <col min="67" max="67" width="24.5703125" customWidth="1"/>
    <col min="68" max="68" width="23" customWidth="1"/>
    <col min="69" max="69" width="22.5703125" bestFit="1" customWidth="1"/>
    <col min="70" max="70" width="28.7109375" bestFit="1" customWidth="1"/>
    <col min="71" max="71" width="18" bestFit="1" customWidth="1"/>
    <col min="73" max="73" width="7.7109375" bestFit="1" customWidth="1"/>
    <col min="74" max="74" width="8" bestFit="1" customWidth="1"/>
    <col min="75" max="75" width="9" bestFit="1" customWidth="1"/>
    <col min="76" max="76" width="19.85546875" bestFit="1" customWidth="1"/>
    <col min="77" max="77" width="13.28515625" bestFit="1" customWidth="1"/>
    <col min="78" max="78" width="16.85546875" bestFit="1" customWidth="1"/>
    <col min="79" max="79" width="13.7109375" bestFit="1" customWidth="1"/>
    <col min="80" max="80" width="22.5703125" bestFit="1" customWidth="1"/>
    <col min="81" max="81" width="19.85546875" bestFit="1" customWidth="1"/>
    <col min="82" max="82" width="23.42578125" bestFit="1" customWidth="1"/>
    <col min="83" max="83" width="19.140625" bestFit="1" customWidth="1"/>
    <col min="84" max="84" width="29.42578125" customWidth="1"/>
    <col min="85" max="85" width="18" customWidth="1"/>
    <col min="86" max="86" width="26.140625" bestFit="1" customWidth="1"/>
    <col min="87" max="87" width="18" customWidth="1"/>
    <col min="89" max="89" width="10.28515625" customWidth="1"/>
    <col min="90" max="90" width="8" bestFit="1" customWidth="1"/>
    <col min="91" max="91" width="9" bestFit="1" customWidth="1"/>
    <col min="92" max="92" width="19.85546875" bestFit="1" customWidth="1"/>
    <col min="93" max="93" width="13.28515625" bestFit="1" customWidth="1"/>
    <col min="94" max="94" width="16.85546875" bestFit="1" customWidth="1"/>
    <col min="95" max="95" width="13.7109375" bestFit="1" customWidth="1"/>
    <col min="96" max="96" width="22.5703125" bestFit="1" customWidth="1"/>
    <col min="97" max="97" width="19.85546875" bestFit="1" customWidth="1"/>
    <col min="98" max="98" width="23.42578125" bestFit="1" customWidth="1"/>
    <col min="99" max="99" width="18.7109375" customWidth="1"/>
    <col min="100" max="100" width="30.28515625" customWidth="1"/>
    <col min="101" max="101" width="27" customWidth="1"/>
    <col min="102" max="102" width="26.140625" bestFit="1" customWidth="1"/>
    <col min="103" max="103" width="19" customWidth="1"/>
    <col min="105" max="105" width="7.7109375" customWidth="1"/>
    <col min="106" max="106" width="8" bestFit="1" customWidth="1"/>
    <col min="107" max="107" width="9" bestFit="1" customWidth="1"/>
    <col min="108" max="108" width="19.85546875" bestFit="1" customWidth="1"/>
    <col min="109" max="109" width="13.28515625" bestFit="1" customWidth="1"/>
    <col min="110" max="110" width="16.85546875" bestFit="1" customWidth="1"/>
    <col min="111" max="111" width="13.7109375" bestFit="1" customWidth="1"/>
    <col min="112" max="112" width="22.5703125" bestFit="1" customWidth="1"/>
    <col min="113" max="113" width="19.85546875" bestFit="1" customWidth="1"/>
    <col min="114" max="114" width="23.42578125" bestFit="1" customWidth="1"/>
    <col min="115" max="115" width="19" customWidth="1"/>
    <col min="116" max="116" width="24.140625" customWidth="1"/>
    <col min="117" max="117" width="28.7109375" bestFit="1" customWidth="1"/>
    <col min="118" max="118" width="15.85546875" customWidth="1"/>
    <col min="119" max="119" width="16.5703125" customWidth="1"/>
    <col min="121" max="121" width="7.7109375" bestFit="1" customWidth="1"/>
    <col min="122" max="122" width="8" bestFit="1" customWidth="1"/>
    <col min="123" max="123" width="9" bestFit="1" customWidth="1"/>
    <col min="124" max="124" width="19.85546875" bestFit="1" customWidth="1"/>
    <col min="125" max="125" width="13.28515625" bestFit="1" customWidth="1"/>
    <col min="126" max="126" width="16.85546875" bestFit="1" customWidth="1"/>
    <col min="127" max="127" width="13.7109375" bestFit="1" customWidth="1"/>
    <col min="128" max="128" width="22.5703125" bestFit="1" customWidth="1"/>
    <col min="129" max="129" width="19.85546875" bestFit="1" customWidth="1"/>
    <col min="130" max="130" width="23.42578125" bestFit="1" customWidth="1"/>
    <col min="131" max="131" width="19.7109375" customWidth="1"/>
    <col min="132" max="132" width="24.7109375" bestFit="1" customWidth="1"/>
    <col min="133" max="133" width="18.7109375" bestFit="1" customWidth="1"/>
    <col min="134" max="134" width="16.5703125" bestFit="1" customWidth="1"/>
    <col min="135" max="135" width="15.85546875" customWidth="1"/>
    <col min="137" max="137" width="7.7109375" bestFit="1" customWidth="1"/>
    <col min="138" max="138" width="8" bestFit="1" customWidth="1"/>
    <col min="139" max="139" width="9" bestFit="1" customWidth="1"/>
    <col min="140" max="140" width="19.85546875" bestFit="1" customWidth="1"/>
    <col min="141" max="141" width="13.28515625" bestFit="1" customWidth="1"/>
    <col min="142" max="142" width="16.85546875" bestFit="1" customWidth="1"/>
    <col min="143" max="143" width="13.7109375" bestFit="1" customWidth="1"/>
    <col min="144" max="144" width="22.5703125" bestFit="1" customWidth="1"/>
    <col min="145" max="145" width="19.85546875" bestFit="1" customWidth="1"/>
    <col min="146" max="146" width="23.42578125" bestFit="1" customWidth="1"/>
    <col min="147" max="147" width="20.140625" customWidth="1"/>
    <col min="148" max="148" width="24.7109375" bestFit="1" customWidth="1"/>
    <col min="149" max="149" width="18.7109375" bestFit="1" customWidth="1"/>
    <col min="150" max="150" width="16.140625" customWidth="1"/>
    <col min="151" max="151" width="15.85546875" customWidth="1"/>
    <col min="153" max="153" width="7.7109375" bestFit="1" customWidth="1"/>
    <col min="154" max="154" width="8" bestFit="1" customWidth="1"/>
    <col min="155" max="155" width="9" bestFit="1" customWidth="1"/>
    <col min="156" max="156" width="19.85546875" bestFit="1" customWidth="1"/>
    <col min="157" max="157" width="13.28515625" bestFit="1" customWidth="1"/>
    <col min="158" max="158" width="16.85546875" bestFit="1" customWidth="1"/>
    <col min="159" max="159" width="13.7109375" bestFit="1" customWidth="1"/>
    <col min="160" max="160" width="22.5703125" bestFit="1" customWidth="1"/>
    <col min="161" max="161" width="19.85546875" bestFit="1" customWidth="1"/>
    <col min="162" max="162" width="23.42578125" bestFit="1" customWidth="1"/>
    <col min="163" max="163" width="19.140625" bestFit="1" customWidth="1"/>
    <col min="164" max="164" width="20.140625" customWidth="1"/>
    <col min="165" max="165" width="18.7109375" bestFit="1" customWidth="1"/>
    <col min="166" max="166" width="16.42578125" customWidth="1"/>
    <col min="167" max="167" width="16.5703125" customWidth="1"/>
    <col min="169" max="169" width="10.85546875" customWidth="1"/>
    <col min="170" max="170" width="8" bestFit="1" customWidth="1"/>
    <col min="171" max="171" width="9" bestFit="1" customWidth="1"/>
    <col min="172" max="172" width="19.85546875" bestFit="1" customWidth="1"/>
    <col min="173" max="173" width="13.28515625" bestFit="1" customWidth="1"/>
    <col min="174" max="174" width="16.85546875" bestFit="1" customWidth="1"/>
    <col min="175" max="175" width="13.7109375" bestFit="1" customWidth="1"/>
    <col min="176" max="176" width="22.5703125" bestFit="1" customWidth="1"/>
    <col min="177" max="177" width="19.85546875" bestFit="1" customWidth="1"/>
    <col min="178" max="178" width="23.42578125" bestFit="1" customWidth="1"/>
    <col min="179" max="179" width="20" customWidth="1"/>
    <col min="180" max="180" width="20.5703125" customWidth="1"/>
    <col min="181" max="181" width="19.7109375" customWidth="1"/>
    <col min="182" max="182" width="16.140625" customWidth="1"/>
    <col min="183" max="183" width="17.5703125" customWidth="1"/>
    <col min="185" max="185" width="11.5703125" customWidth="1"/>
    <col min="186" max="186" width="8" bestFit="1" customWidth="1"/>
    <col min="187" max="187" width="9" bestFit="1" customWidth="1"/>
    <col min="188" max="188" width="19.85546875" bestFit="1" customWidth="1"/>
    <col min="189" max="189" width="13.28515625" bestFit="1" customWidth="1"/>
    <col min="190" max="190" width="16.85546875" bestFit="1" customWidth="1"/>
    <col min="191" max="191" width="13.7109375" bestFit="1" customWidth="1"/>
    <col min="192" max="192" width="22.5703125" bestFit="1" customWidth="1"/>
    <col min="193" max="193" width="19.85546875" bestFit="1" customWidth="1"/>
    <col min="194" max="194" width="23.42578125" bestFit="1" customWidth="1"/>
    <col min="195" max="195" width="19.28515625" customWidth="1"/>
    <col min="196" max="196" width="26.28515625" customWidth="1"/>
    <col min="197" max="197" width="18.7109375" bestFit="1" customWidth="1"/>
    <col min="198" max="198" width="16.140625" customWidth="1"/>
    <col min="199" max="199" width="19.42578125" customWidth="1"/>
    <col min="201" max="201" width="7.7109375" customWidth="1"/>
    <col min="202" max="202" width="8" bestFit="1" customWidth="1"/>
    <col min="203" max="203" width="9" bestFit="1" customWidth="1"/>
    <col min="204" max="204" width="19.85546875" bestFit="1" customWidth="1"/>
    <col min="205" max="205" width="13.28515625" bestFit="1" customWidth="1"/>
    <col min="206" max="206" width="16.85546875" bestFit="1" customWidth="1"/>
    <col min="207" max="207" width="13.7109375" bestFit="1" customWidth="1"/>
    <col min="208" max="208" width="22.5703125" bestFit="1" customWidth="1"/>
    <col min="209" max="209" width="19.85546875" bestFit="1" customWidth="1"/>
    <col min="210" max="210" width="23.42578125" bestFit="1" customWidth="1"/>
    <col min="211" max="211" width="31.85546875" bestFit="1" customWidth="1"/>
    <col min="212" max="212" width="21" customWidth="1"/>
    <col min="213" max="213" width="19.42578125" customWidth="1"/>
    <col min="214" max="214" width="17.140625" customWidth="1"/>
    <col min="215" max="215" width="17.28515625" customWidth="1"/>
    <col min="218" max="218" width="8" bestFit="1" customWidth="1"/>
    <col min="219" max="219" width="9" bestFit="1" customWidth="1"/>
    <col min="220" max="220" width="19.85546875" bestFit="1" customWidth="1"/>
    <col min="221" max="221" width="13.28515625" bestFit="1" customWidth="1"/>
    <col min="222" max="222" width="16.85546875" bestFit="1" customWidth="1"/>
    <col min="223" max="223" width="13.7109375" bestFit="1" customWidth="1"/>
    <col min="224" max="224" width="22.5703125" bestFit="1" customWidth="1"/>
    <col min="225" max="225" width="19.85546875" bestFit="1" customWidth="1"/>
    <col min="226" max="226" width="23.42578125" bestFit="1" customWidth="1"/>
    <col min="227" max="227" width="21.140625" customWidth="1"/>
    <col min="228" max="228" width="29.140625" customWidth="1"/>
    <col min="229" max="229" width="18" customWidth="1"/>
    <col min="230" max="230" width="16.85546875" customWidth="1"/>
    <col min="231" max="231" width="17.7109375" customWidth="1"/>
    <col min="234" max="234" width="8" bestFit="1" customWidth="1"/>
    <col min="235" max="235" width="9" bestFit="1" customWidth="1"/>
    <col min="236" max="236" width="19.85546875" bestFit="1" customWidth="1"/>
    <col min="237" max="237" width="13.28515625" bestFit="1" customWidth="1"/>
    <col min="238" max="238" width="16.85546875" bestFit="1" customWidth="1"/>
    <col min="239" max="239" width="13.7109375" bestFit="1" customWidth="1"/>
    <col min="240" max="240" width="22.5703125" bestFit="1" customWidth="1"/>
    <col min="241" max="241" width="19.85546875" bestFit="1" customWidth="1"/>
    <col min="242" max="242" width="23.42578125" bestFit="1" customWidth="1"/>
    <col min="243" max="243" width="20.42578125" customWidth="1"/>
    <col min="244" max="244" width="24.140625" customWidth="1"/>
    <col min="245" max="245" width="18" customWidth="1"/>
    <col min="246" max="246" width="18.28515625" customWidth="1"/>
    <col min="247" max="247" width="17.7109375" customWidth="1"/>
    <col min="250" max="250" width="8" bestFit="1" customWidth="1"/>
    <col min="251" max="251" width="9" bestFit="1" customWidth="1"/>
    <col min="252" max="252" width="19.85546875" bestFit="1" customWidth="1"/>
    <col min="253" max="253" width="13.28515625" bestFit="1" customWidth="1"/>
    <col min="254" max="254" width="16.85546875" bestFit="1" customWidth="1"/>
    <col min="255" max="255" width="13.7109375" bestFit="1" customWidth="1"/>
    <col min="256" max="256" width="22.5703125" bestFit="1" customWidth="1"/>
    <col min="257" max="257" width="19.85546875" bestFit="1" customWidth="1"/>
    <col min="258" max="258" width="23.42578125" bestFit="1" customWidth="1"/>
    <col min="259" max="259" width="19.28515625" customWidth="1"/>
    <col min="260" max="260" width="21.5703125" customWidth="1"/>
    <col min="261" max="261" width="20" customWidth="1"/>
    <col min="262" max="262" width="20.42578125" customWidth="1"/>
    <col min="263" max="263" width="23" customWidth="1"/>
    <col min="264" max="264" width="3" bestFit="1" customWidth="1"/>
    <col min="266" max="266" width="8" bestFit="1" customWidth="1"/>
    <col min="267" max="267" width="9" bestFit="1" customWidth="1"/>
    <col min="268" max="268" width="19.85546875" bestFit="1" customWidth="1"/>
    <col min="269" max="269" width="13.28515625" bestFit="1" customWidth="1"/>
    <col min="270" max="270" width="16.85546875" bestFit="1" customWidth="1"/>
    <col min="271" max="271" width="13.7109375" bestFit="1" customWidth="1"/>
    <col min="272" max="272" width="22.5703125" bestFit="1" customWidth="1"/>
    <col min="273" max="273" width="19.85546875" bestFit="1" customWidth="1"/>
    <col min="274" max="274" width="23.42578125" bestFit="1" customWidth="1"/>
    <col min="275" max="275" width="16.42578125" customWidth="1"/>
    <col min="276" max="276" width="28.7109375" customWidth="1"/>
    <col min="277" max="277" width="18.42578125" customWidth="1"/>
    <col min="278" max="278" width="13.28515625" customWidth="1"/>
    <col min="279" max="279" width="19.42578125" customWidth="1"/>
    <col min="282" max="282" width="8" bestFit="1" customWidth="1"/>
    <col min="283" max="283" width="9" bestFit="1" customWidth="1"/>
    <col min="284" max="284" width="19.85546875" bestFit="1" customWidth="1"/>
    <col min="285" max="285" width="13.28515625" bestFit="1" customWidth="1"/>
    <col min="286" max="286" width="16.85546875" bestFit="1" customWidth="1"/>
    <col min="287" max="287" width="13.7109375" bestFit="1" customWidth="1"/>
    <col min="288" max="288" width="22.5703125" bestFit="1" customWidth="1"/>
    <col min="289" max="289" width="19.85546875" bestFit="1" customWidth="1"/>
    <col min="290" max="290" width="23.42578125" bestFit="1" customWidth="1"/>
    <col min="291" max="291" width="24.42578125" customWidth="1"/>
    <col min="292" max="292" width="20.85546875" customWidth="1"/>
    <col min="293" max="293" width="19.85546875" customWidth="1"/>
    <col min="294" max="294" width="17.5703125" customWidth="1"/>
    <col min="295" max="295" width="20.42578125" customWidth="1"/>
    <col min="298" max="298" width="8" bestFit="1" customWidth="1"/>
    <col min="299" max="299" width="9" bestFit="1" customWidth="1"/>
    <col min="300" max="300" width="19.85546875" bestFit="1" customWidth="1"/>
    <col min="301" max="301" width="13.28515625" bestFit="1" customWidth="1"/>
    <col min="302" max="302" width="16.85546875" bestFit="1" customWidth="1"/>
    <col min="303" max="303" width="13.7109375" bestFit="1" customWidth="1"/>
    <col min="304" max="304" width="22.5703125" bestFit="1" customWidth="1"/>
    <col min="305" max="305" width="19.85546875" bestFit="1" customWidth="1"/>
    <col min="306" max="306" width="23.42578125" bestFit="1" customWidth="1"/>
    <col min="307" max="307" width="19" customWidth="1"/>
    <col min="308" max="308" width="16.7109375" customWidth="1"/>
    <col min="309" max="309" width="18.5703125" customWidth="1"/>
    <col min="310" max="310" width="16.140625" customWidth="1"/>
    <col min="311" max="311" width="20.85546875" customWidth="1"/>
    <col min="314" max="314" width="8" bestFit="1" customWidth="1"/>
    <col min="315" max="315" width="9" bestFit="1" customWidth="1"/>
    <col min="316" max="316" width="19.85546875" bestFit="1" customWidth="1"/>
    <col min="317" max="317" width="13.28515625" bestFit="1" customWidth="1"/>
    <col min="318" max="318" width="16.85546875" bestFit="1" customWidth="1"/>
    <col min="319" max="319" width="13.7109375" bestFit="1" customWidth="1"/>
    <col min="320" max="320" width="22.5703125" bestFit="1" customWidth="1"/>
    <col min="321" max="321" width="19.85546875" bestFit="1" customWidth="1"/>
    <col min="322" max="322" width="23.42578125" bestFit="1" customWidth="1"/>
    <col min="323" max="323" width="24" customWidth="1"/>
    <col min="324" max="324" width="21.7109375" customWidth="1"/>
    <col min="325" max="325" width="20.42578125" customWidth="1"/>
    <col min="326" max="326" width="21.140625" customWidth="1"/>
    <col min="327" max="327" width="16.85546875" customWidth="1"/>
    <col min="330" max="330" width="8" bestFit="1" customWidth="1"/>
    <col min="331" max="331" width="9" bestFit="1" customWidth="1"/>
    <col min="332" max="332" width="19.85546875" bestFit="1" customWidth="1"/>
    <col min="333" max="333" width="13.28515625" bestFit="1" customWidth="1"/>
    <col min="334" max="334" width="16.85546875" bestFit="1" customWidth="1"/>
    <col min="335" max="335" width="13.7109375" bestFit="1" customWidth="1"/>
    <col min="336" max="336" width="22.5703125" bestFit="1" customWidth="1"/>
    <col min="337" max="337" width="19.85546875" bestFit="1" customWidth="1"/>
    <col min="338" max="338" width="23.42578125" bestFit="1" customWidth="1"/>
    <col min="339" max="339" width="20.85546875" customWidth="1"/>
    <col min="340" max="340" width="21.28515625" customWidth="1"/>
    <col min="341" max="341" width="15.85546875" customWidth="1"/>
    <col min="342" max="342" width="26.140625" bestFit="1" customWidth="1"/>
    <col min="343" max="343" width="16.140625" customWidth="1"/>
    <col min="346" max="346" width="8" bestFit="1" customWidth="1"/>
    <col min="347" max="347" width="9" bestFit="1" customWidth="1"/>
    <col min="348" max="348" width="19.85546875" bestFit="1" customWidth="1"/>
    <col min="349" max="349" width="13.28515625" bestFit="1" customWidth="1"/>
    <col min="350" max="350" width="16.85546875" bestFit="1" customWidth="1"/>
    <col min="351" max="351" width="13.7109375" bestFit="1" customWidth="1"/>
    <col min="352" max="352" width="22.5703125" bestFit="1" customWidth="1"/>
    <col min="353" max="353" width="19.85546875" bestFit="1" customWidth="1"/>
    <col min="354" max="354" width="23.42578125" bestFit="1" customWidth="1"/>
    <col min="355" max="355" width="31.85546875" bestFit="1" customWidth="1"/>
    <col min="356" max="356" width="19.42578125" customWidth="1"/>
    <col min="357" max="357" width="19.28515625" customWidth="1"/>
    <col min="358" max="358" width="17.5703125" customWidth="1"/>
    <col min="359" max="359" width="15.85546875" customWidth="1"/>
    <col min="362" max="362" width="8" bestFit="1" customWidth="1"/>
    <col min="363" max="363" width="9" bestFit="1" customWidth="1"/>
    <col min="364" max="364" width="19.85546875" bestFit="1" customWidth="1"/>
    <col min="365" max="365" width="13.28515625" bestFit="1" customWidth="1"/>
    <col min="366" max="366" width="16.85546875" bestFit="1" customWidth="1"/>
    <col min="367" max="367" width="13.7109375" bestFit="1" customWidth="1"/>
    <col min="368" max="368" width="22.5703125" bestFit="1" customWidth="1"/>
    <col min="369" max="369" width="19.85546875" bestFit="1" customWidth="1"/>
    <col min="370" max="370" width="23.42578125" bestFit="1" customWidth="1"/>
    <col min="371" max="371" width="16.140625" customWidth="1"/>
    <col min="372" max="372" width="24.42578125" customWidth="1"/>
    <col min="373" max="373" width="18" customWidth="1"/>
    <col min="374" max="374" width="17.140625" customWidth="1"/>
    <col min="375" max="375" width="17" customWidth="1"/>
    <col min="378" max="378" width="8" bestFit="1" customWidth="1"/>
    <col min="379" max="379" width="9" bestFit="1" customWidth="1"/>
    <col min="380" max="380" width="19.85546875" bestFit="1" customWidth="1"/>
    <col min="381" max="381" width="13.28515625" bestFit="1" customWidth="1"/>
    <col min="382" max="382" width="16.85546875" bestFit="1" customWidth="1"/>
    <col min="383" max="383" width="13.7109375" bestFit="1" customWidth="1"/>
    <col min="384" max="384" width="22.5703125" bestFit="1" customWidth="1"/>
    <col min="385" max="385" width="19.85546875" bestFit="1" customWidth="1"/>
    <col min="386" max="386" width="23.42578125" bestFit="1" customWidth="1"/>
    <col min="387" max="387" width="18.5703125" customWidth="1"/>
    <col min="388" max="388" width="20.140625" customWidth="1"/>
    <col min="389" max="389" width="18.42578125" customWidth="1"/>
    <col min="390" max="390" width="21.85546875" customWidth="1"/>
    <col min="391" max="391" width="14.85546875" customWidth="1"/>
    <col min="394" max="394" width="8" bestFit="1" customWidth="1"/>
    <col min="395" max="395" width="9" bestFit="1" customWidth="1"/>
    <col min="396" max="396" width="19.85546875" bestFit="1" customWidth="1"/>
    <col min="397" max="397" width="13.28515625" bestFit="1" customWidth="1"/>
    <col min="398" max="398" width="16.85546875" bestFit="1" customWidth="1"/>
    <col min="399" max="399" width="13.7109375" bestFit="1" customWidth="1"/>
    <col min="400" max="400" width="22.5703125" bestFit="1" customWidth="1"/>
    <col min="401" max="401" width="19.85546875" bestFit="1" customWidth="1"/>
    <col min="402" max="402" width="23.42578125" bestFit="1" customWidth="1"/>
    <col min="403" max="403" width="23.28515625" customWidth="1"/>
    <col min="404" max="404" width="20.5703125" customWidth="1"/>
    <col min="405" max="405" width="18.42578125" customWidth="1"/>
    <col min="406" max="406" width="15.85546875" customWidth="1"/>
    <col min="407" max="407" width="13" customWidth="1"/>
    <col min="410" max="410" width="8" bestFit="1" customWidth="1"/>
    <col min="411" max="411" width="9" bestFit="1" customWidth="1"/>
    <col min="412" max="412" width="19.85546875" bestFit="1" customWidth="1"/>
    <col min="413" max="413" width="13.28515625" bestFit="1" customWidth="1"/>
    <col min="414" max="414" width="16.85546875" bestFit="1" customWidth="1"/>
    <col min="415" max="415" width="13.7109375" bestFit="1" customWidth="1"/>
    <col min="416" max="416" width="22.5703125" bestFit="1" customWidth="1"/>
    <col min="417" max="417" width="19.85546875" bestFit="1" customWidth="1"/>
    <col min="418" max="418" width="23.42578125" bestFit="1" customWidth="1"/>
    <col min="419" max="419" width="20.140625" customWidth="1"/>
    <col min="420" max="420" width="24.140625" customWidth="1"/>
    <col min="421" max="421" width="21.28515625" customWidth="1"/>
    <col min="422" max="422" width="22.5703125" customWidth="1"/>
    <col min="423" max="423" width="17.42578125" customWidth="1"/>
    <col min="425" max="425" width="15.42578125" bestFit="1" customWidth="1"/>
    <col min="426" max="426" width="8" bestFit="1" customWidth="1"/>
    <col min="427" max="427" width="9" bestFit="1" customWidth="1"/>
    <col min="428" max="428" width="19.85546875" bestFit="1" customWidth="1"/>
    <col min="429" max="429" width="13.28515625" bestFit="1" customWidth="1"/>
    <col min="430" max="430" width="16.85546875" bestFit="1" customWidth="1"/>
    <col min="431" max="431" width="13.7109375" bestFit="1" customWidth="1"/>
    <col min="432" max="432" width="22.5703125" bestFit="1" customWidth="1"/>
    <col min="433" max="433" width="19.85546875" bestFit="1" customWidth="1"/>
    <col min="434" max="434" width="23.42578125" bestFit="1" customWidth="1"/>
    <col min="435" max="435" width="20" customWidth="1"/>
    <col min="436" max="436" width="27.28515625" customWidth="1"/>
    <col min="437" max="437" width="21.5703125" customWidth="1"/>
    <col min="438" max="438" width="17.28515625" customWidth="1"/>
    <col min="439" max="439" width="17.5703125" customWidth="1"/>
    <col min="441" max="441" width="17.140625" bestFit="1" customWidth="1"/>
    <col min="442" max="442" width="8" bestFit="1" customWidth="1"/>
    <col min="443" max="443" width="9" bestFit="1" customWidth="1"/>
    <col min="444" max="444" width="19.85546875" bestFit="1" customWidth="1"/>
    <col min="445" max="445" width="13.28515625" bestFit="1" customWidth="1"/>
    <col min="446" max="446" width="16.85546875" bestFit="1" customWidth="1"/>
    <col min="447" max="447" width="13.7109375" bestFit="1" customWidth="1"/>
    <col min="448" max="448" width="22.5703125" bestFit="1" customWidth="1"/>
    <col min="449" max="449" width="19.85546875" bestFit="1" customWidth="1"/>
    <col min="450" max="450" width="23.42578125" bestFit="1" customWidth="1"/>
    <col min="451" max="451" width="31.85546875" bestFit="1" customWidth="1"/>
    <col min="452" max="452" width="39.140625" bestFit="1" customWidth="1"/>
    <col min="453" max="453" width="28.7109375" bestFit="1" customWidth="1"/>
    <col min="454" max="454" width="26.140625" bestFit="1" customWidth="1"/>
    <col min="455" max="455" width="30.140625" bestFit="1" customWidth="1"/>
  </cols>
  <sheetData>
    <row r="3" spans="1:19" ht="13.9">
      <c r="A3" s="440" t="s">
        <v>381</v>
      </c>
      <c r="B3" s="440" t="s">
        <v>382</v>
      </c>
      <c r="C3" s="354"/>
      <c r="D3" s="354"/>
      <c r="E3" s="354"/>
      <c r="F3" s="354"/>
      <c r="G3" s="354"/>
      <c r="H3" s="354"/>
      <c r="I3" s="354"/>
      <c r="J3" s="354"/>
      <c r="K3" s="354"/>
      <c r="L3" s="453"/>
      <c r="M3" s="354"/>
      <c r="N3" s="354"/>
      <c r="O3" s="354"/>
      <c r="P3" s="354"/>
      <c r="Q3" s="354"/>
      <c r="R3" s="354"/>
      <c r="S3" s="453"/>
    </row>
    <row r="4" spans="1:19" ht="14.25" customHeight="1">
      <c r="A4" s="578" t="s">
        <v>383</v>
      </c>
      <c r="B4" s="589">
        <v>231</v>
      </c>
      <c r="C4" s="2148" t="s">
        <v>384</v>
      </c>
      <c r="D4" s="354"/>
      <c r="E4" s="354"/>
      <c r="F4" s="354"/>
      <c r="G4" s="354"/>
      <c r="H4" s="1134" t="s">
        <v>79</v>
      </c>
      <c r="I4" s="1135">
        <v>6</v>
      </c>
      <c r="J4" s="1135">
        <f>'Summary Total Pigs'!AE170</f>
        <v>6</v>
      </c>
      <c r="K4" s="354">
        <f>+I4-J4</f>
        <v>0</v>
      </c>
      <c r="L4" s="354"/>
      <c r="M4" s="354"/>
      <c r="N4" s="354"/>
      <c r="O4" s="354"/>
      <c r="P4" s="354"/>
      <c r="Q4" s="354"/>
      <c r="R4" s="354"/>
      <c r="S4" s="354"/>
    </row>
    <row r="5" spans="1:19" ht="14.25" customHeight="1">
      <c r="A5" s="578" t="s">
        <v>385</v>
      </c>
      <c r="B5" s="589">
        <v>334</v>
      </c>
      <c r="C5" s="2149"/>
      <c r="D5" s="354"/>
      <c r="E5" s="354"/>
      <c r="F5" s="354"/>
      <c r="G5" s="354"/>
      <c r="H5" s="1134" t="s">
        <v>55</v>
      </c>
      <c r="I5" s="1135">
        <f>467+7</f>
        <v>474</v>
      </c>
      <c r="J5" s="1135">
        <f>+'Summary Total Pigs'!AE169</f>
        <v>474</v>
      </c>
      <c r="K5" s="354">
        <f>+I5-J5</f>
        <v>0</v>
      </c>
      <c r="L5" s="357"/>
      <c r="M5" s="354"/>
      <c r="N5" s="354"/>
      <c r="O5" s="354"/>
      <c r="P5" s="354"/>
      <c r="Q5" s="354"/>
      <c r="R5" s="354"/>
      <c r="S5" s="357"/>
    </row>
    <row r="6" spans="1:19" ht="14.25" customHeight="1">
      <c r="A6" s="578" t="s">
        <v>386</v>
      </c>
      <c r="B6" s="589">
        <v>312</v>
      </c>
      <c r="C6" s="2149"/>
      <c r="D6" s="354"/>
      <c r="E6" s="354"/>
      <c r="F6" s="354"/>
      <c r="G6" s="354"/>
      <c r="H6" s="1134" t="s">
        <v>50</v>
      </c>
      <c r="I6" s="1135">
        <f>111</f>
        <v>111</v>
      </c>
      <c r="J6" s="1135">
        <f>+'Summary Total Pigs'!AE168</f>
        <v>111</v>
      </c>
      <c r="K6" s="354">
        <f>+I6-J6</f>
        <v>0</v>
      </c>
      <c r="L6" s="354"/>
      <c r="M6" s="354"/>
      <c r="N6" s="354"/>
      <c r="O6" s="354"/>
      <c r="P6" s="354"/>
      <c r="Q6" s="354"/>
      <c r="R6" s="354"/>
      <c r="S6" s="354"/>
    </row>
    <row r="7" spans="1:19" ht="14.25" customHeight="1">
      <c r="A7" s="578" t="s">
        <v>387</v>
      </c>
      <c r="B7" s="589">
        <v>304</v>
      </c>
      <c r="C7" s="2150"/>
      <c r="D7" s="354">
        <f>SUM(B4:B7)</f>
        <v>1181</v>
      </c>
      <c r="E7" s="354">
        <f>'Summary Total Pigs'!AE165</f>
        <v>1181</v>
      </c>
      <c r="F7" s="580">
        <f>+D7-E7</f>
        <v>0</v>
      </c>
      <c r="G7" s="357" t="s">
        <v>390</v>
      </c>
      <c r="H7" s="1134" t="s">
        <v>71</v>
      </c>
      <c r="I7" s="1135">
        <f>SUM(I4:I6)+102</f>
        <v>693</v>
      </c>
      <c r="J7" s="1135">
        <f>SUM(J4:J6)</f>
        <v>591</v>
      </c>
      <c r="K7" s="580">
        <f>SUM(K4:K6)</f>
        <v>0</v>
      </c>
      <c r="L7" s="354" t="s">
        <v>207</v>
      </c>
      <c r="M7" s="354"/>
      <c r="N7" s="354"/>
      <c r="O7" s="354"/>
      <c r="P7" s="354"/>
      <c r="Q7" s="354"/>
      <c r="R7" s="354"/>
      <c r="S7" s="354"/>
    </row>
    <row r="8" spans="1:19" ht="14.25" customHeight="1">
      <c r="A8" s="1136" t="s">
        <v>388</v>
      </c>
      <c r="B8" s="1136">
        <v>186</v>
      </c>
      <c r="C8" s="2151" t="s">
        <v>389</v>
      </c>
      <c r="D8" s="354"/>
      <c r="E8" s="354"/>
      <c r="F8" s="354"/>
      <c r="G8" s="354"/>
      <c r="H8" s="354"/>
      <c r="I8" s="354"/>
      <c r="J8" s="354"/>
      <c r="K8" s="357"/>
      <c r="L8" s="354"/>
      <c r="M8" s="354"/>
      <c r="N8" s="354"/>
      <c r="O8" s="354"/>
      <c r="P8" s="357"/>
      <c r="Q8" s="354"/>
      <c r="R8" s="354"/>
      <c r="S8" s="357"/>
    </row>
    <row r="9" spans="1:19" ht="14.25" customHeight="1">
      <c r="A9" s="1136" t="s">
        <v>391</v>
      </c>
      <c r="B9" s="1136">
        <v>189</v>
      </c>
      <c r="C9" s="2152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</row>
    <row r="10" spans="1:19" ht="14.25" customHeight="1">
      <c r="A10" s="1136" t="s">
        <v>392</v>
      </c>
      <c r="B10" s="1136">
        <v>165</v>
      </c>
      <c r="C10" s="2152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</row>
    <row r="11" spans="1:19" ht="14.25" customHeight="1">
      <c r="A11" s="1136" t="s">
        <v>393</v>
      </c>
      <c r="B11" s="1136">
        <v>206</v>
      </c>
      <c r="C11" s="2152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</row>
    <row r="12" spans="1:19" ht="14.25" customHeight="1">
      <c r="A12" s="1136" t="s">
        <v>394</v>
      </c>
      <c r="B12" s="1136">
        <v>194</v>
      </c>
      <c r="C12" s="2152"/>
      <c r="D12" s="354">
        <f>SUM(B8:B13)</f>
        <v>1109</v>
      </c>
      <c r="E12" s="354">
        <f>'Summary Total Pigs'!AE166</f>
        <v>1109</v>
      </c>
      <c r="F12" s="580">
        <f>+D12-E12</f>
        <v>0</v>
      </c>
      <c r="G12" s="357" t="s">
        <v>390</v>
      </c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</row>
    <row r="13" spans="1:19" ht="14.25" customHeight="1">
      <c r="A13" s="1136" t="s">
        <v>395</v>
      </c>
      <c r="B13" s="1136">
        <v>169</v>
      </c>
      <c r="C13" s="2153"/>
      <c r="D13" s="354"/>
      <c r="E13" s="354"/>
      <c r="F13" s="357"/>
      <c r="G13" s="354"/>
      <c r="H13" s="354"/>
      <c r="I13" s="354"/>
      <c r="J13" s="354"/>
      <c r="K13" s="354"/>
      <c r="L13" s="354"/>
      <c r="M13" s="354"/>
      <c r="N13" s="354"/>
      <c r="O13" s="354"/>
      <c r="P13" s="354"/>
      <c r="Q13" s="354"/>
      <c r="R13" s="354"/>
      <c r="S13" s="354"/>
    </row>
    <row r="14" spans="1:19" ht="14.25" customHeight="1">
      <c r="A14" s="579" t="s">
        <v>396</v>
      </c>
      <c r="B14" s="579">
        <v>211</v>
      </c>
      <c r="C14" s="2154" t="s">
        <v>397</v>
      </c>
      <c r="D14" s="354"/>
      <c r="E14" s="354"/>
      <c r="F14" s="357"/>
      <c r="G14" s="354"/>
      <c r="H14" s="354"/>
      <c r="I14" s="354"/>
      <c r="J14" s="354"/>
      <c r="K14" s="354"/>
      <c r="L14" s="357"/>
      <c r="M14" s="354"/>
      <c r="N14" s="354"/>
      <c r="O14" s="354"/>
      <c r="P14" s="354"/>
      <c r="Q14" s="357"/>
      <c r="R14" s="354"/>
      <c r="S14" s="354"/>
    </row>
    <row r="15" spans="1:19" ht="14.25" customHeight="1">
      <c r="A15" s="579" t="s">
        <v>398</v>
      </c>
      <c r="B15" s="579">
        <v>207</v>
      </c>
      <c r="C15" s="2155"/>
      <c r="D15" s="354"/>
      <c r="E15" s="354"/>
      <c r="F15" s="354"/>
      <c r="G15" s="354"/>
      <c r="H15" s="354"/>
      <c r="I15" s="354"/>
      <c r="J15" s="354"/>
      <c r="K15" s="354"/>
      <c r="L15" s="357"/>
      <c r="M15" s="354"/>
      <c r="N15" s="354"/>
      <c r="O15" s="354"/>
      <c r="P15" s="354"/>
      <c r="Q15" s="357"/>
      <c r="R15" s="354"/>
      <c r="S15" s="354"/>
    </row>
    <row r="16" spans="1:19" ht="14.25" customHeight="1">
      <c r="A16" s="579" t="s">
        <v>399</v>
      </c>
      <c r="B16" s="579">
        <v>196</v>
      </c>
      <c r="C16" s="2155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</row>
    <row r="17" spans="1:19" ht="14.25" customHeight="1">
      <c r="A17" s="579" t="s">
        <v>400</v>
      </c>
      <c r="B17" s="579">
        <v>233</v>
      </c>
      <c r="C17" s="2155"/>
      <c r="D17" s="354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</row>
    <row r="18" spans="1:19" ht="14.25" customHeight="1">
      <c r="A18" s="579" t="s">
        <v>401</v>
      </c>
      <c r="B18" s="579">
        <v>232</v>
      </c>
      <c r="C18" s="2155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>
        <f>501-573</f>
        <v>-72</v>
      </c>
      <c r="O18" s="354"/>
      <c r="P18" s="354"/>
      <c r="Q18" s="354"/>
      <c r="R18" s="354"/>
      <c r="S18" s="354"/>
    </row>
    <row r="19" spans="1:19" ht="14.25" customHeight="1">
      <c r="A19" s="579" t="s">
        <v>402</v>
      </c>
      <c r="B19" s="579">
        <v>224</v>
      </c>
      <c r="C19" s="2155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</row>
    <row r="20" spans="1:19" ht="14.25" customHeight="1">
      <c r="A20" s="579" t="s">
        <v>403</v>
      </c>
      <c r="B20" s="579">
        <v>226</v>
      </c>
      <c r="C20" s="2155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>
        <f>N18+4</f>
        <v>-68</v>
      </c>
      <c r="O20" s="354"/>
      <c r="P20" s="354"/>
      <c r="Q20" s="354"/>
      <c r="R20" s="354"/>
      <c r="S20" s="354"/>
    </row>
    <row r="21" spans="1:19" ht="14.25" customHeight="1">
      <c r="A21" s="579" t="s">
        <v>404</v>
      </c>
      <c r="B21" s="579">
        <v>231</v>
      </c>
      <c r="C21" s="2155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</row>
    <row r="22" spans="1:19" ht="14.25" customHeight="1">
      <c r="A22" s="579" t="s">
        <v>405</v>
      </c>
      <c r="B22" s="579">
        <v>237</v>
      </c>
      <c r="C22" s="2155"/>
      <c r="D22" s="354"/>
      <c r="E22" s="354"/>
      <c r="F22" s="354"/>
      <c r="G22" s="354"/>
      <c r="H22" s="354"/>
      <c r="I22" s="354"/>
      <c r="J22" s="354"/>
      <c r="K22" s="354">
        <f>I7-506</f>
        <v>187</v>
      </c>
      <c r="L22" s="354"/>
      <c r="M22" s="354"/>
      <c r="N22" s="354"/>
      <c r="O22" s="354"/>
      <c r="P22" s="354"/>
      <c r="Q22" s="354"/>
      <c r="R22" s="354"/>
      <c r="S22" s="354"/>
    </row>
    <row r="23" spans="1:19" ht="14.25" customHeight="1">
      <c r="A23" s="579" t="s">
        <v>406</v>
      </c>
      <c r="B23" s="579">
        <v>195</v>
      </c>
      <c r="C23" s="2155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</row>
    <row r="24" spans="1:19" ht="14.25" customHeight="1">
      <c r="A24" s="579" t="s">
        <v>407</v>
      </c>
      <c r="B24" s="579">
        <v>207</v>
      </c>
      <c r="C24" s="2155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</row>
    <row r="25" spans="1:19" ht="14.25" customHeight="1">
      <c r="A25" s="579" t="s">
        <v>408</v>
      </c>
      <c r="B25" s="579">
        <v>233</v>
      </c>
      <c r="C25" s="2155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</row>
    <row r="26" spans="1:19" ht="14.25" customHeight="1">
      <c r="A26" s="579" t="s">
        <v>409</v>
      </c>
      <c r="B26" s="579">
        <v>219</v>
      </c>
      <c r="C26" s="2155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</row>
    <row r="27" spans="1:19" ht="14.25" customHeight="1">
      <c r="A27" s="579" t="s">
        <v>410</v>
      </c>
      <c r="B27" s="579"/>
      <c r="C27" s="2155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</row>
    <row r="28" spans="1:19" ht="14.25" customHeight="1">
      <c r="A28" s="579" t="s">
        <v>411</v>
      </c>
      <c r="B28" s="579"/>
      <c r="C28" s="2155"/>
      <c r="D28" s="354">
        <f>SUM(B14:B29)</f>
        <v>2851</v>
      </c>
      <c r="E28" s="354">
        <f>'Summary Total Pigs'!AE167</f>
        <v>2851</v>
      </c>
      <c r="F28" s="580">
        <f>+D28-E28</f>
        <v>0</v>
      </c>
      <c r="G28" s="357" t="s">
        <v>390</v>
      </c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</row>
    <row r="29" spans="1:19" ht="14.25" customHeight="1">
      <c r="A29" s="579"/>
      <c r="B29" s="579"/>
      <c r="C29" s="2156"/>
      <c r="D29" s="354"/>
      <c r="E29" s="354"/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</row>
  </sheetData>
  <mergeCells count="3">
    <mergeCell ref="C4:C7"/>
    <mergeCell ref="C8:C13"/>
    <mergeCell ref="C14:C29"/>
  </mergeCells>
  <pageMargins left="0.7" right="0.7" top="0.75" bottom="0.75" header="0.3" footer="0.3"/>
  <pageSetup paperSize="9" scale="35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>
    <tabColor rgb="FFFFFF00"/>
    <pageSetUpPr fitToPage="1"/>
  </sheetPr>
  <dimension ref="A1:X65"/>
  <sheetViews>
    <sheetView view="pageBreakPreview" zoomScaleNormal="60" workbookViewId="0">
      <pane xSplit="2" ySplit="10" topLeftCell="D11" activePane="bottomRight" state="frozen"/>
      <selection pane="bottomRight" activeCell="B20" sqref="B20"/>
      <selection pane="bottomLeft" activeCell="A11" sqref="A11"/>
      <selection pane="topRight" activeCell="C1" sqref="C1"/>
    </sheetView>
  </sheetViews>
  <sheetFormatPr defaultColWidth="9.140625" defaultRowHeight="13.9"/>
  <cols>
    <col min="1" max="1" width="32.5703125" style="317" bestFit="1" customWidth="1"/>
    <col min="2" max="2" width="21.28515625" style="832" bestFit="1" customWidth="1"/>
    <col min="3" max="3" width="13.5703125" style="832" bestFit="1" customWidth="1"/>
    <col min="4" max="4" width="29.28515625" style="832" bestFit="1" customWidth="1"/>
    <col min="5" max="6" width="15.7109375" style="832" customWidth="1"/>
    <col min="7" max="7" width="16" style="832" customWidth="1"/>
    <col min="8" max="8" width="17.85546875" style="832" customWidth="1"/>
    <col min="9" max="9" width="15.5703125" style="832" bestFit="1" customWidth="1"/>
    <col min="10" max="10" width="32" style="832" bestFit="1" customWidth="1"/>
    <col min="11" max="11" width="16.140625" style="832" bestFit="1" customWidth="1"/>
    <col min="12" max="12" width="17.5703125" style="832" bestFit="1" customWidth="1"/>
    <col min="13" max="13" width="32" style="832" bestFit="1" customWidth="1"/>
    <col min="14" max="14" width="27.5703125" style="832" bestFit="1" customWidth="1"/>
    <col min="15" max="15" width="30.42578125" style="835" bestFit="1" customWidth="1"/>
    <col min="16" max="16" width="19.85546875" style="835" customWidth="1"/>
    <col min="17" max="17" width="17.28515625" style="832" customWidth="1"/>
    <col min="18" max="18" width="19.7109375" style="832" customWidth="1"/>
    <col min="19" max="19" width="32" style="837" bestFit="1" customWidth="1"/>
    <col min="20" max="20" width="27.5703125" style="317" bestFit="1" customWidth="1"/>
    <col min="21" max="21" width="15.7109375" style="317" bestFit="1" customWidth="1"/>
    <col min="22" max="22" width="28.5703125" style="317" bestFit="1" customWidth="1"/>
    <col min="23" max="23" width="17.42578125" style="317" bestFit="1" customWidth="1"/>
    <col min="24" max="24" width="23.42578125" style="317" bestFit="1" customWidth="1"/>
    <col min="25" max="16384" width="9.140625" style="317"/>
  </cols>
  <sheetData>
    <row r="1" spans="1:21" s="145" customFormat="1">
      <c r="A1" s="145" t="s">
        <v>81</v>
      </c>
      <c r="C1" s="359" t="s">
        <v>268</v>
      </c>
      <c r="D1" s="829"/>
      <c r="E1" s="829"/>
      <c r="F1" s="829"/>
      <c r="G1" s="829"/>
      <c r="H1" s="829"/>
      <c r="I1" s="829"/>
      <c r="J1" s="829"/>
      <c r="K1" s="829"/>
      <c r="L1" s="829"/>
      <c r="M1" s="829"/>
      <c r="N1" s="829"/>
      <c r="O1" s="830"/>
      <c r="P1" s="830"/>
      <c r="Q1" s="829"/>
      <c r="R1" s="829"/>
      <c r="S1" s="831"/>
    </row>
    <row r="2" spans="1:21" s="145" customFormat="1">
      <c r="D2" s="829"/>
      <c r="E2" s="829"/>
      <c r="F2" s="829"/>
      <c r="G2" s="829"/>
      <c r="H2" s="829"/>
      <c r="I2" s="829"/>
      <c r="J2" s="829"/>
      <c r="K2" s="829"/>
      <c r="L2" s="829"/>
      <c r="M2" s="829"/>
      <c r="N2" s="829"/>
      <c r="O2" s="830"/>
      <c r="P2" s="830"/>
      <c r="Q2" s="829"/>
      <c r="S2" s="831"/>
    </row>
    <row r="3" spans="1:21" s="145" customFormat="1">
      <c r="A3" s="145" t="s">
        <v>82</v>
      </c>
      <c r="C3" s="391">
        <f>+'Summary Total Pigs'!C3</f>
        <v>46226</v>
      </c>
      <c r="D3" s="829"/>
      <c r="E3" s="829"/>
      <c r="F3" s="829"/>
      <c r="G3" s="829"/>
      <c r="H3" s="829"/>
      <c r="I3" s="829"/>
      <c r="J3" s="829"/>
      <c r="K3" s="829"/>
      <c r="L3" s="829"/>
      <c r="M3" s="829"/>
      <c r="N3" s="829"/>
      <c r="O3" s="830"/>
      <c r="P3" s="830"/>
      <c r="Q3" s="829"/>
      <c r="R3" s="829"/>
      <c r="S3" s="831"/>
    </row>
    <row r="4" spans="1:21" s="145" customFormat="1">
      <c r="D4" s="829"/>
      <c r="E4" s="829"/>
      <c r="F4" s="829"/>
      <c r="G4" s="829"/>
      <c r="H4" s="829"/>
      <c r="I4" s="829"/>
      <c r="J4" s="829"/>
      <c r="K4" s="829"/>
      <c r="L4" s="829"/>
      <c r="M4" s="829" t="s">
        <v>138</v>
      </c>
      <c r="N4" s="829"/>
      <c r="O4" s="830"/>
      <c r="P4" s="830"/>
      <c r="Q4" s="829"/>
      <c r="R4" s="829"/>
      <c r="S4" s="831"/>
    </row>
    <row r="5" spans="1:21" s="145" customFormat="1">
      <c r="A5" s="145" t="s">
        <v>137</v>
      </c>
      <c r="D5" s="829"/>
      <c r="E5" s="829"/>
      <c r="F5" s="829"/>
      <c r="G5" s="829"/>
      <c r="H5" s="829"/>
      <c r="I5" s="829"/>
      <c r="J5" s="829"/>
      <c r="K5" s="829"/>
      <c r="L5" s="829"/>
      <c r="M5" s="829"/>
      <c r="N5" s="829"/>
      <c r="O5" s="830"/>
      <c r="P5" s="830"/>
      <c r="Q5" s="829"/>
      <c r="R5" s="829"/>
      <c r="S5" s="831"/>
    </row>
    <row r="6" spans="1:21" s="145" customFormat="1">
      <c r="D6" s="829"/>
      <c r="E6" s="829"/>
      <c r="F6" s="829"/>
      <c r="G6" s="829"/>
      <c r="H6" s="829"/>
      <c r="I6" s="829"/>
      <c r="J6" s="829"/>
      <c r="K6" s="829"/>
      <c r="L6" s="829"/>
      <c r="M6" s="829"/>
      <c r="N6" s="829"/>
      <c r="O6" s="830"/>
      <c r="P6" s="830"/>
      <c r="Q6" s="829"/>
      <c r="R6" s="829"/>
      <c r="S6" s="831"/>
    </row>
    <row r="7" spans="1:21" s="145" customFormat="1">
      <c r="A7" s="145" t="s">
        <v>429</v>
      </c>
      <c r="C7" s="359" t="s">
        <v>138</v>
      </c>
      <c r="D7" s="829"/>
      <c r="E7" s="829"/>
      <c r="F7" s="829"/>
      <c r="G7" s="829"/>
      <c r="H7" s="829"/>
      <c r="I7" s="829"/>
      <c r="J7" s="829"/>
      <c r="K7" s="829"/>
      <c r="L7" s="829"/>
      <c r="M7" s="829"/>
      <c r="N7" s="829"/>
      <c r="O7" s="830"/>
      <c r="P7" s="830"/>
      <c r="Q7" s="829"/>
      <c r="R7" s="829"/>
      <c r="S7" s="831"/>
    </row>
    <row r="8" spans="1:21" s="145" customFormat="1">
      <c r="A8" s="832" t="s">
        <v>138</v>
      </c>
      <c r="B8" s="829"/>
      <c r="C8" s="829"/>
      <c r="D8" s="829"/>
      <c r="E8" s="829"/>
      <c r="F8" s="829"/>
      <c r="G8" s="829"/>
      <c r="H8" s="829"/>
      <c r="I8" s="829"/>
      <c r="J8" s="829"/>
      <c r="K8" s="829"/>
      <c r="L8" s="829"/>
      <c r="M8" s="829"/>
      <c r="N8" s="829"/>
      <c r="O8" s="830"/>
      <c r="P8" s="830"/>
      <c r="Q8" s="829"/>
      <c r="R8" s="829"/>
      <c r="S8" s="831"/>
    </row>
    <row r="9" spans="1:21" s="145" customFormat="1" ht="14.45" thickBot="1">
      <c r="A9" s="832" t="s">
        <v>138</v>
      </c>
      <c r="B9" s="829"/>
      <c r="C9" s="829"/>
      <c r="D9" s="829"/>
      <c r="E9" s="829"/>
      <c r="F9" s="829"/>
      <c r="G9" s="829"/>
      <c r="H9" s="829"/>
      <c r="I9" s="829"/>
      <c r="J9" s="829"/>
      <c r="K9" s="829"/>
      <c r="L9" s="829"/>
      <c r="M9" s="829"/>
      <c r="N9" s="829"/>
      <c r="O9" s="830"/>
      <c r="P9" s="830"/>
      <c r="Q9" s="829"/>
      <c r="R9" s="829"/>
      <c r="S9" s="831"/>
    </row>
    <row r="10" spans="1:21" s="145" customFormat="1">
      <c r="A10" s="605" t="s">
        <v>87</v>
      </c>
      <c r="B10" s="1200" t="s">
        <v>89</v>
      </c>
      <c r="C10" s="1200" t="s">
        <v>91</v>
      </c>
      <c r="D10" s="1200" t="s">
        <v>430</v>
      </c>
      <c r="E10" s="1200" t="s">
        <v>431</v>
      </c>
      <c r="F10" s="1200" t="s">
        <v>432</v>
      </c>
      <c r="G10" s="1200" t="s">
        <v>332</v>
      </c>
      <c r="H10" s="1200" t="s">
        <v>115</v>
      </c>
      <c r="I10" s="1200" t="s">
        <v>101</v>
      </c>
      <c r="J10" s="1200" t="s">
        <v>102</v>
      </c>
      <c r="K10" s="1200" t="s">
        <v>433</v>
      </c>
      <c r="L10" s="1200" t="s">
        <v>434</v>
      </c>
      <c r="M10" s="1200" t="s">
        <v>104</v>
      </c>
      <c r="N10" s="1200" t="s">
        <v>435</v>
      </c>
      <c r="O10" s="1201" t="s">
        <v>436</v>
      </c>
      <c r="P10" s="833"/>
      <c r="Q10" s="440"/>
      <c r="R10" s="440"/>
      <c r="S10" s="834"/>
      <c r="T10" s="834"/>
      <c r="U10" s="834"/>
    </row>
    <row r="11" spans="1:21">
      <c r="A11" s="1508" t="s">
        <v>437</v>
      </c>
      <c r="B11" s="1202">
        <v>26</v>
      </c>
      <c r="C11" s="1203"/>
      <c r="D11" s="1203">
        <v>0</v>
      </c>
      <c r="E11" s="1203"/>
      <c r="F11" s="1203"/>
      <c r="G11" s="1203"/>
      <c r="H11" s="1204">
        <f>SUM(B11:G11)</f>
        <v>26</v>
      </c>
      <c r="I11" s="1203"/>
      <c r="J11" s="1203"/>
      <c r="K11" s="1203"/>
      <c r="L11" s="1477"/>
      <c r="M11" s="269">
        <f>SUM(H11:L11)</f>
        <v>26</v>
      </c>
      <c r="N11" s="1685">
        <v>26</v>
      </c>
      <c r="O11" s="1205">
        <f>+N11-M11</f>
        <v>0</v>
      </c>
      <c r="S11" s="836"/>
    </row>
    <row r="12" spans="1:21">
      <c r="A12" s="1207" t="s">
        <v>438</v>
      </c>
      <c r="B12" s="1202">
        <v>0</v>
      </c>
      <c r="C12" s="1203"/>
      <c r="D12" s="1203"/>
      <c r="E12" s="1203"/>
      <c r="F12" s="1203"/>
      <c r="G12" s="1203"/>
      <c r="H12" s="1204">
        <f t="shared" ref="H12:H20" si="0">SUM(B12:G12)</f>
        <v>0</v>
      </c>
      <c r="I12" s="1203"/>
      <c r="J12" s="1203"/>
      <c r="K12" s="1203"/>
      <c r="L12" s="1477"/>
      <c r="M12" s="269">
        <f t="shared" ref="M12:M20" si="1">SUM(H12:L12)</f>
        <v>0</v>
      </c>
      <c r="N12" s="1202">
        <v>0</v>
      </c>
      <c r="O12" s="1205">
        <f>+N12-M12</f>
        <v>0</v>
      </c>
      <c r="S12" s="836"/>
    </row>
    <row r="13" spans="1:21">
      <c r="A13" s="1207" t="s">
        <v>439</v>
      </c>
      <c r="B13" s="1208">
        <v>8</v>
      </c>
      <c r="C13" s="269"/>
      <c r="D13" s="269"/>
      <c r="E13" s="269"/>
      <c r="F13" s="269"/>
      <c r="G13" s="269"/>
      <c r="H13" s="1204">
        <f t="shared" si="0"/>
        <v>8</v>
      </c>
      <c r="I13" s="269"/>
      <c r="J13" s="269"/>
      <c r="K13" s="269"/>
      <c r="L13" s="1477"/>
      <c r="M13" s="269">
        <f t="shared" si="1"/>
        <v>8</v>
      </c>
      <c r="N13" s="1208">
        <v>8</v>
      </c>
      <c r="O13" s="1205">
        <f t="shared" ref="O13:O20" si="2">+N13-M13</f>
        <v>0</v>
      </c>
      <c r="S13" s="836"/>
    </row>
    <row r="14" spans="1:21">
      <c r="A14" s="1207" t="s">
        <v>440</v>
      </c>
      <c r="B14" s="1208">
        <v>1</v>
      </c>
      <c r="C14" s="269"/>
      <c r="D14" s="269"/>
      <c r="E14" s="269"/>
      <c r="F14" s="269"/>
      <c r="G14" s="269"/>
      <c r="H14" s="1204">
        <f t="shared" si="0"/>
        <v>1</v>
      </c>
      <c r="I14" s="269"/>
      <c r="J14" s="269"/>
      <c r="K14" s="269"/>
      <c r="L14" s="1477"/>
      <c r="M14" s="269">
        <f t="shared" si="1"/>
        <v>1</v>
      </c>
      <c r="N14" s="1208">
        <v>1</v>
      </c>
      <c r="O14" s="1205">
        <f t="shared" si="2"/>
        <v>0</v>
      </c>
      <c r="S14" s="836"/>
    </row>
    <row r="15" spans="1:21">
      <c r="A15" s="1207" t="s">
        <v>441</v>
      </c>
      <c r="B15" s="1208">
        <v>6</v>
      </c>
      <c r="C15" s="269"/>
      <c r="D15" s="269"/>
      <c r="E15" s="269"/>
      <c r="F15" s="269"/>
      <c r="G15" s="269"/>
      <c r="H15" s="1204">
        <f t="shared" si="0"/>
        <v>6</v>
      </c>
      <c r="I15" s="269"/>
      <c r="J15" s="269"/>
      <c r="K15" s="269"/>
      <c r="L15" s="1477"/>
      <c r="M15" s="269">
        <f t="shared" si="1"/>
        <v>6</v>
      </c>
      <c r="N15" s="1630">
        <v>6</v>
      </c>
      <c r="O15" s="1205">
        <f t="shared" si="2"/>
        <v>0</v>
      </c>
      <c r="S15" s="836"/>
    </row>
    <row r="16" spans="1:21">
      <c r="A16" s="1207" t="s">
        <v>442</v>
      </c>
      <c r="B16" s="1208">
        <v>2</v>
      </c>
      <c r="C16" s="269"/>
      <c r="D16" s="269"/>
      <c r="E16" s="269"/>
      <c r="F16" s="269"/>
      <c r="G16" s="269"/>
      <c r="H16" s="1204">
        <f t="shared" si="0"/>
        <v>2</v>
      </c>
      <c r="I16" s="269"/>
      <c r="J16" s="269"/>
      <c r="K16" s="269"/>
      <c r="L16" s="1477"/>
      <c r="M16" s="269">
        <f t="shared" si="1"/>
        <v>2</v>
      </c>
      <c r="N16" s="1208">
        <v>2</v>
      </c>
      <c r="O16" s="1205">
        <f t="shared" si="2"/>
        <v>0</v>
      </c>
      <c r="S16" s="836"/>
    </row>
    <row r="17" spans="1:22">
      <c r="A17" s="1207" t="s">
        <v>443</v>
      </c>
      <c r="B17" s="1208">
        <v>0</v>
      </c>
      <c r="C17" s="269"/>
      <c r="D17" s="269"/>
      <c r="E17" s="269"/>
      <c r="F17" s="269"/>
      <c r="G17" s="269"/>
      <c r="H17" s="1204">
        <f t="shared" si="0"/>
        <v>0</v>
      </c>
      <c r="I17" s="269"/>
      <c r="J17" s="269"/>
      <c r="K17" s="269"/>
      <c r="L17" s="1477"/>
      <c r="M17" s="269">
        <f t="shared" si="1"/>
        <v>0</v>
      </c>
      <c r="N17" s="1208">
        <v>0</v>
      </c>
      <c r="O17" s="1205">
        <f t="shared" si="2"/>
        <v>0</v>
      </c>
      <c r="S17" s="836"/>
    </row>
    <row r="18" spans="1:22">
      <c r="A18" s="1207" t="s">
        <v>444</v>
      </c>
      <c r="B18" s="1208">
        <v>59</v>
      </c>
      <c r="C18" s="269"/>
      <c r="D18" s="269"/>
      <c r="E18" s="269"/>
      <c r="F18" s="269"/>
      <c r="G18" s="269"/>
      <c r="H18" s="1204">
        <f>SUM(B18:G18)</f>
        <v>59</v>
      </c>
      <c r="I18" s="269"/>
      <c r="J18" s="269"/>
      <c r="K18" s="269"/>
      <c r="L18" s="1477"/>
      <c r="M18" s="269">
        <f t="shared" si="1"/>
        <v>59</v>
      </c>
      <c r="N18" s="1208">
        <v>59</v>
      </c>
      <c r="O18" s="1205">
        <f t="shared" si="2"/>
        <v>0</v>
      </c>
    </row>
    <row r="19" spans="1:22">
      <c r="A19" s="1478" t="s">
        <v>445</v>
      </c>
      <c r="B19" s="1479">
        <v>11</v>
      </c>
      <c r="C19" s="1480"/>
      <c r="D19" s="1481"/>
      <c r="E19" s="1481"/>
      <c r="F19" s="1481"/>
      <c r="G19" s="1481"/>
      <c r="H19" s="1204">
        <f t="shared" si="0"/>
        <v>11</v>
      </c>
      <c r="I19" s="1480"/>
      <c r="J19" s="1481"/>
      <c r="K19" s="1481"/>
      <c r="L19" s="1482"/>
      <c r="M19" s="269">
        <f t="shared" si="1"/>
        <v>11</v>
      </c>
      <c r="N19" s="1479">
        <v>11</v>
      </c>
      <c r="O19" s="1205">
        <f t="shared" si="2"/>
        <v>0</v>
      </c>
    </row>
    <row r="20" spans="1:22" ht="14.45" thickBot="1">
      <c r="A20" s="1723" t="s">
        <v>446</v>
      </c>
      <c r="B20" s="1724">
        <v>10</v>
      </c>
      <c r="C20" s="1481"/>
      <c r="D20" s="1481"/>
      <c r="E20" s="1481"/>
      <c r="F20" s="1481"/>
      <c r="G20" s="1481"/>
      <c r="H20" s="1725">
        <f t="shared" si="0"/>
        <v>10</v>
      </c>
      <c r="I20" s="1481"/>
      <c r="J20" s="1481"/>
      <c r="K20" s="1481"/>
      <c r="L20" s="1482"/>
      <c r="M20" s="269">
        <f t="shared" si="1"/>
        <v>10</v>
      </c>
      <c r="N20" s="1724">
        <v>10</v>
      </c>
      <c r="O20" s="1205">
        <f t="shared" si="2"/>
        <v>0</v>
      </c>
    </row>
    <row r="21" spans="1:22" s="145" customFormat="1" ht="16.149999999999999" thickBot="1">
      <c r="A21" s="128" t="s">
        <v>115</v>
      </c>
      <c r="B21" s="1209">
        <f>SUM(B11:B20)</f>
        <v>123</v>
      </c>
      <c r="C21" s="1209">
        <f>SUM(C11:C20)</f>
        <v>0</v>
      </c>
      <c r="D21" s="1209">
        <f t="shared" ref="D21:J21" si="3">SUM(D11:D19)</f>
        <v>0</v>
      </c>
      <c r="E21" s="1209">
        <f>SUM(E11:E19)</f>
        <v>0</v>
      </c>
      <c r="F21" s="1209">
        <f>SUM(F11:F19)</f>
        <v>0</v>
      </c>
      <c r="G21" s="1209">
        <f>SUM(G11:G20)</f>
        <v>0</v>
      </c>
      <c r="H21" s="1209">
        <f>SUM(H11:H20)</f>
        <v>123</v>
      </c>
      <c r="I21" s="1209">
        <f t="shared" si="3"/>
        <v>0</v>
      </c>
      <c r="J21" s="1209">
        <f t="shared" si="3"/>
        <v>0</v>
      </c>
      <c r="K21" s="1209">
        <f>SUM(K11:K19)</f>
        <v>0</v>
      </c>
      <c r="L21" s="1209">
        <f>SUM(L11:L19)</f>
        <v>0</v>
      </c>
      <c r="M21" s="1209">
        <f>SUM(M11:M20)</f>
        <v>123</v>
      </c>
      <c r="N21" s="1209">
        <f>SUM(N11:N20)</f>
        <v>123</v>
      </c>
      <c r="O21" s="1210">
        <f>SUM(O11:O20)</f>
        <v>0</v>
      </c>
      <c r="P21" s="835"/>
      <c r="Q21" s="832"/>
      <c r="R21" s="829"/>
      <c r="S21" s="831"/>
    </row>
    <row r="22" spans="1:22">
      <c r="C22" s="832" t="s">
        <v>138</v>
      </c>
      <c r="I22" s="832">
        <f>+I21+C21</f>
        <v>0</v>
      </c>
    </row>
    <row r="23" spans="1:22" hidden="1"/>
    <row r="24" spans="1:22" hidden="1"/>
    <row r="25" spans="1:22" hidden="1"/>
    <row r="26" spans="1:22" s="145" customFormat="1" hidden="1">
      <c r="B26" s="829"/>
      <c r="C26" s="829"/>
      <c r="D26" s="829"/>
      <c r="E26" s="829"/>
      <c r="F26" s="829"/>
      <c r="G26" s="829"/>
      <c r="H26" s="829"/>
      <c r="I26" s="829"/>
      <c r="J26" s="829"/>
      <c r="K26" s="829"/>
      <c r="L26" s="829"/>
      <c r="M26" s="829"/>
      <c r="N26" s="829"/>
      <c r="O26" s="830"/>
      <c r="P26" s="830"/>
      <c r="Q26" s="829"/>
      <c r="R26" s="829"/>
      <c r="S26" s="831"/>
    </row>
    <row r="27" spans="1:22" s="845" customFormat="1" ht="42" hidden="1" thickBot="1">
      <c r="A27" s="838" t="s">
        <v>87</v>
      </c>
      <c r="B27" s="839" t="s">
        <v>89</v>
      </c>
      <c r="C27" s="840" t="s">
        <v>431</v>
      </c>
      <c r="D27" s="841" t="s">
        <v>91</v>
      </c>
      <c r="E27" s="839" t="s">
        <v>92</v>
      </c>
      <c r="F27" s="839"/>
      <c r="G27" s="839" t="s">
        <v>93</v>
      </c>
      <c r="H27" s="839" t="s">
        <v>94</v>
      </c>
      <c r="I27" s="839" t="s">
        <v>95</v>
      </c>
      <c r="J27" s="839" t="s">
        <v>96</v>
      </c>
      <c r="K27" s="839" t="s">
        <v>97</v>
      </c>
      <c r="L27" s="839" t="s">
        <v>98</v>
      </c>
      <c r="M27" s="841" t="s">
        <v>99</v>
      </c>
      <c r="N27" s="841" t="s">
        <v>100</v>
      </c>
      <c r="O27" s="842" t="s">
        <v>101</v>
      </c>
      <c r="P27" s="842"/>
      <c r="Q27" s="842"/>
      <c r="R27" s="841"/>
      <c r="S27" s="843" t="s">
        <v>104</v>
      </c>
      <c r="T27" s="844"/>
    </row>
    <row r="28" spans="1:22" hidden="1">
      <c r="A28" s="846" t="s">
        <v>447</v>
      </c>
      <c r="B28" s="847">
        <v>2837111.5703388108</v>
      </c>
      <c r="C28" s="848"/>
      <c r="D28" s="848"/>
      <c r="E28" s="849"/>
      <c r="F28" s="849"/>
      <c r="G28" s="849"/>
      <c r="H28" s="849"/>
      <c r="I28" s="849"/>
      <c r="J28" s="849">
        <f>($M11/$M$21)*$J$37</f>
        <v>570731707317.07324</v>
      </c>
      <c r="K28" s="849"/>
      <c r="L28" s="849">
        <f t="shared" ref="L28:L33" si="4">L50</f>
        <v>0</v>
      </c>
      <c r="M28" s="850">
        <f t="shared" ref="M28:M34" si="5">SUM(B28:L28)</f>
        <v>570734544428.64355</v>
      </c>
      <c r="N28" s="850">
        <f>M28/H11</f>
        <v>21951328631.870907</v>
      </c>
      <c r="O28" s="850">
        <f>+N28*I11</f>
        <v>0</v>
      </c>
      <c r="P28" s="850"/>
      <c r="Q28" s="850"/>
      <c r="R28" s="850"/>
      <c r="S28" s="851">
        <f t="shared" ref="S28:S34" si="6">M28+O28+P28+R28+Q28</f>
        <v>570734544428.64355</v>
      </c>
      <c r="T28" s="852">
        <v>12401891203.052711</v>
      </c>
      <c r="V28" s="353">
        <f>S28-T28</f>
        <v>558332653225.59082</v>
      </c>
    </row>
    <row r="29" spans="1:22" hidden="1">
      <c r="A29" s="846" t="s">
        <v>439</v>
      </c>
      <c r="B29" s="847">
        <v>1609892.112190197</v>
      </c>
      <c r="C29" s="853"/>
      <c r="D29" s="853"/>
      <c r="E29" s="847"/>
      <c r="F29" s="847"/>
      <c r="G29" s="847"/>
      <c r="H29" s="847"/>
      <c r="I29" s="847"/>
      <c r="J29" s="849">
        <f>($M13/$M$21)*$J$37</f>
        <v>175609756097.561</v>
      </c>
      <c r="K29" s="847"/>
      <c r="L29" s="849">
        <f>L51</f>
        <v>0</v>
      </c>
      <c r="M29" s="850">
        <f t="shared" si="5"/>
        <v>175611365989.67319</v>
      </c>
      <c r="N29" s="850">
        <f>M29/H13</f>
        <v>21951420748.709148</v>
      </c>
      <c r="O29" s="850">
        <f>+N29*I13</f>
        <v>0</v>
      </c>
      <c r="P29" s="850"/>
      <c r="Q29" s="850"/>
      <c r="R29" s="850"/>
      <c r="S29" s="851">
        <f t="shared" si="6"/>
        <v>175611365989.67319</v>
      </c>
      <c r="T29" s="852">
        <v>1043493016140.866</v>
      </c>
      <c r="V29" s="353">
        <f t="shared" ref="V29:V35" si="7">S29-T29</f>
        <v>-867881650151.19275</v>
      </c>
    </row>
    <row r="30" spans="1:22" hidden="1">
      <c r="A30" s="846" t="s">
        <v>448</v>
      </c>
      <c r="B30" s="847">
        <v>0</v>
      </c>
      <c r="C30" s="853"/>
      <c r="D30" s="853"/>
      <c r="E30" s="847"/>
      <c r="F30" s="847"/>
      <c r="G30" s="847"/>
      <c r="H30" s="847"/>
      <c r="I30" s="847"/>
      <c r="J30" s="849">
        <f>($M14/$M$21)*$J$37</f>
        <v>21951219512.195126</v>
      </c>
      <c r="K30" s="847"/>
      <c r="L30" s="849">
        <f t="shared" si="4"/>
        <v>0</v>
      </c>
      <c r="M30" s="850">
        <f t="shared" si="5"/>
        <v>21951219512.195126</v>
      </c>
      <c r="N30" s="850"/>
      <c r="O30" s="850">
        <f>+N30*I14</f>
        <v>0</v>
      </c>
      <c r="P30" s="850"/>
      <c r="Q30" s="850"/>
      <c r="R30" s="850"/>
      <c r="S30" s="851">
        <f t="shared" si="6"/>
        <v>21951219512.195126</v>
      </c>
      <c r="T30" s="852">
        <v>1469859949902.345</v>
      </c>
      <c r="V30" s="353">
        <f t="shared" si="7"/>
        <v>-1447908730390.1499</v>
      </c>
    </row>
    <row r="31" spans="1:22" hidden="1">
      <c r="A31" s="846" t="s">
        <v>442</v>
      </c>
      <c r="B31" s="854">
        <v>454430.81938766118</v>
      </c>
      <c r="C31" s="853"/>
      <c r="D31" s="853">
        <f>C16*N29</f>
        <v>0</v>
      </c>
      <c r="E31" s="847"/>
      <c r="F31" s="847"/>
      <c r="G31" s="847"/>
      <c r="H31" s="847"/>
      <c r="I31" s="847"/>
      <c r="J31" s="849">
        <f>($M16/$M$21)*$J$37</f>
        <v>43902439024.390251</v>
      </c>
      <c r="K31" s="847"/>
      <c r="L31" s="849">
        <f t="shared" si="4"/>
        <v>0</v>
      </c>
      <c r="M31" s="850">
        <f t="shared" si="5"/>
        <v>43902893455.209641</v>
      </c>
      <c r="N31" s="850">
        <f>M31/H16</f>
        <v>21951446727.60482</v>
      </c>
      <c r="O31" s="850">
        <f>+N31*I16</f>
        <v>0</v>
      </c>
      <c r="P31" s="850"/>
      <c r="Q31" s="850"/>
      <c r="R31" s="850"/>
      <c r="S31" s="851">
        <f t="shared" si="6"/>
        <v>43902893455.209641</v>
      </c>
      <c r="T31" s="852">
        <v>985068364242.72632</v>
      </c>
      <c r="V31" s="353">
        <f t="shared" si="7"/>
        <v>-941165470787.51672</v>
      </c>
    </row>
    <row r="32" spans="1:22" hidden="1">
      <c r="A32" s="846" t="s">
        <v>449</v>
      </c>
      <c r="B32" s="855">
        <v>1226063.3880518042</v>
      </c>
      <c r="C32" s="853"/>
      <c r="D32" s="853"/>
      <c r="E32" s="847"/>
      <c r="F32" s="847"/>
      <c r="G32" s="847"/>
      <c r="H32" s="847"/>
      <c r="I32" s="847"/>
      <c r="J32" s="849">
        <f>($M17/$M$21)*$J$37</f>
        <v>0</v>
      </c>
      <c r="K32" s="847"/>
      <c r="L32" s="849">
        <f t="shared" si="4"/>
        <v>0</v>
      </c>
      <c r="M32" s="850">
        <f t="shared" si="5"/>
        <v>1226063.3880518042</v>
      </c>
      <c r="N32" s="850" t="e">
        <f>M32/H17</f>
        <v>#DIV/0!</v>
      </c>
      <c r="O32" s="850" t="e">
        <f>+N32*I17</f>
        <v>#DIV/0!</v>
      </c>
      <c r="P32" s="850"/>
      <c r="Q32" s="850"/>
      <c r="R32" s="850"/>
      <c r="S32" s="851" t="e">
        <f t="shared" si="6"/>
        <v>#DIV/0!</v>
      </c>
      <c r="T32" s="852">
        <v>909219607694.36572</v>
      </c>
      <c r="V32" s="353" t="e">
        <f t="shared" si="7"/>
        <v>#DIV/0!</v>
      </c>
    </row>
    <row r="33" spans="1:24" hidden="1">
      <c r="A33" s="846" t="s">
        <v>444</v>
      </c>
      <c r="B33" s="847">
        <v>5431824.3062500646</v>
      </c>
      <c r="C33" s="847"/>
      <c r="D33" s="853"/>
      <c r="E33" s="847"/>
      <c r="F33" s="847"/>
      <c r="G33" s="847"/>
      <c r="H33" s="853"/>
      <c r="I33" s="847"/>
      <c r="J33" s="849">
        <f>($M18/$M$21)*$J$37</f>
        <v>1295121951219.5122</v>
      </c>
      <c r="K33" s="847"/>
      <c r="L33" s="849">
        <f t="shared" si="4"/>
        <v>0</v>
      </c>
      <c r="M33" s="850">
        <f t="shared" si="5"/>
        <v>1295127383043.8184</v>
      </c>
      <c r="N33" s="850">
        <f>M33/H18</f>
        <v>21951311577.01387</v>
      </c>
      <c r="O33" s="850">
        <f>+N33*I18</f>
        <v>0</v>
      </c>
      <c r="P33" s="850"/>
      <c r="Q33" s="850"/>
      <c r="R33" s="850"/>
      <c r="S33" s="851">
        <f t="shared" si="6"/>
        <v>1295127383043.8184</v>
      </c>
      <c r="T33" s="852">
        <v>4328737666954.9434</v>
      </c>
      <c r="V33" s="353">
        <f t="shared" si="7"/>
        <v>-3033610283911.125</v>
      </c>
    </row>
    <row r="34" spans="1:24" ht="14.45" hidden="1" thickBot="1">
      <c r="A34" s="846" t="s">
        <v>445</v>
      </c>
      <c r="B34" s="849">
        <v>581848.34288593009</v>
      </c>
      <c r="C34" s="856"/>
      <c r="D34" s="856"/>
      <c r="E34" s="856"/>
      <c r="F34" s="856"/>
      <c r="G34" s="856"/>
      <c r="H34" s="857"/>
      <c r="I34" s="858"/>
      <c r="J34" s="849">
        <f>($M19/$M$21)*$J$37</f>
        <v>241463414634.14633</v>
      </c>
      <c r="K34" s="859"/>
      <c r="L34" s="859"/>
      <c r="M34" s="850">
        <f t="shared" si="5"/>
        <v>241463996482.48923</v>
      </c>
      <c r="N34" s="850">
        <f>M34/H19</f>
        <v>21951272407.49902</v>
      </c>
      <c r="O34" s="850">
        <f>+N34*I19</f>
        <v>0</v>
      </c>
      <c r="P34" s="850"/>
      <c r="Q34" s="850"/>
      <c r="R34" s="850"/>
      <c r="S34" s="851">
        <f t="shared" si="6"/>
        <v>241463996482.48923</v>
      </c>
      <c r="T34" s="852">
        <v>54026427194.995636</v>
      </c>
      <c r="V34" s="353">
        <f t="shared" si="7"/>
        <v>187437569287.49359</v>
      </c>
    </row>
    <row r="35" spans="1:24" s="145" customFormat="1" ht="14.45" hidden="1" thickBot="1">
      <c r="A35" s="345" t="s">
        <v>115</v>
      </c>
      <c r="B35" s="860">
        <f>SUM(B28:B34)</f>
        <v>12141170.539104469</v>
      </c>
      <c r="C35" s="860">
        <f t="shared" ref="C35:M35" si="8">SUM(C28:C34)</f>
        <v>0</v>
      </c>
      <c r="D35" s="860">
        <f t="shared" si="8"/>
        <v>0</v>
      </c>
      <c r="E35" s="860">
        <f t="shared" si="8"/>
        <v>0</v>
      </c>
      <c r="F35" s="860"/>
      <c r="G35" s="860">
        <f t="shared" si="8"/>
        <v>0</v>
      </c>
      <c r="H35" s="860">
        <f t="shared" si="8"/>
        <v>0</v>
      </c>
      <c r="I35" s="860">
        <f t="shared" si="8"/>
        <v>0</v>
      </c>
      <c r="J35" s="860">
        <f>SUM(J28:J34)</f>
        <v>2348780487804.8784</v>
      </c>
      <c r="K35" s="860">
        <f t="shared" si="8"/>
        <v>0</v>
      </c>
      <c r="L35" s="860">
        <f t="shared" si="8"/>
        <v>0</v>
      </c>
      <c r="M35" s="860">
        <f t="shared" si="8"/>
        <v>2348792628975.417</v>
      </c>
      <c r="N35" s="860"/>
      <c r="O35" s="860" t="e">
        <f>SUM(O28:O34)</f>
        <v>#DIV/0!</v>
      </c>
      <c r="P35" s="860"/>
      <c r="Q35" s="860"/>
      <c r="R35" s="860"/>
      <c r="S35" s="860" t="e">
        <f>SUM(S28:S34)</f>
        <v>#DIV/0!</v>
      </c>
      <c r="T35" s="861">
        <v>8802806923333.2949</v>
      </c>
      <c r="V35" s="353" t="e">
        <f t="shared" si="7"/>
        <v>#DIV/0!</v>
      </c>
    </row>
    <row r="36" spans="1:24" hidden="1">
      <c r="B36" s="862">
        <f>B35-[32]Cattle!$R$32</f>
        <v>0</v>
      </c>
      <c r="D36" s="832" t="e">
        <f>D35+O35</f>
        <v>#DIV/0!</v>
      </c>
      <c r="J36" s="832">
        <f>J35-'Pigs Cost'!F174</f>
        <v>-351219512195.12158</v>
      </c>
      <c r="L36" s="863">
        <v>0</v>
      </c>
      <c r="O36" s="835" t="e">
        <f>+O35+D35</f>
        <v>#DIV/0!</v>
      </c>
      <c r="S36" s="864" t="e">
        <f>S35+'IAS 41 Mvmnt Cattle'!R34-[33]Summary!$B$22</f>
        <v>#DIV/0!</v>
      </c>
      <c r="U36" s="381">
        <f>+P35</f>
        <v>0</v>
      </c>
      <c r="V36" s="381" t="e">
        <f>+'IAS 41 Mvmnt Cattle'!O34</f>
        <v>#DIV/0!</v>
      </c>
      <c r="W36" s="381" t="e">
        <f>+U36+V36</f>
        <v>#DIV/0!</v>
      </c>
      <c r="X36" s="865">
        <f>+'[34]IS ANALYSIS'!$AH$58</f>
        <v>8521739130.4347801</v>
      </c>
    </row>
    <row r="37" spans="1:24" hidden="1">
      <c r="J37" s="832">
        <f>'Pigs Cost'!F174</f>
        <v>2700000000000</v>
      </c>
      <c r="L37" s="832">
        <f>L35-L36</f>
        <v>0</v>
      </c>
      <c r="P37" s="866"/>
      <c r="X37" s="865" t="e">
        <f>+W36+X36</f>
        <v>#DIV/0!</v>
      </c>
    </row>
    <row r="38" spans="1:24" hidden="1">
      <c r="P38" s="866"/>
    </row>
    <row r="39" spans="1:24" hidden="1"/>
    <row r="40" spans="1:24" hidden="1"/>
    <row r="41" spans="1:24" hidden="1">
      <c r="C41" s="863"/>
    </row>
    <row r="42" spans="1:24" hidden="1">
      <c r="C42" s="863"/>
    </row>
    <row r="43" spans="1:24" hidden="1">
      <c r="C43" s="863"/>
    </row>
    <row r="44" spans="1:24" hidden="1">
      <c r="C44" s="863"/>
      <c r="J44" s="863"/>
      <c r="K44" s="863"/>
    </row>
    <row r="45" spans="1:24">
      <c r="C45" s="867"/>
      <c r="J45" s="863" t="s">
        <v>138</v>
      </c>
      <c r="K45" s="863"/>
      <c r="N45" s="832">
        <v>123</v>
      </c>
    </row>
    <row r="46" spans="1:24">
      <c r="B46" s="832">
        <v>123</v>
      </c>
      <c r="C46" s="867"/>
      <c r="J46" s="863"/>
      <c r="K46" s="863"/>
      <c r="N46" s="832">
        <f>+N21-N45</f>
        <v>0</v>
      </c>
      <c r="P46" s="835" t="s">
        <v>138</v>
      </c>
    </row>
    <row r="47" spans="1:24">
      <c r="B47" s="832">
        <f>+B21-B46</f>
        <v>0</v>
      </c>
      <c r="C47" s="867"/>
      <c r="J47" s="863"/>
      <c r="K47" s="863"/>
      <c r="N47" s="832" t="s">
        <v>138</v>
      </c>
    </row>
    <row r="48" spans="1:24">
      <c r="A48" s="868"/>
      <c r="B48" s="869"/>
      <c r="C48" s="869"/>
      <c r="J48" s="863"/>
      <c r="K48" s="863"/>
      <c r="N48" s="832" t="s">
        <v>138</v>
      </c>
    </row>
    <row r="49" spans="1:12">
      <c r="A49" s="870"/>
      <c r="B49" s="871"/>
      <c r="C49" s="871"/>
      <c r="E49" s="867"/>
      <c r="F49" s="867"/>
      <c r="G49" s="863"/>
      <c r="J49" s="863"/>
      <c r="K49" s="863"/>
    </row>
    <row r="50" spans="1:12">
      <c r="A50" s="330"/>
      <c r="B50" s="871"/>
      <c r="C50" s="871"/>
      <c r="E50" s="867"/>
      <c r="F50" s="867"/>
      <c r="G50" s="863"/>
      <c r="J50" s="863"/>
      <c r="K50" s="863"/>
      <c r="L50" s="863"/>
    </row>
    <row r="51" spans="1:12">
      <c r="A51" s="330"/>
      <c r="B51" s="871"/>
      <c r="C51" s="871"/>
      <c r="E51" s="867"/>
      <c r="F51" s="867"/>
      <c r="G51" s="863"/>
      <c r="J51" s="863"/>
      <c r="K51" s="863"/>
      <c r="L51" s="863"/>
    </row>
    <row r="52" spans="1:12">
      <c r="A52" s="870"/>
      <c r="B52" s="871"/>
      <c r="C52" s="871"/>
      <c r="E52" s="867"/>
      <c r="F52" s="867"/>
      <c r="G52" s="863"/>
      <c r="J52" s="863"/>
      <c r="K52" s="863"/>
      <c r="L52" s="863"/>
    </row>
    <row r="53" spans="1:12">
      <c r="A53" s="870"/>
      <c r="B53" s="871"/>
      <c r="C53" s="871"/>
      <c r="E53" s="867"/>
      <c r="F53" s="867"/>
      <c r="G53" s="863"/>
      <c r="J53" s="863"/>
      <c r="K53" s="863"/>
      <c r="L53" s="863"/>
    </row>
    <row r="54" spans="1:12">
      <c r="A54" s="870"/>
      <c r="B54" s="871"/>
      <c r="C54" s="871"/>
      <c r="E54" s="867"/>
      <c r="F54" s="867"/>
      <c r="G54" s="863"/>
      <c r="J54" s="863"/>
      <c r="K54" s="863"/>
      <c r="L54" s="863"/>
    </row>
    <row r="55" spans="1:12">
      <c r="A55" s="870"/>
      <c r="B55" s="871"/>
      <c r="C55" s="871"/>
      <c r="E55" s="867"/>
      <c r="F55" s="867"/>
      <c r="J55" s="863"/>
      <c r="K55" s="863"/>
      <c r="L55" s="863"/>
    </row>
    <row r="56" spans="1:12">
      <c r="A56" s="870"/>
      <c r="C56" s="863"/>
      <c r="J56" s="863"/>
      <c r="K56" s="863"/>
    </row>
    <row r="57" spans="1:12">
      <c r="J57" s="863"/>
      <c r="K57" s="863"/>
    </row>
    <row r="58" spans="1:12">
      <c r="J58" s="863"/>
      <c r="K58" s="863"/>
    </row>
    <row r="59" spans="1:12">
      <c r="J59" s="863"/>
      <c r="K59" s="863"/>
    </row>
    <row r="60" spans="1:12">
      <c r="J60" s="863"/>
      <c r="K60" s="863"/>
    </row>
    <row r="61" spans="1:12">
      <c r="J61" s="863"/>
      <c r="K61" s="863"/>
    </row>
    <row r="62" spans="1:12">
      <c r="J62" s="863"/>
      <c r="K62" s="863"/>
    </row>
    <row r="63" spans="1:12">
      <c r="I63" s="832">
        <v>3</v>
      </c>
      <c r="J63" s="863"/>
      <c r="K63" s="863"/>
    </row>
    <row r="64" spans="1:12">
      <c r="J64" s="863">
        <v>0.4</v>
      </c>
      <c r="K64" s="863"/>
    </row>
    <row r="65" spans="10:11">
      <c r="J65" s="863"/>
      <c r="K65" s="863"/>
    </row>
  </sheetData>
  <phoneticPr fontId="0" type="noConversion"/>
  <pageMargins left="0.23622047244094491" right="0.23622047244094491" top="0.23622047244094491" bottom="0.23622047244094491" header="0.23622047244094491" footer="0.23622047244094491"/>
  <pageSetup scale="3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7"/>
    <pageSetUpPr fitToPage="1"/>
  </sheetPr>
  <dimension ref="A1:N559"/>
  <sheetViews>
    <sheetView view="pageBreakPreview" topLeftCell="C112" zoomScaleNormal="100" zoomScaleSheetLayoutView="100" workbookViewId="0">
      <selection activeCell="F126" sqref="F126"/>
    </sheetView>
  </sheetViews>
  <sheetFormatPr defaultColWidth="9.140625" defaultRowHeight="13.9"/>
  <cols>
    <col min="1" max="2" width="9.140625" style="874"/>
    <col min="3" max="3" width="14.7109375" style="874" bestFit="1" customWidth="1"/>
    <col min="4" max="4" width="9.140625" style="874"/>
    <col min="5" max="5" width="19.28515625" style="874" bestFit="1" customWidth="1"/>
    <col min="6" max="6" width="17" style="874" bestFit="1" customWidth="1"/>
    <col min="7" max="8" width="9.140625" style="874"/>
    <col min="9" max="9" width="11" style="874" bestFit="1" customWidth="1"/>
    <col min="10" max="10" width="12.28515625" style="874" bestFit="1" customWidth="1"/>
    <col min="11" max="11" width="10.7109375" style="874" bestFit="1" customWidth="1"/>
    <col min="12" max="15" width="13.28515625" style="874" bestFit="1" customWidth="1"/>
    <col min="16" max="16384" width="9.140625" style="874"/>
  </cols>
  <sheetData>
    <row r="1" spans="1:14">
      <c r="A1" s="2006" t="s">
        <v>82</v>
      </c>
      <c r="B1" s="2006"/>
      <c r="C1" s="2006"/>
      <c r="D1" s="2007"/>
      <c r="E1" s="2007"/>
      <c r="F1" s="2007"/>
      <c r="G1" s="2008"/>
    </row>
    <row r="2" spans="1:14">
      <c r="A2" s="2007"/>
      <c r="B2" s="2007"/>
      <c r="C2" s="2007"/>
      <c r="D2" s="2007"/>
      <c r="E2" s="2007"/>
      <c r="F2" s="2007"/>
      <c r="G2" s="2008"/>
    </row>
    <row r="3" spans="1:14">
      <c r="A3" s="2006" t="s">
        <v>450</v>
      </c>
      <c r="B3" s="2006"/>
      <c r="C3" s="2006"/>
      <c r="D3" s="2007"/>
      <c r="E3" s="2007"/>
      <c r="F3" s="2009">
        <f>+'Summary Total Pigs'!C3</f>
        <v>46226</v>
      </c>
      <c r="G3" s="2008"/>
    </row>
    <row r="4" spans="1:14">
      <c r="A4" s="2007"/>
      <c r="B4" s="2007"/>
      <c r="C4" s="2007"/>
      <c r="D4" s="2007"/>
      <c r="E4" s="2007"/>
      <c r="F4" s="2007"/>
      <c r="G4" s="2008"/>
    </row>
    <row r="5" spans="1:14">
      <c r="A5" s="2010"/>
      <c r="B5" s="2010"/>
      <c r="C5" s="2010" t="s">
        <v>451</v>
      </c>
      <c r="D5" s="2010" t="s">
        <v>452</v>
      </c>
      <c r="E5" s="2010" t="s">
        <v>453</v>
      </c>
      <c r="F5" s="2010" t="s">
        <v>330</v>
      </c>
      <c r="G5" s="2008"/>
      <c r="J5" s="877"/>
      <c r="K5" s="878"/>
      <c r="L5" s="877"/>
      <c r="M5" s="873"/>
      <c r="N5" s="877"/>
    </row>
    <row r="6" spans="1:14">
      <c r="A6" s="2011">
        <v>1</v>
      </c>
      <c r="B6" s="2012">
        <v>1</v>
      </c>
      <c r="C6" s="2015" t="s">
        <v>454</v>
      </c>
      <c r="D6" s="1947"/>
      <c r="E6" s="1948">
        <v>44326</v>
      </c>
      <c r="F6" s="1947" t="s">
        <v>192</v>
      </c>
      <c r="G6" s="2014"/>
    </row>
    <row r="7" spans="1:14">
      <c r="A7" s="2011">
        <f t="shared" ref="A7:A70" si="0">+A6+1</f>
        <v>2</v>
      </c>
      <c r="B7" s="2012">
        <v>1</v>
      </c>
      <c r="C7" s="2015" t="s">
        <v>455</v>
      </c>
      <c r="D7" s="1947"/>
      <c r="E7" s="1948">
        <v>44470</v>
      </c>
      <c r="F7" s="1947" t="s">
        <v>192</v>
      </c>
      <c r="G7" s="2014"/>
    </row>
    <row r="8" spans="1:14">
      <c r="A8" s="2011">
        <f t="shared" si="0"/>
        <v>3</v>
      </c>
      <c r="B8" s="2012">
        <v>1</v>
      </c>
      <c r="C8" s="2015" t="s">
        <v>456</v>
      </c>
      <c r="D8" s="1947"/>
      <c r="E8" s="1948">
        <v>44643</v>
      </c>
      <c r="F8" s="1947" t="s">
        <v>192</v>
      </c>
      <c r="G8" s="2014"/>
    </row>
    <row r="9" spans="1:14">
      <c r="A9" s="2011">
        <f t="shared" si="0"/>
        <v>4</v>
      </c>
      <c r="B9" s="2012">
        <v>1</v>
      </c>
      <c r="C9" s="2015" t="s">
        <v>457</v>
      </c>
      <c r="D9" s="1947"/>
      <c r="E9" s="1948">
        <v>44768</v>
      </c>
      <c r="F9" s="1947" t="s">
        <v>192</v>
      </c>
      <c r="G9" s="2014"/>
    </row>
    <row r="10" spans="1:14">
      <c r="A10" s="2011">
        <f t="shared" si="0"/>
        <v>5</v>
      </c>
      <c r="B10" s="2012">
        <f>+B9+1</f>
        <v>2</v>
      </c>
      <c r="C10" s="2015" t="s">
        <v>458</v>
      </c>
      <c r="D10" s="1947"/>
      <c r="E10" s="1948">
        <v>44768</v>
      </c>
      <c r="F10" s="1947" t="s">
        <v>192</v>
      </c>
      <c r="G10" s="2014"/>
    </row>
    <row r="11" spans="1:14">
      <c r="A11" s="2011">
        <f t="shared" si="0"/>
        <v>6</v>
      </c>
      <c r="B11" s="2012">
        <f t="shared" ref="B11:B12" si="1">B10+1</f>
        <v>3</v>
      </c>
      <c r="C11" s="2015" t="s">
        <v>459</v>
      </c>
      <c r="D11" s="1947"/>
      <c r="E11" s="1948">
        <v>44768</v>
      </c>
      <c r="F11" s="1947" t="s">
        <v>192</v>
      </c>
      <c r="G11" s="2014"/>
    </row>
    <row r="12" spans="1:14">
      <c r="A12" s="2011">
        <f t="shared" si="0"/>
        <v>7</v>
      </c>
      <c r="B12" s="2012">
        <f t="shared" si="1"/>
        <v>4</v>
      </c>
      <c r="C12" s="2015" t="s">
        <v>460</v>
      </c>
      <c r="D12" s="1947"/>
      <c r="E12" s="1948">
        <v>44768</v>
      </c>
      <c r="F12" s="1947" t="s">
        <v>192</v>
      </c>
      <c r="G12" s="2014"/>
    </row>
    <row r="13" spans="1:14">
      <c r="A13" s="2011">
        <f t="shared" si="0"/>
        <v>8</v>
      </c>
      <c r="B13" s="2012">
        <v>1</v>
      </c>
      <c r="C13" s="2015" t="s">
        <v>461</v>
      </c>
      <c r="D13" s="1947"/>
      <c r="E13" s="1948">
        <v>44887</v>
      </c>
      <c r="F13" s="1947" t="s">
        <v>192</v>
      </c>
      <c r="G13" s="2014"/>
    </row>
    <row r="14" spans="1:14">
      <c r="A14" s="2011">
        <f t="shared" si="0"/>
        <v>9</v>
      </c>
      <c r="B14" s="2012">
        <f>B13+1</f>
        <v>2</v>
      </c>
      <c r="C14" s="1948" t="s">
        <v>462</v>
      </c>
      <c r="D14" s="1947"/>
      <c r="E14" s="1948">
        <v>44887</v>
      </c>
      <c r="F14" s="1947" t="s">
        <v>192</v>
      </c>
      <c r="G14" s="2014"/>
    </row>
    <row r="15" spans="1:14">
      <c r="A15" s="2011">
        <f t="shared" si="0"/>
        <v>10</v>
      </c>
      <c r="B15" s="2012">
        <f t="shared" ref="B15:B20" si="2">+B14+1</f>
        <v>3</v>
      </c>
      <c r="C15" s="1948" t="s">
        <v>463</v>
      </c>
      <c r="D15" s="1947"/>
      <c r="E15" s="1948">
        <v>44887</v>
      </c>
      <c r="F15" s="1947" t="s">
        <v>192</v>
      </c>
      <c r="G15" s="2014"/>
    </row>
    <row r="16" spans="1:14">
      <c r="A16" s="2011">
        <f t="shared" si="0"/>
        <v>11</v>
      </c>
      <c r="B16" s="2012">
        <f t="shared" si="2"/>
        <v>4</v>
      </c>
      <c r="C16" s="1948" t="s">
        <v>464</v>
      </c>
      <c r="D16" s="1947"/>
      <c r="E16" s="1948">
        <v>44887</v>
      </c>
      <c r="F16" s="1947" t="s">
        <v>192</v>
      </c>
      <c r="G16" s="2014"/>
    </row>
    <row r="17" spans="1:7">
      <c r="A17" s="2011">
        <f t="shared" si="0"/>
        <v>12</v>
      </c>
      <c r="B17" s="2012">
        <f t="shared" si="2"/>
        <v>5</v>
      </c>
      <c r="C17" s="1948" t="s">
        <v>465</v>
      </c>
      <c r="D17" s="1947"/>
      <c r="E17" s="1948">
        <v>44887</v>
      </c>
      <c r="F17" s="1947" t="s">
        <v>192</v>
      </c>
      <c r="G17" s="2014"/>
    </row>
    <row r="18" spans="1:7">
      <c r="A18" s="2011">
        <f t="shared" si="0"/>
        <v>13</v>
      </c>
      <c r="B18" s="2012">
        <f t="shared" si="2"/>
        <v>6</v>
      </c>
      <c r="C18" s="1948" t="s">
        <v>466</v>
      </c>
      <c r="D18" s="1947"/>
      <c r="E18" s="1948">
        <v>44887</v>
      </c>
      <c r="F18" s="1947" t="s">
        <v>192</v>
      </c>
      <c r="G18" s="2014"/>
    </row>
    <row r="19" spans="1:7">
      <c r="A19" s="2011">
        <f t="shared" si="0"/>
        <v>14</v>
      </c>
      <c r="B19" s="2012">
        <f t="shared" si="2"/>
        <v>7</v>
      </c>
      <c r="C19" s="1948" t="s">
        <v>467</v>
      </c>
      <c r="D19" s="1947"/>
      <c r="E19" s="1948">
        <v>44887</v>
      </c>
      <c r="F19" s="1947" t="s">
        <v>192</v>
      </c>
      <c r="G19" s="2014"/>
    </row>
    <row r="20" spans="1:7">
      <c r="A20" s="2011">
        <f t="shared" si="0"/>
        <v>15</v>
      </c>
      <c r="B20" s="2012">
        <f t="shared" si="2"/>
        <v>8</v>
      </c>
      <c r="C20" s="2015" t="s">
        <v>468</v>
      </c>
      <c r="D20" s="1947"/>
      <c r="E20" s="1948">
        <v>44887</v>
      </c>
      <c r="F20" s="1947" t="s">
        <v>192</v>
      </c>
      <c r="G20" s="2014"/>
    </row>
    <row r="21" spans="1:7">
      <c r="A21" s="2011">
        <f t="shared" si="0"/>
        <v>16</v>
      </c>
      <c r="B21" s="2012">
        <v>1</v>
      </c>
      <c r="C21" s="2013" t="s">
        <v>469</v>
      </c>
      <c r="D21" s="1947"/>
      <c r="E21" s="1948">
        <v>45017</v>
      </c>
      <c r="F21" s="1947" t="s">
        <v>192</v>
      </c>
      <c r="G21" s="2014"/>
    </row>
    <row r="22" spans="1:7">
      <c r="A22" s="2011">
        <f t="shared" si="0"/>
        <v>17</v>
      </c>
      <c r="B22" s="2012">
        <f t="shared" ref="B22:B30" si="3">+B21+1</f>
        <v>2</v>
      </c>
      <c r="C22" s="2013" t="s">
        <v>470</v>
      </c>
      <c r="D22" s="1947"/>
      <c r="E22" s="1948">
        <v>45017</v>
      </c>
      <c r="F22" s="1947" t="s">
        <v>192</v>
      </c>
      <c r="G22" s="2014"/>
    </row>
    <row r="23" spans="1:7">
      <c r="A23" s="2011">
        <f t="shared" si="0"/>
        <v>18</v>
      </c>
      <c r="B23" s="2012">
        <f t="shared" si="3"/>
        <v>3</v>
      </c>
      <c r="C23" s="2013" t="s">
        <v>471</v>
      </c>
      <c r="D23" s="1947"/>
      <c r="E23" s="1948">
        <v>45017</v>
      </c>
      <c r="F23" s="1947" t="s">
        <v>192</v>
      </c>
      <c r="G23" s="2014"/>
    </row>
    <row r="24" spans="1:7">
      <c r="A24" s="2011">
        <f t="shared" si="0"/>
        <v>19</v>
      </c>
      <c r="B24" s="2012">
        <f>B23+1</f>
        <v>4</v>
      </c>
      <c r="C24" s="2013" t="s">
        <v>472</v>
      </c>
      <c r="D24" s="1947"/>
      <c r="E24" s="1948">
        <v>45017</v>
      </c>
      <c r="F24" s="1947" t="s">
        <v>192</v>
      </c>
      <c r="G24" s="2014"/>
    </row>
    <row r="25" spans="1:7">
      <c r="A25" s="2011">
        <f t="shared" si="0"/>
        <v>20</v>
      </c>
      <c r="B25" s="2012">
        <f t="shared" si="3"/>
        <v>5</v>
      </c>
      <c r="C25" s="2013" t="s">
        <v>473</v>
      </c>
      <c r="D25" s="1947"/>
      <c r="E25" s="1948">
        <v>45017</v>
      </c>
      <c r="F25" s="1947" t="s">
        <v>192</v>
      </c>
      <c r="G25" s="2014"/>
    </row>
    <row r="26" spans="1:7">
      <c r="A26" s="2011">
        <f t="shared" si="0"/>
        <v>21</v>
      </c>
      <c r="B26" s="2012">
        <f t="shared" si="3"/>
        <v>6</v>
      </c>
      <c r="C26" s="2013" t="s">
        <v>474</v>
      </c>
      <c r="D26" s="1947"/>
      <c r="E26" s="1948">
        <v>45017</v>
      </c>
      <c r="F26" s="1947" t="s">
        <v>192</v>
      </c>
      <c r="G26" s="2014"/>
    </row>
    <row r="27" spans="1:7">
      <c r="A27" s="2011">
        <f t="shared" si="0"/>
        <v>22</v>
      </c>
      <c r="B27" s="2012">
        <f t="shared" si="3"/>
        <v>7</v>
      </c>
      <c r="C27" s="2013" t="s">
        <v>475</v>
      </c>
      <c r="D27" s="1947"/>
      <c r="E27" s="1948">
        <v>45017</v>
      </c>
      <c r="F27" s="1947" t="s">
        <v>192</v>
      </c>
      <c r="G27" s="2014"/>
    </row>
    <row r="28" spans="1:7">
      <c r="A28" s="2011">
        <f t="shared" si="0"/>
        <v>23</v>
      </c>
      <c r="B28" s="2012">
        <f t="shared" si="3"/>
        <v>8</v>
      </c>
      <c r="C28" s="2013" t="s">
        <v>476</v>
      </c>
      <c r="D28" s="1947"/>
      <c r="E28" s="1948">
        <v>45017</v>
      </c>
      <c r="F28" s="1947" t="s">
        <v>192</v>
      </c>
      <c r="G28" s="2014"/>
    </row>
    <row r="29" spans="1:7">
      <c r="A29" s="2011">
        <f t="shared" si="0"/>
        <v>24</v>
      </c>
      <c r="B29" s="2012">
        <f t="shared" si="3"/>
        <v>9</v>
      </c>
      <c r="C29" s="2013" t="s">
        <v>477</v>
      </c>
      <c r="D29" s="1947"/>
      <c r="E29" s="1948">
        <v>45017</v>
      </c>
      <c r="F29" s="1947" t="s">
        <v>192</v>
      </c>
      <c r="G29" s="2014"/>
    </row>
    <row r="30" spans="1:7">
      <c r="A30" s="2011">
        <f t="shared" si="0"/>
        <v>25</v>
      </c>
      <c r="B30" s="2012">
        <f t="shared" si="3"/>
        <v>10</v>
      </c>
      <c r="C30" s="2013" t="s">
        <v>478</v>
      </c>
      <c r="D30" s="1947"/>
      <c r="E30" s="1948">
        <v>45017</v>
      </c>
      <c r="F30" s="1947" t="s">
        <v>192</v>
      </c>
      <c r="G30" s="2014"/>
    </row>
    <row r="31" spans="1:7">
      <c r="A31" s="2011">
        <f t="shared" si="0"/>
        <v>26</v>
      </c>
      <c r="B31" s="2012">
        <v>1</v>
      </c>
      <c r="C31" s="2013" t="s">
        <v>479</v>
      </c>
      <c r="D31" s="1947"/>
      <c r="E31" s="1948">
        <v>45170</v>
      </c>
      <c r="F31" s="1947" t="s">
        <v>192</v>
      </c>
      <c r="G31" s="2014"/>
    </row>
    <row r="32" spans="1:7">
      <c r="A32" s="2011">
        <f t="shared" si="0"/>
        <v>27</v>
      </c>
      <c r="B32" s="2012">
        <f t="shared" ref="B32:B43" si="4">+B31+1</f>
        <v>2</v>
      </c>
      <c r="C32" s="2013" t="s">
        <v>480</v>
      </c>
      <c r="D32" s="1947"/>
      <c r="E32" s="1948">
        <v>45170</v>
      </c>
      <c r="F32" s="1947" t="s">
        <v>192</v>
      </c>
      <c r="G32" s="2014"/>
    </row>
    <row r="33" spans="1:7">
      <c r="A33" s="2011">
        <f t="shared" si="0"/>
        <v>28</v>
      </c>
      <c r="B33" s="2012">
        <f>B32+1</f>
        <v>3</v>
      </c>
      <c r="C33" s="2013" t="s">
        <v>481</v>
      </c>
      <c r="D33" s="1947"/>
      <c r="E33" s="1948">
        <v>45170</v>
      </c>
      <c r="F33" s="1947" t="s">
        <v>192</v>
      </c>
      <c r="G33" s="2014"/>
    </row>
    <row r="34" spans="1:7">
      <c r="A34" s="2011">
        <f t="shared" si="0"/>
        <v>29</v>
      </c>
      <c r="B34" s="2012">
        <f t="shared" si="4"/>
        <v>4</v>
      </c>
      <c r="C34" s="2013" t="s">
        <v>482</v>
      </c>
      <c r="D34" s="1947"/>
      <c r="E34" s="1948">
        <v>45170</v>
      </c>
      <c r="F34" s="1947" t="s">
        <v>192</v>
      </c>
      <c r="G34" s="2014"/>
    </row>
    <row r="35" spans="1:7">
      <c r="A35" s="2011">
        <f t="shared" si="0"/>
        <v>30</v>
      </c>
      <c r="B35" s="2012">
        <f t="shared" si="4"/>
        <v>5</v>
      </c>
      <c r="C35" s="2013" t="s">
        <v>483</v>
      </c>
      <c r="D35" s="1947"/>
      <c r="E35" s="1948">
        <v>45170</v>
      </c>
      <c r="F35" s="1947" t="s">
        <v>192</v>
      </c>
      <c r="G35" s="2014"/>
    </row>
    <row r="36" spans="1:7">
      <c r="A36" s="2011">
        <f t="shared" si="0"/>
        <v>31</v>
      </c>
      <c r="B36" s="2012">
        <f t="shared" si="4"/>
        <v>6</v>
      </c>
      <c r="C36" s="2013" t="s">
        <v>484</v>
      </c>
      <c r="D36" s="1947"/>
      <c r="E36" s="1948">
        <v>45170</v>
      </c>
      <c r="F36" s="1947" t="s">
        <v>192</v>
      </c>
      <c r="G36" s="2014"/>
    </row>
    <row r="37" spans="1:7">
      <c r="A37" s="2011">
        <f t="shared" si="0"/>
        <v>32</v>
      </c>
      <c r="B37" s="2012">
        <f t="shared" si="4"/>
        <v>7</v>
      </c>
      <c r="C37" s="2013" t="s">
        <v>485</v>
      </c>
      <c r="D37" s="1947"/>
      <c r="E37" s="1948">
        <v>45170</v>
      </c>
      <c r="F37" s="1947" t="s">
        <v>192</v>
      </c>
      <c r="G37" s="2014"/>
    </row>
    <row r="38" spans="1:7">
      <c r="A38" s="2011">
        <f t="shared" si="0"/>
        <v>33</v>
      </c>
      <c r="B38" s="2012">
        <f t="shared" si="4"/>
        <v>8</v>
      </c>
      <c r="C38" s="2013" t="s">
        <v>486</v>
      </c>
      <c r="D38" s="1947"/>
      <c r="E38" s="1948">
        <v>45170</v>
      </c>
      <c r="F38" s="1947" t="s">
        <v>192</v>
      </c>
      <c r="G38" s="2014"/>
    </row>
    <row r="39" spans="1:7">
      <c r="A39" s="2011">
        <f t="shared" si="0"/>
        <v>34</v>
      </c>
      <c r="B39" s="2012">
        <f t="shared" si="4"/>
        <v>9</v>
      </c>
      <c r="C39" s="2013" t="s">
        <v>487</v>
      </c>
      <c r="D39" s="1947"/>
      <c r="E39" s="1948">
        <v>45170</v>
      </c>
      <c r="F39" s="1947" t="s">
        <v>192</v>
      </c>
      <c r="G39" s="2014"/>
    </row>
    <row r="40" spans="1:7">
      <c r="A40" s="2011">
        <f t="shared" si="0"/>
        <v>35</v>
      </c>
      <c r="B40" s="2012">
        <f t="shared" si="4"/>
        <v>10</v>
      </c>
      <c r="C40" s="2013" t="s">
        <v>488</v>
      </c>
      <c r="D40" s="1947"/>
      <c r="E40" s="1948">
        <v>45170</v>
      </c>
      <c r="F40" s="1947" t="s">
        <v>192</v>
      </c>
      <c r="G40" s="2014"/>
    </row>
    <row r="41" spans="1:7">
      <c r="A41" s="2011">
        <f t="shared" si="0"/>
        <v>36</v>
      </c>
      <c r="B41" s="2012">
        <f t="shared" si="4"/>
        <v>11</v>
      </c>
      <c r="C41" s="2013" t="s">
        <v>489</v>
      </c>
      <c r="D41" s="1947"/>
      <c r="E41" s="1948">
        <v>45170</v>
      </c>
      <c r="F41" s="1947" t="s">
        <v>192</v>
      </c>
      <c r="G41" s="2014"/>
    </row>
    <row r="42" spans="1:7">
      <c r="A42" s="2011">
        <f t="shared" si="0"/>
        <v>37</v>
      </c>
      <c r="B42" s="2012">
        <f t="shared" si="4"/>
        <v>12</v>
      </c>
      <c r="C42" s="2013" t="s">
        <v>490</v>
      </c>
      <c r="D42" s="1947"/>
      <c r="E42" s="1948">
        <v>45170</v>
      </c>
      <c r="F42" s="1947" t="s">
        <v>192</v>
      </c>
      <c r="G42" s="2014"/>
    </row>
    <row r="43" spans="1:7">
      <c r="A43" s="2011">
        <f t="shared" si="0"/>
        <v>38</v>
      </c>
      <c r="B43" s="2012">
        <f t="shared" si="4"/>
        <v>13</v>
      </c>
      <c r="C43" s="2013" t="s">
        <v>491</v>
      </c>
      <c r="D43" s="1947"/>
      <c r="E43" s="1948">
        <v>45170</v>
      </c>
      <c r="F43" s="1947" t="s">
        <v>192</v>
      </c>
      <c r="G43" s="2014"/>
    </row>
    <row r="44" spans="1:7">
      <c r="A44" s="2011">
        <f t="shared" si="0"/>
        <v>39</v>
      </c>
      <c r="B44" s="2012">
        <v>1</v>
      </c>
      <c r="C44" s="2015" t="s">
        <v>492</v>
      </c>
      <c r="D44" s="1947"/>
      <c r="E44" s="1948">
        <v>45328</v>
      </c>
      <c r="F44" s="1947" t="s">
        <v>192</v>
      </c>
      <c r="G44" s="2014"/>
    </row>
    <row r="45" spans="1:7">
      <c r="A45" s="2011">
        <f t="shared" si="0"/>
        <v>40</v>
      </c>
      <c r="B45" s="2012">
        <f t="shared" ref="B45:B65" si="5">B44+1</f>
        <v>2</v>
      </c>
      <c r="C45" s="2015" t="s">
        <v>493</v>
      </c>
      <c r="D45" s="1947"/>
      <c r="E45" s="1948">
        <v>45328</v>
      </c>
      <c r="F45" s="1947" t="s">
        <v>192</v>
      </c>
      <c r="G45" s="2014"/>
    </row>
    <row r="46" spans="1:7">
      <c r="A46" s="2011">
        <f t="shared" si="0"/>
        <v>41</v>
      </c>
      <c r="B46" s="2012">
        <f t="shared" si="5"/>
        <v>3</v>
      </c>
      <c r="C46" s="2016" t="s">
        <v>494</v>
      </c>
      <c r="D46" s="1947"/>
      <c r="E46" s="1948">
        <v>45328</v>
      </c>
      <c r="F46" s="1947" t="s">
        <v>192</v>
      </c>
      <c r="G46" s="2014"/>
    </row>
    <row r="47" spans="1:7">
      <c r="A47" s="2011">
        <f t="shared" si="0"/>
        <v>42</v>
      </c>
      <c r="B47" s="2012">
        <f t="shared" si="5"/>
        <v>4</v>
      </c>
      <c r="C47" s="2016" t="s">
        <v>495</v>
      </c>
      <c r="D47" s="1947"/>
      <c r="E47" s="1948">
        <v>45328</v>
      </c>
      <c r="F47" s="1947" t="s">
        <v>192</v>
      </c>
      <c r="G47" s="2014"/>
    </row>
    <row r="48" spans="1:7">
      <c r="A48" s="2011">
        <f t="shared" si="0"/>
        <v>43</v>
      </c>
      <c r="B48" s="2012">
        <f>B47+1</f>
        <v>5</v>
      </c>
      <c r="C48" s="2015" t="s">
        <v>496</v>
      </c>
      <c r="D48" s="1947"/>
      <c r="E48" s="1948">
        <v>45328</v>
      </c>
      <c r="F48" s="1947" t="s">
        <v>192</v>
      </c>
      <c r="G48" s="2014"/>
    </row>
    <row r="49" spans="1:7">
      <c r="A49" s="2011">
        <f t="shared" si="0"/>
        <v>44</v>
      </c>
      <c r="B49" s="2012">
        <f>B48+1</f>
        <v>6</v>
      </c>
      <c r="C49" s="2015" t="s">
        <v>497</v>
      </c>
      <c r="D49" s="1947"/>
      <c r="E49" s="1948">
        <v>45328</v>
      </c>
      <c r="F49" s="1947" t="s">
        <v>192</v>
      </c>
      <c r="G49" s="2014"/>
    </row>
    <row r="50" spans="1:7">
      <c r="A50" s="2011">
        <f t="shared" si="0"/>
        <v>45</v>
      </c>
      <c r="B50" s="2012">
        <f t="shared" si="5"/>
        <v>7</v>
      </c>
      <c r="C50" s="2015" t="s">
        <v>498</v>
      </c>
      <c r="D50" s="1947"/>
      <c r="E50" s="1948">
        <v>45328</v>
      </c>
      <c r="F50" s="1947" t="s">
        <v>192</v>
      </c>
      <c r="G50" s="2014"/>
    </row>
    <row r="51" spans="1:7">
      <c r="A51" s="2011">
        <f t="shared" si="0"/>
        <v>46</v>
      </c>
      <c r="B51" s="2012">
        <f t="shared" si="5"/>
        <v>8</v>
      </c>
      <c r="C51" s="2015" t="s">
        <v>499</v>
      </c>
      <c r="D51" s="1947"/>
      <c r="E51" s="1948">
        <v>45328</v>
      </c>
      <c r="F51" s="1947" t="s">
        <v>192</v>
      </c>
      <c r="G51" s="2014"/>
    </row>
    <row r="52" spans="1:7">
      <c r="A52" s="2011">
        <f t="shared" si="0"/>
        <v>47</v>
      </c>
      <c r="B52" s="2012">
        <f t="shared" si="5"/>
        <v>9</v>
      </c>
      <c r="C52" s="2015" t="s">
        <v>500</v>
      </c>
      <c r="D52" s="1947"/>
      <c r="E52" s="1948">
        <v>45328</v>
      </c>
      <c r="F52" s="1947" t="s">
        <v>192</v>
      </c>
      <c r="G52" s="2014"/>
    </row>
    <row r="53" spans="1:7">
      <c r="A53" s="2011">
        <f t="shared" si="0"/>
        <v>48</v>
      </c>
      <c r="B53" s="2012">
        <f t="shared" si="5"/>
        <v>10</v>
      </c>
      <c r="C53" s="2015" t="s">
        <v>501</v>
      </c>
      <c r="D53" s="1947"/>
      <c r="E53" s="1948">
        <v>45328</v>
      </c>
      <c r="F53" s="1947" t="s">
        <v>192</v>
      </c>
      <c r="G53" s="2014"/>
    </row>
    <row r="54" spans="1:7">
      <c r="A54" s="2011">
        <f t="shared" si="0"/>
        <v>49</v>
      </c>
      <c r="B54" s="2012">
        <f t="shared" si="5"/>
        <v>11</v>
      </c>
      <c r="C54" s="2015" t="s">
        <v>502</v>
      </c>
      <c r="D54" s="1947"/>
      <c r="E54" s="1948">
        <v>45328</v>
      </c>
      <c r="F54" s="1947" t="s">
        <v>192</v>
      </c>
      <c r="G54" s="2014"/>
    </row>
    <row r="55" spans="1:7">
      <c r="A55" s="2011">
        <f t="shared" si="0"/>
        <v>50</v>
      </c>
      <c r="B55" s="2012">
        <f t="shared" si="5"/>
        <v>12</v>
      </c>
      <c r="C55" s="2015" t="s">
        <v>503</v>
      </c>
      <c r="D55" s="1947"/>
      <c r="E55" s="1948">
        <v>45328</v>
      </c>
      <c r="F55" s="1947" t="s">
        <v>192</v>
      </c>
      <c r="G55" s="2014"/>
    </row>
    <row r="56" spans="1:7">
      <c r="A56" s="2011">
        <f t="shared" si="0"/>
        <v>51</v>
      </c>
      <c r="B56" s="2012">
        <f t="shared" si="5"/>
        <v>13</v>
      </c>
      <c r="C56" s="2015" t="s">
        <v>504</v>
      </c>
      <c r="D56" s="1947"/>
      <c r="E56" s="1948">
        <v>45328</v>
      </c>
      <c r="F56" s="1947" t="s">
        <v>192</v>
      </c>
      <c r="G56" s="2014"/>
    </row>
    <row r="57" spans="1:7">
      <c r="A57" s="2011">
        <f t="shared" si="0"/>
        <v>52</v>
      </c>
      <c r="B57" s="2012">
        <f t="shared" si="5"/>
        <v>14</v>
      </c>
      <c r="C57" s="2015" t="s">
        <v>505</v>
      </c>
      <c r="D57" s="1947"/>
      <c r="E57" s="1948">
        <v>45328</v>
      </c>
      <c r="F57" s="1947" t="s">
        <v>192</v>
      </c>
      <c r="G57" s="2014"/>
    </row>
    <row r="58" spans="1:7">
      <c r="A58" s="2011">
        <f t="shared" si="0"/>
        <v>53</v>
      </c>
      <c r="B58" s="2012">
        <f t="shared" si="5"/>
        <v>15</v>
      </c>
      <c r="C58" s="2015" t="s">
        <v>506</v>
      </c>
      <c r="D58" s="1947"/>
      <c r="E58" s="1948">
        <v>45328</v>
      </c>
      <c r="F58" s="1947" t="s">
        <v>192</v>
      </c>
      <c r="G58" s="2014"/>
    </row>
    <row r="59" spans="1:7">
      <c r="A59" s="2011">
        <f t="shared" si="0"/>
        <v>54</v>
      </c>
      <c r="B59" s="2012">
        <f t="shared" si="5"/>
        <v>16</v>
      </c>
      <c r="C59" s="2015" t="s">
        <v>507</v>
      </c>
      <c r="D59" s="1947"/>
      <c r="E59" s="1948">
        <v>45328</v>
      </c>
      <c r="F59" s="1947" t="s">
        <v>192</v>
      </c>
      <c r="G59" s="2014"/>
    </row>
    <row r="60" spans="1:7">
      <c r="A60" s="2011">
        <f t="shared" si="0"/>
        <v>55</v>
      </c>
      <c r="B60" s="2012">
        <f t="shared" si="5"/>
        <v>17</v>
      </c>
      <c r="C60" s="2015" t="s">
        <v>508</v>
      </c>
      <c r="D60" s="1947"/>
      <c r="E60" s="1948">
        <v>45328</v>
      </c>
      <c r="F60" s="1947" t="s">
        <v>192</v>
      </c>
      <c r="G60" s="2014"/>
    </row>
    <row r="61" spans="1:7">
      <c r="A61" s="2011">
        <f t="shared" si="0"/>
        <v>56</v>
      </c>
      <c r="B61" s="2012">
        <f t="shared" si="5"/>
        <v>18</v>
      </c>
      <c r="C61" s="2015" t="s">
        <v>509</v>
      </c>
      <c r="D61" s="1947"/>
      <c r="E61" s="1948">
        <v>45328</v>
      </c>
      <c r="F61" s="1947" t="s">
        <v>192</v>
      </c>
      <c r="G61" s="2014"/>
    </row>
    <row r="62" spans="1:7">
      <c r="A62" s="2011">
        <f t="shared" si="0"/>
        <v>57</v>
      </c>
      <c r="B62" s="2012">
        <f>B61+1</f>
        <v>19</v>
      </c>
      <c r="C62" s="2015" t="s">
        <v>510</v>
      </c>
      <c r="D62" s="1947"/>
      <c r="E62" s="1948">
        <v>45328</v>
      </c>
      <c r="F62" s="1947" t="s">
        <v>192</v>
      </c>
      <c r="G62" s="2014"/>
    </row>
    <row r="63" spans="1:7">
      <c r="A63" s="2011">
        <f t="shared" si="0"/>
        <v>58</v>
      </c>
      <c r="B63" s="2012">
        <f t="shared" si="5"/>
        <v>20</v>
      </c>
      <c r="C63" s="2015" t="s">
        <v>511</v>
      </c>
      <c r="D63" s="1947"/>
      <c r="E63" s="1948">
        <v>45328</v>
      </c>
      <c r="F63" s="1947" t="s">
        <v>192</v>
      </c>
      <c r="G63" s="2014"/>
    </row>
    <row r="64" spans="1:7">
      <c r="A64" s="2011">
        <f t="shared" si="0"/>
        <v>59</v>
      </c>
      <c r="B64" s="2012">
        <f t="shared" si="5"/>
        <v>21</v>
      </c>
      <c r="C64" s="2015" t="s">
        <v>512</v>
      </c>
      <c r="D64" s="1947"/>
      <c r="E64" s="1948">
        <v>45328</v>
      </c>
      <c r="F64" s="1947" t="s">
        <v>192</v>
      </c>
      <c r="G64" s="2014"/>
    </row>
    <row r="65" spans="1:12">
      <c r="A65" s="2011">
        <f t="shared" si="0"/>
        <v>60</v>
      </c>
      <c r="B65" s="2012">
        <f t="shared" si="5"/>
        <v>22</v>
      </c>
      <c r="C65" s="2015" t="s">
        <v>513</v>
      </c>
      <c r="D65" s="1947"/>
      <c r="E65" s="1948">
        <v>45328</v>
      </c>
      <c r="F65" s="1947" t="s">
        <v>192</v>
      </c>
      <c r="G65" s="2014"/>
    </row>
    <row r="66" spans="1:12">
      <c r="A66" s="2011">
        <f t="shared" si="0"/>
        <v>61</v>
      </c>
      <c r="B66" s="2012">
        <v>1</v>
      </c>
      <c r="C66" s="2017" t="s">
        <v>514</v>
      </c>
      <c r="D66" s="2018"/>
      <c r="E66" s="1948">
        <v>45474</v>
      </c>
      <c r="F66" s="1947" t="s">
        <v>192</v>
      </c>
      <c r="G66" s="2014"/>
    </row>
    <row r="67" spans="1:12">
      <c r="A67" s="2011">
        <f t="shared" si="0"/>
        <v>62</v>
      </c>
      <c r="B67" s="2012">
        <f t="shared" ref="B67:B79" si="6">B66+1</f>
        <v>2</v>
      </c>
      <c r="C67" s="2017" t="s">
        <v>515</v>
      </c>
      <c r="D67" s="1217"/>
      <c r="E67" s="1948">
        <v>45474</v>
      </c>
      <c r="F67" s="1947" t="s">
        <v>192</v>
      </c>
      <c r="G67" s="2014"/>
    </row>
    <row r="68" spans="1:12">
      <c r="A68" s="2011">
        <f t="shared" si="0"/>
        <v>63</v>
      </c>
      <c r="B68" s="2012">
        <f t="shared" si="6"/>
        <v>3</v>
      </c>
      <c r="C68" s="2017" t="s">
        <v>516</v>
      </c>
      <c r="D68" s="1217"/>
      <c r="E68" s="1948">
        <v>45474</v>
      </c>
      <c r="F68" s="1947" t="s">
        <v>192</v>
      </c>
      <c r="G68" s="2014"/>
    </row>
    <row r="69" spans="1:12">
      <c r="A69" s="2011">
        <f t="shared" si="0"/>
        <v>64</v>
      </c>
      <c r="B69" s="2012">
        <f t="shared" si="6"/>
        <v>4</v>
      </c>
      <c r="C69" s="2017" t="s">
        <v>517</v>
      </c>
      <c r="D69" s="1217"/>
      <c r="E69" s="1948">
        <v>45474</v>
      </c>
      <c r="F69" s="1947" t="s">
        <v>192</v>
      </c>
      <c r="G69" s="2014"/>
    </row>
    <row r="70" spans="1:12">
      <c r="A70" s="2011">
        <f t="shared" si="0"/>
        <v>65</v>
      </c>
      <c r="B70" s="2012">
        <f t="shared" si="6"/>
        <v>5</v>
      </c>
      <c r="C70" s="2017" t="s">
        <v>518</v>
      </c>
      <c r="D70" s="1217"/>
      <c r="E70" s="1948">
        <v>45474</v>
      </c>
      <c r="F70" s="1947" t="s">
        <v>192</v>
      </c>
      <c r="G70" s="2014"/>
    </row>
    <row r="71" spans="1:12">
      <c r="A71" s="2011">
        <f t="shared" ref="A71:A134" si="7">+A70+1</f>
        <v>66</v>
      </c>
      <c r="B71" s="2012">
        <f t="shared" si="6"/>
        <v>6</v>
      </c>
      <c r="C71" s="2017" t="s">
        <v>519</v>
      </c>
      <c r="D71" s="1217"/>
      <c r="E71" s="1948">
        <v>45474</v>
      </c>
      <c r="F71" s="1947" t="s">
        <v>192</v>
      </c>
      <c r="G71" s="2014"/>
    </row>
    <row r="72" spans="1:12">
      <c r="A72" s="2011">
        <f t="shared" si="7"/>
        <v>67</v>
      </c>
      <c r="B72" s="2012">
        <f t="shared" si="6"/>
        <v>7</v>
      </c>
      <c r="C72" s="2017" t="s">
        <v>520</v>
      </c>
      <c r="D72" s="1217"/>
      <c r="E72" s="1948">
        <v>45474</v>
      </c>
      <c r="F72" s="1947" t="s">
        <v>192</v>
      </c>
      <c r="G72" s="2014"/>
    </row>
    <row r="73" spans="1:12">
      <c r="A73" s="2011">
        <f t="shared" si="7"/>
        <v>68</v>
      </c>
      <c r="B73" s="2012">
        <f t="shared" si="6"/>
        <v>8</v>
      </c>
      <c r="C73" s="2017" t="s">
        <v>521</v>
      </c>
      <c r="D73" s="1217"/>
      <c r="E73" s="1948">
        <v>45474</v>
      </c>
      <c r="F73" s="1947" t="s">
        <v>192</v>
      </c>
      <c r="G73" s="2014"/>
    </row>
    <row r="74" spans="1:12">
      <c r="A74" s="2011">
        <f t="shared" si="7"/>
        <v>69</v>
      </c>
      <c r="B74" s="2012">
        <f t="shared" si="6"/>
        <v>9</v>
      </c>
      <c r="C74" s="2017" t="s">
        <v>522</v>
      </c>
      <c r="D74" s="1217"/>
      <c r="E74" s="1948">
        <v>45474</v>
      </c>
      <c r="F74" s="1947" t="s">
        <v>192</v>
      </c>
      <c r="G74" s="2014"/>
    </row>
    <row r="75" spans="1:12">
      <c r="A75" s="2011">
        <f t="shared" si="7"/>
        <v>70</v>
      </c>
      <c r="B75" s="2012">
        <f t="shared" si="6"/>
        <v>10</v>
      </c>
      <c r="C75" s="2017" t="s">
        <v>523</v>
      </c>
      <c r="D75" s="1217"/>
      <c r="E75" s="1948">
        <v>45474</v>
      </c>
      <c r="F75" s="1947" t="s">
        <v>192</v>
      </c>
      <c r="G75" s="2014"/>
    </row>
    <row r="76" spans="1:12">
      <c r="A76" s="2011">
        <f t="shared" si="7"/>
        <v>71</v>
      </c>
      <c r="B76" s="2012">
        <f t="shared" si="6"/>
        <v>11</v>
      </c>
      <c r="C76" s="2017" t="s">
        <v>524</v>
      </c>
      <c r="D76" s="1217"/>
      <c r="E76" s="1948">
        <v>45474</v>
      </c>
      <c r="F76" s="1947" t="s">
        <v>192</v>
      </c>
      <c r="G76" s="2014"/>
    </row>
    <row r="77" spans="1:12">
      <c r="A77" s="2011">
        <f t="shared" si="7"/>
        <v>72</v>
      </c>
      <c r="B77" s="2012">
        <f t="shared" si="6"/>
        <v>12</v>
      </c>
      <c r="C77" s="2017" t="s">
        <v>525</v>
      </c>
      <c r="D77" s="1217"/>
      <c r="E77" s="1948">
        <v>45474</v>
      </c>
      <c r="F77" s="1947" t="s">
        <v>192</v>
      </c>
      <c r="G77" s="2014"/>
    </row>
    <row r="78" spans="1:12">
      <c r="A78" s="2011">
        <f t="shared" si="7"/>
        <v>73</v>
      </c>
      <c r="B78" s="2012">
        <f t="shared" si="6"/>
        <v>13</v>
      </c>
      <c r="C78" s="2017" t="s">
        <v>526</v>
      </c>
      <c r="D78" s="1217"/>
      <c r="E78" s="1948">
        <v>45474</v>
      </c>
      <c r="F78" s="1947" t="s">
        <v>192</v>
      </c>
      <c r="G78" s="2014"/>
      <c r="L78" s="874">
        <f>63-16-2</f>
        <v>45</v>
      </c>
    </row>
    <row r="79" spans="1:12">
      <c r="A79" s="2011">
        <f t="shared" si="7"/>
        <v>74</v>
      </c>
      <c r="B79" s="2012">
        <f t="shared" si="6"/>
        <v>14</v>
      </c>
      <c r="C79" s="2017" t="s">
        <v>527</v>
      </c>
      <c r="D79" s="1217"/>
      <c r="E79" s="1948">
        <v>45474</v>
      </c>
      <c r="F79" s="1947" t="s">
        <v>192</v>
      </c>
      <c r="G79" s="2014"/>
    </row>
    <row r="80" spans="1:12">
      <c r="A80" s="2011">
        <f t="shared" si="7"/>
        <v>75</v>
      </c>
      <c r="B80" s="1217">
        <v>1</v>
      </c>
      <c r="C80" s="1217" t="s">
        <v>528</v>
      </c>
      <c r="D80" s="1217"/>
      <c r="E80" s="2019">
        <v>45627</v>
      </c>
      <c r="F80" s="1947" t="s">
        <v>192</v>
      </c>
      <c r="G80" s="2014"/>
    </row>
    <row r="81" spans="1:7">
      <c r="A81" s="2011">
        <f t="shared" si="7"/>
        <v>76</v>
      </c>
      <c r="B81" s="1217">
        <f>B80+1</f>
        <v>2</v>
      </c>
      <c r="C81" s="1217" t="s">
        <v>529</v>
      </c>
      <c r="D81" s="1217"/>
      <c r="E81" s="2019">
        <v>45627</v>
      </c>
      <c r="F81" s="1947" t="s">
        <v>192</v>
      </c>
      <c r="G81" s="2014"/>
    </row>
    <row r="82" spans="1:7">
      <c r="A82" s="2011">
        <f t="shared" si="7"/>
        <v>77</v>
      </c>
      <c r="B82" s="1217">
        <f>B81+1</f>
        <v>3</v>
      </c>
      <c r="C82" s="1217" t="s">
        <v>530</v>
      </c>
      <c r="D82" s="1217"/>
      <c r="E82" s="2019">
        <v>45627</v>
      </c>
      <c r="F82" s="1947" t="s">
        <v>192</v>
      </c>
      <c r="G82" s="2014"/>
    </row>
    <row r="83" spans="1:7">
      <c r="A83" s="2011">
        <f t="shared" si="7"/>
        <v>78</v>
      </c>
      <c r="B83" s="1217">
        <f t="shared" ref="B83:B100" si="8">B82+1</f>
        <v>4</v>
      </c>
      <c r="C83" s="1217" t="s">
        <v>531</v>
      </c>
      <c r="D83" s="1217"/>
      <c r="E83" s="2019">
        <v>45627</v>
      </c>
      <c r="F83" s="1947" t="s">
        <v>192</v>
      </c>
      <c r="G83" s="2014"/>
    </row>
    <row r="84" spans="1:7">
      <c r="A84" s="2011">
        <f t="shared" si="7"/>
        <v>79</v>
      </c>
      <c r="B84" s="1217">
        <f t="shared" si="8"/>
        <v>5</v>
      </c>
      <c r="C84" s="1217" t="s">
        <v>532</v>
      </c>
      <c r="D84" s="1217"/>
      <c r="E84" s="2019">
        <v>45627</v>
      </c>
      <c r="F84" s="1947" t="s">
        <v>192</v>
      </c>
      <c r="G84" s="2014"/>
    </row>
    <row r="85" spans="1:7">
      <c r="A85" s="2011">
        <f t="shared" si="7"/>
        <v>80</v>
      </c>
      <c r="B85" s="1217">
        <f t="shared" si="8"/>
        <v>6</v>
      </c>
      <c r="C85" s="1217" t="s">
        <v>533</v>
      </c>
      <c r="D85" s="1217"/>
      <c r="E85" s="2019">
        <v>45627</v>
      </c>
      <c r="F85" s="1947" t="s">
        <v>192</v>
      </c>
      <c r="G85" s="2014"/>
    </row>
    <row r="86" spans="1:7">
      <c r="A86" s="2011">
        <f t="shared" si="7"/>
        <v>81</v>
      </c>
      <c r="B86" s="1217">
        <f t="shared" si="8"/>
        <v>7</v>
      </c>
      <c r="C86" s="1217" t="s">
        <v>534</v>
      </c>
      <c r="D86" s="1217"/>
      <c r="E86" s="2019">
        <v>45627</v>
      </c>
      <c r="F86" s="1947" t="s">
        <v>192</v>
      </c>
      <c r="G86" s="2014"/>
    </row>
    <row r="87" spans="1:7">
      <c r="A87" s="2011">
        <f t="shared" si="7"/>
        <v>82</v>
      </c>
      <c r="B87" s="1217">
        <f t="shared" si="8"/>
        <v>8</v>
      </c>
      <c r="C87" s="1217" t="s">
        <v>535</v>
      </c>
      <c r="D87" s="1217"/>
      <c r="E87" s="2019">
        <v>45627</v>
      </c>
      <c r="F87" s="1947" t="s">
        <v>192</v>
      </c>
      <c r="G87" s="2014"/>
    </row>
    <row r="88" spans="1:7">
      <c r="A88" s="2011">
        <f t="shared" si="7"/>
        <v>83</v>
      </c>
      <c r="B88" s="1217">
        <f t="shared" si="8"/>
        <v>9</v>
      </c>
      <c r="C88" s="1217" t="s">
        <v>536</v>
      </c>
      <c r="D88" s="1217"/>
      <c r="E88" s="2019">
        <v>45627</v>
      </c>
      <c r="F88" s="1947" t="s">
        <v>192</v>
      </c>
      <c r="G88" s="2014"/>
    </row>
    <row r="89" spans="1:7">
      <c r="A89" s="2011">
        <f t="shared" si="7"/>
        <v>84</v>
      </c>
      <c r="B89" s="1217">
        <f t="shared" si="8"/>
        <v>10</v>
      </c>
      <c r="C89" s="1217" t="s">
        <v>537</v>
      </c>
      <c r="D89" s="1217"/>
      <c r="E89" s="2019">
        <v>45627</v>
      </c>
      <c r="F89" s="1947" t="s">
        <v>192</v>
      </c>
      <c r="G89" s="2014"/>
    </row>
    <row r="90" spans="1:7">
      <c r="A90" s="2011">
        <f t="shared" si="7"/>
        <v>85</v>
      </c>
      <c r="B90" s="1217">
        <f t="shared" si="8"/>
        <v>11</v>
      </c>
      <c r="C90" s="1217" t="s">
        <v>538</v>
      </c>
      <c r="D90" s="1217"/>
      <c r="E90" s="2019">
        <v>45627</v>
      </c>
      <c r="F90" s="1947" t="s">
        <v>192</v>
      </c>
      <c r="G90" s="2014"/>
    </row>
    <row r="91" spans="1:7">
      <c r="A91" s="2011">
        <f t="shared" si="7"/>
        <v>86</v>
      </c>
      <c r="B91" s="1217">
        <f t="shared" si="8"/>
        <v>12</v>
      </c>
      <c r="C91" s="1217" t="s">
        <v>539</v>
      </c>
      <c r="D91" s="1217"/>
      <c r="E91" s="2019">
        <v>45627</v>
      </c>
      <c r="F91" s="1947" t="s">
        <v>192</v>
      </c>
      <c r="G91" s="2014"/>
    </row>
    <row r="92" spans="1:7">
      <c r="A92" s="2011">
        <f t="shared" si="7"/>
        <v>87</v>
      </c>
      <c r="B92" s="1217">
        <f t="shared" si="8"/>
        <v>13</v>
      </c>
      <c r="C92" s="1217" t="s">
        <v>540</v>
      </c>
      <c r="D92" s="1217"/>
      <c r="E92" s="2019">
        <v>45627</v>
      </c>
      <c r="F92" s="1947" t="s">
        <v>192</v>
      </c>
      <c r="G92" s="2014"/>
    </row>
    <row r="93" spans="1:7" ht="15" customHeight="1">
      <c r="A93" s="2011">
        <f t="shared" si="7"/>
        <v>88</v>
      </c>
      <c r="B93" s="1217">
        <f t="shared" si="8"/>
        <v>14</v>
      </c>
      <c r="C93" s="1217" t="s">
        <v>541</v>
      </c>
      <c r="D93" s="1217"/>
      <c r="E93" s="2019">
        <v>45627</v>
      </c>
      <c r="F93" s="1947" t="s">
        <v>192</v>
      </c>
      <c r="G93" s="2014"/>
    </row>
    <row r="94" spans="1:7" ht="15" customHeight="1">
      <c r="A94" s="2011">
        <f t="shared" si="7"/>
        <v>89</v>
      </c>
      <c r="B94" s="1217">
        <f t="shared" si="8"/>
        <v>15</v>
      </c>
      <c r="C94" s="1217" t="s">
        <v>542</v>
      </c>
      <c r="D94" s="1217"/>
      <c r="E94" s="2019">
        <v>45627</v>
      </c>
      <c r="F94" s="1947" t="s">
        <v>192</v>
      </c>
      <c r="G94" s="2014"/>
    </row>
    <row r="95" spans="1:7" ht="15" customHeight="1">
      <c r="A95" s="2011">
        <f t="shared" si="7"/>
        <v>90</v>
      </c>
      <c r="B95" s="1217">
        <f t="shared" si="8"/>
        <v>16</v>
      </c>
      <c r="C95" s="1217" t="s">
        <v>543</v>
      </c>
      <c r="D95" s="1217"/>
      <c r="E95" s="2019">
        <v>45627</v>
      </c>
      <c r="F95" s="1947" t="s">
        <v>192</v>
      </c>
      <c r="G95" s="2014"/>
    </row>
    <row r="96" spans="1:7" ht="15" customHeight="1">
      <c r="A96" s="2011">
        <f t="shared" si="7"/>
        <v>91</v>
      </c>
      <c r="B96" s="1217">
        <f t="shared" si="8"/>
        <v>17</v>
      </c>
      <c r="C96" s="1217" t="s">
        <v>544</v>
      </c>
      <c r="D96" s="1217"/>
      <c r="E96" s="2019">
        <v>45627</v>
      </c>
      <c r="F96" s="1947" t="s">
        <v>192</v>
      </c>
      <c r="G96" s="2014"/>
    </row>
    <row r="97" spans="1:11" ht="15" customHeight="1">
      <c r="A97" s="2011">
        <f t="shared" si="7"/>
        <v>92</v>
      </c>
      <c r="B97" s="1217">
        <f t="shared" si="8"/>
        <v>18</v>
      </c>
      <c r="C97" s="1217" t="s">
        <v>545</v>
      </c>
      <c r="D97" s="1217"/>
      <c r="E97" s="2019">
        <v>45627</v>
      </c>
      <c r="F97" s="1947" t="s">
        <v>192</v>
      </c>
      <c r="G97" s="2014"/>
    </row>
    <row r="98" spans="1:11" ht="15" customHeight="1">
      <c r="A98" s="2011">
        <f t="shared" si="7"/>
        <v>93</v>
      </c>
      <c r="B98" s="1217">
        <f t="shared" si="8"/>
        <v>19</v>
      </c>
      <c r="C98" s="1217" t="s">
        <v>546</v>
      </c>
      <c r="D98" s="1217"/>
      <c r="E98" s="2019">
        <v>45627</v>
      </c>
      <c r="F98" s="1947" t="s">
        <v>192</v>
      </c>
      <c r="G98" s="2014"/>
    </row>
    <row r="99" spans="1:11" ht="15" customHeight="1">
      <c r="A99" s="2011">
        <f t="shared" si="7"/>
        <v>94</v>
      </c>
      <c r="B99" s="1217">
        <f t="shared" si="8"/>
        <v>20</v>
      </c>
      <c r="C99" s="1217" t="s">
        <v>547</v>
      </c>
      <c r="D99" s="1217"/>
      <c r="E99" s="2019">
        <v>45627</v>
      </c>
      <c r="F99" s="1947" t="s">
        <v>192</v>
      </c>
      <c r="G99" s="2014"/>
    </row>
    <row r="100" spans="1:11" ht="15" customHeight="1">
      <c r="A100" s="2011">
        <f t="shared" si="7"/>
        <v>95</v>
      </c>
      <c r="B100" s="1217">
        <f t="shared" si="8"/>
        <v>21</v>
      </c>
      <c r="C100" s="1217" t="s">
        <v>548</v>
      </c>
      <c r="D100" s="1217"/>
      <c r="E100" s="2019">
        <v>45627</v>
      </c>
      <c r="F100" s="1947" t="s">
        <v>192</v>
      </c>
      <c r="G100" s="2014"/>
      <c r="K100" s="874">
        <f>294+63-23</f>
        <v>334</v>
      </c>
    </row>
    <row r="101" spans="1:11" ht="15" customHeight="1">
      <c r="A101" s="2011">
        <f t="shared" si="7"/>
        <v>96</v>
      </c>
      <c r="B101" s="1217">
        <v>1</v>
      </c>
      <c r="C101" s="1217" t="s">
        <v>549</v>
      </c>
      <c r="D101" s="1217"/>
      <c r="E101" s="2019">
        <v>45748</v>
      </c>
      <c r="F101" s="1947" t="s">
        <v>192</v>
      </c>
      <c r="G101" s="2014"/>
    </row>
    <row r="102" spans="1:11" ht="15" customHeight="1">
      <c r="A102" s="2011">
        <f t="shared" si="7"/>
        <v>97</v>
      </c>
      <c r="B102" s="1217">
        <f t="shared" ref="B102:B123" si="9">B101+1</f>
        <v>2</v>
      </c>
      <c r="C102" s="1217" t="s">
        <v>550</v>
      </c>
      <c r="D102" s="1217"/>
      <c r="E102" s="2019">
        <v>45748</v>
      </c>
      <c r="F102" s="1947" t="s">
        <v>192</v>
      </c>
      <c r="G102" s="2014"/>
    </row>
    <row r="103" spans="1:11" ht="15" customHeight="1">
      <c r="A103" s="2011">
        <f t="shared" si="7"/>
        <v>98</v>
      </c>
      <c r="B103" s="1217">
        <f t="shared" si="9"/>
        <v>3</v>
      </c>
      <c r="C103" s="1217" t="s">
        <v>551</v>
      </c>
      <c r="D103" s="1217"/>
      <c r="E103" s="2019">
        <v>45748</v>
      </c>
      <c r="F103" s="1947" t="s">
        <v>192</v>
      </c>
      <c r="G103" s="2014"/>
    </row>
    <row r="104" spans="1:11" ht="15" customHeight="1">
      <c r="A104" s="2011">
        <f t="shared" si="7"/>
        <v>99</v>
      </c>
      <c r="B104" s="1217">
        <f t="shared" si="9"/>
        <v>4</v>
      </c>
      <c r="C104" s="1217" t="s">
        <v>552</v>
      </c>
      <c r="D104" s="1217"/>
      <c r="E104" s="2019">
        <v>45748</v>
      </c>
      <c r="F104" s="1947" t="s">
        <v>192</v>
      </c>
      <c r="G104" s="2014"/>
    </row>
    <row r="105" spans="1:11" ht="15" customHeight="1">
      <c r="A105" s="2011">
        <f t="shared" si="7"/>
        <v>100</v>
      </c>
      <c r="B105" s="1217">
        <f t="shared" si="9"/>
        <v>5</v>
      </c>
      <c r="C105" s="1217" t="s">
        <v>553</v>
      </c>
      <c r="D105" s="1217"/>
      <c r="E105" s="2019">
        <v>45748</v>
      </c>
      <c r="F105" s="1947" t="s">
        <v>192</v>
      </c>
      <c r="G105" s="2014"/>
    </row>
    <row r="106" spans="1:11" ht="15" customHeight="1">
      <c r="A106" s="2011">
        <f t="shared" si="7"/>
        <v>101</v>
      </c>
      <c r="B106" s="1217">
        <f t="shared" si="9"/>
        <v>6</v>
      </c>
      <c r="C106" s="1217" t="s">
        <v>554</v>
      </c>
      <c r="D106" s="1217"/>
      <c r="E106" s="2019">
        <v>45748</v>
      </c>
      <c r="F106" s="1947" t="s">
        <v>192</v>
      </c>
      <c r="G106" s="2014"/>
    </row>
    <row r="107" spans="1:11" ht="15" customHeight="1">
      <c r="A107" s="2011">
        <f t="shared" si="7"/>
        <v>102</v>
      </c>
      <c r="B107" s="1217">
        <f t="shared" si="9"/>
        <v>7</v>
      </c>
      <c r="C107" s="1217" t="s">
        <v>555</v>
      </c>
      <c r="D107" s="1217"/>
      <c r="E107" s="2019">
        <v>45748</v>
      </c>
      <c r="F107" s="1947" t="s">
        <v>192</v>
      </c>
      <c r="G107" s="2014"/>
    </row>
    <row r="108" spans="1:11" ht="15" customHeight="1">
      <c r="A108" s="2011">
        <f t="shared" si="7"/>
        <v>103</v>
      </c>
      <c r="B108" s="1217">
        <f t="shared" si="9"/>
        <v>8</v>
      </c>
      <c r="C108" s="1217" t="s">
        <v>556</v>
      </c>
      <c r="D108" s="1217"/>
      <c r="E108" s="2019">
        <v>45748</v>
      </c>
      <c r="F108" s="1947" t="s">
        <v>192</v>
      </c>
      <c r="G108" s="2014"/>
    </row>
    <row r="109" spans="1:11" ht="15" customHeight="1">
      <c r="A109" s="2011">
        <f t="shared" si="7"/>
        <v>104</v>
      </c>
      <c r="B109" s="1217">
        <f t="shared" si="9"/>
        <v>9</v>
      </c>
      <c r="C109" s="1217" t="s">
        <v>557</v>
      </c>
      <c r="D109" s="1217"/>
      <c r="E109" s="2019">
        <v>45748</v>
      </c>
      <c r="F109" s="1947" t="s">
        <v>192</v>
      </c>
      <c r="G109" s="2014"/>
    </row>
    <row r="110" spans="1:11" ht="15" customHeight="1">
      <c r="A110" s="2011">
        <f t="shared" si="7"/>
        <v>105</v>
      </c>
      <c r="B110" s="1217">
        <f t="shared" si="9"/>
        <v>10</v>
      </c>
      <c r="C110" s="1217" t="s">
        <v>558</v>
      </c>
      <c r="D110" s="1217"/>
      <c r="E110" s="2019">
        <v>45748</v>
      </c>
      <c r="F110" s="1947" t="s">
        <v>192</v>
      </c>
      <c r="G110" s="2014"/>
    </row>
    <row r="111" spans="1:11" ht="15" customHeight="1">
      <c r="A111" s="2011">
        <f t="shared" si="7"/>
        <v>106</v>
      </c>
      <c r="B111" s="1217">
        <f t="shared" si="9"/>
        <v>11</v>
      </c>
      <c r="C111" s="1217" t="s">
        <v>559</v>
      </c>
      <c r="D111" s="1217"/>
      <c r="E111" s="2019">
        <v>45748</v>
      </c>
      <c r="F111" s="1947" t="s">
        <v>192</v>
      </c>
      <c r="G111" s="2014"/>
    </row>
    <row r="112" spans="1:11" ht="15" customHeight="1">
      <c r="A112" s="2011">
        <f t="shared" si="7"/>
        <v>107</v>
      </c>
      <c r="B112" s="1217">
        <f t="shared" si="9"/>
        <v>12</v>
      </c>
      <c r="C112" s="1217" t="s">
        <v>560</v>
      </c>
      <c r="D112" s="1217"/>
      <c r="E112" s="2019">
        <v>45748</v>
      </c>
      <c r="F112" s="1947" t="s">
        <v>192</v>
      </c>
      <c r="G112" s="2014"/>
    </row>
    <row r="113" spans="1:7" ht="15" customHeight="1">
      <c r="A113" s="2011">
        <f t="shared" si="7"/>
        <v>108</v>
      </c>
      <c r="B113" s="1217">
        <f t="shared" si="9"/>
        <v>13</v>
      </c>
      <c r="C113" s="1217" t="s">
        <v>561</v>
      </c>
      <c r="D113" s="1217"/>
      <c r="E113" s="2019">
        <v>45748</v>
      </c>
      <c r="F113" s="1947" t="s">
        <v>192</v>
      </c>
      <c r="G113" s="2014"/>
    </row>
    <row r="114" spans="1:7" ht="15" customHeight="1">
      <c r="A114" s="2011">
        <f t="shared" si="7"/>
        <v>109</v>
      </c>
      <c r="B114" s="1217">
        <f t="shared" si="9"/>
        <v>14</v>
      </c>
      <c r="C114" s="1217" t="s">
        <v>562</v>
      </c>
      <c r="D114" s="1217"/>
      <c r="E114" s="2019">
        <v>45748</v>
      </c>
      <c r="F114" s="1947" t="s">
        <v>192</v>
      </c>
      <c r="G114" s="2014"/>
    </row>
    <row r="115" spans="1:7" ht="15" customHeight="1">
      <c r="A115" s="2011">
        <f t="shared" si="7"/>
        <v>110</v>
      </c>
      <c r="B115" s="1217">
        <f t="shared" si="9"/>
        <v>15</v>
      </c>
      <c r="C115" s="1217" t="s">
        <v>563</v>
      </c>
      <c r="D115" s="1217"/>
      <c r="E115" s="2019">
        <v>45748</v>
      </c>
      <c r="F115" s="1947" t="s">
        <v>192</v>
      </c>
      <c r="G115" s="2014"/>
    </row>
    <row r="116" spans="1:7" ht="15" customHeight="1">
      <c r="A116" s="2011">
        <f t="shared" si="7"/>
        <v>111</v>
      </c>
      <c r="B116" s="1217">
        <f t="shared" si="9"/>
        <v>16</v>
      </c>
      <c r="C116" s="1217" t="s">
        <v>564</v>
      </c>
      <c r="D116" s="1217"/>
      <c r="E116" s="2019">
        <v>45748</v>
      </c>
      <c r="F116" s="1947" t="s">
        <v>192</v>
      </c>
      <c r="G116" s="2014"/>
    </row>
    <row r="117" spans="1:7" ht="15" customHeight="1">
      <c r="A117" s="2011">
        <f t="shared" si="7"/>
        <v>112</v>
      </c>
      <c r="B117" s="1217">
        <f t="shared" si="9"/>
        <v>17</v>
      </c>
      <c r="C117" s="1217" t="s">
        <v>565</v>
      </c>
      <c r="D117" s="1217"/>
      <c r="E117" s="2019">
        <v>45748</v>
      </c>
      <c r="F117" s="1947" t="s">
        <v>192</v>
      </c>
      <c r="G117" s="2014"/>
    </row>
    <row r="118" spans="1:7" ht="15" customHeight="1">
      <c r="A118" s="2011">
        <f t="shared" si="7"/>
        <v>113</v>
      </c>
      <c r="B118" s="1217">
        <f t="shared" si="9"/>
        <v>18</v>
      </c>
      <c r="C118" s="1217" t="s">
        <v>566</v>
      </c>
      <c r="D118" s="1217"/>
      <c r="E118" s="2019">
        <v>45748</v>
      </c>
      <c r="F118" s="1947" t="s">
        <v>192</v>
      </c>
      <c r="G118" s="2014"/>
    </row>
    <row r="119" spans="1:7" ht="15" customHeight="1">
      <c r="A119" s="2011">
        <f t="shared" si="7"/>
        <v>114</v>
      </c>
      <c r="B119" s="1217">
        <f t="shared" si="9"/>
        <v>19</v>
      </c>
      <c r="C119" s="1217" t="s">
        <v>567</v>
      </c>
      <c r="D119" s="1217"/>
      <c r="E119" s="2019">
        <v>45748</v>
      </c>
      <c r="F119" s="1947" t="s">
        <v>192</v>
      </c>
      <c r="G119" s="2014"/>
    </row>
    <row r="120" spans="1:7" ht="15" customHeight="1">
      <c r="A120" s="2011">
        <f t="shared" si="7"/>
        <v>115</v>
      </c>
      <c r="B120" s="1217">
        <f t="shared" si="9"/>
        <v>20</v>
      </c>
      <c r="C120" s="1217" t="s">
        <v>568</v>
      </c>
      <c r="D120" s="1217"/>
      <c r="E120" s="2019">
        <v>45748</v>
      </c>
      <c r="F120" s="1947" t="s">
        <v>192</v>
      </c>
      <c r="G120" s="2014"/>
    </row>
    <row r="121" spans="1:7" ht="15" customHeight="1">
      <c r="A121" s="2011">
        <f t="shared" si="7"/>
        <v>116</v>
      </c>
      <c r="B121" s="1217">
        <f t="shared" si="9"/>
        <v>21</v>
      </c>
      <c r="C121" s="1217" t="s">
        <v>569</v>
      </c>
      <c r="D121" s="1217"/>
      <c r="E121" s="2019">
        <v>45748</v>
      </c>
      <c r="F121" s="1947" t="s">
        <v>192</v>
      </c>
      <c r="G121" s="2014"/>
    </row>
    <row r="122" spans="1:7" ht="15" customHeight="1">
      <c r="A122" s="2011">
        <f t="shared" si="7"/>
        <v>117</v>
      </c>
      <c r="B122" s="1217">
        <f t="shared" si="9"/>
        <v>22</v>
      </c>
      <c r="C122" s="1217" t="s">
        <v>570</v>
      </c>
      <c r="D122" s="1217"/>
      <c r="E122" s="2019">
        <v>45748</v>
      </c>
      <c r="F122" s="1947" t="s">
        <v>192</v>
      </c>
      <c r="G122" s="2014"/>
    </row>
    <row r="123" spans="1:7" ht="15" customHeight="1">
      <c r="A123" s="2011">
        <f t="shared" si="7"/>
        <v>118</v>
      </c>
      <c r="B123" s="1217">
        <f t="shared" si="9"/>
        <v>23</v>
      </c>
      <c r="C123" s="874" t="s">
        <v>571</v>
      </c>
      <c r="E123" s="2019">
        <v>45748</v>
      </c>
      <c r="F123" s="1947" t="s">
        <v>192</v>
      </c>
      <c r="G123" s="2014"/>
    </row>
    <row r="124" spans="1:7" ht="15" customHeight="1">
      <c r="A124" s="2011">
        <f t="shared" si="7"/>
        <v>119</v>
      </c>
      <c r="E124" s="874" t="s">
        <v>71</v>
      </c>
      <c r="F124" s="1947">
        <f>A123</f>
        <v>118</v>
      </c>
      <c r="G124" s="2014"/>
    </row>
    <row r="125" spans="1:7" ht="15" customHeight="1">
      <c r="A125" s="2011">
        <f t="shared" si="7"/>
        <v>120</v>
      </c>
      <c r="E125" s="874" t="s">
        <v>227</v>
      </c>
      <c r="F125" s="1947">
        <v>7</v>
      </c>
      <c r="G125" s="2014"/>
    </row>
    <row r="126" spans="1:7" ht="15" customHeight="1">
      <c r="A126" s="2011">
        <f t="shared" si="7"/>
        <v>121</v>
      </c>
      <c r="E126" s="874" t="s">
        <v>309</v>
      </c>
      <c r="F126" s="1947">
        <f>131-A123-F125</f>
        <v>6</v>
      </c>
      <c r="G126" s="2014"/>
    </row>
    <row r="127" spans="1:7" ht="15" customHeight="1">
      <c r="A127" s="2011">
        <f t="shared" si="7"/>
        <v>122</v>
      </c>
      <c r="E127" s="874" t="s">
        <v>229</v>
      </c>
      <c r="G127" s="2014"/>
    </row>
    <row r="128" spans="1:7" ht="15" customHeight="1">
      <c r="A128" s="2011">
        <f t="shared" si="7"/>
        <v>123</v>
      </c>
      <c r="E128" s="874" t="s">
        <v>572</v>
      </c>
      <c r="F128" s="2024"/>
      <c r="G128" s="2014"/>
    </row>
    <row r="129" spans="1:7" ht="15" customHeight="1">
      <c r="A129" s="2011">
        <f t="shared" si="7"/>
        <v>124</v>
      </c>
      <c r="G129" s="2014"/>
    </row>
    <row r="130" spans="1:7" ht="15" customHeight="1">
      <c r="A130" s="2011">
        <f t="shared" si="7"/>
        <v>125</v>
      </c>
      <c r="G130" s="2014"/>
    </row>
    <row r="131" spans="1:7" ht="15" customHeight="1">
      <c r="A131" s="2011">
        <f t="shared" si="7"/>
        <v>126</v>
      </c>
      <c r="G131" s="2014"/>
    </row>
    <row r="132" spans="1:7" ht="15" customHeight="1">
      <c r="A132" s="2011">
        <f t="shared" si="7"/>
        <v>127</v>
      </c>
      <c r="G132" s="2014"/>
    </row>
    <row r="133" spans="1:7" ht="15" customHeight="1">
      <c r="A133" s="2011">
        <f t="shared" si="7"/>
        <v>128</v>
      </c>
      <c r="G133" s="2014"/>
    </row>
    <row r="134" spans="1:7" ht="15" customHeight="1">
      <c r="A134" s="2011">
        <f t="shared" si="7"/>
        <v>129</v>
      </c>
      <c r="G134" s="2014"/>
    </row>
    <row r="135" spans="1:7" ht="15" customHeight="1">
      <c r="A135" s="2011">
        <f t="shared" ref="A135:A166" si="10">+A134+1</f>
        <v>130</v>
      </c>
      <c r="G135" s="2014"/>
    </row>
    <row r="136" spans="1:7" ht="15" customHeight="1">
      <c r="A136" s="2011">
        <f t="shared" si="10"/>
        <v>131</v>
      </c>
      <c r="G136" s="2014"/>
    </row>
    <row r="137" spans="1:7" ht="15" customHeight="1">
      <c r="A137" s="2011">
        <f t="shared" si="10"/>
        <v>132</v>
      </c>
      <c r="G137" s="2014"/>
    </row>
    <row r="138" spans="1:7" ht="15" customHeight="1">
      <c r="A138" s="2011">
        <f t="shared" si="10"/>
        <v>133</v>
      </c>
      <c r="G138" s="2014"/>
    </row>
    <row r="139" spans="1:7" ht="15" customHeight="1">
      <c r="A139" s="2011">
        <f t="shared" si="10"/>
        <v>134</v>
      </c>
      <c r="G139" s="2014"/>
    </row>
    <row r="140" spans="1:7" ht="15" customHeight="1">
      <c r="A140" s="2011">
        <f t="shared" si="10"/>
        <v>135</v>
      </c>
      <c r="G140" s="2014"/>
    </row>
    <row r="141" spans="1:7" ht="15" customHeight="1">
      <c r="A141" s="2011">
        <f t="shared" si="10"/>
        <v>136</v>
      </c>
      <c r="G141" s="2014"/>
    </row>
    <row r="142" spans="1:7" ht="15" customHeight="1">
      <c r="A142" s="2011">
        <f t="shared" si="10"/>
        <v>137</v>
      </c>
      <c r="G142" s="2014"/>
    </row>
    <row r="143" spans="1:7" ht="15" customHeight="1">
      <c r="A143" s="2011">
        <f t="shared" si="10"/>
        <v>138</v>
      </c>
      <c r="G143" s="2014"/>
    </row>
    <row r="144" spans="1:7" ht="15" customHeight="1">
      <c r="A144" s="2011">
        <f t="shared" si="10"/>
        <v>139</v>
      </c>
      <c r="G144" s="2014"/>
    </row>
    <row r="145" spans="1:7" ht="15" customHeight="1">
      <c r="A145" s="2011">
        <f t="shared" si="10"/>
        <v>140</v>
      </c>
      <c r="G145" s="2014"/>
    </row>
    <row r="146" spans="1:7" ht="15" customHeight="1">
      <c r="A146" s="2011">
        <f t="shared" si="10"/>
        <v>141</v>
      </c>
      <c r="G146" s="2014"/>
    </row>
    <row r="147" spans="1:7" ht="15" customHeight="1">
      <c r="A147" s="2011">
        <f t="shared" si="10"/>
        <v>142</v>
      </c>
      <c r="G147" s="2014"/>
    </row>
    <row r="148" spans="1:7" ht="15" customHeight="1">
      <c r="A148" s="2011">
        <f t="shared" si="10"/>
        <v>143</v>
      </c>
      <c r="G148" s="2014"/>
    </row>
    <row r="149" spans="1:7" ht="15" customHeight="1">
      <c r="A149" s="2011">
        <f t="shared" si="10"/>
        <v>144</v>
      </c>
      <c r="G149" s="2014"/>
    </row>
    <row r="150" spans="1:7" ht="15" customHeight="1">
      <c r="A150" s="2011">
        <f t="shared" si="10"/>
        <v>145</v>
      </c>
      <c r="G150" s="2014"/>
    </row>
    <row r="151" spans="1:7" ht="15" customHeight="1">
      <c r="A151" s="2011">
        <f t="shared" si="10"/>
        <v>146</v>
      </c>
      <c r="G151" s="2014"/>
    </row>
    <row r="152" spans="1:7" ht="15" customHeight="1">
      <c r="A152" s="2011">
        <f t="shared" si="10"/>
        <v>147</v>
      </c>
      <c r="G152" s="2014"/>
    </row>
    <row r="153" spans="1:7" ht="15" customHeight="1">
      <c r="A153" s="2011">
        <f t="shared" si="10"/>
        <v>148</v>
      </c>
      <c r="G153" s="2014"/>
    </row>
    <row r="154" spans="1:7" ht="15" customHeight="1">
      <c r="A154" s="2011">
        <f t="shared" si="10"/>
        <v>149</v>
      </c>
      <c r="G154" s="2014"/>
    </row>
    <row r="155" spans="1:7" ht="15" customHeight="1">
      <c r="A155" s="2011">
        <f t="shared" si="10"/>
        <v>150</v>
      </c>
      <c r="G155" s="2014"/>
    </row>
    <row r="156" spans="1:7" ht="15" customHeight="1">
      <c r="A156" s="2011">
        <f t="shared" si="10"/>
        <v>151</v>
      </c>
      <c r="G156" s="2014"/>
    </row>
    <row r="157" spans="1:7" ht="15" customHeight="1">
      <c r="A157" s="2011">
        <f t="shared" si="10"/>
        <v>152</v>
      </c>
      <c r="G157" s="2014"/>
    </row>
    <row r="158" spans="1:7" ht="15" customHeight="1">
      <c r="A158" s="2011">
        <f t="shared" si="10"/>
        <v>153</v>
      </c>
      <c r="G158" s="2014"/>
    </row>
    <row r="159" spans="1:7" ht="15" customHeight="1">
      <c r="A159" s="2011">
        <f t="shared" si="10"/>
        <v>154</v>
      </c>
      <c r="G159" s="2014"/>
    </row>
    <row r="160" spans="1:7" ht="15" customHeight="1">
      <c r="A160" s="2011">
        <f t="shared" si="10"/>
        <v>155</v>
      </c>
      <c r="G160" s="2014"/>
    </row>
    <row r="161" spans="1:9" ht="15" customHeight="1">
      <c r="A161" s="2011">
        <f t="shared" si="10"/>
        <v>156</v>
      </c>
      <c r="G161" s="2014"/>
    </row>
    <row r="162" spans="1:9" ht="15" customHeight="1">
      <c r="A162" s="2011">
        <f t="shared" si="10"/>
        <v>157</v>
      </c>
      <c r="G162" s="2014"/>
    </row>
    <row r="163" spans="1:9" ht="15" customHeight="1">
      <c r="A163" s="2011">
        <f t="shared" si="10"/>
        <v>158</v>
      </c>
      <c r="G163" s="2014"/>
    </row>
    <row r="164" spans="1:9" ht="15" customHeight="1">
      <c r="A164" s="2011">
        <f t="shared" si="10"/>
        <v>159</v>
      </c>
      <c r="G164" s="2014"/>
    </row>
    <row r="165" spans="1:9" ht="15" customHeight="1">
      <c r="A165" s="2011">
        <f t="shared" si="10"/>
        <v>160</v>
      </c>
      <c r="G165" s="2014"/>
    </row>
    <row r="166" spans="1:9" ht="15" customHeight="1">
      <c r="A166" s="2011">
        <f t="shared" si="10"/>
        <v>161</v>
      </c>
      <c r="G166" s="2014"/>
    </row>
    <row r="167" spans="1:9" ht="15" customHeight="1">
      <c r="A167" s="2011">
        <f t="shared" ref="A167:A180" si="11">+A166+1</f>
        <v>162</v>
      </c>
      <c r="G167" s="2014"/>
      <c r="I167" s="874">
        <f>175-159</f>
        <v>16</v>
      </c>
    </row>
    <row r="168" spans="1:9" ht="15" customHeight="1">
      <c r="A168" s="2011">
        <f t="shared" si="11"/>
        <v>163</v>
      </c>
      <c r="G168" s="2014"/>
    </row>
    <row r="169" spans="1:9" ht="15" customHeight="1">
      <c r="A169" s="2011">
        <f t="shared" si="11"/>
        <v>164</v>
      </c>
      <c r="G169" s="2014"/>
    </row>
    <row r="170" spans="1:9" ht="15" customHeight="1">
      <c r="A170" s="2011">
        <f t="shared" si="11"/>
        <v>165</v>
      </c>
      <c r="G170" s="2014"/>
    </row>
    <row r="171" spans="1:9" ht="15" customHeight="1">
      <c r="A171" s="2011">
        <f t="shared" si="11"/>
        <v>166</v>
      </c>
      <c r="G171" s="2014"/>
    </row>
    <row r="172" spans="1:9" ht="13.5" customHeight="1">
      <c r="A172" s="2011">
        <f t="shared" si="11"/>
        <v>167</v>
      </c>
      <c r="G172" s="2014"/>
    </row>
    <row r="173" spans="1:9" ht="13.5" customHeight="1">
      <c r="A173" s="2011">
        <f t="shared" si="11"/>
        <v>168</v>
      </c>
      <c r="G173" s="2014"/>
    </row>
    <row r="174" spans="1:9" ht="13.5" customHeight="1">
      <c r="A174" s="2011">
        <f t="shared" si="11"/>
        <v>169</v>
      </c>
      <c r="G174" s="2014"/>
    </row>
    <row r="175" spans="1:9" ht="13.5" customHeight="1">
      <c r="A175" s="2011">
        <f t="shared" si="11"/>
        <v>170</v>
      </c>
      <c r="G175" s="2014"/>
    </row>
    <row r="176" spans="1:9" ht="13.5" customHeight="1">
      <c r="A176" s="2011">
        <f t="shared" si="11"/>
        <v>171</v>
      </c>
      <c r="G176" s="2014"/>
    </row>
    <row r="177" spans="1:9" ht="13.5" customHeight="1">
      <c r="A177" s="2011">
        <f t="shared" si="11"/>
        <v>172</v>
      </c>
      <c r="G177" s="2014"/>
    </row>
    <row r="178" spans="1:9" ht="13.5" customHeight="1">
      <c r="A178" s="2011">
        <f t="shared" si="11"/>
        <v>173</v>
      </c>
      <c r="G178" s="2014"/>
    </row>
    <row r="179" spans="1:9" ht="13.5" customHeight="1">
      <c r="A179" s="2011">
        <f t="shared" si="11"/>
        <v>174</v>
      </c>
      <c r="G179" s="2014"/>
    </row>
    <row r="180" spans="1:9" ht="13.5" customHeight="1">
      <c r="A180" s="2011">
        <f t="shared" si="11"/>
        <v>175</v>
      </c>
      <c r="G180" s="2014"/>
    </row>
    <row r="181" spans="1:9" ht="13.5" customHeight="1">
      <c r="A181" s="2011"/>
      <c r="G181" s="2014"/>
    </row>
    <row r="182" spans="1:9" ht="13.5" customHeight="1">
      <c r="A182" s="2011"/>
      <c r="G182" s="2014"/>
    </row>
    <row r="183" spans="1:9" ht="13.5" customHeight="1">
      <c r="A183" s="2011"/>
      <c r="G183" s="2014"/>
    </row>
    <row r="184" spans="1:9" ht="13.5" customHeight="1">
      <c r="A184" s="2011"/>
      <c r="G184" s="2014"/>
    </row>
    <row r="185" spans="1:9" ht="13.5" customHeight="1">
      <c r="A185" s="2011"/>
      <c r="G185" s="2014"/>
    </row>
    <row r="186" spans="1:9" ht="13.5" customHeight="1">
      <c r="A186" s="2011"/>
      <c r="G186" s="2014"/>
    </row>
    <row r="187" spans="1:9" ht="13.5" customHeight="1">
      <c r="A187" s="2011"/>
      <c r="G187" s="2014"/>
    </row>
    <row r="188" spans="1:9" ht="13.5" customHeight="1">
      <c r="A188" s="2011"/>
      <c r="G188" s="2014"/>
    </row>
    <row r="189" spans="1:9" ht="13.5" customHeight="1">
      <c r="A189" s="2011"/>
      <c r="G189" s="2014"/>
    </row>
    <row r="190" spans="1:9" ht="13.5" customHeight="1">
      <c r="A190" s="2011"/>
      <c r="G190" s="2014"/>
    </row>
    <row r="191" spans="1:9" ht="13.5" customHeight="1">
      <c r="A191" s="2011"/>
      <c r="G191" s="2014"/>
      <c r="I191" s="881"/>
    </row>
    <row r="192" spans="1:9" ht="13.5" customHeight="1">
      <c r="A192" s="2011"/>
      <c r="G192" s="2014"/>
    </row>
    <row r="193" spans="1:8" ht="13.5" customHeight="1">
      <c r="A193" s="2011"/>
      <c r="G193" s="2014"/>
    </row>
    <row r="194" spans="1:8" ht="13.5" customHeight="1">
      <c r="A194" s="2011"/>
      <c r="G194" s="2014"/>
    </row>
    <row r="195" spans="1:8" ht="13.5" customHeight="1">
      <c r="A195" s="2011"/>
      <c r="G195" s="2014"/>
    </row>
    <row r="196" spans="1:8" ht="13.5" customHeight="1">
      <c r="A196" s="2011"/>
      <c r="G196" s="2014"/>
    </row>
    <row r="197" spans="1:8" ht="13.5" customHeight="1">
      <c r="A197" s="2011"/>
      <c r="G197" s="2014"/>
    </row>
    <row r="198" spans="1:8" ht="13.5" customHeight="1">
      <c r="A198" s="2011"/>
      <c r="G198" s="2014"/>
    </row>
    <row r="199" spans="1:8" ht="13.5" customHeight="1">
      <c r="A199" s="2011"/>
      <c r="G199" s="2014"/>
    </row>
    <row r="200" spans="1:8" ht="13.5" customHeight="1">
      <c r="A200" s="2011"/>
      <c r="G200" s="2014"/>
    </row>
    <row r="201" spans="1:8" ht="13.5" customHeight="1">
      <c r="A201" s="2011"/>
      <c r="G201" s="2014"/>
    </row>
    <row r="202" spans="1:8" ht="13.5" customHeight="1">
      <c r="A202" s="2011"/>
      <c r="F202" s="874" t="s">
        <v>71</v>
      </c>
      <c r="G202" s="2014"/>
    </row>
    <row r="203" spans="1:8" ht="13.5" customHeight="1">
      <c r="A203" s="2011"/>
      <c r="F203" s="874" t="s">
        <v>227</v>
      </c>
      <c r="G203" s="2014"/>
      <c r="H203" s="2024">
        <f>A203+'Multiplier Imported Sows'!A611</f>
        <v>0</v>
      </c>
    </row>
    <row r="204" spans="1:8" ht="13.5" customHeight="1">
      <c r="A204" s="2011"/>
      <c r="F204" s="874" t="s">
        <v>309</v>
      </c>
      <c r="G204" s="2014"/>
    </row>
    <row r="205" spans="1:8" ht="13.5" customHeight="1">
      <c r="A205" s="2011"/>
      <c r="F205" s="874" t="s">
        <v>229</v>
      </c>
      <c r="G205" s="2014"/>
    </row>
    <row r="206" spans="1:8" ht="13.5" customHeight="1">
      <c r="A206" s="2011"/>
      <c r="G206" s="2014"/>
    </row>
    <row r="207" spans="1:8" ht="13.5" customHeight="1">
      <c r="A207" s="2011"/>
      <c r="G207" s="2014"/>
    </row>
    <row r="208" spans="1:8" ht="13.5" customHeight="1">
      <c r="A208" s="2011"/>
      <c r="G208" s="2014"/>
    </row>
    <row r="209" spans="1:7" ht="13.5" customHeight="1">
      <c r="A209" s="2011"/>
      <c r="G209" s="2014"/>
    </row>
    <row r="210" spans="1:7" ht="13.5" customHeight="1">
      <c r="A210" s="2011"/>
      <c r="G210" s="2014"/>
    </row>
    <row r="211" spans="1:7" ht="13.5" customHeight="1">
      <c r="A211" s="2011"/>
      <c r="G211" s="2014"/>
    </row>
    <row r="212" spans="1:7" ht="13.5" customHeight="1">
      <c r="A212" s="2011"/>
      <c r="G212" s="2014"/>
    </row>
    <row r="213" spans="1:7" ht="13.5" customHeight="1">
      <c r="A213" s="2011"/>
      <c r="G213" s="2014"/>
    </row>
    <row r="214" spans="1:7" ht="13.5" customHeight="1">
      <c r="A214" s="2011"/>
      <c r="G214" s="2014"/>
    </row>
    <row r="215" spans="1:7" ht="13.5" customHeight="1">
      <c r="A215" s="2011"/>
      <c r="G215" s="2014"/>
    </row>
    <row r="216" spans="1:7" ht="13.5" customHeight="1">
      <c r="A216" s="2011"/>
      <c r="G216" s="2014"/>
    </row>
    <row r="217" spans="1:7" ht="13.5" customHeight="1">
      <c r="A217" s="2011"/>
      <c r="G217" s="2014"/>
    </row>
    <row r="218" spans="1:7" ht="13.5" customHeight="1">
      <c r="A218" s="2011"/>
      <c r="G218" s="2014"/>
    </row>
    <row r="219" spans="1:7" ht="13.5" customHeight="1">
      <c r="A219" s="2011"/>
      <c r="G219" s="2014"/>
    </row>
    <row r="220" spans="1:7" ht="13.5" customHeight="1">
      <c r="A220" s="2011"/>
      <c r="G220" s="2014"/>
    </row>
    <row r="221" spans="1:7" ht="13.5" customHeight="1">
      <c r="A221" s="2011"/>
      <c r="G221" s="2014"/>
    </row>
    <row r="222" spans="1:7" ht="13.5" customHeight="1">
      <c r="A222" s="2011"/>
      <c r="G222" s="2014"/>
    </row>
    <row r="223" spans="1:7" ht="13.5" customHeight="1">
      <c r="A223" s="2011"/>
      <c r="G223" s="2014"/>
    </row>
    <row r="224" spans="1:7" ht="13.5" customHeight="1">
      <c r="A224" s="2011"/>
      <c r="G224" s="2014"/>
    </row>
    <row r="225" spans="1:7" ht="13.5" customHeight="1">
      <c r="A225" s="2011"/>
      <c r="G225" s="2014"/>
    </row>
    <row r="226" spans="1:7" ht="13.5" customHeight="1">
      <c r="A226" s="2011"/>
      <c r="G226" s="2014"/>
    </row>
    <row r="227" spans="1:7" ht="13.5" customHeight="1">
      <c r="A227" s="2011"/>
      <c r="G227" s="2014"/>
    </row>
    <row r="228" spans="1:7" ht="13.5" customHeight="1">
      <c r="A228" s="2011"/>
      <c r="G228" s="2014"/>
    </row>
    <row r="229" spans="1:7" ht="13.5" customHeight="1">
      <c r="A229" s="2011"/>
      <c r="G229" s="2014"/>
    </row>
    <row r="230" spans="1:7" ht="13.5" customHeight="1">
      <c r="A230" s="2011"/>
      <c r="G230" s="2014"/>
    </row>
    <row r="231" spans="1:7" ht="13.5" customHeight="1">
      <c r="A231" s="2011"/>
      <c r="G231" s="2014"/>
    </row>
    <row r="232" spans="1:7" ht="13.5" customHeight="1">
      <c r="A232" s="2011"/>
      <c r="G232" s="2014"/>
    </row>
    <row r="233" spans="1:7" ht="13.5" customHeight="1">
      <c r="A233" s="2011"/>
      <c r="G233" s="2014"/>
    </row>
    <row r="234" spans="1:7" ht="13.5" customHeight="1">
      <c r="A234" s="2011"/>
      <c r="G234" s="2014"/>
    </row>
    <row r="235" spans="1:7" ht="13.5" customHeight="1">
      <c r="A235" s="2011"/>
      <c r="G235" s="2014"/>
    </row>
    <row r="236" spans="1:7" ht="13.5" customHeight="1">
      <c r="A236" s="2011"/>
      <c r="G236" s="2014"/>
    </row>
    <row r="237" spans="1:7" ht="13.5" customHeight="1">
      <c r="A237" s="2011"/>
      <c r="G237" s="2014"/>
    </row>
    <row r="238" spans="1:7" ht="13.5" customHeight="1">
      <c r="A238" s="2011"/>
      <c r="G238" s="2014"/>
    </row>
    <row r="239" spans="1:7" ht="13.5" customHeight="1">
      <c r="A239" s="2011"/>
      <c r="G239" s="2014"/>
    </row>
    <row r="240" spans="1:7" ht="13.5" customHeight="1">
      <c r="A240" s="2011"/>
      <c r="G240" s="2014"/>
    </row>
    <row r="241" spans="1:7" ht="13.5" customHeight="1">
      <c r="A241" s="2011"/>
      <c r="G241" s="2014"/>
    </row>
    <row r="242" spans="1:7" ht="13.5" customHeight="1">
      <c r="A242" s="2011"/>
      <c r="G242" s="2014"/>
    </row>
    <row r="243" spans="1:7" ht="13.5" customHeight="1">
      <c r="A243" s="2011"/>
      <c r="G243" s="2014"/>
    </row>
    <row r="244" spans="1:7" ht="13.5" customHeight="1">
      <c r="A244" s="2011"/>
      <c r="G244" s="2014"/>
    </row>
    <row r="245" spans="1:7" ht="13.5" customHeight="1">
      <c r="A245" s="2011"/>
      <c r="G245" s="2014"/>
    </row>
    <row r="246" spans="1:7" ht="13.5" customHeight="1">
      <c r="A246" s="2011"/>
      <c r="G246" s="2014"/>
    </row>
    <row r="247" spans="1:7" ht="13.5" customHeight="1">
      <c r="A247" s="2011"/>
      <c r="G247" s="2014"/>
    </row>
    <row r="248" spans="1:7" ht="13.5" customHeight="1">
      <c r="A248" s="2011"/>
      <c r="G248" s="2014"/>
    </row>
    <row r="249" spans="1:7" ht="13.5" customHeight="1">
      <c r="A249" s="2011"/>
      <c r="G249" s="2014"/>
    </row>
    <row r="250" spans="1:7" ht="13.5" customHeight="1">
      <c r="A250" s="2011"/>
      <c r="G250" s="2014"/>
    </row>
    <row r="251" spans="1:7" ht="13.5" customHeight="1">
      <c r="A251" s="2011"/>
      <c r="G251" s="2014"/>
    </row>
    <row r="252" spans="1:7" ht="13.5" customHeight="1">
      <c r="A252" s="2011"/>
      <c r="G252" s="2014"/>
    </row>
    <row r="253" spans="1:7" ht="13.5" customHeight="1">
      <c r="A253" s="2011"/>
      <c r="G253" s="2014"/>
    </row>
    <row r="254" spans="1:7" ht="13.5" customHeight="1">
      <c r="A254" s="2011"/>
      <c r="G254" s="2014"/>
    </row>
    <row r="255" spans="1:7" ht="13.5" customHeight="1">
      <c r="A255" s="2011"/>
      <c r="G255" s="2014"/>
    </row>
    <row r="256" spans="1:7" ht="13.5" customHeight="1">
      <c r="A256" s="2011"/>
      <c r="G256" s="2014"/>
    </row>
    <row r="257" spans="1:7" ht="13.5" customHeight="1">
      <c r="A257" s="2011"/>
      <c r="G257" s="2014"/>
    </row>
    <row r="258" spans="1:7" ht="13.5" customHeight="1">
      <c r="A258" s="2011"/>
      <c r="G258" s="2014"/>
    </row>
    <row r="259" spans="1:7" ht="13.5" customHeight="1">
      <c r="A259" s="2011"/>
      <c r="G259" s="2014"/>
    </row>
    <row r="260" spans="1:7" ht="13.5" customHeight="1">
      <c r="A260" s="2011"/>
      <c r="G260" s="2014"/>
    </row>
    <row r="261" spans="1:7" ht="13.5" customHeight="1">
      <c r="A261" s="2011"/>
      <c r="G261" s="2014"/>
    </row>
    <row r="262" spans="1:7" ht="13.5" customHeight="1">
      <c r="A262" s="2011"/>
      <c r="G262" s="2014"/>
    </row>
    <row r="263" spans="1:7" ht="13.5" customHeight="1">
      <c r="A263" s="2011"/>
      <c r="G263" s="2014"/>
    </row>
    <row r="264" spans="1:7" ht="13.5" customHeight="1">
      <c r="A264" s="2011"/>
      <c r="G264" s="2014"/>
    </row>
    <row r="265" spans="1:7" ht="13.5" customHeight="1">
      <c r="A265" s="2011"/>
      <c r="G265" s="2014"/>
    </row>
    <row r="266" spans="1:7" ht="13.5" customHeight="1">
      <c r="A266" s="2011"/>
      <c r="G266" s="2014"/>
    </row>
    <row r="267" spans="1:7" ht="13.5" customHeight="1">
      <c r="A267" s="2011"/>
      <c r="G267" s="2014"/>
    </row>
    <row r="268" spans="1:7" ht="13.5" customHeight="1">
      <c r="A268" s="2011"/>
      <c r="G268" s="2014"/>
    </row>
    <row r="269" spans="1:7" ht="13.5" customHeight="1">
      <c r="A269" s="2011"/>
      <c r="G269" s="2014"/>
    </row>
    <row r="270" spans="1:7" ht="13.5" customHeight="1">
      <c r="A270" s="2011"/>
      <c r="G270" s="2014"/>
    </row>
    <row r="271" spans="1:7" ht="13.5" customHeight="1">
      <c r="A271" s="2011"/>
      <c r="G271" s="2014"/>
    </row>
    <row r="272" spans="1:7" ht="13.5" customHeight="1">
      <c r="A272" s="2011"/>
      <c r="G272" s="2014"/>
    </row>
    <row r="273" spans="1:7" ht="13.5" customHeight="1">
      <c r="A273" s="2011"/>
      <c r="F273" s="874" t="s">
        <v>71</v>
      </c>
      <c r="G273" s="2014"/>
    </row>
    <row r="274" spans="1:7" ht="13.5" customHeight="1">
      <c r="A274" s="2011"/>
      <c r="F274" s="874" t="s">
        <v>573</v>
      </c>
      <c r="G274" s="2014"/>
    </row>
    <row r="275" spans="1:7" ht="13.5" customHeight="1">
      <c r="A275" s="2011"/>
      <c r="F275" s="874" t="s">
        <v>309</v>
      </c>
      <c r="G275" s="2014"/>
    </row>
    <row r="276" spans="1:7" ht="13.5" customHeight="1">
      <c r="A276" s="2011"/>
      <c r="F276" s="874" t="s">
        <v>229</v>
      </c>
      <c r="G276" s="2014"/>
    </row>
    <row r="277" spans="1:7" ht="13.5" customHeight="1">
      <c r="A277" s="2011"/>
      <c r="G277" s="2014"/>
    </row>
    <row r="278" spans="1:7" ht="13.5" customHeight="1">
      <c r="A278" s="2011"/>
      <c r="G278" s="2014"/>
    </row>
    <row r="279" spans="1:7" ht="13.5" customHeight="1">
      <c r="A279" s="2011"/>
      <c r="G279" s="2014"/>
    </row>
    <row r="280" spans="1:7" ht="13.5" customHeight="1">
      <c r="A280" s="2011"/>
      <c r="G280" s="2014"/>
    </row>
    <row r="281" spans="1:7" ht="13.5" customHeight="1">
      <c r="A281" s="2011"/>
      <c r="G281" s="2014"/>
    </row>
    <row r="282" spans="1:7" ht="13.5" customHeight="1">
      <c r="A282" s="2011"/>
      <c r="G282" s="2014"/>
    </row>
    <row r="283" spans="1:7" ht="13.5" customHeight="1">
      <c r="A283" s="2011"/>
      <c r="G283" s="2014"/>
    </row>
    <row r="284" spans="1:7" ht="13.5" customHeight="1">
      <c r="A284" s="2011"/>
      <c r="G284" s="2068"/>
    </row>
    <row r="285" spans="1:7" ht="13.5" customHeight="1">
      <c r="A285" s="2011"/>
      <c r="G285" s="2068"/>
    </row>
    <row r="286" spans="1:7" ht="13.5" customHeight="1">
      <c r="A286" s="2011"/>
      <c r="G286" s="2068"/>
    </row>
    <row r="287" spans="1:7" ht="13.5" customHeight="1">
      <c r="A287" s="2011"/>
      <c r="G287" s="2068"/>
    </row>
    <row r="288" spans="1:7" ht="13.5" customHeight="1">
      <c r="A288" s="2011"/>
      <c r="G288" s="2068"/>
    </row>
    <row r="289" spans="1:9" ht="13.5" customHeight="1">
      <c r="A289" s="2011"/>
      <c r="G289" s="2068"/>
    </row>
    <row r="290" spans="1:9" ht="13.5" customHeight="1">
      <c r="A290" s="2011"/>
      <c r="G290" s="2068"/>
    </row>
    <row r="291" spans="1:9" ht="13.5" customHeight="1">
      <c r="A291" s="2011"/>
      <c r="G291" s="2068"/>
    </row>
    <row r="292" spans="1:9" ht="13.5" customHeight="1">
      <c r="A292" s="2011"/>
      <c r="G292" s="2068"/>
    </row>
    <row r="293" spans="1:9" ht="13.5" customHeight="1">
      <c r="A293" s="2011"/>
      <c r="G293" s="2068"/>
    </row>
    <row r="294" spans="1:9" ht="13.5" customHeight="1">
      <c r="A294" s="2011"/>
      <c r="G294" s="2068"/>
    </row>
    <row r="295" spans="1:9" ht="13.5" customHeight="1">
      <c r="A295" s="2011"/>
      <c r="G295" s="2068"/>
    </row>
    <row r="296" spans="1:9" ht="13.5" customHeight="1">
      <c r="A296" s="2011"/>
      <c r="G296" s="2068"/>
    </row>
    <row r="297" spans="1:9" ht="13.5" customHeight="1">
      <c r="A297" s="2011"/>
      <c r="G297" s="2068"/>
      <c r="I297" s="874">
        <v>718064695</v>
      </c>
    </row>
    <row r="298" spans="1:9" ht="13.5" customHeight="1">
      <c r="A298" s="2011"/>
      <c r="G298" s="2068"/>
    </row>
    <row r="299" spans="1:9" ht="13.5" customHeight="1">
      <c r="A299" s="2011"/>
      <c r="G299" s="2068"/>
    </row>
    <row r="300" spans="1:9" ht="13.5" customHeight="1">
      <c r="A300" s="2011"/>
      <c r="G300" s="2068"/>
    </row>
    <row r="301" spans="1:9" ht="13.5" customHeight="1">
      <c r="A301" s="2011"/>
      <c r="G301" s="2068"/>
    </row>
    <row r="302" spans="1:9" ht="13.5" customHeight="1">
      <c r="A302" s="2011"/>
      <c r="G302" s="2068"/>
    </row>
    <row r="303" spans="1:9" ht="13.5" customHeight="1">
      <c r="A303" s="2011"/>
      <c r="G303" s="2068"/>
    </row>
    <row r="304" spans="1:9" ht="13.5" customHeight="1">
      <c r="A304" s="2011"/>
      <c r="G304" s="2068"/>
    </row>
    <row r="305" spans="1:7" ht="13.5" customHeight="1">
      <c r="A305" s="2011"/>
      <c r="G305" s="2068"/>
    </row>
    <row r="306" spans="1:7" ht="13.5" customHeight="1">
      <c r="A306" s="2011"/>
      <c r="G306" s="2068"/>
    </row>
    <row r="307" spans="1:7" ht="13.5" customHeight="1">
      <c r="A307" s="2011"/>
      <c r="G307" s="2068"/>
    </row>
    <row r="308" spans="1:7" ht="13.5" customHeight="1">
      <c r="A308" s="2011"/>
      <c r="G308" s="2068"/>
    </row>
    <row r="309" spans="1:7" ht="13.5" customHeight="1">
      <c r="A309" s="2011"/>
      <c r="G309" s="2068"/>
    </row>
    <row r="310" spans="1:7" ht="13.5" customHeight="1">
      <c r="A310" s="2011"/>
      <c r="G310" s="2068"/>
    </row>
    <row r="311" spans="1:7" ht="13.5" customHeight="1">
      <c r="A311" s="2011"/>
      <c r="G311" s="2068"/>
    </row>
    <row r="312" spans="1:7" ht="13.5" customHeight="1">
      <c r="A312" s="2011"/>
      <c r="G312" s="2068"/>
    </row>
    <row r="313" spans="1:7" ht="13.5" customHeight="1">
      <c r="A313" s="2011"/>
      <c r="G313" s="2068"/>
    </row>
    <row r="314" spans="1:7" ht="13.5" customHeight="1">
      <c r="A314" s="2011"/>
      <c r="G314" s="2068"/>
    </row>
    <row r="315" spans="1:7" ht="13.5" customHeight="1">
      <c r="A315" s="2011"/>
      <c r="G315" s="2068"/>
    </row>
    <row r="316" spans="1:7" ht="13.5" customHeight="1">
      <c r="A316" s="2011"/>
      <c r="G316" s="2068"/>
    </row>
    <row r="317" spans="1:7" ht="13.5" customHeight="1">
      <c r="A317" s="2011"/>
      <c r="G317" s="2068"/>
    </row>
    <row r="318" spans="1:7" ht="13.5" customHeight="1">
      <c r="A318" s="2011"/>
      <c r="G318" s="2068"/>
    </row>
    <row r="319" spans="1:7" ht="13.5" customHeight="1">
      <c r="A319" s="2011"/>
      <c r="G319" s="2068"/>
    </row>
    <row r="320" spans="1:7" ht="13.15" customHeight="1">
      <c r="A320" s="2011"/>
      <c r="G320" s="2068"/>
    </row>
    <row r="321" spans="1:7" ht="13.5" customHeight="1">
      <c r="A321" s="2011"/>
      <c r="G321" s="2068"/>
    </row>
    <row r="322" spans="1:7" ht="13.5" customHeight="1">
      <c r="A322" s="2011"/>
      <c r="G322" s="2068"/>
    </row>
    <row r="323" spans="1:7" ht="13.5" customHeight="1">
      <c r="A323" s="2011"/>
      <c r="G323" s="2068"/>
    </row>
    <row r="324" spans="1:7" ht="13.5" customHeight="1">
      <c r="A324" s="2011"/>
      <c r="G324" s="2068"/>
    </row>
    <row r="325" spans="1:7" ht="13.5" customHeight="1">
      <c r="A325" s="2011"/>
      <c r="G325" s="2068"/>
    </row>
    <row r="326" spans="1:7" ht="13.5" customHeight="1">
      <c r="A326" s="2011"/>
      <c r="G326" s="2068"/>
    </row>
    <row r="327" spans="1:7" ht="13.5" customHeight="1">
      <c r="A327" s="2011"/>
      <c r="G327" s="2068"/>
    </row>
    <row r="328" spans="1:7" ht="13.5" customHeight="1">
      <c r="A328" s="2011"/>
      <c r="G328" s="2068"/>
    </row>
    <row r="329" spans="1:7" ht="13.5" customHeight="1">
      <c r="A329" s="2011"/>
      <c r="G329" s="2068"/>
    </row>
    <row r="330" spans="1:7" ht="13.5" customHeight="1">
      <c r="A330" s="2011"/>
      <c r="G330" s="2068"/>
    </row>
    <row r="331" spans="1:7" ht="13.5" customHeight="1">
      <c r="A331" s="2011"/>
      <c r="G331" s="2068"/>
    </row>
    <row r="332" spans="1:7" ht="13.5" customHeight="1">
      <c r="A332" s="2011"/>
      <c r="G332" s="2068"/>
    </row>
    <row r="333" spans="1:7" ht="13.5" customHeight="1">
      <c r="A333" s="2011"/>
      <c r="G333" s="2068"/>
    </row>
    <row r="334" spans="1:7" ht="13.5" customHeight="1">
      <c r="A334" s="2011"/>
      <c r="G334" s="2068"/>
    </row>
    <row r="335" spans="1:7" ht="13.5" customHeight="1">
      <c r="A335" s="2011"/>
      <c r="G335" s="2068"/>
    </row>
    <row r="336" spans="1:7" ht="13.5" customHeight="1">
      <c r="A336" s="2011"/>
      <c r="G336" s="2068"/>
    </row>
    <row r="337" spans="1:7" ht="13.5" customHeight="1">
      <c r="A337" s="2011"/>
      <c r="G337" s="2068"/>
    </row>
    <row r="338" spans="1:7" ht="13.5" customHeight="1">
      <c r="A338" s="2011"/>
      <c r="G338" s="2068"/>
    </row>
    <row r="339" spans="1:7" ht="13.5" customHeight="1">
      <c r="A339" s="2011"/>
      <c r="G339" s="2068"/>
    </row>
    <row r="340" spans="1:7" ht="13.5" customHeight="1">
      <c r="A340" s="2011"/>
      <c r="G340" s="2068"/>
    </row>
    <row r="341" spans="1:7" ht="13.5" customHeight="1">
      <c r="A341" s="2011"/>
      <c r="G341" s="2068"/>
    </row>
    <row r="342" spans="1:7" ht="13.5" customHeight="1">
      <c r="A342" s="2011"/>
      <c r="G342" s="2068"/>
    </row>
    <row r="343" spans="1:7" ht="13.5" customHeight="1">
      <c r="A343" s="2011"/>
      <c r="G343" s="2068"/>
    </row>
    <row r="344" spans="1:7" ht="13.5" customHeight="1">
      <c r="A344" s="2011"/>
      <c r="G344" s="2068"/>
    </row>
    <row r="345" spans="1:7" ht="13.5" customHeight="1">
      <c r="A345" s="2011"/>
      <c r="G345" s="2068"/>
    </row>
    <row r="346" spans="1:7" ht="13.5" customHeight="1">
      <c r="A346" s="2011"/>
      <c r="G346" s="2068"/>
    </row>
    <row r="347" spans="1:7" ht="13.5" customHeight="1">
      <c r="A347" s="2011"/>
      <c r="G347" s="2068"/>
    </row>
    <row r="348" spans="1:7" ht="13.5" customHeight="1">
      <c r="A348" s="2011"/>
      <c r="G348" s="2068"/>
    </row>
    <row r="349" spans="1:7" ht="13.5" customHeight="1">
      <c r="A349" s="2011"/>
      <c r="G349" s="2068"/>
    </row>
    <row r="350" spans="1:7" ht="13.5" customHeight="1">
      <c r="A350" s="2011"/>
      <c r="G350" s="2068"/>
    </row>
    <row r="351" spans="1:7" ht="13.5" customHeight="1">
      <c r="A351" s="2011"/>
      <c r="G351" s="2068"/>
    </row>
    <row r="352" spans="1:7" ht="13.5" customHeight="1">
      <c r="A352" s="2011"/>
      <c r="G352" s="2068"/>
    </row>
    <row r="353" spans="1:7" ht="13.5" customHeight="1">
      <c r="A353" s="2011"/>
      <c r="G353" s="2068"/>
    </row>
    <row r="354" spans="1:7" ht="13.5" customHeight="1">
      <c r="A354" s="2011"/>
      <c r="G354" s="2068"/>
    </row>
    <row r="355" spans="1:7" ht="13.5" customHeight="1">
      <c r="A355" s="2011"/>
      <c r="G355" s="2068"/>
    </row>
    <row r="356" spans="1:7" ht="13.5" customHeight="1">
      <c r="A356" s="2011"/>
      <c r="G356" s="2068"/>
    </row>
    <row r="357" spans="1:7" ht="13.5" customHeight="1">
      <c r="A357" s="2011"/>
      <c r="G357" s="2068"/>
    </row>
    <row r="358" spans="1:7" ht="13.5" customHeight="1">
      <c r="A358" s="2011"/>
      <c r="G358" s="2068"/>
    </row>
    <row r="359" spans="1:7" ht="13.5" customHeight="1">
      <c r="A359" s="2011"/>
      <c r="G359" s="2068"/>
    </row>
    <row r="360" spans="1:7" ht="13.5" customHeight="1">
      <c r="A360" s="2011"/>
      <c r="G360" s="2068"/>
    </row>
    <row r="361" spans="1:7" ht="13.5" customHeight="1">
      <c r="A361" s="2011"/>
      <c r="G361" s="2068"/>
    </row>
    <row r="362" spans="1:7" ht="13.5" customHeight="1">
      <c r="A362" s="2011"/>
      <c r="G362" s="2068"/>
    </row>
    <row r="363" spans="1:7" ht="13.5" customHeight="1">
      <c r="A363" s="2011"/>
      <c r="G363" s="2068"/>
    </row>
    <row r="364" spans="1:7" ht="13.5" customHeight="1">
      <c r="A364" s="2011"/>
      <c r="G364" s="2068"/>
    </row>
    <row r="365" spans="1:7" ht="13.5" customHeight="1">
      <c r="A365" s="2011"/>
      <c r="G365" s="2068"/>
    </row>
    <row r="366" spans="1:7" ht="13.5" customHeight="1">
      <c r="A366" s="2011"/>
      <c r="G366" s="2068"/>
    </row>
    <row r="367" spans="1:7" ht="13.5" customHeight="1">
      <c r="A367" s="2011"/>
      <c r="G367" s="2068"/>
    </row>
    <row r="368" spans="1:7" ht="13.5" customHeight="1">
      <c r="A368" s="2011"/>
      <c r="G368" s="2068"/>
    </row>
    <row r="369" spans="1:7" ht="13.5" customHeight="1">
      <c r="A369" s="2011"/>
      <c r="G369" s="2068"/>
    </row>
    <row r="370" spans="1:7" ht="13.5" customHeight="1">
      <c r="A370" s="2011"/>
      <c r="G370" s="2068"/>
    </row>
    <row r="371" spans="1:7" ht="13.5" customHeight="1">
      <c r="A371" s="2011"/>
      <c r="G371" s="2068"/>
    </row>
    <row r="372" spans="1:7" ht="13.5" customHeight="1">
      <c r="A372" s="2011"/>
      <c r="G372" s="2068"/>
    </row>
    <row r="373" spans="1:7" ht="13.5" customHeight="1">
      <c r="A373" s="2011"/>
      <c r="G373" s="2068"/>
    </row>
    <row r="374" spans="1:7" ht="13.5" customHeight="1">
      <c r="A374" s="2067"/>
      <c r="G374" s="2014"/>
    </row>
    <row r="375" spans="1:7" ht="13.5" customHeight="1">
      <c r="A375" s="2011"/>
      <c r="G375" s="2014"/>
    </row>
    <row r="376" spans="1:7" ht="13.5" customHeight="1">
      <c r="A376" s="2011"/>
      <c r="G376" s="2014"/>
    </row>
    <row r="377" spans="1:7" ht="13.5" customHeight="1">
      <c r="A377" s="2011"/>
      <c r="G377" s="2014"/>
    </row>
    <row r="378" spans="1:7" ht="13.5" customHeight="1">
      <c r="A378" s="2022"/>
      <c r="G378" s="2014"/>
    </row>
    <row r="379" spans="1:7" ht="13.5" customHeight="1">
      <c r="A379" s="2023"/>
      <c r="G379" s="2014"/>
    </row>
    <row r="380" spans="1:7" ht="13.5" hidden="1" customHeight="1">
      <c r="A380" s="2023"/>
      <c r="G380" s="2014"/>
    </row>
    <row r="381" spans="1:7" ht="13.5" hidden="1" customHeight="1">
      <c r="A381" s="2023"/>
      <c r="G381" s="2014"/>
    </row>
    <row r="382" spans="1:7" ht="13.5" hidden="1" customHeight="1">
      <c r="A382" s="2023"/>
      <c r="G382" s="2014"/>
    </row>
    <row r="383" spans="1:7" ht="13.5" hidden="1" customHeight="1">
      <c r="A383" s="2023"/>
      <c r="G383" s="2014"/>
    </row>
    <row r="384" spans="1:7" ht="13.5" hidden="1" customHeight="1">
      <c r="A384" s="2023"/>
      <c r="G384" s="2014"/>
    </row>
    <row r="385" spans="1:7" ht="13.5" hidden="1" customHeight="1">
      <c r="A385" s="2023"/>
      <c r="G385" s="2014"/>
    </row>
    <row r="386" spans="1:7" ht="13.5" hidden="1" customHeight="1">
      <c r="A386" s="2023"/>
      <c r="G386" s="2014"/>
    </row>
    <row r="387" spans="1:7" ht="13.5" hidden="1" customHeight="1">
      <c r="A387" s="2023"/>
      <c r="G387" s="2014"/>
    </row>
    <row r="388" spans="1:7" ht="13.5" hidden="1" customHeight="1">
      <c r="A388" s="2023"/>
      <c r="G388" s="2014"/>
    </row>
    <row r="389" spans="1:7" ht="13.5" hidden="1" customHeight="1">
      <c r="A389" s="2023"/>
      <c r="G389" s="2014"/>
    </row>
    <row r="390" spans="1:7" ht="13.5" hidden="1" customHeight="1">
      <c r="A390" s="2023"/>
      <c r="G390" s="2014"/>
    </row>
    <row r="391" spans="1:7" ht="13.5" hidden="1" customHeight="1">
      <c r="A391" s="2023"/>
      <c r="G391" s="2014"/>
    </row>
    <row r="392" spans="1:7" ht="13.5" hidden="1" customHeight="1">
      <c r="A392" s="2023"/>
      <c r="G392" s="2014"/>
    </row>
    <row r="393" spans="1:7" ht="13.5" hidden="1" customHeight="1">
      <c r="A393" s="2023"/>
      <c r="G393" s="2014"/>
    </row>
    <row r="394" spans="1:7" ht="13.5" hidden="1" customHeight="1">
      <c r="A394" s="2023"/>
      <c r="G394" s="2014"/>
    </row>
    <row r="395" spans="1:7" ht="13.5" hidden="1" customHeight="1">
      <c r="A395" s="2023"/>
      <c r="G395" s="2014"/>
    </row>
    <row r="396" spans="1:7" ht="13.5" hidden="1" customHeight="1">
      <c r="A396" s="2023"/>
      <c r="G396" s="2014"/>
    </row>
    <row r="397" spans="1:7" ht="13.5" hidden="1" customHeight="1">
      <c r="A397" s="2023"/>
      <c r="G397" s="2020"/>
    </row>
    <row r="398" spans="1:7" ht="13.5" hidden="1" customHeight="1">
      <c r="A398" s="2023"/>
      <c r="G398" s="2020"/>
    </row>
    <row r="399" spans="1:7" hidden="1">
      <c r="A399" s="2023"/>
      <c r="G399" s="2020"/>
    </row>
    <row r="400" spans="1:7" ht="13.5" hidden="1" customHeight="1">
      <c r="A400" s="2023"/>
      <c r="G400" s="2020"/>
    </row>
    <row r="401" spans="1:7" ht="13.5" hidden="1" customHeight="1">
      <c r="A401" s="2023"/>
      <c r="G401" s="2020"/>
    </row>
    <row r="402" spans="1:7" ht="13.5" hidden="1" customHeight="1">
      <c r="A402" s="2023"/>
      <c r="G402" s="2020"/>
    </row>
    <row r="403" spans="1:7" ht="13.5" hidden="1" customHeight="1">
      <c r="A403" s="2023"/>
      <c r="G403" s="2020"/>
    </row>
    <row r="404" spans="1:7" ht="13.5" hidden="1" customHeight="1">
      <c r="A404" s="2023"/>
      <c r="G404" s="2020"/>
    </row>
    <row r="405" spans="1:7" ht="13.5" hidden="1" customHeight="1">
      <c r="A405" s="2023"/>
      <c r="G405" s="2020"/>
    </row>
    <row r="406" spans="1:7" ht="13.5" hidden="1" customHeight="1">
      <c r="A406" s="2023"/>
      <c r="G406" s="2020"/>
    </row>
    <row r="407" spans="1:7" ht="13.5" hidden="1" customHeight="1">
      <c r="A407" s="2023"/>
      <c r="G407" s="2020"/>
    </row>
    <row r="408" spans="1:7" ht="13.5" hidden="1" customHeight="1">
      <c r="A408" s="2023"/>
      <c r="G408" s="2020"/>
    </row>
    <row r="409" spans="1:7" ht="13.5" hidden="1" customHeight="1">
      <c r="A409" s="2023"/>
      <c r="G409" s="2020"/>
    </row>
    <row r="410" spans="1:7" ht="13.5" hidden="1" customHeight="1">
      <c r="A410" s="2023"/>
      <c r="G410" s="2020"/>
    </row>
    <row r="411" spans="1:7" ht="13.5" hidden="1" customHeight="1">
      <c r="A411" s="2023"/>
      <c r="G411" s="2020"/>
    </row>
    <row r="412" spans="1:7" ht="13.5" hidden="1" customHeight="1">
      <c r="A412" s="2023"/>
      <c r="G412" s="2020"/>
    </row>
    <row r="413" spans="1:7" ht="13.5" hidden="1" customHeight="1">
      <c r="A413" s="2023"/>
      <c r="G413" s="2020"/>
    </row>
    <row r="414" spans="1:7" ht="13.5" hidden="1" customHeight="1">
      <c r="A414" s="2023"/>
      <c r="G414" s="2020"/>
    </row>
    <row r="415" spans="1:7" ht="13.5" hidden="1" customHeight="1">
      <c r="A415" s="2023"/>
      <c r="G415" s="2020"/>
    </row>
    <row r="416" spans="1:7" ht="13.5" hidden="1" customHeight="1">
      <c r="A416" s="2023"/>
      <c r="G416" s="2020"/>
    </row>
    <row r="417" spans="1:7" ht="13.5" hidden="1" customHeight="1">
      <c r="A417" s="2023"/>
      <c r="G417" s="2020"/>
    </row>
    <row r="418" spans="1:7" ht="13.5" hidden="1" customHeight="1">
      <c r="A418" s="2023"/>
      <c r="G418" s="2020"/>
    </row>
    <row r="419" spans="1:7" ht="13.5" hidden="1" customHeight="1">
      <c r="A419" s="2023"/>
      <c r="G419" s="2020"/>
    </row>
    <row r="420" spans="1:7" ht="13.5" hidden="1" customHeight="1">
      <c r="A420" s="2023"/>
      <c r="G420" s="2020"/>
    </row>
    <row r="421" spans="1:7" ht="13.5" hidden="1" customHeight="1">
      <c r="A421" s="2023"/>
      <c r="G421" s="2020"/>
    </row>
    <row r="422" spans="1:7" ht="13.5" hidden="1" customHeight="1">
      <c r="A422" s="2023"/>
      <c r="G422" s="2020"/>
    </row>
    <row r="423" spans="1:7" ht="13.5" hidden="1" customHeight="1">
      <c r="A423" s="2023"/>
      <c r="G423" s="2020"/>
    </row>
    <row r="424" spans="1:7" ht="13.5" hidden="1" customHeight="1">
      <c r="A424" s="2023"/>
      <c r="G424" s="2020"/>
    </row>
    <row r="425" spans="1:7" ht="13.5" hidden="1" customHeight="1">
      <c r="A425" s="2023"/>
      <c r="G425" s="2020"/>
    </row>
    <row r="426" spans="1:7" ht="13.5" hidden="1" customHeight="1">
      <c r="A426" s="2023"/>
      <c r="G426" s="2020"/>
    </row>
    <row r="427" spans="1:7" ht="13.5" hidden="1" customHeight="1">
      <c r="A427" s="2023"/>
      <c r="G427" s="2020"/>
    </row>
    <row r="428" spans="1:7" ht="13.5" hidden="1" customHeight="1">
      <c r="A428" s="2023"/>
      <c r="G428" s="2020"/>
    </row>
    <row r="429" spans="1:7" ht="13.5" hidden="1" customHeight="1">
      <c r="A429" s="2023"/>
      <c r="G429" s="2020"/>
    </row>
    <row r="430" spans="1:7" ht="13.5" hidden="1" customHeight="1">
      <c r="A430" s="2023"/>
      <c r="G430" s="2020"/>
    </row>
    <row r="431" spans="1:7" ht="13.5" hidden="1" customHeight="1">
      <c r="A431" s="2023"/>
      <c r="G431" s="2020"/>
    </row>
    <row r="432" spans="1:7" ht="13.5" hidden="1" customHeight="1">
      <c r="A432" s="2023"/>
      <c r="G432" s="2020"/>
    </row>
    <row r="433" spans="1:7" ht="13.5" hidden="1" customHeight="1">
      <c r="A433" s="2023"/>
      <c r="G433" s="2020"/>
    </row>
    <row r="434" spans="1:7" ht="13.5" hidden="1" customHeight="1">
      <c r="A434" s="2023"/>
      <c r="G434" s="2020"/>
    </row>
    <row r="435" spans="1:7" ht="13.5" hidden="1" customHeight="1">
      <c r="A435" s="2023"/>
      <c r="G435" s="2020"/>
    </row>
    <row r="436" spans="1:7" ht="13.5" hidden="1" customHeight="1">
      <c r="A436" s="2023"/>
      <c r="G436" s="2020"/>
    </row>
    <row r="437" spans="1:7" ht="13.5" hidden="1" customHeight="1">
      <c r="A437" s="2023"/>
      <c r="G437" s="2020"/>
    </row>
    <row r="438" spans="1:7" ht="13.5" hidden="1" customHeight="1">
      <c r="A438" s="2023"/>
      <c r="G438" s="2020"/>
    </row>
    <row r="439" spans="1:7" ht="13.5" hidden="1" customHeight="1">
      <c r="A439" s="2023"/>
      <c r="G439" s="2020"/>
    </row>
    <row r="440" spans="1:7" ht="13.5" hidden="1" customHeight="1">
      <c r="A440" s="2023"/>
      <c r="G440" s="2020"/>
    </row>
    <row r="441" spans="1:7" ht="13.5" hidden="1" customHeight="1">
      <c r="A441" s="2023"/>
      <c r="G441" s="2020"/>
    </row>
    <row r="442" spans="1:7" ht="13.5" hidden="1" customHeight="1">
      <c r="A442" s="2023"/>
      <c r="G442" s="2020"/>
    </row>
    <row r="443" spans="1:7" ht="13.5" hidden="1" customHeight="1">
      <c r="A443" s="2023"/>
      <c r="G443" s="2020"/>
    </row>
    <row r="444" spans="1:7" ht="13.5" hidden="1" customHeight="1">
      <c r="A444" s="2023"/>
      <c r="G444" s="2020"/>
    </row>
    <row r="445" spans="1:7" ht="13.5" hidden="1" customHeight="1">
      <c r="A445" s="2023"/>
      <c r="G445" s="2020"/>
    </row>
    <row r="446" spans="1:7" ht="13.5" hidden="1" customHeight="1">
      <c r="A446" s="2023"/>
      <c r="G446" s="2020"/>
    </row>
    <row r="447" spans="1:7" ht="13.5" hidden="1" customHeight="1">
      <c r="A447" s="2023"/>
      <c r="G447" s="2020"/>
    </row>
    <row r="448" spans="1:7" ht="13.5" hidden="1" customHeight="1">
      <c r="A448" s="2023"/>
      <c r="G448" s="2020"/>
    </row>
    <row r="449" spans="1:7" ht="13.5" hidden="1" customHeight="1">
      <c r="A449" s="2023"/>
      <c r="G449" s="2020"/>
    </row>
    <row r="450" spans="1:7" ht="13.5" hidden="1" customHeight="1">
      <c r="A450" s="2023"/>
      <c r="G450" s="2020"/>
    </row>
    <row r="451" spans="1:7" ht="13.5" hidden="1" customHeight="1">
      <c r="A451" s="2023"/>
      <c r="G451" s="2020"/>
    </row>
    <row r="452" spans="1:7" ht="13.5" hidden="1" customHeight="1">
      <c r="A452" s="2023"/>
      <c r="G452" s="2020"/>
    </row>
    <row r="453" spans="1:7" ht="13.5" hidden="1" customHeight="1">
      <c r="A453" s="2023"/>
      <c r="G453" s="2056"/>
    </row>
    <row r="454" spans="1:7" ht="13.5" hidden="1" customHeight="1">
      <c r="A454" s="2023"/>
      <c r="G454" s="2020"/>
    </row>
    <row r="455" spans="1:7" ht="13.5" hidden="1" customHeight="1">
      <c r="A455" s="2023"/>
      <c r="G455" s="2020"/>
    </row>
    <row r="456" spans="1:7" ht="13.5" hidden="1" customHeight="1">
      <c r="A456" s="2023"/>
      <c r="G456" s="2056"/>
    </row>
    <row r="457" spans="1:7" ht="13.5" hidden="1" customHeight="1">
      <c r="A457" s="2023"/>
      <c r="G457" s="2020"/>
    </row>
    <row r="458" spans="1:7" ht="13.5" customHeight="1">
      <c r="A458" s="2023"/>
      <c r="G458" s="2020"/>
    </row>
    <row r="459" spans="1:7" ht="13.5" customHeight="1">
      <c r="A459" s="2023"/>
      <c r="G459" s="2024"/>
    </row>
    <row r="460" spans="1:7" ht="13.5" customHeight="1">
      <c r="A460" s="2023"/>
    </row>
    <row r="461" spans="1:7" ht="13.5" customHeight="1">
      <c r="A461" s="2023"/>
      <c r="G461" s="2024"/>
    </row>
    <row r="462" spans="1:7" ht="13.5" customHeight="1">
      <c r="A462" s="2023"/>
    </row>
    <row r="463" spans="1:7" ht="13.5" customHeight="1">
      <c r="A463" s="2023"/>
    </row>
    <row r="464" spans="1:7" ht="13.5" customHeight="1">
      <c r="A464" s="2023"/>
    </row>
    <row r="465" spans="1:7" ht="13.5" customHeight="1">
      <c r="A465" s="2023"/>
    </row>
    <row r="466" spans="1:7" ht="13.5" customHeight="1">
      <c r="A466" s="2023"/>
      <c r="G466" s="2024"/>
    </row>
    <row r="467" spans="1:7" ht="13.5" customHeight="1">
      <c r="A467" s="2023"/>
    </row>
    <row r="468" spans="1:7" ht="13.5" customHeight="1">
      <c r="A468" s="2023"/>
    </row>
    <row r="469" spans="1:7" ht="13.5" customHeight="1">
      <c r="A469" s="2023"/>
    </row>
    <row r="470" spans="1:7" ht="13.5" customHeight="1">
      <c r="A470" s="2023"/>
    </row>
    <row r="471" spans="1:7" ht="13.5" customHeight="1">
      <c r="A471" s="2023"/>
    </row>
    <row r="472" spans="1:7" ht="13.5" customHeight="1">
      <c r="A472" s="2023"/>
    </row>
    <row r="473" spans="1:7" ht="13.5" customHeight="1">
      <c r="A473" s="2023"/>
    </row>
    <row r="474" spans="1:7" ht="13.5" customHeight="1">
      <c r="A474" s="2023"/>
    </row>
    <row r="475" spans="1:7" ht="13.5" customHeight="1">
      <c r="A475" s="2023"/>
    </row>
    <row r="476" spans="1:7" ht="13.5" hidden="1" customHeight="1">
      <c r="A476" s="2023"/>
      <c r="G476" s="2024">
        <f>A474</f>
        <v>0</v>
      </c>
    </row>
    <row r="477" spans="1:7" ht="13.5" hidden="1" customHeight="1">
      <c r="A477" s="2023"/>
      <c r="G477" s="874">
        <v>1</v>
      </c>
    </row>
    <row r="478" spans="1:7" ht="13.5" hidden="1" customHeight="1">
      <c r="A478" s="2023"/>
      <c r="G478" s="2024">
        <f>402-G476-G477-G479</f>
        <v>399</v>
      </c>
    </row>
    <row r="479" spans="1:7" ht="13.5" hidden="1" customHeight="1">
      <c r="A479" s="2023"/>
      <c r="G479" s="874">
        <v>2</v>
      </c>
    </row>
    <row r="480" spans="1:7" ht="13.5" customHeight="1">
      <c r="A480" s="2023"/>
    </row>
    <row r="481" spans="1:1" ht="13.5" customHeight="1">
      <c r="A481" s="2023"/>
    </row>
    <row r="482" spans="1:1" ht="13.5" customHeight="1">
      <c r="A482" s="2023"/>
    </row>
    <row r="483" spans="1:1" ht="13.5" customHeight="1">
      <c r="A483" s="2023"/>
    </row>
    <row r="484" spans="1:1" ht="13.5" customHeight="1">
      <c r="A484" s="2025"/>
    </row>
    <row r="485" spans="1:1" ht="13.5" customHeight="1">
      <c r="A485" s="2025"/>
    </row>
    <row r="486" spans="1:1" ht="13.5" customHeight="1">
      <c r="A486" s="2025"/>
    </row>
    <row r="487" spans="1:1" ht="13.5" customHeight="1">
      <c r="A487" s="2025"/>
    </row>
    <row r="488" spans="1:1" ht="13.5" customHeight="1">
      <c r="A488" s="2025"/>
    </row>
    <row r="489" spans="1:1" ht="13.5" customHeight="1">
      <c r="A489" s="2025"/>
    </row>
    <row r="490" spans="1:1" ht="13.5" customHeight="1">
      <c r="A490" s="2025"/>
    </row>
    <row r="491" spans="1:1" ht="13.5" customHeight="1">
      <c r="A491" s="2025"/>
    </row>
    <row r="492" spans="1:1" ht="13.5" customHeight="1">
      <c r="A492" s="2025"/>
    </row>
    <row r="493" spans="1:1" ht="13.5" customHeight="1">
      <c r="A493" s="2026"/>
    </row>
    <row r="494" spans="1:1" ht="13.5" customHeight="1">
      <c r="A494" s="1269"/>
    </row>
    <row r="495" spans="1:1" ht="13.5" customHeight="1">
      <c r="A495" s="1269"/>
    </row>
    <row r="496" spans="1:1" ht="13.5" customHeight="1">
      <c r="A496" s="1269"/>
    </row>
    <row r="497" spans="1:1" ht="13.5" customHeight="1">
      <c r="A497" s="1269"/>
    </row>
    <row r="498" spans="1:1" ht="13.5" customHeight="1">
      <c r="A498" s="1269"/>
    </row>
    <row r="499" spans="1:1" ht="13.5" customHeight="1">
      <c r="A499" s="1269"/>
    </row>
    <row r="500" spans="1:1" ht="13.5" customHeight="1">
      <c r="A500" s="1269"/>
    </row>
    <row r="501" spans="1:1" ht="13.5" customHeight="1">
      <c r="A501" s="1269"/>
    </row>
    <row r="502" spans="1:1" ht="13.5" customHeight="1">
      <c r="A502" s="1269"/>
    </row>
    <row r="503" spans="1:1" ht="13.5" customHeight="1">
      <c r="A503" s="1269"/>
    </row>
    <row r="504" spans="1:1" ht="13.5" customHeight="1">
      <c r="A504" s="1269"/>
    </row>
    <row r="505" spans="1:1" ht="13.5" customHeight="1">
      <c r="A505" s="1269"/>
    </row>
    <row r="506" spans="1:1" ht="13.5" customHeight="1">
      <c r="A506" s="1269"/>
    </row>
    <row r="507" spans="1:1" ht="13.5" customHeight="1">
      <c r="A507" s="1269"/>
    </row>
    <row r="508" spans="1:1" ht="13.5" customHeight="1">
      <c r="A508" s="1269"/>
    </row>
    <row r="509" spans="1:1" ht="13.5" customHeight="1">
      <c r="A509" s="1269"/>
    </row>
    <row r="510" spans="1:1" ht="13.5" customHeight="1">
      <c r="A510" s="1269"/>
    </row>
    <row r="511" spans="1:1" ht="13.5" customHeight="1">
      <c r="A511" s="1269"/>
    </row>
    <row r="512" spans="1:1" ht="13.5" customHeight="1">
      <c r="A512" s="1269"/>
    </row>
    <row r="513" spans="1:1" ht="13.5" customHeight="1">
      <c r="A513" s="1269"/>
    </row>
    <row r="514" spans="1:1" ht="13.5" customHeight="1">
      <c r="A514" s="1269"/>
    </row>
    <row r="515" spans="1:1" ht="13.5" customHeight="1">
      <c r="A515" s="1269"/>
    </row>
    <row r="516" spans="1:1" ht="13.5" customHeight="1">
      <c r="A516" s="1269"/>
    </row>
    <row r="517" spans="1:1" ht="13.5" customHeight="1">
      <c r="A517" s="1269"/>
    </row>
    <row r="518" spans="1:1" ht="13.5" customHeight="1">
      <c r="A518" s="1269"/>
    </row>
    <row r="519" spans="1:1" ht="13.5" customHeight="1">
      <c r="A519" s="1269"/>
    </row>
    <row r="520" spans="1:1" ht="13.5" customHeight="1">
      <c r="A520" s="1269"/>
    </row>
    <row r="521" spans="1:1" ht="13.5" customHeight="1">
      <c r="A521" s="1269"/>
    </row>
    <row r="522" spans="1:1" ht="13.5" customHeight="1">
      <c r="A522" s="1269"/>
    </row>
    <row r="523" spans="1:1" ht="13.5" customHeight="1">
      <c r="A523" s="1269"/>
    </row>
    <row r="524" spans="1:1" ht="13.5" customHeight="1">
      <c r="A524" s="1269"/>
    </row>
    <row r="525" spans="1:1" ht="13.5" customHeight="1">
      <c r="A525" s="1269"/>
    </row>
    <row r="526" spans="1:1" ht="13.5" customHeight="1">
      <c r="A526" s="1269"/>
    </row>
    <row r="527" spans="1:1" ht="13.5" customHeight="1">
      <c r="A527" s="1269"/>
    </row>
    <row r="528" spans="1:1" ht="13.5" customHeight="1">
      <c r="A528" s="1269"/>
    </row>
    <row r="529" spans="1:1" ht="13.5" customHeight="1">
      <c r="A529" s="1269"/>
    </row>
    <row r="530" spans="1:1" ht="13.5" customHeight="1">
      <c r="A530" s="1269"/>
    </row>
    <row r="531" spans="1:1" ht="13.5" customHeight="1">
      <c r="A531" s="1269"/>
    </row>
    <row r="532" spans="1:1" ht="13.5" customHeight="1">
      <c r="A532" s="1269"/>
    </row>
    <row r="533" spans="1:1" ht="13.5" customHeight="1">
      <c r="A533" s="1269"/>
    </row>
    <row r="534" spans="1:1" ht="13.5" customHeight="1">
      <c r="A534" s="1269"/>
    </row>
    <row r="535" spans="1:1" ht="13.5" customHeight="1">
      <c r="A535" s="1269"/>
    </row>
    <row r="536" spans="1:1" ht="13.5" customHeight="1">
      <c r="A536" s="2027"/>
    </row>
    <row r="537" spans="1:1" ht="13.5" customHeight="1"/>
    <row r="538" spans="1:1" ht="13.5" customHeight="1"/>
    <row r="539" spans="1:1" ht="13.5" customHeight="1"/>
    <row r="540" spans="1:1" ht="13.5" customHeight="1"/>
    <row r="541" spans="1:1" ht="13.5" customHeight="1"/>
    <row r="542" spans="1:1" ht="13.5" customHeight="1"/>
    <row r="543" spans="1:1" ht="13.5" customHeight="1"/>
    <row r="544" spans="1:1" ht="13.5" customHeight="1"/>
    <row r="545" spans="7:10" ht="13.5" customHeight="1"/>
    <row r="546" spans="7:10" ht="13.5" customHeight="1"/>
    <row r="547" spans="7:10" ht="13.5" customHeight="1"/>
    <row r="548" spans="7:10" ht="13.5" customHeight="1"/>
    <row r="549" spans="7:10" ht="13.5" customHeight="1"/>
    <row r="550" spans="7:10" ht="13.5" customHeight="1"/>
    <row r="551" spans="7:10" ht="13.5" customHeight="1"/>
    <row r="552" spans="7:10" ht="13.5" customHeight="1"/>
    <row r="553" spans="7:10" ht="13.5" customHeight="1"/>
    <row r="554" spans="7:10" ht="13.5" customHeight="1"/>
    <row r="555" spans="7:10" ht="13.5" customHeight="1">
      <c r="G555" s="874" t="s">
        <v>293</v>
      </c>
    </row>
    <row r="556" spans="7:10">
      <c r="G556" s="874" t="s">
        <v>309</v>
      </c>
      <c r="J556" s="881"/>
    </row>
    <row r="559" spans="7:10">
      <c r="H559" s="874" t="s">
        <v>574</v>
      </c>
    </row>
  </sheetData>
  <phoneticPr fontId="88" type="noConversion"/>
  <pageMargins left="0.7" right="0.7" top="0.75" bottom="0.75" header="0.3" footer="0.3"/>
  <pageSetup paperSize="9" fitToHeight="0" orientation="portrait" r:id="rId1"/>
  <rowBreaks count="1" manualBreakCount="1">
    <brk id="172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7"/>
  </sheetPr>
  <dimension ref="A1:P86"/>
  <sheetViews>
    <sheetView view="pageBreakPreview" topLeftCell="A17" zoomScaleNormal="100" zoomScaleSheetLayoutView="100" workbookViewId="0">
      <selection activeCell="D40" sqref="D40"/>
    </sheetView>
  </sheetViews>
  <sheetFormatPr defaultColWidth="9.140625" defaultRowHeight="13.9"/>
  <cols>
    <col min="1" max="2" width="9.140625" style="317"/>
    <col min="3" max="3" width="14.140625" style="317" customWidth="1"/>
    <col min="4" max="4" width="9.140625" style="317"/>
    <col min="5" max="5" width="17.42578125" style="317" customWidth="1"/>
    <col min="6" max="6" width="14" style="317" bestFit="1" customWidth="1"/>
    <col min="7" max="16384" width="9.140625" style="317"/>
  </cols>
  <sheetData>
    <row r="1" spans="1:6">
      <c r="A1" s="934" t="s">
        <v>82</v>
      </c>
      <c r="B1" s="934"/>
      <c r="C1" s="882"/>
      <c r="D1" s="882"/>
      <c r="E1" s="882"/>
      <c r="F1" s="882"/>
    </row>
    <row r="2" spans="1:6">
      <c r="A2" s="882"/>
      <c r="B2" s="882"/>
      <c r="C2" s="882"/>
      <c r="D2" s="882"/>
      <c r="E2" s="882"/>
      <c r="F2" s="882"/>
    </row>
    <row r="3" spans="1:6">
      <c r="A3" s="934" t="s">
        <v>450</v>
      </c>
      <c r="B3" s="934"/>
      <c r="C3" s="882"/>
      <c r="D3" s="882"/>
      <c r="E3" s="2028">
        <f>+'Summary Total Pigs'!C3</f>
        <v>46226</v>
      </c>
      <c r="F3" s="882"/>
    </row>
    <row r="4" spans="1:6">
      <c r="A4" s="882"/>
      <c r="B4" s="882"/>
      <c r="C4" s="882"/>
      <c r="D4" s="882"/>
      <c r="E4" s="882"/>
      <c r="F4" s="882"/>
    </row>
    <row r="5" spans="1:6">
      <c r="A5" s="968"/>
      <c r="B5" s="968"/>
      <c r="C5" s="968" t="s">
        <v>575</v>
      </c>
      <c r="D5" s="968" t="s">
        <v>452</v>
      </c>
      <c r="E5" s="968" t="s">
        <v>576</v>
      </c>
      <c r="F5" s="968" t="s">
        <v>577</v>
      </c>
    </row>
    <row r="6" spans="1:6">
      <c r="A6" s="1269">
        <v>1</v>
      </c>
      <c r="B6" s="1269">
        <v>1</v>
      </c>
      <c r="C6" s="2031" t="s">
        <v>578</v>
      </c>
      <c r="D6" s="894"/>
      <c r="E6" s="2030">
        <v>45170</v>
      </c>
      <c r="F6" s="894" t="s">
        <v>114</v>
      </c>
    </row>
    <row r="7" spans="1:6">
      <c r="A7" s="1269">
        <f>+A6+1</f>
        <v>2</v>
      </c>
      <c r="B7" s="1269">
        <v>1</v>
      </c>
      <c r="C7" s="2032" t="s">
        <v>579</v>
      </c>
      <c r="D7" s="2031"/>
      <c r="E7" s="2030">
        <v>45328</v>
      </c>
      <c r="F7" s="2031" t="s">
        <v>114</v>
      </c>
    </row>
    <row r="8" spans="1:6">
      <c r="A8" s="1269">
        <f t="shared" ref="A8:A38" si="0">+A7+1</f>
        <v>3</v>
      </c>
      <c r="B8" s="1269">
        <f>+B7+1</f>
        <v>2</v>
      </c>
      <c r="C8" s="2032" t="s">
        <v>580</v>
      </c>
      <c r="D8" s="2031"/>
      <c r="E8" s="2030">
        <v>45328</v>
      </c>
      <c r="F8" s="2031" t="s">
        <v>114</v>
      </c>
    </row>
    <row r="9" spans="1:6">
      <c r="A9" s="1269">
        <f t="shared" si="0"/>
        <v>4</v>
      </c>
      <c r="B9" s="1269">
        <f t="shared" ref="B9:B10" si="1">B8+1</f>
        <v>3</v>
      </c>
      <c r="C9" s="2032" t="s">
        <v>581</v>
      </c>
      <c r="D9" s="2031"/>
      <c r="E9" s="2030">
        <v>45328</v>
      </c>
      <c r="F9" s="2031" t="s">
        <v>114</v>
      </c>
    </row>
    <row r="10" spans="1:6">
      <c r="A10" s="1269">
        <f t="shared" si="0"/>
        <v>5</v>
      </c>
      <c r="B10" s="1269">
        <f t="shared" si="1"/>
        <v>4</v>
      </c>
      <c r="C10" s="2032" t="s">
        <v>582</v>
      </c>
      <c r="D10" s="2031"/>
      <c r="E10" s="2030">
        <v>45328</v>
      </c>
      <c r="F10" s="2031" t="s">
        <v>192</v>
      </c>
    </row>
    <row r="11" spans="1:6">
      <c r="A11" s="1269">
        <f t="shared" si="0"/>
        <v>6</v>
      </c>
      <c r="B11" s="1269">
        <v>1</v>
      </c>
      <c r="C11" s="2032" t="s">
        <v>583</v>
      </c>
      <c r="D11" s="2031"/>
      <c r="E11" s="2030">
        <v>45627</v>
      </c>
      <c r="F11" s="2031" t="s">
        <v>114</v>
      </c>
    </row>
    <row r="12" spans="1:6">
      <c r="A12" s="1269">
        <f t="shared" si="0"/>
        <v>7</v>
      </c>
      <c r="B12" s="2037">
        <f>B11+1</f>
        <v>2</v>
      </c>
      <c r="C12" s="894" t="s">
        <v>584</v>
      </c>
      <c r="D12" s="894"/>
      <c r="E12" s="1949">
        <v>45627</v>
      </c>
      <c r="F12" s="895" t="s">
        <v>114</v>
      </c>
    </row>
    <row r="13" spans="1:6">
      <c r="A13" s="1269">
        <f t="shared" si="0"/>
        <v>8</v>
      </c>
      <c r="B13" s="894">
        <v>1</v>
      </c>
      <c r="C13" s="894" t="s">
        <v>585</v>
      </c>
      <c r="D13" s="894"/>
      <c r="E13" s="1949">
        <v>45748</v>
      </c>
      <c r="F13" s="895" t="s">
        <v>114</v>
      </c>
    </row>
    <row r="14" spans="1:6">
      <c r="A14" s="1269">
        <f t="shared" si="0"/>
        <v>9</v>
      </c>
      <c r="B14" s="894">
        <f>B13+1</f>
        <v>2</v>
      </c>
      <c r="C14" s="894" t="s">
        <v>586</v>
      </c>
      <c r="D14" s="894"/>
      <c r="E14" s="1949">
        <v>45748</v>
      </c>
      <c r="F14" s="895" t="s">
        <v>114</v>
      </c>
    </row>
    <row r="15" spans="1:6">
      <c r="A15" s="1269">
        <f t="shared" si="0"/>
        <v>10</v>
      </c>
      <c r="B15" s="894">
        <f t="shared" ref="B15:B16" si="2">B14+1</f>
        <v>3</v>
      </c>
      <c r="C15" s="894" t="s">
        <v>587</v>
      </c>
      <c r="D15" s="894"/>
      <c r="E15" s="1949">
        <v>45748</v>
      </c>
      <c r="F15" s="895" t="s">
        <v>114</v>
      </c>
    </row>
    <row r="16" spans="1:6">
      <c r="A16" s="1269">
        <f t="shared" si="0"/>
        <v>11</v>
      </c>
      <c r="B16" s="894">
        <f t="shared" si="2"/>
        <v>4</v>
      </c>
      <c r="C16" s="894" t="s">
        <v>588</v>
      </c>
      <c r="D16" s="894"/>
      <c r="E16" s="1949">
        <v>45748</v>
      </c>
      <c r="F16" s="895" t="s">
        <v>114</v>
      </c>
    </row>
    <row r="17" spans="1:6">
      <c r="A17" s="1269">
        <f t="shared" si="0"/>
        <v>12</v>
      </c>
      <c r="B17" s="894">
        <v>1</v>
      </c>
      <c r="C17" s="894" t="s">
        <v>589</v>
      </c>
      <c r="D17" s="894"/>
      <c r="E17" s="1949">
        <v>45901</v>
      </c>
      <c r="F17" s="895" t="s">
        <v>114</v>
      </c>
    </row>
    <row r="18" spans="1:6">
      <c r="A18" s="1269">
        <f t="shared" si="0"/>
        <v>13</v>
      </c>
      <c r="B18" s="894">
        <f>B17+1</f>
        <v>2</v>
      </c>
      <c r="C18" s="894" t="s">
        <v>590</v>
      </c>
      <c r="D18" s="894"/>
      <c r="E18" s="1949">
        <v>45901</v>
      </c>
      <c r="F18" s="895" t="s">
        <v>114</v>
      </c>
    </row>
    <row r="19" spans="1:6">
      <c r="A19" s="1269">
        <f t="shared" si="0"/>
        <v>14</v>
      </c>
      <c r="B19" s="894">
        <f t="shared" ref="B19" si="3">B18+1</f>
        <v>3</v>
      </c>
      <c r="C19" s="894" t="s">
        <v>591</v>
      </c>
      <c r="D19" s="894"/>
      <c r="E19" s="1949">
        <v>45901</v>
      </c>
      <c r="F19" s="895" t="s">
        <v>114</v>
      </c>
    </row>
    <row r="20" spans="1:6">
      <c r="A20" s="1269">
        <f t="shared" si="0"/>
        <v>15</v>
      </c>
      <c r="B20" s="894">
        <f>+B19+1</f>
        <v>4</v>
      </c>
      <c r="C20" s="894" t="s">
        <v>592</v>
      </c>
      <c r="D20" s="894"/>
      <c r="E20" s="1949">
        <v>45901</v>
      </c>
      <c r="F20" s="895" t="s">
        <v>114</v>
      </c>
    </row>
    <row r="21" spans="1:6">
      <c r="A21" s="1269">
        <f t="shared" si="0"/>
        <v>16</v>
      </c>
      <c r="B21" s="2109">
        <v>1</v>
      </c>
      <c r="C21" s="2109" t="s">
        <v>593</v>
      </c>
      <c r="D21" s="894"/>
      <c r="E21" s="2107">
        <v>46054</v>
      </c>
      <c r="F21" s="2108" t="s">
        <v>114</v>
      </c>
    </row>
    <row r="22" spans="1:6">
      <c r="A22" s="1269">
        <f t="shared" si="0"/>
        <v>17</v>
      </c>
      <c r="B22" s="2109">
        <f>B21+1</f>
        <v>2</v>
      </c>
      <c r="C22" s="2109" t="s">
        <v>594</v>
      </c>
      <c r="D22" s="894"/>
      <c r="E22" s="2107">
        <v>46054</v>
      </c>
      <c r="F22" s="2108" t="s">
        <v>114</v>
      </c>
    </row>
    <row r="23" spans="1:6">
      <c r="A23" s="1269">
        <f t="shared" si="0"/>
        <v>18</v>
      </c>
      <c r="B23" s="2109">
        <f t="shared" ref="B23:B28" si="4">B22+1</f>
        <v>3</v>
      </c>
      <c r="C23" s="2109" t="s">
        <v>595</v>
      </c>
      <c r="D23" s="894"/>
      <c r="E23" s="2107">
        <v>46054</v>
      </c>
      <c r="F23" s="2108" t="s">
        <v>114</v>
      </c>
    </row>
    <row r="24" spans="1:6">
      <c r="A24" s="1269">
        <f t="shared" si="0"/>
        <v>19</v>
      </c>
      <c r="B24" s="2109">
        <f t="shared" si="4"/>
        <v>4</v>
      </c>
      <c r="C24" s="2109" t="s">
        <v>596</v>
      </c>
      <c r="D24" s="894"/>
      <c r="E24" s="2107">
        <v>46054</v>
      </c>
      <c r="F24" s="2108" t="s">
        <v>114</v>
      </c>
    </row>
    <row r="25" spans="1:6">
      <c r="A25" s="1269">
        <f t="shared" si="0"/>
        <v>20</v>
      </c>
      <c r="B25" s="2109">
        <f t="shared" si="4"/>
        <v>5</v>
      </c>
      <c r="C25" s="2109" t="s">
        <v>597</v>
      </c>
      <c r="D25" s="894"/>
      <c r="E25" s="2107">
        <v>46054</v>
      </c>
      <c r="F25" s="2108" t="s">
        <v>114</v>
      </c>
    </row>
    <row r="26" spans="1:6">
      <c r="A26" s="1269">
        <f t="shared" si="0"/>
        <v>21</v>
      </c>
      <c r="B26" s="2109">
        <f t="shared" si="4"/>
        <v>6</v>
      </c>
      <c r="C26" s="2109" t="s">
        <v>598</v>
      </c>
      <c r="D26" s="894"/>
      <c r="E26" s="2107">
        <v>46054</v>
      </c>
      <c r="F26" s="2108" t="s">
        <v>114</v>
      </c>
    </row>
    <row r="27" spans="1:6">
      <c r="A27" s="1269">
        <f t="shared" si="0"/>
        <v>22</v>
      </c>
      <c r="B27" s="2109">
        <f t="shared" si="4"/>
        <v>7</v>
      </c>
      <c r="C27" s="2109" t="s">
        <v>599</v>
      </c>
      <c r="D27" s="894"/>
      <c r="E27" s="2107">
        <v>46054</v>
      </c>
      <c r="F27" s="2108" t="s">
        <v>114</v>
      </c>
    </row>
    <row r="28" spans="1:6">
      <c r="A28" s="1269">
        <f t="shared" si="0"/>
        <v>23</v>
      </c>
      <c r="B28" s="2109">
        <f t="shared" si="4"/>
        <v>8</v>
      </c>
      <c r="C28" s="2109" t="s">
        <v>600</v>
      </c>
      <c r="D28" s="894"/>
      <c r="E28" s="2107">
        <v>46054</v>
      </c>
      <c r="F28" s="2108" t="s">
        <v>114</v>
      </c>
    </row>
    <row r="29" spans="1:6">
      <c r="A29" s="1269">
        <f t="shared" si="0"/>
        <v>24</v>
      </c>
      <c r="B29" s="894"/>
      <c r="C29" s="894"/>
      <c r="D29" s="894"/>
      <c r="E29" s="894"/>
      <c r="F29" s="895"/>
    </row>
    <row r="30" spans="1:6">
      <c r="A30" s="1269">
        <f t="shared" si="0"/>
        <v>25</v>
      </c>
      <c r="B30" s="2031" t="s">
        <v>192</v>
      </c>
      <c r="C30" s="894"/>
      <c r="D30" s="2034">
        <f>COUNTIF(F5:F27,B30)</f>
        <v>1</v>
      </c>
      <c r="E30" s="894"/>
      <c r="F30" s="895"/>
    </row>
    <row r="31" spans="1:6">
      <c r="A31" s="1269">
        <f t="shared" si="0"/>
        <v>26</v>
      </c>
      <c r="B31" s="894" t="s">
        <v>114</v>
      </c>
      <c r="C31" s="894"/>
      <c r="D31" s="2034">
        <f>COUNTIF(F6:F28,B31)</f>
        <v>22</v>
      </c>
      <c r="E31" s="894"/>
      <c r="F31" s="2035">
        <f>A21+B28</f>
        <v>24</v>
      </c>
    </row>
    <row r="32" spans="1:6">
      <c r="A32" s="1269">
        <f t="shared" si="0"/>
        <v>27</v>
      </c>
      <c r="B32" s="894" t="s">
        <v>186</v>
      </c>
      <c r="C32" s="894" t="s">
        <v>138</v>
      </c>
      <c r="D32" s="2034">
        <f>'Villa Imported Boars'!F15</f>
        <v>0</v>
      </c>
      <c r="E32" s="894"/>
      <c r="F32" s="894"/>
    </row>
    <row r="33" spans="1:6">
      <c r="A33" s="1269">
        <f t="shared" si="0"/>
        <v>28</v>
      </c>
      <c r="B33" s="894" t="s">
        <v>213</v>
      </c>
      <c r="C33" s="887"/>
      <c r="D33" s="2034">
        <f>'Lionhead Imported Boars'!F10</f>
        <v>0</v>
      </c>
      <c r="E33" s="894"/>
      <c r="F33" s="894"/>
    </row>
    <row r="34" spans="1:6">
      <c r="A34" s="1269">
        <f t="shared" si="0"/>
        <v>29</v>
      </c>
      <c r="B34" s="894" t="s">
        <v>189</v>
      </c>
      <c r="C34" s="887"/>
      <c r="D34" s="2036">
        <f>'Richlands Imported Boars'!F12</f>
        <v>4</v>
      </c>
      <c r="E34" s="2037"/>
      <c r="F34" s="894"/>
    </row>
    <row r="35" spans="1:6">
      <c r="A35" s="1269">
        <f t="shared" si="0"/>
        <v>30</v>
      </c>
      <c r="B35" s="894" t="s">
        <v>191</v>
      </c>
      <c r="C35" s="887"/>
      <c r="D35" s="2036">
        <f>'Porta Imported Boars'!B8</f>
        <v>1</v>
      </c>
      <c r="E35" s="2037"/>
      <c r="F35" s="894"/>
    </row>
    <row r="36" spans="1:6">
      <c r="A36" s="1269">
        <f t="shared" si="0"/>
        <v>31</v>
      </c>
      <c r="B36" s="894"/>
      <c r="C36" s="887"/>
      <c r="D36" s="2036"/>
      <c r="E36" s="2037"/>
      <c r="F36" s="894"/>
    </row>
    <row r="37" spans="1:6">
      <c r="A37" s="1269">
        <f t="shared" si="0"/>
        <v>32</v>
      </c>
      <c r="B37" s="894"/>
      <c r="C37" s="887"/>
      <c r="D37" s="2036">
        <f>SUM(D30:D36)</f>
        <v>28</v>
      </c>
      <c r="E37" s="2037">
        <f>'Grasmere Imported Valuation'!DN21+'Richlands Imported Valuation'!AP20</f>
        <v>28</v>
      </c>
      <c r="F37" s="894"/>
    </row>
    <row r="38" spans="1:6">
      <c r="A38" s="1269">
        <f t="shared" si="0"/>
        <v>33</v>
      </c>
      <c r="B38" s="887" t="s">
        <v>71</v>
      </c>
      <c r="C38" s="894" t="s">
        <v>601</v>
      </c>
      <c r="D38" s="2037">
        <v>0</v>
      </c>
      <c r="E38" s="894"/>
      <c r="F38" s="894"/>
    </row>
    <row r="39" spans="1:6">
      <c r="A39" s="1269"/>
      <c r="B39" s="894"/>
      <c r="C39" s="894" t="s">
        <v>309</v>
      </c>
      <c r="D39" s="2037">
        <f>24-A29-D38-D40</f>
        <v>0</v>
      </c>
      <c r="E39" s="894"/>
      <c r="F39" s="894"/>
    </row>
    <row r="40" spans="1:6">
      <c r="A40" s="1269"/>
      <c r="B40" s="894"/>
      <c r="C40" s="894" t="s">
        <v>602</v>
      </c>
      <c r="D40" s="894">
        <v>0</v>
      </c>
      <c r="E40" s="894" t="s">
        <v>191</v>
      </c>
      <c r="F40" s="2037"/>
    </row>
    <row r="41" spans="1:6">
      <c r="A41" s="1269"/>
      <c r="E41" s="316"/>
      <c r="F41" s="316"/>
    </row>
    <row r="42" spans="1:6">
      <c r="A42" s="1269"/>
    </row>
    <row r="43" spans="1:6">
      <c r="A43" s="1269"/>
    </row>
    <row r="44" spans="1:6">
      <c r="A44" s="1269"/>
    </row>
    <row r="45" spans="1:6">
      <c r="A45" s="1269"/>
    </row>
    <row r="46" spans="1:6">
      <c r="A46" s="1269"/>
    </row>
    <row r="47" spans="1:6">
      <c r="A47" s="1269"/>
    </row>
    <row r="48" spans="1:6">
      <c r="A48" s="1269"/>
      <c r="C48" s="317" t="s">
        <v>380</v>
      </c>
      <c r="D48" s="317">
        <f>COUNTIFS(F:F,C48)</f>
        <v>0</v>
      </c>
    </row>
    <row r="49" spans="1:7">
      <c r="A49" s="1269"/>
      <c r="C49" s="317" t="s">
        <v>114</v>
      </c>
      <c r="D49" s="317">
        <f>COUNTIFS(F:F,C49)</f>
        <v>22</v>
      </c>
      <c r="G49" s="317" t="s">
        <v>603</v>
      </c>
    </row>
    <row r="50" spans="1:7">
      <c r="A50" s="1269"/>
    </row>
    <row r="51" spans="1:7">
      <c r="A51" s="1269"/>
      <c r="D51" s="145">
        <f>SUM(D48:D50)</f>
        <v>22</v>
      </c>
    </row>
    <row r="52" spans="1:7">
      <c r="A52" s="1269"/>
    </row>
    <row r="53" spans="1:7">
      <c r="A53" s="1269"/>
    </row>
    <row r="54" spans="1:7">
      <c r="A54" s="1269"/>
    </row>
    <row r="55" spans="1:7">
      <c r="A55" s="1269"/>
    </row>
    <row r="56" spans="1:7">
      <c r="A56" s="1269"/>
    </row>
    <row r="57" spans="1:7">
      <c r="A57" s="1269"/>
    </row>
    <row r="58" spans="1:7">
      <c r="A58" s="1269"/>
    </row>
    <row r="59" spans="1:7">
      <c r="A59" s="1269"/>
    </row>
    <row r="60" spans="1:7">
      <c r="A60" s="2033"/>
    </row>
    <row r="61" spans="1:7">
      <c r="A61" s="2025"/>
    </row>
    <row r="62" spans="1:7">
      <c r="A62" s="2025"/>
    </row>
    <row r="63" spans="1:7">
      <c r="A63" s="2025"/>
    </row>
    <row r="64" spans="1:7">
      <c r="A64" s="2025"/>
    </row>
    <row r="65" spans="1:1">
      <c r="A65" s="2025"/>
    </row>
    <row r="66" spans="1:1">
      <c r="A66" s="2025"/>
    </row>
    <row r="67" spans="1:1">
      <c r="A67" s="2025"/>
    </row>
    <row r="68" spans="1:1">
      <c r="A68" s="2025"/>
    </row>
    <row r="69" spans="1:1">
      <c r="A69" s="2025"/>
    </row>
    <row r="70" spans="1:1">
      <c r="A70" s="2025"/>
    </row>
    <row r="71" spans="1:1" ht="43.15" customHeight="1">
      <c r="A71" s="2025"/>
    </row>
    <row r="72" spans="1:1">
      <c r="A72" s="2025"/>
    </row>
    <row r="73" spans="1:1">
      <c r="A73" s="2025"/>
    </row>
    <row r="74" spans="1:1">
      <c r="A74" s="2025"/>
    </row>
    <row r="75" spans="1:1">
      <c r="A75" s="2025"/>
    </row>
    <row r="86" spans="16:16">
      <c r="P86" s="1046"/>
    </row>
  </sheetData>
  <autoFilter ref="A5:F86" xr:uid="{00000000-0001-0000-1500-000000000000}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7"/>
  </sheetPr>
  <dimension ref="A1:H6"/>
  <sheetViews>
    <sheetView view="pageBreakPreview" topLeftCell="B1" zoomScaleNormal="100" zoomScaleSheetLayoutView="100" workbookViewId="0">
      <selection activeCell="B4" sqref="B4"/>
    </sheetView>
  </sheetViews>
  <sheetFormatPr defaultRowHeight="13.15"/>
  <cols>
    <col min="3" max="3" width="25" bestFit="1" customWidth="1"/>
    <col min="5" max="5" width="13.85546875" bestFit="1" customWidth="1"/>
    <col min="6" max="6" width="10.85546875" bestFit="1" customWidth="1"/>
  </cols>
  <sheetData>
    <row r="1" spans="1:8" ht="14.45">
      <c r="A1" s="317"/>
      <c r="B1" s="898"/>
      <c r="C1" s="898" t="s">
        <v>604</v>
      </c>
      <c r="D1" s="317"/>
      <c r="E1" s="317"/>
      <c r="F1" s="898"/>
      <c r="G1" s="317"/>
    </row>
    <row r="2" spans="1:8" ht="13.9">
      <c r="A2" s="317"/>
      <c r="B2" s="317"/>
      <c r="C2" s="317"/>
      <c r="D2" s="317"/>
      <c r="E2" s="317"/>
      <c r="F2" s="1145">
        <f>+'Summary Total Pigs'!C3</f>
        <v>46226</v>
      </c>
      <c r="G2" s="317"/>
    </row>
    <row r="3" spans="1:8" ht="14.45">
      <c r="A3" s="894"/>
      <c r="B3" s="894"/>
      <c r="C3" s="828" t="s">
        <v>605</v>
      </c>
      <c r="D3" s="828" t="s">
        <v>606</v>
      </c>
      <c r="E3" s="828" t="s">
        <v>576</v>
      </c>
      <c r="F3" s="828" t="s">
        <v>607</v>
      </c>
      <c r="G3" s="317"/>
    </row>
    <row r="4" spans="1:8" ht="13.9">
      <c r="A4" s="276"/>
      <c r="B4" s="1302"/>
      <c r="C4" s="1412"/>
      <c r="D4" s="1302"/>
      <c r="E4" s="1322"/>
      <c r="F4" s="1323"/>
      <c r="G4">
        <f>+B4</f>
        <v>0</v>
      </c>
      <c r="H4">
        <f>+G4</f>
        <v>0</v>
      </c>
    </row>
    <row r="5" spans="1:8">
      <c r="A5" s="276"/>
      <c r="B5" s="276"/>
      <c r="C5" s="276"/>
      <c r="D5" s="276"/>
      <c r="E5" s="276"/>
      <c r="F5" s="276"/>
    </row>
    <row r="6" spans="1:8">
      <c r="F6" t="s">
        <v>309</v>
      </c>
      <c r="G6">
        <f>0-G4</f>
        <v>0</v>
      </c>
    </row>
  </sheetData>
  <pageMargins left="0.7" right="0.7" top="0.75" bottom="0.75" header="0.3" footer="0.3"/>
  <pageSetup paperSize="9" scale="8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>
    <tabColor theme="7"/>
  </sheetPr>
  <dimension ref="A1:I13"/>
  <sheetViews>
    <sheetView view="pageBreakPreview" zoomScaleNormal="100" zoomScaleSheetLayoutView="100" workbookViewId="0">
      <selection activeCell="F10" sqref="F10"/>
    </sheetView>
  </sheetViews>
  <sheetFormatPr defaultColWidth="9.140625" defaultRowHeight="13.9"/>
  <cols>
    <col min="1" max="2" width="11.7109375" style="317" customWidth="1"/>
    <col min="3" max="3" width="9.140625" style="317"/>
    <col min="4" max="4" width="9.42578125" style="317" bestFit="1" customWidth="1"/>
    <col min="5" max="5" width="16" style="317" bestFit="1" customWidth="1"/>
    <col min="6" max="6" width="16.28515625" style="317" customWidth="1"/>
    <col min="7" max="16384" width="9.140625" style="317"/>
  </cols>
  <sheetData>
    <row r="1" spans="1:9">
      <c r="A1" s="872" t="s">
        <v>82</v>
      </c>
      <c r="B1" s="872"/>
      <c r="C1" s="873"/>
      <c r="D1" s="873"/>
      <c r="E1" s="873"/>
      <c r="F1" s="873"/>
    </row>
    <row r="2" spans="1:9">
      <c r="A2" s="873"/>
      <c r="B2" s="873"/>
      <c r="C2" s="873"/>
      <c r="D2" s="873"/>
      <c r="E2" s="873"/>
      <c r="F2" s="873"/>
      <c r="I2" s="317" t="s">
        <v>138</v>
      </c>
    </row>
    <row r="3" spans="1:9">
      <c r="A3" s="872"/>
      <c r="B3" s="872" t="s">
        <v>450</v>
      </c>
      <c r="C3" s="873"/>
      <c r="D3" s="873"/>
      <c r="E3" s="875">
        <f>+'Summary Total Pigs'!C3</f>
        <v>46226</v>
      </c>
      <c r="F3" s="873"/>
    </row>
    <row r="4" spans="1:9">
      <c r="A4" s="872"/>
      <c r="B4" s="872"/>
      <c r="C4" s="873"/>
      <c r="D4" s="873"/>
      <c r="E4" s="875"/>
      <c r="F4" s="873"/>
    </row>
    <row r="5" spans="1:9" ht="17.45">
      <c r="A5" s="886"/>
      <c r="B5" s="886" t="s">
        <v>608</v>
      </c>
      <c r="C5" s="873"/>
      <c r="D5" s="873"/>
      <c r="E5" s="873"/>
      <c r="F5" s="873"/>
    </row>
    <row r="6" spans="1:9" ht="17.45">
      <c r="A6" s="886"/>
      <c r="B6" s="886"/>
      <c r="C6" s="873"/>
      <c r="D6" s="873"/>
      <c r="E6" s="873"/>
      <c r="F6" s="873"/>
    </row>
    <row r="7" spans="1:9">
      <c r="A7" s="876"/>
      <c r="B7" s="876"/>
      <c r="C7" s="876" t="s">
        <v>575</v>
      </c>
      <c r="D7" s="876" t="s">
        <v>452</v>
      </c>
      <c r="E7" s="876" t="s">
        <v>453</v>
      </c>
      <c r="F7" s="876" t="s">
        <v>577</v>
      </c>
    </row>
    <row r="8" spans="1:9">
      <c r="A8" s="1774"/>
      <c r="B8" s="1775"/>
      <c r="C8" s="1776"/>
      <c r="D8" s="1776"/>
      <c r="E8" s="1777"/>
      <c r="F8" s="1243"/>
    </row>
    <row r="9" spans="1:9">
      <c r="A9" s="1775"/>
      <c r="B9" s="887"/>
      <c r="C9" s="887"/>
      <c r="D9" s="887"/>
      <c r="E9" s="887"/>
      <c r="F9" s="1243"/>
    </row>
    <row r="10" spans="1:9">
      <c r="A10" s="887" t="s">
        <v>71</v>
      </c>
      <c r="F10" s="1639">
        <f>+A8</f>
        <v>0</v>
      </c>
    </row>
    <row r="11" spans="1:9" s="884" customFormat="1">
      <c r="B11" s="317"/>
      <c r="C11" s="317"/>
      <c r="D11" s="317"/>
      <c r="E11" s="317"/>
      <c r="F11" s="317"/>
    </row>
    <row r="13" spans="1:9">
      <c r="E13" s="317" t="s">
        <v>309</v>
      </c>
      <c r="F13" s="316">
        <f>0-F10</f>
        <v>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36D7-FE53-483E-99CC-F3B0BEBAD93B}">
  <sheetPr>
    <tabColor theme="7"/>
  </sheetPr>
  <dimension ref="A1:J215"/>
  <sheetViews>
    <sheetView workbookViewId="0">
      <selection activeCell="F16" sqref="F16"/>
    </sheetView>
  </sheetViews>
  <sheetFormatPr defaultColWidth="9.140625" defaultRowHeight="13.9"/>
  <cols>
    <col min="1" max="2" width="9.140625" style="317"/>
    <col min="3" max="3" width="11.42578125" style="317" bestFit="1" customWidth="1"/>
    <col min="4" max="4" width="9.140625" style="317"/>
    <col min="5" max="5" width="13.85546875" style="317" bestFit="1" customWidth="1"/>
    <col min="6" max="6" width="21.85546875" style="317" customWidth="1"/>
    <col min="7" max="16384" width="9.140625" style="317"/>
  </cols>
  <sheetData>
    <row r="1" spans="1:6" ht="14.45">
      <c r="B1" s="898"/>
      <c r="C1" s="898" t="s">
        <v>609</v>
      </c>
      <c r="F1" s="898"/>
    </row>
    <row r="2" spans="1:6">
      <c r="F2" s="1145">
        <f>'Summary Total Pigs'!C3</f>
        <v>46226</v>
      </c>
    </row>
    <row r="3" spans="1:6" ht="14.45">
      <c r="A3" s="894"/>
      <c r="B3" s="894"/>
      <c r="C3" s="828" t="s">
        <v>605</v>
      </c>
      <c r="D3" s="828" t="s">
        <v>606</v>
      </c>
      <c r="E3" s="828" t="s">
        <v>576</v>
      </c>
      <c r="F3" s="828" t="s">
        <v>607</v>
      </c>
    </row>
    <row r="4" spans="1:6">
      <c r="A4" s="894">
        <v>1</v>
      </c>
      <c r="B4" s="894">
        <v>1</v>
      </c>
      <c r="C4" s="894" t="s">
        <v>610</v>
      </c>
      <c r="D4" s="894"/>
      <c r="E4" s="1949">
        <v>45433</v>
      </c>
      <c r="F4" s="894" t="s">
        <v>611</v>
      </c>
    </row>
    <row r="5" spans="1:6">
      <c r="A5" s="894">
        <f>A4+1</f>
        <v>2</v>
      </c>
      <c r="B5" s="894">
        <f t="shared" ref="B5:B9" si="0">B4+1</f>
        <v>2</v>
      </c>
      <c r="C5" s="894" t="s">
        <v>612</v>
      </c>
      <c r="D5" s="894"/>
      <c r="E5" s="1949">
        <v>45433</v>
      </c>
      <c r="F5" s="894" t="s">
        <v>611</v>
      </c>
    </row>
    <row r="6" spans="1:6">
      <c r="A6" s="894">
        <f t="shared" ref="A6:A11" si="1">A5+1</f>
        <v>3</v>
      </c>
      <c r="B6" s="894">
        <f t="shared" si="0"/>
        <v>3</v>
      </c>
      <c r="C6" s="894" t="s">
        <v>613</v>
      </c>
      <c r="D6" s="894"/>
      <c r="E6" s="1949">
        <v>45433</v>
      </c>
      <c r="F6" s="894" t="s">
        <v>611</v>
      </c>
    </row>
    <row r="7" spans="1:6">
      <c r="A7" s="894">
        <f t="shared" si="1"/>
        <v>4</v>
      </c>
      <c r="B7" s="894">
        <f t="shared" si="0"/>
        <v>4</v>
      </c>
      <c r="C7" s="894" t="s">
        <v>614</v>
      </c>
      <c r="D7" s="894"/>
      <c r="E7" s="1949">
        <v>45433</v>
      </c>
      <c r="F7" s="894" t="s">
        <v>611</v>
      </c>
    </row>
    <row r="8" spans="1:6">
      <c r="A8" s="894">
        <f t="shared" si="1"/>
        <v>5</v>
      </c>
      <c r="B8" s="894">
        <f t="shared" si="0"/>
        <v>5</v>
      </c>
      <c r="C8" s="894" t="s">
        <v>615</v>
      </c>
      <c r="D8" s="894"/>
      <c r="E8" s="1949">
        <v>45433</v>
      </c>
      <c r="F8" s="894" t="s">
        <v>611</v>
      </c>
    </row>
    <row r="9" spans="1:6">
      <c r="A9" s="894">
        <f t="shared" si="1"/>
        <v>6</v>
      </c>
      <c r="B9" s="894">
        <f t="shared" si="0"/>
        <v>6</v>
      </c>
      <c r="C9" s="894" t="s">
        <v>616</v>
      </c>
      <c r="D9" s="894"/>
      <c r="E9" s="1949">
        <v>45433</v>
      </c>
      <c r="F9" s="894" t="s">
        <v>611</v>
      </c>
    </row>
    <row r="10" spans="1:6">
      <c r="A10" s="894">
        <f t="shared" si="1"/>
        <v>7</v>
      </c>
      <c r="B10" s="894"/>
      <c r="C10" s="894"/>
      <c r="D10" s="894"/>
      <c r="E10" s="1949"/>
      <c r="F10" s="2058"/>
    </row>
    <row r="11" spans="1:6">
      <c r="A11" s="894">
        <f t="shared" si="1"/>
        <v>8</v>
      </c>
      <c r="E11" s="894"/>
      <c r="F11" s="894"/>
    </row>
    <row r="12" spans="1:6">
      <c r="A12" s="894"/>
      <c r="E12" s="894"/>
      <c r="F12" s="894"/>
    </row>
    <row r="13" spans="1:6">
      <c r="E13" s="2038" t="s">
        <v>71</v>
      </c>
      <c r="F13" s="2039">
        <f>A9</f>
        <v>6</v>
      </c>
    </row>
    <row r="14" spans="1:6">
      <c r="E14" s="894" t="s">
        <v>572</v>
      </c>
      <c r="F14" s="2038">
        <v>0</v>
      </c>
    </row>
    <row r="15" spans="1:6">
      <c r="E15" s="2038" t="s">
        <v>309</v>
      </c>
      <c r="F15" s="2039">
        <v>0</v>
      </c>
    </row>
    <row r="16" spans="1:6">
      <c r="E16" s="317" t="s">
        <v>229</v>
      </c>
      <c r="F16" s="317">
        <v>0</v>
      </c>
    </row>
    <row r="17" spans="5:6">
      <c r="E17" s="317" t="s">
        <v>293</v>
      </c>
      <c r="F17" s="316">
        <v>0</v>
      </c>
    </row>
    <row r="42" spans="9:9">
      <c r="I42" s="317">
        <v>14</v>
      </c>
    </row>
    <row r="138" spans="8:8">
      <c r="H138" s="316"/>
    </row>
    <row r="166" hidden="1"/>
    <row r="167" hidden="1"/>
    <row r="168" hidden="1"/>
    <row r="169" hidden="1"/>
    <row r="170" hidden="1"/>
    <row r="171" hidden="1"/>
    <row r="215" spans="10:10">
      <c r="J215" s="317">
        <v>44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>
    <tabColor theme="7"/>
  </sheetPr>
  <dimension ref="A1:F16"/>
  <sheetViews>
    <sheetView view="pageBreakPreview" zoomScaleNormal="100" zoomScaleSheetLayoutView="100" workbookViewId="0">
      <selection activeCell="N30" sqref="N30"/>
    </sheetView>
  </sheetViews>
  <sheetFormatPr defaultColWidth="9.140625" defaultRowHeight="13.9"/>
  <cols>
    <col min="1" max="2" width="9.28515625" style="317" bestFit="1" customWidth="1"/>
    <col min="3" max="3" width="15.5703125" style="317" customWidth="1"/>
    <col min="4" max="4" width="9.140625" style="317"/>
    <col min="5" max="5" width="21.28515625" style="317" customWidth="1"/>
    <col min="6" max="6" width="17.42578125" style="317" bestFit="1" customWidth="1"/>
    <col min="7" max="7" width="9.28515625" style="317" bestFit="1" customWidth="1"/>
    <col min="8" max="16384" width="9.140625" style="317"/>
  </cols>
  <sheetData>
    <row r="1" spans="1:6">
      <c r="B1" s="872" t="s">
        <v>82</v>
      </c>
      <c r="C1" s="873"/>
      <c r="D1" s="873"/>
      <c r="E1" s="873"/>
      <c r="F1" s="873"/>
    </row>
    <row r="2" spans="1:6">
      <c r="B2" s="873"/>
      <c r="C2" s="873"/>
      <c r="D2" s="873"/>
      <c r="E2" s="873"/>
      <c r="F2" s="873"/>
    </row>
    <row r="3" spans="1:6">
      <c r="B3" s="872" t="s">
        <v>450</v>
      </c>
      <c r="C3" s="873"/>
      <c r="D3" s="873"/>
      <c r="E3" s="875">
        <f>+'Summary Total Pigs'!C3</f>
        <v>46226</v>
      </c>
      <c r="F3" s="873"/>
    </row>
    <row r="4" spans="1:6">
      <c r="B4" s="872"/>
      <c r="C4" s="873"/>
      <c r="D4" s="873"/>
      <c r="E4" s="875"/>
      <c r="F4" s="873"/>
    </row>
    <row r="5" spans="1:6">
      <c r="B5" s="872" t="s">
        <v>617</v>
      </c>
      <c r="C5" s="873"/>
      <c r="D5" s="873"/>
      <c r="E5" s="875"/>
      <c r="F5" s="873"/>
    </row>
    <row r="6" spans="1:6">
      <c r="B6" s="873"/>
      <c r="C6" s="873"/>
      <c r="D6" s="873"/>
      <c r="E6" s="873"/>
      <c r="F6" s="873"/>
    </row>
    <row r="7" spans="1:6">
      <c r="B7" s="876"/>
      <c r="C7" s="876" t="s">
        <v>138</v>
      </c>
      <c r="D7" s="876" t="s">
        <v>138</v>
      </c>
      <c r="E7" s="876"/>
      <c r="F7" s="876" t="s">
        <v>138</v>
      </c>
    </row>
    <row r="8" spans="1:6">
      <c r="A8" s="894"/>
      <c r="B8" s="879"/>
      <c r="C8" s="2089" t="s">
        <v>618</v>
      </c>
      <c r="D8" s="2089" t="s">
        <v>452</v>
      </c>
      <c r="E8" s="2089" t="s">
        <v>576</v>
      </c>
      <c r="F8" s="2089" t="s">
        <v>577</v>
      </c>
    </row>
    <row r="9" spans="1:6">
      <c r="A9" s="894"/>
      <c r="B9" s="879"/>
      <c r="C9" s="894"/>
      <c r="D9" s="894"/>
      <c r="E9" s="894"/>
      <c r="F9" s="894"/>
    </row>
    <row r="10" spans="1:6">
      <c r="A10" s="894"/>
      <c r="B10" s="879"/>
      <c r="C10" s="2089"/>
      <c r="D10" s="2089"/>
      <c r="E10" s="2089"/>
      <c r="F10" s="2089"/>
    </row>
    <row r="11" spans="1:6">
      <c r="A11" s="894"/>
      <c r="B11" s="879"/>
      <c r="C11" s="2089"/>
      <c r="D11" s="2089"/>
      <c r="E11" s="2089"/>
      <c r="F11" s="2089"/>
    </row>
    <row r="12" spans="1:6">
      <c r="A12" s="894"/>
      <c r="B12" s="879"/>
      <c r="C12" s="2089"/>
      <c r="D12" s="2089"/>
      <c r="E12" s="2089"/>
      <c r="F12" s="2089"/>
    </row>
    <row r="13" spans="1:6">
      <c r="A13" s="894"/>
      <c r="B13" s="879"/>
      <c r="C13" s="2089"/>
      <c r="D13" s="2089"/>
      <c r="E13" s="2089"/>
      <c r="F13" s="2089"/>
    </row>
    <row r="14" spans="1:6">
      <c r="A14" s="894"/>
      <c r="B14" s="1269"/>
      <c r="C14" s="2087"/>
      <c r="D14" s="888"/>
      <c r="E14" s="2088"/>
      <c r="F14" s="2087"/>
    </row>
    <row r="15" spans="1:6" s="884" customFormat="1">
      <c r="A15" s="887" t="s">
        <v>71</v>
      </c>
      <c r="B15" s="883"/>
      <c r="C15" s="891"/>
      <c r="D15" s="892"/>
      <c r="E15" s="893"/>
      <c r="F15" s="1639">
        <f>+A14</f>
        <v>0</v>
      </c>
    </row>
    <row r="16" spans="1:6">
      <c r="E16" s="317" t="s">
        <v>309</v>
      </c>
      <c r="F16" s="316">
        <f>0-F15</f>
        <v>0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>
    <tabColor theme="7"/>
  </sheetPr>
  <dimension ref="A1:I15"/>
  <sheetViews>
    <sheetView view="pageBreakPreview" zoomScaleNormal="100" zoomScaleSheetLayoutView="100" workbookViewId="0">
      <selection activeCell="E37" sqref="E37"/>
    </sheetView>
  </sheetViews>
  <sheetFormatPr defaultColWidth="9.140625" defaultRowHeight="13.9"/>
  <cols>
    <col min="1" max="2" width="10.140625" style="317" customWidth="1"/>
    <col min="3" max="3" width="10.5703125" style="317" customWidth="1"/>
    <col min="4" max="4" width="9.140625" style="317"/>
    <col min="5" max="5" width="15.5703125" style="317" bestFit="1" customWidth="1"/>
    <col min="6" max="6" width="14" style="317" bestFit="1" customWidth="1"/>
    <col min="7" max="16384" width="9.140625" style="317"/>
  </cols>
  <sheetData>
    <row r="1" spans="1:9">
      <c r="A1" s="872" t="s">
        <v>82</v>
      </c>
      <c r="B1" s="872"/>
      <c r="C1" s="873"/>
      <c r="D1" s="873"/>
      <c r="E1" s="873"/>
      <c r="F1" s="873"/>
    </row>
    <row r="2" spans="1:9">
      <c r="A2" s="873"/>
      <c r="B2" s="873"/>
      <c r="C2" s="873"/>
      <c r="D2" s="873"/>
      <c r="E2" s="873"/>
      <c r="F2" s="873"/>
      <c r="I2" s="317" t="s">
        <v>138</v>
      </c>
    </row>
    <row r="3" spans="1:9">
      <c r="A3" s="872"/>
      <c r="B3" s="872" t="s">
        <v>450</v>
      </c>
      <c r="C3" s="873"/>
      <c r="D3" s="873"/>
      <c r="E3" s="875">
        <f>+'Summary Total Pigs'!C3</f>
        <v>46226</v>
      </c>
      <c r="F3" s="873"/>
    </row>
    <row r="4" spans="1:9">
      <c r="A4" s="872"/>
      <c r="B4" s="872"/>
      <c r="C4" s="873"/>
      <c r="D4" s="873"/>
      <c r="E4" s="875"/>
      <c r="F4" s="873"/>
    </row>
    <row r="5" spans="1:9" ht="17.45">
      <c r="A5" s="886"/>
      <c r="B5" s="886" t="s">
        <v>619</v>
      </c>
      <c r="C5" s="873"/>
      <c r="D5" s="873"/>
      <c r="E5" s="875"/>
      <c r="F5" s="873"/>
    </row>
    <row r="6" spans="1:9">
      <c r="A6" s="873"/>
      <c r="B6" s="873"/>
      <c r="C6" s="873"/>
      <c r="D6" s="873"/>
      <c r="E6" s="873"/>
      <c r="F6" s="873"/>
    </row>
    <row r="7" spans="1:9">
      <c r="A7" s="876"/>
      <c r="B7" s="876"/>
      <c r="C7" s="876" t="s">
        <v>575</v>
      </c>
      <c r="D7" s="876" t="s">
        <v>452</v>
      </c>
      <c r="E7" s="876" t="s">
        <v>453</v>
      </c>
      <c r="F7" s="876" t="s">
        <v>577</v>
      </c>
    </row>
    <row r="8" spans="1:9">
      <c r="A8" s="879">
        <v>1</v>
      </c>
      <c r="B8" s="879">
        <v>1</v>
      </c>
      <c r="C8" s="1018" t="s">
        <v>620</v>
      </c>
      <c r="D8" s="1019"/>
      <c r="E8" s="1020">
        <v>42675</v>
      </c>
      <c r="F8" s="880" t="s">
        <v>189</v>
      </c>
    </row>
    <row r="9" spans="1:9">
      <c r="A9" s="879">
        <f>A8+1</f>
        <v>2</v>
      </c>
      <c r="B9" s="879">
        <v>1</v>
      </c>
      <c r="C9" s="1325" t="s">
        <v>621</v>
      </c>
      <c r="D9" s="1325"/>
      <c r="E9" s="1321">
        <v>43374</v>
      </c>
      <c r="F9" s="880" t="s">
        <v>189</v>
      </c>
    </row>
    <row r="10" spans="1:9">
      <c r="A10" s="879">
        <f>+A9+1</f>
        <v>3</v>
      </c>
      <c r="B10" s="894">
        <v>1</v>
      </c>
      <c r="C10" s="899" t="s">
        <v>622</v>
      </c>
      <c r="D10" s="899"/>
      <c r="E10" s="900">
        <v>43586</v>
      </c>
      <c r="F10" s="880" t="str">
        <f>+F9</f>
        <v>Richlands</v>
      </c>
    </row>
    <row r="11" spans="1:9">
      <c r="A11" s="879">
        <f>+A10+1</f>
        <v>4</v>
      </c>
      <c r="B11" s="894">
        <v>1</v>
      </c>
      <c r="C11" s="899" t="s">
        <v>623</v>
      </c>
      <c r="D11" s="899"/>
      <c r="E11" s="1321">
        <v>43739</v>
      </c>
      <c r="F11" s="880" t="str">
        <f>+F10</f>
        <v>Richlands</v>
      </c>
    </row>
    <row r="12" spans="1:9">
      <c r="A12" s="879"/>
      <c r="B12" s="894"/>
      <c r="C12" s="887"/>
      <c r="D12" s="887"/>
      <c r="E12" s="887"/>
      <c r="F12" s="1639">
        <f>A11</f>
        <v>4</v>
      </c>
    </row>
    <row r="13" spans="1:9">
      <c r="A13" s="879"/>
      <c r="B13" s="887"/>
    </row>
    <row r="14" spans="1:9">
      <c r="A14" s="887" t="s">
        <v>71</v>
      </c>
      <c r="E14" s="317" t="s">
        <v>309</v>
      </c>
      <c r="F14" s="316">
        <f>4-F12</f>
        <v>0</v>
      </c>
    </row>
    <row r="15" spans="1:9" s="884" customFormat="1">
      <c r="A15" s="317"/>
      <c r="B15" s="317"/>
      <c r="C15" s="317"/>
      <c r="D15" s="317"/>
      <c r="E15" s="317" t="s">
        <v>624</v>
      </c>
      <c r="F15" s="317">
        <v>0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>
    <tabColor theme="7"/>
  </sheetPr>
  <dimension ref="A1:J43"/>
  <sheetViews>
    <sheetView view="pageBreakPreview" zoomScaleNormal="100" zoomScaleSheetLayoutView="100" workbookViewId="0">
      <selection activeCell="I10" sqref="I10"/>
    </sheetView>
  </sheetViews>
  <sheetFormatPr defaultColWidth="9.140625" defaultRowHeight="13.9"/>
  <cols>
    <col min="1" max="2" width="9.140625" style="317"/>
    <col min="3" max="3" width="13.7109375" style="317" customWidth="1"/>
    <col min="4" max="4" width="9.140625" style="317"/>
    <col min="5" max="5" width="13.85546875" style="317" bestFit="1" customWidth="1"/>
    <col min="6" max="6" width="21.85546875" style="317" customWidth="1"/>
    <col min="7" max="16384" width="9.140625" style="317"/>
  </cols>
  <sheetData>
    <row r="1" spans="1:8" ht="14.45">
      <c r="A1" s="894"/>
      <c r="B1" s="2085"/>
      <c r="C1" s="2085" t="s">
        <v>625</v>
      </c>
      <c r="D1" s="894"/>
      <c r="E1" s="894"/>
      <c r="F1" s="2085"/>
    </row>
    <row r="2" spans="1:8">
      <c r="A2" s="894"/>
      <c r="B2" s="894"/>
      <c r="C2" s="894"/>
      <c r="D2" s="894"/>
      <c r="E2" s="894"/>
      <c r="F2" s="2086">
        <f>+'Summary Total Pigs'!C3</f>
        <v>46226</v>
      </c>
    </row>
    <row r="3" spans="1:8" ht="14.45">
      <c r="A3" s="894"/>
      <c r="B3" s="894"/>
      <c r="C3" s="828" t="s">
        <v>605</v>
      </c>
      <c r="D3" s="828" t="s">
        <v>606</v>
      </c>
      <c r="E3" s="828" t="s">
        <v>576</v>
      </c>
      <c r="F3" s="828" t="s">
        <v>607</v>
      </c>
    </row>
    <row r="4" spans="1:8">
      <c r="A4" s="894"/>
      <c r="B4" s="894"/>
      <c r="C4" s="894"/>
      <c r="D4" s="894"/>
      <c r="E4" s="1949"/>
      <c r="F4" s="894"/>
      <c r="H4" s="317">
        <f>G4</f>
        <v>0</v>
      </c>
    </row>
    <row r="5" spans="1:8">
      <c r="A5" s="894">
        <f>A4+1</f>
        <v>1</v>
      </c>
      <c r="B5" s="894">
        <v>1</v>
      </c>
      <c r="C5" s="894" t="s">
        <v>626</v>
      </c>
      <c r="D5" s="894"/>
      <c r="E5" s="1949">
        <v>45437</v>
      </c>
      <c r="F5" s="894" t="s">
        <v>189</v>
      </c>
    </row>
    <row r="6" spans="1:8">
      <c r="A6" s="894">
        <f>A5+1</f>
        <v>2</v>
      </c>
      <c r="B6" s="894">
        <v>1</v>
      </c>
      <c r="C6" s="894" t="s">
        <v>627</v>
      </c>
      <c r="D6" s="894"/>
      <c r="E6" s="1949">
        <v>45449</v>
      </c>
      <c r="F6" s="894" t="s">
        <v>189</v>
      </c>
    </row>
    <row r="7" spans="1:8">
      <c r="A7" s="894">
        <f>A6+1</f>
        <v>3</v>
      </c>
      <c r="B7" s="894">
        <v>1</v>
      </c>
      <c r="C7" s="894" t="s">
        <v>628</v>
      </c>
      <c r="D7" s="894"/>
      <c r="E7" s="1949">
        <v>45510</v>
      </c>
      <c r="F7" s="894" t="s">
        <v>189</v>
      </c>
    </row>
    <row r="8" spans="1:8" ht="14.45">
      <c r="A8" s="894">
        <f t="shared" ref="A8:A10" si="0">A7+1</f>
        <v>4</v>
      </c>
      <c r="B8" s="827">
        <v>1</v>
      </c>
      <c r="C8" s="894" t="s">
        <v>629</v>
      </c>
      <c r="D8" s="894"/>
      <c r="E8" s="1949">
        <v>45413</v>
      </c>
      <c r="F8" s="894" t="s">
        <v>189</v>
      </c>
    </row>
    <row r="9" spans="1:8" ht="14.45">
      <c r="A9" s="894">
        <f t="shared" si="0"/>
        <v>5</v>
      </c>
      <c r="B9" s="827">
        <v>1</v>
      </c>
      <c r="C9" s="894" t="s">
        <v>630</v>
      </c>
      <c r="D9" s="894"/>
      <c r="E9" s="1949">
        <v>45541</v>
      </c>
      <c r="F9" s="894" t="s">
        <v>189</v>
      </c>
    </row>
    <row r="10" spans="1:8">
      <c r="A10" s="894">
        <f t="shared" si="0"/>
        <v>6</v>
      </c>
      <c r="B10" s="317">
        <f>B9+1</f>
        <v>2</v>
      </c>
      <c r="C10" s="894" t="s">
        <v>631</v>
      </c>
      <c r="D10" s="894"/>
      <c r="E10" s="1949">
        <v>45541</v>
      </c>
      <c r="F10" s="894" t="s">
        <v>189</v>
      </c>
    </row>
    <row r="11" spans="1:8">
      <c r="F11" s="317">
        <f>A10</f>
        <v>6</v>
      </c>
    </row>
    <row r="14" spans="1:8">
      <c r="E14" s="317" t="s">
        <v>293</v>
      </c>
      <c r="F14" s="317">
        <v>0</v>
      </c>
    </row>
    <row r="15" spans="1:8">
      <c r="E15" s="317" t="s">
        <v>309</v>
      </c>
    </row>
    <row r="16" spans="1:8" ht="14.45">
      <c r="E16" s="317" t="s">
        <v>229</v>
      </c>
      <c r="F16" s="827">
        <v>2</v>
      </c>
    </row>
    <row r="17" spans="1:10">
      <c r="H17" s="317">
        <f>H4+G17</f>
        <v>0</v>
      </c>
    </row>
    <row r="18" spans="1:10" ht="14.45">
      <c r="A18" s="827"/>
      <c r="G18" s="317">
        <f>B9</f>
        <v>1</v>
      </c>
      <c r="J18" s="317" t="s">
        <v>138</v>
      </c>
    </row>
    <row r="19" spans="1:10" ht="14.45">
      <c r="A19" s="827"/>
    </row>
    <row r="23" spans="1:10" ht="14.45">
      <c r="B23" s="827"/>
    </row>
    <row r="36" spans="1:8" ht="14.45">
      <c r="A36" s="827"/>
    </row>
    <row r="41" spans="1:8" ht="14.45">
      <c r="G41" s="827"/>
      <c r="H41" s="827"/>
    </row>
    <row r="42" spans="1:8">
      <c r="G42" s="317" t="s">
        <v>138</v>
      </c>
    </row>
    <row r="43" spans="1:8" s="827" customFormat="1" ht="14.45">
      <c r="A43" s="317"/>
      <c r="B43" s="317"/>
      <c r="C43" s="317"/>
      <c r="D43" s="317"/>
      <c r="E43" s="317"/>
      <c r="F43" s="317"/>
      <c r="G43" s="317"/>
      <c r="H43" s="317"/>
    </row>
  </sheetData>
  <pageMargins left="0.7" right="0.7" top="0.75" bottom="0.75" header="0.3" footer="0.3"/>
  <pageSetup paperSize="9" scale="6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>
    <tabColor theme="7"/>
  </sheetPr>
  <dimension ref="A1:O11"/>
  <sheetViews>
    <sheetView view="pageBreakPreview" zoomScaleNormal="100" zoomScaleSheetLayoutView="100" workbookViewId="0">
      <selection activeCell="F10" sqref="F10"/>
    </sheetView>
  </sheetViews>
  <sheetFormatPr defaultRowHeight="13.15"/>
  <cols>
    <col min="3" max="3" width="24.85546875" bestFit="1" customWidth="1"/>
    <col min="5" max="5" width="13.85546875" bestFit="1" customWidth="1"/>
    <col min="6" max="6" width="9.7109375" bestFit="1" customWidth="1"/>
  </cols>
  <sheetData>
    <row r="1" spans="1:15" ht="14.45">
      <c r="A1" s="317"/>
      <c r="B1" s="898"/>
      <c r="C1" s="898" t="s">
        <v>632</v>
      </c>
      <c r="D1" s="317"/>
      <c r="E1" s="317"/>
      <c r="F1" s="898"/>
      <c r="G1" s="317"/>
    </row>
    <row r="2" spans="1:15" ht="13.9">
      <c r="A2" s="317"/>
      <c r="B2" s="317"/>
      <c r="C2" s="317"/>
      <c r="D2" s="317"/>
      <c r="E2" s="317"/>
      <c r="F2" s="1145">
        <f>+'Summary Total Pigs'!C3</f>
        <v>46226</v>
      </c>
      <c r="G2" s="317"/>
    </row>
    <row r="3" spans="1:15" ht="14.45">
      <c r="A3" s="894"/>
      <c r="B3" s="894"/>
      <c r="C3" s="828" t="s">
        <v>605</v>
      </c>
      <c r="D3" s="828" t="s">
        <v>606</v>
      </c>
      <c r="E3" s="828" t="s">
        <v>576</v>
      </c>
      <c r="F3" s="828" t="s">
        <v>607</v>
      </c>
      <c r="G3" s="317"/>
    </row>
    <row r="4" spans="1:15">
      <c r="A4" s="276"/>
      <c r="B4" s="1303"/>
    </row>
    <row r="5" spans="1:15" ht="14.45">
      <c r="A5" s="828" t="s">
        <v>71</v>
      </c>
      <c r="B5" s="828"/>
      <c r="C5" s="828"/>
      <c r="D5" s="828"/>
      <c r="E5" s="828"/>
      <c r="F5" s="828">
        <f>+B4</f>
        <v>0</v>
      </c>
    </row>
    <row r="7" spans="1:15">
      <c r="C7" t="s">
        <v>189</v>
      </c>
      <c r="D7">
        <f>+F5</f>
        <v>0</v>
      </c>
    </row>
    <row r="8" spans="1:15">
      <c r="C8" t="s">
        <v>224</v>
      </c>
      <c r="D8">
        <f>+'Lionhead TN 60'!B4</f>
        <v>0</v>
      </c>
      <c r="L8">
        <f>75+'Richlands A LINE'!F16</f>
        <v>77</v>
      </c>
      <c r="O8">
        <f>40+70</f>
        <v>110</v>
      </c>
    </row>
    <row r="9" spans="1:15">
      <c r="A9" s="1"/>
      <c r="B9" s="1"/>
      <c r="C9" s="1" t="s">
        <v>71</v>
      </c>
      <c r="D9" s="1">
        <f>SUM(D7:D8)</f>
        <v>0</v>
      </c>
      <c r="E9" s="1"/>
      <c r="F9" s="1"/>
      <c r="G9" s="1"/>
      <c r="H9" s="1"/>
    </row>
    <row r="10" spans="1:15">
      <c r="E10" t="s">
        <v>309</v>
      </c>
      <c r="F10">
        <f>0-F5</f>
        <v>0</v>
      </c>
    </row>
    <row r="11" spans="1:15" s="1" customFormat="1">
      <c r="A11"/>
      <c r="B11"/>
      <c r="C11"/>
      <c r="D11"/>
      <c r="E11"/>
      <c r="F11"/>
      <c r="G11"/>
      <c r="H11"/>
    </row>
  </sheetData>
  <pageMargins left="0.7" right="0.7" top="0.75" bottom="0.75" header="0.3" footer="0.3"/>
  <pageSetup paperSize="9" scale="7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>
    <tabColor theme="9" tint="-0.249977111117893"/>
  </sheetPr>
  <dimension ref="A1:Q28"/>
  <sheetViews>
    <sheetView view="pageBreakPreview" zoomScaleNormal="100" zoomScaleSheetLayoutView="100" workbookViewId="0">
      <selection activeCell="B7" sqref="B7"/>
    </sheetView>
  </sheetViews>
  <sheetFormatPr defaultColWidth="9.140625" defaultRowHeight="13.9"/>
  <cols>
    <col min="1" max="1" width="15.7109375" style="317" bestFit="1" customWidth="1"/>
    <col min="2" max="2" width="16.85546875" style="317" bestFit="1" customWidth="1"/>
    <col min="3" max="3" width="22.5703125" style="317" bestFit="1" customWidth="1"/>
    <col min="4" max="4" width="19.7109375" style="317" bestFit="1" customWidth="1"/>
    <col min="5" max="5" width="16.85546875" style="317" bestFit="1" customWidth="1"/>
    <col min="6" max="7" width="15.7109375" style="317" customWidth="1"/>
    <col min="8" max="8" width="17.5703125" style="317" customWidth="1"/>
    <col min="9" max="9" width="15.7109375" style="317" customWidth="1"/>
    <col min="10" max="10" width="15.85546875" style="1021" bestFit="1" customWidth="1"/>
    <col min="11" max="11" width="15.85546875" style="317" bestFit="1" customWidth="1"/>
    <col min="12" max="12" width="15.28515625" style="317" bestFit="1" customWidth="1"/>
    <col min="13" max="13" width="15.85546875" style="317" bestFit="1" customWidth="1"/>
    <col min="14" max="15" width="15.7109375" style="317" bestFit="1" customWidth="1"/>
    <col min="16" max="16384" width="9.140625" style="317"/>
  </cols>
  <sheetData>
    <row r="1" spans="1:17">
      <c r="A1" s="884" t="s">
        <v>56</v>
      </c>
      <c r="B1" s="381"/>
      <c r="C1" s="1021"/>
      <c r="D1" s="1045"/>
      <c r="E1" s="1021"/>
      <c r="F1" s="1021"/>
      <c r="G1" s="1021"/>
      <c r="H1" s="1021"/>
      <c r="I1" s="1021"/>
    </row>
    <row r="2" spans="1:17">
      <c r="A2" s="884"/>
      <c r="B2" s="1046" t="s">
        <v>138</v>
      </c>
      <c r="C2" s="381"/>
      <c r="D2" s="1046"/>
      <c r="G2" s="1046"/>
      <c r="K2" s="1046"/>
      <c r="M2" s="1021"/>
    </row>
    <row r="3" spans="1:17">
      <c r="A3" s="1042">
        <f>+'Summary Total Pigs'!C3</f>
        <v>46226</v>
      </c>
      <c r="B3" s="1046"/>
      <c r="C3" s="1046"/>
      <c r="D3" s="381"/>
      <c r="E3" s="1046"/>
      <c r="F3" s="1046"/>
      <c r="G3" s="1046"/>
      <c r="H3" s="1046"/>
      <c r="M3" s="1021"/>
    </row>
    <row r="4" spans="1:17">
      <c r="A4" s="894"/>
      <c r="B4" s="2160" t="s">
        <v>127</v>
      </c>
      <c r="C4" s="2160"/>
      <c r="D4" s="2160"/>
      <c r="E4" s="2160"/>
      <c r="F4" s="1293"/>
      <c r="G4" s="1293"/>
      <c r="H4" s="1293"/>
      <c r="I4" s="1293"/>
    </row>
    <row r="5" spans="1:17">
      <c r="A5" s="1043" t="s">
        <v>633</v>
      </c>
      <c r="B5" s="887" t="s">
        <v>199</v>
      </c>
      <c r="C5" s="887" t="s">
        <v>634</v>
      </c>
      <c r="D5" s="887" t="s">
        <v>635</v>
      </c>
      <c r="E5" s="887" t="s">
        <v>636</v>
      </c>
      <c r="F5" s="884"/>
      <c r="G5" s="884"/>
      <c r="H5" s="884"/>
      <c r="I5" s="884"/>
      <c r="M5" s="1021"/>
      <c r="N5" s="1021"/>
      <c r="O5" s="1046"/>
    </row>
    <row r="6" spans="1:17">
      <c r="A6" s="894" t="s">
        <v>199</v>
      </c>
      <c r="B6" s="895">
        <f>+'Grasmere Imported Valuation'!DP7+'Grasmere Imported Valuation'!DP19+'Richlands Imported Valuation'!AR35</f>
        <v>675034295.40048349</v>
      </c>
      <c r="C6" s="895">
        <f>+'Grasmere Imported Valuation'!DP9+'Grasmere Imported Valuation'!DP21+'Richlands Imported Valuation'!AR37</f>
        <v>72351067.29226926</v>
      </c>
      <c r="D6" s="895">
        <f>+'Grasmere Imported Valuation'!DP31+'Richlands Imported Valuation'!AR46</f>
        <v>-25779722.18035626</v>
      </c>
      <c r="E6" s="895">
        <f>+C6+D6</f>
        <v>46571345.111912996</v>
      </c>
      <c r="F6" s="381"/>
      <c r="G6" s="381"/>
      <c r="H6" s="381"/>
      <c r="I6" s="381"/>
      <c r="K6" s="1046"/>
      <c r="M6" s="24"/>
      <c r="N6" s="24"/>
      <c r="O6" s="24"/>
      <c r="P6" s="24"/>
      <c r="Q6" s="79"/>
    </row>
    <row r="7" spans="1:17">
      <c r="A7" s="894" t="s">
        <v>637</v>
      </c>
      <c r="B7" s="1148">
        <f>+'[35]Summary Imported Valuation'!B6</f>
        <v>674736708.8056953</v>
      </c>
      <c r="C7" s="1148">
        <f>+'[35]Summary Imported Valuation'!C6</f>
        <v>608420781.24133384</v>
      </c>
      <c r="D7" s="1148">
        <f>+'[35]Summary Imported Valuation'!D6</f>
        <v>-115946303.099915</v>
      </c>
      <c r="E7" s="1148">
        <f>+'[35]Summary Imported Valuation'!E6</f>
        <v>492474478.14141881</v>
      </c>
      <c r="F7" s="1294"/>
      <c r="G7" s="1294"/>
      <c r="H7" s="1046"/>
      <c r="I7" s="1294"/>
      <c r="K7" s="1046"/>
      <c r="L7" s="1046"/>
      <c r="M7" s="24"/>
      <c r="N7"/>
      <c r="O7" s="24"/>
      <c r="P7" s="24"/>
      <c r="Q7" s="79"/>
    </row>
    <row r="8" spans="1:17">
      <c r="A8" s="894"/>
      <c r="B8" s="895">
        <f>+B6-B7</f>
        <v>297586.5947881937</v>
      </c>
      <c r="C8" s="895">
        <f>+C6-C7</f>
        <v>-536069713.94906461</v>
      </c>
      <c r="D8" s="895">
        <f>+D6-D7</f>
        <v>90166580.919558734</v>
      </c>
      <c r="E8" s="895">
        <f>+E6-E7</f>
        <v>-445903133.02950585</v>
      </c>
      <c r="F8" s="381"/>
      <c r="G8" s="381"/>
      <c r="H8" s="381">
        <f>B6-B7</f>
        <v>297586.5947881937</v>
      </c>
      <c r="I8" s="381"/>
      <c r="M8" s="24"/>
      <c r="N8" s="24"/>
      <c r="O8" s="24"/>
      <c r="P8" s="24"/>
      <c r="Q8" s="79"/>
    </row>
    <row r="9" spans="1:17">
      <c r="B9" s="381" t="s">
        <v>138</v>
      </c>
      <c r="C9" s="381">
        <f>+C8-B8</f>
        <v>-536367300.54385281</v>
      </c>
      <c r="D9" s="381">
        <f>+E6-B8-E7</f>
        <v>-446200719.62429404</v>
      </c>
      <c r="E9" s="381"/>
      <c r="F9" s="381"/>
      <c r="G9" s="381"/>
      <c r="H9" s="381"/>
      <c r="I9" s="381"/>
      <c r="K9" s="1021"/>
      <c r="L9" s="1046"/>
      <c r="M9" s="24"/>
      <c r="N9" s="24"/>
      <c r="O9" s="24"/>
      <c r="P9" s="24"/>
      <c r="Q9" s="24"/>
    </row>
    <row r="10" spans="1:17">
      <c r="B10" s="381"/>
      <c r="C10" s="381"/>
      <c r="D10" s="381"/>
      <c r="E10" s="381"/>
      <c r="F10" s="381"/>
      <c r="G10" s="381"/>
      <c r="H10" s="381"/>
      <c r="I10" s="381"/>
      <c r="K10" s="1021"/>
      <c r="L10" s="1046"/>
      <c r="M10" s="24"/>
      <c r="N10" s="24"/>
      <c r="O10" s="24"/>
      <c r="P10" s="24"/>
      <c r="Q10" s="24"/>
    </row>
    <row r="11" spans="1:17">
      <c r="A11" s="894"/>
      <c r="B11" s="2161" t="s">
        <v>638</v>
      </c>
      <c r="C11" s="2161"/>
      <c r="D11" s="2161"/>
      <c r="E11" s="2161"/>
      <c r="F11" s="1295"/>
      <c r="G11" s="1300"/>
      <c r="H11" s="1300"/>
      <c r="I11" s="1295"/>
    </row>
    <row r="12" spans="1:17">
      <c r="A12" s="887" t="str">
        <f>+A5</f>
        <v>Breeder Pigs</v>
      </c>
      <c r="B12" s="1044" t="s">
        <v>199</v>
      </c>
      <c r="C12" s="887" t="s">
        <v>634</v>
      </c>
      <c r="D12" s="887" t="s">
        <v>635</v>
      </c>
      <c r="E12" s="887" t="s">
        <v>636</v>
      </c>
      <c r="F12" s="1299"/>
      <c r="G12" s="979"/>
      <c r="H12" s="884"/>
      <c r="I12" s="884"/>
    </row>
    <row r="13" spans="1:17">
      <c r="A13" s="894" t="str">
        <f>+A6</f>
        <v>Cost</v>
      </c>
      <c r="B13" s="895">
        <f>+'Richlands Imported Valuation'!AR6+'Richlands Imported Valuation'!AR18</f>
        <v>0</v>
      </c>
      <c r="C13" s="896">
        <f>+'Richlands Imported Valuation'!AR8+'Richlands Imported Valuation'!AR20</f>
        <v>0</v>
      </c>
      <c r="D13" s="896">
        <f>+'Richlands Imported Valuation'!AR29</f>
        <v>0</v>
      </c>
      <c r="E13" s="1047">
        <f>+C13+D13</f>
        <v>0</v>
      </c>
      <c r="F13" s="1046"/>
      <c r="G13" s="1046"/>
      <c r="H13" s="1046"/>
      <c r="I13" s="1046"/>
      <c r="K13" s="1046"/>
      <c r="M13" s="1046"/>
      <c r="N13" s="1021"/>
    </row>
    <row r="14" spans="1:17">
      <c r="A14" s="894" t="str">
        <f>+A7</f>
        <v>Previous month</v>
      </c>
      <c r="B14" s="1148">
        <f>+'[35]Summary Imported Valuation'!B13</f>
        <v>16057417.293839572</v>
      </c>
      <c r="C14" s="1148">
        <f>+'[35]Summary Imported Valuation'!C13</f>
        <v>6127121.0419667866</v>
      </c>
      <c r="D14" s="1148">
        <f>+'[35]Summary Imported Valuation'!D13</f>
        <v>-5297654.485113496</v>
      </c>
      <c r="E14" s="1148">
        <f>+'[35]Summary Imported Valuation'!E13</f>
        <v>829466.55685329065</v>
      </c>
      <c r="F14" s="1296"/>
      <c r="G14" s="1296"/>
      <c r="H14" s="1296"/>
      <c r="I14" s="1296"/>
      <c r="N14" s="1046"/>
      <c r="O14" s="1046"/>
    </row>
    <row r="15" spans="1:17">
      <c r="A15" s="894"/>
      <c r="B15" s="895">
        <f>+B13-B14</f>
        <v>-16057417.293839572</v>
      </c>
      <c r="C15" s="895">
        <f>+C13-C14</f>
        <v>-6127121.0419667866</v>
      </c>
      <c r="D15" s="895">
        <f>+D13-D14</f>
        <v>5297654.485113496</v>
      </c>
      <c r="E15" s="895">
        <f>+E13-E14</f>
        <v>-829466.55685329065</v>
      </c>
      <c r="F15" s="381"/>
      <c r="G15" s="381"/>
      <c r="H15" s="381"/>
      <c r="I15" s="381"/>
      <c r="L15" s="381"/>
      <c r="M15" s="1046"/>
    </row>
    <row r="16" spans="1:17">
      <c r="B16" s="1046"/>
      <c r="C16" s="381">
        <f>+C15-B15</f>
        <v>9930296.2518727854</v>
      </c>
      <c r="D16" s="1021">
        <f>+E15-C16</f>
        <v>-10759762.808726076</v>
      </c>
      <c r="E16" s="1045"/>
      <c r="F16" s="1045"/>
      <c r="G16" s="1045">
        <f>0.2*100</f>
        <v>20</v>
      </c>
      <c r="H16" s="1045">
        <f>0.8*G16</f>
        <v>16</v>
      </c>
      <c r="I16" s="1045"/>
      <c r="L16" s="381"/>
      <c r="M16" s="1046"/>
    </row>
    <row r="17" spans="1:13">
      <c r="B17" s="1046"/>
      <c r="C17" s="1021"/>
      <c r="D17" s="1021"/>
      <c r="E17" s="1045"/>
      <c r="F17" s="1045"/>
      <c r="G17" s="1021"/>
      <c r="H17" s="1045"/>
      <c r="I17" s="1045"/>
      <c r="L17" s="381"/>
      <c r="M17" s="381"/>
    </row>
    <row r="18" spans="1:13">
      <c r="A18" s="894"/>
      <c r="B18" s="1044" t="s">
        <v>127</v>
      </c>
      <c r="C18" s="1044"/>
      <c r="D18" s="1044" t="s">
        <v>189</v>
      </c>
      <c r="E18" s="1044" t="s">
        <v>71</v>
      </c>
      <c r="F18" s="1297"/>
      <c r="G18" s="1299">
        <f>0.2*60</f>
        <v>12</v>
      </c>
      <c r="H18" s="1297">
        <f>0.8*G18</f>
        <v>9.6000000000000014</v>
      </c>
      <c r="I18" s="1297"/>
      <c r="J18" s="381"/>
      <c r="K18" s="1021"/>
    </row>
    <row r="19" spans="1:13">
      <c r="A19" s="894" t="s">
        <v>199</v>
      </c>
      <c r="B19" s="895">
        <f>+C9</f>
        <v>-536367300.54385281</v>
      </c>
      <c r="C19" s="895"/>
      <c r="D19" s="895">
        <f>+C16</f>
        <v>9930296.2518727854</v>
      </c>
      <c r="E19" s="895">
        <f>SUM(B19:D19)</f>
        <v>-526437004.29198003</v>
      </c>
      <c r="F19" s="381"/>
      <c r="G19" s="1032">
        <f>G16-G18</f>
        <v>8</v>
      </c>
      <c r="H19" s="381"/>
      <c r="I19" s="381"/>
      <c r="J19" s="317"/>
      <c r="K19" s="1021"/>
    </row>
    <row r="20" spans="1:13">
      <c r="A20" s="895" t="s">
        <v>639</v>
      </c>
      <c r="B20" s="895">
        <f>+D9-B19</f>
        <v>90166580.919558764</v>
      </c>
      <c r="C20" s="895"/>
      <c r="D20" s="895">
        <f>+D16</f>
        <v>-10759762.808726076</v>
      </c>
      <c r="E20" s="895">
        <f>SUM(B20:D20)</f>
        <v>79406818.110832691</v>
      </c>
      <c r="F20" s="381"/>
      <c r="G20" s="381"/>
      <c r="H20" s="381"/>
      <c r="I20" s="381"/>
      <c r="J20" s="317"/>
      <c r="K20" s="1021"/>
    </row>
    <row r="21" spans="1:13">
      <c r="A21" s="894"/>
      <c r="B21" s="895"/>
      <c r="C21" s="895"/>
      <c r="D21" s="895" t="s">
        <v>138</v>
      </c>
      <c r="E21" s="895"/>
      <c r="F21" s="381"/>
      <c r="G21" s="381"/>
      <c r="H21" s="381"/>
      <c r="I21" s="381"/>
      <c r="J21" s="317"/>
      <c r="K21" s="1021"/>
    </row>
    <row r="22" spans="1:13">
      <c r="A22" s="894"/>
      <c r="B22" s="1243">
        <f>SUM(B19:B21)</f>
        <v>-446200719.62429404</v>
      </c>
      <c r="C22" s="1243"/>
      <c r="D22" s="1243">
        <f>SUM(D19:D21)</f>
        <v>-829466.55685329065</v>
      </c>
      <c r="E22" s="1243">
        <f>+E19+E20</f>
        <v>-447030186.18114734</v>
      </c>
      <c r="F22" s="1298"/>
      <c r="G22" s="1298"/>
      <c r="H22" s="1298"/>
      <c r="I22" s="1298"/>
      <c r="J22" s="317"/>
      <c r="K22" s="1021"/>
    </row>
    <row r="23" spans="1:13">
      <c r="B23" s="381">
        <f>+E8</f>
        <v>-445903133.02950585</v>
      </c>
      <c r="D23" s="381">
        <f>+E15</f>
        <v>-829466.55685329065</v>
      </c>
      <c r="E23" s="1046">
        <f>+B23+D23</f>
        <v>-446732599.58635914</v>
      </c>
      <c r="F23" s="1046"/>
      <c r="G23" s="1046"/>
      <c r="H23" s="1046"/>
      <c r="I23" s="1046"/>
    </row>
    <row r="24" spans="1:13">
      <c r="B24" s="1046"/>
    </row>
    <row r="27" spans="1:13">
      <c r="B27" s="1046"/>
      <c r="D27" s="1046"/>
    </row>
    <row r="28" spans="1:13">
      <c r="D28" s="1046"/>
    </row>
  </sheetData>
  <mergeCells count="2">
    <mergeCell ref="B4:E4"/>
    <mergeCell ref="B11:E11"/>
  </mergeCells>
  <pageMargins left="0.7" right="0.7" top="0.75" bottom="0.75" header="0.3" footer="0.3"/>
  <pageSetup paperSize="9" scale="84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391A-0166-4CD4-8BF6-588F23E425FA}">
  <sheetPr codeName="Sheet31">
    <tabColor theme="7"/>
    <pageSetUpPr fitToPage="1"/>
  </sheetPr>
  <dimension ref="A1:K1018"/>
  <sheetViews>
    <sheetView view="pageBreakPreview" topLeftCell="A551" zoomScaleNormal="100" zoomScaleSheetLayoutView="100" workbookViewId="0">
      <selection activeCell="F564" sqref="F564"/>
    </sheetView>
  </sheetViews>
  <sheetFormatPr defaultColWidth="9.140625" defaultRowHeight="13.9"/>
  <cols>
    <col min="1" max="2" width="9.140625" style="317"/>
    <col min="3" max="3" width="11.42578125" style="317" bestFit="1" customWidth="1"/>
    <col min="4" max="4" width="9.140625" style="317"/>
    <col min="5" max="5" width="13.85546875" style="317" bestFit="1" customWidth="1"/>
    <col min="6" max="6" width="21.85546875" style="317" customWidth="1"/>
    <col min="7" max="16384" width="9.140625" style="317"/>
  </cols>
  <sheetData>
    <row r="1" spans="1:11" ht="14.45">
      <c r="B1" s="898"/>
      <c r="C1" s="898" t="s">
        <v>640</v>
      </c>
      <c r="F1" s="898"/>
    </row>
    <row r="2" spans="1:11">
      <c r="F2" s="1145">
        <f>+'Summary Total Pigs'!C3</f>
        <v>46226</v>
      </c>
      <c r="H2" s="317" t="s">
        <v>641</v>
      </c>
    </row>
    <row r="3" spans="1:11" ht="14.45">
      <c r="A3" s="894"/>
      <c r="B3" s="894"/>
      <c r="C3" s="828" t="s">
        <v>605</v>
      </c>
      <c r="D3" s="828" t="s">
        <v>606</v>
      </c>
      <c r="E3" s="828" t="s">
        <v>576</v>
      </c>
      <c r="F3" s="828" t="s">
        <v>607</v>
      </c>
    </row>
    <row r="4" spans="1:11">
      <c r="A4" s="894">
        <v>1</v>
      </c>
      <c r="B4" s="894">
        <v>1</v>
      </c>
      <c r="C4" s="894" t="s">
        <v>642</v>
      </c>
      <c r="D4" s="894"/>
      <c r="E4" s="1949">
        <v>45433</v>
      </c>
      <c r="F4" s="894" t="s">
        <v>191</v>
      </c>
      <c r="H4" s="317" t="str">
        <f>_xlfn.XLOOKUP(C4,'[36]Porta TN70'!$C:$C,'[36]Porta TN70'!$G:$G)</f>
        <v>Ö</v>
      </c>
    </row>
    <row r="5" spans="1:11">
      <c r="A5" s="894">
        <f>A4+1</f>
        <v>2</v>
      </c>
      <c r="B5" s="894">
        <f>B4+1</f>
        <v>2</v>
      </c>
      <c r="C5" s="894" t="s">
        <v>643</v>
      </c>
      <c r="D5" s="894"/>
      <c r="E5" s="1949">
        <f t="shared" ref="E5:E31" si="0">+E4</f>
        <v>45433</v>
      </c>
      <c r="F5" s="894" t="s">
        <v>191</v>
      </c>
      <c r="H5" s="317" t="str">
        <f>_xlfn.XLOOKUP(C5,'[36]Porta TN70'!$C:$C,'[36]Porta TN70'!$G:$G)</f>
        <v>Ö</v>
      </c>
    </row>
    <row r="6" spans="1:11">
      <c r="A6" s="894">
        <f t="shared" ref="A6:B69" si="1">A5+1</f>
        <v>3</v>
      </c>
      <c r="B6" s="894">
        <f t="shared" si="1"/>
        <v>3</v>
      </c>
      <c r="C6" s="894" t="s">
        <v>644</v>
      </c>
      <c r="D6" s="894"/>
      <c r="E6" s="1949">
        <f t="shared" si="0"/>
        <v>45433</v>
      </c>
      <c r="F6" s="894" t="s">
        <v>645</v>
      </c>
      <c r="H6" s="317" t="str">
        <f>_xlfn.XLOOKUP(C6,'[36]Porta TN70'!$C:$C,'[36]Porta TN70'!$G:$G)</f>
        <v>Ö</v>
      </c>
    </row>
    <row r="7" spans="1:11">
      <c r="A7" s="894">
        <f>A6+1</f>
        <v>4</v>
      </c>
      <c r="B7" s="894">
        <f>B6+1</f>
        <v>4</v>
      </c>
      <c r="C7" s="894" t="s">
        <v>646</v>
      </c>
      <c r="D7" s="894"/>
      <c r="E7" s="1949">
        <v>45433</v>
      </c>
      <c r="F7" s="894" t="s">
        <v>191</v>
      </c>
      <c r="H7" s="317" t="str">
        <f>_xlfn.XLOOKUP(C7,'[36]Porta TN70'!$C:$C,'[36]Porta TN70'!$G:$G)</f>
        <v>Ö</v>
      </c>
    </row>
    <row r="8" spans="1:11">
      <c r="A8" s="894">
        <f t="shared" si="1"/>
        <v>5</v>
      </c>
      <c r="B8" s="894">
        <f t="shared" si="1"/>
        <v>5</v>
      </c>
      <c r="C8" s="894" t="s">
        <v>647</v>
      </c>
      <c r="D8" s="894"/>
      <c r="E8" s="1949">
        <v>45433</v>
      </c>
      <c r="F8" s="894" t="s">
        <v>191</v>
      </c>
      <c r="H8" s="317" t="str">
        <f>_xlfn.XLOOKUP(C8,'[36]Porta TN70'!$C:$C,'[36]Porta TN70'!$G:$G)</f>
        <v>Ö</v>
      </c>
    </row>
    <row r="9" spans="1:11">
      <c r="A9" s="894">
        <f t="shared" si="1"/>
        <v>6</v>
      </c>
      <c r="B9" s="894">
        <f t="shared" si="1"/>
        <v>6</v>
      </c>
      <c r="C9" s="894" t="s">
        <v>648</v>
      </c>
      <c r="D9" s="894"/>
      <c r="E9" s="1949">
        <v>45433</v>
      </c>
      <c r="F9" s="894" t="s">
        <v>191</v>
      </c>
      <c r="H9" s="317" t="str">
        <f>_xlfn.XLOOKUP(C9,'[36]Porta TN70'!$C:$C,'[36]Porta TN70'!$G:$G)</f>
        <v>Ö</v>
      </c>
    </row>
    <row r="10" spans="1:11">
      <c r="A10" s="894">
        <f t="shared" si="1"/>
        <v>7</v>
      </c>
      <c r="B10" s="894">
        <f t="shared" si="1"/>
        <v>7</v>
      </c>
      <c r="C10" s="894" t="s">
        <v>649</v>
      </c>
      <c r="D10" s="894"/>
      <c r="E10" s="1949">
        <f t="shared" si="0"/>
        <v>45433</v>
      </c>
      <c r="F10" s="894" t="s">
        <v>191</v>
      </c>
      <c r="H10" s="317" t="str">
        <f>_xlfn.XLOOKUP(C10,'[36]Porta TN70'!$C:$C,'[36]Porta TN70'!$G:$G)</f>
        <v>Ö</v>
      </c>
    </row>
    <row r="11" spans="1:11">
      <c r="A11" s="894">
        <f t="shared" si="1"/>
        <v>8</v>
      </c>
      <c r="B11" s="894">
        <f t="shared" si="1"/>
        <v>8</v>
      </c>
      <c r="C11" s="894" t="s">
        <v>650</v>
      </c>
      <c r="D11" s="894"/>
      <c r="E11" s="1949">
        <f t="shared" si="0"/>
        <v>45433</v>
      </c>
      <c r="F11" s="894" t="s">
        <v>191</v>
      </c>
      <c r="H11" s="317" t="str">
        <f>_xlfn.XLOOKUP(C11,'[36]Porta TN70'!$C:$C,'[36]Porta TN70'!$G:$G)</f>
        <v>Ö</v>
      </c>
    </row>
    <row r="12" spans="1:11">
      <c r="A12" s="894">
        <f t="shared" si="1"/>
        <v>9</v>
      </c>
      <c r="B12" s="894">
        <f t="shared" si="1"/>
        <v>9</v>
      </c>
      <c r="C12" s="894" t="s">
        <v>651</v>
      </c>
      <c r="D12" s="894"/>
      <c r="E12" s="1949">
        <f t="shared" si="0"/>
        <v>45433</v>
      </c>
      <c r="F12" s="894" t="s">
        <v>191</v>
      </c>
      <c r="H12" s="317" t="str">
        <f>_xlfn.XLOOKUP(C12,'[36]Porta TN70'!$C:$C,'[36]Porta TN70'!$G:$G)</f>
        <v>Ö</v>
      </c>
    </row>
    <row r="13" spans="1:11">
      <c r="A13" s="894">
        <f t="shared" si="1"/>
        <v>10</v>
      </c>
      <c r="B13" s="894">
        <f>+B12+1</f>
        <v>10</v>
      </c>
      <c r="C13" s="894" t="s">
        <v>652</v>
      </c>
      <c r="D13" s="894"/>
      <c r="E13" s="1949">
        <f>+E12</f>
        <v>45433</v>
      </c>
      <c r="F13" s="894" t="s">
        <v>191</v>
      </c>
      <c r="H13" s="317" t="str">
        <f>_xlfn.XLOOKUP(C13,'[36]Porta TN70'!$C:$C,'[36]Porta TN70'!$G:$G)</f>
        <v>Ö</v>
      </c>
      <c r="K13" s="317" t="s">
        <v>138</v>
      </c>
    </row>
    <row r="14" spans="1:11">
      <c r="A14" s="894">
        <f t="shared" si="1"/>
        <v>11</v>
      </c>
      <c r="B14" s="894">
        <f t="shared" si="1"/>
        <v>11</v>
      </c>
      <c r="C14" s="894" t="s">
        <v>653</v>
      </c>
      <c r="D14" s="894"/>
      <c r="E14" s="1949">
        <f t="shared" si="0"/>
        <v>45433</v>
      </c>
      <c r="F14" s="894" t="s">
        <v>191</v>
      </c>
      <c r="H14" s="317" t="str">
        <f>_xlfn.XLOOKUP(C14,'[36]Porta TN70'!$C:$C,'[36]Porta TN70'!$G:$G)</f>
        <v>Ö</v>
      </c>
    </row>
    <row r="15" spans="1:11">
      <c r="A15" s="894">
        <f t="shared" si="1"/>
        <v>12</v>
      </c>
      <c r="B15" s="894">
        <f t="shared" si="1"/>
        <v>12</v>
      </c>
      <c r="C15" s="894" t="s">
        <v>654</v>
      </c>
      <c r="D15" s="894"/>
      <c r="E15" s="1949">
        <f t="shared" si="0"/>
        <v>45433</v>
      </c>
      <c r="F15" s="894" t="s">
        <v>191</v>
      </c>
      <c r="H15" s="317" t="str">
        <f>_xlfn.XLOOKUP(C15,'[36]Porta TN70'!$C:$C,'[36]Porta TN70'!$G:$G)</f>
        <v>Ö</v>
      </c>
    </row>
    <row r="16" spans="1:11">
      <c r="A16" s="894">
        <f t="shared" si="1"/>
        <v>13</v>
      </c>
      <c r="B16" s="894">
        <f t="shared" si="1"/>
        <v>13</v>
      </c>
      <c r="C16" s="894" t="s">
        <v>655</v>
      </c>
      <c r="D16" s="894"/>
      <c r="E16" s="1949">
        <f t="shared" si="0"/>
        <v>45433</v>
      </c>
      <c r="F16" s="894" t="s">
        <v>191</v>
      </c>
      <c r="H16" s="317" t="str">
        <f>_xlfn.XLOOKUP(C16,'[36]Porta TN70'!$C:$C,'[36]Porta TN70'!$G:$G)</f>
        <v>Ö</v>
      </c>
    </row>
    <row r="17" spans="1:10">
      <c r="A17" s="894">
        <f t="shared" si="1"/>
        <v>14</v>
      </c>
      <c r="B17" s="894">
        <f t="shared" si="1"/>
        <v>14</v>
      </c>
      <c r="C17" s="894" t="s">
        <v>656</v>
      </c>
      <c r="D17" s="894"/>
      <c r="E17" s="1949">
        <f t="shared" si="0"/>
        <v>45433</v>
      </c>
      <c r="F17" s="894" t="s">
        <v>191</v>
      </c>
      <c r="H17" s="317" t="str">
        <f>_xlfn.XLOOKUP(C17,'[36]Porta TN70'!$C:$C,'[36]Porta TN70'!$G:$G)</f>
        <v>Ö</v>
      </c>
    </row>
    <row r="18" spans="1:10">
      <c r="A18" s="894">
        <f t="shared" si="1"/>
        <v>15</v>
      </c>
      <c r="B18" s="894">
        <f t="shared" si="1"/>
        <v>15</v>
      </c>
      <c r="C18" s="894" t="s">
        <v>657</v>
      </c>
      <c r="D18" s="894"/>
      <c r="E18" s="1949">
        <f t="shared" si="0"/>
        <v>45433</v>
      </c>
      <c r="F18" s="894" t="s">
        <v>191</v>
      </c>
      <c r="H18" s="317" t="str">
        <f>_xlfn.XLOOKUP(C18,'[36]Porta TN70'!$C:$C,'[36]Porta TN70'!$G:$G)</f>
        <v>Ö</v>
      </c>
      <c r="J18" s="317" t="s">
        <v>138</v>
      </c>
    </row>
    <row r="19" spans="1:10">
      <c r="A19" s="894">
        <f t="shared" si="1"/>
        <v>16</v>
      </c>
      <c r="B19" s="894">
        <f t="shared" si="1"/>
        <v>16</v>
      </c>
      <c r="C19" s="894" t="s">
        <v>658</v>
      </c>
      <c r="D19" s="894"/>
      <c r="E19" s="1949">
        <v>45433</v>
      </c>
      <c r="F19" s="894" t="s">
        <v>191</v>
      </c>
      <c r="H19" s="317" t="str">
        <f>_xlfn.XLOOKUP(C19,'[36]Porta TN70'!$C:$C,'[36]Porta TN70'!$G:$G)</f>
        <v>Ö</v>
      </c>
    </row>
    <row r="20" spans="1:10">
      <c r="A20" s="894">
        <f t="shared" si="1"/>
        <v>17</v>
      </c>
      <c r="B20" s="894">
        <f t="shared" si="1"/>
        <v>17</v>
      </c>
      <c r="C20" s="894" t="s">
        <v>659</v>
      </c>
      <c r="D20" s="894"/>
      <c r="E20" s="1949">
        <v>45433</v>
      </c>
      <c r="F20" s="894" t="s">
        <v>191</v>
      </c>
      <c r="H20" s="317" t="str">
        <f>_xlfn.XLOOKUP(C20,'[36]Porta TN70'!$C:$C,'[36]Porta TN70'!$G:$G)</f>
        <v>Ö</v>
      </c>
    </row>
    <row r="21" spans="1:10">
      <c r="A21" s="894">
        <f t="shared" si="1"/>
        <v>18</v>
      </c>
      <c r="B21" s="894">
        <f t="shared" si="1"/>
        <v>18</v>
      </c>
      <c r="C21" s="894" t="s">
        <v>660</v>
      </c>
      <c r="D21" s="894"/>
      <c r="E21" s="1949">
        <v>45433</v>
      </c>
      <c r="F21" s="894" t="s">
        <v>191</v>
      </c>
      <c r="H21" s="317" t="str">
        <f>_xlfn.XLOOKUP(C21,'[36]Porta TN70'!$C:$C,'[36]Porta TN70'!$G:$G)</f>
        <v>Ö</v>
      </c>
    </row>
    <row r="22" spans="1:10">
      <c r="A22" s="894">
        <f t="shared" si="1"/>
        <v>19</v>
      </c>
      <c r="B22" s="894">
        <f t="shared" si="1"/>
        <v>19</v>
      </c>
      <c r="C22" s="894" t="s">
        <v>661</v>
      </c>
      <c r="D22" s="894"/>
      <c r="E22" s="1949">
        <v>45433</v>
      </c>
      <c r="F22" s="894" t="s">
        <v>191</v>
      </c>
      <c r="H22" s="317" t="str">
        <f>_xlfn.XLOOKUP(C22,'[36]Porta TN70'!$C:$C,'[36]Porta TN70'!$G:$G)</f>
        <v>Ö</v>
      </c>
    </row>
    <row r="23" spans="1:10">
      <c r="A23" s="894">
        <f t="shared" si="1"/>
        <v>20</v>
      </c>
      <c r="B23" s="894">
        <f t="shared" si="1"/>
        <v>20</v>
      </c>
      <c r="C23" s="894" t="s">
        <v>662</v>
      </c>
      <c r="D23" s="894"/>
      <c r="E23" s="1949">
        <f t="shared" si="0"/>
        <v>45433</v>
      </c>
      <c r="F23" s="894" t="s">
        <v>191</v>
      </c>
      <c r="H23" s="317" t="str">
        <f>_xlfn.XLOOKUP(C23,'[36]Porta TN70'!$C:$C,'[36]Porta TN70'!$G:$G)</f>
        <v>Ö</v>
      </c>
    </row>
    <row r="24" spans="1:10">
      <c r="A24" s="894">
        <f t="shared" si="1"/>
        <v>21</v>
      </c>
      <c r="B24" s="894">
        <f t="shared" si="1"/>
        <v>21</v>
      </c>
      <c r="C24" s="894" t="s">
        <v>663</v>
      </c>
      <c r="D24" s="894"/>
      <c r="E24" s="1949">
        <f t="shared" si="0"/>
        <v>45433</v>
      </c>
      <c r="F24" s="894" t="s">
        <v>191</v>
      </c>
      <c r="H24" s="317" t="str">
        <f>_xlfn.XLOOKUP(C24,'[36]Porta TN70'!$C:$C,'[36]Porta TN70'!$G:$G)</f>
        <v>Ö</v>
      </c>
    </row>
    <row r="25" spans="1:10">
      <c r="A25" s="894">
        <f t="shared" si="1"/>
        <v>22</v>
      </c>
      <c r="B25" s="894">
        <f t="shared" si="1"/>
        <v>22</v>
      </c>
      <c r="C25" s="894" t="s">
        <v>664</v>
      </c>
      <c r="D25" s="894"/>
      <c r="E25" s="1949">
        <f t="shared" si="0"/>
        <v>45433</v>
      </c>
      <c r="F25" s="894" t="s">
        <v>191</v>
      </c>
      <c r="H25" s="317" t="str">
        <f>_xlfn.XLOOKUP(C25,'[36]Porta TN70'!$C:$C,'[36]Porta TN70'!$G:$G)</f>
        <v>Ö</v>
      </c>
    </row>
    <row r="26" spans="1:10">
      <c r="A26" s="894">
        <f t="shared" si="1"/>
        <v>23</v>
      </c>
      <c r="B26" s="894">
        <f t="shared" si="1"/>
        <v>23</v>
      </c>
      <c r="C26" s="894" t="s">
        <v>665</v>
      </c>
      <c r="D26" s="894"/>
      <c r="E26" s="1949">
        <f t="shared" si="0"/>
        <v>45433</v>
      </c>
      <c r="F26" s="894" t="s">
        <v>191</v>
      </c>
      <c r="H26" s="317" t="str">
        <f>_xlfn.XLOOKUP(C26,'[36]Porta TN70'!$C:$C,'[36]Porta TN70'!$G:$G)</f>
        <v>Ö</v>
      </c>
    </row>
    <row r="27" spans="1:10">
      <c r="A27" s="894">
        <f t="shared" si="1"/>
        <v>24</v>
      </c>
      <c r="B27" s="894">
        <f>+B26+1</f>
        <v>24</v>
      </c>
      <c r="C27" s="894" t="s">
        <v>610</v>
      </c>
      <c r="D27" s="894"/>
      <c r="E27" s="1949">
        <f>+E26</f>
        <v>45433</v>
      </c>
      <c r="F27" s="894" t="s">
        <v>645</v>
      </c>
      <c r="H27" s="317" t="str">
        <f>_xlfn.XLOOKUP(C27,'[36]Porta TN70'!$C:$C,'[36]Porta TN70'!$G:$G)</f>
        <v>Ö</v>
      </c>
    </row>
    <row r="28" spans="1:10">
      <c r="A28" s="894">
        <f t="shared" si="1"/>
        <v>25</v>
      </c>
      <c r="B28" s="894">
        <f t="shared" si="1"/>
        <v>25</v>
      </c>
      <c r="C28" s="894" t="s">
        <v>666</v>
      </c>
      <c r="D28" s="894"/>
      <c r="E28" s="1949">
        <f t="shared" si="0"/>
        <v>45433</v>
      </c>
      <c r="F28" s="894" t="s">
        <v>191</v>
      </c>
      <c r="H28" s="317" t="str">
        <f>_xlfn.XLOOKUP(C28,'[36]Porta TN70'!$C:$C,'[36]Porta TN70'!$G:$G)</f>
        <v>Ö</v>
      </c>
    </row>
    <row r="29" spans="1:10">
      <c r="A29" s="894">
        <f t="shared" si="1"/>
        <v>26</v>
      </c>
      <c r="B29" s="894">
        <f t="shared" si="1"/>
        <v>26</v>
      </c>
      <c r="C29" s="894" t="s">
        <v>667</v>
      </c>
      <c r="D29" s="894"/>
      <c r="E29" s="1949">
        <f t="shared" si="0"/>
        <v>45433</v>
      </c>
      <c r="F29" s="894" t="s">
        <v>191</v>
      </c>
      <c r="H29" s="317" t="str">
        <f>_xlfn.XLOOKUP(C29,'[36]Porta TN70'!$C:$C,'[36]Porta TN70'!$G:$G)</f>
        <v>Ö</v>
      </c>
    </row>
    <row r="30" spans="1:10">
      <c r="A30" s="894">
        <f t="shared" si="1"/>
        <v>27</v>
      </c>
      <c r="B30" s="894">
        <f t="shared" si="1"/>
        <v>27</v>
      </c>
      <c r="C30" s="894" t="s">
        <v>668</v>
      </c>
      <c r="D30" s="894"/>
      <c r="E30" s="1949">
        <f t="shared" si="0"/>
        <v>45433</v>
      </c>
      <c r="F30" s="894" t="s">
        <v>191</v>
      </c>
      <c r="H30" s="317" t="str">
        <f>_xlfn.XLOOKUP(C30,'[36]Porta TN70'!$C:$C,'[36]Porta TN70'!$G:$G)</f>
        <v>Ö</v>
      </c>
    </row>
    <row r="31" spans="1:10">
      <c r="A31" s="894">
        <f t="shared" si="1"/>
        <v>28</v>
      </c>
      <c r="B31" s="894">
        <f t="shared" si="1"/>
        <v>28</v>
      </c>
      <c r="C31" s="894" t="s">
        <v>669</v>
      </c>
      <c r="D31" s="894"/>
      <c r="E31" s="1949">
        <f t="shared" si="0"/>
        <v>45433</v>
      </c>
      <c r="F31" s="894" t="s">
        <v>191</v>
      </c>
      <c r="H31" s="317" t="str">
        <f>_xlfn.XLOOKUP(C31,'[36]Porta TN70'!$C:$C,'[36]Porta TN70'!$G:$G)</f>
        <v>Ö</v>
      </c>
    </row>
    <row r="32" spans="1:10">
      <c r="A32" s="894">
        <f t="shared" si="1"/>
        <v>29</v>
      </c>
      <c r="B32" s="894">
        <f t="shared" si="1"/>
        <v>29</v>
      </c>
      <c r="C32" s="894" t="s">
        <v>670</v>
      </c>
      <c r="D32" s="894"/>
      <c r="E32" s="1949">
        <f t="shared" ref="E32:E60" si="2">+E31</f>
        <v>45433</v>
      </c>
      <c r="F32" s="894" t="s">
        <v>191</v>
      </c>
      <c r="H32" s="317" t="str">
        <f>_xlfn.XLOOKUP(C32,'[36]Porta TN70'!$C:$C,'[36]Porta TN70'!$G:$G)</f>
        <v>Ö</v>
      </c>
    </row>
    <row r="33" spans="1:8">
      <c r="A33" s="894">
        <f t="shared" si="1"/>
        <v>30</v>
      </c>
      <c r="B33" s="894">
        <f t="shared" si="1"/>
        <v>30</v>
      </c>
      <c r="C33" s="894" t="s">
        <v>671</v>
      </c>
      <c r="D33" s="894"/>
      <c r="E33" s="1949">
        <f t="shared" si="2"/>
        <v>45433</v>
      </c>
      <c r="F33" s="894" t="s">
        <v>191</v>
      </c>
      <c r="H33" s="317" t="str">
        <f>_xlfn.XLOOKUP(C33,'[36]Porta TN70'!$C:$C,'[36]Porta TN70'!$G:$G)</f>
        <v>Ö</v>
      </c>
    </row>
    <row r="34" spans="1:8">
      <c r="A34" s="894">
        <f t="shared" si="1"/>
        <v>31</v>
      </c>
      <c r="B34" s="894">
        <f t="shared" si="1"/>
        <v>31</v>
      </c>
      <c r="C34" s="894" t="s">
        <v>672</v>
      </c>
      <c r="D34" s="894"/>
      <c r="E34" s="1949">
        <f t="shared" si="2"/>
        <v>45433</v>
      </c>
      <c r="F34" s="894" t="s">
        <v>191</v>
      </c>
      <c r="H34" s="317" t="str">
        <f>_xlfn.XLOOKUP(C34,'[36]Porta TN70'!$C:$C,'[36]Porta TN70'!$G:$G)</f>
        <v>Ö</v>
      </c>
    </row>
    <row r="35" spans="1:8">
      <c r="A35" s="894">
        <f t="shared" si="1"/>
        <v>32</v>
      </c>
      <c r="B35" s="894">
        <f t="shared" si="1"/>
        <v>32</v>
      </c>
      <c r="C35" s="894" t="s">
        <v>673</v>
      </c>
      <c r="D35" s="894"/>
      <c r="E35" s="1949">
        <v>45433</v>
      </c>
      <c r="F35" s="894" t="s">
        <v>191</v>
      </c>
      <c r="H35" s="317" t="str">
        <f>_xlfn.XLOOKUP(C35,'[36]Porta TN70'!$C:$C,'[36]Porta TN70'!$G:$G)</f>
        <v>Ö</v>
      </c>
    </row>
    <row r="36" spans="1:8">
      <c r="A36" s="894">
        <f t="shared" si="1"/>
        <v>33</v>
      </c>
      <c r="B36" s="894">
        <f t="shared" si="1"/>
        <v>33</v>
      </c>
      <c r="C36" s="894" t="s">
        <v>674</v>
      </c>
      <c r="D36" s="894"/>
      <c r="E36" s="1949">
        <f t="shared" si="2"/>
        <v>45433</v>
      </c>
      <c r="F36" s="894" t="s">
        <v>191</v>
      </c>
      <c r="H36" s="317" t="str">
        <f>_xlfn.XLOOKUP(C36,'[36]Porta TN70'!$C:$C,'[36]Porta TN70'!$G:$G)</f>
        <v>Ö</v>
      </c>
    </row>
    <row r="37" spans="1:8">
      <c r="A37" s="894">
        <f t="shared" si="1"/>
        <v>34</v>
      </c>
      <c r="B37" s="894">
        <f t="shared" si="1"/>
        <v>34</v>
      </c>
      <c r="C37" s="894" t="s">
        <v>675</v>
      </c>
      <c r="D37" s="894"/>
      <c r="E37" s="1949">
        <v>45433</v>
      </c>
      <c r="F37" s="894" t="s">
        <v>191</v>
      </c>
      <c r="H37" s="317" t="str">
        <f>_xlfn.XLOOKUP(C37,'[36]Porta TN70'!$C:$C,'[36]Porta TN70'!$G:$G)</f>
        <v>Ö</v>
      </c>
    </row>
    <row r="38" spans="1:8">
      <c r="A38" s="894">
        <f t="shared" si="1"/>
        <v>35</v>
      </c>
      <c r="B38" s="894">
        <f t="shared" si="1"/>
        <v>35</v>
      </c>
      <c r="C38" s="894" t="s">
        <v>676</v>
      </c>
      <c r="D38" s="894"/>
      <c r="E38" s="1949">
        <f t="shared" si="2"/>
        <v>45433</v>
      </c>
      <c r="F38" s="894" t="s">
        <v>191</v>
      </c>
      <c r="H38" s="317" t="str">
        <f>_xlfn.XLOOKUP(C38,'[36]Porta TN70'!$C:$C,'[36]Porta TN70'!$G:$G)</f>
        <v>Ö</v>
      </c>
    </row>
    <row r="39" spans="1:8">
      <c r="A39" s="894">
        <f t="shared" si="1"/>
        <v>36</v>
      </c>
      <c r="B39" s="894">
        <f t="shared" si="1"/>
        <v>36</v>
      </c>
      <c r="C39" s="894" t="s">
        <v>677</v>
      </c>
      <c r="D39" s="894"/>
      <c r="E39" s="1949">
        <f t="shared" si="2"/>
        <v>45433</v>
      </c>
      <c r="F39" s="894" t="s">
        <v>191</v>
      </c>
      <c r="H39" s="317" t="str">
        <f>_xlfn.XLOOKUP(C39,'[36]Porta TN70'!$C:$C,'[36]Porta TN70'!$G:$G)</f>
        <v>Ö</v>
      </c>
    </row>
    <row r="40" spans="1:8">
      <c r="A40" s="894">
        <f t="shared" si="1"/>
        <v>37</v>
      </c>
      <c r="B40" s="894">
        <f t="shared" si="1"/>
        <v>37</v>
      </c>
      <c r="C40" s="894" t="s">
        <v>678</v>
      </c>
      <c r="D40" s="894"/>
      <c r="E40" s="1949">
        <v>45433</v>
      </c>
      <c r="F40" s="894" t="s">
        <v>191</v>
      </c>
      <c r="H40" s="317" t="str">
        <f>_xlfn.XLOOKUP(C40,'[36]Porta TN70'!$C:$C,'[36]Porta TN70'!$G:$G)</f>
        <v>Ö</v>
      </c>
    </row>
    <row r="41" spans="1:8" ht="14.45">
      <c r="A41" s="894">
        <f t="shared" si="1"/>
        <v>38</v>
      </c>
      <c r="B41" s="894">
        <f t="shared" si="1"/>
        <v>38</v>
      </c>
      <c r="C41" s="894" t="s">
        <v>679</v>
      </c>
      <c r="D41" s="894"/>
      <c r="E41" s="1949">
        <v>45433</v>
      </c>
      <c r="F41" s="894" t="s">
        <v>191</v>
      </c>
      <c r="G41" s="827"/>
      <c r="H41" s="317" t="str">
        <f>_xlfn.XLOOKUP(C41,'[36]Porta TN70'!$C:$C,'[36]Porta TN70'!$G:$G)</f>
        <v>Ö</v>
      </c>
    </row>
    <row r="42" spans="1:8">
      <c r="A42" s="894">
        <f t="shared" si="1"/>
        <v>39</v>
      </c>
      <c r="B42" s="894">
        <f t="shared" si="1"/>
        <v>39</v>
      </c>
      <c r="C42" s="894" t="s">
        <v>680</v>
      </c>
      <c r="D42" s="894"/>
      <c r="E42" s="1949">
        <f t="shared" si="2"/>
        <v>45433</v>
      </c>
      <c r="F42" s="894" t="s">
        <v>191</v>
      </c>
      <c r="G42" s="317" t="s">
        <v>138</v>
      </c>
      <c r="H42" s="317" t="str">
        <f>_xlfn.XLOOKUP(C42,'[36]Porta TN70'!$C:$C,'[36]Porta TN70'!$G:$G)</f>
        <v>Ö</v>
      </c>
    </row>
    <row r="43" spans="1:8" s="827" customFormat="1" ht="14.45">
      <c r="A43" s="894">
        <f t="shared" si="1"/>
        <v>40</v>
      </c>
      <c r="B43" s="894">
        <f>+B42+1</f>
        <v>40</v>
      </c>
      <c r="C43" s="894" t="s">
        <v>681</v>
      </c>
      <c r="D43" s="894"/>
      <c r="E43" s="1949">
        <v>45433</v>
      </c>
      <c r="F43" s="894" t="s">
        <v>191</v>
      </c>
      <c r="G43" s="317"/>
      <c r="H43" s="317" t="str">
        <f>_xlfn.XLOOKUP(C43,'[36]Porta TN70'!$C:$C,'[36]Porta TN70'!$G:$G)</f>
        <v>Ö</v>
      </c>
    </row>
    <row r="44" spans="1:8">
      <c r="A44" s="894">
        <f t="shared" si="1"/>
        <v>41</v>
      </c>
      <c r="B44" s="894">
        <f t="shared" si="1"/>
        <v>41</v>
      </c>
      <c r="C44" s="894" t="s">
        <v>682</v>
      </c>
      <c r="D44" s="894"/>
      <c r="E44" s="1949">
        <f t="shared" si="2"/>
        <v>45433</v>
      </c>
      <c r="F44" s="894" t="s">
        <v>191</v>
      </c>
      <c r="H44" s="317" t="str">
        <f>_xlfn.XLOOKUP(C44,'[36]Porta TN70'!$C:$C,'[36]Porta TN70'!$G:$G)</f>
        <v>Ö</v>
      </c>
    </row>
    <row r="45" spans="1:8">
      <c r="A45" s="894">
        <f t="shared" si="1"/>
        <v>42</v>
      </c>
      <c r="B45" s="894">
        <f t="shared" si="1"/>
        <v>42</v>
      </c>
      <c r="C45" s="894" t="s">
        <v>683</v>
      </c>
      <c r="D45" s="894"/>
      <c r="E45" s="1949">
        <f t="shared" si="2"/>
        <v>45433</v>
      </c>
      <c r="F45" s="894" t="s">
        <v>191</v>
      </c>
      <c r="H45" s="317" t="str">
        <f>_xlfn.XLOOKUP(C45,'[36]Porta TN70'!$C:$C,'[36]Porta TN70'!$G:$G)</f>
        <v>Ö</v>
      </c>
    </row>
    <row r="46" spans="1:8">
      <c r="A46" s="894">
        <f t="shared" si="1"/>
        <v>43</v>
      </c>
      <c r="B46" s="894">
        <f t="shared" si="1"/>
        <v>43</v>
      </c>
      <c r="C46" s="894" t="s">
        <v>612</v>
      </c>
      <c r="D46" s="894"/>
      <c r="E46" s="1949">
        <v>45433</v>
      </c>
      <c r="F46" s="894" t="s">
        <v>645</v>
      </c>
      <c r="H46" s="317" t="str">
        <f>_xlfn.XLOOKUP(C46,'[36]Porta TN70'!$C:$C,'[36]Porta TN70'!$G:$G)</f>
        <v>Ö</v>
      </c>
    </row>
    <row r="47" spans="1:8">
      <c r="A47" s="894">
        <f t="shared" si="1"/>
        <v>44</v>
      </c>
      <c r="B47" s="894">
        <f t="shared" si="1"/>
        <v>44</v>
      </c>
      <c r="C47" s="894" t="s">
        <v>684</v>
      </c>
      <c r="D47" s="894"/>
      <c r="E47" s="1949">
        <f t="shared" si="2"/>
        <v>45433</v>
      </c>
      <c r="F47" s="894" t="s">
        <v>191</v>
      </c>
      <c r="H47" s="317" t="str">
        <f>_xlfn.XLOOKUP(C47,'[36]Porta TN70'!$C:$C,'[36]Porta TN70'!$G:$G)</f>
        <v>Ö</v>
      </c>
    </row>
    <row r="48" spans="1:8">
      <c r="A48" s="894">
        <f t="shared" si="1"/>
        <v>45</v>
      </c>
      <c r="B48" s="894">
        <f t="shared" si="1"/>
        <v>45</v>
      </c>
      <c r="C48" s="894" t="s">
        <v>685</v>
      </c>
      <c r="D48" s="894"/>
      <c r="E48" s="1949">
        <f t="shared" si="2"/>
        <v>45433</v>
      </c>
      <c r="F48" s="894" t="s">
        <v>191</v>
      </c>
      <c r="H48" s="317" t="str">
        <f>_xlfn.XLOOKUP(C48,'[36]Porta TN70'!$C:$C,'[36]Porta TN70'!$G:$G)</f>
        <v>Ö</v>
      </c>
    </row>
    <row r="49" spans="1:8">
      <c r="A49" s="894">
        <f t="shared" si="1"/>
        <v>46</v>
      </c>
      <c r="B49" s="894">
        <f t="shared" si="1"/>
        <v>46</v>
      </c>
      <c r="C49" s="894" t="s">
        <v>686</v>
      </c>
      <c r="D49" s="894"/>
      <c r="E49" s="1949">
        <f t="shared" si="2"/>
        <v>45433</v>
      </c>
      <c r="F49" s="894" t="s">
        <v>191</v>
      </c>
      <c r="H49" s="317" t="str">
        <f>_xlfn.XLOOKUP(C49,'[36]Porta TN70'!$C:$C,'[36]Porta TN70'!$G:$G)</f>
        <v>Ö</v>
      </c>
    </row>
    <row r="50" spans="1:8">
      <c r="A50" s="894">
        <f t="shared" si="1"/>
        <v>47</v>
      </c>
      <c r="B50" s="894">
        <f>+B49+1</f>
        <v>47</v>
      </c>
      <c r="C50" s="894" t="s">
        <v>687</v>
      </c>
      <c r="D50" s="894"/>
      <c r="E50" s="1949">
        <f>+E49</f>
        <v>45433</v>
      </c>
      <c r="F50" s="894" t="s">
        <v>191</v>
      </c>
      <c r="H50" s="317" t="str">
        <f>_xlfn.XLOOKUP(C50,'[36]Porta TN70'!$C:$C,'[36]Porta TN70'!$G:$G)</f>
        <v>Ö</v>
      </c>
    </row>
    <row r="51" spans="1:8">
      <c r="A51" s="894">
        <f t="shared" si="1"/>
        <v>48</v>
      </c>
      <c r="B51" s="894">
        <f t="shared" si="1"/>
        <v>48</v>
      </c>
      <c r="C51" s="894" t="s">
        <v>688</v>
      </c>
      <c r="D51" s="894"/>
      <c r="E51" s="1949">
        <f t="shared" si="2"/>
        <v>45433</v>
      </c>
      <c r="F51" s="894" t="s">
        <v>191</v>
      </c>
      <c r="H51" s="317" t="str">
        <f>_xlfn.XLOOKUP(C51,'[36]Porta TN70'!$C:$C,'[36]Porta TN70'!$G:$G)</f>
        <v>Ö</v>
      </c>
    </row>
    <row r="52" spans="1:8">
      <c r="A52" s="894">
        <f t="shared" si="1"/>
        <v>49</v>
      </c>
      <c r="B52" s="894">
        <f t="shared" si="1"/>
        <v>49</v>
      </c>
      <c r="C52" s="894" t="s">
        <v>689</v>
      </c>
      <c r="D52" s="894"/>
      <c r="E52" s="1949">
        <f t="shared" si="2"/>
        <v>45433</v>
      </c>
      <c r="F52" s="894" t="s">
        <v>191</v>
      </c>
      <c r="H52" s="317" t="str">
        <f>_xlfn.XLOOKUP(C52,'[36]Porta TN70'!$C:$C,'[36]Porta TN70'!$G:$G)</f>
        <v>Ö</v>
      </c>
    </row>
    <row r="53" spans="1:8">
      <c r="A53" s="894">
        <f t="shared" si="1"/>
        <v>50</v>
      </c>
      <c r="B53" s="894">
        <f t="shared" si="1"/>
        <v>50</v>
      </c>
      <c r="C53" s="894" t="s">
        <v>613</v>
      </c>
      <c r="D53" s="894"/>
      <c r="E53" s="1949">
        <f t="shared" si="2"/>
        <v>45433</v>
      </c>
      <c r="F53" s="894" t="s">
        <v>645</v>
      </c>
      <c r="H53" s="317" t="str">
        <f>_xlfn.XLOOKUP(C53,'[36]Porta TN70'!$C:$C,'[36]Porta TN70'!$G:$G)</f>
        <v>Ö</v>
      </c>
    </row>
    <row r="54" spans="1:8">
      <c r="A54" s="894">
        <f t="shared" si="1"/>
        <v>51</v>
      </c>
      <c r="B54" s="894">
        <f t="shared" si="1"/>
        <v>51</v>
      </c>
      <c r="C54" s="894" t="s">
        <v>690</v>
      </c>
      <c r="D54" s="894"/>
      <c r="E54" s="1949">
        <f t="shared" si="2"/>
        <v>45433</v>
      </c>
      <c r="F54" s="894" t="s">
        <v>191</v>
      </c>
      <c r="H54" s="317" t="str">
        <f>_xlfn.XLOOKUP(C54,'[36]Porta TN70'!$C:$C,'[36]Porta TN70'!$G:$G)</f>
        <v>Ö</v>
      </c>
    </row>
    <row r="55" spans="1:8">
      <c r="A55" s="894">
        <f t="shared" si="1"/>
        <v>52</v>
      </c>
      <c r="B55" s="894">
        <f t="shared" si="1"/>
        <v>52</v>
      </c>
      <c r="C55" s="894" t="s">
        <v>691</v>
      </c>
      <c r="D55" s="894"/>
      <c r="E55" s="1949">
        <f t="shared" si="2"/>
        <v>45433</v>
      </c>
      <c r="F55" s="894" t="s">
        <v>191</v>
      </c>
      <c r="H55" s="317" t="str">
        <f>_xlfn.XLOOKUP(C55,'[36]Porta TN70'!$C:$C,'[36]Porta TN70'!$G:$G)</f>
        <v>Ö</v>
      </c>
    </row>
    <row r="56" spans="1:8">
      <c r="A56" s="894">
        <f t="shared" si="1"/>
        <v>53</v>
      </c>
      <c r="B56" s="894">
        <f t="shared" si="1"/>
        <v>53</v>
      </c>
      <c r="C56" s="894" t="s">
        <v>692</v>
      </c>
      <c r="D56" s="894"/>
      <c r="E56" s="1949">
        <v>45433</v>
      </c>
      <c r="F56" s="894" t="s">
        <v>191</v>
      </c>
      <c r="H56" s="317" t="str">
        <f>_xlfn.XLOOKUP(C56,'[36]Porta TN70'!$C:$C,'[36]Porta TN70'!$G:$G)</f>
        <v>Ö</v>
      </c>
    </row>
    <row r="57" spans="1:8">
      <c r="A57" s="894">
        <f t="shared" si="1"/>
        <v>54</v>
      </c>
      <c r="B57" s="894">
        <f>+B56+1</f>
        <v>54</v>
      </c>
      <c r="C57" s="894" t="s">
        <v>693</v>
      </c>
      <c r="D57" s="894"/>
      <c r="E57" s="1949">
        <v>45433</v>
      </c>
      <c r="F57" s="894" t="s">
        <v>191</v>
      </c>
      <c r="H57" s="317" t="str">
        <f>_xlfn.XLOOKUP(C57,'[36]Porta TN70'!$C:$C,'[36]Porta TN70'!$G:$G)</f>
        <v>Ö</v>
      </c>
    </row>
    <row r="58" spans="1:8">
      <c r="A58" s="894">
        <f t="shared" si="1"/>
        <v>55</v>
      </c>
      <c r="B58" s="894">
        <f>+B57+1</f>
        <v>55</v>
      </c>
      <c r="C58" s="894" t="s">
        <v>694</v>
      </c>
      <c r="D58" s="894"/>
      <c r="E58" s="1949">
        <v>45433</v>
      </c>
      <c r="F58" s="894" t="s">
        <v>191</v>
      </c>
      <c r="H58" s="317" t="str">
        <f>_xlfn.XLOOKUP(C58,'[36]Porta TN70'!$C:$C,'[36]Porta TN70'!$G:$G)</f>
        <v>Ö</v>
      </c>
    </row>
    <row r="59" spans="1:8">
      <c r="A59" s="894">
        <f t="shared" si="1"/>
        <v>56</v>
      </c>
      <c r="B59" s="894">
        <f>+B58+1</f>
        <v>56</v>
      </c>
      <c r="C59" s="894" t="s">
        <v>695</v>
      </c>
      <c r="D59" s="894"/>
      <c r="E59" s="1949">
        <f>+E58</f>
        <v>45433</v>
      </c>
      <c r="F59" s="894" t="s">
        <v>191</v>
      </c>
      <c r="H59" s="317" t="str">
        <f>_xlfn.XLOOKUP(C59,'[36]Porta TN70'!$C:$C,'[36]Porta TN70'!$G:$G)</f>
        <v>Ö</v>
      </c>
    </row>
    <row r="60" spans="1:8">
      <c r="A60" s="894">
        <f t="shared" si="1"/>
        <v>57</v>
      </c>
      <c r="B60" s="894">
        <f t="shared" ref="A60:B133" si="3">B59+1</f>
        <v>57</v>
      </c>
      <c r="C60" s="894" t="s">
        <v>696</v>
      </c>
      <c r="D60" s="894"/>
      <c r="E60" s="1949">
        <f t="shared" si="2"/>
        <v>45433</v>
      </c>
      <c r="F60" s="894" t="s">
        <v>191</v>
      </c>
      <c r="H60" s="317" t="str">
        <f>_xlfn.XLOOKUP(C60,'[36]Porta TN70'!$C:$C,'[36]Porta TN70'!$G:$G)</f>
        <v>Ö</v>
      </c>
    </row>
    <row r="61" spans="1:8">
      <c r="A61" s="894">
        <f t="shared" si="1"/>
        <v>58</v>
      </c>
      <c r="B61" s="894">
        <f t="shared" si="3"/>
        <v>58</v>
      </c>
      <c r="C61" s="894" t="s">
        <v>697</v>
      </c>
      <c r="D61" s="894"/>
      <c r="E61" s="1949">
        <v>45433</v>
      </c>
      <c r="F61" s="894" t="s">
        <v>191</v>
      </c>
      <c r="H61" s="317" t="str">
        <f>_xlfn.XLOOKUP(C61,'[36]Porta TN70'!$C:$C,'[36]Porta TN70'!$G:$G)</f>
        <v>Ö</v>
      </c>
    </row>
    <row r="62" spans="1:8">
      <c r="A62" s="894">
        <f t="shared" si="1"/>
        <v>59</v>
      </c>
      <c r="B62" s="894">
        <f t="shared" si="3"/>
        <v>59</v>
      </c>
      <c r="C62" s="894" t="s">
        <v>698</v>
      </c>
      <c r="D62" s="894"/>
      <c r="E62" s="1949">
        <f t="shared" ref="E62:E93" si="4">+E61</f>
        <v>45433</v>
      </c>
      <c r="F62" s="894" t="s">
        <v>191</v>
      </c>
      <c r="H62" s="317" t="str">
        <f>_xlfn.XLOOKUP(C62,'[36]Porta TN70'!$C:$C,'[36]Porta TN70'!$G:$G)</f>
        <v>Ö</v>
      </c>
    </row>
    <row r="63" spans="1:8">
      <c r="A63" s="894">
        <f t="shared" si="1"/>
        <v>60</v>
      </c>
      <c r="B63" s="894">
        <f t="shared" si="3"/>
        <v>60</v>
      </c>
      <c r="C63" s="894" t="s">
        <v>699</v>
      </c>
      <c r="D63" s="894"/>
      <c r="E63" s="1949">
        <f t="shared" si="4"/>
        <v>45433</v>
      </c>
      <c r="F63" s="894" t="s">
        <v>191</v>
      </c>
      <c r="H63" s="317" t="str">
        <f>_xlfn.XLOOKUP(C63,'[36]Porta TN70'!$C:$C,'[36]Porta TN70'!$G:$G)</f>
        <v>Ö</v>
      </c>
    </row>
    <row r="64" spans="1:8">
      <c r="A64" s="894">
        <f t="shared" si="1"/>
        <v>61</v>
      </c>
      <c r="B64" s="894">
        <f t="shared" si="3"/>
        <v>61</v>
      </c>
      <c r="C64" s="894" t="s">
        <v>700</v>
      </c>
      <c r="D64" s="894"/>
      <c r="E64" s="1949">
        <f t="shared" si="4"/>
        <v>45433</v>
      </c>
      <c r="F64" s="894" t="s">
        <v>191</v>
      </c>
      <c r="H64" s="317" t="str">
        <f>_xlfn.XLOOKUP(C64,'[36]Porta TN70'!$C:$C,'[36]Porta TN70'!$G:$G)</f>
        <v>Ö</v>
      </c>
    </row>
    <row r="65" spans="1:8">
      <c r="A65" s="894">
        <f t="shared" si="1"/>
        <v>62</v>
      </c>
      <c r="B65" s="894">
        <f t="shared" si="3"/>
        <v>62</v>
      </c>
      <c r="C65" s="894" t="s">
        <v>701</v>
      </c>
      <c r="D65" s="894"/>
      <c r="E65" s="1949">
        <f t="shared" si="4"/>
        <v>45433</v>
      </c>
      <c r="F65" s="894" t="s">
        <v>191</v>
      </c>
      <c r="H65" s="317" t="str">
        <f>_xlfn.XLOOKUP(C65,'[36]Porta TN70'!$C:$C,'[36]Porta TN70'!$G:$G)</f>
        <v>Ö</v>
      </c>
    </row>
    <row r="66" spans="1:8">
      <c r="A66" s="894">
        <f t="shared" si="1"/>
        <v>63</v>
      </c>
      <c r="B66" s="894">
        <f t="shared" si="3"/>
        <v>63</v>
      </c>
      <c r="C66" s="894" t="s">
        <v>614</v>
      </c>
      <c r="D66" s="894"/>
      <c r="E66" s="1949">
        <f t="shared" si="4"/>
        <v>45433</v>
      </c>
      <c r="F66" s="894" t="s">
        <v>645</v>
      </c>
      <c r="H66" s="317" t="str">
        <f>_xlfn.XLOOKUP(C66,'[36]Porta TN70'!$C:$C,'[36]Porta TN70'!$G:$G)</f>
        <v>Ö</v>
      </c>
    </row>
    <row r="67" spans="1:8">
      <c r="A67" s="894">
        <f t="shared" si="1"/>
        <v>64</v>
      </c>
      <c r="B67" s="894">
        <f t="shared" si="3"/>
        <v>64</v>
      </c>
      <c r="C67" s="894" t="s">
        <v>702</v>
      </c>
      <c r="D67" s="894"/>
      <c r="E67" s="1949">
        <f t="shared" si="4"/>
        <v>45433</v>
      </c>
      <c r="F67" s="894" t="s">
        <v>191</v>
      </c>
      <c r="H67" s="317" t="str">
        <f>_xlfn.XLOOKUP(C67,'[36]Porta TN70'!$C:$C,'[36]Porta TN70'!$G:$G)</f>
        <v>Ö</v>
      </c>
    </row>
    <row r="68" spans="1:8">
      <c r="A68" s="894">
        <f t="shared" si="1"/>
        <v>65</v>
      </c>
      <c r="B68" s="894">
        <f t="shared" si="3"/>
        <v>65</v>
      </c>
      <c r="C68" s="894" t="s">
        <v>615</v>
      </c>
      <c r="D68" s="894"/>
      <c r="E68" s="1949">
        <f t="shared" si="4"/>
        <v>45433</v>
      </c>
      <c r="F68" s="894" t="s">
        <v>645</v>
      </c>
      <c r="H68" s="317" t="str">
        <f>_xlfn.XLOOKUP(C68,'[36]Porta TN70'!$C:$C,'[36]Porta TN70'!$G:$G)</f>
        <v>Ö</v>
      </c>
    </row>
    <row r="69" spans="1:8">
      <c r="A69" s="894">
        <f t="shared" si="1"/>
        <v>66</v>
      </c>
      <c r="B69" s="894">
        <f>B68+1</f>
        <v>66</v>
      </c>
      <c r="C69" s="894" t="s">
        <v>703</v>
      </c>
      <c r="D69" s="894"/>
      <c r="E69" s="1949">
        <f>+E68</f>
        <v>45433</v>
      </c>
      <c r="F69" s="894" t="s">
        <v>191</v>
      </c>
      <c r="H69" s="317" t="str">
        <f>_xlfn.XLOOKUP(C69,'[36]Porta TN70'!$C:$C,'[36]Porta TN70'!$G:$G)</f>
        <v>Ö</v>
      </c>
    </row>
    <row r="70" spans="1:8">
      <c r="A70" s="894">
        <f t="shared" si="3"/>
        <v>67</v>
      </c>
      <c r="B70" s="894">
        <f t="shared" si="3"/>
        <v>67</v>
      </c>
      <c r="C70" s="894" t="s">
        <v>704</v>
      </c>
      <c r="D70" s="894"/>
      <c r="E70" s="1949">
        <f t="shared" si="4"/>
        <v>45433</v>
      </c>
      <c r="F70" s="894" t="s">
        <v>191</v>
      </c>
      <c r="H70" s="317" t="str">
        <f>_xlfn.XLOOKUP(C70,'[36]Porta TN70'!$C:$C,'[36]Porta TN70'!$G:$G)</f>
        <v>Ö</v>
      </c>
    </row>
    <row r="71" spans="1:8">
      <c r="A71" s="894">
        <f t="shared" si="3"/>
        <v>68</v>
      </c>
      <c r="B71" s="894">
        <f t="shared" si="3"/>
        <v>68</v>
      </c>
      <c r="C71" s="894" t="s">
        <v>705</v>
      </c>
      <c r="D71" s="894"/>
      <c r="E71" s="1949">
        <f t="shared" si="4"/>
        <v>45433</v>
      </c>
      <c r="F71" s="894" t="s">
        <v>191</v>
      </c>
      <c r="H71" s="317" t="str">
        <f>_xlfn.XLOOKUP(C71,'[36]Porta TN70'!$C:$C,'[36]Porta TN70'!$G:$G)</f>
        <v>Ö</v>
      </c>
    </row>
    <row r="72" spans="1:8">
      <c r="A72" s="894">
        <f t="shared" si="3"/>
        <v>69</v>
      </c>
      <c r="B72" s="894">
        <f t="shared" si="3"/>
        <v>69</v>
      </c>
      <c r="C72" s="894" t="s">
        <v>706</v>
      </c>
      <c r="D72" s="894"/>
      <c r="E72" s="1949">
        <f>E71</f>
        <v>45433</v>
      </c>
      <c r="F72" s="894" t="s">
        <v>191</v>
      </c>
      <c r="H72" s="317" t="str">
        <f>_xlfn.XLOOKUP(C72,'[36]Porta TN70'!$C:$C,'[36]Porta TN70'!$G:$G)</f>
        <v>Ö</v>
      </c>
    </row>
    <row r="73" spans="1:8">
      <c r="A73" s="894">
        <f t="shared" si="3"/>
        <v>70</v>
      </c>
      <c r="B73" s="894">
        <f t="shared" si="3"/>
        <v>70</v>
      </c>
      <c r="C73" s="894" t="s">
        <v>707</v>
      </c>
      <c r="D73" s="894"/>
      <c r="E73" s="1949">
        <f t="shared" si="4"/>
        <v>45433</v>
      </c>
      <c r="F73" s="894" t="s">
        <v>191</v>
      </c>
      <c r="H73" s="317" t="str">
        <f>_xlfn.XLOOKUP(C73,'[36]Porta TN70'!$C:$C,'[36]Porta TN70'!$G:$G)</f>
        <v>Ö</v>
      </c>
    </row>
    <row r="74" spans="1:8">
      <c r="A74" s="894">
        <f t="shared" si="3"/>
        <v>71</v>
      </c>
      <c r="B74" s="894">
        <f t="shared" si="3"/>
        <v>71</v>
      </c>
      <c r="C74" s="894" t="s">
        <v>708</v>
      </c>
      <c r="D74" s="894"/>
      <c r="E74" s="1949">
        <f t="shared" si="4"/>
        <v>45433</v>
      </c>
      <c r="F74" s="894" t="s">
        <v>645</v>
      </c>
      <c r="H74" s="317" t="str">
        <f>_xlfn.XLOOKUP(C74,'[36]Porta TN70'!$C:$C,'[36]Porta TN70'!$G:$G)</f>
        <v>Ö</v>
      </c>
    </row>
    <row r="75" spans="1:8">
      <c r="A75" s="894">
        <f>A74+1</f>
        <v>72</v>
      </c>
      <c r="B75" s="894">
        <f t="shared" si="3"/>
        <v>72</v>
      </c>
      <c r="C75" s="894" t="s">
        <v>709</v>
      </c>
      <c r="D75" s="894"/>
      <c r="E75" s="1949">
        <f t="shared" si="4"/>
        <v>45433</v>
      </c>
      <c r="F75" s="894" t="s">
        <v>191</v>
      </c>
      <c r="H75" s="317" t="str">
        <f>_xlfn.XLOOKUP(C75,'[36]Porta TN70'!$C:$C,'[36]Porta TN70'!$G:$G)</f>
        <v>Ö</v>
      </c>
    </row>
    <row r="76" spans="1:8">
      <c r="A76" s="894">
        <f t="shared" si="3"/>
        <v>73</v>
      </c>
      <c r="B76" s="894">
        <f t="shared" si="3"/>
        <v>73</v>
      </c>
      <c r="C76" s="894" t="s">
        <v>710</v>
      </c>
      <c r="D76" s="894"/>
      <c r="E76" s="1949">
        <f t="shared" si="4"/>
        <v>45433</v>
      </c>
      <c r="F76" s="894" t="s">
        <v>191</v>
      </c>
      <c r="H76" s="317" t="str">
        <f>_xlfn.XLOOKUP(C76,'[36]Porta TN70'!$C:$C,'[36]Porta TN70'!$G:$G)</f>
        <v>Ö</v>
      </c>
    </row>
    <row r="77" spans="1:8">
      <c r="A77" s="894">
        <f t="shared" si="3"/>
        <v>74</v>
      </c>
      <c r="B77" s="894">
        <f t="shared" si="3"/>
        <v>74</v>
      </c>
      <c r="C77" s="894" t="s">
        <v>711</v>
      </c>
      <c r="D77" s="894"/>
      <c r="E77" s="1949">
        <f t="shared" si="4"/>
        <v>45433</v>
      </c>
      <c r="F77" s="894" t="s">
        <v>191</v>
      </c>
      <c r="H77" s="317" t="str">
        <f>_xlfn.XLOOKUP(C77,'[36]Porta TN70'!$C:$C,'[36]Porta TN70'!$G:$G)</f>
        <v>Ö</v>
      </c>
    </row>
    <row r="78" spans="1:8">
      <c r="A78" s="894">
        <f t="shared" si="3"/>
        <v>75</v>
      </c>
      <c r="B78" s="894">
        <f t="shared" si="3"/>
        <v>75</v>
      </c>
      <c r="C78" s="894" t="s">
        <v>712</v>
      </c>
      <c r="D78" s="894"/>
      <c r="E78" s="1949">
        <f t="shared" si="4"/>
        <v>45433</v>
      </c>
      <c r="F78" s="894" t="s">
        <v>191</v>
      </c>
      <c r="H78" s="317" t="str">
        <f>_xlfn.XLOOKUP(C78,'[36]Porta TN70'!$C:$C,'[36]Porta TN70'!$G:$G)</f>
        <v>Ö</v>
      </c>
    </row>
    <row r="79" spans="1:8">
      <c r="A79" s="894">
        <f t="shared" si="3"/>
        <v>76</v>
      </c>
      <c r="B79" s="894">
        <f t="shared" si="3"/>
        <v>76</v>
      </c>
      <c r="C79" s="894" t="s">
        <v>713</v>
      </c>
      <c r="D79" s="894"/>
      <c r="E79" s="1949">
        <f t="shared" si="4"/>
        <v>45433</v>
      </c>
      <c r="F79" s="894" t="s">
        <v>191</v>
      </c>
      <c r="H79" s="317" t="str">
        <f>_xlfn.XLOOKUP(C79,'[36]Porta TN70'!$C:$C,'[36]Porta TN70'!$G:$G)</f>
        <v>Ö</v>
      </c>
    </row>
    <row r="80" spans="1:8">
      <c r="A80" s="894">
        <f t="shared" si="3"/>
        <v>77</v>
      </c>
      <c r="B80" s="894">
        <f>+B79+1</f>
        <v>77</v>
      </c>
      <c r="C80" s="894" t="s">
        <v>714</v>
      </c>
      <c r="D80" s="894"/>
      <c r="E80" s="1949">
        <f>+E79</f>
        <v>45433</v>
      </c>
      <c r="F80" s="894" t="s">
        <v>191</v>
      </c>
      <c r="H80" s="317" t="str">
        <f>_xlfn.XLOOKUP(C80,'[36]Porta TN70'!$C:$C,'[36]Porta TN70'!$G:$G)</f>
        <v>Ö</v>
      </c>
    </row>
    <row r="81" spans="1:8">
      <c r="A81" s="894">
        <f t="shared" si="3"/>
        <v>78</v>
      </c>
      <c r="B81" s="894">
        <f>+B80+1</f>
        <v>78</v>
      </c>
      <c r="C81" s="894" t="s">
        <v>715</v>
      </c>
      <c r="D81" s="894"/>
      <c r="E81" s="1949">
        <f>+E80</f>
        <v>45433</v>
      </c>
      <c r="F81" s="894" t="s">
        <v>191</v>
      </c>
      <c r="H81" s="317" t="str">
        <f>_xlfn.XLOOKUP(C81,'[36]Porta TN70'!$C:$C,'[36]Porta TN70'!$G:$G)</f>
        <v>Ö</v>
      </c>
    </row>
    <row r="82" spans="1:8">
      <c r="A82" s="894">
        <f t="shared" si="3"/>
        <v>79</v>
      </c>
      <c r="B82" s="894">
        <f t="shared" si="3"/>
        <v>79</v>
      </c>
      <c r="C82" s="894" t="s">
        <v>716</v>
      </c>
      <c r="D82" s="894"/>
      <c r="E82" s="1949">
        <f>+E81</f>
        <v>45433</v>
      </c>
      <c r="F82" s="894" t="s">
        <v>191</v>
      </c>
      <c r="H82" s="317" t="str">
        <f>_xlfn.XLOOKUP(C82,'[36]Porta TN70'!$C:$C,'[36]Porta TN70'!$G:$G)</f>
        <v>Ö</v>
      </c>
    </row>
    <row r="83" spans="1:8">
      <c r="A83" s="894">
        <f t="shared" si="3"/>
        <v>80</v>
      </c>
      <c r="B83" s="894">
        <f t="shared" si="3"/>
        <v>80</v>
      </c>
      <c r="C83" s="894" t="s">
        <v>717</v>
      </c>
      <c r="D83" s="894"/>
      <c r="E83" s="1949">
        <v>45433</v>
      </c>
      <c r="F83" s="894" t="s">
        <v>191</v>
      </c>
      <c r="H83" s="317" t="str">
        <f>_xlfn.XLOOKUP(C83,'[36]Porta TN70'!$C:$C,'[36]Porta TN70'!$G:$G)</f>
        <v>Ö</v>
      </c>
    </row>
    <row r="84" spans="1:8">
      <c r="A84" s="894">
        <f t="shared" si="3"/>
        <v>81</v>
      </c>
      <c r="B84" s="894">
        <f t="shared" si="3"/>
        <v>81</v>
      </c>
      <c r="C84" s="894" t="s">
        <v>718</v>
      </c>
      <c r="D84" s="894"/>
      <c r="E84" s="1949">
        <f t="shared" si="4"/>
        <v>45433</v>
      </c>
      <c r="F84" s="894" t="s">
        <v>191</v>
      </c>
      <c r="H84" s="317" t="str">
        <f>_xlfn.XLOOKUP(C84,'[36]Porta TN70'!$C:$C,'[36]Porta TN70'!$G:$G)</f>
        <v>Ö</v>
      </c>
    </row>
    <row r="85" spans="1:8">
      <c r="A85" s="894">
        <f t="shared" si="3"/>
        <v>82</v>
      </c>
      <c r="B85" s="894">
        <f t="shared" si="3"/>
        <v>82</v>
      </c>
      <c r="C85" s="894" t="s">
        <v>719</v>
      </c>
      <c r="D85" s="894"/>
      <c r="E85" s="1949">
        <f t="shared" si="4"/>
        <v>45433</v>
      </c>
      <c r="F85" s="894" t="s">
        <v>191</v>
      </c>
      <c r="H85" s="317" t="str">
        <f>_xlfn.XLOOKUP(C85,'[36]Porta TN70'!$C:$C,'[36]Porta TN70'!$G:$G)</f>
        <v>Ö</v>
      </c>
    </row>
    <row r="86" spans="1:8">
      <c r="A86" s="894">
        <f t="shared" si="3"/>
        <v>83</v>
      </c>
      <c r="B86" s="894">
        <f t="shared" si="3"/>
        <v>83</v>
      </c>
      <c r="C86" s="894" t="s">
        <v>720</v>
      </c>
      <c r="D86" s="894"/>
      <c r="E86" s="1949">
        <f t="shared" si="4"/>
        <v>45433</v>
      </c>
      <c r="F86" s="894" t="s">
        <v>191</v>
      </c>
      <c r="H86" s="317" t="str">
        <f>_xlfn.XLOOKUP(C86,'[36]Porta TN70'!$C:$C,'[36]Porta TN70'!$G:$G)</f>
        <v>Ö</v>
      </c>
    </row>
    <row r="87" spans="1:8">
      <c r="A87" s="894">
        <f t="shared" si="3"/>
        <v>84</v>
      </c>
      <c r="B87" s="894">
        <f t="shared" si="3"/>
        <v>84</v>
      </c>
      <c r="C87" s="894" t="s">
        <v>721</v>
      </c>
      <c r="D87" s="894"/>
      <c r="E87" s="1949">
        <f t="shared" si="4"/>
        <v>45433</v>
      </c>
      <c r="F87" s="894" t="s">
        <v>191</v>
      </c>
      <c r="H87" s="317" t="str">
        <f>_xlfn.XLOOKUP(C87,'[36]Porta TN70'!$C:$C,'[36]Porta TN70'!$G:$G)</f>
        <v>Ö</v>
      </c>
    </row>
    <row r="88" spans="1:8">
      <c r="A88" s="894">
        <f t="shared" si="3"/>
        <v>85</v>
      </c>
      <c r="B88" s="894">
        <f t="shared" si="3"/>
        <v>85</v>
      </c>
      <c r="C88" s="894" t="s">
        <v>722</v>
      </c>
      <c r="D88" s="894"/>
      <c r="E88" s="1949">
        <f t="shared" si="4"/>
        <v>45433</v>
      </c>
      <c r="F88" s="894" t="s">
        <v>191</v>
      </c>
      <c r="H88" s="317" t="str">
        <f>_xlfn.XLOOKUP(C88,'[36]Porta TN70'!$C:$C,'[36]Porta TN70'!$G:$G)</f>
        <v>Ö</v>
      </c>
    </row>
    <row r="89" spans="1:8">
      <c r="A89" s="894">
        <f t="shared" si="3"/>
        <v>86</v>
      </c>
      <c r="B89" s="894">
        <f t="shared" si="3"/>
        <v>86</v>
      </c>
      <c r="C89" s="894" t="s">
        <v>723</v>
      </c>
      <c r="D89" s="894"/>
      <c r="E89" s="1949">
        <f t="shared" si="4"/>
        <v>45433</v>
      </c>
      <c r="F89" s="894" t="s">
        <v>191</v>
      </c>
      <c r="H89" s="317" t="str">
        <f>_xlfn.XLOOKUP(C89,'[36]Porta TN70'!$C:$C,'[36]Porta TN70'!$G:$G)</f>
        <v>Ö</v>
      </c>
    </row>
    <row r="90" spans="1:8">
      <c r="A90" s="894">
        <f t="shared" si="3"/>
        <v>87</v>
      </c>
      <c r="B90" s="894">
        <f t="shared" si="3"/>
        <v>87</v>
      </c>
      <c r="C90" s="894" t="s">
        <v>724</v>
      </c>
      <c r="D90" s="894"/>
      <c r="E90" s="1949">
        <v>45433</v>
      </c>
      <c r="F90" s="894" t="s">
        <v>191</v>
      </c>
      <c r="H90" s="317" t="str">
        <f>_xlfn.XLOOKUP(C90,'[36]Porta TN70'!$C:$C,'[36]Porta TN70'!$G:$G)</f>
        <v>Ö</v>
      </c>
    </row>
    <row r="91" spans="1:8">
      <c r="A91" s="894">
        <f t="shared" si="3"/>
        <v>88</v>
      </c>
      <c r="B91" s="894">
        <f t="shared" si="3"/>
        <v>88</v>
      </c>
      <c r="C91" s="894" t="s">
        <v>725</v>
      </c>
      <c r="D91" s="894"/>
      <c r="E91" s="1949">
        <f t="shared" si="4"/>
        <v>45433</v>
      </c>
      <c r="F91" s="894" t="s">
        <v>191</v>
      </c>
      <c r="H91" s="317" t="str">
        <f>_xlfn.XLOOKUP(C91,'[36]Porta TN70'!$C:$C,'[36]Porta TN70'!$G:$G)</f>
        <v>Ö</v>
      </c>
    </row>
    <row r="92" spans="1:8">
      <c r="A92" s="894">
        <f t="shared" si="3"/>
        <v>89</v>
      </c>
      <c r="B92" s="894">
        <f t="shared" si="3"/>
        <v>89</v>
      </c>
      <c r="C92" s="894" t="s">
        <v>726</v>
      </c>
      <c r="D92" s="894"/>
      <c r="E92" s="1949">
        <f t="shared" si="4"/>
        <v>45433</v>
      </c>
      <c r="F92" s="894" t="s">
        <v>191</v>
      </c>
      <c r="H92" s="317" t="str">
        <f>_xlfn.XLOOKUP(C92,'[36]Porta TN70'!$C:$C,'[36]Porta TN70'!$G:$G)</f>
        <v>Ö</v>
      </c>
    </row>
    <row r="93" spans="1:8">
      <c r="A93" s="894">
        <f t="shared" si="3"/>
        <v>90</v>
      </c>
      <c r="B93" s="894">
        <f t="shared" si="3"/>
        <v>90</v>
      </c>
      <c r="C93" s="894" t="s">
        <v>727</v>
      </c>
      <c r="D93" s="894"/>
      <c r="E93" s="1949">
        <f t="shared" si="4"/>
        <v>45433</v>
      </c>
      <c r="F93" s="894" t="s">
        <v>191</v>
      </c>
      <c r="H93" s="317" t="str">
        <f>_xlfn.XLOOKUP(C93,'[36]Porta TN70'!$C:$C,'[36]Porta TN70'!$G:$G)</f>
        <v>Ö</v>
      </c>
    </row>
    <row r="94" spans="1:8">
      <c r="A94" s="894">
        <f t="shared" si="3"/>
        <v>91</v>
      </c>
      <c r="B94" s="894">
        <f t="shared" si="3"/>
        <v>91</v>
      </c>
      <c r="C94" s="894" t="s">
        <v>728</v>
      </c>
      <c r="D94" s="894"/>
      <c r="E94" s="1949">
        <v>45433</v>
      </c>
      <c r="F94" s="894" t="s">
        <v>191</v>
      </c>
      <c r="H94" s="317" t="str">
        <f>_xlfn.XLOOKUP(C94,'[36]Porta TN70'!$C:$C,'[36]Porta TN70'!$G:$G)</f>
        <v>Ö</v>
      </c>
    </row>
    <row r="95" spans="1:8">
      <c r="A95" s="894">
        <f t="shared" si="3"/>
        <v>92</v>
      </c>
      <c r="B95" s="894">
        <f t="shared" si="3"/>
        <v>92</v>
      </c>
      <c r="C95" s="894" t="s">
        <v>729</v>
      </c>
      <c r="D95" s="894"/>
      <c r="E95" s="1949">
        <v>45433</v>
      </c>
      <c r="F95" s="894" t="s">
        <v>191</v>
      </c>
      <c r="H95" s="317" t="str">
        <f>_xlfn.XLOOKUP(C95,'[36]Porta TN70'!$C:$C,'[36]Porta TN70'!$G:$G)</f>
        <v>Ö</v>
      </c>
    </row>
    <row r="96" spans="1:8">
      <c r="A96" s="894">
        <f t="shared" si="3"/>
        <v>93</v>
      </c>
      <c r="B96" s="894">
        <f t="shared" si="3"/>
        <v>93</v>
      </c>
      <c r="C96" s="894" t="s">
        <v>730</v>
      </c>
      <c r="D96" s="894"/>
      <c r="E96" s="1949">
        <f t="shared" ref="E96:E133" si="5">+E95</f>
        <v>45433</v>
      </c>
      <c r="F96" s="894" t="s">
        <v>191</v>
      </c>
      <c r="H96" s="317" t="str">
        <f>_xlfn.XLOOKUP(C96,'[36]Porta TN70'!$C:$C,'[36]Porta TN70'!$G:$G)</f>
        <v>Ö</v>
      </c>
    </row>
    <row r="97" spans="1:8">
      <c r="A97" s="894">
        <f t="shared" si="3"/>
        <v>94</v>
      </c>
      <c r="B97" s="894">
        <f t="shared" si="3"/>
        <v>94</v>
      </c>
      <c r="C97" s="894" t="s">
        <v>731</v>
      </c>
      <c r="D97" s="894"/>
      <c r="E97" s="1949">
        <f t="shared" si="5"/>
        <v>45433</v>
      </c>
      <c r="F97" s="894" t="s">
        <v>191</v>
      </c>
      <c r="H97" s="317" t="str">
        <f>_xlfn.XLOOKUP(C97,'[36]Porta TN70'!$C:$C,'[36]Porta TN70'!$G:$G)</f>
        <v>Ö</v>
      </c>
    </row>
    <row r="98" spans="1:8">
      <c r="A98" s="894">
        <f t="shared" si="3"/>
        <v>95</v>
      </c>
      <c r="B98" s="894">
        <f t="shared" si="3"/>
        <v>95</v>
      </c>
      <c r="C98" s="894" t="s">
        <v>616</v>
      </c>
      <c r="D98" s="894"/>
      <c r="E98" s="1949">
        <f t="shared" si="5"/>
        <v>45433</v>
      </c>
      <c r="F98" s="894" t="s">
        <v>645</v>
      </c>
      <c r="H98" s="317" t="str">
        <f>_xlfn.XLOOKUP(C98,'[36]Porta TN70'!$C:$C,'[36]Porta TN70'!$G:$G)</f>
        <v>Ö</v>
      </c>
    </row>
    <row r="99" spans="1:8">
      <c r="A99" s="894">
        <f t="shared" si="3"/>
        <v>96</v>
      </c>
      <c r="B99" s="894">
        <f t="shared" si="3"/>
        <v>96</v>
      </c>
      <c r="C99" s="894" t="s">
        <v>732</v>
      </c>
      <c r="D99" s="894"/>
      <c r="E99" s="1949">
        <f t="shared" si="5"/>
        <v>45433</v>
      </c>
      <c r="F99" s="894" t="s">
        <v>191</v>
      </c>
      <c r="H99" s="317" t="str">
        <f>_xlfn.XLOOKUP(C99,'[36]Porta TN70'!$C:$C,'[36]Porta TN70'!$G:$G)</f>
        <v>Ö</v>
      </c>
    </row>
    <row r="100" spans="1:8">
      <c r="A100" s="894">
        <f t="shared" si="3"/>
        <v>97</v>
      </c>
      <c r="B100" s="894">
        <f t="shared" si="3"/>
        <v>97</v>
      </c>
      <c r="C100" s="894" t="s">
        <v>733</v>
      </c>
      <c r="D100" s="894"/>
      <c r="E100" s="1949">
        <f t="shared" si="5"/>
        <v>45433</v>
      </c>
      <c r="F100" s="894" t="s">
        <v>191</v>
      </c>
      <c r="H100" s="317" t="str">
        <f>_xlfn.XLOOKUP(C100,'[36]Porta TN70'!$C:$C,'[36]Porta TN70'!$G:$G)</f>
        <v>Ö</v>
      </c>
    </row>
    <row r="101" spans="1:8">
      <c r="A101" s="894">
        <f t="shared" si="3"/>
        <v>98</v>
      </c>
      <c r="B101" s="894">
        <f t="shared" si="3"/>
        <v>98</v>
      </c>
      <c r="C101" s="894" t="s">
        <v>734</v>
      </c>
      <c r="D101" s="894"/>
      <c r="E101" s="1949">
        <f t="shared" si="5"/>
        <v>45433</v>
      </c>
      <c r="F101" s="894" t="s">
        <v>191</v>
      </c>
      <c r="H101" s="317" t="str">
        <f>_xlfn.XLOOKUP(C101,'[36]Porta TN70'!$C:$C,'[36]Porta TN70'!$G:$G)</f>
        <v>Ö</v>
      </c>
    </row>
    <row r="102" spans="1:8">
      <c r="A102" s="894">
        <f t="shared" si="3"/>
        <v>99</v>
      </c>
      <c r="B102" s="894">
        <f t="shared" si="3"/>
        <v>99</v>
      </c>
      <c r="C102" s="894" t="s">
        <v>735</v>
      </c>
      <c r="D102" s="894"/>
      <c r="E102" s="1949">
        <v>45433</v>
      </c>
      <c r="F102" s="894" t="s">
        <v>191</v>
      </c>
      <c r="H102" s="317" t="str">
        <f>_xlfn.XLOOKUP(C102,'[36]Porta TN70'!$C:$C,'[36]Porta TN70'!$G:$G)</f>
        <v>Ö</v>
      </c>
    </row>
    <row r="103" spans="1:8">
      <c r="A103" s="894">
        <f t="shared" si="3"/>
        <v>100</v>
      </c>
      <c r="B103" s="894">
        <f t="shared" si="3"/>
        <v>100</v>
      </c>
      <c r="C103" s="894" t="s">
        <v>736</v>
      </c>
      <c r="D103" s="894"/>
      <c r="E103" s="1949">
        <f t="shared" si="5"/>
        <v>45433</v>
      </c>
      <c r="F103" s="894" t="s">
        <v>191</v>
      </c>
      <c r="H103" s="317" t="str">
        <f>_xlfn.XLOOKUP(C103,'[36]Porta TN70'!$C:$C,'[36]Porta TN70'!$G:$G)</f>
        <v>Ö</v>
      </c>
    </row>
    <row r="104" spans="1:8">
      <c r="A104" s="894">
        <f t="shared" si="3"/>
        <v>101</v>
      </c>
      <c r="B104" s="894">
        <f t="shared" si="3"/>
        <v>101</v>
      </c>
      <c r="C104" s="894" t="s">
        <v>737</v>
      </c>
      <c r="D104" s="894"/>
      <c r="E104" s="1949">
        <f t="shared" si="5"/>
        <v>45433</v>
      </c>
      <c r="F104" s="894" t="s">
        <v>191</v>
      </c>
      <c r="H104" s="317" t="str">
        <f>_xlfn.XLOOKUP(C104,'[36]Porta TN70'!$C:$C,'[36]Porta TN70'!$G:$G)</f>
        <v>Ö</v>
      </c>
    </row>
    <row r="105" spans="1:8">
      <c r="A105" s="894">
        <f t="shared" si="3"/>
        <v>102</v>
      </c>
      <c r="B105" s="894">
        <f t="shared" si="3"/>
        <v>102</v>
      </c>
      <c r="C105" s="894" t="s">
        <v>738</v>
      </c>
      <c r="D105" s="894"/>
      <c r="E105" s="1949">
        <f t="shared" si="5"/>
        <v>45433</v>
      </c>
      <c r="F105" s="894" t="s">
        <v>191</v>
      </c>
      <c r="H105" s="317" t="str">
        <f>_xlfn.XLOOKUP(C105,'[36]Porta TN70'!$C:$C,'[36]Porta TN70'!$G:$G)</f>
        <v>Ö</v>
      </c>
    </row>
    <row r="106" spans="1:8">
      <c r="A106" s="894">
        <f t="shared" si="3"/>
        <v>103</v>
      </c>
      <c r="B106" s="894">
        <f t="shared" si="3"/>
        <v>103</v>
      </c>
      <c r="C106" s="894" t="s">
        <v>739</v>
      </c>
      <c r="D106" s="894"/>
      <c r="E106" s="1949">
        <f t="shared" si="5"/>
        <v>45433</v>
      </c>
      <c r="F106" s="894" t="s">
        <v>191</v>
      </c>
      <c r="H106" s="317" t="str">
        <f>_xlfn.XLOOKUP(C106,'[36]Porta TN70'!$C:$C,'[36]Porta TN70'!$G:$G)</f>
        <v>Ö</v>
      </c>
    </row>
    <row r="107" spans="1:8">
      <c r="A107" s="894">
        <f t="shared" si="3"/>
        <v>104</v>
      </c>
      <c r="B107" s="894">
        <f t="shared" si="3"/>
        <v>104</v>
      </c>
      <c r="C107" s="894" t="s">
        <v>740</v>
      </c>
      <c r="D107" s="894"/>
      <c r="E107" s="1949">
        <f t="shared" si="5"/>
        <v>45433</v>
      </c>
      <c r="F107" s="894" t="s">
        <v>191</v>
      </c>
      <c r="H107" s="317" t="str">
        <f>_xlfn.XLOOKUP(C107,'[36]Porta TN70'!$C:$C,'[36]Porta TN70'!$G:$G)</f>
        <v>Ö</v>
      </c>
    </row>
    <row r="108" spans="1:8">
      <c r="A108" s="894">
        <f t="shared" si="3"/>
        <v>105</v>
      </c>
      <c r="B108" s="894">
        <f t="shared" si="3"/>
        <v>105</v>
      </c>
      <c r="C108" s="894" t="s">
        <v>741</v>
      </c>
      <c r="D108" s="894"/>
      <c r="E108" s="1949">
        <f t="shared" si="5"/>
        <v>45433</v>
      </c>
      <c r="F108" s="894" t="s">
        <v>191</v>
      </c>
      <c r="H108" s="317" t="str">
        <f>_xlfn.XLOOKUP(C108,'[36]Porta TN70'!$C:$C,'[36]Porta TN70'!$G:$G)</f>
        <v>Ö</v>
      </c>
    </row>
    <row r="109" spans="1:8">
      <c r="A109" s="894">
        <f t="shared" si="3"/>
        <v>106</v>
      </c>
      <c r="B109" s="894">
        <f t="shared" si="3"/>
        <v>106</v>
      </c>
      <c r="C109" s="894" t="s">
        <v>742</v>
      </c>
      <c r="D109" s="894"/>
      <c r="E109" s="1949">
        <f t="shared" si="5"/>
        <v>45433</v>
      </c>
      <c r="F109" s="894" t="s">
        <v>191</v>
      </c>
      <c r="H109" s="317" t="str">
        <f>_xlfn.XLOOKUP(C109,'[36]Porta TN70'!$C:$C,'[36]Porta TN70'!$G:$G)</f>
        <v>Ö</v>
      </c>
    </row>
    <row r="110" spans="1:8">
      <c r="A110" s="894">
        <f t="shared" si="3"/>
        <v>107</v>
      </c>
      <c r="B110" s="894">
        <f t="shared" si="3"/>
        <v>107</v>
      </c>
      <c r="C110" s="894" t="s">
        <v>743</v>
      </c>
      <c r="D110" s="894"/>
      <c r="E110" s="1949">
        <f t="shared" si="5"/>
        <v>45433</v>
      </c>
      <c r="F110" s="894" t="s">
        <v>191</v>
      </c>
      <c r="H110" s="317" t="str">
        <f>_xlfn.XLOOKUP(C110,'[36]Porta TN70'!$C:$C,'[36]Porta TN70'!$G:$G)</f>
        <v>Ö</v>
      </c>
    </row>
    <row r="111" spans="1:8">
      <c r="A111" s="894">
        <f t="shared" si="3"/>
        <v>108</v>
      </c>
      <c r="B111" s="894">
        <f t="shared" si="3"/>
        <v>108</v>
      </c>
      <c r="C111" s="894" t="s">
        <v>744</v>
      </c>
      <c r="D111" s="894"/>
      <c r="E111" s="1949">
        <f t="shared" si="5"/>
        <v>45433</v>
      </c>
      <c r="F111" s="894" t="s">
        <v>191</v>
      </c>
      <c r="H111" s="317" t="str">
        <f>_xlfn.XLOOKUP(C111,'[36]Porta TN70'!$C:$C,'[36]Porta TN70'!$G:$G)</f>
        <v>Ö</v>
      </c>
    </row>
    <row r="112" spans="1:8">
      <c r="A112" s="894">
        <f t="shared" si="3"/>
        <v>109</v>
      </c>
      <c r="B112" s="894">
        <f t="shared" ref="A112:B197" si="6">B111+1</f>
        <v>109</v>
      </c>
      <c r="C112" s="894" t="s">
        <v>745</v>
      </c>
      <c r="D112" s="894"/>
      <c r="E112" s="1949">
        <f t="shared" si="5"/>
        <v>45433</v>
      </c>
      <c r="F112" s="894" t="s">
        <v>191</v>
      </c>
      <c r="H112" s="317" t="str">
        <f>_xlfn.XLOOKUP(C112,'[36]Porta TN70'!$C:$C,'[36]Porta TN70'!$G:$G)</f>
        <v>Ö</v>
      </c>
    </row>
    <row r="113" spans="1:8">
      <c r="A113" s="894">
        <f t="shared" si="3"/>
        <v>110</v>
      </c>
      <c r="B113" s="894">
        <f t="shared" si="6"/>
        <v>110</v>
      </c>
      <c r="C113" s="894" t="s">
        <v>746</v>
      </c>
      <c r="D113" s="894"/>
      <c r="E113" s="1949">
        <f t="shared" si="5"/>
        <v>45433</v>
      </c>
      <c r="F113" s="894" t="s">
        <v>191</v>
      </c>
      <c r="H113" s="317" t="str">
        <f>_xlfn.XLOOKUP(C113,'[36]Porta TN70'!$C:$C,'[36]Porta TN70'!$G:$G)</f>
        <v>Ö</v>
      </c>
    </row>
    <row r="114" spans="1:8">
      <c r="A114" s="894">
        <f t="shared" si="3"/>
        <v>111</v>
      </c>
      <c r="B114" s="894">
        <f t="shared" si="6"/>
        <v>111</v>
      </c>
      <c r="C114" s="894" t="s">
        <v>747</v>
      </c>
      <c r="D114" s="894"/>
      <c r="E114" s="1949">
        <f t="shared" si="5"/>
        <v>45433</v>
      </c>
      <c r="F114" s="894" t="s">
        <v>191</v>
      </c>
      <c r="H114" s="317" t="str">
        <f>_xlfn.XLOOKUP(C114,'[36]Porta TN70'!$C:$C,'[36]Porta TN70'!$G:$G)</f>
        <v>Ö</v>
      </c>
    </row>
    <row r="115" spans="1:8">
      <c r="A115" s="894">
        <f t="shared" si="3"/>
        <v>112</v>
      </c>
      <c r="B115" s="894">
        <f t="shared" si="6"/>
        <v>112</v>
      </c>
      <c r="C115" s="894" t="s">
        <v>748</v>
      </c>
      <c r="D115" s="894"/>
      <c r="E115" s="1949">
        <f t="shared" si="5"/>
        <v>45433</v>
      </c>
      <c r="F115" s="894" t="s">
        <v>191</v>
      </c>
      <c r="H115" s="317" t="str">
        <f>_xlfn.XLOOKUP(C115,'[36]Porta TN70'!$C:$C,'[36]Porta TN70'!$G:$G)</f>
        <v>Ö</v>
      </c>
    </row>
    <row r="116" spans="1:8">
      <c r="A116" s="894">
        <f t="shared" si="3"/>
        <v>113</v>
      </c>
      <c r="B116" s="894">
        <f t="shared" si="6"/>
        <v>113</v>
      </c>
      <c r="C116" s="894" t="s">
        <v>749</v>
      </c>
      <c r="D116" s="894"/>
      <c r="E116" s="1949">
        <f t="shared" si="5"/>
        <v>45433</v>
      </c>
      <c r="F116" s="894" t="s">
        <v>191</v>
      </c>
      <c r="H116" s="317" t="str">
        <f>_xlfn.XLOOKUP(C116,'[36]Porta TN70'!$C:$C,'[36]Porta TN70'!$G:$G)</f>
        <v>Ö</v>
      </c>
    </row>
    <row r="117" spans="1:8">
      <c r="A117" s="894">
        <f t="shared" si="3"/>
        <v>114</v>
      </c>
      <c r="B117" s="894">
        <f t="shared" si="6"/>
        <v>114</v>
      </c>
      <c r="C117" s="894" t="s">
        <v>750</v>
      </c>
      <c r="D117" s="894"/>
      <c r="E117" s="1949">
        <v>45433</v>
      </c>
      <c r="F117" s="894" t="s">
        <v>191</v>
      </c>
      <c r="H117" s="317" t="str">
        <f>_xlfn.XLOOKUP(C117,'[36]Porta TN70'!$C:$C,'[36]Porta TN70'!$G:$G)</f>
        <v>Ö</v>
      </c>
    </row>
    <row r="118" spans="1:8">
      <c r="A118" s="894">
        <f t="shared" si="3"/>
        <v>115</v>
      </c>
      <c r="B118" s="894">
        <f t="shared" si="6"/>
        <v>115</v>
      </c>
      <c r="C118" s="894" t="s">
        <v>751</v>
      </c>
      <c r="D118" s="894"/>
      <c r="E118" s="1949">
        <f t="shared" si="5"/>
        <v>45433</v>
      </c>
      <c r="F118" s="894" t="s">
        <v>191</v>
      </c>
      <c r="H118" s="317" t="str">
        <f>_xlfn.XLOOKUP(C118,'[36]Porta TN70'!$C:$C,'[36]Porta TN70'!$G:$G)</f>
        <v>Ö</v>
      </c>
    </row>
    <row r="119" spans="1:8">
      <c r="A119" s="894">
        <f t="shared" si="3"/>
        <v>116</v>
      </c>
      <c r="B119" s="894">
        <f t="shared" si="6"/>
        <v>116</v>
      </c>
      <c r="C119" s="894" t="s">
        <v>752</v>
      </c>
      <c r="D119" s="894"/>
      <c r="E119" s="1949">
        <v>45433</v>
      </c>
      <c r="F119" s="894" t="s">
        <v>191</v>
      </c>
      <c r="H119" s="317" t="str">
        <f>_xlfn.XLOOKUP(C119,'[36]Porta TN70'!$C:$C,'[36]Porta TN70'!$G:$G)</f>
        <v>Ö</v>
      </c>
    </row>
    <row r="120" spans="1:8">
      <c r="A120" s="894">
        <f t="shared" si="3"/>
        <v>117</v>
      </c>
      <c r="B120" s="894">
        <f t="shared" si="6"/>
        <v>117</v>
      </c>
      <c r="C120" s="894" t="s">
        <v>753</v>
      </c>
      <c r="D120" s="894"/>
      <c r="E120" s="1949">
        <f t="shared" si="5"/>
        <v>45433</v>
      </c>
      <c r="F120" s="894" t="s">
        <v>191</v>
      </c>
      <c r="H120" s="317" t="str">
        <f>_xlfn.XLOOKUP(C120,'[36]Porta TN70'!$C:$C,'[36]Porta TN70'!$G:$G)</f>
        <v>Ö</v>
      </c>
    </row>
    <row r="121" spans="1:8">
      <c r="A121" s="894">
        <f t="shared" si="3"/>
        <v>118</v>
      </c>
      <c r="B121" s="894">
        <f t="shared" si="6"/>
        <v>118</v>
      </c>
      <c r="C121" s="894" t="s">
        <v>754</v>
      </c>
      <c r="D121" s="894"/>
      <c r="E121" s="1949">
        <f>E120</f>
        <v>45433</v>
      </c>
      <c r="F121" s="894" t="s">
        <v>191</v>
      </c>
      <c r="H121" s="317" t="str">
        <f>_xlfn.XLOOKUP(C121,'[36]Porta TN70'!$C:$C,'[36]Porta TN70'!$G:$G)</f>
        <v>Ö</v>
      </c>
    </row>
    <row r="122" spans="1:8">
      <c r="A122" s="894">
        <f t="shared" si="3"/>
        <v>119</v>
      </c>
      <c r="B122" s="894">
        <f t="shared" si="6"/>
        <v>119</v>
      </c>
      <c r="C122" s="894" t="s">
        <v>755</v>
      </c>
      <c r="D122" s="894"/>
      <c r="E122" s="1949">
        <v>45413</v>
      </c>
      <c r="F122" s="894" t="s">
        <v>191</v>
      </c>
      <c r="H122" s="317" t="str">
        <f>_xlfn.XLOOKUP(C122,'[36]Porta TN70'!$C:$C,'[36]Porta TN70'!$G:$G)</f>
        <v>Ö</v>
      </c>
    </row>
    <row r="123" spans="1:8">
      <c r="A123" s="894">
        <f t="shared" si="3"/>
        <v>120</v>
      </c>
      <c r="B123" s="894">
        <f t="shared" si="6"/>
        <v>120</v>
      </c>
      <c r="C123" s="894" t="s">
        <v>756</v>
      </c>
      <c r="D123" s="894"/>
      <c r="E123" s="1949">
        <f t="shared" si="5"/>
        <v>45413</v>
      </c>
      <c r="F123" s="894" t="s">
        <v>191</v>
      </c>
      <c r="H123" s="317" t="str">
        <f>_xlfn.XLOOKUP(C123,'[36]Porta TN70'!$C:$C,'[36]Porta TN70'!$G:$G)</f>
        <v>Ö</v>
      </c>
    </row>
    <row r="124" spans="1:8">
      <c r="A124" s="894">
        <f t="shared" si="3"/>
        <v>121</v>
      </c>
      <c r="B124" s="894">
        <f t="shared" si="6"/>
        <v>121</v>
      </c>
      <c r="C124" s="894" t="s">
        <v>757</v>
      </c>
      <c r="D124" s="894"/>
      <c r="E124" s="1949">
        <v>45433</v>
      </c>
      <c r="F124" s="894" t="s">
        <v>191</v>
      </c>
      <c r="H124" s="317" t="str">
        <f>_xlfn.XLOOKUP(C124,'[36]Porta TN70'!$C:$C,'[36]Porta TN70'!$G:$G)</f>
        <v>Ö</v>
      </c>
    </row>
    <row r="125" spans="1:8">
      <c r="A125" s="894">
        <f t="shared" si="3"/>
        <v>122</v>
      </c>
      <c r="B125" s="894">
        <f t="shared" si="6"/>
        <v>122</v>
      </c>
      <c r="C125" s="894" t="s">
        <v>758</v>
      </c>
      <c r="D125" s="894"/>
      <c r="E125" s="1949">
        <f t="shared" si="5"/>
        <v>45433</v>
      </c>
      <c r="F125" s="894" t="s">
        <v>191</v>
      </c>
      <c r="H125" s="317" t="str">
        <f>_xlfn.XLOOKUP(C125,'[36]Porta TN70'!$C:$C,'[36]Porta TN70'!$G:$G)</f>
        <v>Ö</v>
      </c>
    </row>
    <row r="126" spans="1:8">
      <c r="A126" s="894">
        <f t="shared" si="3"/>
        <v>123</v>
      </c>
      <c r="B126" s="894">
        <f t="shared" si="6"/>
        <v>123</v>
      </c>
      <c r="C126" s="894" t="s">
        <v>759</v>
      </c>
      <c r="D126" s="894"/>
      <c r="E126" s="1949">
        <f t="shared" si="5"/>
        <v>45433</v>
      </c>
      <c r="F126" s="894" t="s">
        <v>191</v>
      </c>
      <c r="H126" s="317" t="str">
        <f>_xlfn.XLOOKUP(C126,'[36]Porta TN70'!$C:$C,'[36]Porta TN70'!$G:$G)</f>
        <v>Ö</v>
      </c>
    </row>
    <row r="127" spans="1:8">
      <c r="A127" s="894">
        <f t="shared" si="3"/>
        <v>124</v>
      </c>
      <c r="B127" s="894">
        <f t="shared" si="6"/>
        <v>124</v>
      </c>
      <c r="C127" s="894" t="s">
        <v>760</v>
      </c>
      <c r="D127" s="894"/>
      <c r="E127" s="1949">
        <f t="shared" si="5"/>
        <v>45433</v>
      </c>
      <c r="F127" s="894" t="s">
        <v>191</v>
      </c>
      <c r="H127" s="317" t="str">
        <f>_xlfn.XLOOKUP(C127,'[36]Porta TN70'!$C:$C,'[36]Porta TN70'!$G:$G)</f>
        <v>Ö</v>
      </c>
    </row>
    <row r="128" spans="1:8">
      <c r="A128" s="894">
        <f t="shared" si="3"/>
        <v>125</v>
      </c>
      <c r="B128" s="894">
        <f t="shared" si="6"/>
        <v>125</v>
      </c>
      <c r="C128" s="894" t="s">
        <v>761</v>
      </c>
      <c r="D128" s="894"/>
      <c r="E128" s="1949">
        <f t="shared" si="5"/>
        <v>45433</v>
      </c>
      <c r="F128" s="894" t="s">
        <v>191</v>
      </c>
      <c r="H128" s="317" t="str">
        <f>_xlfn.XLOOKUP(C128,'[36]Porta TN70'!$C:$C,'[36]Porta TN70'!$G:$G)</f>
        <v>Ö</v>
      </c>
    </row>
    <row r="129" spans="1:8">
      <c r="A129" s="894">
        <f t="shared" si="3"/>
        <v>126</v>
      </c>
      <c r="B129" s="894">
        <f t="shared" si="6"/>
        <v>126</v>
      </c>
      <c r="C129" s="894" t="s">
        <v>762</v>
      </c>
      <c r="D129" s="894"/>
      <c r="E129" s="1949">
        <f t="shared" si="5"/>
        <v>45433</v>
      </c>
      <c r="F129" s="894" t="s">
        <v>191</v>
      </c>
      <c r="H129" s="317" t="str">
        <f>_xlfn.XLOOKUP(C129,'[36]Porta TN70'!$C:$C,'[36]Porta TN70'!$G:$G)</f>
        <v>Ö</v>
      </c>
    </row>
    <row r="130" spans="1:8">
      <c r="A130" s="894">
        <f t="shared" si="3"/>
        <v>127</v>
      </c>
      <c r="B130" s="894">
        <f t="shared" si="6"/>
        <v>127</v>
      </c>
      <c r="C130" s="894" t="s">
        <v>763</v>
      </c>
      <c r="D130" s="894"/>
      <c r="E130" s="1949">
        <f t="shared" si="5"/>
        <v>45433</v>
      </c>
      <c r="F130" s="894" t="s">
        <v>191</v>
      </c>
      <c r="H130" s="317" t="str">
        <f>_xlfn.XLOOKUP(C130,'[36]Porta TN70'!$C:$C,'[36]Porta TN70'!$G:$G)</f>
        <v>Ö</v>
      </c>
    </row>
    <row r="131" spans="1:8">
      <c r="A131" s="894">
        <f t="shared" si="3"/>
        <v>128</v>
      </c>
      <c r="B131" s="894">
        <f t="shared" si="6"/>
        <v>128</v>
      </c>
      <c r="C131" s="894" t="s">
        <v>764</v>
      </c>
      <c r="D131" s="894"/>
      <c r="E131" s="1949">
        <f t="shared" si="5"/>
        <v>45433</v>
      </c>
      <c r="F131" s="894" t="s">
        <v>191</v>
      </c>
      <c r="H131" s="317" t="str">
        <f>_xlfn.XLOOKUP(C131,'[36]Porta TN70'!$C:$C,'[36]Porta TN70'!$G:$G)</f>
        <v>Ö</v>
      </c>
    </row>
    <row r="132" spans="1:8">
      <c r="A132" s="894">
        <f t="shared" si="3"/>
        <v>129</v>
      </c>
      <c r="B132" s="894">
        <f t="shared" si="6"/>
        <v>129</v>
      </c>
      <c r="C132" s="894" t="s">
        <v>765</v>
      </c>
      <c r="D132" s="894"/>
      <c r="E132" s="1949">
        <f t="shared" si="5"/>
        <v>45433</v>
      </c>
      <c r="F132" s="894" t="s">
        <v>191</v>
      </c>
      <c r="H132" s="317" t="str">
        <f>_xlfn.XLOOKUP(C132,'[36]Porta TN70'!$C:$C,'[36]Porta TN70'!$G:$G)</f>
        <v>Ö</v>
      </c>
    </row>
    <row r="133" spans="1:8">
      <c r="A133" s="894">
        <f t="shared" si="3"/>
        <v>130</v>
      </c>
      <c r="B133" s="894">
        <f t="shared" si="6"/>
        <v>130</v>
      </c>
      <c r="C133" s="894" t="s">
        <v>766</v>
      </c>
      <c r="D133" s="894"/>
      <c r="E133" s="1949">
        <f t="shared" si="5"/>
        <v>45433</v>
      </c>
      <c r="F133" s="894" t="s">
        <v>191</v>
      </c>
      <c r="H133" s="317" t="str">
        <f>_xlfn.XLOOKUP(C133,'[36]Porta TN70'!$C:$C,'[36]Porta TN70'!$G:$G)</f>
        <v>Ö</v>
      </c>
    </row>
    <row r="134" spans="1:8">
      <c r="A134" s="894">
        <f t="shared" si="6"/>
        <v>131</v>
      </c>
      <c r="B134" s="2038">
        <v>1</v>
      </c>
      <c r="C134" s="894" t="s">
        <v>767</v>
      </c>
      <c r="D134" s="894"/>
      <c r="E134" s="1949">
        <v>45468</v>
      </c>
      <c r="F134" s="894" t="s">
        <v>191</v>
      </c>
      <c r="H134" s="317" t="str">
        <f>_xlfn.XLOOKUP(C134,'[36]Porta TN70'!$C:$C,'[36]Porta TN70'!$G:$G)</f>
        <v>Ö</v>
      </c>
    </row>
    <row r="135" spans="1:8">
      <c r="A135" s="894">
        <f t="shared" si="6"/>
        <v>132</v>
      </c>
      <c r="B135" s="894">
        <f>B134+1</f>
        <v>2</v>
      </c>
      <c r="C135" s="894" t="s">
        <v>768</v>
      </c>
      <c r="D135" s="894"/>
      <c r="E135" s="1949">
        <v>45468</v>
      </c>
      <c r="F135" s="894" t="s">
        <v>191</v>
      </c>
      <c r="H135" s="317" t="str">
        <f>_xlfn.XLOOKUP(C135,'[36]Porta TN70'!$C:$C,'[36]Porta TN70'!$G:$G)</f>
        <v>Ö</v>
      </c>
    </row>
    <row r="136" spans="1:8">
      <c r="A136" s="894">
        <f t="shared" si="6"/>
        <v>133</v>
      </c>
      <c r="B136" s="894">
        <f t="shared" si="6"/>
        <v>3</v>
      </c>
      <c r="C136" s="894" t="s">
        <v>769</v>
      </c>
      <c r="D136" s="894"/>
      <c r="E136" s="1949">
        <v>45468</v>
      </c>
      <c r="F136" s="894" t="s">
        <v>191</v>
      </c>
      <c r="H136" s="317" t="str">
        <f>_xlfn.XLOOKUP(C136,'[36]Porta TN70'!$C:$C,'[36]Porta TN70'!$G:$G)</f>
        <v>Ö</v>
      </c>
    </row>
    <row r="137" spans="1:8">
      <c r="A137" s="894">
        <f t="shared" si="6"/>
        <v>134</v>
      </c>
      <c r="B137" s="894">
        <f t="shared" si="6"/>
        <v>4</v>
      </c>
      <c r="C137" s="894" t="s">
        <v>770</v>
      </c>
      <c r="D137" s="894"/>
      <c r="E137" s="1949">
        <v>45468</v>
      </c>
      <c r="F137" s="894" t="s">
        <v>191</v>
      </c>
      <c r="H137" s="317" t="str">
        <f>_xlfn.XLOOKUP(C137,'[36]Porta TN70'!$C:$C,'[36]Porta TN70'!$G:$G)</f>
        <v>Ö</v>
      </c>
    </row>
    <row r="138" spans="1:8">
      <c r="A138" s="894">
        <f t="shared" si="6"/>
        <v>135</v>
      </c>
      <c r="B138" s="894">
        <f t="shared" si="6"/>
        <v>5</v>
      </c>
      <c r="C138" s="894" t="s">
        <v>771</v>
      </c>
      <c r="D138" s="894"/>
      <c r="E138" s="1949">
        <v>45468</v>
      </c>
      <c r="F138" s="894" t="s">
        <v>191</v>
      </c>
      <c r="H138" s="317" t="str">
        <f>_xlfn.XLOOKUP(C138,'[36]Porta TN70'!$C:$C,'[36]Porta TN70'!$G:$G)</f>
        <v>Ö</v>
      </c>
    </row>
    <row r="139" spans="1:8">
      <c r="A139" s="894">
        <f t="shared" si="6"/>
        <v>136</v>
      </c>
      <c r="B139" s="894">
        <f t="shared" si="6"/>
        <v>6</v>
      </c>
      <c r="C139" s="894" t="s">
        <v>772</v>
      </c>
      <c r="D139" s="894"/>
      <c r="E139" s="1949">
        <v>45468</v>
      </c>
      <c r="F139" s="894" t="s">
        <v>191</v>
      </c>
      <c r="H139" s="317" t="str">
        <f>_xlfn.XLOOKUP(C139,'[36]Porta TN70'!$C:$C,'[36]Porta TN70'!$G:$G)</f>
        <v>Ö</v>
      </c>
    </row>
    <row r="140" spans="1:8">
      <c r="A140" s="894">
        <f t="shared" si="6"/>
        <v>137</v>
      </c>
      <c r="B140" s="894">
        <f t="shared" si="6"/>
        <v>7</v>
      </c>
      <c r="C140" s="894" t="s">
        <v>773</v>
      </c>
      <c r="D140" s="894"/>
      <c r="E140" s="1949">
        <v>45468</v>
      </c>
      <c r="F140" s="894" t="s">
        <v>191</v>
      </c>
      <c r="H140" s="317" t="str">
        <f>_xlfn.XLOOKUP(C140,'[36]Porta TN70'!$C:$C,'[36]Porta TN70'!$G:$G)</f>
        <v>Ö</v>
      </c>
    </row>
    <row r="141" spans="1:8">
      <c r="A141" s="894">
        <f t="shared" si="6"/>
        <v>138</v>
      </c>
      <c r="B141" s="894">
        <f t="shared" si="6"/>
        <v>8</v>
      </c>
      <c r="C141" s="894" t="s">
        <v>774</v>
      </c>
      <c r="D141" s="894"/>
      <c r="E141" s="1949">
        <v>45468</v>
      </c>
      <c r="F141" s="894" t="s">
        <v>191</v>
      </c>
      <c r="H141" s="317" t="str">
        <f>_xlfn.XLOOKUP(C141,'[36]Porta TN70'!$C:$C,'[36]Porta TN70'!$G:$G)</f>
        <v>Ö</v>
      </c>
    </row>
    <row r="142" spans="1:8">
      <c r="A142" s="894">
        <f t="shared" si="6"/>
        <v>139</v>
      </c>
      <c r="B142" s="894">
        <f t="shared" si="6"/>
        <v>9</v>
      </c>
      <c r="C142" s="894" t="s">
        <v>775</v>
      </c>
      <c r="D142" s="894"/>
      <c r="E142" s="1949">
        <v>45468</v>
      </c>
      <c r="F142" s="894" t="s">
        <v>191</v>
      </c>
      <c r="H142" s="317" t="str">
        <f>_xlfn.XLOOKUP(C142,'[36]Porta TN70'!$C:$C,'[36]Porta TN70'!$G:$G)</f>
        <v>Ö</v>
      </c>
    </row>
    <row r="143" spans="1:8">
      <c r="A143" s="894">
        <f t="shared" si="6"/>
        <v>140</v>
      </c>
      <c r="B143" s="894">
        <f t="shared" si="6"/>
        <v>10</v>
      </c>
      <c r="C143" s="894" t="s">
        <v>776</v>
      </c>
      <c r="D143" s="894"/>
      <c r="E143" s="1949">
        <v>45468</v>
      </c>
      <c r="F143" s="894" t="s">
        <v>191</v>
      </c>
      <c r="H143" s="317" t="str">
        <f>_xlfn.XLOOKUP(C143,'[36]Porta TN70'!$C:$C,'[36]Porta TN70'!$G:$G)</f>
        <v>Ö</v>
      </c>
    </row>
    <row r="144" spans="1:8">
      <c r="A144" s="894">
        <f t="shared" si="6"/>
        <v>141</v>
      </c>
      <c r="B144" s="894">
        <f t="shared" si="6"/>
        <v>11</v>
      </c>
      <c r="C144" s="894" t="s">
        <v>777</v>
      </c>
      <c r="D144" s="894"/>
      <c r="E144" s="1949">
        <v>45468</v>
      </c>
      <c r="F144" s="894" t="s">
        <v>191</v>
      </c>
      <c r="H144" s="317" t="str">
        <f>_xlfn.XLOOKUP(C144,'[36]Porta TN70'!$C:$C,'[36]Porta TN70'!$G:$G)</f>
        <v>Ö</v>
      </c>
    </row>
    <row r="145" spans="1:8">
      <c r="A145" s="894">
        <f t="shared" si="6"/>
        <v>142</v>
      </c>
      <c r="B145" s="894">
        <f t="shared" si="6"/>
        <v>12</v>
      </c>
      <c r="C145" s="894" t="s">
        <v>778</v>
      </c>
      <c r="D145" s="894"/>
      <c r="E145" s="1949">
        <v>45468</v>
      </c>
      <c r="F145" s="894" t="s">
        <v>191</v>
      </c>
      <c r="H145" s="317" t="str">
        <f>_xlfn.XLOOKUP(C145,'[36]Porta TN70'!$C:$C,'[36]Porta TN70'!$G:$G)</f>
        <v>Ö</v>
      </c>
    </row>
    <row r="146" spans="1:8">
      <c r="A146" s="894">
        <f t="shared" si="6"/>
        <v>143</v>
      </c>
      <c r="B146" s="894">
        <f t="shared" si="6"/>
        <v>13</v>
      </c>
      <c r="C146" s="894" t="s">
        <v>779</v>
      </c>
      <c r="D146" s="894"/>
      <c r="E146" s="1949">
        <v>45468</v>
      </c>
      <c r="F146" s="894" t="s">
        <v>191</v>
      </c>
      <c r="H146" s="317" t="str">
        <f>_xlfn.XLOOKUP(C146,'[36]Porta TN70'!$C:$C,'[36]Porta TN70'!$G:$G)</f>
        <v>Ö</v>
      </c>
    </row>
    <row r="147" spans="1:8">
      <c r="A147" s="894">
        <f t="shared" si="6"/>
        <v>144</v>
      </c>
      <c r="B147" s="894">
        <f t="shared" si="6"/>
        <v>14</v>
      </c>
      <c r="C147" s="894" t="s">
        <v>780</v>
      </c>
      <c r="D147" s="894"/>
      <c r="E147" s="1949">
        <v>45468</v>
      </c>
      <c r="F147" s="894" t="s">
        <v>191</v>
      </c>
      <c r="H147" s="317" t="str">
        <f>_xlfn.XLOOKUP(C147,'[36]Porta TN70'!$C:$C,'[36]Porta TN70'!$G:$G)</f>
        <v>Ö</v>
      </c>
    </row>
    <row r="148" spans="1:8">
      <c r="A148" s="894">
        <f t="shared" si="6"/>
        <v>145</v>
      </c>
      <c r="B148" s="894">
        <f t="shared" si="6"/>
        <v>15</v>
      </c>
      <c r="C148" s="894" t="s">
        <v>781</v>
      </c>
      <c r="D148" s="894"/>
      <c r="E148" s="1949">
        <v>45468</v>
      </c>
      <c r="F148" s="894" t="s">
        <v>191</v>
      </c>
      <c r="H148" s="317" t="str">
        <f>_xlfn.XLOOKUP(C148,'[36]Porta TN70'!$C:$C,'[36]Porta TN70'!$G:$G)</f>
        <v>Ö</v>
      </c>
    </row>
    <row r="149" spans="1:8">
      <c r="A149" s="894">
        <f t="shared" si="6"/>
        <v>146</v>
      </c>
      <c r="B149" s="894">
        <f t="shared" si="6"/>
        <v>16</v>
      </c>
      <c r="C149" s="894" t="s">
        <v>782</v>
      </c>
      <c r="D149" s="894"/>
      <c r="E149" s="1949">
        <v>45468</v>
      </c>
      <c r="F149" s="894" t="s">
        <v>191</v>
      </c>
      <c r="H149" s="317" t="str">
        <f>_xlfn.XLOOKUP(C149,'[36]Porta TN70'!$C:$C,'[36]Porta TN70'!$G:$G)</f>
        <v>Ö</v>
      </c>
    </row>
    <row r="150" spans="1:8">
      <c r="A150" s="894">
        <f t="shared" si="6"/>
        <v>147</v>
      </c>
      <c r="B150" s="894">
        <f t="shared" si="6"/>
        <v>17</v>
      </c>
      <c r="C150" s="894" t="s">
        <v>783</v>
      </c>
      <c r="D150" s="894"/>
      <c r="E150" s="1949">
        <v>45468</v>
      </c>
      <c r="F150" s="894" t="s">
        <v>191</v>
      </c>
      <c r="H150" s="317" t="str">
        <f>_xlfn.XLOOKUP(C150,'[36]Porta TN70'!$C:$C,'[36]Porta TN70'!$G:$G)</f>
        <v>Ö</v>
      </c>
    </row>
    <row r="151" spans="1:8">
      <c r="A151" s="894">
        <f t="shared" si="6"/>
        <v>148</v>
      </c>
      <c r="B151" s="894">
        <f t="shared" si="6"/>
        <v>18</v>
      </c>
      <c r="C151" s="894" t="s">
        <v>784</v>
      </c>
      <c r="D151" s="894"/>
      <c r="E151" s="1949">
        <v>45468</v>
      </c>
      <c r="F151" s="894" t="s">
        <v>191</v>
      </c>
      <c r="H151" s="317" t="str">
        <f>_xlfn.XLOOKUP(C151,'[36]Porta TN70'!$C:$C,'[36]Porta TN70'!$G:$G)</f>
        <v>Ö</v>
      </c>
    </row>
    <row r="152" spans="1:8">
      <c r="A152" s="894">
        <f t="shared" si="6"/>
        <v>149</v>
      </c>
      <c r="B152" s="894">
        <f t="shared" si="6"/>
        <v>19</v>
      </c>
      <c r="C152" s="894" t="s">
        <v>785</v>
      </c>
      <c r="D152" s="894"/>
      <c r="E152" s="1949">
        <v>45468</v>
      </c>
      <c r="F152" s="894" t="s">
        <v>191</v>
      </c>
      <c r="H152" s="317" t="str">
        <f>_xlfn.XLOOKUP(C152,'[36]Porta TN70'!$C:$C,'[36]Porta TN70'!$G:$G)</f>
        <v>Ö</v>
      </c>
    </row>
    <row r="153" spans="1:8">
      <c r="A153" s="894">
        <f t="shared" si="6"/>
        <v>150</v>
      </c>
      <c r="B153" s="894">
        <f t="shared" si="6"/>
        <v>20</v>
      </c>
      <c r="C153" s="894" t="s">
        <v>786</v>
      </c>
      <c r="D153" s="894"/>
      <c r="E153" s="1949">
        <v>45468</v>
      </c>
      <c r="F153" s="894" t="s">
        <v>191</v>
      </c>
      <c r="H153" s="317" t="str">
        <f>_xlfn.XLOOKUP(C153,'[36]Porta TN70'!$C:$C,'[36]Porta TN70'!$G:$G)</f>
        <v>Ö</v>
      </c>
    </row>
    <row r="154" spans="1:8">
      <c r="A154" s="894">
        <f t="shared" si="6"/>
        <v>151</v>
      </c>
      <c r="B154" s="894">
        <f t="shared" si="6"/>
        <v>21</v>
      </c>
      <c r="C154" s="894" t="s">
        <v>787</v>
      </c>
      <c r="D154" s="894"/>
      <c r="E154" s="1949">
        <v>45468</v>
      </c>
      <c r="F154" s="894" t="s">
        <v>191</v>
      </c>
      <c r="H154" s="317" t="str">
        <f>_xlfn.XLOOKUP(C154,'[36]Porta TN70'!$C:$C,'[36]Porta TN70'!$G:$G)</f>
        <v>Ö</v>
      </c>
    </row>
    <row r="155" spans="1:8">
      <c r="A155" s="894">
        <f t="shared" si="6"/>
        <v>152</v>
      </c>
      <c r="B155" s="894">
        <f t="shared" si="6"/>
        <v>22</v>
      </c>
      <c r="C155" s="894" t="s">
        <v>788</v>
      </c>
      <c r="D155" s="894"/>
      <c r="E155" s="1949">
        <v>45468</v>
      </c>
      <c r="F155" s="894" t="s">
        <v>191</v>
      </c>
      <c r="H155" s="317" t="str">
        <f>_xlfn.XLOOKUP(C155,'[36]Porta TN70'!$C:$C,'[36]Porta TN70'!$G:$G)</f>
        <v>Ö</v>
      </c>
    </row>
    <row r="156" spans="1:8">
      <c r="A156" s="894">
        <f t="shared" si="6"/>
        <v>153</v>
      </c>
      <c r="B156" s="894">
        <f t="shared" ref="B156:B157" si="7">B155+1</f>
        <v>23</v>
      </c>
      <c r="C156" s="894" t="s">
        <v>789</v>
      </c>
      <c r="D156" s="894"/>
      <c r="E156" s="1949">
        <v>45468</v>
      </c>
      <c r="F156" s="894" t="s">
        <v>191</v>
      </c>
      <c r="H156" s="317" t="str">
        <f>_xlfn.XLOOKUP(C156,'[36]Porta TN70'!$C:$C,'[36]Porta TN70'!$G:$G)</f>
        <v>Ö</v>
      </c>
    </row>
    <row r="157" spans="1:8">
      <c r="A157" s="894">
        <f t="shared" si="6"/>
        <v>154</v>
      </c>
      <c r="B157" s="894">
        <f t="shared" si="7"/>
        <v>24</v>
      </c>
      <c r="C157" s="894" t="s">
        <v>790</v>
      </c>
      <c r="D157" s="894"/>
      <c r="E157" s="1949">
        <v>45468</v>
      </c>
      <c r="F157" s="894" t="s">
        <v>191</v>
      </c>
      <c r="H157" s="317" t="str">
        <f>_xlfn.XLOOKUP(C157,'[36]Porta TN70'!$C:$C,'[36]Porta TN70'!$G:$G)</f>
        <v>Ö</v>
      </c>
    </row>
    <row r="158" spans="1:8">
      <c r="A158" s="894">
        <f t="shared" si="6"/>
        <v>155</v>
      </c>
      <c r="B158" s="894">
        <f t="shared" ref="B158" si="8">B157+1</f>
        <v>25</v>
      </c>
      <c r="C158" s="894" t="s">
        <v>791</v>
      </c>
      <c r="D158" s="894"/>
      <c r="E158" s="1949">
        <v>45468</v>
      </c>
      <c r="F158" s="894" t="s">
        <v>191</v>
      </c>
      <c r="H158" s="317" t="str">
        <f>_xlfn.XLOOKUP(C158,'[36]Porta TN70'!$C:$C,'[36]Porta TN70'!$G:$G)</f>
        <v>Ö</v>
      </c>
    </row>
    <row r="159" spans="1:8">
      <c r="A159" s="894">
        <f t="shared" si="6"/>
        <v>156</v>
      </c>
      <c r="B159" s="894">
        <f t="shared" ref="B159" si="9">B158+1</f>
        <v>26</v>
      </c>
      <c r="C159" s="894" t="s">
        <v>792</v>
      </c>
      <c r="D159" s="894"/>
      <c r="E159" s="1949">
        <v>45468</v>
      </c>
      <c r="F159" s="894" t="s">
        <v>191</v>
      </c>
      <c r="H159" s="317" t="str">
        <f>_xlfn.XLOOKUP(C159,'[36]Porta TN70'!$C:$C,'[36]Porta TN70'!$G:$G)</f>
        <v>Ö</v>
      </c>
    </row>
    <row r="160" spans="1:8">
      <c r="A160" s="894">
        <f t="shared" si="6"/>
        <v>157</v>
      </c>
      <c r="B160" s="894">
        <f t="shared" ref="B160" si="10">B159+1</f>
        <v>27</v>
      </c>
      <c r="C160" s="894" t="s">
        <v>793</v>
      </c>
      <c r="D160" s="894"/>
      <c r="E160" s="1949">
        <v>45468</v>
      </c>
      <c r="F160" s="894" t="s">
        <v>191</v>
      </c>
      <c r="H160" s="317" t="str">
        <f>_xlfn.XLOOKUP(C160,'[36]Porta TN70'!$C:$C,'[36]Porta TN70'!$G:$G)</f>
        <v>Ö</v>
      </c>
    </row>
    <row r="161" spans="1:8">
      <c r="A161" s="894">
        <f t="shared" si="6"/>
        <v>158</v>
      </c>
      <c r="B161" s="894">
        <f t="shared" ref="B161" si="11">B160+1</f>
        <v>28</v>
      </c>
      <c r="C161" s="894" t="s">
        <v>794</v>
      </c>
      <c r="D161" s="894"/>
      <c r="E161" s="1949">
        <v>45468</v>
      </c>
      <c r="F161" s="894" t="s">
        <v>191</v>
      </c>
      <c r="H161" s="317" t="str">
        <f>_xlfn.XLOOKUP(C161,'[36]Porta TN70'!$C:$C,'[36]Porta TN70'!$G:$G)</f>
        <v>Ö</v>
      </c>
    </row>
    <row r="162" spans="1:8">
      <c r="A162" s="894">
        <f t="shared" si="6"/>
        <v>159</v>
      </c>
      <c r="B162" s="894">
        <f t="shared" ref="B162" si="12">B161+1</f>
        <v>29</v>
      </c>
      <c r="C162" s="894" t="s">
        <v>795</v>
      </c>
      <c r="D162" s="894"/>
      <c r="E162" s="1949">
        <v>45468</v>
      </c>
      <c r="F162" s="894" t="s">
        <v>191</v>
      </c>
      <c r="H162" s="317" t="str">
        <f>_xlfn.XLOOKUP(C162,'[36]Porta TN70'!$C:$C,'[36]Porta TN70'!$G:$G)</f>
        <v>Ö</v>
      </c>
    </row>
    <row r="163" spans="1:8">
      <c r="A163" s="894">
        <f t="shared" si="6"/>
        <v>160</v>
      </c>
      <c r="B163" s="894">
        <f t="shared" ref="B163" si="13">B162+1</f>
        <v>30</v>
      </c>
      <c r="C163" s="894" t="s">
        <v>796</v>
      </c>
      <c r="D163" s="894"/>
      <c r="E163" s="1949">
        <v>45468</v>
      </c>
      <c r="F163" s="894" t="s">
        <v>191</v>
      </c>
      <c r="H163" s="317" t="str">
        <f>_xlfn.XLOOKUP(C163,'[36]Porta TN70'!$C:$C,'[36]Porta TN70'!$G:$G)</f>
        <v>Ö</v>
      </c>
    </row>
    <row r="164" spans="1:8">
      <c r="A164" s="894">
        <f t="shared" si="6"/>
        <v>161</v>
      </c>
      <c r="B164" s="894">
        <f t="shared" ref="B164" si="14">B163+1</f>
        <v>31</v>
      </c>
      <c r="C164" s="894" t="s">
        <v>797</v>
      </c>
      <c r="D164" s="894"/>
      <c r="E164" s="1949">
        <v>45468</v>
      </c>
      <c r="F164" s="894" t="s">
        <v>191</v>
      </c>
      <c r="H164" s="317" t="str">
        <f>_xlfn.XLOOKUP(C164,'[36]Porta TN70'!$C:$C,'[36]Porta TN70'!$G:$G)</f>
        <v>Ö</v>
      </c>
    </row>
    <row r="165" spans="1:8">
      <c r="A165" s="894">
        <f t="shared" si="6"/>
        <v>162</v>
      </c>
      <c r="B165" s="894">
        <f t="shared" ref="B165:B166" si="15">B164+1</f>
        <v>32</v>
      </c>
      <c r="C165" s="894" t="s">
        <v>798</v>
      </c>
      <c r="D165" s="894"/>
      <c r="E165" s="1949">
        <v>45468</v>
      </c>
      <c r="F165" s="894" t="s">
        <v>191</v>
      </c>
      <c r="H165" s="317" t="str">
        <f>_xlfn.XLOOKUP(C165,'[36]Porta TN70'!$C:$C,'[36]Porta TN70'!$G:$G)</f>
        <v>Ö</v>
      </c>
    </row>
    <row r="166" spans="1:8">
      <c r="A166" s="894">
        <f t="shared" si="6"/>
        <v>163</v>
      </c>
      <c r="B166" s="894">
        <f t="shared" si="15"/>
        <v>33</v>
      </c>
      <c r="C166" s="894" t="s">
        <v>799</v>
      </c>
      <c r="D166" s="894"/>
      <c r="E166" s="1949">
        <v>45468</v>
      </c>
      <c r="F166" s="894" t="s">
        <v>191</v>
      </c>
      <c r="H166" s="317" t="str">
        <f>_xlfn.XLOOKUP(C166,'[36]Porta TN70'!$C:$C,'[36]Porta TN70'!$G:$G)</f>
        <v>Ö</v>
      </c>
    </row>
    <row r="167" spans="1:8">
      <c r="A167" s="894">
        <f t="shared" si="6"/>
        <v>164</v>
      </c>
      <c r="B167" s="894">
        <f t="shared" ref="B167" si="16">B166+1</f>
        <v>34</v>
      </c>
      <c r="C167" s="894" t="s">
        <v>800</v>
      </c>
      <c r="D167" s="894"/>
      <c r="E167" s="1949">
        <v>45468</v>
      </c>
      <c r="F167" s="894" t="s">
        <v>191</v>
      </c>
      <c r="H167" s="317" t="str">
        <f>_xlfn.XLOOKUP(C167,'[36]Porta TN70'!$C:$C,'[36]Porta TN70'!$G:$G)</f>
        <v>Ö</v>
      </c>
    </row>
    <row r="168" spans="1:8">
      <c r="A168" s="894">
        <f t="shared" si="6"/>
        <v>165</v>
      </c>
      <c r="B168" s="894">
        <f t="shared" ref="B168" si="17">B167+1</f>
        <v>35</v>
      </c>
      <c r="C168" s="894" t="s">
        <v>801</v>
      </c>
      <c r="D168" s="894"/>
      <c r="E168" s="1949">
        <v>45468</v>
      </c>
      <c r="F168" s="894" t="s">
        <v>191</v>
      </c>
      <c r="H168" s="317" t="str">
        <f>_xlfn.XLOOKUP(C168,'[36]Porta TN70'!$C:$C,'[36]Porta TN70'!$G:$G)</f>
        <v>Ö</v>
      </c>
    </row>
    <row r="169" spans="1:8">
      <c r="A169" s="894">
        <f t="shared" si="6"/>
        <v>166</v>
      </c>
      <c r="B169" s="894">
        <f t="shared" ref="B169" si="18">B168+1</f>
        <v>36</v>
      </c>
      <c r="C169" s="894" t="s">
        <v>802</v>
      </c>
      <c r="D169" s="894"/>
      <c r="E169" s="1949">
        <v>45468</v>
      </c>
      <c r="F169" s="894" t="s">
        <v>191</v>
      </c>
      <c r="H169" s="317" t="str">
        <f>_xlfn.XLOOKUP(C169,'[36]Porta TN70'!$C:$C,'[36]Porta TN70'!$G:$G)</f>
        <v>Ö</v>
      </c>
    </row>
    <row r="170" spans="1:8">
      <c r="A170" s="894">
        <f t="shared" si="6"/>
        <v>167</v>
      </c>
      <c r="B170" s="894">
        <f t="shared" ref="B170" si="19">B169+1</f>
        <v>37</v>
      </c>
      <c r="C170" s="894" t="s">
        <v>803</v>
      </c>
      <c r="D170" s="894"/>
      <c r="E170" s="1949">
        <v>45468</v>
      </c>
      <c r="F170" s="894" t="s">
        <v>191</v>
      </c>
      <c r="H170" s="317" t="str">
        <f>_xlfn.XLOOKUP(C170,'[36]Porta TN70'!$C:$C,'[36]Porta TN70'!$G:$G)</f>
        <v>Ö</v>
      </c>
    </row>
    <row r="171" spans="1:8">
      <c r="A171" s="894">
        <f t="shared" si="6"/>
        <v>168</v>
      </c>
      <c r="B171" s="894">
        <f t="shared" ref="A171:B261" si="20">B170+1</f>
        <v>38</v>
      </c>
      <c r="C171" s="894" t="s">
        <v>804</v>
      </c>
      <c r="D171" s="894"/>
      <c r="E171" s="1949">
        <v>45468</v>
      </c>
      <c r="F171" s="894" t="s">
        <v>191</v>
      </c>
      <c r="H171" s="317" t="str">
        <f>_xlfn.XLOOKUP(C171,'[36]Porta TN70'!$C:$C,'[36]Porta TN70'!$G:$G)</f>
        <v>Ö</v>
      </c>
    </row>
    <row r="172" spans="1:8">
      <c r="A172" s="894">
        <f t="shared" si="6"/>
        <v>169</v>
      </c>
      <c r="B172" s="894">
        <f t="shared" si="20"/>
        <v>39</v>
      </c>
      <c r="C172" s="894" t="s">
        <v>805</v>
      </c>
      <c r="D172" s="894"/>
      <c r="E172" s="1949">
        <v>45468</v>
      </c>
      <c r="F172" s="894" t="s">
        <v>191</v>
      </c>
      <c r="H172" s="317" t="str">
        <f>_xlfn.XLOOKUP(C172,'[36]Porta TN70'!$C:$C,'[36]Porta TN70'!$G:$G)</f>
        <v>Ö</v>
      </c>
    </row>
    <row r="173" spans="1:8">
      <c r="A173" s="894">
        <f t="shared" si="6"/>
        <v>170</v>
      </c>
      <c r="B173" s="894">
        <f t="shared" si="20"/>
        <v>40</v>
      </c>
      <c r="C173" s="894" t="s">
        <v>806</v>
      </c>
      <c r="D173" s="894"/>
      <c r="E173" s="1949">
        <v>45468</v>
      </c>
      <c r="F173" s="894" t="s">
        <v>191</v>
      </c>
      <c r="H173" s="317" t="str">
        <f>_xlfn.XLOOKUP(C173,'[36]Porta TN70'!$C:$C,'[36]Porta TN70'!$G:$G)</f>
        <v>Ö</v>
      </c>
    </row>
    <row r="174" spans="1:8">
      <c r="A174" s="894">
        <f t="shared" si="6"/>
        <v>171</v>
      </c>
      <c r="B174" s="894">
        <f t="shared" si="20"/>
        <v>41</v>
      </c>
      <c r="C174" s="894" t="s">
        <v>807</v>
      </c>
      <c r="D174" s="894"/>
      <c r="E174" s="1949">
        <v>45468</v>
      </c>
      <c r="F174" s="894" t="s">
        <v>191</v>
      </c>
      <c r="H174" s="317" t="str">
        <f>_xlfn.XLOOKUP(C174,'[36]Porta TN70'!$C:$C,'[36]Porta TN70'!$G:$G)</f>
        <v>Ö</v>
      </c>
    </row>
    <row r="175" spans="1:8">
      <c r="A175" s="894">
        <f t="shared" si="6"/>
        <v>172</v>
      </c>
      <c r="B175" s="894">
        <f t="shared" si="20"/>
        <v>42</v>
      </c>
      <c r="C175" s="894" t="s">
        <v>808</v>
      </c>
      <c r="D175" s="894"/>
      <c r="E175" s="1949">
        <v>45468</v>
      </c>
      <c r="F175" s="894" t="s">
        <v>191</v>
      </c>
      <c r="H175" s="317" t="str">
        <f>_xlfn.XLOOKUP(C175,'[36]Porta TN70'!$C:$C,'[36]Porta TN70'!$G:$G)</f>
        <v>Ö</v>
      </c>
    </row>
    <row r="176" spans="1:8">
      <c r="A176" s="894">
        <f t="shared" si="6"/>
        <v>173</v>
      </c>
      <c r="B176" s="894">
        <f t="shared" si="20"/>
        <v>43</v>
      </c>
      <c r="C176" s="894" t="s">
        <v>809</v>
      </c>
      <c r="D176" s="894"/>
      <c r="E176" s="1949">
        <v>45468</v>
      </c>
      <c r="F176" s="894" t="s">
        <v>191</v>
      </c>
      <c r="H176" s="317" t="str">
        <f>_xlfn.XLOOKUP(C176,'[36]Porta TN70'!$C:$C,'[36]Porta TN70'!$G:$G)</f>
        <v>Ö</v>
      </c>
    </row>
    <row r="177" spans="1:8">
      <c r="A177" s="894">
        <f t="shared" si="6"/>
        <v>174</v>
      </c>
      <c r="B177" s="894">
        <f t="shared" si="20"/>
        <v>44</v>
      </c>
      <c r="C177" s="894" t="s">
        <v>810</v>
      </c>
      <c r="D177" s="894"/>
      <c r="E177" s="1949">
        <v>45468</v>
      </c>
      <c r="F177" s="894" t="s">
        <v>191</v>
      </c>
      <c r="H177" s="317" t="str">
        <f>_xlfn.XLOOKUP(C177,'[36]Porta TN70'!$C:$C,'[36]Porta TN70'!$G:$G)</f>
        <v>Ö</v>
      </c>
    </row>
    <row r="178" spans="1:8">
      <c r="A178" s="894">
        <f t="shared" si="6"/>
        <v>175</v>
      </c>
      <c r="B178" s="894">
        <f t="shared" si="20"/>
        <v>45</v>
      </c>
      <c r="C178" s="894" t="s">
        <v>811</v>
      </c>
      <c r="D178" s="894"/>
      <c r="E178" s="1949">
        <v>45468</v>
      </c>
      <c r="F178" s="894" t="s">
        <v>191</v>
      </c>
      <c r="H178" s="317" t="str">
        <f>_xlfn.XLOOKUP(C178,'[36]Porta TN70'!$C:$C,'[36]Porta TN70'!$G:$G)</f>
        <v>Ö</v>
      </c>
    </row>
    <row r="179" spans="1:8">
      <c r="A179" s="894">
        <f t="shared" si="6"/>
        <v>176</v>
      </c>
      <c r="B179" s="894">
        <f t="shared" si="20"/>
        <v>46</v>
      </c>
      <c r="C179" s="894" t="s">
        <v>812</v>
      </c>
      <c r="D179" s="894"/>
      <c r="E179" s="1949">
        <v>45468</v>
      </c>
      <c r="F179" s="894" t="s">
        <v>191</v>
      </c>
      <c r="H179" s="317" t="str">
        <f>_xlfn.XLOOKUP(C179,'[36]Porta TN70'!$C:$C,'[36]Porta TN70'!$G:$G)</f>
        <v>Ö</v>
      </c>
    </row>
    <row r="180" spans="1:8">
      <c r="A180" s="894">
        <f t="shared" si="6"/>
        <v>177</v>
      </c>
      <c r="B180" s="894">
        <f t="shared" si="20"/>
        <v>47</v>
      </c>
      <c r="C180" s="894" t="s">
        <v>813</v>
      </c>
      <c r="D180" s="894"/>
      <c r="E180" s="1949">
        <v>45468</v>
      </c>
      <c r="F180" s="894" t="s">
        <v>191</v>
      </c>
      <c r="H180" s="317" t="str">
        <f>_xlfn.XLOOKUP(C180,'[36]Porta TN70'!$C:$C,'[36]Porta TN70'!$G:$G)</f>
        <v>Ö</v>
      </c>
    </row>
    <row r="181" spans="1:8">
      <c r="A181" s="894">
        <f t="shared" si="6"/>
        <v>178</v>
      </c>
      <c r="B181" s="894">
        <f t="shared" si="20"/>
        <v>48</v>
      </c>
      <c r="C181" s="894" t="s">
        <v>814</v>
      </c>
      <c r="D181" s="894"/>
      <c r="E181" s="1949">
        <v>45468</v>
      </c>
      <c r="F181" s="894" t="s">
        <v>191</v>
      </c>
      <c r="H181" s="317" t="str">
        <f>_xlfn.XLOOKUP(C181,'[36]Porta TN70'!$C:$C,'[36]Porta TN70'!$G:$G)</f>
        <v>Ö</v>
      </c>
    </row>
    <row r="182" spans="1:8">
      <c r="A182" s="894">
        <f t="shared" si="6"/>
        <v>179</v>
      </c>
      <c r="B182" s="894">
        <f t="shared" si="20"/>
        <v>49</v>
      </c>
      <c r="C182" s="894" t="s">
        <v>815</v>
      </c>
      <c r="D182" s="894"/>
      <c r="E182" s="1949">
        <v>45468</v>
      </c>
      <c r="F182" s="894" t="s">
        <v>191</v>
      </c>
      <c r="H182" s="317" t="str">
        <f>_xlfn.XLOOKUP(C182,'[36]Porta TN70'!$C:$C,'[36]Porta TN70'!$G:$G)</f>
        <v>Ö</v>
      </c>
    </row>
    <row r="183" spans="1:8">
      <c r="A183" s="894">
        <f t="shared" si="6"/>
        <v>180</v>
      </c>
      <c r="B183" s="894">
        <f t="shared" si="20"/>
        <v>50</v>
      </c>
      <c r="C183" s="894" t="s">
        <v>816</v>
      </c>
      <c r="D183" s="894"/>
      <c r="E183" s="1949">
        <v>45468</v>
      </c>
      <c r="F183" s="894" t="s">
        <v>191</v>
      </c>
      <c r="H183" s="317" t="str">
        <f>_xlfn.XLOOKUP(C183,'[36]Porta TN70'!$C:$C,'[36]Porta TN70'!$G:$G)</f>
        <v>Ö</v>
      </c>
    </row>
    <row r="184" spans="1:8">
      <c r="A184" s="894">
        <f t="shared" si="6"/>
        <v>181</v>
      </c>
      <c r="B184" s="894">
        <f t="shared" si="20"/>
        <v>51</v>
      </c>
      <c r="C184" s="894" t="s">
        <v>817</v>
      </c>
      <c r="D184" s="894"/>
      <c r="E184" s="1949">
        <v>45468</v>
      </c>
      <c r="F184" s="894" t="s">
        <v>191</v>
      </c>
      <c r="H184" s="317" t="str">
        <f>_xlfn.XLOOKUP(C184,'[36]Porta TN70'!$C:$C,'[36]Porta TN70'!$G:$G)</f>
        <v>Ö</v>
      </c>
    </row>
    <row r="185" spans="1:8">
      <c r="A185" s="894">
        <f t="shared" si="6"/>
        <v>182</v>
      </c>
      <c r="B185" s="894">
        <f t="shared" si="20"/>
        <v>52</v>
      </c>
      <c r="C185" s="894" t="s">
        <v>818</v>
      </c>
      <c r="D185" s="894"/>
      <c r="E185" s="1949">
        <v>45468</v>
      </c>
      <c r="F185" s="894" t="s">
        <v>191</v>
      </c>
      <c r="H185" s="317" t="str">
        <f>_xlfn.XLOOKUP(C185,'[36]Porta TN70'!$C:$C,'[36]Porta TN70'!$G:$G)</f>
        <v>Ö</v>
      </c>
    </row>
    <row r="186" spans="1:8">
      <c r="A186" s="894">
        <f t="shared" si="6"/>
        <v>183</v>
      </c>
      <c r="B186" s="894">
        <f t="shared" si="20"/>
        <v>53</v>
      </c>
      <c r="C186" s="894" t="s">
        <v>819</v>
      </c>
      <c r="D186" s="894"/>
      <c r="E186" s="1949">
        <v>45468</v>
      </c>
      <c r="F186" s="894" t="s">
        <v>191</v>
      </c>
      <c r="H186" s="317" t="str">
        <f>_xlfn.XLOOKUP(C186,'[36]Porta TN70'!$C:$C,'[36]Porta TN70'!$G:$G)</f>
        <v>Ö</v>
      </c>
    </row>
    <row r="187" spans="1:8">
      <c r="A187" s="894">
        <f t="shared" si="6"/>
        <v>184</v>
      </c>
      <c r="B187" s="894">
        <f t="shared" si="20"/>
        <v>54</v>
      </c>
      <c r="C187" s="894" t="s">
        <v>820</v>
      </c>
      <c r="D187" s="894"/>
      <c r="E187" s="1949">
        <v>45468</v>
      </c>
      <c r="F187" s="894" t="s">
        <v>191</v>
      </c>
      <c r="H187" s="317" t="str">
        <f>_xlfn.XLOOKUP(C187,'[36]Porta TN70'!$C:$C,'[36]Porta TN70'!$G:$G)</f>
        <v>Ö</v>
      </c>
    </row>
    <row r="188" spans="1:8">
      <c r="A188" s="894">
        <f t="shared" si="6"/>
        <v>185</v>
      </c>
      <c r="B188" s="894">
        <f t="shared" si="20"/>
        <v>55</v>
      </c>
      <c r="C188" s="894" t="s">
        <v>821</v>
      </c>
      <c r="D188" s="894"/>
      <c r="E188" s="1949">
        <v>45468</v>
      </c>
      <c r="F188" s="894" t="s">
        <v>191</v>
      </c>
      <c r="H188" s="317" t="str">
        <f>_xlfn.XLOOKUP(C188,'[36]Porta TN70'!$C:$C,'[36]Porta TN70'!$G:$G)</f>
        <v>Ö</v>
      </c>
    </row>
    <row r="189" spans="1:8">
      <c r="A189" s="894">
        <f t="shared" si="6"/>
        <v>186</v>
      </c>
      <c r="B189" s="894">
        <f t="shared" si="20"/>
        <v>56</v>
      </c>
      <c r="C189" s="894" t="s">
        <v>822</v>
      </c>
      <c r="D189" s="894"/>
      <c r="E189" s="1949">
        <v>45468</v>
      </c>
      <c r="F189" s="894" t="s">
        <v>191</v>
      </c>
      <c r="H189" s="317" t="str">
        <f>_xlfn.XLOOKUP(C189,'[36]Porta TN70'!$C:$C,'[36]Porta TN70'!$G:$G)</f>
        <v>Ö</v>
      </c>
    </row>
    <row r="190" spans="1:8">
      <c r="A190" s="894">
        <f t="shared" si="6"/>
        <v>187</v>
      </c>
      <c r="B190" s="894">
        <f t="shared" si="20"/>
        <v>57</v>
      </c>
      <c r="C190" s="894" t="s">
        <v>823</v>
      </c>
      <c r="D190" s="894"/>
      <c r="E190" s="1949">
        <v>45468</v>
      </c>
      <c r="F190" s="894" t="s">
        <v>191</v>
      </c>
      <c r="H190" s="317" t="str">
        <f>_xlfn.XLOOKUP(C190,'[36]Porta TN70'!$C:$C,'[36]Porta TN70'!$G:$G)</f>
        <v>Ö</v>
      </c>
    </row>
    <row r="191" spans="1:8">
      <c r="A191" s="894">
        <f t="shared" si="6"/>
        <v>188</v>
      </c>
      <c r="B191" s="894">
        <f t="shared" si="20"/>
        <v>58</v>
      </c>
      <c r="C191" s="894" t="s">
        <v>824</v>
      </c>
      <c r="D191" s="894"/>
      <c r="E191" s="1949">
        <v>45468</v>
      </c>
      <c r="F191" s="894" t="s">
        <v>191</v>
      </c>
      <c r="H191" s="317" t="str">
        <f>_xlfn.XLOOKUP(C191,'[36]Porta TN70'!$C:$C,'[36]Porta TN70'!$G:$G)</f>
        <v>Ö</v>
      </c>
    </row>
    <row r="192" spans="1:8">
      <c r="A192" s="894">
        <f t="shared" si="6"/>
        <v>189</v>
      </c>
      <c r="B192" s="894">
        <f t="shared" si="20"/>
        <v>59</v>
      </c>
      <c r="C192" s="894" t="s">
        <v>825</v>
      </c>
      <c r="D192" s="894"/>
      <c r="E192" s="1949">
        <v>45468</v>
      </c>
      <c r="F192" s="894" t="s">
        <v>191</v>
      </c>
      <c r="H192" s="317" t="str">
        <f>_xlfn.XLOOKUP(C192,'[36]Porta TN70'!$C:$C,'[36]Porta TN70'!$G:$G)</f>
        <v>Ö</v>
      </c>
    </row>
    <row r="193" spans="1:8">
      <c r="A193" s="894">
        <f t="shared" si="6"/>
        <v>190</v>
      </c>
      <c r="B193" s="894">
        <f t="shared" si="20"/>
        <v>60</v>
      </c>
      <c r="C193" s="894" t="s">
        <v>826</v>
      </c>
      <c r="D193" s="894"/>
      <c r="E193" s="1949">
        <v>45468</v>
      </c>
      <c r="F193" s="894" t="s">
        <v>191</v>
      </c>
      <c r="H193" s="317" t="str">
        <f>_xlfn.XLOOKUP(C193,'[36]Porta TN70'!$C:$C,'[36]Porta TN70'!$G:$G)</f>
        <v>Ö</v>
      </c>
    </row>
    <row r="194" spans="1:8">
      <c r="A194" s="894">
        <f t="shared" si="6"/>
        <v>191</v>
      </c>
      <c r="B194" s="894">
        <f t="shared" si="20"/>
        <v>61</v>
      </c>
      <c r="C194" s="894" t="s">
        <v>827</v>
      </c>
      <c r="D194" s="894"/>
      <c r="E194" s="1949">
        <v>45468</v>
      </c>
      <c r="F194" s="894" t="s">
        <v>191</v>
      </c>
      <c r="H194" s="317" t="str">
        <f>_xlfn.XLOOKUP(C194,'[36]Porta TN70'!$C:$C,'[36]Porta TN70'!$G:$G)</f>
        <v>Ö</v>
      </c>
    </row>
    <row r="195" spans="1:8">
      <c r="A195" s="894">
        <f t="shared" si="6"/>
        <v>192</v>
      </c>
      <c r="B195" s="894">
        <f t="shared" si="20"/>
        <v>62</v>
      </c>
      <c r="C195" s="894" t="s">
        <v>828</v>
      </c>
      <c r="D195" s="894"/>
      <c r="E195" s="1949">
        <v>45468</v>
      </c>
      <c r="F195" s="894" t="s">
        <v>191</v>
      </c>
      <c r="H195" s="317" t="str">
        <f>_xlfn.XLOOKUP(C195,'[36]Porta TN70'!$C:$C,'[36]Porta TN70'!$G:$G)</f>
        <v>Ö</v>
      </c>
    </row>
    <row r="196" spans="1:8">
      <c r="A196" s="894">
        <f t="shared" si="6"/>
        <v>193</v>
      </c>
      <c r="B196" s="894">
        <f t="shared" si="20"/>
        <v>63</v>
      </c>
      <c r="C196" s="894" t="s">
        <v>829</v>
      </c>
      <c r="D196" s="894"/>
      <c r="E196" s="1949">
        <v>45468</v>
      </c>
      <c r="F196" s="894" t="s">
        <v>191</v>
      </c>
      <c r="H196" s="317" t="str">
        <f>_xlfn.XLOOKUP(C196,'[36]Porta TN70'!$C:$C,'[36]Porta TN70'!$G:$G)</f>
        <v>Ö</v>
      </c>
    </row>
    <row r="197" spans="1:8">
      <c r="A197" s="894">
        <f t="shared" si="6"/>
        <v>194</v>
      </c>
      <c r="B197" s="894">
        <f t="shared" si="20"/>
        <v>64</v>
      </c>
      <c r="C197" s="894" t="s">
        <v>830</v>
      </c>
      <c r="D197" s="894"/>
      <c r="E197" s="1949">
        <v>45468</v>
      </c>
      <c r="F197" s="894" t="s">
        <v>191</v>
      </c>
      <c r="H197" s="317" t="str">
        <f>_xlfn.XLOOKUP(C197,'[36]Porta TN70'!$C:$C,'[36]Porta TN70'!$G:$G)</f>
        <v>Ö</v>
      </c>
    </row>
    <row r="198" spans="1:8">
      <c r="A198" s="894">
        <f t="shared" si="20"/>
        <v>195</v>
      </c>
      <c r="B198" s="894">
        <f t="shared" si="20"/>
        <v>65</v>
      </c>
      <c r="C198" s="894" t="s">
        <v>831</v>
      </c>
      <c r="D198" s="894"/>
      <c r="E198" s="1949">
        <v>45468</v>
      </c>
      <c r="F198" s="894" t="s">
        <v>191</v>
      </c>
      <c r="H198" s="317" t="str">
        <f>_xlfn.XLOOKUP(C198,'[36]Porta TN70'!$C:$C,'[36]Porta TN70'!$G:$G)</f>
        <v>Ö</v>
      </c>
    </row>
    <row r="199" spans="1:8">
      <c r="A199" s="894">
        <f t="shared" si="20"/>
        <v>196</v>
      </c>
      <c r="B199" s="894">
        <f t="shared" si="20"/>
        <v>66</v>
      </c>
      <c r="C199" s="894" t="s">
        <v>832</v>
      </c>
      <c r="D199" s="894"/>
      <c r="E199" s="1949">
        <v>45468</v>
      </c>
      <c r="F199" s="894" t="s">
        <v>191</v>
      </c>
      <c r="H199" s="317" t="str">
        <f>_xlfn.XLOOKUP(C199,'[36]Porta TN70'!$C:$C,'[36]Porta TN70'!$G:$G)</f>
        <v>Ö</v>
      </c>
    </row>
    <row r="200" spans="1:8">
      <c r="A200" s="894">
        <f t="shared" si="20"/>
        <v>197</v>
      </c>
      <c r="B200" s="894">
        <f t="shared" si="20"/>
        <v>67</v>
      </c>
      <c r="C200" s="894" t="s">
        <v>833</v>
      </c>
      <c r="D200" s="894"/>
      <c r="E200" s="1949">
        <v>45468</v>
      </c>
      <c r="F200" s="894" t="s">
        <v>191</v>
      </c>
      <c r="H200" s="317" t="str">
        <f>_xlfn.XLOOKUP(C200,'[36]Porta TN70'!$C:$C,'[36]Porta TN70'!$G:$G)</f>
        <v>Ö</v>
      </c>
    </row>
    <row r="201" spans="1:8">
      <c r="A201" s="894">
        <f t="shared" si="20"/>
        <v>198</v>
      </c>
      <c r="B201" s="894">
        <f t="shared" si="20"/>
        <v>68</v>
      </c>
      <c r="C201" s="894" t="s">
        <v>834</v>
      </c>
      <c r="D201" s="894"/>
      <c r="E201" s="1949">
        <v>45468</v>
      </c>
      <c r="F201" s="894" t="s">
        <v>191</v>
      </c>
      <c r="H201" s="317" t="str">
        <f>_xlfn.XLOOKUP(C201,'[36]Porta TN70'!$C:$C,'[36]Porta TN70'!$G:$G)</f>
        <v>Ö</v>
      </c>
    </row>
    <row r="202" spans="1:8">
      <c r="A202" s="894">
        <f t="shared" si="20"/>
        <v>199</v>
      </c>
      <c r="B202" s="894">
        <f t="shared" si="20"/>
        <v>69</v>
      </c>
      <c r="C202" s="894" t="s">
        <v>835</v>
      </c>
      <c r="D202" s="894"/>
      <c r="E202" s="1949">
        <v>45468</v>
      </c>
      <c r="F202" s="894" t="s">
        <v>191</v>
      </c>
      <c r="H202" s="317" t="str">
        <f>_xlfn.XLOOKUP(C202,'[36]Porta TN70'!$C:$C,'[36]Porta TN70'!$G:$G)</f>
        <v>Ö</v>
      </c>
    </row>
    <row r="203" spans="1:8">
      <c r="A203" s="894">
        <f t="shared" si="20"/>
        <v>200</v>
      </c>
      <c r="B203" s="894">
        <f t="shared" si="20"/>
        <v>70</v>
      </c>
      <c r="C203" s="894" t="s">
        <v>836</v>
      </c>
      <c r="D203" s="894"/>
      <c r="E203" s="1949">
        <v>45468</v>
      </c>
      <c r="F203" s="894" t="s">
        <v>191</v>
      </c>
      <c r="H203" s="317" t="str">
        <f>_xlfn.XLOOKUP(C203,'[36]Porta TN70'!$C:$C,'[36]Porta TN70'!$G:$G)</f>
        <v>Ö</v>
      </c>
    </row>
    <row r="204" spans="1:8">
      <c r="A204" s="894">
        <f t="shared" si="20"/>
        <v>201</v>
      </c>
      <c r="B204" s="894">
        <f t="shared" si="20"/>
        <v>71</v>
      </c>
      <c r="C204" s="894" t="s">
        <v>837</v>
      </c>
      <c r="D204" s="894"/>
      <c r="E204" s="1949">
        <v>45468</v>
      </c>
      <c r="F204" s="894" t="s">
        <v>191</v>
      </c>
      <c r="H204" s="317" t="str">
        <f>_xlfn.XLOOKUP(C204,'[36]Porta TN70'!$C:$C,'[36]Porta TN70'!$G:$G)</f>
        <v>Ö</v>
      </c>
    </row>
    <row r="205" spans="1:8">
      <c r="A205" s="894">
        <f t="shared" si="20"/>
        <v>202</v>
      </c>
      <c r="B205" s="894">
        <f t="shared" si="20"/>
        <v>72</v>
      </c>
      <c r="C205" s="894" t="s">
        <v>838</v>
      </c>
      <c r="D205" s="894"/>
      <c r="E205" s="1949">
        <v>45468</v>
      </c>
      <c r="F205" s="894" t="s">
        <v>191</v>
      </c>
      <c r="H205" s="317" t="str">
        <f>_xlfn.XLOOKUP(C205,'[36]Porta TN70'!$C:$C,'[36]Porta TN70'!$G:$G)</f>
        <v>Ö</v>
      </c>
    </row>
    <row r="206" spans="1:8">
      <c r="A206" s="894">
        <f t="shared" si="20"/>
        <v>203</v>
      </c>
      <c r="B206" s="894">
        <f t="shared" si="20"/>
        <v>73</v>
      </c>
      <c r="C206" s="894" t="s">
        <v>839</v>
      </c>
      <c r="D206" s="894"/>
      <c r="E206" s="1949">
        <v>45468</v>
      </c>
      <c r="F206" s="894" t="s">
        <v>191</v>
      </c>
      <c r="H206" s="317" t="str">
        <f>_xlfn.XLOOKUP(C206,'[36]Porta TN70'!$C:$C,'[36]Porta TN70'!$G:$G)</f>
        <v>Ö</v>
      </c>
    </row>
    <row r="207" spans="1:8">
      <c r="A207" s="894">
        <f t="shared" si="20"/>
        <v>204</v>
      </c>
      <c r="B207" s="894">
        <f t="shared" si="20"/>
        <v>74</v>
      </c>
      <c r="C207" s="894" t="s">
        <v>840</v>
      </c>
      <c r="D207" s="894"/>
      <c r="E207" s="1949">
        <v>45468</v>
      </c>
      <c r="F207" s="894" t="s">
        <v>191</v>
      </c>
      <c r="H207" s="317" t="str">
        <f>_xlfn.XLOOKUP(C207,'[36]Porta TN70'!$C:$C,'[36]Porta TN70'!$G:$G)</f>
        <v>Ö</v>
      </c>
    </row>
    <row r="208" spans="1:8">
      <c r="A208" s="894">
        <f t="shared" si="20"/>
        <v>205</v>
      </c>
      <c r="B208" s="894">
        <f t="shared" si="20"/>
        <v>75</v>
      </c>
      <c r="C208" s="894" t="s">
        <v>841</v>
      </c>
      <c r="D208" s="894"/>
      <c r="E208" s="1949">
        <v>45468</v>
      </c>
      <c r="F208" s="894" t="s">
        <v>191</v>
      </c>
      <c r="H208" s="317" t="str">
        <f>_xlfn.XLOOKUP(C208,'[36]Porta TN70'!$C:$C,'[36]Porta TN70'!$G:$G)</f>
        <v>Ö</v>
      </c>
    </row>
    <row r="209" spans="1:8">
      <c r="A209" s="894">
        <f t="shared" si="20"/>
        <v>206</v>
      </c>
      <c r="B209" s="894">
        <f t="shared" si="20"/>
        <v>76</v>
      </c>
      <c r="C209" s="894" t="s">
        <v>842</v>
      </c>
      <c r="D209" s="894"/>
      <c r="E209" s="1949">
        <v>45468</v>
      </c>
      <c r="F209" s="894" t="s">
        <v>191</v>
      </c>
      <c r="H209" s="317" t="str">
        <f>_xlfn.XLOOKUP(C209,'[36]Porta TN70'!$C:$C,'[36]Porta TN70'!$G:$G)</f>
        <v>Ö</v>
      </c>
    </row>
    <row r="210" spans="1:8">
      <c r="A210" s="894">
        <f t="shared" si="20"/>
        <v>207</v>
      </c>
      <c r="B210" s="894">
        <f t="shared" si="20"/>
        <v>77</v>
      </c>
      <c r="C210" s="894" t="s">
        <v>843</v>
      </c>
      <c r="D210" s="894"/>
      <c r="E210" s="1949">
        <v>45468</v>
      </c>
      <c r="F210" s="894" t="s">
        <v>191</v>
      </c>
      <c r="H210" s="317" t="str">
        <f>_xlfn.XLOOKUP(C210,'[36]Porta TN70'!$C:$C,'[36]Porta TN70'!$G:$G)</f>
        <v>Ö</v>
      </c>
    </row>
    <row r="211" spans="1:8">
      <c r="A211" s="894">
        <f t="shared" si="20"/>
        <v>208</v>
      </c>
      <c r="B211" s="894">
        <f t="shared" si="20"/>
        <v>78</v>
      </c>
      <c r="C211" s="894" t="s">
        <v>844</v>
      </c>
      <c r="D211" s="894"/>
      <c r="E211" s="1949">
        <v>45468</v>
      </c>
      <c r="F211" s="894" t="s">
        <v>191</v>
      </c>
      <c r="H211" s="317" t="str">
        <f>_xlfn.XLOOKUP(C211,'[36]Porta TN70'!$C:$C,'[36]Porta TN70'!$G:$G)</f>
        <v>Ö</v>
      </c>
    </row>
    <row r="212" spans="1:8">
      <c r="A212" s="894">
        <f t="shared" si="20"/>
        <v>209</v>
      </c>
      <c r="B212" s="894">
        <f t="shared" si="20"/>
        <v>79</v>
      </c>
      <c r="C212" s="894" t="s">
        <v>845</v>
      </c>
      <c r="D212" s="894"/>
      <c r="E212" s="1949">
        <v>45468</v>
      </c>
      <c r="F212" s="894" t="s">
        <v>191</v>
      </c>
      <c r="H212" s="317" t="str">
        <f>_xlfn.XLOOKUP(C212,'[36]Porta TN70'!$C:$C,'[36]Porta TN70'!$G:$G)</f>
        <v>Ö</v>
      </c>
    </row>
    <row r="213" spans="1:8">
      <c r="A213" s="894">
        <f t="shared" si="20"/>
        <v>210</v>
      </c>
      <c r="B213" s="894">
        <f t="shared" si="20"/>
        <v>80</v>
      </c>
      <c r="C213" s="894" t="s">
        <v>846</v>
      </c>
      <c r="D213" s="894"/>
      <c r="E213" s="1949">
        <v>45468</v>
      </c>
      <c r="F213" s="894" t="s">
        <v>191</v>
      </c>
      <c r="H213" s="317" t="str">
        <f>_xlfn.XLOOKUP(C213,'[36]Porta TN70'!$C:$C,'[36]Porta TN70'!$G:$G)</f>
        <v>Ö</v>
      </c>
    </row>
    <row r="214" spans="1:8">
      <c r="A214" s="894">
        <f t="shared" si="20"/>
        <v>211</v>
      </c>
      <c r="B214" s="894">
        <f t="shared" si="20"/>
        <v>81</v>
      </c>
      <c r="C214" s="894" t="s">
        <v>847</v>
      </c>
      <c r="D214" s="894"/>
      <c r="E214" s="1949">
        <v>45468</v>
      </c>
      <c r="F214" s="894" t="s">
        <v>191</v>
      </c>
      <c r="H214" s="317" t="str">
        <f>_xlfn.XLOOKUP(C214,'[36]Porta TN70'!$C:$C,'[36]Porta TN70'!$G:$G)</f>
        <v>Ö</v>
      </c>
    </row>
    <row r="215" spans="1:8">
      <c r="A215" s="894">
        <f t="shared" si="20"/>
        <v>212</v>
      </c>
      <c r="B215" s="894">
        <f t="shared" si="20"/>
        <v>82</v>
      </c>
      <c r="C215" s="894" t="s">
        <v>848</v>
      </c>
      <c r="D215" s="894"/>
      <c r="E215" s="1949">
        <v>45468</v>
      </c>
      <c r="F215" s="894" t="s">
        <v>191</v>
      </c>
      <c r="H215" s="317" t="str">
        <f>_xlfn.XLOOKUP(C215,'[36]Porta TN70'!$C:$C,'[36]Porta TN70'!$G:$G)</f>
        <v>Ö</v>
      </c>
    </row>
    <row r="216" spans="1:8">
      <c r="A216" s="894">
        <f t="shared" si="20"/>
        <v>213</v>
      </c>
      <c r="B216" s="894">
        <f t="shared" si="20"/>
        <v>83</v>
      </c>
      <c r="C216" s="894" t="s">
        <v>849</v>
      </c>
      <c r="D216" s="894"/>
      <c r="E216" s="1949">
        <v>45468</v>
      </c>
      <c r="F216" s="894" t="s">
        <v>191</v>
      </c>
      <c r="H216" s="317" t="str">
        <f>_xlfn.XLOOKUP(C216,'[36]Porta TN70'!$C:$C,'[36]Porta TN70'!$G:$G)</f>
        <v>Ö</v>
      </c>
    </row>
    <row r="217" spans="1:8">
      <c r="A217" s="894">
        <f t="shared" si="20"/>
        <v>214</v>
      </c>
      <c r="B217" s="894">
        <f t="shared" si="20"/>
        <v>84</v>
      </c>
      <c r="C217" s="894" t="s">
        <v>850</v>
      </c>
      <c r="D217" s="894"/>
      <c r="E217" s="1949">
        <v>45468</v>
      </c>
      <c r="F217" s="894" t="s">
        <v>191</v>
      </c>
      <c r="H217" s="317" t="str">
        <f>_xlfn.XLOOKUP(C217,'[36]Porta TN70'!$C:$C,'[36]Porta TN70'!$G:$G)</f>
        <v>Ö</v>
      </c>
    </row>
    <row r="218" spans="1:8">
      <c r="A218" s="894">
        <f t="shared" si="20"/>
        <v>215</v>
      </c>
      <c r="B218" s="894">
        <f t="shared" si="20"/>
        <v>85</v>
      </c>
      <c r="C218" s="894" t="s">
        <v>851</v>
      </c>
      <c r="D218" s="894"/>
      <c r="E218" s="1949">
        <v>45468</v>
      </c>
      <c r="F218" s="894" t="s">
        <v>191</v>
      </c>
      <c r="H218" s="317" t="str">
        <f>_xlfn.XLOOKUP(C218,'[36]Porta TN70'!$C:$C,'[36]Porta TN70'!$G:$G)</f>
        <v>Ö</v>
      </c>
    </row>
    <row r="219" spans="1:8">
      <c r="A219" s="894">
        <f t="shared" si="20"/>
        <v>216</v>
      </c>
      <c r="B219" s="894">
        <f t="shared" si="20"/>
        <v>86</v>
      </c>
      <c r="C219" s="894" t="s">
        <v>852</v>
      </c>
      <c r="D219" s="894"/>
      <c r="E219" s="1949">
        <v>45468</v>
      </c>
      <c r="F219" s="894" t="s">
        <v>191</v>
      </c>
      <c r="H219" s="317" t="str">
        <f>_xlfn.XLOOKUP(C219,'[36]Porta TN70'!$C:$C,'[36]Porta TN70'!$G:$G)</f>
        <v>Ö</v>
      </c>
    </row>
    <row r="220" spans="1:8">
      <c r="A220" s="894">
        <f t="shared" si="20"/>
        <v>217</v>
      </c>
      <c r="B220" s="894">
        <f t="shared" si="20"/>
        <v>87</v>
      </c>
      <c r="C220" s="894" t="s">
        <v>853</v>
      </c>
      <c r="D220" s="894"/>
      <c r="E220" s="1949">
        <v>45468</v>
      </c>
      <c r="F220" s="894" t="s">
        <v>191</v>
      </c>
      <c r="H220" s="317" t="str">
        <f>_xlfn.XLOOKUP(C220,'[36]Porta TN70'!$C:$C,'[36]Porta TN70'!$G:$G)</f>
        <v>Ö</v>
      </c>
    </row>
    <row r="221" spans="1:8">
      <c r="A221" s="894">
        <f t="shared" si="20"/>
        <v>218</v>
      </c>
      <c r="B221" s="894">
        <f t="shared" si="20"/>
        <v>88</v>
      </c>
      <c r="C221" s="894" t="s">
        <v>854</v>
      </c>
      <c r="D221" s="894"/>
      <c r="E221" s="1949">
        <v>45468</v>
      </c>
      <c r="F221" s="894" t="s">
        <v>191</v>
      </c>
      <c r="H221" s="317" t="str">
        <f>_xlfn.XLOOKUP(C221,'[36]Porta TN70'!$C:$C,'[36]Porta TN70'!$G:$G)</f>
        <v>Ö</v>
      </c>
    </row>
    <row r="222" spans="1:8">
      <c r="A222" s="894">
        <f t="shared" si="20"/>
        <v>219</v>
      </c>
      <c r="B222" s="894">
        <f t="shared" si="20"/>
        <v>89</v>
      </c>
      <c r="C222" s="894" t="s">
        <v>855</v>
      </c>
      <c r="D222" s="894"/>
      <c r="E222" s="1949">
        <v>45468</v>
      </c>
      <c r="F222" s="894" t="s">
        <v>191</v>
      </c>
      <c r="H222" s="317" t="str">
        <f>_xlfn.XLOOKUP(C222,'[36]Porta TN70'!$C:$C,'[36]Porta TN70'!$G:$G)</f>
        <v>Ö</v>
      </c>
    </row>
    <row r="223" spans="1:8">
      <c r="A223" s="894">
        <f t="shared" si="20"/>
        <v>220</v>
      </c>
      <c r="B223" s="894">
        <f t="shared" si="20"/>
        <v>90</v>
      </c>
      <c r="C223" s="894" t="s">
        <v>856</v>
      </c>
      <c r="D223" s="894"/>
      <c r="E223" s="1949">
        <v>45468</v>
      </c>
      <c r="F223" s="894" t="s">
        <v>191</v>
      </c>
      <c r="H223" s="317" t="str">
        <f>_xlfn.XLOOKUP(C223,'[36]Porta TN70'!$C:$C,'[36]Porta TN70'!$G:$G)</f>
        <v>Ö</v>
      </c>
    </row>
    <row r="224" spans="1:8">
      <c r="A224" s="894">
        <f t="shared" si="20"/>
        <v>221</v>
      </c>
      <c r="B224" s="894">
        <f t="shared" si="20"/>
        <v>91</v>
      </c>
      <c r="C224" s="894" t="s">
        <v>857</v>
      </c>
      <c r="D224" s="894"/>
      <c r="E224" s="1949">
        <v>45468</v>
      </c>
      <c r="F224" s="894" t="s">
        <v>191</v>
      </c>
      <c r="H224" s="317" t="str">
        <f>_xlfn.XLOOKUP(C224,'[36]Porta TN70'!$C:$C,'[36]Porta TN70'!$G:$G)</f>
        <v>Ö</v>
      </c>
    </row>
    <row r="225" spans="1:8">
      <c r="A225" s="894">
        <f t="shared" si="20"/>
        <v>222</v>
      </c>
      <c r="B225" s="894">
        <f t="shared" si="20"/>
        <v>92</v>
      </c>
      <c r="C225" s="894" t="s">
        <v>858</v>
      </c>
      <c r="D225" s="894"/>
      <c r="E225" s="1949">
        <v>45468</v>
      </c>
      <c r="F225" s="894" t="s">
        <v>191</v>
      </c>
      <c r="H225" s="317" t="str">
        <f>_xlfn.XLOOKUP(C225,'[36]Porta TN70'!$C:$C,'[36]Porta TN70'!$G:$G)</f>
        <v>Ö</v>
      </c>
    </row>
    <row r="226" spans="1:8">
      <c r="A226" s="894">
        <f t="shared" si="20"/>
        <v>223</v>
      </c>
      <c r="B226" s="894">
        <f t="shared" si="20"/>
        <v>93</v>
      </c>
      <c r="C226" s="894" t="s">
        <v>859</v>
      </c>
      <c r="D226" s="894"/>
      <c r="E226" s="1949">
        <v>45468</v>
      </c>
      <c r="F226" s="894" t="s">
        <v>191</v>
      </c>
      <c r="H226" s="317" t="str">
        <f>_xlfn.XLOOKUP(C226,'[36]Porta TN70'!$C:$C,'[36]Porta TN70'!$G:$G)</f>
        <v>Ö</v>
      </c>
    </row>
    <row r="227" spans="1:8">
      <c r="A227" s="894">
        <f t="shared" si="20"/>
        <v>224</v>
      </c>
      <c r="B227" s="894">
        <f t="shared" si="20"/>
        <v>94</v>
      </c>
      <c r="C227" s="894" t="s">
        <v>860</v>
      </c>
      <c r="D227" s="894"/>
      <c r="E227" s="1949">
        <v>45468</v>
      </c>
      <c r="F227" s="894" t="s">
        <v>191</v>
      </c>
      <c r="H227" s="317" t="str">
        <f>_xlfn.XLOOKUP(C227,'[36]Porta TN70'!$C:$C,'[36]Porta TN70'!$G:$G)</f>
        <v>Ö</v>
      </c>
    </row>
    <row r="228" spans="1:8">
      <c r="A228" s="894">
        <f t="shared" si="20"/>
        <v>225</v>
      </c>
      <c r="B228" s="894">
        <f t="shared" si="20"/>
        <v>95</v>
      </c>
      <c r="C228" s="894" t="s">
        <v>861</v>
      </c>
      <c r="D228" s="894"/>
      <c r="E228" s="1949">
        <v>45468</v>
      </c>
      <c r="F228" s="894" t="s">
        <v>191</v>
      </c>
      <c r="H228" s="317" t="str">
        <f>_xlfn.XLOOKUP(C228,'[36]Porta TN70'!$C:$C,'[36]Porta TN70'!$G:$G)</f>
        <v>Ö</v>
      </c>
    </row>
    <row r="229" spans="1:8">
      <c r="A229" s="894">
        <f t="shared" si="20"/>
        <v>226</v>
      </c>
      <c r="B229" s="894">
        <f t="shared" ref="A229:B325" si="21">B228+1</f>
        <v>96</v>
      </c>
      <c r="C229" s="894" t="s">
        <v>862</v>
      </c>
      <c r="D229" s="894"/>
      <c r="E229" s="1949">
        <v>45468</v>
      </c>
      <c r="F229" s="894" t="s">
        <v>191</v>
      </c>
      <c r="H229" s="317" t="str">
        <f>_xlfn.XLOOKUP(C229,'[36]Porta TN70'!$C:$C,'[36]Porta TN70'!$G:$G)</f>
        <v>Ö</v>
      </c>
    </row>
    <row r="230" spans="1:8">
      <c r="A230" s="894">
        <f t="shared" si="20"/>
        <v>227</v>
      </c>
      <c r="B230" s="894">
        <f t="shared" si="21"/>
        <v>97</v>
      </c>
      <c r="C230" s="894" t="s">
        <v>863</v>
      </c>
      <c r="D230" s="894"/>
      <c r="E230" s="1949">
        <v>45468</v>
      </c>
      <c r="F230" s="894" t="s">
        <v>191</v>
      </c>
      <c r="H230" s="317" t="str">
        <f>_xlfn.XLOOKUP(C230,'[36]Porta TN70'!$C:$C,'[36]Porta TN70'!$G:$G)</f>
        <v>Ö</v>
      </c>
    </row>
    <row r="231" spans="1:8">
      <c r="A231" s="894">
        <f t="shared" si="20"/>
        <v>228</v>
      </c>
      <c r="B231" s="894">
        <f t="shared" si="21"/>
        <v>98</v>
      </c>
      <c r="C231" s="894" t="s">
        <v>864</v>
      </c>
      <c r="D231" s="894"/>
      <c r="E231" s="1949">
        <v>45468</v>
      </c>
      <c r="F231" s="894" t="s">
        <v>191</v>
      </c>
      <c r="H231" s="317" t="str">
        <f>_xlfn.XLOOKUP(C231,'[36]Porta TN70'!$C:$C,'[36]Porta TN70'!$G:$G)</f>
        <v>Ö</v>
      </c>
    </row>
    <row r="232" spans="1:8">
      <c r="A232" s="894">
        <f t="shared" si="20"/>
        <v>229</v>
      </c>
      <c r="B232" s="894">
        <f t="shared" si="21"/>
        <v>99</v>
      </c>
      <c r="C232" s="894" t="s">
        <v>865</v>
      </c>
      <c r="D232" s="894"/>
      <c r="E232" s="1949">
        <v>45468</v>
      </c>
      <c r="F232" s="894" t="s">
        <v>191</v>
      </c>
      <c r="H232" s="317" t="str">
        <f>_xlfn.XLOOKUP(C232,'[36]Porta TN70'!$C:$C,'[36]Porta TN70'!$G:$G)</f>
        <v>Ö</v>
      </c>
    </row>
    <row r="233" spans="1:8">
      <c r="A233" s="894">
        <f t="shared" si="20"/>
        <v>230</v>
      </c>
      <c r="B233" s="894">
        <f t="shared" si="21"/>
        <v>100</v>
      </c>
      <c r="C233" s="894" t="s">
        <v>866</v>
      </c>
      <c r="D233" s="894"/>
      <c r="E233" s="1949">
        <v>45468</v>
      </c>
      <c r="F233" s="894" t="s">
        <v>191</v>
      </c>
      <c r="H233" s="317" t="str">
        <f>_xlfn.XLOOKUP(C233,'[36]Porta TN70'!$C:$C,'[36]Porta TN70'!$G:$G)</f>
        <v>Ö</v>
      </c>
    </row>
    <row r="234" spans="1:8">
      <c r="A234" s="894">
        <f t="shared" si="20"/>
        <v>231</v>
      </c>
      <c r="B234" s="894">
        <f t="shared" si="21"/>
        <v>101</v>
      </c>
      <c r="C234" s="894" t="s">
        <v>867</v>
      </c>
      <c r="D234" s="894"/>
      <c r="E234" s="1949">
        <v>45468</v>
      </c>
      <c r="F234" s="894" t="s">
        <v>191</v>
      </c>
      <c r="H234" s="317" t="str">
        <f>_xlfn.XLOOKUP(C234,'[36]Porta TN70'!$C:$C,'[36]Porta TN70'!$G:$G)</f>
        <v>Ö</v>
      </c>
    </row>
    <row r="235" spans="1:8">
      <c r="A235" s="894">
        <f t="shared" si="20"/>
        <v>232</v>
      </c>
      <c r="B235" s="894">
        <f t="shared" si="21"/>
        <v>102</v>
      </c>
      <c r="C235" s="894" t="s">
        <v>868</v>
      </c>
      <c r="D235" s="894"/>
      <c r="E235" s="1949">
        <v>45468</v>
      </c>
      <c r="F235" s="894" t="s">
        <v>191</v>
      </c>
      <c r="H235" s="317" t="str">
        <f>_xlfn.XLOOKUP(C235,'[36]Porta TN70'!$C:$C,'[36]Porta TN70'!$G:$G)</f>
        <v>Ö</v>
      </c>
    </row>
    <row r="236" spans="1:8">
      <c r="A236" s="894">
        <f t="shared" si="20"/>
        <v>233</v>
      </c>
      <c r="B236" s="894">
        <f t="shared" si="21"/>
        <v>103</v>
      </c>
      <c r="C236" s="894" t="s">
        <v>869</v>
      </c>
      <c r="D236" s="894"/>
      <c r="E236" s="1949">
        <v>45468</v>
      </c>
      <c r="F236" s="894" t="s">
        <v>191</v>
      </c>
      <c r="H236" s="317" t="str">
        <f>_xlfn.XLOOKUP(C236,'[36]Porta TN70'!$C:$C,'[36]Porta TN70'!$G:$G)</f>
        <v>Ö</v>
      </c>
    </row>
    <row r="237" spans="1:8">
      <c r="A237" s="894">
        <f t="shared" si="20"/>
        <v>234</v>
      </c>
      <c r="B237" s="894">
        <f t="shared" si="21"/>
        <v>104</v>
      </c>
      <c r="C237" s="894" t="s">
        <v>870</v>
      </c>
      <c r="D237" s="894"/>
      <c r="E237" s="1949">
        <v>45468</v>
      </c>
      <c r="F237" s="894" t="s">
        <v>191</v>
      </c>
      <c r="H237" s="317" t="str">
        <f>_xlfn.XLOOKUP(C237,'[36]Porta TN70'!$C:$C,'[36]Porta TN70'!$G:$G)</f>
        <v>Ö</v>
      </c>
    </row>
    <row r="238" spans="1:8">
      <c r="A238" s="894">
        <f t="shared" si="20"/>
        <v>235</v>
      </c>
      <c r="B238" s="894">
        <f t="shared" si="21"/>
        <v>105</v>
      </c>
      <c r="C238" s="894" t="s">
        <v>871</v>
      </c>
      <c r="D238" s="894"/>
      <c r="E238" s="1949">
        <v>45468</v>
      </c>
      <c r="F238" s="894" t="s">
        <v>191</v>
      </c>
      <c r="H238" s="317" t="str">
        <f>_xlfn.XLOOKUP(C238,'[36]Porta TN70'!$C:$C,'[36]Porta TN70'!$G:$G)</f>
        <v>Ö</v>
      </c>
    </row>
    <row r="239" spans="1:8">
      <c r="A239" s="894">
        <f t="shared" si="20"/>
        <v>236</v>
      </c>
      <c r="B239" s="894">
        <f t="shared" si="21"/>
        <v>106</v>
      </c>
      <c r="C239" s="894" t="s">
        <v>872</v>
      </c>
      <c r="D239" s="894"/>
      <c r="E239" s="1949">
        <v>45468</v>
      </c>
      <c r="F239" s="894" t="s">
        <v>191</v>
      </c>
      <c r="H239" s="317" t="str">
        <f>_xlfn.XLOOKUP(C239,'[36]Porta TN70'!$C:$C,'[36]Porta TN70'!$G:$G)</f>
        <v>Ö</v>
      </c>
    </row>
    <row r="240" spans="1:8">
      <c r="A240" s="894">
        <f t="shared" si="20"/>
        <v>237</v>
      </c>
      <c r="B240" s="894">
        <f t="shared" si="21"/>
        <v>107</v>
      </c>
      <c r="C240" s="894" t="s">
        <v>873</v>
      </c>
      <c r="D240" s="894"/>
      <c r="E240" s="1949">
        <v>45468</v>
      </c>
      <c r="F240" s="894" t="s">
        <v>191</v>
      </c>
      <c r="H240" s="317" t="str">
        <f>_xlfn.XLOOKUP(C240,'[36]Porta TN70'!$C:$C,'[36]Porta TN70'!$G:$G)</f>
        <v>Ö</v>
      </c>
    </row>
    <row r="241" spans="1:8">
      <c r="A241" s="894">
        <f t="shared" si="20"/>
        <v>238</v>
      </c>
      <c r="B241" s="894">
        <f t="shared" si="21"/>
        <v>108</v>
      </c>
      <c r="C241" s="894" t="s">
        <v>874</v>
      </c>
      <c r="D241" s="894"/>
      <c r="E241" s="1949">
        <v>45468</v>
      </c>
      <c r="F241" s="894" t="s">
        <v>191</v>
      </c>
      <c r="H241" s="317" t="str">
        <f>_xlfn.XLOOKUP(C241,'[36]Porta TN70'!$C:$C,'[36]Porta TN70'!$G:$G)</f>
        <v>Ö</v>
      </c>
    </row>
    <row r="242" spans="1:8">
      <c r="A242" s="894">
        <f t="shared" si="20"/>
        <v>239</v>
      </c>
      <c r="B242" s="894">
        <f t="shared" si="21"/>
        <v>109</v>
      </c>
      <c r="C242" s="894" t="s">
        <v>875</v>
      </c>
      <c r="D242" s="894"/>
      <c r="E242" s="1949">
        <v>45468</v>
      </c>
      <c r="F242" s="894" t="s">
        <v>191</v>
      </c>
      <c r="H242" s="317" t="str">
        <f>_xlfn.XLOOKUP(C242,'[36]Porta TN70'!$C:$C,'[36]Porta TN70'!$G:$G)</f>
        <v>Ö</v>
      </c>
    </row>
    <row r="243" spans="1:8">
      <c r="A243" s="894">
        <f t="shared" si="20"/>
        <v>240</v>
      </c>
      <c r="B243" s="894">
        <f t="shared" si="21"/>
        <v>110</v>
      </c>
      <c r="C243" s="894" t="s">
        <v>876</v>
      </c>
      <c r="D243" s="894"/>
      <c r="E243" s="1949">
        <v>45468</v>
      </c>
      <c r="F243" s="894" t="s">
        <v>191</v>
      </c>
      <c r="H243" s="317" t="str">
        <f>_xlfn.XLOOKUP(C243,'[36]Porta TN70'!$C:$C,'[36]Porta TN70'!$G:$G)</f>
        <v>Ö</v>
      </c>
    </row>
    <row r="244" spans="1:8">
      <c r="A244" s="894">
        <f t="shared" si="20"/>
        <v>241</v>
      </c>
      <c r="B244" s="894">
        <f t="shared" si="21"/>
        <v>111</v>
      </c>
      <c r="C244" s="894" t="s">
        <v>877</v>
      </c>
      <c r="D244" s="894"/>
      <c r="E244" s="1949">
        <v>45468</v>
      </c>
      <c r="F244" s="894" t="s">
        <v>191</v>
      </c>
      <c r="H244" s="317" t="str">
        <f>_xlfn.XLOOKUP(C244,'[36]Porta TN70'!$C:$C,'[36]Porta TN70'!$G:$G)</f>
        <v>Ö</v>
      </c>
    </row>
    <row r="245" spans="1:8">
      <c r="A245" s="894">
        <f t="shared" si="20"/>
        <v>242</v>
      </c>
      <c r="B245" s="894">
        <f t="shared" si="21"/>
        <v>112</v>
      </c>
      <c r="C245" s="894" t="s">
        <v>878</v>
      </c>
      <c r="D245" s="894"/>
      <c r="E245" s="1949">
        <v>45468</v>
      </c>
      <c r="F245" s="894" t="s">
        <v>191</v>
      </c>
      <c r="H245" s="317" t="str">
        <f>_xlfn.XLOOKUP(C245,'[36]Porta TN70'!$C:$C,'[36]Porta TN70'!$G:$G)</f>
        <v>Ö</v>
      </c>
    </row>
    <row r="246" spans="1:8">
      <c r="A246" s="894">
        <f t="shared" si="20"/>
        <v>243</v>
      </c>
      <c r="B246" s="894">
        <f t="shared" si="21"/>
        <v>113</v>
      </c>
      <c r="C246" s="894" t="s">
        <v>879</v>
      </c>
      <c r="D246" s="894"/>
      <c r="E246" s="1949">
        <v>45468</v>
      </c>
      <c r="F246" s="894" t="s">
        <v>191</v>
      </c>
      <c r="H246" s="317" t="str">
        <f>_xlfn.XLOOKUP(C246,'[36]Porta TN70'!$C:$C,'[36]Porta TN70'!$G:$G)</f>
        <v>Ö</v>
      </c>
    </row>
    <row r="247" spans="1:8">
      <c r="A247" s="894">
        <f t="shared" si="20"/>
        <v>244</v>
      </c>
      <c r="B247" s="894">
        <f t="shared" si="21"/>
        <v>114</v>
      </c>
      <c r="C247" s="894" t="s">
        <v>880</v>
      </c>
      <c r="D247" s="894"/>
      <c r="E247" s="1949">
        <v>45468</v>
      </c>
      <c r="F247" s="894" t="s">
        <v>191</v>
      </c>
      <c r="H247" s="317" t="str">
        <f>_xlfn.XLOOKUP(C247,'[36]Porta TN70'!$C:$C,'[36]Porta TN70'!$G:$G)</f>
        <v>Ö</v>
      </c>
    </row>
    <row r="248" spans="1:8">
      <c r="A248" s="894">
        <f t="shared" si="20"/>
        <v>245</v>
      </c>
      <c r="B248" s="894">
        <f t="shared" si="21"/>
        <v>115</v>
      </c>
      <c r="C248" s="894" t="s">
        <v>881</v>
      </c>
      <c r="D248" s="894"/>
      <c r="E248" s="1949">
        <v>45468</v>
      </c>
      <c r="F248" s="894" t="s">
        <v>191</v>
      </c>
      <c r="H248" s="317" t="str">
        <f>_xlfn.XLOOKUP(C248,'[36]Porta TN70'!$C:$C,'[36]Porta TN70'!$G:$G)</f>
        <v>Ö</v>
      </c>
    </row>
    <row r="249" spans="1:8">
      <c r="A249" s="894">
        <f t="shared" si="20"/>
        <v>246</v>
      </c>
      <c r="B249" s="894">
        <f t="shared" si="21"/>
        <v>116</v>
      </c>
      <c r="C249" s="894" t="s">
        <v>882</v>
      </c>
      <c r="D249" s="894"/>
      <c r="E249" s="1949">
        <v>45468</v>
      </c>
      <c r="F249" s="894" t="s">
        <v>191</v>
      </c>
      <c r="H249" s="317" t="str">
        <f>_xlfn.XLOOKUP(C249,'[36]Porta TN70'!$C:$C,'[36]Porta TN70'!$G:$G)</f>
        <v>Ö</v>
      </c>
    </row>
    <row r="250" spans="1:8">
      <c r="A250" s="894">
        <f t="shared" si="20"/>
        <v>247</v>
      </c>
      <c r="B250" s="894">
        <f t="shared" si="21"/>
        <v>117</v>
      </c>
      <c r="C250" s="894" t="s">
        <v>883</v>
      </c>
      <c r="D250" s="894"/>
      <c r="E250" s="1949">
        <v>45468</v>
      </c>
      <c r="F250" s="894" t="s">
        <v>191</v>
      </c>
      <c r="H250" s="317" t="e">
        <f>_xlfn.XLOOKUP(#REF!,'[36]Porta TN70'!$C:$C,'[36]Porta TN70'!$G:$G)</f>
        <v>#REF!</v>
      </c>
    </row>
    <row r="251" spans="1:8">
      <c r="A251" s="894">
        <f t="shared" si="20"/>
        <v>248</v>
      </c>
      <c r="B251" s="894">
        <f t="shared" si="21"/>
        <v>118</v>
      </c>
      <c r="C251" s="894" t="s">
        <v>884</v>
      </c>
      <c r="D251" s="894"/>
      <c r="E251" s="1949">
        <v>45468</v>
      </c>
      <c r="F251" s="894" t="s">
        <v>191</v>
      </c>
      <c r="H251" s="317" t="str">
        <f>_xlfn.XLOOKUP(C250,'[36]Porta TN70'!$C:$C,'[36]Porta TN70'!$G:$G)</f>
        <v>Ö</v>
      </c>
    </row>
    <row r="252" spans="1:8">
      <c r="A252" s="894">
        <f t="shared" si="20"/>
        <v>249</v>
      </c>
      <c r="B252" s="894">
        <f t="shared" si="21"/>
        <v>119</v>
      </c>
      <c r="C252" s="894" t="s">
        <v>885</v>
      </c>
      <c r="D252" s="894"/>
      <c r="E252" s="1949">
        <v>45468</v>
      </c>
      <c r="F252" s="894" t="s">
        <v>191</v>
      </c>
      <c r="H252" s="317" t="str">
        <f>_xlfn.XLOOKUP(C251,'[36]Porta TN70'!$C:$C,'[36]Porta TN70'!$G:$G)</f>
        <v>Ö</v>
      </c>
    </row>
    <row r="253" spans="1:8">
      <c r="A253" s="894">
        <f t="shared" si="20"/>
        <v>250</v>
      </c>
      <c r="B253" s="894">
        <v>1</v>
      </c>
      <c r="C253" s="894" t="s">
        <v>886</v>
      </c>
      <c r="D253" s="894"/>
      <c r="E253" s="1949">
        <v>45498</v>
      </c>
      <c r="F253" s="894" t="s">
        <v>191</v>
      </c>
      <c r="H253" s="317" t="str">
        <f>_xlfn.XLOOKUP(C252,'[36]Porta TN70'!$C:$C,'[36]Porta TN70'!$G:$G)</f>
        <v>Ö</v>
      </c>
    </row>
    <row r="254" spans="1:8">
      <c r="A254" s="894">
        <f t="shared" si="20"/>
        <v>251</v>
      </c>
      <c r="B254" s="894">
        <f>B253+1</f>
        <v>2</v>
      </c>
      <c r="C254" s="894" t="s">
        <v>887</v>
      </c>
      <c r="D254" s="894"/>
      <c r="E254" s="1949">
        <v>45498</v>
      </c>
      <c r="F254" s="894" t="s">
        <v>191</v>
      </c>
      <c r="H254" s="317" t="str">
        <f>_xlfn.XLOOKUP(C253,'[36]Porta TN70'!$C:$C,'[36]Porta TN70'!$G:$G)</f>
        <v>Ö</v>
      </c>
    </row>
    <row r="255" spans="1:8">
      <c r="A255" s="894">
        <f t="shared" si="20"/>
        <v>252</v>
      </c>
      <c r="B255" s="894">
        <f t="shared" si="21"/>
        <v>3</v>
      </c>
      <c r="C255" s="894" t="s">
        <v>888</v>
      </c>
      <c r="D255" s="894"/>
      <c r="E255" s="1949">
        <v>45498</v>
      </c>
      <c r="F255" s="894" t="s">
        <v>191</v>
      </c>
      <c r="H255" s="317" t="str">
        <f>_xlfn.XLOOKUP(C254,'[36]Porta TN70'!$C:$C,'[36]Porta TN70'!$G:$G)</f>
        <v>Ö</v>
      </c>
    </row>
    <row r="256" spans="1:8">
      <c r="A256" s="894">
        <f t="shared" si="20"/>
        <v>253</v>
      </c>
      <c r="B256" s="894">
        <f t="shared" si="21"/>
        <v>4</v>
      </c>
      <c r="C256" s="894" t="s">
        <v>889</v>
      </c>
      <c r="D256" s="894"/>
      <c r="E256" s="1949">
        <v>45498</v>
      </c>
      <c r="F256" s="894" t="s">
        <v>191</v>
      </c>
      <c r="H256" s="317" t="str">
        <f>_xlfn.XLOOKUP(C255,'[36]Porta TN70'!$C:$C,'[36]Porta TN70'!$G:$G)</f>
        <v>Ö</v>
      </c>
    </row>
    <row r="257" spans="1:8">
      <c r="A257" s="894">
        <f t="shared" si="20"/>
        <v>254</v>
      </c>
      <c r="B257" s="894">
        <f t="shared" si="21"/>
        <v>5</v>
      </c>
      <c r="C257" s="894" t="s">
        <v>890</v>
      </c>
      <c r="D257" s="894"/>
      <c r="E257" s="1949">
        <v>45498</v>
      </c>
      <c r="F257" s="894" t="s">
        <v>191</v>
      </c>
      <c r="H257" s="317" t="str">
        <f>_xlfn.XLOOKUP(C256,'[36]Porta TN70'!$C:$C,'[36]Porta TN70'!$G:$G)</f>
        <v>Ö</v>
      </c>
    </row>
    <row r="258" spans="1:8">
      <c r="A258" s="894">
        <f t="shared" si="20"/>
        <v>255</v>
      </c>
      <c r="B258" s="894">
        <f t="shared" si="21"/>
        <v>6</v>
      </c>
      <c r="C258" s="894" t="s">
        <v>891</v>
      </c>
      <c r="D258" s="894"/>
      <c r="E258" s="1949">
        <v>45498</v>
      </c>
      <c r="F258" s="894" t="s">
        <v>191</v>
      </c>
      <c r="H258" s="317" t="str">
        <f>_xlfn.XLOOKUP(C257,'[36]Porta TN70'!$C:$C,'[36]Porta TN70'!$G:$G)</f>
        <v>Ö</v>
      </c>
    </row>
    <row r="259" spans="1:8">
      <c r="A259" s="894">
        <f t="shared" si="20"/>
        <v>256</v>
      </c>
      <c r="B259" s="894">
        <f t="shared" si="21"/>
        <v>7</v>
      </c>
      <c r="C259" s="894" t="s">
        <v>892</v>
      </c>
      <c r="D259" s="894"/>
      <c r="E259" s="1949">
        <v>45498</v>
      </c>
      <c r="F259" s="894" t="s">
        <v>191</v>
      </c>
      <c r="H259" s="317" t="str">
        <f>_xlfn.XLOOKUP(C258,'[36]Porta TN70'!$C:$C,'[36]Porta TN70'!$G:$G)</f>
        <v>Ö</v>
      </c>
    </row>
    <row r="260" spans="1:8">
      <c r="A260" s="894">
        <f t="shared" si="20"/>
        <v>257</v>
      </c>
      <c r="B260" s="894">
        <f t="shared" si="21"/>
        <v>8</v>
      </c>
      <c r="C260" s="894" t="s">
        <v>893</v>
      </c>
      <c r="D260" s="894"/>
      <c r="E260" s="1949">
        <v>45498</v>
      </c>
      <c r="F260" s="894" t="s">
        <v>191</v>
      </c>
      <c r="H260" s="317" t="str">
        <f>_xlfn.XLOOKUP(C259,'[36]Porta TN70'!$C:$C,'[36]Porta TN70'!$G:$G)</f>
        <v>Ö</v>
      </c>
    </row>
    <row r="261" spans="1:8">
      <c r="A261" s="894">
        <f t="shared" si="20"/>
        <v>258</v>
      </c>
      <c r="B261" s="894">
        <f t="shared" si="21"/>
        <v>9</v>
      </c>
      <c r="C261" s="894" t="s">
        <v>894</v>
      </c>
      <c r="D261" s="894"/>
      <c r="E261" s="1949">
        <v>45498</v>
      </c>
      <c r="F261" s="894" t="s">
        <v>191</v>
      </c>
      <c r="H261" s="317" t="str">
        <f>_xlfn.XLOOKUP(C260,'[36]Porta TN70'!$C:$C,'[36]Porta TN70'!$G:$G)</f>
        <v>Ö</v>
      </c>
    </row>
    <row r="262" spans="1:8">
      <c r="A262" s="894">
        <f t="shared" si="21"/>
        <v>259</v>
      </c>
      <c r="B262" s="894">
        <f t="shared" si="21"/>
        <v>10</v>
      </c>
      <c r="C262" s="894" t="s">
        <v>895</v>
      </c>
      <c r="D262" s="894"/>
      <c r="E262" s="1949">
        <v>45498</v>
      </c>
      <c r="F262" s="894" t="s">
        <v>191</v>
      </c>
      <c r="H262" s="317" t="str">
        <f>_xlfn.XLOOKUP(C261,'[36]Porta TN70'!$C:$C,'[36]Porta TN70'!$G:$G)</f>
        <v>Ö</v>
      </c>
    </row>
    <row r="263" spans="1:8">
      <c r="A263" s="894">
        <f t="shared" si="21"/>
        <v>260</v>
      </c>
      <c r="B263" s="894">
        <f t="shared" si="21"/>
        <v>11</v>
      </c>
      <c r="C263" s="894" t="s">
        <v>896</v>
      </c>
      <c r="D263" s="894"/>
      <c r="E263" s="1949">
        <v>45498</v>
      </c>
      <c r="F263" s="894" t="s">
        <v>191</v>
      </c>
      <c r="H263" s="317" t="str">
        <f>_xlfn.XLOOKUP(C262,'[36]Porta TN70'!$C:$C,'[36]Porta TN70'!$G:$G)</f>
        <v>Ö</v>
      </c>
    </row>
    <row r="264" spans="1:8">
      <c r="A264" s="894">
        <f t="shared" si="21"/>
        <v>261</v>
      </c>
      <c r="B264" s="894">
        <f t="shared" si="21"/>
        <v>12</v>
      </c>
      <c r="C264" s="894" t="s">
        <v>897</v>
      </c>
      <c r="D264" s="894"/>
      <c r="E264" s="1949">
        <v>45498</v>
      </c>
      <c r="F264" s="894" t="s">
        <v>191</v>
      </c>
      <c r="H264" s="317" t="str">
        <f>_xlfn.XLOOKUP(C263,'[36]Porta TN70'!$C:$C,'[36]Porta TN70'!$G:$G)</f>
        <v>Ö</v>
      </c>
    </row>
    <row r="265" spans="1:8">
      <c r="A265" s="894">
        <f t="shared" si="21"/>
        <v>262</v>
      </c>
      <c r="B265" s="894">
        <f t="shared" si="21"/>
        <v>13</v>
      </c>
      <c r="C265" s="894" t="s">
        <v>898</v>
      </c>
      <c r="D265" s="894"/>
      <c r="E265" s="1949">
        <v>45498</v>
      </c>
      <c r="F265" s="894" t="s">
        <v>191</v>
      </c>
      <c r="H265" s="317" t="str">
        <f>_xlfn.XLOOKUP(C264,'[36]Porta TN70'!$C:$C,'[36]Porta TN70'!$G:$G)</f>
        <v>Ö</v>
      </c>
    </row>
    <row r="266" spans="1:8">
      <c r="A266" s="894">
        <f t="shared" si="21"/>
        <v>263</v>
      </c>
      <c r="B266" s="894">
        <f t="shared" si="21"/>
        <v>14</v>
      </c>
      <c r="C266" s="894" t="s">
        <v>899</v>
      </c>
      <c r="D266" s="894"/>
      <c r="E266" s="1949">
        <v>45498</v>
      </c>
      <c r="F266" s="894" t="s">
        <v>191</v>
      </c>
      <c r="H266" s="317" t="str">
        <f>_xlfn.XLOOKUP(C265,'[36]Porta TN70'!$C:$C,'[36]Porta TN70'!$G:$G)</f>
        <v>Ö</v>
      </c>
    </row>
    <row r="267" spans="1:8">
      <c r="A267" s="894">
        <f t="shared" si="21"/>
        <v>264</v>
      </c>
      <c r="B267" s="894">
        <f t="shared" si="21"/>
        <v>15</v>
      </c>
      <c r="C267" s="894" t="s">
        <v>900</v>
      </c>
      <c r="D267" s="894"/>
      <c r="E267" s="1949">
        <v>45498</v>
      </c>
      <c r="F267" s="894" t="s">
        <v>191</v>
      </c>
      <c r="H267" s="317" t="str">
        <f>_xlfn.XLOOKUP(C266,'[36]Porta TN70'!$C:$C,'[36]Porta TN70'!$G:$G)</f>
        <v>Ö</v>
      </c>
    </row>
    <row r="268" spans="1:8">
      <c r="A268" s="894">
        <f t="shared" si="21"/>
        <v>265</v>
      </c>
      <c r="B268" s="894">
        <f t="shared" si="21"/>
        <v>16</v>
      </c>
      <c r="C268" s="894" t="s">
        <v>901</v>
      </c>
      <c r="D268" s="894"/>
      <c r="E268" s="1949">
        <v>45498</v>
      </c>
      <c r="F268" s="894" t="s">
        <v>191</v>
      </c>
      <c r="H268" s="317" t="str">
        <f>_xlfn.XLOOKUP(C267,'[36]Porta TN70'!$C:$C,'[36]Porta TN70'!$G:$G)</f>
        <v>Ö</v>
      </c>
    </row>
    <row r="269" spans="1:8">
      <c r="A269" s="894">
        <f t="shared" si="21"/>
        <v>266</v>
      </c>
      <c r="B269" s="894">
        <f t="shared" si="21"/>
        <v>17</v>
      </c>
      <c r="C269" s="894" t="s">
        <v>902</v>
      </c>
      <c r="D269" s="894"/>
      <c r="E269" s="1949">
        <v>45498</v>
      </c>
      <c r="F269" s="894" t="s">
        <v>191</v>
      </c>
      <c r="H269" s="317" t="str">
        <f>_xlfn.XLOOKUP(C268,'[36]Porta TN70'!$C:$C,'[36]Porta TN70'!$G:$G)</f>
        <v>Ö</v>
      </c>
    </row>
    <row r="270" spans="1:8">
      <c r="A270" s="894">
        <f t="shared" si="21"/>
        <v>267</v>
      </c>
      <c r="B270" s="894">
        <f t="shared" si="21"/>
        <v>18</v>
      </c>
      <c r="C270" s="894" t="s">
        <v>903</v>
      </c>
      <c r="D270" s="894"/>
      <c r="E270" s="1949">
        <v>45498</v>
      </c>
      <c r="F270" s="894" t="s">
        <v>191</v>
      </c>
      <c r="H270" s="317" t="str">
        <f>_xlfn.XLOOKUP(C269,'[36]Porta TN70'!$C:$C,'[36]Porta TN70'!$G:$G)</f>
        <v>Ö</v>
      </c>
    </row>
    <row r="271" spans="1:8">
      <c r="A271" s="894">
        <f t="shared" si="21"/>
        <v>268</v>
      </c>
      <c r="B271" s="894">
        <f t="shared" si="21"/>
        <v>19</v>
      </c>
      <c r="C271" s="894" t="s">
        <v>904</v>
      </c>
      <c r="D271" s="894"/>
      <c r="E271" s="1949">
        <v>45498</v>
      </c>
      <c r="F271" s="894" t="s">
        <v>191</v>
      </c>
      <c r="H271" s="317" t="str">
        <f>_xlfn.XLOOKUP(C270,'[36]Porta TN70'!$C:$C,'[36]Porta TN70'!$G:$G)</f>
        <v>Ö</v>
      </c>
    </row>
    <row r="272" spans="1:8">
      <c r="A272" s="894">
        <f t="shared" si="21"/>
        <v>269</v>
      </c>
      <c r="B272" s="894">
        <f t="shared" si="21"/>
        <v>20</v>
      </c>
      <c r="C272" s="894" t="s">
        <v>905</v>
      </c>
      <c r="D272" s="894"/>
      <c r="E272" s="1949">
        <v>45498</v>
      </c>
      <c r="F272" s="894" t="s">
        <v>191</v>
      </c>
      <c r="H272" s="317" t="str">
        <f>_xlfn.XLOOKUP(C271,'[36]Porta TN70'!$C:$C,'[36]Porta TN70'!$G:$G)</f>
        <v>Ö</v>
      </c>
    </row>
    <row r="273" spans="1:8">
      <c r="A273" s="894">
        <f t="shared" si="21"/>
        <v>270</v>
      </c>
      <c r="B273" s="894">
        <f t="shared" si="21"/>
        <v>21</v>
      </c>
      <c r="C273" s="894" t="s">
        <v>906</v>
      </c>
      <c r="D273" s="894"/>
      <c r="E273" s="1949">
        <v>45498</v>
      </c>
      <c r="F273" s="894" t="s">
        <v>191</v>
      </c>
      <c r="H273" s="317" t="str">
        <f>_xlfn.XLOOKUP(C272,'[36]Porta TN70'!$C:$C,'[36]Porta TN70'!$G:$G)</f>
        <v>Ö</v>
      </c>
    </row>
    <row r="274" spans="1:8">
      <c r="A274" s="894">
        <f t="shared" si="21"/>
        <v>271</v>
      </c>
      <c r="B274" s="894">
        <f t="shared" si="21"/>
        <v>22</v>
      </c>
      <c r="C274" s="894" t="s">
        <v>907</v>
      </c>
      <c r="D274" s="894"/>
      <c r="E274" s="1949">
        <v>45498</v>
      </c>
      <c r="F274" s="894" t="s">
        <v>191</v>
      </c>
      <c r="H274" s="317" t="str">
        <f>_xlfn.XLOOKUP(C273,'[36]Porta TN70'!$C:$C,'[36]Porta TN70'!$G:$G)</f>
        <v>Ö</v>
      </c>
    </row>
    <row r="275" spans="1:8">
      <c r="A275" s="894">
        <f t="shared" si="21"/>
        <v>272</v>
      </c>
      <c r="B275" s="894">
        <f t="shared" si="21"/>
        <v>23</v>
      </c>
      <c r="C275" s="894" t="s">
        <v>908</v>
      </c>
      <c r="D275" s="894"/>
      <c r="E275" s="1949">
        <v>45498</v>
      </c>
      <c r="F275" s="894" t="s">
        <v>191</v>
      </c>
      <c r="H275" s="317" t="str">
        <f>_xlfn.XLOOKUP(C274,'[36]Porta TN70'!$C:$C,'[36]Porta TN70'!$G:$G)</f>
        <v>Ö</v>
      </c>
    </row>
    <row r="276" spans="1:8">
      <c r="A276" s="894">
        <f t="shared" si="21"/>
        <v>273</v>
      </c>
      <c r="B276" s="894">
        <f t="shared" si="21"/>
        <v>24</v>
      </c>
      <c r="C276" s="894" t="s">
        <v>909</v>
      </c>
      <c r="D276" s="894"/>
      <c r="E276" s="1949">
        <v>45498</v>
      </c>
      <c r="F276" s="894" t="s">
        <v>191</v>
      </c>
      <c r="H276" s="317" t="str">
        <f>_xlfn.XLOOKUP(C275,'[36]Porta TN70'!$C:$C,'[36]Porta TN70'!$G:$G)</f>
        <v>Ö</v>
      </c>
    </row>
    <row r="277" spans="1:8">
      <c r="A277" s="894">
        <f t="shared" si="21"/>
        <v>274</v>
      </c>
      <c r="B277" s="894">
        <f t="shared" si="21"/>
        <v>25</v>
      </c>
      <c r="C277" s="894" t="s">
        <v>910</v>
      </c>
      <c r="D277" s="894"/>
      <c r="E277" s="1949">
        <v>45498</v>
      </c>
      <c r="F277" s="894" t="s">
        <v>191</v>
      </c>
      <c r="H277" s="317" t="str">
        <f>_xlfn.XLOOKUP(C276,'[36]Porta TN70'!$C:$C,'[36]Porta TN70'!$G:$G)</f>
        <v>Ö</v>
      </c>
    </row>
    <row r="278" spans="1:8">
      <c r="A278" s="894">
        <f t="shared" si="21"/>
        <v>275</v>
      </c>
      <c r="B278" s="894">
        <f t="shared" si="21"/>
        <v>26</v>
      </c>
      <c r="C278" s="894" t="s">
        <v>911</v>
      </c>
      <c r="D278" s="894"/>
      <c r="E278" s="1949">
        <v>45498</v>
      </c>
      <c r="F278" s="894" t="s">
        <v>191</v>
      </c>
      <c r="H278" s="317" t="str">
        <f>_xlfn.XLOOKUP(C277,'[36]Porta TN70'!$C:$C,'[36]Porta TN70'!$G:$G)</f>
        <v>Ö</v>
      </c>
    </row>
    <row r="279" spans="1:8">
      <c r="A279" s="894">
        <f t="shared" si="21"/>
        <v>276</v>
      </c>
      <c r="B279" s="894">
        <f t="shared" si="21"/>
        <v>27</v>
      </c>
      <c r="C279" s="894" t="s">
        <v>912</v>
      </c>
      <c r="D279" s="894"/>
      <c r="E279" s="1949">
        <v>45498</v>
      </c>
      <c r="F279" s="894" t="s">
        <v>191</v>
      </c>
      <c r="H279" s="317" t="str">
        <f>_xlfn.XLOOKUP(C278,'[36]Porta TN70'!$C:$C,'[36]Porta TN70'!$G:$G)</f>
        <v>Ö</v>
      </c>
    </row>
    <row r="280" spans="1:8">
      <c r="A280" s="894">
        <f t="shared" si="21"/>
        <v>277</v>
      </c>
      <c r="B280" s="894">
        <f t="shared" si="21"/>
        <v>28</v>
      </c>
      <c r="C280" s="894" t="s">
        <v>913</v>
      </c>
      <c r="D280" s="894"/>
      <c r="E280" s="1949">
        <v>45498</v>
      </c>
      <c r="F280" s="894" t="s">
        <v>191</v>
      </c>
      <c r="H280" s="317" t="str">
        <f>_xlfn.XLOOKUP(C279,'[36]Porta TN70'!$C:$C,'[36]Porta TN70'!$G:$G)</f>
        <v>Ö</v>
      </c>
    </row>
    <row r="281" spans="1:8">
      <c r="A281" s="894">
        <f t="shared" si="21"/>
        <v>278</v>
      </c>
      <c r="B281" s="894">
        <f t="shared" si="21"/>
        <v>29</v>
      </c>
      <c r="C281" s="894" t="s">
        <v>914</v>
      </c>
      <c r="D281" s="894"/>
      <c r="E281" s="1949">
        <v>45498</v>
      </c>
      <c r="F281" s="894" t="s">
        <v>191</v>
      </c>
      <c r="H281" s="317" t="str">
        <f>_xlfn.XLOOKUP(C280,'[36]Porta TN70'!$C:$C,'[36]Porta TN70'!$G:$G)</f>
        <v>Ö</v>
      </c>
    </row>
    <row r="282" spans="1:8">
      <c r="A282" s="894">
        <f t="shared" si="21"/>
        <v>279</v>
      </c>
      <c r="B282" s="894">
        <f t="shared" si="21"/>
        <v>30</v>
      </c>
      <c r="C282" s="894" t="s">
        <v>915</v>
      </c>
      <c r="D282" s="894"/>
      <c r="E282" s="1949">
        <v>45498</v>
      </c>
      <c r="F282" s="894" t="s">
        <v>191</v>
      </c>
      <c r="H282" s="317" t="str">
        <f>_xlfn.XLOOKUP(C281,'[36]Porta TN70'!$C:$C,'[36]Porta TN70'!$G:$G)</f>
        <v>Ö</v>
      </c>
    </row>
    <row r="283" spans="1:8">
      <c r="A283" s="894">
        <f t="shared" si="21"/>
        <v>280</v>
      </c>
      <c r="B283" s="894">
        <f t="shared" si="21"/>
        <v>31</v>
      </c>
      <c r="C283" s="894" t="s">
        <v>916</v>
      </c>
      <c r="D283" s="894"/>
      <c r="E283" s="1949">
        <v>45498</v>
      </c>
      <c r="F283" s="894" t="s">
        <v>191</v>
      </c>
      <c r="H283" s="317" t="str">
        <f>_xlfn.XLOOKUP(C282,'[36]Porta TN70'!$C:$C,'[36]Porta TN70'!$G:$G)</f>
        <v>Ö</v>
      </c>
    </row>
    <row r="284" spans="1:8">
      <c r="A284" s="894">
        <f t="shared" si="21"/>
        <v>281</v>
      </c>
      <c r="B284" s="894">
        <f t="shared" si="21"/>
        <v>32</v>
      </c>
      <c r="C284" s="894" t="s">
        <v>917</v>
      </c>
      <c r="D284" s="894"/>
      <c r="E284" s="1949">
        <v>45498</v>
      </c>
      <c r="F284" s="894" t="s">
        <v>191</v>
      </c>
      <c r="H284" s="317" t="str">
        <f>_xlfn.XLOOKUP(C283,'[36]Porta TN70'!$C:$C,'[36]Porta TN70'!$G:$G)</f>
        <v>Ö</v>
      </c>
    </row>
    <row r="285" spans="1:8">
      <c r="A285" s="894">
        <f t="shared" si="21"/>
        <v>282</v>
      </c>
      <c r="B285" s="894">
        <f t="shared" si="21"/>
        <v>33</v>
      </c>
      <c r="C285" s="894" t="s">
        <v>918</v>
      </c>
      <c r="D285" s="894"/>
      <c r="E285" s="1949">
        <v>45498</v>
      </c>
      <c r="F285" s="894" t="s">
        <v>191</v>
      </c>
      <c r="H285" s="317" t="str">
        <f>_xlfn.XLOOKUP(C284,'[36]Porta TN70'!$C:$C,'[36]Porta TN70'!$G:$G)</f>
        <v>Ö</v>
      </c>
    </row>
    <row r="286" spans="1:8">
      <c r="A286" s="894">
        <f t="shared" si="21"/>
        <v>283</v>
      </c>
      <c r="B286" s="894">
        <f t="shared" si="21"/>
        <v>34</v>
      </c>
      <c r="C286" s="894" t="s">
        <v>919</v>
      </c>
      <c r="D286" s="894"/>
      <c r="E286" s="1949">
        <v>45498</v>
      </c>
      <c r="F286" s="894" t="s">
        <v>191</v>
      </c>
      <c r="H286" s="317" t="str">
        <f>_xlfn.XLOOKUP(C285,'[36]Porta TN70'!$C:$C,'[36]Porta TN70'!$G:$G)</f>
        <v>Ö</v>
      </c>
    </row>
    <row r="287" spans="1:8">
      <c r="A287" s="894">
        <f t="shared" si="21"/>
        <v>284</v>
      </c>
      <c r="B287" s="894">
        <f t="shared" si="21"/>
        <v>35</v>
      </c>
      <c r="C287" s="894" t="s">
        <v>920</v>
      </c>
      <c r="D287" s="894"/>
      <c r="E287" s="1949">
        <v>45498</v>
      </c>
      <c r="F287" s="894" t="s">
        <v>191</v>
      </c>
      <c r="H287" s="317" t="str">
        <f>_xlfn.XLOOKUP(C286,'[36]Porta TN70'!$C:$C,'[36]Porta TN70'!$G:$G)</f>
        <v>Ö</v>
      </c>
    </row>
    <row r="288" spans="1:8">
      <c r="A288" s="894">
        <f t="shared" si="21"/>
        <v>285</v>
      </c>
      <c r="B288" s="894">
        <f t="shared" si="21"/>
        <v>36</v>
      </c>
      <c r="C288" s="894" t="s">
        <v>921</v>
      </c>
      <c r="D288" s="894"/>
      <c r="E288" s="1949">
        <v>45498</v>
      </c>
      <c r="F288" s="894" t="s">
        <v>191</v>
      </c>
      <c r="H288" s="317" t="str">
        <f>_xlfn.XLOOKUP(C287,'[36]Porta TN70'!$C:$C,'[36]Porta TN70'!$G:$G)</f>
        <v>Ö</v>
      </c>
    </row>
    <row r="289" spans="1:8">
      <c r="A289" s="894">
        <f t="shared" si="21"/>
        <v>286</v>
      </c>
      <c r="B289" s="894">
        <v>1</v>
      </c>
      <c r="C289" s="894" t="s">
        <v>922</v>
      </c>
      <c r="D289" s="894"/>
      <c r="E289" s="1949">
        <v>45510</v>
      </c>
      <c r="F289" s="894" t="s">
        <v>191</v>
      </c>
      <c r="H289" s="317" t="str">
        <f>_xlfn.XLOOKUP(C288,'[36]Porta TN70'!$C:$C,'[36]Porta TN70'!$G:$G)</f>
        <v>Ö</v>
      </c>
    </row>
    <row r="290" spans="1:8">
      <c r="A290" s="894">
        <f t="shared" si="21"/>
        <v>287</v>
      </c>
      <c r="B290" s="894">
        <f t="shared" ref="B290:B350" si="22">B289+1</f>
        <v>2</v>
      </c>
      <c r="C290" s="894" t="s">
        <v>923</v>
      </c>
      <c r="D290" s="894"/>
      <c r="E290" s="1949">
        <v>45510</v>
      </c>
      <c r="F290" s="894" t="s">
        <v>191</v>
      </c>
      <c r="H290" s="317" t="str">
        <f>_xlfn.XLOOKUP(C289,'[36]Porta TN70'!$C:$C,'[36]Porta TN70'!$G:$G)</f>
        <v>Ö</v>
      </c>
    </row>
    <row r="291" spans="1:8">
      <c r="A291" s="894">
        <f t="shared" si="21"/>
        <v>288</v>
      </c>
      <c r="B291" s="894">
        <f t="shared" si="22"/>
        <v>3</v>
      </c>
      <c r="C291" s="894" t="s">
        <v>924</v>
      </c>
      <c r="D291" s="894"/>
      <c r="E291" s="1949">
        <v>45510</v>
      </c>
      <c r="F291" s="894" t="s">
        <v>191</v>
      </c>
      <c r="H291" s="317" t="str">
        <f>_xlfn.XLOOKUP(C290,'[36]Porta TN70'!$C:$C,'[36]Porta TN70'!$G:$G)</f>
        <v>Ö</v>
      </c>
    </row>
    <row r="292" spans="1:8">
      <c r="A292" s="894">
        <f t="shared" si="21"/>
        <v>289</v>
      </c>
      <c r="B292" s="894">
        <f t="shared" si="22"/>
        <v>4</v>
      </c>
      <c r="C292" s="894" t="s">
        <v>925</v>
      </c>
      <c r="D292" s="894"/>
      <c r="E292" s="1949">
        <v>45510</v>
      </c>
      <c r="F292" s="894" t="s">
        <v>191</v>
      </c>
      <c r="H292" s="317" t="str">
        <f>_xlfn.XLOOKUP(C291,'[36]Porta TN70'!$C:$C,'[36]Porta TN70'!$G:$G)</f>
        <v>Ö</v>
      </c>
    </row>
    <row r="293" spans="1:8">
      <c r="A293" s="894">
        <f t="shared" si="21"/>
        <v>290</v>
      </c>
      <c r="B293" s="894">
        <f t="shared" si="22"/>
        <v>5</v>
      </c>
      <c r="C293" s="894" t="s">
        <v>926</v>
      </c>
      <c r="D293" s="894"/>
      <c r="E293" s="1949">
        <v>45510</v>
      </c>
      <c r="F293" s="894" t="s">
        <v>191</v>
      </c>
      <c r="H293" s="317" t="str">
        <f>_xlfn.XLOOKUP(C292,'[36]Porta TN70'!$C:$C,'[36]Porta TN70'!$G:$G)</f>
        <v>Ö</v>
      </c>
    </row>
    <row r="294" spans="1:8">
      <c r="A294" s="894">
        <f t="shared" si="21"/>
        <v>291</v>
      </c>
      <c r="B294" s="894">
        <f t="shared" si="22"/>
        <v>6</v>
      </c>
      <c r="C294" s="894" t="s">
        <v>927</v>
      </c>
      <c r="D294" s="894"/>
      <c r="E294" s="1949">
        <v>45510</v>
      </c>
      <c r="F294" s="894" t="s">
        <v>191</v>
      </c>
      <c r="H294" s="317" t="str">
        <f>_xlfn.XLOOKUP(C293,'[36]Porta TN70'!$C:$C,'[36]Porta TN70'!$G:$G)</f>
        <v>Ö</v>
      </c>
    </row>
    <row r="295" spans="1:8">
      <c r="A295" s="894">
        <f t="shared" si="21"/>
        <v>292</v>
      </c>
      <c r="B295" s="894">
        <f t="shared" si="22"/>
        <v>7</v>
      </c>
      <c r="C295" s="894" t="s">
        <v>928</v>
      </c>
      <c r="D295" s="894"/>
      <c r="E295" s="1949">
        <v>45510</v>
      </c>
      <c r="F295" s="894" t="s">
        <v>191</v>
      </c>
      <c r="H295" s="317" t="str">
        <f>_xlfn.XLOOKUP(C294,'[36]Porta TN70'!$C:$C,'[36]Porta TN70'!$G:$G)</f>
        <v>Ö</v>
      </c>
    </row>
    <row r="296" spans="1:8">
      <c r="A296" s="894">
        <f t="shared" si="21"/>
        <v>293</v>
      </c>
      <c r="B296" s="894">
        <f t="shared" si="22"/>
        <v>8</v>
      </c>
      <c r="C296" s="894" t="s">
        <v>929</v>
      </c>
      <c r="D296" s="894"/>
      <c r="E296" s="1949">
        <v>45510</v>
      </c>
      <c r="F296" s="894" t="s">
        <v>191</v>
      </c>
      <c r="H296" s="317" t="str">
        <f>_xlfn.XLOOKUP(C295,'[36]Porta TN70'!$C:$C,'[36]Porta TN70'!$G:$G)</f>
        <v>Ö</v>
      </c>
    </row>
    <row r="297" spans="1:8">
      <c r="A297" s="894">
        <f t="shared" si="21"/>
        <v>294</v>
      </c>
      <c r="B297" s="894">
        <f t="shared" si="22"/>
        <v>9</v>
      </c>
      <c r="C297" s="894" t="s">
        <v>930</v>
      </c>
      <c r="D297" s="894"/>
      <c r="E297" s="1949">
        <v>45510</v>
      </c>
      <c r="F297" s="894" t="s">
        <v>191</v>
      </c>
      <c r="H297" s="317" t="str">
        <f>_xlfn.XLOOKUP(C296,'[36]Porta TN70'!$C:$C,'[36]Porta TN70'!$G:$G)</f>
        <v>Ö</v>
      </c>
    </row>
    <row r="298" spans="1:8">
      <c r="A298" s="894">
        <f t="shared" si="21"/>
        <v>295</v>
      </c>
      <c r="B298" s="894">
        <f>+B297+1</f>
        <v>10</v>
      </c>
      <c r="C298" s="894" t="s">
        <v>931</v>
      </c>
      <c r="D298" s="894"/>
      <c r="E298" s="1949">
        <v>45510</v>
      </c>
      <c r="F298" s="894" t="s">
        <v>191</v>
      </c>
      <c r="H298" s="317" t="str">
        <f>_xlfn.XLOOKUP(C297,'[36]Porta TN70'!$C:$C,'[36]Porta TN70'!$G:$G)</f>
        <v>Ö</v>
      </c>
    </row>
    <row r="299" spans="1:8">
      <c r="A299" s="894">
        <f t="shared" si="21"/>
        <v>296</v>
      </c>
      <c r="B299" s="894">
        <f t="shared" si="22"/>
        <v>11</v>
      </c>
      <c r="C299" s="894" t="s">
        <v>932</v>
      </c>
      <c r="D299" s="894"/>
      <c r="E299" s="1949">
        <v>45510</v>
      </c>
      <c r="F299" s="894" t="s">
        <v>191</v>
      </c>
      <c r="H299" s="317" t="str">
        <f>_xlfn.XLOOKUP(C298,'[36]Porta TN70'!$C:$C,'[36]Porta TN70'!$G:$G)</f>
        <v>Ö</v>
      </c>
    </row>
    <row r="300" spans="1:8">
      <c r="A300" s="894">
        <f t="shared" si="21"/>
        <v>297</v>
      </c>
      <c r="B300" s="894">
        <f t="shared" si="22"/>
        <v>12</v>
      </c>
      <c r="C300" s="894" t="s">
        <v>933</v>
      </c>
      <c r="D300" s="894"/>
      <c r="E300" s="1949">
        <v>45510</v>
      </c>
      <c r="F300" s="894" t="s">
        <v>191</v>
      </c>
      <c r="H300" s="317" t="str">
        <f>_xlfn.XLOOKUP(C299,'[36]Porta TN70'!$C:$C,'[36]Porta TN70'!$G:$G)</f>
        <v>Ö</v>
      </c>
    </row>
    <row r="301" spans="1:8">
      <c r="A301" s="894">
        <f t="shared" si="21"/>
        <v>298</v>
      </c>
      <c r="B301" s="894">
        <f t="shared" si="22"/>
        <v>13</v>
      </c>
      <c r="C301" s="894" t="s">
        <v>934</v>
      </c>
      <c r="D301" s="894"/>
      <c r="E301" s="1949">
        <v>45510</v>
      </c>
      <c r="F301" s="894" t="s">
        <v>191</v>
      </c>
      <c r="H301" s="317" t="str">
        <f>_xlfn.XLOOKUP(C300,'[36]Porta TN70'!$C:$C,'[36]Porta TN70'!$G:$G)</f>
        <v>Ö</v>
      </c>
    </row>
    <row r="302" spans="1:8">
      <c r="A302" s="894">
        <f t="shared" si="21"/>
        <v>299</v>
      </c>
      <c r="B302" s="894">
        <f t="shared" si="22"/>
        <v>14</v>
      </c>
      <c r="C302" s="894" t="s">
        <v>935</v>
      </c>
      <c r="D302" s="894"/>
      <c r="E302" s="1949">
        <v>45510</v>
      </c>
      <c r="F302" s="894" t="s">
        <v>191</v>
      </c>
      <c r="H302" s="317" t="str">
        <f>_xlfn.XLOOKUP(C301,'[36]Porta TN70'!$C:$C,'[36]Porta TN70'!$G:$G)</f>
        <v>Ö</v>
      </c>
    </row>
    <row r="303" spans="1:8">
      <c r="A303" s="894">
        <f t="shared" si="21"/>
        <v>300</v>
      </c>
      <c r="B303" s="894">
        <f t="shared" si="22"/>
        <v>15</v>
      </c>
      <c r="C303" s="894" t="s">
        <v>936</v>
      </c>
      <c r="D303" s="894"/>
      <c r="E303" s="1949">
        <v>45510</v>
      </c>
      <c r="F303" s="894" t="s">
        <v>191</v>
      </c>
      <c r="H303" s="317" t="str">
        <f>_xlfn.XLOOKUP(C302,'[36]Porta TN70'!$C:$C,'[36]Porta TN70'!$G:$G)</f>
        <v>Ö</v>
      </c>
    </row>
    <row r="304" spans="1:8">
      <c r="A304" s="894">
        <f t="shared" si="21"/>
        <v>301</v>
      </c>
      <c r="B304" s="894">
        <f t="shared" si="22"/>
        <v>16</v>
      </c>
      <c r="C304" s="894" t="s">
        <v>937</v>
      </c>
      <c r="D304" s="894"/>
      <c r="E304" s="1949">
        <v>45510</v>
      </c>
      <c r="F304" s="894" t="s">
        <v>191</v>
      </c>
      <c r="H304" s="317" t="str">
        <f>_xlfn.XLOOKUP(C303,'[36]Porta TN70'!$C:$C,'[36]Porta TN70'!$G:$G)</f>
        <v>Ö</v>
      </c>
    </row>
    <row r="305" spans="1:8">
      <c r="A305" s="894">
        <f t="shared" si="21"/>
        <v>302</v>
      </c>
      <c r="B305" s="894">
        <f t="shared" si="22"/>
        <v>17</v>
      </c>
      <c r="C305" s="894" t="s">
        <v>938</v>
      </c>
      <c r="D305" s="894"/>
      <c r="E305" s="1949">
        <v>45510</v>
      </c>
      <c r="F305" s="894" t="s">
        <v>191</v>
      </c>
      <c r="H305" s="317" t="str">
        <f>_xlfn.XLOOKUP(C304,'[36]Porta TN70'!$C:$C,'[36]Porta TN70'!$G:$G)</f>
        <v>Ö</v>
      </c>
    </row>
    <row r="306" spans="1:8">
      <c r="A306" s="894">
        <f t="shared" si="21"/>
        <v>303</v>
      </c>
      <c r="B306" s="894">
        <f t="shared" si="22"/>
        <v>18</v>
      </c>
      <c r="C306" s="894" t="s">
        <v>939</v>
      </c>
      <c r="D306" s="894"/>
      <c r="E306" s="1949">
        <v>45510</v>
      </c>
      <c r="F306" s="894" t="s">
        <v>191</v>
      </c>
      <c r="H306" s="317" t="str">
        <f>_xlfn.XLOOKUP(C305,'[36]Porta TN70'!$C:$C,'[36]Porta TN70'!$G:$G)</f>
        <v>Ö</v>
      </c>
    </row>
    <row r="307" spans="1:8">
      <c r="A307" s="894">
        <f t="shared" si="21"/>
        <v>304</v>
      </c>
      <c r="B307" s="894">
        <f t="shared" si="22"/>
        <v>19</v>
      </c>
      <c r="C307" s="894" t="s">
        <v>940</v>
      </c>
      <c r="D307" s="894"/>
      <c r="E307" s="1949">
        <v>45510</v>
      </c>
      <c r="F307" s="894" t="s">
        <v>191</v>
      </c>
      <c r="H307" s="317" t="str">
        <f>_xlfn.XLOOKUP(C306,'[36]Porta TN70'!$C:$C,'[36]Porta TN70'!$G:$G)</f>
        <v>Ö</v>
      </c>
    </row>
    <row r="308" spans="1:8">
      <c r="A308" s="894">
        <f t="shared" si="21"/>
        <v>305</v>
      </c>
      <c r="B308" s="894">
        <f t="shared" si="22"/>
        <v>20</v>
      </c>
      <c r="C308" s="894" t="s">
        <v>941</v>
      </c>
      <c r="D308" s="894"/>
      <c r="E308" s="1949">
        <v>45510</v>
      </c>
      <c r="F308" s="894" t="s">
        <v>191</v>
      </c>
      <c r="H308" s="317" t="str">
        <f>_xlfn.XLOOKUP(C307,'[36]Porta TN70'!$C:$C,'[36]Porta TN70'!$G:$G)</f>
        <v>Ö</v>
      </c>
    </row>
    <row r="309" spans="1:8">
      <c r="A309" s="894">
        <f t="shared" si="21"/>
        <v>306</v>
      </c>
      <c r="B309" s="894">
        <f t="shared" si="22"/>
        <v>21</v>
      </c>
      <c r="C309" s="894" t="s">
        <v>942</v>
      </c>
      <c r="D309" s="894"/>
      <c r="E309" s="1949">
        <v>45510</v>
      </c>
      <c r="F309" s="894" t="s">
        <v>191</v>
      </c>
      <c r="H309" s="317" t="str">
        <f>_xlfn.XLOOKUP(C308,'[36]Porta TN70'!$C:$C,'[36]Porta TN70'!$G:$G)</f>
        <v>Ö</v>
      </c>
    </row>
    <row r="310" spans="1:8">
      <c r="A310" s="894">
        <f t="shared" si="21"/>
        <v>307</v>
      </c>
      <c r="B310" s="894">
        <f t="shared" si="22"/>
        <v>22</v>
      </c>
      <c r="C310" s="894" t="s">
        <v>943</v>
      </c>
      <c r="D310" s="894"/>
      <c r="E310" s="1949">
        <v>45510</v>
      </c>
      <c r="F310" s="894" t="s">
        <v>191</v>
      </c>
      <c r="H310" s="317" t="str">
        <f>_xlfn.XLOOKUP(C309,'[36]Porta TN70'!$C:$C,'[36]Porta TN70'!$G:$G)</f>
        <v>Ö</v>
      </c>
    </row>
    <row r="311" spans="1:8">
      <c r="A311" s="894">
        <f t="shared" si="21"/>
        <v>308</v>
      </c>
      <c r="B311" s="894">
        <f t="shared" si="22"/>
        <v>23</v>
      </c>
      <c r="C311" s="894" t="s">
        <v>944</v>
      </c>
      <c r="D311" s="894"/>
      <c r="E311" s="1949">
        <v>45510</v>
      </c>
      <c r="F311" s="894" t="s">
        <v>191</v>
      </c>
      <c r="H311" s="317" t="str">
        <f>_xlfn.XLOOKUP(C310,'[36]Porta TN70'!$C:$C,'[36]Porta TN70'!$G:$G)</f>
        <v>Ö</v>
      </c>
    </row>
    <row r="312" spans="1:8">
      <c r="A312" s="894">
        <f t="shared" si="21"/>
        <v>309</v>
      </c>
      <c r="B312" s="894">
        <f t="shared" si="22"/>
        <v>24</v>
      </c>
      <c r="C312" s="894" t="s">
        <v>945</v>
      </c>
      <c r="D312" s="894"/>
      <c r="E312" s="1949">
        <v>45510</v>
      </c>
      <c r="F312" s="894" t="s">
        <v>191</v>
      </c>
      <c r="H312" s="317" t="str">
        <f>_xlfn.XLOOKUP(C311,'[36]Porta TN70'!$C:$C,'[36]Porta TN70'!$G:$G)</f>
        <v>Ö</v>
      </c>
    </row>
    <row r="313" spans="1:8">
      <c r="A313" s="894">
        <f t="shared" si="21"/>
        <v>310</v>
      </c>
      <c r="B313" s="894">
        <f t="shared" si="22"/>
        <v>25</v>
      </c>
      <c r="C313" s="894" t="s">
        <v>946</v>
      </c>
      <c r="D313" s="894"/>
      <c r="E313" s="1949">
        <v>45510</v>
      </c>
      <c r="F313" s="894" t="s">
        <v>191</v>
      </c>
      <c r="H313" s="317" t="str">
        <f>_xlfn.XLOOKUP(C312,'[36]Porta TN70'!$C:$C,'[36]Porta TN70'!$G:$G)</f>
        <v>Ö</v>
      </c>
    </row>
    <row r="314" spans="1:8">
      <c r="A314" s="894">
        <f t="shared" si="21"/>
        <v>311</v>
      </c>
      <c r="B314" s="894">
        <f t="shared" si="22"/>
        <v>26</v>
      </c>
      <c r="C314" s="894" t="s">
        <v>947</v>
      </c>
      <c r="D314" s="894"/>
      <c r="E314" s="1949">
        <v>45510</v>
      </c>
      <c r="F314" s="894" t="s">
        <v>191</v>
      </c>
      <c r="H314" s="317" t="str">
        <f>_xlfn.XLOOKUP(C313,'[36]Porta TN70'!$C:$C,'[36]Porta TN70'!$G:$G)</f>
        <v>Ö</v>
      </c>
    </row>
    <row r="315" spans="1:8">
      <c r="A315" s="894">
        <f t="shared" si="21"/>
        <v>312</v>
      </c>
      <c r="B315" s="894">
        <f t="shared" si="22"/>
        <v>27</v>
      </c>
      <c r="C315" s="894" t="s">
        <v>948</v>
      </c>
      <c r="D315" s="894"/>
      <c r="E315" s="1949">
        <v>45510</v>
      </c>
      <c r="F315" s="894" t="s">
        <v>191</v>
      </c>
      <c r="H315" s="317" t="str">
        <f>_xlfn.XLOOKUP(C314,'[36]Porta TN70'!$C:$C,'[36]Porta TN70'!$G:$G)</f>
        <v>Ö</v>
      </c>
    </row>
    <row r="316" spans="1:8">
      <c r="A316" s="894">
        <f t="shared" si="21"/>
        <v>313</v>
      </c>
      <c r="B316" s="894">
        <f t="shared" si="22"/>
        <v>28</v>
      </c>
      <c r="C316" s="894" t="s">
        <v>949</v>
      </c>
      <c r="D316" s="894"/>
      <c r="E316" s="1949">
        <v>45510</v>
      </c>
      <c r="F316" s="894" t="s">
        <v>191</v>
      </c>
      <c r="H316" s="317" t="str">
        <f>_xlfn.XLOOKUP(C315,'[36]Porta TN70'!$C:$C,'[36]Porta TN70'!$G:$G)</f>
        <v>Ö</v>
      </c>
    </row>
    <row r="317" spans="1:8">
      <c r="A317" s="894">
        <f t="shared" si="21"/>
        <v>314</v>
      </c>
      <c r="B317" s="894">
        <f t="shared" si="22"/>
        <v>29</v>
      </c>
      <c r="C317" s="894" t="s">
        <v>950</v>
      </c>
      <c r="D317" s="894"/>
      <c r="E317" s="1949">
        <v>45510</v>
      </c>
      <c r="F317" s="894" t="s">
        <v>191</v>
      </c>
      <c r="H317" s="317" t="str">
        <f>_xlfn.XLOOKUP(C316,'[36]Porta TN70'!$C:$C,'[36]Porta TN70'!$G:$G)</f>
        <v>Ö</v>
      </c>
    </row>
    <row r="318" spans="1:8">
      <c r="A318" s="894">
        <f t="shared" si="21"/>
        <v>315</v>
      </c>
      <c r="B318" s="894">
        <f t="shared" si="22"/>
        <v>30</v>
      </c>
      <c r="C318" s="894" t="s">
        <v>951</v>
      </c>
      <c r="D318" s="894"/>
      <c r="E318" s="1949">
        <v>45510</v>
      </c>
      <c r="F318" s="894" t="s">
        <v>191</v>
      </c>
      <c r="H318" s="317" t="str">
        <f>_xlfn.XLOOKUP(C317,'[36]Porta TN70'!$C:$C,'[36]Porta TN70'!$G:$G)</f>
        <v>Ö</v>
      </c>
    </row>
    <row r="319" spans="1:8">
      <c r="A319" s="894">
        <f t="shared" si="21"/>
        <v>316</v>
      </c>
      <c r="B319" s="894">
        <f t="shared" si="22"/>
        <v>31</v>
      </c>
      <c r="C319" s="894" t="s">
        <v>952</v>
      </c>
      <c r="D319" s="894"/>
      <c r="E319" s="1949">
        <v>45510</v>
      </c>
      <c r="F319" s="894" t="s">
        <v>191</v>
      </c>
      <c r="H319" s="317" t="str">
        <f>_xlfn.XLOOKUP(C318,'[36]Porta TN70'!$C:$C,'[36]Porta TN70'!$G:$G)</f>
        <v>Ö</v>
      </c>
    </row>
    <row r="320" spans="1:8">
      <c r="A320" s="894">
        <f t="shared" si="21"/>
        <v>317</v>
      </c>
      <c r="B320" s="894">
        <f t="shared" si="22"/>
        <v>32</v>
      </c>
      <c r="C320" s="894" t="s">
        <v>953</v>
      </c>
      <c r="D320" s="894"/>
      <c r="E320" s="1949">
        <v>45510</v>
      </c>
      <c r="F320" s="894" t="s">
        <v>191</v>
      </c>
      <c r="H320" s="317" t="str">
        <f>_xlfn.XLOOKUP(C319,'[36]Porta TN70'!$C:$C,'[36]Porta TN70'!$G:$G)</f>
        <v>Ö</v>
      </c>
    </row>
    <row r="321" spans="1:8">
      <c r="A321" s="894">
        <f t="shared" si="21"/>
        <v>318</v>
      </c>
      <c r="B321" s="894">
        <f t="shared" si="22"/>
        <v>33</v>
      </c>
      <c r="C321" s="894" t="s">
        <v>954</v>
      </c>
      <c r="D321" s="894"/>
      <c r="E321" s="1949">
        <v>45510</v>
      </c>
      <c r="F321" s="894" t="s">
        <v>191</v>
      </c>
      <c r="H321" s="317" t="str">
        <f>_xlfn.XLOOKUP(C320,'[36]Porta TN70'!$C:$C,'[36]Porta TN70'!$G:$G)</f>
        <v>Ö</v>
      </c>
    </row>
    <row r="322" spans="1:8">
      <c r="A322" s="894">
        <f t="shared" si="21"/>
        <v>319</v>
      </c>
      <c r="B322" s="894">
        <f t="shared" si="22"/>
        <v>34</v>
      </c>
      <c r="C322" s="894" t="s">
        <v>955</v>
      </c>
      <c r="D322" s="894"/>
      <c r="E322" s="1949">
        <v>45510</v>
      </c>
      <c r="F322" s="894" t="s">
        <v>191</v>
      </c>
      <c r="H322" s="317" t="str">
        <f>_xlfn.XLOOKUP(C321,'[36]Porta TN70'!$C:$C,'[36]Porta TN70'!$G:$G)</f>
        <v>Ö</v>
      </c>
    </row>
    <row r="323" spans="1:8">
      <c r="A323" s="894">
        <f t="shared" si="21"/>
        <v>320</v>
      </c>
      <c r="B323" s="894">
        <f t="shared" si="22"/>
        <v>35</v>
      </c>
      <c r="C323" s="894" t="s">
        <v>956</v>
      </c>
      <c r="D323" s="894"/>
      <c r="E323" s="1949">
        <v>45510</v>
      </c>
      <c r="F323" s="894" t="s">
        <v>191</v>
      </c>
      <c r="H323" s="317" t="str">
        <f>_xlfn.XLOOKUP(C322,'[36]Porta TN70'!$C:$C,'[36]Porta TN70'!$G:$G)</f>
        <v>Ö</v>
      </c>
    </row>
    <row r="324" spans="1:8">
      <c r="A324" s="894">
        <f t="shared" si="21"/>
        <v>321</v>
      </c>
      <c r="B324" s="894">
        <f t="shared" si="22"/>
        <v>36</v>
      </c>
      <c r="C324" s="894" t="s">
        <v>957</v>
      </c>
      <c r="D324" s="894"/>
      <c r="E324" s="1949">
        <v>45510</v>
      </c>
      <c r="F324" s="894" t="s">
        <v>191</v>
      </c>
      <c r="H324" s="317" t="str">
        <f>_xlfn.XLOOKUP(C323,'[36]Porta TN70'!$C:$C,'[36]Porta TN70'!$G:$G)</f>
        <v>Ö</v>
      </c>
    </row>
    <row r="325" spans="1:8">
      <c r="A325" s="894">
        <f t="shared" si="21"/>
        <v>322</v>
      </c>
      <c r="B325" s="894">
        <f t="shared" si="22"/>
        <v>37</v>
      </c>
      <c r="C325" s="894" t="s">
        <v>958</v>
      </c>
      <c r="D325" s="894"/>
      <c r="E325" s="1949">
        <v>45510</v>
      </c>
      <c r="F325" s="894" t="s">
        <v>191</v>
      </c>
      <c r="H325" s="317" t="str">
        <f>_xlfn.XLOOKUP(C324,'[36]Porta TN70'!$C:$C,'[36]Porta TN70'!$G:$G)</f>
        <v>Ö</v>
      </c>
    </row>
    <row r="326" spans="1:8">
      <c r="A326" s="894">
        <f t="shared" ref="A326:A389" si="23">A325+1</f>
        <v>323</v>
      </c>
      <c r="B326" s="894">
        <f t="shared" si="22"/>
        <v>38</v>
      </c>
      <c r="C326" s="894" t="s">
        <v>959</v>
      </c>
      <c r="D326" s="894"/>
      <c r="E326" s="1949">
        <v>45510</v>
      </c>
      <c r="F326" s="894" t="s">
        <v>191</v>
      </c>
      <c r="H326" s="317" t="str">
        <f>_xlfn.XLOOKUP(C325,'[36]Porta TN70'!$C:$C,'[36]Porta TN70'!$G:$G)</f>
        <v>Ö</v>
      </c>
    </row>
    <row r="327" spans="1:8">
      <c r="A327" s="894">
        <f t="shared" si="23"/>
        <v>324</v>
      </c>
      <c r="B327" s="894">
        <f t="shared" si="22"/>
        <v>39</v>
      </c>
      <c r="C327" s="894" t="s">
        <v>960</v>
      </c>
      <c r="D327" s="894"/>
      <c r="E327" s="1949">
        <v>45510</v>
      </c>
      <c r="F327" s="894" t="s">
        <v>191</v>
      </c>
      <c r="H327" s="317" t="str">
        <f>_xlfn.XLOOKUP(C326,'[36]Porta TN70'!$C:$C,'[36]Porta TN70'!$G:$G)</f>
        <v>Ö</v>
      </c>
    </row>
    <row r="328" spans="1:8">
      <c r="A328" s="894">
        <f t="shared" si="23"/>
        <v>325</v>
      </c>
      <c r="B328" s="894">
        <f t="shared" si="22"/>
        <v>40</v>
      </c>
      <c r="C328" s="894" t="s">
        <v>961</v>
      </c>
      <c r="D328" s="894"/>
      <c r="E328" s="1949">
        <v>45510</v>
      </c>
      <c r="F328" s="894" t="s">
        <v>191</v>
      </c>
      <c r="H328" s="317" t="str">
        <f>_xlfn.XLOOKUP(C327,'[36]Porta TN70'!$C:$C,'[36]Porta TN70'!$G:$G)</f>
        <v>Ö</v>
      </c>
    </row>
    <row r="329" spans="1:8">
      <c r="A329" s="894">
        <f t="shared" si="23"/>
        <v>326</v>
      </c>
      <c r="B329" s="894">
        <f t="shared" si="22"/>
        <v>41</v>
      </c>
      <c r="C329" s="894" t="s">
        <v>962</v>
      </c>
      <c r="D329" s="894"/>
      <c r="E329" s="1949">
        <v>45510</v>
      </c>
      <c r="F329" s="894" t="s">
        <v>191</v>
      </c>
      <c r="H329" s="317" t="str">
        <f>_xlfn.XLOOKUP(C328,'[36]Porta TN70'!$C:$C,'[36]Porta TN70'!$G:$G)</f>
        <v>Ö</v>
      </c>
    </row>
    <row r="330" spans="1:8">
      <c r="A330" s="894">
        <f t="shared" si="23"/>
        <v>327</v>
      </c>
      <c r="B330" s="894">
        <f>+B329+1</f>
        <v>42</v>
      </c>
      <c r="C330" s="894" t="s">
        <v>963</v>
      </c>
      <c r="D330" s="894"/>
      <c r="E330" s="1949">
        <v>45510</v>
      </c>
      <c r="F330" s="894" t="s">
        <v>191</v>
      </c>
      <c r="H330" s="317" t="str">
        <f>_xlfn.XLOOKUP(C329,'[36]Porta TN70'!$C:$C,'[36]Porta TN70'!$G:$G)</f>
        <v>Ö</v>
      </c>
    </row>
    <row r="331" spans="1:8">
      <c r="A331" s="894">
        <f t="shared" si="23"/>
        <v>328</v>
      </c>
      <c r="B331" s="894">
        <f t="shared" si="22"/>
        <v>43</v>
      </c>
      <c r="C331" s="894" t="s">
        <v>964</v>
      </c>
      <c r="D331" s="894"/>
      <c r="E331" s="1949">
        <v>45510</v>
      </c>
      <c r="F331" s="894" t="s">
        <v>191</v>
      </c>
      <c r="H331" s="317" t="str">
        <f>_xlfn.XLOOKUP(C330,'[36]Porta TN70'!$C:$C,'[36]Porta TN70'!$G:$G)</f>
        <v>Ö</v>
      </c>
    </row>
    <row r="332" spans="1:8">
      <c r="A332" s="894">
        <f t="shared" si="23"/>
        <v>329</v>
      </c>
      <c r="B332" s="894">
        <f t="shared" si="22"/>
        <v>44</v>
      </c>
      <c r="C332" s="894" t="s">
        <v>965</v>
      </c>
      <c r="D332" s="894"/>
      <c r="E332" s="1949">
        <v>45510</v>
      </c>
      <c r="F332" s="894" t="s">
        <v>191</v>
      </c>
      <c r="H332" s="317" t="str">
        <f>_xlfn.XLOOKUP(C331,'[36]Porta TN70'!$C:$C,'[36]Porta TN70'!$G:$G)</f>
        <v>Ö</v>
      </c>
    </row>
    <row r="333" spans="1:8">
      <c r="A333" s="894">
        <f t="shared" si="23"/>
        <v>330</v>
      </c>
      <c r="B333" s="894">
        <f t="shared" si="22"/>
        <v>45</v>
      </c>
      <c r="C333" s="894" t="s">
        <v>966</v>
      </c>
      <c r="D333" s="894"/>
      <c r="E333" s="1949">
        <v>45510</v>
      </c>
      <c r="F333" s="894" t="s">
        <v>191</v>
      </c>
      <c r="H333" s="317" t="str">
        <f>_xlfn.XLOOKUP(C332,'[36]Porta TN70'!$C:$C,'[36]Porta TN70'!$G:$G)</f>
        <v>Ö</v>
      </c>
    </row>
    <row r="334" spans="1:8">
      <c r="A334" s="894">
        <f t="shared" si="23"/>
        <v>331</v>
      </c>
      <c r="B334" s="894">
        <f t="shared" si="22"/>
        <v>46</v>
      </c>
      <c r="C334" s="894" t="s">
        <v>967</v>
      </c>
      <c r="D334" s="894"/>
      <c r="E334" s="1949">
        <v>45510</v>
      </c>
      <c r="F334" s="894" t="s">
        <v>191</v>
      </c>
      <c r="H334" s="317" t="str">
        <f>_xlfn.XLOOKUP(C333,'[36]Porta TN70'!$C:$C,'[36]Porta TN70'!$G:$G)</f>
        <v>Ö</v>
      </c>
    </row>
    <row r="335" spans="1:8">
      <c r="A335" s="894">
        <f t="shared" si="23"/>
        <v>332</v>
      </c>
      <c r="B335" s="894">
        <f t="shared" si="22"/>
        <v>47</v>
      </c>
      <c r="C335" s="894" t="s">
        <v>968</v>
      </c>
      <c r="D335" s="894"/>
      <c r="E335" s="1949">
        <v>45510</v>
      </c>
      <c r="F335" s="894" t="s">
        <v>191</v>
      </c>
      <c r="H335" s="317" t="str">
        <f>_xlfn.XLOOKUP(C334,'[36]Porta TN70'!$C:$C,'[36]Porta TN70'!$G:$G)</f>
        <v>Ö</v>
      </c>
    </row>
    <row r="336" spans="1:8">
      <c r="A336" s="894">
        <f t="shared" si="23"/>
        <v>333</v>
      </c>
      <c r="B336" s="894">
        <f t="shared" si="22"/>
        <v>48</v>
      </c>
      <c r="C336" s="894" t="s">
        <v>969</v>
      </c>
      <c r="D336" s="894"/>
      <c r="E336" s="1949">
        <v>45510</v>
      </c>
      <c r="F336" s="894" t="s">
        <v>191</v>
      </c>
      <c r="H336" s="317" t="str">
        <f>_xlfn.XLOOKUP(C335,'[36]Porta TN70'!$C:$C,'[36]Porta TN70'!$G:$G)</f>
        <v>Ö</v>
      </c>
    </row>
    <row r="337" spans="1:8">
      <c r="A337" s="894">
        <f t="shared" si="23"/>
        <v>334</v>
      </c>
      <c r="B337" s="894">
        <f t="shared" si="22"/>
        <v>49</v>
      </c>
      <c r="C337" s="894" t="s">
        <v>970</v>
      </c>
      <c r="D337" s="894"/>
      <c r="E337" s="1949">
        <v>45510</v>
      </c>
      <c r="F337" s="894" t="s">
        <v>191</v>
      </c>
      <c r="H337" s="317" t="str">
        <f>_xlfn.XLOOKUP(C336,'[36]Porta TN70'!$C:$C,'[36]Porta TN70'!$G:$G)</f>
        <v>Ö</v>
      </c>
    </row>
    <row r="338" spans="1:8">
      <c r="A338" s="894">
        <f t="shared" si="23"/>
        <v>335</v>
      </c>
      <c r="B338" s="894">
        <f t="shared" si="22"/>
        <v>50</v>
      </c>
      <c r="C338" s="894" t="s">
        <v>971</v>
      </c>
      <c r="D338" s="894"/>
      <c r="E338" s="1949">
        <v>45510</v>
      </c>
      <c r="F338" s="894" t="s">
        <v>191</v>
      </c>
      <c r="H338" s="317" t="str">
        <f>_xlfn.XLOOKUP(C337,'[36]Porta TN70'!$C:$C,'[36]Porta TN70'!$G:$G)</f>
        <v>Ö</v>
      </c>
    </row>
    <row r="339" spans="1:8">
      <c r="A339" s="894">
        <f t="shared" si="23"/>
        <v>336</v>
      </c>
      <c r="B339" s="894">
        <f t="shared" si="22"/>
        <v>51</v>
      </c>
      <c r="C339" s="894" t="s">
        <v>972</v>
      </c>
      <c r="D339" s="894"/>
      <c r="E339" s="1949">
        <v>45510</v>
      </c>
      <c r="F339" s="894" t="s">
        <v>191</v>
      </c>
      <c r="H339" s="317" t="str">
        <f>_xlfn.XLOOKUP(C338,'[36]Porta TN70'!$C:$C,'[36]Porta TN70'!$G:$G)</f>
        <v>Ö</v>
      </c>
    </row>
    <row r="340" spans="1:8">
      <c r="A340" s="894">
        <f t="shared" si="23"/>
        <v>337</v>
      </c>
      <c r="B340" s="894">
        <f t="shared" si="22"/>
        <v>52</v>
      </c>
      <c r="C340" s="894" t="s">
        <v>973</v>
      </c>
      <c r="D340" s="894"/>
      <c r="E340" s="1949">
        <v>45510</v>
      </c>
      <c r="F340" s="894" t="s">
        <v>191</v>
      </c>
      <c r="H340" s="317" t="str">
        <f>_xlfn.XLOOKUP(C339,'[36]Porta TN70'!$C:$C,'[36]Porta TN70'!$G:$G)</f>
        <v>Ö</v>
      </c>
    </row>
    <row r="341" spans="1:8">
      <c r="A341" s="894">
        <f t="shared" si="23"/>
        <v>338</v>
      </c>
      <c r="B341" s="894">
        <f t="shared" si="22"/>
        <v>53</v>
      </c>
      <c r="C341" s="894" t="s">
        <v>974</v>
      </c>
      <c r="D341" s="894"/>
      <c r="E341" s="1949">
        <v>45510</v>
      </c>
      <c r="F341" s="894" t="s">
        <v>191</v>
      </c>
      <c r="H341" s="317" t="str">
        <f>_xlfn.XLOOKUP(C340,'[36]Porta TN70'!$C:$C,'[36]Porta TN70'!$G:$G)</f>
        <v>Ö</v>
      </c>
    </row>
    <row r="342" spans="1:8">
      <c r="A342" s="894">
        <f t="shared" si="23"/>
        <v>339</v>
      </c>
      <c r="B342" s="894">
        <f t="shared" si="22"/>
        <v>54</v>
      </c>
      <c r="C342" s="894" t="s">
        <v>975</v>
      </c>
      <c r="D342" s="894"/>
      <c r="E342" s="1949">
        <v>45510</v>
      </c>
      <c r="F342" s="894" t="s">
        <v>191</v>
      </c>
      <c r="H342" s="317" t="str">
        <f>_xlfn.XLOOKUP(C341,'[36]Porta TN70'!$C:$C,'[36]Porta TN70'!$G:$G)</f>
        <v>Ö</v>
      </c>
    </row>
    <row r="343" spans="1:8">
      <c r="A343" s="894">
        <f t="shared" si="23"/>
        <v>340</v>
      </c>
      <c r="B343" s="894">
        <f t="shared" si="22"/>
        <v>55</v>
      </c>
      <c r="C343" s="894" t="s">
        <v>976</v>
      </c>
      <c r="D343" s="894"/>
      <c r="E343" s="1949">
        <v>45510</v>
      </c>
      <c r="F343" s="894" t="s">
        <v>191</v>
      </c>
      <c r="H343" s="317" t="str">
        <f>_xlfn.XLOOKUP(C342,'[36]Porta TN70'!$C:$C,'[36]Porta TN70'!$G:$G)</f>
        <v>Ö</v>
      </c>
    </row>
    <row r="344" spans="1:8">
      <c r="A344" s="894">
        <f t="shared" si="23"/>
        <v>341</v>
      </c>
      <c r="B344" s="894">
        <f t="shared" si="22"/>
        <v>56</v>
      </c>
      <c r="C344" s="894" t="s">
        <v>977</v>
      </c>
      <c r="D344" s="894"/>
      <c r="E344" s="1949">
        <v>45510</v>
      </c>
      <c r="F344" s="894" t="s">
        <v>191</v>
      </c>
      <c r="H344" s="317" t="str">
        <f>_xlfn.XLOOKUP(C343,'[36]Porta TN70'!$C:$C,'[36]Porta TN70'!$G:$G)</f>
        <v>Ö</v>
      </c>
    </row>
    <row r="345" spans="1:8">
      <c r="A345" s="894">
        <f t="shared" si="23"/>
        <v>342</v>
      </c>
      <c r="B345" s="894">
        <f t="shared" si="22"/>
        <v>57</v>
      </c>
      <c r="C345" s="894" t="s">
        <v>978</v>
      </c>
      <c r="D345" s="894"/>
      <c r="E345" s="1949">
        <v>45510</v>
      </c>
      <c r="F345" s="894" t="s">
        <v>191</v>
      </c>
      <c r="H345" s="317" t="str">
        <f>_xlfn.XLOOKUP(C344,'[36]Porta TN70'!$C:$C,'[36]Porta TN70'!$G:$G)</f>
        <v>Ö</v>
      </c>
    </row>
    <row r="346" spans="1:8">
      <c r="A346" s="894">
        <f t="shared" si="23"/>
        <v>343</v>
      </c>
      <c r="B346" s="894">
        <f t="shared" si="22"/>
        <v>58</v>
      </c>
      <c r="C346" s="894" t="s">
        <v>979</v>
      </c>
      <c r="D346" s="894"/>
      <c r="E346" s="1949">
        <v>45510</v>
      </c>
      <c r="F346" s="894" t="s">
        <v>191</v>
      </c>
      <c r="H346" s="317" t="str">
        <f>_xlfn.XLOOKUP(C345,'[36]Porta TN70'!$C:$C,'[36]Porta TN70'!$G:$G)</f>
        <v>Ö</v>
      </c>
    </row>
    <row r="347" spans="1:8">
      <c r="A347" s="894">
        <f t="shared" si="23"/>
        <v>344</v>
      </c>
      <c r="B347" s="894">
        <f t="shared" si="22"/>
        <v>59</v>
      </c>
      <c r="C347" s="894" t="s">
        <v>980</v>
      </c>
      <c r="D347" s="894"/>
      <c r="E347" s="1949">
        <v>45510</v>
      </c>
      <c r="F347" s="894" t="s">
        <v>191</v>
      </c>
      <c r="H347" s="317" t="str">
        <f>_xlfn.XLOOKUP(C346,'[36]Porta TN70'!$C:$C,'[36]Porta TN70'!$G:$G)</f>
        <v>Ö</v>
      </c>
    </row>
    <row r="348" spans="1:8">
      <c r="A348" s="894">
        <f t="shared" si="23"/>
        <v>345</v>
      </c>
      <c r="B348" s="894">
        <f t="shared" si="22"/>
        <v>60</v>
      </c>
      <c r="C348" s="894" t="s">
        <v>981</v>
      </c>
      <c r="D348" s="894"/>
      <c r="E348" s="1949">
        <v>45510</v>
      </c>
      <c r="F348" s="894" t="s">
        <v>191</v>
      </c>
      <c r="H348" s="317" t="str">
        <f>_xlfn.XLOOKUP(C347,'[36]Porta TN70'!$C:$C,'[36]Porta TN70'!$G:$G)</f>
        <v>Ö</v>
      </c>
    </row>
    <row r="349" spans="1:8">
      <c r="A349" s="894">
        <f t="shared" si="23"/>
        <v>346</v>
      </c>
      <c r="B349" s="894">
        <f t="shared" si="22"/>
        <v>61</v>
      </c>
      <c r="C349" s="894" t="s">
        <v>982</v>
      </c>
      <c r="D349" s="894"/>
      <c r="E349" s="1949">
        <v>45510</v>
      </c>
      <c r="F349" s="894" t="s">
        <v>191</v>
      </c>
      <c r="H349" s="317" t="str">
        <f>_xlfn.XLOOKUP(C348,'[36]Porta TN70'!$C:$C,'[36]Porta TN70'!$G:$G)</f>
        <v>Ö</v>
      </c>
    </row>
    <row r="350" spans="1:8">
      <c r="A350" s="894">
        <f t="shared" si="23"/>
        <v>347</v>
      </c>
      <c r="B350" s="894">
        <f t="shared" si="22"/>
        <v>62</v>
      </c>
      <c r="C350" s="894" t="s">
        <v>983</v>
      </c>
      <c r="D350" s="894"/>
      <c r="E350" s="1949">
        <v>45510</v>
      </c>
      <c r="F350" s="894" t="s">
        <v>191</v>
      </c>
      <c r="H350" s="317" t="str">
        <f>_xlfn.XLOOKUP(C349,'[36]Porta TN70'!$C:$C,'[36]Porta TN70'!$G:$G)</f>
        <v>Ö</v>
      </c>
    </row>
    <row r="351" spans="1:8">
      <c r="A351" s="894">
        <f t="shared" si="23"/>
        <v>348</v>
      </c>
      <c r="B351" s="894">
        <f t="shared" ref="A351:B453" si="24">B350+1</f>
        <v>63</v>
      </c>
      <c r="C351" s="894" t="s">
        <v>984</v>
      </c>
      <c r="D351" s="894"/>
      <c r="E351" s="1949">
        <v>45510</v>
      </c>
      <c r="F351" s="894" t="s">
        <v>191</v>
      </c>
      <c r="H351" s="317" t="str">
        <f>_xlfn.XLOOKUP(C350,'[36]Porta TN70'!$C:$C,'[36]Porta TN70'!$G:$G)</f>
        <v>Ö</v>
      </c>
    </row>
    <row r="352" spans="1:8">
      <c r="A352" s="894">
        <f t="shared" si="23"/>
        <v>349</v>
      </c>
      <c r="B352" s="894">
        <f t="shared" si="24"/>
        <v>64</v>
      </c>
      <c r="C352" s="894" t="s">
        <v>985</v>
      </c>
      <c r="D352" s="894"/>
      <c r="E352" s="1949">
        <v>45510</v>
      </c>
      <c r="F352" s="894" t="s">
        <v>191</v>
      </c>
      <c r="H352" s="317" t="str">
        <f>_xlfn.XLOOKUP(C351,'[36]Porta TN70'!$C:$C,'[36]Porta TN70'!$G:$G)</f>
        <v>Ö</v>
      </c>
    </row>
    <row r="353" spans="1:8">
      <c r="A353" s="894">
        <f t="shared" si="23"/>
        <v>350</v>
      </c>
      <c r="B353" s="894">
        <f t="shared" si="24"/>
        <v>65</v>
      </c>
      <c r="C353" s="894" t="s">
        <v>986</v>
      </c>
      <c r="D353" s="894"/>
      <c r="E353" s="1949">
        <v>45510</v>
      </c>
      <c r="F353" s="894" t="s">
        <v>191</v>
      </c>
      <c r="H353" s="317" t="str">
        <f>_xlfn.XLOOKUP(C352,'[36]Porta TN70'!$C:$C,'[36]Porta TN70'!$G:$G)</f>
        <v>Ö</v>
      </c>
    </row>
    <row r="354" spans="1:8">
      <c r="A354" s="894">
        <f t="shared" si="23"/>
        <v>351</v>
      </c>
      <c r="B354" s="894">
        <f t="shared" si="24"/>
        <v>66</v>
      </c>
      <c r="C354" s="894" t="s">
        <v>987</v>
      </c>
      <c r="D354" s="894"/>
      <c r="E354" s="1949">
        <v>45510</v>
      </c>
      <c r="F354" s="894" t="s">
        <v>191</v>
      </c>
      <c r="H354" s="317" t="str">
        <f>_xlfn.XLOOKUP(C353,'[36]Porta TN70'!$C:$C,'[36]Porta TN70'!$G:$G)</f>
        <v>Ö</v>
      </c>
    </row>
    <row r="355" spans="1:8">
      <c r="A355" s="894">
        <f t="shared" si="23"/>
        <v>352</v>
      </c>
      <c r="B355" s="894">
        <f t="shared" si="24"/>
        <v>67</v>
      </c>
      <c r="C355" s="894" t="s">
        <v>988</v>
      </c>
      <c r="D355" s="894"/>
      <c r="E355" s="1949">
        <v>45510</v>
      </c>
      <c r="F355" s="894" t="s">
        <v>191</v>
      </c>
      <c r="H355" s="317" t="str">
        <f>_xlfn.XLOOKUP(C354,'[36]Porta TN70'!$C:$C,'[36]Porta TN70'!$G:$G)</f>
        <v>Ö</v>
      </c>
    </row>
    <row r="356" spans="1:8">
      <c r="A356" s="894">
        <f t="shared" si="23"/>
        <v>353</v>
      </c>
      <c r="B356" s="894">
        <f t="shared" si="24"/>
        <v>68</v>
      </c>
      <c r="C356" s="894" t="s">
        <v>989</v>
      </c>
      <c r="D356" s="894"/>
      <c r="E356" s="1949">
        <v>45510</v>
      </c>
      <c r="F356" s="894" t="s">
        <v>191</v>
      </c>
      <c r="H356" s="317" t="str">
        <f>_xlfn.XLOOKUP(C355,'[36]Porta TN70'!$C:$C,'[36]Porta TN70'!$G:$G)</f>
        <v>Ö</v>
      </c>
    </row>
    <row r="357" spans="1:8">
      <c r="A357" s="894">
        <f t="shared" si="23"/>
        <v>354</v>
      </c>
      <c r="B357" s="894">
        <f t="shared" si="24"/>
        <v>69</v>
      </c>
      <c r="C357" s="894" t="s">
        <v>990</v>
      </c>
      <c r="D357" s="894"/>
      <c r="E357" s="1949">
        <v>45510</v>
      </c>
      <c r="F357" s="894" t="s">
        <v>191</v>
      </c>
      <c r="H357" s="317" t="str">
        <f>_xlfn.XLOOKUP(C356,'[36]Porta TN70'!$C:$C,'[36]Porta TN70'!$G:$G)</f>
        <v>Ö</v>
      </c>
    </row>
    <row r="358" spans="1:8">
      <c r="A358" s="894">
        <f t="shared" si="23"/>
        <v>355</v>
      </c>
      <c r="B358" s="894">
        <f t="shared" si="24"/>
        <v>70</v>
      </c>
      <c r="C358" s="894" t="s">
        <v>991</v>
      </c>
      <c r="D358" s="894"/>
      <c r="E358" s="1949">
        <v>45510</v>
      </c>
      <c r="F358" s="894" t="s">
        <v>191</v>
      </c>
      <c r="H358" s="317" t="str">
        <f>_xlfn.XLOOKUP(C357,'[36]Porta TN70'!$C:$C,'[36]Porta TN70'!$G:$G)</f>
        <v>Ö</v>
      </c>
    </row>
    <row r="359" spans="1:8">
      <c r="A359" s="894">
        <f t="shared" si="23"/>
        <v>356</v>
      </c>
      <c r="B359" s="894">
        <f t="shared" si="24"/>
        <v>71</v>
      </c>
      <c r="C359" s="894" t="s">
        <v>992</v>
      </c>
      <c r="D359" s="894"/>
      <c r="E359" s="1949">
        <v>45510</v>
      </c>
      <c r="F359" s="894" t="s">
        <v>191</v>
      </c>
      <c r="H359" s="317" t="str">
        <f>_xlfn.XLOOKUP(C358,'[36]Porta TN70'!$C:$C,'[36]Porta TN70'!$G:$G)</f>
        <v>Ö</v>
      </c>
    </row>
    <row r="360" spans="1:8">
      <c r="A360" s="894">
        <f t="shared" si="23"/>
        <v>357</v>
      </c>
      <c r="B360" s="894">
        <f t="shared" si="24"/>
        <v>72</v>
      </c>
      <c r="C360" s="894" t="s">
        <v>993</v>
      </c>
      <c r="D360" s="894"/>
      <c r="E360" s="1949">
        <v>45510</v>
      </c>
      <c r="F360" s="894" t="s">
        <v>191</v>
      </c>
      <c r="H360" s="317" t="str">
        <f>_xlfn.XLOOKUP(C359,'[36]Porta TN70'!$C:$C,'[36]Porta TN70'!$G:$G)</f>
        <v>Ö</v>
      </c>
    </row>
    <row r="361" spans="1:8">
      <c r="A361" s="894">
        <f t="shared" si="23"/>
        <v>358</v>
      </c>
      <c r="B361" s="894">
        <f t="shared" si="24"/>
        <v>73</v>
      </c>
      <c r="C361" s="894" t="s">
        <v>994</v>
      </c>
      <c r="D361" s="894"/>
      <c r="E361" s="1949">
        <v>45510</v>
      </c>
      <c r="F361" s="894" t="s">
        <v>191</v>
      </c>
      <c r="H361" s="317" t="str">
        <f>_xlfn.XLOOKUP(C360,'[36]Porta TN70'!$C:$C,'[36]Porta TN70'!$G:$G)</f>
        <v>Ö</v>
      </c>
    </row>
    <row r="362" spans="1:8">
      <c r="A362" s="894">
        <f t="shared" si="23"/>
        <v>359</v>
      </c>
      <c r="B362" s="894">
        <f t="shared" si="24"/>
        <v>74</v>
      </c>
      <c r="C362" s="894" t="s">
        <v>995</v>
      </c>
      <c r="D362" s="894"/>
      <c r="E362" s="1949">
        <v>45510</v>
      </c>
      <c r="F362" s="894" t="s">
        <v>191</v>
      </c>
      <c r="H362" s="317" t="str">
        <f>_xlfn.XLOOKUP(C361,'[36]Porta TN70'!$C:$C,'[36]Porta TN70'!$G:$G)</f>
        <v>Ö</v>
      </c>
    </row>
    <row r="363" spans="1:8">
      <c r="A363" s="894">
        <f t="shared" si="23"/>
        <v>360</v>
      </c>
      <c r="B363" s="894">
        <f t="shared" si="24"/>
        <v>75</v>
      </c>
      <c r="C363" s="894" t="s">
        <v>996</v>
      </c>
      <c r="D363" s="894"/>
      <c r="E363" s="1949">
        <v>45510</v>
      </c>
      <c r="F363" s="894" t="s">
        <v>191</v>
      </c>
      <c r="H363" s="317" t="str">
        <f>_xlfn.XLOOKUP(C362,'[36]Porta TN70'!$C:$C,'[36]Porta TN70'!$G:$G)</f>
        <v>Ö</v>
      </c>
    </row>
    <row r="364" spans="1:8">
      <c r="A364" s="894">
        <f t="shared" si="23"/>
        <v>361</v>
      </c>
      <c r="B364" s="894">
        <f t="shared" si="24"/>
        <v>76</v>
      </c>
      <c r="C364" s="894" t="s">
        <v>997</v>
      </c>
      <c r="D364" s="894"/>
      <c r="E364" s="1949">
        <v>45510</v>
      </c>
      <c r="F364" s="894" t="s">
        <v>191</v>
      </c>
      <c r="H364" s="317" t="str">
        <f>_xlfn.XLOOKUP(C363,'[36]Porta TN70'!$C:$C,'[36]Porta TN70'!$G:$G)</f>
        <v>Ö</v>
      </c>
    </row>
    <row r="365" spans="1:8">
      <c r="A365" s="894">
        <f t="shared" si="23"/>
        <v>362</v>
      </c>
      <c r="B365" s="894">
        <f t="shared" si="24"/>
        <v>77</v>
      </c>
      <c r="C365" s="894" t="s">
        <v>998</v>
      </c>
      <c r="D365" s="894"/>
      <c r="E365" s="1949">
        <v>45510</v>
      </c>
      <c r="F365" s="894" t="s">
        <v>191</v>
      </c>
      <c r="H365" s="317" t="str">
        <f>_xlfn.XLOOKUP(C364,'[36]Porta TN70'!$C:$C,'[36]Porta TN70'!$G:$G)</f>
        <v>Ö</v>
      </c>
    </row>
    <row r="366" spans="1:8">
      <c r="A366" s="894">
        <f t="shared" si="23"/>
        <v>363</v>
      </c>
      <c r="B366" s="894">
        <f t="shared" si="24"/>
        <v>78</v>
      </c>
      <c r="C366" s="894" t="s">
        <v>999</v>
      </c>
      <c r="D366" s="894"/>
      <c r="E366" s="1949">
        <v>45510</v>
      </c>
      <c r="F366" s="894" t="s">
        <v>191</v>
      </c>
      <c r="H366" s="317" t="str">
        <f>_xlfn.XLOOKUP(C365,'[36]Porta TN70'!$C:$C,'[36]Porta TN70'!$G:$G)</f>
        <v>Ö</v>
      </c>
    </row>
    <row r="367" spans="1:8">
      <c r="A367" s="894">
        <f t="shared" si="23"/>
        <v>364</v>
      </c>
      <c r="B367" s="894">
        <f t="shared" si="24"/>
        <v>79</v>
      </c>
      <c r="C367" s="894" t="s">
        <v>1000</v>
      </c>
      <c r="D367" s="894"/>
      <c r="E367" s="1949">
        <v>45510</v>
      </c>
      <c r="F367" s="894" t="s">
        <v>191</v>
      </c>
      <c r="H367" s="317" t="str">
        <f>_xlfn.XLOOKUP(C366,'[36]Porta TN70'!$C:$C,'[36]Porta TN70'!$G:$G)</f>
        <v>Ö</v>
      </c>
    </row>
    <row r="368" spans="1:8">
      <c r="A368" s="894">
        <f t="shared" si="23"/>
        <v>365</v>
      </c>
      <c r="B368" s="894">
        <f t="shared" si="24"/>
        <v>80</v>
      </c>
      <c r="C368" s="894" t="s">
        <v>1001</v>
      </c>
      <c r="D368" s="894"/>
      <c r="E368" s="1949">
        <v>45510</v>
      </c>
      <c r="F368" s="894" t="s">
        <v>191</v>
      </c>
      <c r="H368" s="317" t="str">
        <f>_xlfn.XLOOKUP(C367,'[36]Porta TN70'!$C:$C,'[36]Porta TN70'!$G:$G)</f>
        <v>Ö</v>
      </c>
    </row>
    <row r="369" spans="1:8">
      <c r="A369" s="894">
        <f t="shared" si="23"/>
        <v>366</v>
      </c>
      <c r="B369" s="894">
        <f t="shared" si="24"/>
        <v>81</v>
      </c>
      <c r="C369" s="894" t="s">
        <v>1002</v>
      </c>
      <c r="D369" s="894"/>
      <c r="E369" s="1949">
        <v>45510</v>
      </c>
      <c r="F369" s="894" t="s">
        <v>191</v>
      </c>
      <c r="H369" s="317" t="str">
        <f>_xlfn.XLOOKUP(C368,'[36]Porta TN70'!$C:$C,'[36]Porta TN70'!$G:$G)</f>
        <v>Ö</v>
      </c>
    </row>
    <row r="370" spans="1:8">
      <c r="A370" s="894">
        <f t="shared" si="23"/>
        <v>367</v>
      </c>
      <c r="B370" s="894">
        <f t="shared" si="24"/>
        <v>82</v>
      </c>
      <c r="C370" s="894" t="s">
        <v>1003</v>
      </c>
      <c r="D370" s="894"/>
      <c r="E370" s="1949">
        <v>45510</v>
      </c>
      <c r="F370" s="894" t="s">
        <v>191</v>
      </c>
      <c r="H370" s="317" t="str">
        <f>_xlfn.XLOOKUP(C369,'[36]Porta TN70'!$C:$C,'[36]Porta TN70'!$G:$G)</f>
        <v>Ö</v>
      </c>
    </row>
    <row r="371" spans="1:8">
      <c r="A371" s="894">
        <f t="shared" si="23"/>
        <v>368</v>
      </c>
      <c r="B371" s="894">
        <f t="shared" si="24"/>
        <v>83</v>
      </c>
      <c r="C371" s="894" t="s">
        <v>1004</v>
      </c>
      <c r="D371" s="894"/>
      <c r="E371" s="1949">
        <v>45510</v>
      </c>
      <c r="F371" s="894" t="s">
        <v>191</v>
      </c>
      <c r="H371" s="317" t="str">
        <f>_xlfn.XLOOKUP(C370,'[36]Porta TN70'!$C:$C,'[36]Porta TN70'!$G:$G)</f>
        <v>Ö</v>
      </c>
    </row>
    <row r="372" spans="1:8">
      <c r="A372" s="894">
        <f t="shared" si="23"/>
        <v>369</v>
      </c>
      <c r="B372" s="894">
        <f t="shared" si="24"/>
        <v>84</v>
      </c>
      <c r="C372" s="894" t="s">
        <v>1005</v>
      </c>
      <c r="D372" s="894"/>
      <c r="E372" s="1949">
        <v>45510</v>
      </c>
      <c r="F372" s="894" t="s">
        <v>191</v>
      </c>
      <c r="H372" s="317" t="str">
        <f>_xlfn.XLOOKUP(C371,'[36]Porta TN70'!$C:$C,'[36]Porta TN70'!$G:$G)</f>
        <v>Ö</v>
      </c>
    </row>
    <row r="373" spans="1:8">
      <c r="A373" s="894">
        <f t="shared" si="23"/>
        <v>370</v>
      </c>
      <c r="B373" s="894">
        <f t="shared" si="24"/>
        <v>85</v>
      </c>
      <c r="C373" s="894" t="s">
        <v>1006</v>
      </c>
      <c r="D373" s="894"/>
      <c r="E373" s="1949">
        <v>45510</v>
      </c>
      <c r="F373" s="894" t="s">
        <v>191</v>
      </c>
      <c r="H373" s="317" t="str">
        <f>_xlfn.XLOOKUP(C372,'[36]Porta TN70'!$C:$C,'[36]Porta TN70'!$G:$G)</f>
        <v>Ö</v>
      </c>
    </row>
    <row r="374" spans="1:8">
      <c r="A374" s="894">
        <f t="shared" si="23"/>
        <v>371</v>
      </c>
      <c r="B374" s="894">
        <f t="shared" si="24"/>
        <v>86</v>
      </c>
      <c r="C374" s="894" t="s">
        <v>1007</v>
      </c>
      <c r="D374" s="894"/>
      <c r="E374" s="1949">
        <v>45510</v>
      </c>
      <c r="F374" s="894" t="s">
        <v>191</v>
      </c>
      <c r="H374" s="317" t="str">
        <f>_xlfn.XLOOKUP(C373,'[36]Porta TN70'!$C:$C,'[36]Porta TN70'!$G:$G)</f>
        <v>Ö</v>
      </c>
    </row>
    <row r="375" spans="1:8">
      <c r="A375" s="894">
        <f t="shared" si="23"/>
        <v>372</v>
      </c>
      <c r="B375" s="894">
        <f t="shared" si="24"/>
        <v>87</v>
      </c>
      <c r="C375" s="894" t="s">
        <v>1008</v>
      </c>
      <c r="D375" s="894"/>
      <c r="E375" s="1949">
        <v>45510</v>
      </c>
      <c r="F375" s="894" t="s">
        <v>191</v>
      </c>
      <c r="H375" s="317" t="str">
        <f>_xlfn.XLOOKUP(C374,'[36]Porta TN70'!$C:$C,'[36]Porta TN70'!$G:$G)</f>
        <v>Ö</v>
      </c>
    </row>
    <row r="376" spans="1:8">
      <c r="A376" s="894">
        <f t="shared" si="23"/>
        <v>373</v>
      </c>
      <c r="B376" s="894">
        <f t="shared" si="24"/>
        <v>88</v>
      </c>
      <c r="C376" s="894" t="s">
        <v>1009</v>
      </c>
      <c r="D376" s="894"/>
      <c r="E376" s="1949">
        <v>45510</v>
      </c>
      <c r="F376" s="894" t="s">
        <v>191</v>
      </c>
      <c r="H376" s="317" t="str">
        <f>_xlfn.XLOOKUP(C375,'[36]Porta TN70'!$C:$C,'[36]Porta TN70'!$G:$G)</f>
        <v>Ö</v>
      </c>
    </row>
    <row r="377" spans="1:8">
      <c r="A377" s="894">
        <f t="shared" si="23"/>
        <v>374</v>
      </c>
      <c r="B377" s="894">
        <f t="shared" si="24"/>
        <v>89</v>
      </c>
      <c r="C377" s="894" t="s">
        <v>1010</v>
      </c>
      <c r="D377" s="894"/>
      <c r="E377" s="1949">
        <v>45510</v>
      </c>
      <c r="F377" s="894" t="s">
        <v>191</v>
      </c>
      <c r="H377" s="317" t="str">
        <f>_xlfn.XLOOKUP(C376,'[36]Porta TN70'!$C:$C,'[36]Porta TN70'!$G:$G)</f>
        <v>Ö</v>
      </c>
    </row>
    <row r="378" spans="1:8">
      <c r="A378" s="894">
        <f t="shared" si="23"/>
        <v>375</v>
      </c>
      <c r="B378" s="894">
        <f t="shared" si="24"/>
        <v>90</v>
      </c>
      <c r="C378" s="894" t="s">
        <v>1011</v>
      </c>
      <c r="D378" s="894"/>
      <c r="E378" s="1949">
        <v>45510</v>
      </c>
      <c r="F378" s="894" t="s">
        <v>191</v>
      </c>
      <c r="H378" s="317" t="str">
        <f>_xlfn.XLOOKUP(C377,'[36]Porta TN70'!$C:$C,'[36]Porta TN70'!$G:$G)</f>
        <v>Ö</v>
      </c>
    </row>
    <row r="379" spans="1:8">
      <c r="A379" s="894">
        <f t="shared" si="23"/>
        <v>376</v>
      </c>
      <c r="B379" s="894">
        <f t="shared" si="24"/>
        <v>91</v>
      </c>
      <c r="C379" s="894" t="s">
        <v>1012</v>
      </c>
      <c r="D379" s="894"/>
      <c r="E379" s="1949">
        <v>45510</v>
      </c>
      <c r="F379" s="894" t="s">
        <v>191</v>
      </c>
      <c r="H379" s="317" t="str">
        <f>_xlfn.XLOOKUP(C378,'[36]Porta TN70'!$C:$C,'[36]Porta TN70'!$G:$G)</f>
        <v>Ö</v>
      </c>
    </row>
    <row r="380" spans="1:8">
      <c r="A380" s="894">
        <f t="shared" si="23"/>
        <v>377</v>
      </c>
      <c r="B380" s="894">
        <f t="shared" si="24"/>
        <v>92</v>
      </c>
      <c r="C380" s="894" t="s">
        <v>1013</v>
      </c>
      <c r="D380" s="894"/>
      <c r="E380" s="1949">
        <v>45510</v>
      </c>
      <c r="F380" s="894" t="s">
        <v>191</v>
      </c>
      <c r="H380" s="317" t="str">
        <f>_xlfn.XLOOKUP(C379,'[36]Porta TN70'!$C:$C,'[36]Porta TN70'!$G:$G)</f>
        <v>Ö</v>
      </c>
    </row>
    <row r="381" spans="1:8">
      <c r="A381" s="894">
        <f t="shared" si="23"/>
        <v>378</v>
      </c>
      <c r="B381" s="894">
        <f t="shared" si="24"/>
        <v>93</v>
      </c>
      <c r="C381" s="894" t="s">
        <v>1014</v>
      </c>
      <c r="D381" s="894"/>
      <c r="E381" s="1949">
        <v>45510</v>
      </c>
      <c r="F381" s="894" t="s">
        <v>191</v>
      </c>
      <c r="H381" s="317" t="str">
        <f>_xlfn.XLOOKUP(C380,'[36]Porta TN70'!$C:$C,'[36]Porta TN70'!$G:$G)</f>
        <v>Ö</v>
      </c>
    </row>
    <row r="382" spans="1:8">
      <c r="A382" s="894">
        <f t="shared" si="23"/>
        <v>379</v>
      </c>
      <c r="B382" s="894">
        <f t="shared" si="24"/>
        <v>94</v>
      </c>
      <c r="C382" s="894" t="s">
        <v>1015</v>
      </c>
      <c r="D382" s="894"/>
      <c r="E382" s="1949">
        <v>45510</v>
      </c>
      <c r="F382" s="894" t="s">
        <v>191</v>
      </c>
      <c r="H382" s="317" t="str">
        <f>_xlfn.XLOOKUP(C381,'[36]Porta TN70'!$C:$C,'[36]Porta TN70'!$G:$G)</f>
        <v>Ö</v>
      </c>
    </row>
    <row r="383" spans="1:8">
      <c r="A383" s="894">
        <f t="shared" si="23"/>
        <v>380</v>
      </c>
      <c r="B383" s="894">
        <f t="shared" si="24"/>
        <v>95</v>
      </c>
      <c r="C383" s="894" t="s">
        <v>1016</v>
      </c>
      <c r="D383" s="894"/>
      <c r="E383" s="1949">
        <v>45510</v>
      </c>
      <c r="F383" s="894" t="s">
        <v>191</v>
      </c>
      <c r="H383" s="317" t="str">
        <f>_xlfn.XLOOKUP(C382,'[36]Porta TN70'!$C:$C,'[36]Porta TN70'!$G:$G)</f>
        <v>Ö</v>
      </c>
    </row>
    <row r="384" spans="1:8">
      <c r="A384" s="894">
        <f t="shared" si="23"/>
        <v>381</v>
      </c>
      <c r="B384" s="894">
        <f t="shared" si="24"/>
        <v>96</v>
      </c>
      <c r="C384" s="894" t="s">
        <v>1017</v>
      </c>
      <c r="D384" s="894"/>
      <c r="E384" s="1949">
        <v>45510</v>
      </c>
      <c r="F384" s="894" t="s">
        <v>191</v>
      </c>
      <c r="H384" s="317" t="str">
        <f>_xlfn.XLOOKUP(C383,'[36]Porta TN70'!$C:$C,'[36]Porta TN70'!$G:$G)</f>
        <v>Ö</v>
      </c>
    </row>
    <row r="385" spans="1:8">
      <c r="A385" s="894">
        <f t="shared" si="23"/>
        <v>382</v>
      </c>
      <c r="B385" s="894">
        <f t="shared" si="24"/>
        <v>97</v>
      </c>
      <c r="C385" s="894" t="s">
        <v>1018</v>
      </c>
      <c r="D385" s="894"/>
      <c r="E385" s="1949">
        <v>45510</v>
      </c>
      <c r="F385" s="894" t="s">
        <v>191</v>
      </c>
      <c r="H385" s="317" t="str">
        <f>_xlfn.XLOOKUP(C384,'[36]Porta TN70'!$C:$C,'[36]Porta TN70'!$G:$G)</f>
        <v>Ö</v>
      </c>
    </row>
    <row r="386" spans="1:8">
      <c r="A386" s="894">
        <f t="shared" si="23"/>
        <v>383</v>
      </c>
      <c r="B386" s="894">
        <f t="shared" si="24"/>
        <v>98</v>
      </c>
      <c r="C386" s="894" t="s">
        <v>1019</v>
      </c>
      <c r="D386" s="894"/>
      <c r="E386" s="1949">
        <v>45510</v>
      </c>
      <c r="F386" s="894" t="s">
        <v>191</v>
      </c>
      <c r="H386" s="317" t="str">
        <f>_xlfn.XLOOKUP(C385,'[36]Porta TN70'!$C:$C,'[36]Porta TN70'!$G:$G)</f>
        <v>Ö</v>
      </c>
    </row>
    <row r="387" spans="1:8">
      <c r="A387" s="894">
        <f t="shared" si="23"/>
        <v>384</v>
      </c>
      <c r="B387" s="894">
        <f t="shared" si="24"/>
        <v>99</v>
      </c>
      <c r="C387" s="894" t="s">
        <v>1020</v>
      </c>
      <c r="D387" s="894"/>
      <c r="E387" s="1949">
        <v>45510</v>
      </c>
      <c r="F387" s="894" t="s">
        <v>191</v>
      </c>
      <c r="H387" s="317" t="str">
        <f>_xlfn.XLOOKUP(C386,'[36]Porta TN70'!$C:$C,'[36]Porta TN70'!$G:$G)</f>
        <v>Ö</v>
      </c>
    </row>
    <row r="388" spans="1:8">
      <c r="A388" s="894">
        <f t="shared" si="23"/>
        <v>385</v>
      </c>
      <c r="B388" s="894">
        <f t="shared" si="24"/>
        <v>100</v>
      </c>
      <c r="C388" s="894" t="s">
        <v>1021</v>
      </c>
      <c r="D388" s="894"/>
      <c r="E388" s="1949">
        <v>45510</v>
      </c>
      <c r="F388" s="894" t="s">
        <v>191</v>
      </c>
      <c r="H388" s="317" t="str">
        <f>_xlfn.XLOOKUP(C387,'[36]Porta TN70'!$C:$C,'[36]Porta TN70'!$G:$G)</f>
        <v>Ö</v>
      </c>
    </row>
    <row r="389" spans="1:8">
      <c r="A389" s="894">
        <f t="shared" si="23"/>
        <v>386</v>
      </c>
      <c r="B389" s="894">
        <f t="shared" si="24"/>
        <v>101</v>
      </c>
      <c r="C389" s="894" t="s">
        <v>1022</v>
      </c>
      <c r="D389" s="894"/>
      <c r="E389" s="1949">
        <v>45510</v>
      </c>
      <c r="F389" s="894" t="s">
        <v>191</v>
      </c>
      <c r="H389" s="317" t="str">
        <f>_xlfn.XLOOKUP(C388,'[36]Porta TN70'!$C:$C,'[36]Porta TN70'!$G:$G)</f>
        <v>Ö</v>
      </c>
    </row>
    <row r="390" spans="1:8">
      <c r="A390" s="894">
        <f t="shared" si="24"/>
        <v>387</v>
      </c>
      <c r="B390" s="894">
        <f t="shared" si="24"/>
        <v>102</v>
      </c>
      <c r="C390" s="894" t="s">
        <v>1023</v>
      </c>
      <c r="D390" s="894"/>
      <c r="E390" s="1949">
        <v>45510</v>
      </c>
      <c r="F390" s="894" t="s">
        <v>191</v>
      </c>
      <c r="H390" s="317" t="str">
        <f>_xlfn.XLOOKUP(C389,'[36]Porta TN70'!$C:$C,'[36]Porta TN70'!$G:$G)</f>
        <v>Ö</v>
      </c>
    </row>
    <row r="391" spans="1:8">
      <c r="A391" s="894">
        <f t="shared" si="24"/>
        <v>388</v>
      </c>
      <c r="B391" s="894">
        <f t="shared" si="24"/>
        <v>103</v>
      </c>
      <c r="C391" s="894" t="s">
        <v>1024</v>
      </c>
      <c r="D391" s="894"/>
      <c r="E391" s="1949">
        <v>45510</v>
      </c>
      <c r="F391" s="894" t="s">
        <v>191</v>
      </c>
      <c r="H391" s="317" t="str">
        <f>_xlfn.XLOOKUP(C390,'[36]Porta TN70'!$C:$C,'[36]Porta TN70'!$G:$G)</f>
        <v>Ö</v>
      </c>
    </row>
    <row r="392" spans="1:8">
      <c r="A392" s="894">
        <f t="shared" si="24"/>
        <v>389</v>
      </c>
      <c r="B392" s="894">
        <f t="shared" si="24"/>
        <v>104</v>
      </c>
      <c r="C392" s="894" t="s">
        <v>1025</v>
      </c>
      <c r="D392" s="894"/>
      <c r="E392" s="1949">
        <v>45510</v>
      </c>
      <c r="F392" s="894" t="s">
        <v>191</v>
      </c>
      <c r="H392" s="317" t="str">
        <f>_xlfn.XLOOKUP(C391,'[36]Porta TN70'!$C:$C,'[36]Porta TN70'!$G:$G)</f>
        <v>Ö</v>
      </c>
    </row>
    <row r="393" spans="1:8">
      <c r="A393" s="894">
        <f t="shared" si="24"/>
        <v>390</v>
      </c>
      <c r="B393" s="894">
        <f t="shared" si="24"/>
        <v>105</v>
      </c>
      <c r="C393" s="894" t="s">
        <v>1026</v>
      </c>
      <c r="D393" s="894"/>
      <c r="E393" s="1949">
        <v>45510</v>
      </c>
      <c r="F393" s="894" t="s">
        <v>191</v>
      </c>
      <c r="H393" s="317" t="str">
        <f>_xlfn.XLOOKUP(C392,'[36]Porta TN70'!$C:$C,'[36]Porta TN70'!$G:$G)</f>
        <v>Ö</v>
      </c>
    </row>
    <row r="394" spans="1:8">
      <c r="A394" s="894">
        <f t="shared" si="24"/>
        <v>391</v>
      </c>
      <c r="B394" s="894">
        <f t="shared" si="24"/>
        <v>106</v>
      </c>
      <c r="C394" s="894" t="s">
        <v>1027</v>
      </c>
      <c r="D394" s="894"/>
      <c r="E394" s="1949">
        <v>45510</v>
      </c>
      <c r="F394" s="894" t="s">
        <v>191</v>
      </c>
      <c r="H394" s="317" t="str">
        <f>_xlfn.XLOOKUP(C393,'[36]Porta TN70'!$C:$C,'[36]Porta TN70'!$G:$G)</f>
        <v>Ö</v>
      </c>
    </row>
    <row r="395" spans="1:8">
      <c r="A395" s="894">
        <f t="shared" si="24"/>
        <v>392</v>
      </c>
      <c r="B395" s="894">
        <f t="shared" si="24"/>
        <v>107</v>
      </c>
      <c r="C395" s="894" t="s">
        <v>1028</v>
      </c>
      <c r="D395" s="894"/>
      <c r="E395" s="1949">
        <v>45510</v>
      </c>
      <c r="F395" s="894" t="s">
        <v>191</v>
      </c>
      <c r="H395" s="317" t="str">
        <f>_xlfn.XLOOKUP(C394,'[36]Porta TN70'!$C:$C,'[36]Porta TN70'!$G:$G)</f>
        <v>Ö</v>
      </c>
    </row>
    <row r="396" spans="1:8">
      <c r="A396" s="894">
        <f t="shared" si="24"/>
        <v>393</v>
      </c>
      <c r="B396" s="894">
        <f t="shared" si="24"/>
        <v>108</v>
      </c>
      <c r="C396" s="894" t="s">
        <v>1029</v>
      </c>
      <c r="D396" s="894"/>
      <c r="E396" s="1949">
        <v>45510</v>
      </c>
      <c r="F396" s="894" t="s">
        <v>191</v>
      </c>
      <c r="H396" s="317" t="str">
        <f>_xlfn.XLOOKUP(C395,'[36]Porta TN70'!$C:$C,'[36]Porta TN70'!$G:$G)</f>
        <v>Ö</v>
      </c>
    </row>
    <row r="397" spans="1:8">
      <c r="A397" s="894">
        <f t="shared" si="24"/>
        <v>394</v>
      </c>
      <c r="B397" s="894">
        <f t="shared" si="24"/>
        <v>109</v>
      </c>
      <c r="C397" s="894" t="s">
        <v>1030</v>
      </c>
      <c r="D397" s="894"/>
      <c r="E397" s="1949">
        <v>45510</v>
      </c>
      <c r="F397" s="894" t="s">
        <v>191</v>
      </c>
      <c r="H397" s="317" t="str">
        <f>_xlfn.XLOOKUP(C396,'[36]Porta TN70'!$C:$C,'[36]Porta TN70'!$G:$G)</f>
        <v>Ö</v>
      </c>
    </row>
    <row r="398" spans="1:8">
      <c r="A398" s="894">
        <f t="shared" si="24"/>
        <v>395</v>
      </c>
      <c r="B398" s="894">
        <f t="shared" si="24"/>
        <v>110</v>
      </c>
      <c r="C398" s="894" t="s">
        <v>1031</v>
      </c>
      <c r="D398" s="894"/>
      <c r="E398" s="1949">
        <v>45510</v>
      </c>
      <c r="F398" s="894" t="s">
        <v>191</v>
      </c>
      <c r="H398" s="317" t="str">
        <f>_xlfn.XLOOKUP(C397,'[36]Porta TN70'!$C:$C,'[36]Porta TN70'!$G:$G)</f>
        <v>Ö</v>
      </c>
    </row>
    <row r="399" spans="1:8">
      <c r="A399" s="894">
        <f t="shared" si="24"/>
        <v>396</v>
      </c>
      <c r="B399" s="894">
        <f t="shared" si="24"/>
        <v>111</v>
      </c>
      <c r="C399" s="894" t="s">
        <v>1032</v>
      </c>
      <c r="D399" s="894"/>
      <c r="E399" s="1949">
        <v>45510</v>
      </c>
      <c r="F399" s="894" t="s">
        <v>191</v>
      </c>
      <c r="H399" s="317" t="str">
        <f>_xlfn.XLOOKUP(C398,'[36]Porta TN70'!$C:$C,'[36]Porta TN70'!$G:$G)</f>
        <v>Ö</v>
      </c>
    </row>
    <row r="400" spans="1:8">
      <c r="A400" s="894">
        <f t="shared" si="24"/>
        <v>397</v>
      </c>
      <c r="B400" s="894">
        <f t="shared" si="24"/>
        <v>112</v>
      </c>
      <c r="C400" s="894" t="s">
        <v>1033</v>
      </c>
      <c r="D400" s="894"/>
      <c r="E400" s="1949">
        <v>45510</v>
      </c>
      <c r="F400" s="894" t="s">
        <v>191</v>
      </c>
      <c r="H400" s="317" t="str">
        <f>_xlfn.XLOOKUP(C399,'[36]Porta TN70'!$C:$C,'[36]Porta TN70'!$G:$G)</f>
        <v>Ö</v>
      </c>
    </row>
    <row r="401" spans="1:8">
      <c r="A401" s="894">
        <f t="shared" si="24"/>
        <v>398</v>
      </c>
      <c r="B401" s="894">
        <f t="shared" si="24"/>
        <v>113</v>
      </c>
      <c r="C401" s="894" t="s">
        <v>1034</v>
      </c>
      <c r="D401" s="894"/>
      <c r="E401" s="1949">
        <v>45510</v>
      </c>
      <c r="F401" s="894" t="s">
        <v>191</v>
      </c>
      <c r="H401" s="317" t="str">
        <f>_xlfn.XLOOKUP(C400,'[36]Porta TN70'!$C:$C,'[36]Porta TN70'!$G:$G)</f>
        <v>Ö</v>
      </c>
    </row>
    <row r="402" spans="1:8">
      <c r="A402" s="894">
        <f t="shared" si="24"/>
        <v>399</v>
      </c>
      <c r="B402" s="894">
        <f t="shared" si="24"/>
        <v>114</v>
      </c>
      <c r="C402" s="894" t="s">
        <v>1035</v>
      </c>
      <c r="D402" s="894"/>
      <c r="E402" s="1949">
        <v>45510</v>
      </c>
      <c r="F402" s="894" t="s">
        <v>191</v>
      </c>
      <c r="H402" s="317" t="str">
        <f>_xlfn.XLOOKUP(C401,'[36]Porta TN70'!$C:$C,'[36]Porta TN70'!$G:$G)</f>
        <v>Ö</v>
      </c>
    </row>
    <row r="403" spans="1:8">
      <c r="A403" s="894">
        <f t="shared" si="24"/>
        <v>400</v>
      </c>
      <c r="B403" s="894">
        <f t="shared" si="24"/>
        <v>115</v>
      </c>
      <c r="C403" s="894" t="s">
        <v>1036</v>
      </c>
      <c r="D403" s="894"/>
      <c r="E403" s="1949">
        <v>45510</v>
      </c>
      <c r="F403" s="894" t="s">
        <v>191</v>
      </c>
      <c r="H403" s="317" t="str">
        <f>_xlfn.XLOOKUP(C402,'[36]Porta TN70'!$C:$C,'[36]Porta TN70'!$G:$G)</f>
        <v>Ö</v>
      </c>
    </row>
    <row r="404" spans="1:8">
      <c r="A404" s="894">
        <f t="shared" si="24"/>
        <v>401</v>
      </c>
      <c r="B404" s="894">
        <f t="shared" si="24"/>
        <v>116</v>
      </c>
      <c r="C404" s="894" t="s">
        <v>1037</v>
      </c>
      <c r="D404" s="894"/>
      <c r="E404" s="1949">
        <v>45510</v>
      </c>
      <c r="F404" s="894" t="s">
        <v>191</v>
      </c>
      <c r="H404" s="317" t="str">
        <f>_xlfn.XLOOKUP(C403,'[36]Porta TN70'!$C:$C,'[36]Porta TN70'!$G:$G)</f>
        <v>Ö</v>
      </c>
    </row>
    <row r="405" spans="1:8">
      <c r="A405" s="894">
        <f t="shared" si="24"/>
        <v>402</v>
      </c>
      <c r="B405" s="894">
        <f t="shared" si="24"/>
        <v>117</v>
      </c>
      <c r="C405" s="894" t="s">
        <v>1038</v>
      </c>
      <c r="D405" s="894"/>
      <c r="E405" s="1949">
        <v>45510</v>
      </c>
      <c r="F405" s="894" t="s">
        <v>191</v>
      </c>
      <c r="H405" s="317" t="str">
        <f>_xlfn.XLOOKUP(C404,'[36]Porta TN70'!$C:$C,'[36]Porta TN70'!$G:$G)</f>
        <v>Ö</v>
      </c>
    </row>
    <row r="406" spans="1:8">
      <c r="A406" s="894">
        <f t="shared" si="24"/>
        <v>403</v>
      </c>
      <c r="B406" s="894">
        <f t="shared" si="24"/>
        <v>118</v>
      </c>
      <c r="C406" s="894" t="s">
        <v>1039</v>
      </c>
      <c r="D406" s="894"/>
      <c r="E406" s="1949">
        <v>45510</v>
      </c>
      <c r="F406" s="894" t="s">
        <v>191</v>
      </c>
      <c r="H406" s="317" t="str">
        <f>_xlfn.XLOOKUP(C405,'[36]Porta TN70'!$C:$C,'[36]Porta TN70'!$G:$G)</f>
        <v>Ö</v>
      </c>
    </row>
    <row r="407" spans="1:8">
      <c r="A407" s="894">
        <f t="shared" si="24"/>
        <v>404</v>
      </c>
      <c r="B407" s="894">
        <f t="shared" si="24"/>
        <v>119</v>
      </c>
      <c r="C407" s="894" t="s">
        <v>1040</v>
      </c>
      <c r="D407" s="894"/>
      <c r="E407" s="1949">
        <v>45510</v>
      </c>
      <c r="F407" s="894" t="s">
        <v>191</v>
      </c>
      <c r="H407" s="317" t="str">
        <f>_xlfn.XLOOKUP(C406,'[36]Porta TN70'!$C:$C,'[36]Porta TN70'!$G:$G)</f>
        <v>Ö</v>
      </c>
    </row>
    <row r="408" spans="1:8">
      <c r="A408" s="894">
        <f t="shared" si="24"/>
        <v>405</v>
      </c>
      <c r="B408" s="894">
        <f t="shared" si="24"/>
        <v>120</v>
      </c>
      <c r="C408" s="894" t="s">
        <v>1041</v>
      </c>
      <c r="D408" s="894"/>
      <c r="E408" s="1949">
        <v>45510</v>
      </c>
      <c r="F408" s="894" t="s">
        <v>191</v>
      </c>
      <c r="H408" s="317" t="str">
        <f>_xlfn.XLOOKUP(C407,'[36]Porta TN70'!$C:$C,'[36]Porta TN70'!$G:$G)</f>
        <v>Ö</v>
      </c>
    </row>
    <row r="409" spans="1:8">
      <c r="A409" s="894">
        <f t="shared" si="24"/>
        <v>406</v>
      </c>
      <c r="B409" s="894">
        <f t="shared" si="24"/>
        <v>121</v>
      </c>
      <c r="C409" s="894" t="s">
        <v>1042</v>
      </c>
      <c r="D409" s="894"/>
      <c r="E409" s="1949">
        <v>45510</v>
      </c>
      <c r="F409" s="894" t="s">
        <v>191</v>
      </c>
      <c r="H409" s="317" t="str">
        <f>_xlfn.XLOOKUP(C408,'[36]Porta TN70'!$C:$C,'[36]Porta TN70'!$G:$G)</f>
        <v>Ö</v>
      </c>
    </row>
    <row r="410" spans="1:8">
      <c r="A410" s="894">
        <f t="shared" si="24"/>
        <v>407</v>
      </c>
      <c r="B410" s="894">
        <f t="shared" si="24"/>
        <v>122</v>
      </c>
      <c r="C410" s="894" t="s">
        <v>1043</v>
      </c>
      <c r="D410" s="894"/>
      <c r="E410" s="1949">
        <v>45510</v>
      </c>
      <c r="F410" s="894" t="s">
        <v>191</v>
      </c>
      <c r="H410" s="317" t="str">
        <f>_xlfn.XLOOKUP(C409,'[36]Porta TN70'!$C:$C,'[36]Porta TN70'!$G:$G)</f>
        <v>Ö</v>
      </c>
    </row>
    <row r="411" spans="1:8">
      <c r="A411" s="894">
        <f t="shared" si="24"/>
        <v>408</v>
      </c>
      <c r="B411" s="894">
        <f t="shared" si="24"/>
        <v>123</v>
      </c>
      <c r="C411" s="894" t="s">
        <v>1044</v>
      </c>
      <c r="D411" s="894"/>
      <c r="E411" s="1949">
        <v>45510</v>
      </c>
      <c r="F411" s="894" t="s">
        <v>191</v>
      </c>
      <c r="H411" s="317" t="str">
        <f>_xlfn.XLOOKUP(C410,'[36]Porta TN70'!$C:$C,'[36]Porta TN70'!$G:$G)</f>
        <v>Ö</v>
      </c>
    </row>
    <row r="412" spans="1:8">
      <c r="A412" s="894">
        <f t="shared" si="24"/>
        <v>409</v>
      </c>
      <c r="B412" s="894">
        <f t="shared" ref="A412:B517" si="25">B411+1</f>
        <v>124</v>
      </c>
      <c r="C412" s="894" t="s">
        <v>1045</v>
      </c>
      <c r="D412" s="894"/>
      <c r="E412" s="1949">
        <v>45510</v>
      </c>
      <c r="F412" s="894" t="s">
        <v>191</v>
      </c>
      <c r="H412" s="317" t="str">
        <f>_xlfn.XLOOKUP(C411,'[36]Porta TN70'!$C:$C,'[36]Porta TN70'!$G:$G)</f>
        <v>Ö</v>
      </c>
    </row>
    <row r="413" spans="1:8">
      <c r="A413" s="894">
        <f t="shared" si="24"/>
        <v>410</v>
      </c>
      <c r="B413" s="894">
        <f t="shared" si="25"/>
        <v>125</v>
      </c>
      <c r="C413" s="894" t="s">
        <v>1046</v>
      </c>
      <c r="D413" s="894"/>
      <c r="E413" s="1949">
        <v>45510</v>
      </c>
      <c r="F413" s="894" t="s">
        <v>191</v>
      </c>
      <c r="H413" s="317" t="str">
        <f>_xlfn.XLOOKUP(C412,'[36]Porta TN70'!$C:$C,'[36]Porta TN70'!$G:$G)</f>
        <v>Ö</v>
      </c>
    </row>
    <row r="414" spans="1:8">
      <c r="A414" s="894">
        <f t="shared" si="24"/>
        <v>411</v>
      </c>
      <c r="B414" s="894">
        <f t="shared" si="25"/>
        <v>126</v>
      </c>
      <c r="C414" s="894" t="s">
        <v>1047</v>
      </c>
      <c r="D414" s="894"/>
      <c r="E414" s="1949">
        <v>45510</v>
      </c>
      <c r="F414" s="894" t="s">
        <v>191</v>
      </c>
      <c r="H414" s="317" t="str">
        <f>_xlfn.XLOOKUP(C413,'[36]Porta TN70'!$C:$C,'[36]Porta TN70'!$G:$G)</f>
        <v>Ö</v>
      </c>
    </row>
    <row r="415" spans="1:8">
      <c r="A415" s="894">
        <f t="shared" si="24"/>
        <v>412</v>
      </c>
      <c r="B415" s="894">
        <f t="shared" si="25"/>
        <v>127</v>
      </c>
      <c r="C415" s="894" t="s">
        <v>1048</v>
      </c>
      <c r="D415" s="894"/>
      <c r="E415" s="1949">
        <v>45510</v>
      </c>
      <c r="F415" s="894" t="s">
        <v>191</v>
      </c>
      <c r="H415" s="317" t="str">
        <f>_xlfn.XLOOKUP(C414,'[36]Porta TN70'!$C:$C,'[36]Porta TN70'!$G:$G)</f>
        <v>Ö</v>
      </c>
    </row>
    <row r="416" spans="1:8">
      <c r="A416" s="894">
        <f t="shared" si="24"/>
        <v>413</v>
      </c>
      <c r="B416" s="894">
        <f t="shared" si="25"/>
        <v>128</v>
      </c>
      <c r="C416" s="894" t="s">
        <v>1049</v>
      </c>
      <c r="D416" s="894"/>
      <c r="E416" s="1949">
        <v>45510</v>
      </c>
      <c r="F416" s="894" t="s">
        <v>191</v>
      </c>
      <c r="H416" s="317" t="str">
        <f>_xlfn.XLOOKUP(C415,'[36]Porta TN70'!$C:$C,'[36]Porta TN70'!$G:$G)</f>
        <v>Ö</v>
      </c>
    </row>
    <row r="417" spans="1:8">
      <c r="A417" s="894">
        <f t="shared" si="24"/>
        <v>414</v>
      </c>
      <c r="B417" s="894">
        <f t="shared" si="25"/>
        <v>129</v>
      </c>
      <c r="C417" s="894" t="s">
        <v>1050</v>
      </c>
      <c r="D417" s="894"/>
      <c r="E417" s="1949">
        <v>45510</v>
      </c>
      <c r="F417" s="894" t="s">
        <v>191</v>
      </c>
      <c r="H417" s="317" t="str">
        <f>_xlfn.XLOOKUP(C416,'[36]Porta TN70'!$C:$C,'[36]Porta TN70'!$G:$G)</f>
        <v>Ö</v>
      </c>
    </row>
    <row r="418" spans="1:8">
      <c r="A418" s="894">
        <f t="shared" si="24"/>
        <v>415</v>
      </c>
      <c r="B418" s="894">
        <f t="shared" si="25"/>
        <v>130</v>
      </c>
      <c r="C418" s="894" t="s">
        <v>1051</v>
      </c>
      <c r="D418" s="894"/>
      <c r="E418" s="1949">
        <v>45510</v>
      </c>
      <c r="F418" s="894" t="s">
        <v>191</v>
      </c>
      <c r="H418" s="317" t="str">
        <f>_xlfn.XLOOKUP(C417,'[36]Porta TN70'!$C:$C,'[36]Porta TN70'!$G:$G)</f>
        <v>Ö</v>
      </c>
    </row>
    <row r="419" spans="1:8">
      <c r="A419" s="894">
        <f t="shared" si="24"/>
        <v>416</v>
      </c>
      <c r="B419" s="894">
        <f t="shared" si="25"/>
        <v>131</v>
      </c>
      <c r="C419" s="894" t="s">
        <v>1052</v>
      </c>
      <c r="D419" s="894"/>
      <c r="E419" s="1949">
        <v>45510</v>
      </c>
      <c r="F419" s="894" t="s">
        <v>191</v>
      </c>
      <c r="H419" s="317" t="str">
        <f>_xlfn.XLOOKUP(C418,'[36]Porta TN70'!$C:$C,'[36]Porta TN70'!$G:$G)</f>
        <v>Ö</v>
      </c>
    </row>
    <row r="420" spans="1:8">
      <c r="A420" s="894">
        <f t="shared" si="24"/>
        <v>417</v>
      </c>
      <c r="B420" s="894">
        <f t="shared" si="25"/>
        <v>132</v>
      </c>
      <c r="C420" s="894" t="s">
        <v>1053</v>
      </c>
      <c r="D420" s="894"/>
      <c r="E420" s="1949">
        <v>45510</v>
      </c>
      <c r="F420" s="894" t="s">
        <v>191</v>
      </c>
      <c r="H420" s="317" t="str">
        <f>_xlfn.XLOOKUP(C419,'[36]Porta TN70'!$C:$C,'[36]Porta TN70'!$G:$G)</f>
        <v>Ö</v>
      </c>
    </row>
    <row r="421" spans="1:8">
      <c r="A421" s="894">
        <f t="shared" si="24"/>
        <v>418</v>
      </c>
      <c r="B421" s="894">
        <f t="shared" si="25"/>
        <v>133</v>
      </c>
      <c r="C421" s="894" t="s">
        <v>1054</v>
      </c>
      <c r="D421" s="894"/>
      <c r="E421" s="1949">
        <v>45510</v>
      </c>
      <c r="F421" s="894" t="s">
        <v>191</v>
      </c>
      <c r="H421" s="317" t="str">
        <f>_xlfn.XLOOKUP(C420,'[36]Porta TN70'!$C:$C,'[36]Porta TN70'!$G:$G)</f>
        <v>Ö</v>
      </c>
    </row>
    <row r="422" spans="1:8">
      <c r="A422" s="894">
        <f t="shared" si="24"/>
        <v>419</v>
      </c>
      <c r="B422" s="894">
        <f t="shared" si="25"/>
        <v>134</v>
      </c>
      <c r="C422" s="894" t="s">
        <v>1055</v>
      </c>
      <c r="D422" s="894"/>
      <c r="E422" s="1949">
        <v>45510</v>
      </c>
      <c r="F422" s="894" t="s">
        <v>191</v>
      </c>
      <c r="H422" s="317" t="str">
        <f>_xlfn.XLOOKUP(C421,'[36]Porta TN70'!$C:$C,'[36]Porta TN70'!$G:$G)</f>
        <v>Ö</v>
      </c>
    </row>
    <row r="423" spans="1:8">
      <c r="A423" s="894">
        <f t="shared" si="24"/>
        <v>420</v>
      </c>
      <c r="B423" s="894">
        <f t="shared" si="25"/>
        <v>135</v>
      </c>
      <c r="C423" s="894" t="s">
        <v>1056</v>
      </c>
      <c r="D423" s="894"/>
      <c r="E423" s="1949">
        <v>45510</v>
      </c>
      <c r="F423" s="894" t="s">
        <v>191</v>
      </c>
      <c r="H423" s="317" t="str">
        <f>_xlfn.XLOOKUP(C422,'[36]Porta TN70'!$C:$C,'[36]Porta TN70'!$G:$G)</f>
        <v>Ö</v>
      </c>
    </row>
    <row r="424" spans="1:8">
      <c r="A424" s="894">
        <f t="shared" si="24"/>
        <v>421</v>
      </c>
      <c r="B424" s="894">
        <v>1</v>
      </c>
      <c r="C424" s="894" t="s">
        <v>1057</v>
      </c>
      <c r="D424" s="894"/>
      <c r="E424" s="1949">
        <v>45541</v>
      </c>
      <c r="F424" s="894" t="s">
        <v>191</v>
      </c>
      <c r="H424" s="317" t="str">
        <f>_xlfn.XLOOKUP(C423,'[36]Porta TN70'!$C:$C,'[36]Porta TN70'!$G:$G)</f>
        <v>Ö</v>
      </c>
    </row>
    <row r="425" spans="1:8">
      <c r="A425" s="894">
        <f t="shared" si="24"/>
        <v>422</v>
      </c>
      <c r="B425" s="894">
        <f t="shared" si="25"/>
        <v>2</v>
      </c>
      <c r="C425" s="894" t="s">
        <v>1058</v>
      </c>
      <c r="D425" s="894"/>
      <c r="E425" s="1949">
        <v>45541</v>
      </c>
      <c r="F425" s="894" t="s">
        <v>191</v>
      </c>
      <c r="H425" s="317" t="str">
        <f>_xlfn.XLOOKUP(C424,'[36]Porta TN70'!$C:$C,'[36]Porta TN70'!$G:$G)</f>
        <v>Ö</v>
      </c>
    </row>
    <row r="426" spans="1:8">
      <c r="A426" s="894">
        <f t="shared" si="24"/>
        <v>423</v>
      </c>
      <c r="B426" s="894">
        <f t="shared" si="25"/>
        <v>3</v>
      </c>
      <c r="C426" s="894" t="s">
        <v>1059</v>
      </c>
      <c r="D426" s="894"/>
      <c r="E426" s="1949">
        <v>45541</v>
      </c>
      <c r="F426" s="894" t="s">
        <v>191</v>
      </c>
      <c r="H426" s="317" t="str">
        <f>_xlfn.XLOOKUP(C425,'[36]Porta TN70'!$C:$C,'[36]Porta TN70'!$G:$G)</f>
        <v>Ö</v>
      </c>
    </row>
    <row r="427" spans="1:8">
      <c r="A427" s="894">
        <f t="shared" si="24"/>
        <v>424</v>
      </c>
      <c r="B427" s="894">
        <f t="shared" si="25"/>
        <v>4</v>
      </c>
      <c r="C427" s="894" t="s">
        <v>1060</v>
      </c>
      <c r="D427" s="894"/>
      <c r="E427" s="1949">
        <v>45541</v>
      </c>
      <c r="F427" s="894" t="s">
        <v>191</v>
      </c>
      <c r="H427" s="317" t="str">
        <f>_xlfn.XLOOKUP(C426,'[36]Porta TN70'!$C:$C,'[36]Porta TN70'!$G:$G)</f>
        <v>Ö</v>
      </c>
    </row>
    <row r="428" spans="1:8">
      <c r="A428" s="894">
        <f t="shared" si="24"/>
        <v>425</v>
      </c>
      <c r="B428" s="894">
        <f t="shared" si="25"/>
        <v>5</v>
      </c>
      <c r="C428" s="894" t="s">
        <v>1061</v>
      </c>
      <c r="D428" s="894"/>
      <c r="E428" s="1949">
        <v>45541</v>
      </c>
      <c r="F428" s="894" t="s">
        <v>191</v>
      </c>
      <c r="H428" s="317" t="str">
        <f>_xlfn.XLOOKUP(C427,'[36]Porta TN70'!$C:$C,'[36]Porta TN70'!$G:$G)</f>
        <v>Ö</v>
      </c>
    </row>
    <row r="429" spans="1:8">
      <c r="A429" s="894">
        <f t="shared" si="24"/>
        <v>426</v>
      </c>
      <c r="B429" s="894">
        <f t="shared" si="25"/>
        <v>6</v>
      </c>
      <c r="C429" s="894" t="s">
        <v>1062</v>
      </c>
      <c r="D429" s="894"/>
      <c r="E429" s="1949">
        <v>45541</v>
      </c>
      <c r="F429" s="894" t="s">
        <v>191</v>
      </c>
      <c r="H429" s="317" t="str">
        <f>_xlfn.XLOOKUP(C428,'[36]Porta TN70'!$C:$C,'[36]Porta TN70'!$G:$G)</f>
        <v>Ö</v>
      </c>
    </row>
    <row r="430" spans="1:8">
      <c r="A430" s="894">
        <f t="shared" si="24"/>
        <v>427</v>
      </c>
      <c r="B430" s="894">
        <f t="shared" si="25"/>
        <v>7</v>
      </c>
      <c r="C430" s="894" t="s">
        <v>1063</v>
      </c>
      <c r="D430" s="894"/>
      <c r="E430" s="1949">
        <v>45541</v>
      </c>
      <c r="F430" s="894" t="s">
        <v>191</v>
      </c>
      <c r="H430" s="317" t="str">
        <f>_xlfn.XLOOKUP(C429,'[36]Porta TN70'!$C:$C,'[36]Porta TN70'!$G:$G)</f>
        <v>Ö</v>
      </c>
    </row>
    <row r="431" spans="1:8">
      <c r="A431" s="894">
        <f t="shared" si="24"/>
        <v>428</v>
      </c>
      <c r="B431" s="894">
        <f t="shared" ref="B431" si="26">B430+1</f>
        <v>8</v>
      </c>
      <c r="C431" s="894" t="s">
        <v>1064</v>
      </c>
      <c r="D431" s="894"/>
      <c r="E431" s="1949">
        <v>45541</v>
      </c>
      <c r="F431" s="894" t="s">
        <v>191</v>
      </c>
      <c r="H431" s="317" t="str">
        <f>_xlfn.XLOOKUP(C430,'[36]Porta TN70'!$C:$C,'[36]Porta TN70'!$G:$G)</f>
        <v>Ö</v>
      </c>
    </row>
    <row r="432" spans="1:8">
      <c r="A432" s="894">
        <f t="shared" si="24"/>
        <v>429</v>
      </c>
      <c r="B432" s="894">
        <f t="shared" ref="B432" si="27">B431+1</f>
        <v>9</v>
      </c>
      <c r="C432" s="894" t="s">
        <v>1065</v>
      </c>
      <c r="D432" s="894"/>
      <c r="E432" s="1949">
        <v>45541</v>
      </c>
      <c r="F432" s="894" t="s">
        <v>191</v>
      </c>
      <c r="H432" s="317" t="str">
        <f>_xlfn.XLOOKUP(C431,'[36]Porta TN70'!$C:$C,'[36]Porta TN70'!$G:$G)</f>
        <v>Ö</v>
      </c>
    </row>
    <row r="433" spans="1:8">
      <c r="A433" s="894">
        <f t="shared" si="24"/>
        <v>430</v>
      </c>
      <c r="B433" s="894">
        <f t="shared" ref="B433" si="28">B432+1</f>
        <v>10</v>
      </c>
      <c r="C433" s="894" t="s">
        <v>1066</v>
      </c>
      <c r="D433" s="894"/>
      <c r="E433" s="1949">
        <v>45541</v>
      </c>
      <c r="F433" s="894" t="s">
        <v>191</v>
      </c>
      <c r="H433" s="317" t="str">
        <f>_xlfn.XLOOKUP(C432,'[36]Porta TN70'!$C:$C,'[36]Porta TN70'!$G:$G)</f>
        <v>Ö</v>
      </c>
    </row>
    <row r="434" spans="1:8">
      <c r="A434" s="894">
        <f t="shared" si="24"/>
        <v>431</v>
      </c>
      <c r="B434" s="894">
        <f>+B433+1</f>
        <v>11</v>
      </c>
      <c r="C434" s="894" t="s">
        <v>1067</v>
      </c>
      <c r="D434" s="894"/>
      <c r="E434" s="1949">
        <v>45541</v>
      </c>
      <c r="F434" s="894" t="s">
        <v>191</v>
      </c>
      <c r="H434" s="317" t="str">
        <f>_xlfn.XLOOKUP(C433,'[36]Porta TN70'!$C:$C,'[36]Porta TN70'!$G:$G)</f>
        <v>Ö</v>
      </c>
    </row>
    <row r="435" spans="1:8">
      <c r="A435" s="894">
        <f t="shared" si="24"/>
        <v>432</v>
      </c>
      <c r="B435" s="894">
        <f>+B434+1</f>
        <v>12</v>
      </c>
      <c r="C435" s="894" t="s">
        <v>1068</v>
      </c>
      <c r="D435" s="894"/>
      <c r="E435" s="1949">
        <v>45541</v>
      </c>
      <c r="F435" s="894" t="s">
        <v>191</v>
      </c>
      <c r="H435" s="317" t="str">
        <f>_xlfn.XLOOKUP(C434,'[36]Porta TN70'!$C:$C,'[36]Porta TN70'!$G:$G)</f>
        <v>Ö</v>
      </c>
    </row>
    <row r="436" spans="1:8">
      <c r="A436" s="894">
        <f t="shared" si="24"/>
        <v>433</v>
      </c>
      <c r="B436" s="894">
        <f t="shared" ref="B436:B437" si="29">B435+1</f>
        <v>13</v>
      </c>
      <c r="C436" s="894" t="s">
        <v>1069</v>
      </c>
      <c r="D436" s="894"/>
      <c r="E436" s="1949">
        <v>45541</v>
      </c>
      <c r="F436" s="894" t="s">
        <v>191</v>
      </c>
      <c r="H436" s="317" t="str">
        <f>_xlfn.XLOOKUP(C435,'[36]Porta TN70'!$C:$C,'[36]Porta TN70'!$G:$G)</f>
        <v>Ö</v>
      </c>
    </row>
    <row r="437" spans="1:8">
      <c r="A437" s="894">
        <f t="shared" si="24"/>
        <v>434</v>
      </c>
      <c r="B437" s="894">
        <f t="shared" si="29"/>
        <v>14</v>
      </c>
      <c r="C437" s="894" t="s">
        <v>1070</v>
      </c>
      <c r="D437" s="894"/>
      <c r="E437" s="1949">
        <v>45541</v>
      </c>
      <c r="F437" s="894" t="s">
        <v>191</v>
      </c>
      <c r="H437" s="317" t="str">
        <f>_xlfn.XLOOKUP(C436,'[36]Porta TN70'!$C:$C,'[36]Porta TN70'!$G:$G)</f>
        <v>Ö</v>
      </c>
    </row>
    <row r="438" spans="1:8">
      <c r="A438" s="894">
        <f t="shared" si="24"/>
        <v>435</v>
      </c>
      <c r="B438" s="894">
        <f t="shared" ref="B438" si="30">B437+1</f>
        <v>15</v>
      </c>
      <c r="C438" s="894" t="s">
        <v>1071</v>
      </c>
      <c r="D438" s="894"/>
      <c r="E438" s="1949">
        <v>45541</v>
      </c>
      <c r="F438" s="894" t="s">
        <v>191</v>
      </c>
      <c r="H438" s="317" t="str">
        <f>_xlfn.XLOOKUP(C437,'[36]Porta TN70'!$C:$C,'[36]Porta TN70'!$G:$G)</f>
        <v>Ö</v>
      </c>
    </row>
    <row r="439" spans="1:8">
      <c r="A439" s="894">
        <f t="shared" si="24"/>
        <v>436</v>
      </c>
      <c r="B439" s="894">
        <f t="shared" ref="B439" si="31">B438+1</f>
        <v>16</v>
      </c>
      <c r="C439" s="894" t="s">
        <v>1072</v>
      </c>
      <c r="D439" s="894"/>
      <c r="E439" s="1949">
        <v>45541</v>
      </c>
      <c r="F439" s="894" t="s">
        <v>191</v>
      </c>
      <c r="H439" s="317" t="str">
        <f>_xlfn.XLOOKUP(C438,'[36]Porta TN70'!$C:$C,'[36]Porta TN70'!$G:$G)</f>
        <v>Ö</v>
      </c>
    </row>
    <row r="440" spans="1:8">
      <c r="A440" s="894">
        <f t="shared" si="24"/>
        <v>437</v>
      </c>
      <c r="B440" s="894">
        <f t="shared" ref="B440:B441" si="32">B439+1</f>
        <v>17</v>
      </c>
      <c r="C440" s="894" t="s">
        <v>1073</v>
      </c>
      <c r="D440" s="894"/>
      <c r="E440" s="1949">
        <v>45541</v>
      </c>
      <c r="F440" s="894" t="s">
        <v>191</v>
      </c>
      <c r="H440" s="317" t="str">
        <f>_xlfn.XLOOKUP(C439,'[36]Porta TN70'!$C:$C,'[36]Porta TN70'!$G:$G)</f>
        <v>Ö</v>
      </c>
    </row>
    <row r="441" spans="1:8">
      <c r="A441" s="894">
        <f t="shared" si="24"/>
        <v>438</v>
      </c>
      <c r="B441" s="894">
        <f t="shared" si="32"/>
        <v>18</v>
      </c>
      <c r="C441" s="894" t="s">
        <v>1074</v>
      </c>
      <c r="D441" s="894"/>
      <c r="E441" s="1949">
        <v>45541</v>
      </c>
      <c r="F441" s="894" t="s">
        <v>191</v>
      </c>
      <c r="H441" s="317" t="str">
        <f>_xlfn.XLOOKUP(C440,'[36]Porta TN70'!$C:$C,'[36]Porta TN70'!$G:$G)</f>
        <v>Ö</v>
      </c>
    </row>
    <row r="442" spans="1:8">
      <c r="A442" s="894">
        <f t="shared" si="24"/>
        <v>439</v>
      </c>
      <c r="B442" s="894">
        <f t="shared" ref="B442" si="33">B441+1</f>
        <v>19</v>
      </c>
      <c r="C442" s="894" t="s">
        <v>1075</v>
      </c>
      <c r="D442" s="894"/>
      <c r="E442" s="1949">
        <v>45541</v>
      </c>
      <c r="F442" s="894" t="s">
        <v>191</v>
      </c>
      <c r="H442" s="317" t="str">
        <f>_xlfn.XLOOKUP(C441,'[36]Porta TN70'!$C:$C,'[36]Porta TN70'!$G:$G)</f>
        <v>Ö</v>
      </c>
    </row>
    <row r="443" spans="1:8">
      <c r="A443" s="894">
        <f t="shared" si="24"/>
        <v>440</v>
      </c>
      <c r="B443" s="894">
        <f t="shared" ref="B443" si="34">B442+1</f>
        <v>20</v>
      </c>
      <c r="C443" s="894" t="s">
        <v>1076</v>
      </c>
      <c r="D443" s="894"/>
      <c r="E443" s="1949">
        <v>45541</v>
      </c>
      <c r="F443" s="894" t="s">
        <v>191</v>
      </c>
      <c r="H443" s="317" t="str">
        <f>_xlfn.XLOOKUP(C442,'[36]Porta TN70'!$C:$C,'[36]Porta TN70'!$G:$G)</f>
        <v>Ö</v>
      </c>
    </row>
    <row r="444" spans="1:8">
      <c r="A444" s="894">
        <f t="shared" si="24"/>
        <v>441</v>
      </c>
      <c r="B444" s="894">
        <f t="shared" ref="B444" si="35">B443+1</f>
        <v>21</v>
      </c>
      <c r="C444" s="894" t="s">
        <v>1077</v>
      </c>
      <c r="D444" s="894"/>
      <c r="E444" s="1949">
        <v>45541</v>
      </c>
      <c r="F444" s="894" t="s">
        <v>191</v>
      </c>
      <c r="H444" s="317" t="str">
        <f>_xlfn.XLOOKUP(C443,'[36]Porta TN70'!$C:$C,'[36]Porta TN70'!$G:$G)</f>
        <v>Ö</v>
      </c>
    </row>
    <row r="445" spans="1:8">
      <c r="A445" s="894">
        <f t="shared" si="24"/>
        <v>442</v>
      </c>
      <c r="B445" s="894">
        <f t="shared" ref="B445" si="36">B444+1</f>
        <v>22</v>
      </c>
      <c r="C445" s="894" t="s">
        <v>1078</v>
      </c>
      <c r="D445" s="894"/>
      <c r="E445" s="1949">
        <v>45541</v>
      </c>
      <c r="F445" s="894" t="s">
        <v>191</v>
      </c>
      <c r="H445" s="317" t="str">
        <f>_xlfn.XLOOKUP(C444,'[36]Porta TN70'!$C:$C,'[36]Porta TN70'!$G:$G)</f>
        <v>Ö</v>
      </c>
    </row>
    <row r="446" spans="1:8">
      <c r="A446" s="894">
        <f t="shared" si="24"/>
        <v>443</v>
      </c>
      <c r="B446" s="894">
        <f t="shared" ref="B446" si="37">B445+1</f>
        <v>23</v>
      </c>
      <c r="C446" s="894" t="s">
        <v>1079</v>
      </c>
      <c r="D446" s="894"/>
      <c r="E446" s="1949">
        <v>45541</v>
      </c>
      <c r="F446" s="894" t="s">
        <v>191</v>
      </c>
      <c r="H446" s="317" t="str">
        <f>_xlfn.XLOOKUP(C445,'[36]Porta TN70'!$C:$C,'[36]Porta TN70'!$G:$G)</f>
        <v>Ö</v>
      </c>
    </row>
    <row r="447" spans="1:8">
      <c r="A447" s="894">
        <f t="shared" si="24"/>
        <v>444</v>
      </c>
      <c r="B447" s="894">
        <f t="shared" ref="B447" si="38">B446+1</f>
        <v>24</v>
      </c>
      <c r="C447" s="894" t="s">
        <v>1080</v>
      </c>
      <c r="D447" s="894"/>
      <c r="E447" s="1949">
        <v>45541</v>
      </c>
      <c r="F447" s="894" t="s">
        <v>191</v>
      </c>
      <c r="H447" s="317" t="str">
        <f>_xlfn.XLOOKUP(C446,'[36]Porta TN70'!$C:$C,'[36]Porta TN70'!$G:$G)</f>
        <v>Ö</v>
      </c>
    </row>
    <row r="448" spans="1:8">
      <c r="A448" s="894">
        <f t="shared" si="24"/>
        <v>445</v>
      </c>
      <c r="B448" s="894">
        <f t="shared" ref="B448" si="39">B447+1</f>
        <v>25</v>
      </c>
      <c r="C448" s="894" t="s">
        <v>1081</v>
      </c>
      <c r="D448" s="894"/>
      <c r="E448" s="1949">
        <v>45541</v>
      </c>
      <c r="F448" s="894" t="s">
        <v>191</v>
      </c>
      <c r="H448" s="317" t="str">
        <f>_xlfn.XLOOKUP(C447,'[36]Porta TN70'!$C:$C,'[36]Porta TN70'!$G:$G)</f>
        <v>Ö</v>
      </c>
    </row>
    <row r="449" spans="1:8">
      <c r="A449" s="894">
        <f t="shared" si="24"/>
        <v>446</v>
      </c>
      <c r="B449" s="894">
        <f t="shared" ref="B449:B450" si="40">B448+1</f>
        <v>26</v>
      </c>
      <c r="C449" s="894" t="s">
        <v>1082</v>
      </c>
      <c r="D449" s="894"/>
      <c r="E449" s="1949">
        <v>45541</v>
      </c>
      <c r="F449" s="894" t="s">
        <v>191</v>
      </c>
      <c r="H449" s="317" t="str">
        <f>_xlfn.XLOOKUP(C448,'[36]Porta TN70'!$C:$C,'[36]Porta TN70'!$G:$G)</f>
        <v>Ö</v>
      </c>
    </row>
    <row r="450" spans="1:8">
      <c r="A450" s="894">
        <f t="shared" si="24"/>
        <v>447</v>
      </c>
      <c r="B450" s="894">
        <f t="shared" si="40"/>
        <v>27</v>
      </c>
      <c r="C450" s="894" t="s">
        <v>1083</v>
      </c>
      <c r="D450" s="894"/>
      <c r="E450" s="1949">
        <v>45541</v>
      </c>
      <c r="F450" s="894" t="s">
        <v>191</v>
      </c>
      <c r="H450" s="317" t="str">
        <f>_xlfn.XLOOKUP(C449,'[36]Porta TN70'!$C:$C,'[36]Porta TN70'!$G:$G)</f>
        <v>Ö</v>
      </c>
    </row>
    <row r="451" spans="1:8">
      <c r="A451" s="894">
        <f t="shared" si="24"/>
        <v>448</v>
      </c>
      <c r="B451" s="894">
        <f t="shared" ref="B451" si="41">B450+1</f>
        <v>28</v>
      </c>
      <c r="C451" s="894" t="s">
        <v>1084</v>
      </c>
      <c r="D451" s="894"/>
      <c r="E451" s="1949">
        <v>45541</v>
      </c>
      <c r="F451" s="894" t="s">
        <v>191</v>
      </c>
      <c r="H451" s="317" t="str">
        <f>_xlfn.XLOOKUP(C450,'[36]Porta TN70'!$C:$C,'[36]Porta TN70'!$G:$G)</f>
        <v>Ö</v>
      </c>
    </row>
    <row r="452" spans="1:8">
      <c r="A452" s="894">
        <f t="shared" si="24"/>
        <v>449</v>
      </c>
      <c r="B452" s="894">
        <f t="shared" ref="B452" si="42">B451+1</f>
        <v>29</v>
      </c>
      <c r="C452" s="894" t="s">
        <v>1085</v>
      </c>
      <c r="D452" s="894"/>
      <c r="E452" s="1949">
        <v>45541</v>
      </c>
      <c r="F452" s="894" t="s">
        <v>191</v>
      </c>
      <c r="H452" s="317" t="str">
        <f>_xlfn.XLOOKUP(C451,'[36]Porta TN70'!$C:$C,'[36]Porta TN70'!$G:$G)</f>
        <v>Ö</v>
      </c>
    </row>
    <row r="453" spans="1:8">
      <c r="A453" s="894">
        <f t="shared" si="24"/>
        <v>450</v>
      </c>
      <c r="B453" s="894">
        <f t="shared" ref="B453:B454" si="43">B452+1</f>
        <v>30</v>
      </c>
      <c r="C453" s="894" t="s">
        <v>1086</v>
      </c>
      <c r="D453" s="894"/>
      <c r="E453" s="1949">
        <v>45541</v>
      </c>
      <c r="F453" s="894" t="s">
        <v>191</v>
      </c>
      <c r="H453" s="317" t="str">
        <f>_xlfn.XLOOKUP(C452,'[36]Porta TN70'!$C:$C,'[36]Porta TN70'!$G:$G)</f>
        <v>Ö</v>
      </c>
    </row>
    <row r="454" spans="1:8">
      <c r="A454" s="894">
        <f t="shared" si="25"/>
        <v>451</v>
      </c>
      <c r="B454" s="894">
        <f t="shared" si="43"/>
        <v>31</v>
      </c>
      <c r="C454" s="894" t="s">
        <v>1087</v>
      </c>
      <c r="D454" s="894"/>
      <c r="E454" s="1949">
        <v>45541</v>
      </c>
      <c r="F454" s="894" t="s">
        <v>191</v>
      </c>
      <c r="H454" s="317" t="str">
        <f>_xlfn.XLOOKUP(C453,'[36]Porta TN70'!$C:$C,'[36]Porta TN70'!$G:$G)</f>
        <v>Ö</v>
      </c>
    </row>
    <row r="455" spans="1:8">
      <c r="A455" s="894">
        <f t="shared" si="25"/>
        <v>452</v>
      </c>
      <c r="B455" s="894">
        <f t="shared" ref="B455" si="44">B454+1</f>
        <v>32</v>
      </c>
      <c r="C455" s="894" t="s">
        <v>1088</v>
      </c>
      <c r="D455" s="894"/>
      <c r="E455" s="1949">
        <v>45541</v>
      </c>
      <c r="F455" s="894" t="s">
        <v>191</v>
      </c>
      <c r="H455" s="317" t="str">
        <f>_xlfn.XLOOKUP(C454,'[36]Porta TN70'!$C:$C,'[36]Porta TN70'!$G:$G)</f>
        <v>Ö</v>
      </c>
    </row>
    <row r="456" spans="1:8">
      <c r="A456" s="894">
        <f t="shared" si="25"/>
        <v>453</v>
      </c>
      <c r="B456" s="894">
        <f t="shared" ref="B456:B457" si="45">B455+1</f>
        <v>33</v>
      </c>
      <c r="C456" s="894" t="s">
        <v>1089</v>
      </c>
      <c r="D456" s="894"/>
      <c r="E456" s="1949">
        <v>45541</v>
      </c>
      <c r="F456" s="894" t="s">
        <v>191</v>
      </c>
      <c r="H456" s="317" t="str">
        <f>_xlfn.XLOOKUP(C455,'[36]Porta TN70'!$C:$C,'[36]Porta TN70'!$G:$G)</f>
        <v>Ö</v>
      </c>
    </row>
    <row r="457" spans="1:8">
      <c r="A457" s="894">
        <f t="shared" si="25"/>
        <v>454</v>
      </c>
      <c r="B457" s="894">
        <f t="shared" si="45"/>
        <v>34</v>
      </c>
      <c r="C457" s="894" t="s">
        <v>1090</v>
      </c>
      <c r="D457" s="894"/>
      <c r="E457" s="1949">
        <v>45541</v>
      </c>
      <c r="F457" s="894" t="s">
        <v>191</v>
      </c>
      <c r="H457" s="317" t="str">
        <f>_xlfn.XLOOKUP(C456,'[36]Porta TN70'!$C:$C,'[36]Porta TN70'!$G:$G)</f>
        <v>Ö</v>
      </c>
    </row>
    <row r="458" spans="1:8">
      <c r="A458" s="894">
        <f t="shared" si="25"/>
        <v>455</v>
      </c>
      <c r="B458" s="894">
        <f t="shared" ref="B458" si="46">B457+1</f>
        <v>35</v>
      </c>
      <c r="C458" s="894" t="s">
        <v>1091</v>
      </c>
      <c r="D458" s="894"/>
      <c r="E458" s="1949">
        <v>45541</v>
      </c>
      <c r="F458" s="894" t="s">
        <v>191</v>
      </c>
      <c r="H458" s="317" t="str">
        <f>_xlfn.XLOOKUP(C457,'[36]Porta TN70'!$C:$C,'[36]Porta TN70'!$G:$G)</f>
        <v>Ö</v>
      </c>
    </row>
    <row r="459" spans="1:8">
      <c r="A459" s="894">
        <f t="shared" si="25"/>
        <v>456</v>
      </c>
      <c r="B459" s="894">
        <f t="shared" ref="B459" si="47">B458+1</f>
        <v>36</v>
      </c>
      <c r="C459" s="894" t="s">
        <v>1092</v>
      </c>
      <c r="D459" s="894"/>
      <c r="E459" s="1949">
        <v>45541</v>
      </c>
      <c r="F459" s="894" t="s">
        <v>191</v>
      </c>
      <c r="H459" s="317" t="str">
        <f>_xlfn.XLOOKUP(C458,'[36]Porta TN70'!$C:$C,'[36]Porta TN70'!$G:$G)</f>
        <v>Ö</v>
      </c>
    </row>
    <row r="460" spans="1:8">
      <c r="A460" s="894">
        <f t="shared" si="25"/>
        <v>457</v>
      </c>
      <c r="B460" s="894">
        <f t="shared" ref="B460" si="48">B459+1</f>
        <v>37</v>
      </c>
      <c r="C460" s="894" t="s">
        <v>1093</v>
      </c>
      <c r="D460" s="894"/>
      <c r="E460" s="1949">
        <v>45541</v>
      </c>
      <c r="F460" s="894" t="s">
        <v>191</v>
      </c>
      <c r="H460" s="317" t="str">
        <f>_xlfn.XLOOKUP(C459,'[36]Porta TN70'!$C:$C,'[36]Porta TN70'!$G:$G)</f>
        <v>Ö</v>
      </c>
    </row>
    <row r="461" spans="1:8">
      <c r="A461" s="894">
        <f t="shared" si="25"/>
        <v>458</v>
      </c>
      <c r="B461" s="894">
        <f t="shared" ref="B461" si="49">B460+1</f>
        <v>38</v>
      </c>
      <c r="C461" s="894" t="s">
        <v>1094</v>
      </c>
      <c r="D461" s="894"/>
      <c r="E461" s="1949">
        <v>45541</v>
      </c>
      <c r="F461" s="894" t="s">
        <v>191</v>
      </c>
      <c r="H461" s="317" t="str">
        <f>_xlfn.XLOOKUP(C460,'[36]Porta TN70'!$C:$C,'[36]Porta TN70'!$G:$G)</f>
        <v>Ö</v>
      </c>
    </row>
    <row r="462" spans="1:8">
      <c r="A462" s="894">
        <f t="shared" si="25"/>
        <v>459</v>
      </c>
      <c r="B462" s="894">
        <f t="shared" ref="B462" si="50">B461+1</f>
        <v>39</v>
      </c>
      <c r="C462" s="894" t="s">
        <v>1095</v>
      </c>
      <c r="D462" s="894"/>
      <c r="E462" s="1949">
        <v>45541</v>
      </c>
      <c r="F462" s="894" t="s">
        <v>191</v>
      </c>
      <c r="H462" s="317" t="str">
        <f>_xlfn.XLOOKUP(C461,'[36]Porta TN70'!$C:$C,'[36]Porta TN70'!$G:$G)</f>
        <v>Ö</v>
      </c>
    </row>
    <row r="463" spans="1:8">
      <c r="A463" s="894">
        <f t="shared" si="25"/>
        <v>460</v>
      </c>
      <c r="B463" s="894">
        <f t="shared" ref="B463" si="51">B462+1</f>
        <v>40</v>
      </c>
      <c r="C463" s="894" t="s">
        <v>1096</v>
      </c>
      <c r="D463" s="894"/>
      <c r="E463" s="1949">
        <v>45541</v>
      </c>
      <c r="F463" s="894" t="s">
        <v>191</v>
      </c>
      <c r="H463" s="317" t="str">
        <f>_xlfn.XLOOKUP(C462,'[36]Porta TN70'!$C:$C,'[36]Porta TN70'!$G:$G)</f>
        <v>Ö</v>
      </c>
    </row>
    <row r="464" spans="1:8">
      <c r="A464" s="894">
        <f t="shared" si="25"/>
        <v>461</v>
      </c>
      <c r="B464" s="894">
        <f t="shared" ref="B464:B465" si="52">B463+1</f>
        <v>41</v>
      </c>
      <c r="C464" s="894" t="s">
        <v>1097</v>
      </c>
      <c r="D464" s="894"/>
      <c r="E464" s="1949">
        <v>45541</v>
      </c>
      <c r="F464" s="894" t="s">
        <v>191</v>
      </c>
      <c r="H464" s="317" t="str">
        <f>_xlfn.XLOOKUP(C463,'[36]Porta TN70'!$C:$C,'[36]Porta TN70'!$G:$G)</f>
        <v>Ö</v>
      </c>
    </row>
    <row r="465" spans="1:8">
      <c r="A465" s="894">
        <f t="shared" si="25"/>
        <v>462</v>
      </c>
      <c r="B465" s="894">
        <f t="shared" si="52"/>
        <v>42</v>
      </c>
      <c r="C465" s="894" t="s">
        <v>1098</v>
      </c>
      <c r="D465" s="894"/>
      <c r="E465" s="1949">
        <v>45541</v>
      </c>
      <c r="F465" s="894" t="s">
        <v>191</v>
      </c>
      <c r="H465" s="317" t="str">
        <f>_xlfn.XLOOKUP(C464,'[36]Porta TN70'!$C:$C,'[36]Porta TN70'!$G:$G)</f>
        <v>Ö</v>
      </c>
    </row>
    <row r="466" spans="1:8">
      <c r="A466" s="894">
        <f t="shared" si="25"/>
        <v>463</v>
      </c>
      <c r="B466" s="894">
        <f t="shared" ref="B466" si="53">B465+1</f>
        <v>43</v>
      </c>
      <c r="C466" s="894" t="s">
        <v>1099</v>
      </c>
      <c r="D466" s="894"/>
      <c r="E466" s="1949">
        <v>45541</v>
      </c>
      <c r="F466" s="894" t="s">
        <v>191</v>
      </c>
      <c r="H466" s="317" t="str">
        <f>_xlfn.XLOOKUP(C465,'[36]Porta TN70'!$C:$C,'[36]Porta TN70'!$G:$G)</f>
        <v>Ö</v>
      </c>
    </row>
    <row r="467" spans="1:8">
      <c r="A467" s="894">
        <f t="shared" si="25"/>
        <v>464</v>
      </c>
      <c r="B467" s="894">
        <f>+B466+1</f>
        <v>44</v>
      </c>
      <c r="C467" s="894" t="s">
        <v>1100</v>
      </c>
      <c r="D467" s="894"/>
      <c r="E467" s="1949">
        <v>45541</v>
      </c>
      <c r="F467" s="894" t="s">
        <v>191</v>
      </c>
      <c r="H467" s="317" t="str">
        <f>_xlfn.XLOOKUP(C466,'[36]Porta TN70'!$C:$C,'[36]Porta TN70'!$G:$G)</f>
        <v>Ö</v>
      </c>
    </row>
    <row r="468" spans="1:8">
      <c r="A468" s="894">
        <f t="shared" si="25"/>
        <v>465</v>
      </c>
      <c r="B468" s="894">
        <f t="shared" ref="A468:B581" si="54">B467+1</f>
        <v>45</v>
      </c>
      <c r="C468" s="894" t="s">
        <v>1101</v>
      </c>
      <c r="D468" s="894"/>
      <c r="E468" s="1949">
        <v>45541</v>
      </c>
      <c r="F468" s="894" t="s">
        <v>191</v>
      </c>
      <c r="H468" s="317" t="str">
        <f>_xlfn.XLOOKUP(C467,'[36]Porta TN70'!$C:$C,'[36]Porta TN70'!$G:$G)</f>
        <v>Ö</v>
      </c>
    </row>
    <row r="469" spans="1:8">
      <c r="A469" s="894">
        <f t="shared" si="25"/>
        <v>466</v>
      </c>
      <c r="B469" s="894">
        <f t="shared" si="54"/>
        <v>46</v>
      </c>
      <c r="C469" s="894" t="s">
        <v>1102</v>
      </c>
      <c r="D469" s="894"/>
      <c r="E469" s="1949">
        <v>45541</v>
      </c>
      <c r="F469" s="894" t="s">
        <v>191</v>
      </c>
      <c r="H469" s="317" t="str">
        <f>_xlfn.XLOOKUP(C468,'[36]Porta TN70'!$C:$C,'[36]Porta TN70'!$G:$G)</f>
        <v>Ö</v>
      </c>
    </row>
    <row r="470" spans="1:8">
      <c r="A470" s="894">
        <f t="shared" si="25"/>
        <v>467</v>
      </c>
      <c r="B470" s="894">
        <f t="shared" si="54"/>
        <v>47</v>
      </c>
      <c r="C470" s="894" t="s">
        <v>1103</v>
      </c>
      <c r="D470" s="894"/>
      <c r="E470" s="1949">
        <v>45541</v>
      </c>
      <c r="F470" s="894" t="s">
        <v>191</v>
      </c>
      <c r="H470" s="317" t="str">
        <f>_xlfn.XLOOKUP(C469,'[36]Porta TN70'!$C:$C,'[36]Porta TN70'!$G:$G)</f>
        <v>Ö</v>
      </c>
    </row>
    <row r="471" spans="1:8">
      <c r="A471" s="894">
        <f t="shared" si="25"/>
        <v>468</v>
      </c>
      <c r="B471" s="894">
        <f t="shared" si="54"/>
        <v>48</v>
      </c>
      <c r="C471" s="894" t="s">
        <v>1104</v>
      </c>
      <c r="D471" s="894"/>
      <c r="E471" s="1949">
        <v>45541</v>
      </c>
      <c r="F471" s="894" t="s">
        <v>191</v>
      </c>
      <c r="H471" s="317" t="str">
        <f>_xlfn.XLOOKUP(C470,'[36]Porta TN70'!$C:$C,'[36]Porta TN70'!$G:$G)</f>
        <v>Ö</v>
      </c>
    </row>
    <row r="472" spans="1:8">
      <c r="A472" s="894">
        <f t="shared" si="25"/>
        <v>469</v>
      </c>
      <c r="B472" s="894">
        <f t="shared" si="54"/>
        <v>49</v>
      </c>
      <c r="C472" s="894" t="s">
        <v>1105</v>
      </c>
      <c r="D472" s="894"/>
      <c r="E472" s="1949">
        <v>45541</v>
      </c>
      <c r="F472" s="894" t="s">
        <v>191</v>
      </c>
      <c r="H472" s="317" t="str">
        <f>_xlfn.XLOOKUP(C471,'[36]Porta TN70'!$C:$C,'[36]Porta TN70'!$G:$G)</f>
        <v>Ö</v>
      </c>
    </row>
    <row r="473" spans="1:8">
      <c r="A473" s="894">
        <f t="shared" si="25"/>
        <v>470</v>
      </c>
      <c r="B473" s="894">
        <f t="shared" si="54"/>
        <v>50</v>
      </c>
      <c r="C473" s="894" t="s">
        <v>1106</v>
      </c>
      <c r="D473" s="894"/>
      <c r="E473" s="1949">
        <v>45541</v>
      </c>
      <c r="F473" s="894" t="s">
        <v>191</v>
      </c>
      <c r="H473" s="317" t="str">
        <f>_xlfn.XLOOKUP(C472,'[36]Porta TN70'!$C:$C,'[36]Porta TN70'!$G:$G)</f>
        <v>Ö</v>
      </c>
    </row>
    <row r="474" spans="1:8">
      <c r="A474" s="894">
        <f t="shared" si="25"/>
        <v>471</v>
      </c>
      <c r="B474" s="894">
        <f t="shared" si="54"/>
        <v>51</v>
      </c>
      <c r="C474" s="894" t="s">
        <v>1107</v>
      </c>
      <c r="D474" s="894"/>
      <c r="E474" s="1949">
        <v>45541</v>
      </c>
      <c r="F474" s="894" t="s">
        <v>191</v>
      </c>
      <c r="H474" s="317" t="str">
        <f>_xlfn.XLOOKUP(C473,'[36]Porta TN70'!$C:$C,'[36]Porta TN70'!$G:$G)</f>
        <v>Ö</v>
      </c>
    </row>
    <row r="475" spans="1:8">
      <c r="A475" s="894">
        <f t="shared" si="25"/>
        <v>472</v>
      </c>
      <c r="B475" s="894">
        <f t="shared" si="54"/>
        <v>52</v>
      </c>
      <c r="C475" s="894" t="s">
        <v>1108</v>
      </c>
      <c r="D475" s="894"/>
      <c r="E475" s="1949">
        <v>45541</v>
      </c>
      <c r="F475" s="894" t="s">
        <v>191</v>
      </c>
      <c r="H475" s="317" t="str">
        <f>_xlfn.XLOOKUP(C474,'[36]Porta TN70'!$C:$C,'[36]Porta TN70'!$G:$G)</f>
        <v>Ö</v>
      </c>
    </row>
    <row r="476" spans="1:8">
      <c r="A476" s="894">
        <f t="shared" si="25"/>
        <v>473</v>
      </c>
      <c r="B476" s="894">
        <f t="shared" si="54"/>
        <v>53</v>
      </c>
      <c r="C476" s="894" t="s">
        <v>1109</v>
      </c>
      <c r="D476" s="894"/>
      <c r="E476" s="1949">
        <v>45541</v>
      </c>
      <c r="F476" s="894" t="s">
        <v>191</v>
      </c>
      <c r="H476" s="317" t="str">
        <f>_xlfn.XLOOKUP(C475,'[36]Porta TN70'!$C:$C,'[36]Porta TN70'!$G:$G)</f>
        <v>Ö</v>
      </c>
    </row>
    <row r="477" spans="1:8">
      <c r="A477" s="894">
        <f t="shared" si="25"/>
        <v>474</v>
      </c>
      <c r="B477" s="894">
        <f t="shared" si="54"/>
        <v>54</v>
      </c>
      <c r="C477" s="894" t="s">
        <v>1110</v>
      </c>
      <c r="D477" s="894"/>
      <c r="E477" s="1949">
        <v>45541</v>
      </c>
      <c r="F477" s="894" t="s">
        <v>191</v>
      </c>
      <c r="H477" s="317" t="str">
        <f>_xlfn.XLOOKUP(C476,'[36]Porta TN70'!$C:$C,'[36]Porta TN70'!$G:$G)</f>
        <v>Ö</v>
      </c>
    </row>
    <row r="478" spans="1:8">
      <c r="A478" s="894">
        <f t="shared" si="25"/>
        <v>475</v>
      </c>
      <c r="B478" s="894">
        <f t="shared" si="54"/>
        <v>55</v>
      </c>
      <c r="C478" s="894" t="s">
        <v>1111</v>
      </c>
      <c r="D478" s="894"/>
      <c r="E478" s="1949">
        <v>45541</v>
      </c>
      <c r="F478" s="894" t="s">
        <v>191</v>
      </c>
      <c r="H478" s="317" t="str">
        <f>_xlfn.XLOOKUP(C477,'[36]Porta TN70'!$C:$C,'[36]Porta TN70'!$G:$G)</f>
        <v>Ö</v>
      </c>
    </row>
    <row r="479" spans="1:8">
      <c r="A479" s="894">
        <f t="shared" si="25"/>
        <v>476</v>
      </c>
      <c r="B479" s="894">
        <f t="shared" si="54"/>
        <v>56</v>
      </c>
      <c r="C479" s="894" t="s">
        <v>1112</v>
      </c>
      <c r="D479" s="894"/>
      <c r="E479" s="1949">
        <v>45541</v>
      </c>
      <c r="F479" s="894" t="s">
        <v>191</v>
      </c>
      <c r="H479" s="317" t="str">
        <f>_xlfn.XLOOKUP(C478,'[36]Porta TN70'!$C:$C,'[36]Porta TN70'!$G:$G)</f>
        <v>Ö</v>
      </c>
    </row>
    <row r="480" spans="1:8">
      <c r="A480" s="894">
        <f t="shared" si="25"/>
        <v>477</v>
      </c>
      <c r="B480" s="894">
        <f t="shared" si="54"/>
        <v>57</v>
      </c>
      <c r="C480" s="894" t="s">
        <v>1113</v>
      </c>
      <c r="D480" s="894"/>
      <c r="E480" s="1949">
        <v>45541</v>
      </c>
      <c r="F480" s="894" t="s">
        <v>191</v>
      </c>
      <c r="H480" s="317" t="str">
        <f>_xlfn.XLOOKUP(C479,'[36]Porta TN70'!$C:$C,'[36]Porta TN70'!$G:$G)</f>
        <v>Ö</v>
      </c>
    </row>
    <row r="481" spans="1:8">
      <c r="A481" s="894">
        <f t="shared" si="25"/>
        <v>478</v>
      </c>
      <c r="B481" s="894">
        <f t="shared" si="54"/>
        <v>58</v>
      </c>
      <c r="C481" s="894" t="s">
        <v>1114</v>
      </c>
      <c r="D481" s="894"/>
      <c r="E481" s="1949">
        <v>45541</v>
      </c>
      <c r="F481" s="894" t="s">
        <v>191</v>
      </c>
      <c r="H481" s="317" t="str">
        <f>_xlfn.XLOOKUP(C480,'[36]Porta TN70'!$C:$C,'[36]Porta TN70'!$G:$G)</f>
        <v>Ö</v>
      </c>
    </row>
    <row r="482" spans="1:8">
      <c r="A482" s="894">
        <f t="shared" si="25"/>
        <v>479</v>
      </c>
      <c r="B482" s="894">
        <f t="shared" si="54"/>
        <v>59</v>
      </c>
      <c r="C482" s="894" t="s">
        <v>1115</v>
      </c>
      <c r="D482" s="894"/>
      <c r="E482" s="1949">
        <v>45541</v>
      </c>
      <c r="F482" s="894" t="s">
        <v>191</v>
      </c>
      <c r="H482" s="317" t="str">
        <f>_xlfn.XLOOKUP(C481,'[36]Porta TN70'!$C:$C,'[36]Porta TN70'!$G:$G)</f>
        <v>Ö</v>
      </c>
    </row>
    <row r="483" spans="1:8">
      <c r="A483" s="894">
        <f t="shared" si="25"/>
        <v>480</v>
      </c>
      <c r="B483" s="894">
        <f t="shared" si="54"/>
        <v>60</v>
      </c>
      <c r="C483" s="894" t="s">
        <v>1116</v>
      </c>
      <c r="D483" s="894"/>
      <c r="E483" s="1949">
        <v>45541</v>
      </c>
      <c r="F483" s="894" t="s">
        <v>191</v>
      </c>
      <c r="H483" s="317" t="str">
        <f>_xlfn.XLOOKUP(C482,'[36]Porta TN70'!$C:$C,'[36]Porta TN70'!$G:$G)</f>
        <v>Ö</v>
      </c>
    </row>
    <row r="484" spans="1:8">
      <c r="A484" s="894">
        <f t="shared" si="25"/>
        <v>481</v>
      </c>
      <c r="B484" s="894">
        <f>+B483+1</f>
        <v>61</v>
      </c>
      <c r="C484" s="894" t="s">
        <v>1117</v>
      </c>
      <c r="D484" s="894"/>
      <c r="E484" s="1949">
        <v>45541</v>
      </c>
      <c r="F484" s="894" t="s">
        <v>191</v>
      </c>
      <c r="H484" s="317" t="str">
        <f>_xlfn.XLOOKUP(C483,'[36]Porta TN70'!$C:$C,'[36]Porta TN70'!$G:$G)</f>
        <v>Ö</v>
      </c>
    </row>
    <row r="485" spans="1:8">
      <c r="A485" s="894">
        <f t="shared" si="25"/>
        <v>482</v>
      </c>
      <c r="B485" s="894">
        <f t="shared" si="54"/>
        <v>62</v>
      </c>
      <c r="C485" s="894" t="s">
        <v>1118</v>
      </c>
      <c r="D485" s="894"/>
      <c r="E485" s="1949">
        <v>45541</v>
      </c>
      <c r="F485" s="894" t="s">
        <v>191</v>
      </c>
      <c r="H485" s="317" t="str">
        <f>_xlfn.XLOOKUP(C484,'[36]Porta TN70'!$C:$C,'[36]Porta TN70'!$G:$G)</f>
        <v>Ö</v>
      </c>
    </row>
    <row r="486" spans="1:8">
      <c r="A486" s="894">
        <f t="shared" si="25"/>
        <v>483</v>
      </c>
      <c r="B486" s="894">
        <f t="shared" si="54"/>
        <v>63</v>
      </c>
      <c r="C486" s="894" t="s">
        <v>1119</v>
      </c>
      <c r="D486" s="894"/>
      <c r="E486" s="1949">
        <v>45541</v>
      </c>
      <c r="F486" s="894" t="s">
        <v>191</v>
      </c>
      <c r="H486" s="317" t="str">
        <f>_xlfn.XLOOKUP(C485,'[36]Porta TN70'!$C:$C,'[36]Porta TN70'!$G:$G)</f>
        <v>Ö</v>
      </c>
    </row>
    <row r="487" spans="1:8">
      <c r="A487" s="894">
        <f t="shared" si="25"/>
        <v>484</v>
      </c>
      <c r="B487" s="894">
        <f t="shared" si="54"/>
        <v>64</v>
      </c>
      <c r="C487" s="894" t="s">
        <v>1120</v>
      </c>
      <c r="D487" s="894"/>
      <c r="E487" s="1949">
        <v>45541</v>
      </c>
      <c r="F487" s="894" t="s">
        <v>191</v>
      </c>
      <c r="H487" s="317" t="str">
        <f>_xlfn.XLOOKUP(C486,'[36]Porta TN70'!$C:$C,'[36]Porta TN70'!$G:$G)</f>
        <v>Ö</v>
      </c>
    </row>
    <row r="488" spans="1:8">
      <c r="A488" s="894">
        <f t="shared" si="25"/>
        <v>485</v>
      </c>
      <c r="B488" s="894">
        <f>+B487+1</f>
        <v>65</v>
      </c>
      <c r="C488" s="894" t="s">
        <v>1121</v>
      </c>
      <c r="D488" s="894"/>
      <c r="E488" s="1949">
        <v>45541</v>
      </c>
      <c r="F488" s="894" t="s">
        <v>191</v>
      </c>
      <c r="H488" s="317" t="str">
        <f>_xlfn.XLOOKUP(C487,'[36]Porta TN70'!$C:$C,'[36]Porta TN70'!$G:$G)</f>
        <v>Ö</v>
      </c>
    </row>
    <row r="489" spans="1:8">
      <c r="A489" s="894">
        <f t="shared" si="25"/>
        <v>486</v>
      </c>
      <c r="B489" s="894">
        <f t="shared" si="54"/>
        <v>66</v>
      </c>
      <c r="C489" s="894" t="s">
        <v>1122</v>
      </c>
      <c r="D489" s="894"/>
      <c r="E489" s="1949">
        <v>45541</v>
      </c>
      <c r="F489" s="894" t="s">
        <v>191</v>
      </c>
      <c r="H489" s="317" t="str">
        <f>_xlfn.XLOOKUP(C488,'[36]Porta TN70'!$C:$C,'[36]Porta TN70'!$G:$G)</f>
        <v>Ö</v>
      </c>
    </row>
    <row r="490" spans="1:8">
      <c r="A490" s="894">
        <f t="shared" si="25"/>
        <v>487</v>
      </c>
      <c r="B490" s="894">
        <f t="shared" si="54"/>
        <v>67</v>
      </c>
      <c r="C490" s="894" t="s">
        <v>1123</v>
      </c>
      <c r="D490" s="894"/>
      <c r="E490" s="1949">
        <v>45541</v>
      </c>
      <c r="F490" s="894" t="s">
        <v>191</v>
      </c>
      <c r="H490" s="317" t="str">
        <f>_xlfn.XLOOKUP(C489,'[36]Porta TN70'!$C:$C,'[36]Porta TN70'!$G:$G)</f>
        <v>Ö</v>
      </c>
    </row>
    <row r="491" spans="1:8">
      <c r="A491" s="894">
        <f t="shared" si="25"/>
        <v>488</v>
      </c>
      <c r="B491" s="894">
        <f t="shared" si="54"/>
        <v>68</v>
      </c>
      <c r="C491" s="894" t="s">
        <v>1124</v>
      </c>
      <c r="D491" s="894"/>
      <c r="E491" s="1949">
        <v>45541</v>
      </c>
      <c r="F491" s="894" t="s">
        <v>191</v>
      </c>
      <c r="H491" s="317" t="str">
        <f>_xlfn.XLOOKUP(C490,'[36]Porta TN70'!$C:$C,'[36]Porta TN70'!$G:$G)</f>
        <v>Ö</v>
      </c>
    </row>
    <row r="492" spans="1:8">
      <c r="A492" s="894">
        <f t="shared" si="25"/>
        <v>489</v>
      </c>
      <c r="B492" s="894">
        <f t="shared" si="54"/>
        <v>69</v>
      </c>
      <c r="C492" s="894" t="s">
        <v>1125</v>
      </c>
      <c r="D492" s="894"/>
      <c r="E492" s="1949">
        <v>45541</v>
      </c>
      <c r="F492" s="894" t="s">
        <v>191</v>
      </c>
      <c r="H492" s="317" t="str">
        <f>_xlfn.XLOOKUP(C491,'[36]Porta TN70'!$C:$C,'[36]Porta TN70'!$G:$G)</f>
        <v>Ö</v>
      </c>
    </row>
    <row r="493" spans="1:8">
      <c r="A493" s="894">
        <f t="shared" si="25"/>
        <v>490</v>
      </c>
      <c r="B493" s="894">
        <f t="shared" si="54"/>
        <v>70</v>
      </c>
      <c r="C493" s="894" t="s">
        <v>1126</v>
      </c>
      <c r="D493" s="894"/>
      <c r="E493" s="1949">
        <v>45541</v>
      </c>
      <c r="F493" s="894" t="s">
        <v>191</v>
      </c>
      <c r="H493" s="317" t="str">
        <f>_xlfn.XLOOKUP(C492,'[36]Porta TN70'!$C:$C,'[36]Porta TN70'!$G:$G)</f>
        <v>Ö</v>
      </c>
    </row>
    <row r="494" spans="1:8">
      <c r="A494" s="894">
        <f t="shared" si="25"/>
        <v>491</v>
      </c>
      <c r="B494" s="894">
        <f t="shared" si="54"/>
        <v>71</v>
      </c>
      <c r="C494" s="894" t="s">
        <v>1127</v>
      </c>
      <c r="D494" s="894"/>
      <c r="E494" s="1949">
        <v>45541</v>
      </c>
      <c r="F494" s="894" t="s">
        <v>191</v>
      </c>
      <c r="H494" s="317" t="str">
        <f>_xlfn.XLOOKUP(C493,'[36]Porta TN70'!$C:$C,'[36]Porta TN70'!$G:$G)</f>
        <v>Ö</v>
      </c>
    </row>
    <row r="495" spans="1:8">
      <c r="A495" s="894">
        <f t="shared" si="25"/>
        <v>492</v>
      </c>
      <c r="B495" s="894">
        <f t="shared" si="54"/>
        <v>72</v>
      </c>
      <c r="C495" s="894" t="s">
        <v>1128</v>
      </c>
      <c r="D495" s="894"/>
      <c r="E495" s="1949">
        <v>45541</v>
      </c>
      <c r="F495" s="894" t="s">
        <v>191</v>
      </c>
      <c r="H495" s="317" t="str">
        <f>_xlfn.XLOOKUP(C494,'[36]Porta TN70'!$C:$C,'[36]Porta TN70'!$G:$G)</f>
        <v>Ö</v>
      </c>
    </row>
    <row r="496" spans="1:8">
      <c r="A496" s="894">
        <f t="shared" si="25"/>
        <v>493</v>
      </c>
      <c r="B496" s="894">
        <f t="shared" si="54"/>
        <v>73</v>
      </c>
      <c r="C496" s="894" t="s">
        <v>1129</v>
      </c>
      <c r="D496" s="894"/>
      <c r="E496" s="1949">
        <v>45541</v>
      </c>
      <c r="F496" s="894" t="s">
        <v>191</v>
      </c>
      <c r="H496" s="317" t="str">
        <f>_xlfn.XLOOKUP(C495,'[36]Porta TN70'!$C:$C,'[36]Porta TN70'!$G:$G)</f>
        <v>Ö</v>
      </c>
    </row>
    <row r="497" spans="1:8">
      <c r="A497" s="894">
        <f t="shared" si="25"/>
        <v>494</v>
      </c>
      <c r="B497" s="894">
        <f t="shared" si="54"/>
        <v>74</v>
      </c>
      <c r="C497" s="894" t="s">
        <v>1130</v>
      </c>
      <c r="D497" s="894"/>
      <c r="E497" s="1949">
        <v>45541</v>
      </c>
      <c r="F497" s="894" t="s">
        <v>191</v>
      </c>
      <c r="H497" s="317" t="str">
        <f>_xlfn.XLOOKUP(C496,'[36]Porta TN70'!$C:$C,'[36]Porta TN70'!$G:$G)</f>
        <v>Ö</v>
      </c>
    </row>
    <row r="498" spans="1:8">
      <c r="A498" s="894">
        <f t="shared" si="25"/>
        <v>495</v>
      </c>
      <c r="B498" s="894">
        <f t="shared" si="54"/>
        <v>75</v>
      </c>
      <c r="C498" s="894" t="s">
        <v>1131</v>
      </c>
      <c r="D498" s="894"/>
      <c r="E498" s="1949">
        <v>45541</v>
      </c>
      <c r="F498" s="894" t="s">
        <v>191</v>
      </c>
      <c r="H498" s="317" t="str">
        <f>_xlfn.XLOOKUP(C497,'[36]Porta TN70'!$C:$C,'[36]Porta TN70'!$G:$G)</f>
        <v>Ö</v>
      </c>
    </row>
    <row r="499" spans="1:8">
      <c r="A499" s="894">
        <f t="shared" si="25"/>
        <v>496</v>
      </c>
      <c r="B499" s="894">
        <f t="shared" si="54"/>
        <v>76</v>
      </c>
      <c r="C499" s="894" t="s">
        <v>1132</v>
      </c>
      <c r="D499" s="894"/>
      <c r="E499" s="1949">
        <v>45541</v>
      </c>
      <c r="F499" s="894" t="s">
        <v>191</v>
      </c>
      <c r="H499" s="317" t="str">
        <f>_xlfn.XLOOKUP(C498,'[36]Porta TN70'!$C:$C,'[36]Porta TN70'!$G:$G)</f>
        <v>Ö</v>
      </c>
    </row>
    <row r="500" spans="1:8">
      <c r="A500" s="894">
        <f t="shared" si="25"/>
        <v>497</v>
      </c>
      <c r="B500" s="894">
        <f t="shared" si="54"/>
        <v>77</v>
      </c>
      <c r="C500" s="894" t="s">
        <v>1133</v>
      </c>
      <c r="D500" s="894"/>
      <c r="E500" s="1949">
        <v>45541</v>
      </c>
      <c r="F500" s="894" t="s">
        <v>191</v>
      </c>
      <c r="H500" s="317" t="str">
        <f>_xlfn.XLOOKUP(C499,'[36]Porta TN70'!$C:$C,'[36]Porta TN70'!$G:$G)</f>
        <v>Ö</v>
      </c>
    </row>
    <row r="501" spans="1:8">
      <c r="A501" s="894">
        <f t="shared" si="25"/>
        <v>498</v>
      </c>
      <c r="B501" s="894">
        <f t="shared" si="54"/>
        <v>78</v>
      </c>
      <c r="C501" s="894" t="s">
        <v>1134</v>
      </c>
      <c r="D501" s="894"/>
      <c r="E501" s="1949">
        <v>45541</v>
      </c>
      <c r="F501" s="894" t="s">
        <v>191</v>
      </c>
      <c r="H501" s="317" t="str">
        <f>_xlfn.XLOOKUP(C500,'[36]Porta TN70'!$C:$C,'[36]Porta TN70'!$G:$G)</f>
        <v>Ö</v>
      </c>
    </row>
    <row r="502" spans="1:8">
      <c r="A502" s="894">
        <f t="shared" si="25"/>
        <v>499</v>
      </c>
      <c r="B502" s="894">
        <f t="shared" si="54"/>
        <v>79</v>
      </c>
      <c r="C502" s="894" t="s">
        <v>1135</v>
      </c>
      <c r="D502" s="894"/>
      <c r="E502" s="1949">
        <v>45541</v>
      </c>
      <c r="F502" s="894" t="s">
        <v>191</v>
      </c>
      <c r="H502" s="317" t="str">
        <f>_xlfn.XLOOKUP(C501,'[36]Porta TN70'!$C:$C,'[36]Porta TN70'!$G:$G)</f>
        <v>Ö</v>
      </c>
    </row>
    <row r="503" spans="1:8">
      <c r="A503" s="894">
        <f t="shared" si="25"/>
        <v>500</v>
      </c>
      <c r="B503" s="894">
        <f t="shared" si="54"/>
        <v>80</v>
      </c>
      <c r="C503" s="894" t="s">
        <v>1136</v>
      </c>
      <c r="D503" s="894"/>
      <c r="E503" s="1949">
        <v>45541</v>
      </c>
      <c r="F503" s="894" t="s">
        <v>191</v>
      </c>
      <c r="H503" s="317" t="str">
        <f>_xlfn.XLOOKUP(C502,'[36]Porta TN70'!$C:$C,'[36]Porta TN70'!$G:$G)</f>
        <v>Ö</v>
      </c>
    </row>
    <row r="504" spans="1:8">
      <c r="A504" s="894">
        <f t="shared" si="25"/>
        <v>501</v>
      </c>
      <c r="B504" s="894">
        <f t="shared" si="54"/>
        <v>81</v>
      </c>
      <c r="C504" s="894" t="s">
        <v>1137</v>
      </c>
      <c r="D504" s="894"/>
      <c r="E504" s="1949">
        <v>45541</v>
      </c>
      <c r="F504" s="894" t="s">
        <v>191</v>
      </c>
      <c r="H504" s="317" t="str">
        <f>_xlfn.XLOOKUP(C503,'[36]Porta TN70'!$C:$C,'[36]Porta TN70'!$G:$G)</f>
        <v>Ö</v>
      </c>
    </row>
    <row r="505" spans="1:8">
      <c r="A505" s="894">
        <f t="shared" si="25"/>
        <v>502</v>
      </c>
      <c r="B505" s="894">
        <f t="shared" si="54"/>
        <v>82</v>
      </c>
      <c r="C505" s="894" t="s">
        <v>1138</v>
      </c>
      <c r="D505" s="894"/>
      <c r="E505" s="1949">
        <v>45541</v>
      </c>
      <c r="F505" s="894" t="s">
        <v>191</v>
      </c>
      <c r="H505" s="317" t="str">
        <f>_xlfn.XLOOKUP(C504,'[36]Porta TN70'!$C:$C,'[36]Porta TN70'!$G:$G)</f>
        <v>Ö</v>
      </c>
    </row>
    <row r="506" spans="1:8">
      <c r="A506" s="894">
        <f t="shared" si="25"/>
        <v>503</v>
      </c>
      <c r="B506" s="894">
        <f t="shared" si="54"/>
        <v>83</v>
      </c>
      <c r="C506" s="894" t="s">
        <v>1139</v>
      </c>
      <c r="D506" s="894"/>
      <c r="E506" s="1949">
        <v>45541</v>
      </c>
      <c r="F506" s="894" t="s">
        <v>191</v>
      </c>
      <c r="H506" s="317" t="str">
        <f>_xlfn.XLOOKUP(C505,'[36]Porta TN70'!$C:$C,'[36]Porta TN70'!$G:$G)</f>
        <v>Ö</v>
      </c>
    </row>
    <row r="507" spans="1:8">
      <c r="A507" s="894">
        <f t="shared" si="25"/>
        <v>504</v>
      </c>
      <c r="B507" s="894">
        <f t="shared" si="54"/>
        <v>84</v>
      </c>
      <c r="C507" s="894" t="s">
        <v>1140</v>
      </c>
      <c r="D507" s="894"/>
      <c r="E507" s="1949">
        <v>45541</v>
      </c>
      <c r="F507" s="894" t="s">
        <v>191</v>
      </c>
      <c r="H507" s="317" t="str">
        <f>_xlfn.XLOOKUP(C506,'[36]Porta TN70'!$C:$C,'[36]Porta TN70'!$G:$G)</f>
        <v>Ö</v>
      </c>
    </row>
    <row r="508" spans="1:8">
      <c r="A508" s="894">
        <f t="shared" si="25"/>
        <v>505</v>
      </c>
      <c r="B508" s="894">
        <f t="shared" si="54"/>
        <v>85</v>
      </c>
      <c r="C508" s="894" t="s">
        <v>1141</v>
      </c>
      <c r="D508" s="894"/>
      <c r="E508" s="1949">
        <v>45541</v>
      </c>
      <c r="F508" s="894" t="s">
        <v>191</v>
      </c>
      <c r="H508" s="317" t="str">
        <f>_xlfn.XLOOKUP(C507,'[36]Porta TN70'!$C:$C,'[36]Porta TN70'!$G:$G)</f>
        <v>Ö</v>
      </c>
    </row>
    <row r="509" spans="1:8">
      <c r="A509" s="894">
        <f t="shared" si="25"/>
        <v>506</v>
      </c>
      <c r="B509" s="894">
        <f>+B508+1</f>
        <v>86</v>
      </c>
      <c r="C509" s="894" t="s">
        <v>1142</v>
      </c>
      <c r="D509" s="894"/>
      <c r="E509" s="1949">
        <v>45541</v>
      </c>
      <c r="F509" s="894" t="s">
        <v>191</v>
      </c>
      <c r="H509" s="317" t="str">
        <f>_xlfn.XLOOKUP(C508,'[36]Porta TN70'!$C:$C,'[36]Porta TN70'!$G:$G)</f>
        <v>Ö</v>
      </c>
    </row>
    <row r="510" spans="1:8">
      <c r="A510" s="894">
        <f t="shared" si="25"/>
        <v>507</v>
      </c>
      <c r="B510" s="894">
        <f t="shared" si="54"/>
        <v>87</v>
      </c>
      <c r="C510" s="894" t="s">
        <v>1143</v>
      </c>
      <c r="D510" s="894"/>
      <c r="E510" s="1949">
        <v>45541</v>
      </c>
      <c r="F510" s="894" t="s">
        <v>191</v>
      </c>
      <c r="H510" s="317" t="str">
        <f>_xlfn.XLOOKUP(C509,'[36]Porta TN70'!$C:$C,'[36]Porta TN70'!$G:$G)</f>
        <v>Ö</v>
      </c>
    </row>
    <row r="511" spans="1:8">
      <c r="A511" s="894">
        <f t="shared" si="25"/>
        <v>508</v>
      </c>
      <c r="B511" s="894">
        <f t="shared" si="54"/>
        <v>88</v>
      </c>
      <c r="C511" s="894" t="s">
        <v>1144</v>
      </c>
      <c r="D511" s="894"/>
      <c r="E511" s="1949">
        <v>45541</v>
      </c>
      <c r="F511" s="894" t="s">
        <v>191</v>
      </c>
      <c r="H511" s="317" t="str">
        <f>_xlfn.XLOOKUP(C510,'[36]Porta TN70'!$C:$C,'[36]Porta TN70'!$G:$G)</f>
        <v>Ö</v>
      </c>
    </row>
    <row r="512" spans="1:8">
      <c r="A512" s="894">
        <f t="shared" si="25"/>
        <v>509</v>
      </c>
      <c r="B512" s="894">
        <f t="shared" si="54"/>
        <v>89</v>
      </c>
      <c r="C512" s="894" t="s">
        <v>1145</v>
      </c>
      <c r="D512" s="894"/>
      <c r="E512" s="1949">
        <v>45541</v>
      </c>
      <c r="F512" s="894" t="s">
        <v>191</v>
      </c>
      <c r="H512" s="317" t="str">
        <f>_xlfn.XLOOKUP(C511,'[36]Porta TN70'!$C:$C,'[36]Porta TN70'!$G:$G)</f>
        <v>Ö</v>
      </c>
    </row>
    <row r="513" spans="1:8">
      <c r="A513" s="894">
        <f t="shared" si="25"/>
        <v>510</v>
      </c>
      <c r="B513" s="894">
        <f t="shared" si="54"/>
        <v>90</v>
      </c>
      <c r="C513" s="894" t="s">
        <v>1146</v>
      </c>
      <c r="D513" s="894"/>
      <c r="E513" s="1949">
        <v>45541</v>
      </c>
      <c r="F513" s="894" t="s">
        <v>191</v>
      </c>
      <c r="H513" s="317" t="str">
        <f>_xlfn.XLOOKUP(C512,'[36]Porta TN70'!$C:$C,'[36]Porta TN70'!$G:$G)</f>
        <v>Ö</v>
      </c>
    </row>
    <row r="514" spans="1:8">
      <c r="A514" s="894">
        <f t="shared" si="25"/>
        <v>511</v>
      </c>
      <c r="B514" s="894">
        <f t="shared" si="54"/>
        <v>91</v>
      </c>
      <c r="C514" s="894" t="s">
        <v>1147</v>
      </c>
      <c r="D514" s="894"/>
      <c r="E514" s="1949">
        <v>45541</v>
      </c>
      <c r="F514" s="894" t="s">
        <v>191</v>
      </c>
      <c r="H514" s="317" t="str">
        <f>_xlfn.XLOOKUP(C513,'[36]Porta TN70'!$C:$C,'[36]Porta TN70'!$G:$G)</f>
        <v>Ö</v>
      </c>
    </row>
    <row r="515" spans="1:8">
      <c r="A515" s="894">
        <f t="shared" si="25"/>
        <v>512</v>
      </c>
      <c r="B515" s="894">
        <f t="shared" si="54"/>
        <v>92</v>
      </c>
      <c r="C515" s="894" t="s">
        <v>1148</v>
      </c>
      <c r="D515" s="894"/>
      <c r="E515" s="1949">
        <v>45541</v>
      </c>
      <c r="F515" s="894" t="s">
        <v>191</v>
      </c>
      <c r="H515" s="317" t="str">
        <f>_xlfn.XLOOKUP(C514,'[36]Porta TN70'!$C:$C,'[36]Porta TN70'!$G:$G)</f>
        <v>Ö</v>
      </c>
    </row>
    <row r="516" spans="1:8">
      <c r="A516" s="894">
        <f t="shared" si="25"/>
        <v>513</v>
      </c>
      <c r="B516" s="894">
        <f>+B515+1</f>
        <v>93</v>
      </c>
      <c r="C516" s="894" t="s">
        <v>1149</v>
      </c>
      <c r="D516" s="894"/>
      <c r="E516" s="1949">
        <v>45541</v>
      </c>
      <c r="F516" s="894" t="s">
        <v>191</v>
      </c>
      <c r="H516" s="317" t="str">
        <f>_xlfn.XLOOKUP(C515,'[36]Porta TN70'!$C:$C,'[36]Porta TN70'!$G:$G)</f>
        <v>Ö</v>
      </c>
    </row>
    <row r="517" spans="1:8">
      <c r="A517" s="894">
        <f t="shared" si="25"/>
        <v>514</v>
      </c>
      <c r="B517" s="894">
        <f t="shared" si="54"/>
        <v>94</v>
      </c>
      <c r="C517" s="894" t="s">
        <v>1150</v>
      </c>
      <c r="D517" s="894"/>
      <c r="E517" s="1949">
        <v>45541</v>
      </c>
      <c r="F517" s="894" t="s">
        <v>191</v>
      </c>
      <c r="H517" s="317" t="str">
        <f>_xlfn.XLOOKUP(C516,'[36]Porta TN70'!$C:$C,'[36]Porta TN70'!$G:$G)</f>
        <v>Ö</v>
      </c>
    </row>
    <row r="518" spans="1:8">
      <c r="A518" s="894">
        <f t="shared" si="54"/>
        <v>515</v>
      </c>
      <c r="B518" s="894">
        <f t="shared" si="54"/>
        <v>95</v>
      </c>
      <c r="C518" s="894" t="s">
        <v>1151</v>
      </c>
      <c r="D518" s="894"/>
      <c r="E518" s="1949">
        <v>45541</v>
      </c>
      <c r="F518" s="894" t="s">
        <v>191</v>
      </c>
      <c r="H518" s="317" t="str">
        <f>_xlfn.XLOOKUP(C517,'[36]Porta TN70'!$C:$C,'[36]Porta TN70'!$G:$G)</f>
        <v>Ö</v>
      </c>
    </row>
    <row r="519" spans="1:8">
      <c r="A519" s="894">
        <f t="shared" si="54"/>
        <v>516</v>
      </c>
      <c r="B519" s="894">
        <f t="shared" ref="A519:B629" si="55">B518+1</f>
        <v>96</v>
      </c>
      <c r="C519" s="894" t="s">
        <v>1152</v>
      </c>
      <c r="D519" s="894"/>
      <c r="E519" s="1949">
        <v>45541</v>
      </c>
      <c r="F519" s="894" t="s">
        <v>191</v>
      </c>
      <c r="H519" s="317" t="str">
        <f>_xlfn.XLOOKUP(C518,'[36]Porta TN70'!$C:$C,'[36]Porta TN70'!$G:$G)</f>
        <v>Ö</v>
      </c>
    </row>
    <row r="520" spans="1:8">
      <c r="A520" s="894">
        <f t="shared" si="54"/>
        <v>517</v>
      </c>
      <c r="B520" s="894">
        <f t="shared" si="55"/>
        <v>97</v>
      </c>
      <c r="C520" s="894" t="s">
        <v>1153</v>
      </c>
      <c r="D520" s="894"/>
      <c r="E520" s="1949">
        <v>45541</v>
      </c>
      <c r="F520" s="894" t="s">
        <v>191</v>
      </c>
      <c r="H520" s="317" t="str">
        <f>_xlfn.XLOOKUP(C519,'[36]Porta TN70'!$C:$C,'[36]Porta TN70'!$G:$G)</f>
        <v>Ö</v>
      </c>
    </row>
    <row r="521" spans="1:8">
      <c r="A521" s="894">
        <f t="shared" si="54"/>
        <v>518</v>
      </c>
      <c r="B521" s="894">
        <f t="shared" si="55"/>
        <v>98</v>
      </c>
      <c r="C521" s="894" t="s">
        <v>1154</v>
      </c>
      <c r="D521" s="894"/>
      <c r="E521" s="1949">
        <v>45541</v>
      </c>
      <c r="F521" s="894" t="s">
        <v>191</v>
      </c>
      <c r="H521" s="317" t="str">
        <f>_xlfn.XLOOKUP(C520,'[36]Porta TN70'!$C:$C,'[36]Porta TN70'!$G:$G)</f>
        <v>Ö</v>
      </c>
    </row>
    <row r="522" spans="1:8">
      <c r="A522" s="894">
        <f t="shared" si="54"/>
        <v>519</v>
      </c>
      <c r="B522" s="894">
        <f t="shared" si="55"/>
        <v>99</v>
      </c>
      <c r="C522" s="894" t="s">
        <v>1155</v>
      </c>
      <c r="D522" s="894"/>
      <c r="E522" s="1949">
        <v>45541</v>
      </c>
      <c r="F522" s="894" t="s">
        <v>191</v>
      </c>
      <c r="H522" s="317" t="str">
        <f>_xlfn.XLOOKUP(C521,'[36]Porta TN70'!$C:$C,'[36]Porta TN70'!$G:$G)</f>
        <v>Ö</v>
      </c>
    </row>
    <row r="523" spans="1:8">
      <c r="A523" s="894">
        <f t="shared" si="54"/>
        <v>520</v>
      </c>
      <c r="B523" s="894">
        <f t="shared" si="55"/>
        <v>100</v>
      </c>
      <c r="C523" s="894" t="s">
        <v>1156</v>
      </c>
      <c r="D523" s="894"/>
      <c r="E523" s="1949">
        <v>45541</v>
      </c>
      <c r="F523" s="894" t="s">
        <v>191</v>
      </c>
      <c r="H523" s="317" t="str">
        <f>_xlfn.XLOOKUP(C522,'[36]Porta TN70'!$C:$C,'[36]Porta TN70'!$G:$G)</f>
        <v>Ö</v>
      </c>
    </row>
    <row r="524" spans="1:8">
      <c r="A524" s="894">
        <f t="shared" si="54"/>
        <v>521</v>
      </c>
      <c r="B524" s="894">
        <f t="shared" si="55"/>
        <v>101</v>
      </c>
      <c r="C524" s="894" t="s">
        <v>1157</v>
      </c>
      <c r="D524" s="894"/>
      <c r="E524" s="1949">
        <v>45541</v>
      </c>
      <c r="F524" s="894" t="s">
        <v>191</v>
      </c>
      <c r="H524" s="317" t="str">
        <f>_xlfn.XLOOKUP(C523,'[36]Porta TN70'!$C:$C,'[36]Porta TN70'!$G:$G)</f>
        <v>Ö</v>
      </c>
    </row>
    <row r="525" spans="1:8">
      <c r="A525" s="894">
        <f t="shared" si="54"/>
        <v>522</v>
      </c>
      <c r="B525" s="894">
        <f t="shared" si="55"/>
        <v>102</v>
      </c>
      <c r="C525" s="894" t="s">
        <v>1158</v>
      </c>
      <c r="D525" s="894"/>
      <c r="E525" s="1949">
        <v>45541</v>
      </c>
      <c r="F525" s="894" t="s">
        <v>191</v>
      </c>
      <c r="H525" s="317" t="str">
        <f>_xlfn.XLOOKUP(C524,'[36]Porta TN70'!$C:$C,'[36]Porta TN70'!$G:$G)</f>
        <v>Ö</v>
      </c>
    </row>
    <row r="526" spans="1:8">
      <c r="A526" s="894">
        <f t="shared" si="54"/>
        <v>523</v>
      </c>
      <c r="B526" s="894">
        <f t="shared" si="55"/>
        <v>103</v>
      </c>
      <c r="C526" s="894" t="s">
        <v>1159</v>
      </c>
      <c r="D526" s="894"/>
      <c r="E526" s="1949">
        <v>45541</v>
      </c>
      <c r="F526" s="894" t="s">
        <v>191</v>
      </c>
      <c r="H526" s="317" t="str">
        <f>_xlfn.XLOOKUP(C525,'[36]Porta TN70'!$C:$C,'[36]Porta TN70'!$G:$G)</f>
        <v>Ö</v>
      </c>
    </row>
    <row r="527" spans="1:8">
      <c r="A527" s="894">
        <f t="shared" si="54"/>
        <v>524</v>
      </c>
      <c r="B527" s="894">
        <f t="shared" si="55"/>
        <v>104</v>
      </c>
      <c r="C527" s="894" t="s">
        <v>1160</v>
      </c>
      <c r="D527" s="894"/>
      <c r="E527" s="1949">
        <v>45541</v>
      </c>
      <c r="F527" s="894" t="s">
        <v>191</v>
      </c>
      <c r="H527" s="317" t="str">
        <f>_xlfn.XLOOKUP(C526,'[36]Porta TN70'!$C:$C,'[36]Porta TN70'!$G:$G)</f>
        <v>Ö</v>
      </c>
    </row>
    <row r="528" spans="1:8">
      <c r="A528" s="894">
        <f t="shared" si="54"/>
        <v>525</v>
      </c>
      <c r="B528" s="894">
        <f t="shared" si="55"/>
        <v>105</v>
      </c>
      <c r="C528" s="894" t="s">
        <v>1161</v>
      </c>
      <c r="D528" s="894"/>
      <c r="E528" s="1949">
        <v>45541</v>
      </c>
      <c r="F528" s="894" t="s">
        <v>191</v>
      </c>
      <c r="H528" s="317" t="str">
        <f>_xlfn.XLOOKUP(C527,'[36]Porta TN70'!$C:$C,'[36]Porta TN70'!$G:$G)</f>
        <v>Ö</v>
      </c>
    </row>
    <row r="529" spans="1:8">
      <c r="A529" s="894">
        <f t="shared" si="54"/>
        <v>526</v>
      </c>
      <c r="B529" s="894">
        <f t="shared" si="55"/>
        <v>106</v>
      </c>
      <c r="C529" s="894" t="s">
        <v>1162</v>
      </c>
      <c r="D529" s="894"/>
      <c r="E529" s="1949">
        <v>45541</v>
      </c>
      <c r="F529" s="894" t="s">
        <v>191</v>
      </c>
      <c r="H529" s="317" t="str">
        <f>_xlfn.XLOOKUP(C528,'[36]Porta TN70'!$C:$C,'[36]Porta TN70'!$G:$G)</f>
        <v>Ö</v>
      </c>
    </row>
    <row r="530" spans="1:8">
      <c r="A530" s="894">
        <f t="shared" si="54"/>
        <v>527</v>
      </c>
      <c r="B530" s="894">
        <f t="shared" si="55"/>
        <v>107</v>
      </c>
      <c r="C530" s="894" t="s">
        <v>1163</v>
      </c>
      <c r="D530" s="894"/>
      <c r="E530" s="1949">
        <v>45541</v>
      </c>
      <c r="F530" s="894" t="s">
        <v>191</v>
      </c>
      <c r="H530" s="317" t="str">
        <f>_xlfn.XLOOKUP(C529,'[36]Porta TN70'!$C:$C,'[36]Porta TN70'!$G:$G)</f>
        <v>Ö</v>
      </c>
    </row>
    <row r="531" spans="1:8">
      <c r="A531" s="894">
        <f t="shared" si="54"/>
        <v>528</v>
      </c>
      <c r="B531" s="894">
        <f t="shared" si="55"/>
        <v>108</v>
      </c>
      <c r="C531" s="894" t="s">
        <v>1164</v>
      </c>
      <c r="D531" s="894"/>
      <c r="E531" s="1949">
        <v>45541</v>
      </c>
      <c r="F531" s="894" t="s">
        <v>191</v>
      </c>
      <c r="H531" s="317" t="str">
        <f>_xlfn.XLOOKUP(C530,'[36]Porta TN70'!$C:$C,'[36]Porta TN70'!$G:$G)</f>
        <v>Ö</v>
      </c>
    </row>
    <row r="532" spans="1:8">
      <c r="A532" s="894">
        <f t="shared" si="54"/>
        <v>529</v>
      </c>
      <c r="B532" s="894">
        <f t="shared" si="55"/>
        <v>109</v>
      </c>
      <c r="C532" s="894" t="s">
        <v>1165</v>
      </c>
      <c r="D532" s="894"/>
      <c r="E532" s="1949">
        <v>45541</v>
      </c>
      <c r="F532" s="894" t="s">
        <v>191</v>
      </c>
      <c r="H532" s="317" t="str">
        <f>_xlfn.XLOOKUP(C531,'[36]Porta TN70'!$C:$C,'[36]Porta TN70'!$G:$G)</f>
        <v>Ö</v>
      </c>
    </row>
    <row r="533" spans="1:8">
      <c r="A533" s="894">
        <f t="shared" si="54"/>
        <v>530</v>
      </c>
      <c r="B533" s="894">
        <f t="shared" si="55"/>
        <v>110</v>
      </c>
      <c r="C533" s="894" t="s">
        <v>1166</v>
      </c>
      <c r="D533" s="894"/>
      <c r="E533" s="1949">
        <v>45541</v>
      </c>
      <c r="F533" s="894" t="s">
        <v>191</v>
      </c>
      <c r="H533" s="317" t="str">
        <f>_xlfn.XLOOKUP(C532,'[36]Porta TN70'!$C:$C,'[36]Porta TN70'!$G:$G)</f>
        <v>Ö</v>
      </c>
    </row>
    <row r="534" spans="1:8">
      <c r="A534" s="894">
        <f t="shared" si="54"/>
        <v>531</v>
      </c>
      <c r="B534" s="894">
        <f t="shared" si="55"/>
        <v>111</v>
      </c>
      <c r="C534" s="894" t="s">
        <v>1167</v>
      </c>
      <c r="D534" s="894"/>
      <c r="E534" s="1949">
        <v>45541</v>
      </c>
      <c r="F534" s="894" t="s">
        <v>191</v>
      </c>
      <c r="H534" s="317" t="str">
        <f>_xlfn.XLOOKUP(C533,'[36]Porta TN70'!$C:$C,'[36]Porta TN70'!$G:$G)</f>
        <v>Ö</v>
      </c>
    </row>
    <row r="535" spans="1:8">
      <c r="A535" s="894">
        <f t="shared" si="54"/>
        <v>532</v>
      </c>
      <c r="B535" s="894">
        <f t="shared" si="55"/>
        <v>112</v>
      </c>
      <c r="C535" s="894" t="s">
        <v>1168</v>
      </c>
      <c r="D535" s="894"/>
      <c r="E535" s="1949">
        <v>45541</v>
      </c>
      <c r="F535" s="894" t="s">
        <v>191</v>
      </c>
      <c r="H535" s="317" t="str">
        <f>_xlfn.XLOOKUP(C534,'[36]Porta TN70'!$C:$C,'[36]Porta TN70'!$G:$G)</f>
        <v>Ö</v>
      </c>
    </row>
    <row r="536" spans="1:8">
      <c r="A536" s="894">
        <f t="shared" si="54"/>
        <v>533</v>
      </c>
      <c r="B536" s="894">
        <f t="shared" si="55"/>
        <v>113</v>
      </c>
      <c r="C536" s="894" t="s">
        <v>1169</v>
      </c>
      <c r="D536" s="894"/>
      <c r="E536" s="1949">
        <v>45541</v>
      </c>
      <c r="F536" s="894" t="s">
        <v>191</v>
      </c>
      <c r="H536" s="317" t="str">
        <f>_xlfn.XLOOKUP(C535,'[36]Porta TN70'!$C:$C,'[36]Porta TN70'!$G:$G)</f>
        <v>Ö</v>
      </c>
    </row>
    <row r="537" spans="1:8">
      <c r="A537" s="894">
        <f t="shared" si="54"/>
        <v>534</v>
      </c>
      <c r="B537" s="894">
        <f t="shared" si="55"/>
        <v>114</v>
      </c>
      <c r="C537" s="894" t="s">
        <v>1170</v>
      </c>
      <c r="D537" s="894"/>
      <c r="E537" s="1949">
        <v>45541</v>
      </c>
      <c r="F537" s="894" t="s">
        <v>191</v>
      </c>
      <c r="H537" s="317" t="str">
        <f>_xlfn.XLOOKUP(C536,'[36]Porta TN70'!$C:$C,'[36]Porta TN70'!$G:$G)</f>
        <v>Ö</v>
      </c>
    </row>
    <row r="538" spans="1:8">
      <c r="A538" s="894">
        <f t="shared" si="54"/>
        <v>535</v>
      </c>
      <c r="B538" s="894">
        <f t="shared" si="55"/>
        <v>115</v>
      </c>
      <c r="C538" s="894" t="s">
        <v>1171</v>
      </c>
      <c r="D538" s="894"/>
      <c r="E538" s="1949">
        <v>45541</v>
      </c>
      <c r="F538" s="894" t="s">
        <v>191</v>
      </c>
      <c r="H538" s="317" t="str">
        <f>_xlfn.XLOOKUP(C537,'[36]Porta TN70'!$C:$C,'[36]Porta TN70'!$G:$G)</f>
        <v>Ö</v>
      </c>
    </row>
    <row r="539" spans="1:8">
      <c r="A539" s="894">
        <f t="shared" si="54"/>
        <v>536</v>
      </c>
      <c r="B539" s="894">
        <f t="shared" si="55"/>
        <v>116</v>
      </c>
      <c r="C539" s="894" t="s">
        <v>1172</v>
      </c>
      <c r="D539" s="894"/>
      <c r="E539" s="1949">
        <v>45541</v>
      </c>
      <c r="F539" s="894" t="s">
        <v>191</v>
      </c>
      <c r="H539" s="317" t="str">
        <f>_xlfn.XLOOKUP(C538,'[36]Porta TN70'!$C:$C,'[36]Porta TN70'!$G:$G)</f>
        <v>Ö</v>
      </c>
    </row>
    <row r="540" spans="1:8">
      <c r="A540" s="894">
        <f t="shared" si="54"/>
        <v>537</v>
      </c>
      <c r="B540" s="894">
        <f t="shared" si="55"/>
        <v>117</v>
      </c>
      <c r="C540" s="894" t="s">
        <v>1173</v>
      </c>
      <c r="D540" s="894"/>
      <c r="E540" s="1949">
        <v>45541</v>
      </c>
      <c r="F540" s="894" t="s">
        <v>191</v>
      </c>
      <c r="H540" s="317" t="str">
        <f>_xlfn.XLOOKUP(C539,'[36]Porta TN70'!$C:$C,'[36]Porta TN70'!$G:$G)</f>
        <v>Ö</v>
      </c>
    </row>
    <row r="541" spans="1:8">
      <c r="A541" s="894">
        <f t="shared" si="54"/>
        <v>538</v>
      </c>
      <c r="B541" s="894">
        <f t="shared" si="55"/>
        <v>118</v>
      </c>
      <c r="C541" s="894" t="s">
        <v>1174</v>
      </c>
      <c r="D541" s="894"/>
      <c r="E541" s="1949">
        <v>45541</v>
      </c>
      <c r="F541" s="894" t="s">
        <v>191</v>
      </c>
      <c r="H541" s="317" t="str">
        <f>_xlfn.XLOOKUP(C540,'[36]Porta TN70'!$C:$C,'[36]Porta TN70'!$G:$G)</f>
        <v>Ö</v>
      </c>
    </row>
    <row r="542" spans="1:8">
      <c r="A542" s="894">
        <f t="shared" si="54"/>
        <v>539</v>
      </c>
      <c r="B542" s="894">
        <f t="shared" si="55"/>
        <v>119</v>
      </c>
      <c r="C542" s="894" t="s">
        <v>1175</v>
      </c>
      <c r="D542" s="894"/>
      <c r="E542" s="1949">
        <v>45541</v>
      </c>
      <c r="F542" s="894" t="s">
        <v>191</v>
      </c>
      <c r="H542" s="317" t="str">
        <f>_xlfn.XLOOKUP(C541,'[36]Porta TN70'!$C:$C,'[36]Porta TN70'!$G:$G)</f>
        <v>Ö</v>
      </c>
    </row>
    <row r="543" spans="1:8">
      <c r="A543" s="894">
        <f t="shared" si="54"/>
        <v>540</v>
      </c>
      <c r="B543" s="894">
        <f>+B542+1</f>
        <v>120</v>
      </c>
      <c r="C543" s="894" t="s">
        <v>1176</v>
      </c>
      <c r="D543" s="894"/>
      <c r="E543" s="1949">
        <v>45541</v>
      </c>
      <c r="F543" s="894" t="s">
        <v>191</v>
      </c>
      <c r="H543" s="317" t="str">
        <f>_xlfn.XLOOKUP(C542,'[36]Porta TN70'!$C:$C,'[36]Porta TN70'!$G:$G)</f>
        <v>Ö</v>
      </c>
    </row>
    <row r="544" spans="1:8">
      <c r="A544" s="894">
        <f t="shared" si="54"/>
        <v>541</v>
      </c>
      <c r="B544" s="894">
        <f t="shared" si="55"/>
        <v>121</v>
      </c>
      <c r="C544" s="894" t="s">
        <v>1177</v>
      </c>
      <c r="D544" s="894"/>
      <c r="E544" s="1949">
        <v>45541</v>
      </c>
      <c r="F544" s="894" t="s">
        <v>191</v>
      </c>
      <c r="H544" s="317" t="str">
        <f>_xlfn.XLOOKUP(C543,'[36]Porta TN70'!$C:$C,'[36]Porta TN70'!$G:$G)</f>
        <v>Ö</v>
      </c>
    </row>
    <row r="545" spans="1:8">
      <c r="A545" s="894">
        <f t="shared" si="54"/>
        <v>542</v>
      </c>
      <c r="B545" s="894">
        <f t="shared" si="55"/>
        <v>122</v>
      </c>
      <c r="C545" s="894" t="s">
        <v>1178</v>
      </c>
      <c r="D545" s="894"/>
      <c r="E545" s="1949">
        <v>45541</v>
      </c>
      <c r="F545" s="894" t="s">
        <v>191</v>
      </c>
      <c r="H545" s="317" t="str">
        <f>_xlfn.XLOOKUP(C544,'[36]Porta TN70'!$C:$C,'[36]Porta TN70'!$G:$G)</f>
        <v>Ö</v>
      </c>
    </row>
    <row r="546" spans="1:8">
      <c r="A546" s="894">
        <f t="shared" si="54"/>
        <v>543</v>
      </c>
      <c r="B546" s="894">
        <f t="shared" si="55"/>
        <v>123</v>
      </c>
      <c r="C546" s="894" t="s">
        <v>1179</v>
      </c>
      <c r="D546" s="894"/>
      <c r="E546" s="1949">
        <v>45541</v>
      </c>
      <c r="F546" s="894" t="s">
        <v>191</v>
      </c>
      <c r="H546" s="317" t="str">
        <f>_xlfn.XLOOKUP(C545,'[36]Porta TN70'!$C:$C,'[36]Porta TN70'!$G:$G)</f>
        <v>Ö</v>
      </c>
    </row>
    <row r="547" spans="1:8">
      <c r="A547" s="894">
        <f t="shared" si="54"/>
        <v>544</v>
      </c>
      <c r="B547" s="894">
        <f t="shared" si="55"/>
        <v>124</v>
      </c>
      <c r="C547" s="894" t="s">
        <v>1180</v>
      </c>
      <c r="D547" s="894"/>
      <c r="E547" s="1949">
        <v>45541</v>
      </c>
      <c r="F547" s="894" t="s">
        <v>191</v>
      </c>
      <c r="H547" s="317" t="str">
        <f>_xlfn.XLOOKUP(C546,'[36]Porta TN70'!$C:$C,'[36]Porta TN70'!$G:$G)</f>
        <v>Ö</v>
      </c>
    </row>
    <row r="548" spans="1:8">
      <c r="A548" s="894">
        <f t="shared" si="54"/>
        <v>545</v>
      </c>
      <c r="B548" s="894">
        <f t="shared" si="55"/>
        <v>125</v>
      </c>
      <c r="C548" s="894" t="s">
        <v>1181</v>
      </c>
      <c r="D548" s="894"/>
      <c r="E548" s="1949">
        <v>45541</v>
      </c>
      <c r="F548" s="894" t="s">
        <v>191</v>
      </c>
      <c r="H548" s="317" t="str">
        <f>_xlfn.XLOOKUP(C547,'[36]Porta TN70'!$C:$C,'[36]Porta TN70'!$G:$G)</f>
        <v>Ö</v>
      </c>
    </row>
    <row r="549" spans="1:8">
      <c r="A549" s="894">
        <f t="shared" si="54"/>
        <v>546</v>
      </c>
      <c r="B549" s="894">
        <f t="shared" si="55"/>
        <v>126</v>
      </c>
      <c r="C549" s="894" t="s">
        <v>1182</v>
      </c>
      <c r="D549" s="894"/>
      <c r="E549" s="1949">
        <v>45541</v>
      </c>
      <c r="F549" s="894" t="s">
        <v>191</v>
      </c>
      <c r="H549" s="317" t="str">
        <f>_xlfn.XLOOKUP(C548,'[36]Porta TN70'!$C:$C,'[36]Porta TN70'!$G:$G)</f>
        <v>Ö</v>
      </c>
    </row>
    <row r="550" spans="1:8">
      <c r="A550" s="894">
        <f t="shared" si="54"/>
        <v>547</v>
      </c>
      <c r="B550" s="894">
        <f t="shared" si="55"/>
        <v>127</v>
      </c>
      <c r="C550" s="894" t="s">
        <v>1183</v>
      </c>
      <c r="D550" s="894"/>
      <c r="E550" s="1949">
        <v>45541</v>
      </c>
      <c r="F550" s="894" t="s">
        <v>191</v>
      </c>
      <c r="H550" s="317" t="str">
        <f>_xlfn.XLOOKUP(C549,'[36]Porta TN70'!$C:$C,'[36]Porta TN70'!$G:$G)</f>
        <v>Ö</v>
      </c>
    </row>
    <row r="551" spans="1:8">
      <c r="A551" s="894">
        <f t="shared" si="54"/>
        <v>548</v>
      </c>
      <c r="B551" s="894">
        <f t="shared" si="55"/>
        <v>128</v>
      </c>
      <c r="C551" s="894" t="s">
        <v>1184</v>
      </c>
      <c r="D551" s="894"/>
      <c r="E551" s="1949">
        <v>45541</v>
      </c>
      <c r="F551" s="894" t="s">
        <v>191</v>
      </c>
      <c r="H551" s="317" t="str">
        <f>_xlfn.XLOOKUP(C550,'[36]Porta TN70'!$C:$C,'[36]Porta TN70'!$G:$G)</f>
        <v>Ö</v>
      </c>
    </row>
    <row r="552" spans="1:8">
      <c r="A552" s="894">
        <f t="shared" si="54"/>
        <v>549</v>
      </c>
      <c r="B552" s="894">
        <f t="shared" si="55"/>
        <v>129</v>
      </c>
      <c r="C552" s="894" t="s">
        <v>1185</v>
      </c>
      <c r="D552" s="894"/>
      <c r="E552" s="1949">
        <v>45541</v>
      </c>
      <c r="F552" s="894" t="s">
        <v>191</v>
      </c>
      <c r="H552" s="317" t="str">
        <f>_xlfn.XLOOKUP(C551,'[36]Porta TN70'!$C:$C,'[36]Porta TN70'!$G:$G)</f>
        <v>Ö</v>
      </c>
    </row>
    <row r="553" spans="1:8">
      <c r="A553" s="894">
        <f t="shared" si="54"/>
        <v>550</v>
      </c>
      <c r="B553" s="894">
        <f t="shared" si="55"/>
        <v>130</v>
      </c>
      <c r="C553" s="894" t="s">
        <v>1186</v>
      </c>
      <c r="D553" s="894"/>
      <c r="E553" s="1949">
        <v>45541</v>
      </c>
      <c r="F553" s="894" t="s">
        <v>191</v>
      </c>
      <c r="H553" s="317" t="str">
        <f>_xlfn.XLOOKUP(C552,'[36]Porta TN70'!$C:$C,'[36]Porta TN70'!$G:$G)</f>
        <v>Ö</v>
      </c>
    </row>
    <row r="554" spans="1:8">
      <c r="A554" s="894">
        <f t="shared" si="54"/>
        <v>551</v>
      </c>
      <c r="B554" s="894">
        <f t="shared" si="55"/>
        <v>131</v>
      </c>
      <c r="C554" s="894" t="s">
        <v>1187</v>
      </c>
      <c r="D554" s="894"/>
      <c r="E554" s="1949">
        <v>45541</v>
      </c>
      <c r="F554" s="894" t="s">
        <v>191</v>
      </c>
      <c r="H554" s="317" t="str">
        <f>_xlfn.XLOOKUP(C553,'[36]Porta TN70'!$C:$C,'[36]Porta TN70'!$G:$G)</f>
        <v>Ö</v>
      </c>
    </row>
    <row r="555" spans="1:8">
      <c r="A555" s="894">
        <f t="shared" si="54"/>
        <v>552</v>
      </c>
      <c r="B555" s="894">
        <f t="shared" si="55"/>
        <v>132</v>
      </c>
      <c r="C555" s="894" t="s">
        <v>1188</v>
      </c>
      <c r="D555" s="894"/>
      <c r="E555" s="1949">
        <v>45541</v>
      </c>
      <c r="F555" s="894" t="s">
        <v>191</v>
      </c>
      <c r="H555" s="317" t="str">
        <f>_xlfn.XLOOKUP(C554,'[36]Porta TN70'!$C:$C,'[36]Porta TN70'!$G:$G)</f>
        <v>Ö</v>
      </c>
    </row>
    <row r="556" spans="1:8">
      <c r="A556" s="894">
        <f t="shared" si="54"/>
        <v>553</v>
      </c>
      <c r="B556" s="894">
        <f t="shared" si="55"/>
        <v>133</v>
      </c>
      <c r="C556" s="894" t="s">
        <v>1189</v>
      </c>
      <c r="D556" s="894"/>
      <c r="E556" s="1949">
        <v>45541</v>
      </c>
      <c r="F556" s="894" t="s">
        <v>191</v>
      </c>
      <c r="H556" s="317" t="str">
        <f>_xlfn.XLOOKUP(C555,'[36]Porta TN70'!$C:$C,'[36]Porta TN70'!$G:$G)</f>
        <v>Ö</v>
      </c>
    </row>
    <row r="557" spans="1:8">
      <c r="A557" s="894">
        <f t="shared" si="54"/>
        <v>554</v>
      </c>
      <c r="B557" s="894">
        <f t="shared" si="55"/>
        <v>134</v>
      </c>
      <c r="C557" s="894" t="s">
        <v>1190</v>
      </c>
      <c r="D557" s="894"/>
      <c r="E557" s="1949">
        <v>45541</v>
      </c>
      <c r="F557" s="894" t="s">
        <v>191</v>
      </c>
      <c r="H557" s="317" t="str">
        <f>_xlfn.XLOOKUP(C556,'[36]Porta TN70'!$C:$C,'[36]Porta TN70'!$G:$G)</f>
        <v>Ö</v>
      </c>
    </row>
    <row r="558" spans="1:8">
      <c r="A558" s="894">
        <f t="shared" si="54"/>
        <v>555</v>
      </c>
      <c r="B558" s="894">
        <f t="shared" si="55"/>
        <v>135</v>
      </c>
      <c r="C558" s="894" t="s">
        <v>1191</v>
      </c>
      <c r="D558" s="894"/>
      <c r="E558" s="1949">
        <v>45541</v>
      </c>
      <c r="F558" s="894" t="s">
        <v>191</v>
      </c>
      <c r="H558" s="317" t="str">
        <f>_xlfn.XLOOKUP(C557,'[36]Porta TN70'!$C:$C,'[36]Porta TN70'!$G:$G)</f>
        <v>Ö</v>
      </c>
    </row>
    <row r="559" spans="1:8">
      <c r="A559" s="894">
        <f t="shared" si="54"/>
        <v>556</v>
      </c>
      <c r="B559" s="894">
        <f t="shared" si="55"/>
        <v>136</v>
      </c>
      <c r="C559" s="894" t="s">
        <v>1192</v>
      </c>
      <c r="D559" s="894"/>
      <c r="E559" s="1949">
        <v>45541</v>
      </c>
      <c r="F559" s="894" t="s">
        <v>191</v>
      </c>
      <c r="H559" s="317" t="str">
        <f>_xlfn.XLOOKUP(C558,'[36]Porta TN70'!$C:$C,'[36]Porta TN70'!$G:$G)</f>
        <v>Ö</v>
      </c>
    </row>
    <row r="560" spans="1:8">
      <c r="A560" s="894">
        <f t="shared" si="54"/>
        <v>557</v>
      </c>
      <c r="B560" s="894"/>
      <c r="E560" s="2094"/>
      <c r="F560" s="2094"/>
      <c r="H560" s="317" t="str">
        <f>_xlfn.XLOOKUP(C559,'[36]Porta TN70'!$C:$C,'[36]Porta TN70'!$G:$G)</f>
        <v>Ö</v>
      </c>
    </row>
    <row r="561" spans="1:6">
      <c r="A561" s="894">
        <f t="shared" si="54"/>
        <v>558</v>
      </c>
      <c r="B561" s="894"/>
      <c r="E561" s="894"/>
      <c r="F561" s="894"/>
    </row>
    <row r="562" spans="1:6">
      <c r="A562" s="894">
        <f t="shared" si="54"/>
        <v>559</v>
      </c>
      <c r="E562" s="2038" t="s">
        <v>71</v>
      </c>
      <c r="F562" s="2039">
        <f>A586</f>
        <v>583</v>
      </c>
    </row>
    <row r="563" spans="1:6">
      <c r="A563" s="894">
        <f t="shared" si="54"/>
        <v>560</v>
      </c>
      <c r="E563" s="894" t="s">
        <v>572</v>
      </c>
      <c r="F563" s="2038">
        <v>0</v>
      </c>
    </row>
    <row r="564" spans="1:6">
      <c r="A564" s="894">
        <f t="shared" si="54"/>
        <v>561</v>
      </c>
      <c r="E564" s="2038" t="s">
        <v>309</v>
      </c>
      <c r="F564" s="2039">
        <f>608-A586-F566-F563</f>
        <v>4</v>
      </c>
    </row>
    <row r="565" spans="1:6">
      <c r="A565" s="894">
        <f t="shared" si="54"/>
        <v>562</v>
      </c>
      <c r="E565" s="317" t="s">
        <v>229</v>
      </c>
      <c r="F565" s="317">
        <v>0</v>
      </c>
    </row>
    <row r="566" spans="1:6">
      <c r="A566" s="894">
        <f t="shared" si="54"/>
        <v>563</v>
      </c>
      <c r="E566" s="317" t="s">
        <v>293</v>
      </c>
      <c r="F566" s="316">
        <f>21</f>
        <v>21</v>
      </c>
    </row>
    <row r="567" spans="1:6">
      <c r="A567" s="894">
        <f t="shared" si="54"/>
        <v>564</v>
      </c>
    </row>
    <row r="568" spans="1:6">
      <c r="A568" s="894">
        <f t="shared" si="54"/>
        <v>565</v>
      </c>
    </row>
    <row r="569" spans="1:6">
      <c r="A569" s="894">
        <f t="shared" si="54"/>
        <v>566</v>
      </c>
    </row>
    <row r="570" spans="1:6">
      <c r="A570" s="894">
        <f t="shared" si="54"/>
        <v>567</v>
      </c>
    </row>
    <row r="571" spans="1:6">
      <c r="A571" s="894">
        <f t="shared" si="54"/>
        <v>568</v>
      </c>
    </row>
    <row r="572" spans="1:6">
      <c r="A572" s="894">
        <f t="shared" si="54"/>
        <v>569</v>
      </c>
    </row>
    <row r="573" spans="1:6">
      <c r="A573" s="894">
        <f t="shared" si="54"/>
        <v>570</v>
      </c>
    </row>
    <row r="574" spans="1:6">
      <c r="A574" s="894">
        <f t="shared" si="54"/>
        <v>571</v>
      </c>
    </row>
    <row r="575" spans="1:6">
      <c r="A575" s="894">
        <f t="shared" si="54"/>
        <v>572</v>
      </c>
    </row>
    <row r="576" spans="1:6">
      <c r="A576" s="894">
        <f t="shared" si="54"/>
        <v>573</v>
      </c>
    </row>
    <row r="577" spans="1:10">
      <c r="A577" s="894">
        <f t="shared" si="54"/>
        <v>574</v>
      </c>
    </row>
    <row r="578" spans="1:10">
      <c r="A578" s="894">
        <f t="shared" si="54"/>
        <v>575</v>
      </c>
    </row>
    <row r="579" spans="1:10">
      <c r="A579" s="894">
        <f t="shared" si="54"/>
        <v>576</v>
      </c>
    </row>
    <row r="580" spans="1:10">
      <c r="A580" s="894">
        <f t="shared" si="54"/>
        <v>577</v>
      </c>
    </row>
    <row r="581" spans="1:10">
      <c r="A581" s="894">
        <f t="shared" si="54"/>
        <v>578</v>
      </c>
    </row>
    <row r="582" spans="1:10">
      <c r="A582" s="894">
        <f t="shared" si="55"/>
        <v>579</v>
      </c>
    </row>
    <row r="583" spans="1:10">
      <c r="A583" s="894">
        <f t="shared" si="55"/>
        <v>580</v>
      </c>
    </row>
    <row r="584" spans="1:10">
      <c r="A584" s="894">
        <f t="shared" si="55"/>
        <v>581</v>
      </c>
    </row>
    <row r="585" spans="1:10">
      <c r="A585" s="894">
        <f t="shared" si="55"/>
        <v>582</v>
      </c>
    </row>
    <row r="586" spans="1:10">
      <c r="A586" s="894">
        <f t="shared" si="55"/>
        <v>583</v>
      </c>
    </row>
    <row r="587" spans="1:10">
      <c r="A587" s="894">
        <f t="shared" si="55"/>
        <v>584</v>
      </c>
    </row>
    <row r="588" spans="1:10">
      <c r="A588" s="894">
        <f t="shared" si="55"/>
        <v>585</v>
      </c>
    </row>
    <row r="589" spans="1:10">
      <c r="A589" s="894">
        <f t="shared" si="55"/>
        <v>586</v>
      </c>
    </row>
    <row r="590" spans="1:10">
      <c r="A590" s="894">
        <f t="shared" si="55"/>
        <v>587</v>
      </c>
      <c r="J590" s="316"/>
    </row>
    <row r="591" spans="1:10">
      <c r="A591" s="894">
        <f t="shared" si="55"/>
        <v>588</v>
      </c>
      <c r="J591" s="316"/>
    </row>
    <row r="592" spans="1:10">
      <c r="A592" s="894">
        <f t="shared" si="55"/>
        <v>589</v>
      </c>
    </row>
    <row r="593" spans="1:1">
      <c r="A593" s="894">
        <f t="shared" si="55"/>
        <v>590</v>
      </c>
    </row>
    <row r="594" spans="1:1">
      <c r="A594" s="894">
        <f t="shared" si="55"/>
        <v>591</v>
      </c>
    </row>
    <row r="595" spans="1:1">
      <c r="A595" s="894">
        <f t="shared" si="55"/>
        <v>592</v>
      </c>
    </row>
    <row r="596" spans="1:1">
      <c r="A596" s="894">
        <f t="shared" si="55"/>
        <v>593</v>
      </c>
    </row>
    <row r="597" spans="1:1">
      <c r="A597" s="894">
        <f t="shared" si="55"/>
        <v>594</v>
      </c>
    </row>
    <row r="598" spans="1:1">
      <c r="A598" s="894">
        <f t="shared" si="55"/>
        <v>595</v>
      </c>
    </row>
    <row r="599" spans="1:1">
      <c r="A599" s="894">
        <f t="shared" si="55"/>
        <v>596</v>
      </c>
    </row>
    <row r="600" spans="1:1">
      <c r="A600" s="894">
        <f t="shared" si="55"/>
        <v>597</v>
      </c>
    </row>
    <row r="601" spans="1:1">
      <c r="A601" s="894">
        <f t="shared" si="55"/>
        <v>598</v>
      </c>
    </row>
    <row r="602" spans="1:1">
      <c r="A602" s="894">
        <f t="shared" si="55"/>
        <v>599</v>
      </c>
    </row>
    <row r="603" spans="1:1">
      <c r="A603" s="894">
        <f t="shared" si="55"/>
        <v>600</v>
      </c>
    </row>
    <row r="604" spans="1:1">
      <c r="A604" s="894">
        <f t="shared" si="55"/>
        <v>601</v>
      </c>
    </row>
    <row r="605" spans="1:1">
      <c r="A605" s="894">
        <f t="shared" si="55"/>
        <v>602</v>
      </c>
    </row>
    <row r="606" spans="1:1">
      <c r="A606" s="894">
        <f t="shared" si="55"/>
        <v>603</v>
      </c>
    </row>
    <row r="607" spans="1:1">
      <c r="A607" s="894">
        <f t="shared" si="55"/>
        <v>604</v>
      </c>
    </row>
    <row r="608" spans="1:1">
      <c r="A608" s="894">
        <f t="shared" si="55"/>
        <v>605</v>
      </c>
    </row>
    <row r="609" spans="1:8">
      <c r="A609" s="894">
        <f t="shared" si="55"/>
        <v>606</v>
      </c>
    </row>
    <row r="610" spans="1:8">
      <c r="A610" s="894">
        <f t="shared" si="55"/>
        <v>607</v>
      </c>
    </row>
    <row r="611" spans="1:8">
      <c r="A611" s="894">
        <f t="shared" si="55"/>
        <v>608</v>
      </c>
    </row>
    <row r="612" spans="1:8">
      <c r="A612" s="894">
        <f t="shared" si="55"/>
        <v>609</v>
      </c>
    </row>
    <row r="613" spans="1:8">
      <c r="A613" s="894">
        <f t="shared" si="55"/>
        <v>610</v>
      </c>
    </row>
    <row r="614" spans="1:8">
      <c r="A614" s="894">
        <f t="shared" si="55"/>
        <v>611</v>
      </c>
    </row>
    <row r="615" spans="1:8">
      <c r="A615" s="894">
        <f t="shared" si="55"/>
        <v>612</v>
      </c>
    </row>
    <row r="616" spans="1:8">
      <c r="A616" s="894">
        <f t="shared" si="55"/>
        <v>613</v>
      </c>
      <c r="G616" s="317">
        <f>22+11</f>
        <v>33</v>
      </c>
      <c r="H616" s="317">
        <v>8</v>
      </c>
    </row>
    <row r="617" spans="1:8">
      <c r="A617" s="894">
        <f t="shared" si="55"/>
        <v>614</v>
      </c>
    </row>
    <row r="618" spans="1:8">
      <c r="A618" s="894">
        <f t="shared" si="55"/>
        <v>615</v>
      </c>
    </row>
    <row r="619" spans="1:8">
      <c r="A619" s="894">
        <f t="shared" si="55"/>
        <v>616</v>
      </c>
    </row>
    <row r="620" spans="1:8">
      <c r="A620" s="894">
        <f t="shared" si="55"/>
        <v>617</v>
      </c>
    </row>
    <row r="621" spans="1:8">
      <c r="A621" s="894">
        <f t="shared" si="55"/>
        <v>618</v>
      </c>
    </row>
    <row r="622" spans="1:8">
      <c r="A622" s="894">
        <f t="shared" si="55"/>
        <v>619</v>
      </c>
    </row>
    <row r="623" spans="1:8">
      <c r="A623" s="894">
        <f t="shared" si="55"/>
        <v>620</v>
      </c>
    </row>
    <row r="624" spans="1:8">
      <c r="A624" s="894">
        <f t="shared" si="55"/>
        <v>621</v>
      </c>
    </row>
    <row r="625" spans="1:1">
      <c r="A625" s="894">
        <f t="shared" si="55"/>
        <v>622</v>
      </c>
    </row>
    <row r="626" spans="1:1">
      <c r="A626" s="894">
        <f t="shared" si="55"/>
        <v>623</v>
      </c>
    </row>
    <row r="627" spans="1:1">
      <c r="A627" s="894">
        <f t="shared" si="55"/>
        <v>624</v>
      </c>
    </row>
    <row r="628" spans="1:1">
      <c r="A628" s="894">
        <f t="shared" si="55"/>
        <v>625</v>
      </c>
    </row>
    <row r="629" spans="1:1">
      <c r="A629" s="894">
        <f t="shared" si="55"/>
        <v>626</v>
      </c>
    </row>
    <row r="630" spans="1:1">
      <c r="A630" s="894"/>
    </row>
    <row r="631" spans="1:1">
      <c r="A631" s="894"/>
    </row>
    <row r="632" spans="1:1">
      <c r="A632" s="894"/>
    </row>
    <row r="633" spans="1:1">
      <c r="A633" s="894"/>
    </row>
    <row r="634" spans="1:1">
      <c r="A634" s="894"/>
    </row>
    <row r="635" spans="1:1">
      <c r="A635" s="894"/>
    </row>
    <row r="636" spans="1:1">
      <c r="A636" s="894"/>
    </row>
    <row r="637" spans="1:1">
      <c r="A637" s="894"/>
    </row>
    <row r="638" spans="1:1">
      <c r="A638" s="894"/>
    </row>
    <row r="639" spans="1:1">
      <c r="A639" s="894"/>
    </row>
    <row r="640" spans="1:1">
      <c r="A640" s="894"/>
    </row>
    <row r="641" spans="1:8">
      <c r="A641" s="894"/>
    </row>
    <row r="642" spans="1:8">
      <c r="A642" s="894"/>
    </row>
    <row r="643" spans="1:8">
      <c r="A643" s="894"/>
    </row>
    <row r="644" spans="1:8">
      <c r="A644" s="894"/>
    </row>
    <row r="645" spans="1:8">
      <c r="A645" s="894"/>
    </row>
    <row r="646" spans="1:8">
      <c r="A646" s="894"/>
    </row>
    <row r="647" spans="1:8">
      <c r="A647" s="894"/>
    </row>
    <row r="648" spans="1:8">
      <c r="A648" s="894"/>
    </row>
    <row r="649" spans="1:8">
      <c r="A649" s="894"/>
      <c r="H649" s="894"/>
    </row>
    <row r="650" spans="1:8">
      <c r="A650" s="894"/>
    </row>
    <row r="651" spans="1:8">
      <c r="A651" s="894"/>
    </row>
    <row r="652" spans="1:8">
      <c r="A652" s="894"/>
    </row>
    <row r="653" spans="1:8">
      <c r="A653" s="894"/>
    </row>
    <row r="654" spans="1:8">
      <c r="A654" s="894"/>
    </row>
    <row r="655" spans="1:8">
      <c r="A655" s="894"/>
    </row>
    <row r="656" spans="1:8">
      <c r="A656" s="894"/>
    </row>
    <row r="657" spans="1:7">
      <c r="A657" s="894"/>
    </row>
    <row r="658" spans="1:7">
      <c r="A658" s="894"/>
    </row>
    <row r="659" spans="1:7">
      <c r="A659" s="894"/>
    </row>
    <row r="660" spans="1:7">
      <c r="A660" s="894"/>
    </row>
    <row r="661" spans="1:7">
      <c r="A661" s="894"/>
    </row>
    <row r="662" spans="1:7">
      <c r="A662" s="894"/>
      <c r="G662" s="317">
        <f>49+16+9</f>
        <v>74</v>
      </c>
    </row>
    <row r="663" spans="1:7">
      <c r="A663" s="894"/>
    </row>
    <row r="664" spans="1:7">
      <c r="A664" s="894"/>
    </row>
    <row r="665" spans="1:7">
      <c r="A665" s="894"/>
    </row>
    <row r="666" spans="1:7">
      <c r="A666" s="894"/>
    </row>
    <row r="667" spans="1:7">
      <c r="A667" s="894"/>
    </row>
    <row r="668" spans="1:7">
      <c r="A668" s="894"/>
    </row>
    <row r="669" spans="1:7">
      <c r="A669" s="894"/>
    </row>
    <row r="670" spans="1:7">
      <c r="A670" s="894"/>
    </row>
    <row r="671" spans="1:7">
      <c r="A671" s="894"/>
    </row>
    <row r="672" spans="1:7">
      <c r="A672" s="894"/>
    </row>
    <row r="673" spans="1:1">
      <c r="A673" s="894"/>
    </row>
    <row r="674" spans="1:1">
      <c r="A674" s="894"/>
    </row>
    <row r="675" spans="1:1">
      <c r="A675" s="894"/>
    </row>
    <row r="676" spans="1:1">
      <c r="A676" s="894"/>
    </row>
    <row r="677" spans="1:1">
      <c r="A677" s="894"/>
    </row>
    <row r="678" spans="1:1">
      <c r="A678" s="894"/>
    </row>
    <row r="679" spans="1:1">
      <c r="A679" s="894"/>
    </row>
    <row r="680" spans="1:1">
      <c r="A680" s="894"/>
    </row>
    <row r="681" spans="1:1">
      <c r="A681" s="894"/>
    </row>
    <row r="682" spans="1:1">
      <c r="A682" s="894"/>
    </row>
    <row r="683" spans="1:1">
      <c r="A683" s="894"/>
    </row>
    <row r="684" spans="1:1">
      <c r="A684" s="894"/>
    </row>
    <row r="685" spans="1:1">
      <c r="A685" s="894"/>
    </row>
    <row r="686" spans="1:1">
      <c r="A686" s="894"/>
    </row>
    <row r="687" spans="1:1">
      <c r="A687" s="894"/>
    </row>
    <row r="688" spans="1:1">
      <c r="A688" s="894"/>
    </row>
    <row r="689" spans="1:1">
      <c r="A689" s="894"/>
    </row>
    <row r="690" spans="1:1">
      <c r="A690" s="894"/>
    </row>
    <row r="691" spans="1:1">
      <c r="A691" s="894"/>
    </row>
    <row r="692" spans="1:1">
      <c r="A692" s="894"/>
    </row>
    <row r="693" spans="1:1">
      <c r="A693" s="894"/>
    </row>
    <row r="694" spans="1:1">
      <c r="A694" s="894"/>
    </row>
    <row r="695" spans="1:1">
      <c r="A695" s="894"/>
    </row>
    <row r="696" spans="1:1">
      <c r="A696" s="894"/>
    </row>
    <row r="697" spans="1:1">
      <c r="A697" s="894"/>
    </row>
    <row r="698" spans="1:1">
      <c r="A698" s="894"/>
    </row>
    <row r="699" spans="1:1">
      <c r="A699" s="894"/>
    </row>
    <row r="700" spans="1:1">
      <c r="A700" s="894"/>
    </row>
    <row r="701" spans="1:1">
      <c r="A701" s="894"/>
    </row>
    <row r="702" spans="1:1">
      <c r="A702" s="894"/>
    </row>
    <row r="703" spans="1:1">
      <c r="A703" s="894"/>
    </row>
    <row r="704" spans="1:1">
      <c r="A704" s="894"/>
    </row>
    <row r="705" spans="1:1">
      <c r="A705" s="894"/>
    </row>
    <row r="706" spans="1:1">
      <c r="A706" s="894"/>
    </row>
    <row r="707" spans="1:1">
      <c r="A707" s="894"/>
    </row>
    <row r="708" spans="1:1">
      <c r="A708" s="894"/>
    </row>
    <row r="709" spans="1:1">
      <c r="A709" s="894"/>
    </row>
    <row r="710" spans="1:1">
      <c r="A710" s="894"/>
    </row>
    <row r="711" spans="1:1">
      <c r="A711" s="894"/>
    </row>
    <row r="712" spans="1:1">
      <c r="A712" s="894"/>
    </row>
    <row r="713" spans="1:1">
      <c r="A713" s="894"/>
    </row>
    <row r="714" spans="1:1" hidden="1">
      <c r="A714" s="894"/>
    </row>
    <row r="715" spans="1:1" hidden="1">
      <c r="A715" s="894"/>
    </row>
    <row r="716" spans="1:1" hidden="1">
      <c r="A716" s="894"/>
    </row>
    <row r="717" spans="1:1" hidden="1">
      <c r="A717" s="894"/>
    </row>
    <row r="718" spans="1:1" hidden="1">
      <c r="A718" s="894"/>
    </row>
    <row r="719" spans="1:1" hidden="1">
      <c r="A719" s="894"/>
    </row>
    <row r="720" spans="1:1">
      <c r="A720" s="894"/>
    </row>
    <row r="721" spans="1:1">
      <c r="A721" s="894"/>
    </row>
    <row r="722" spans="1:1">
      <c r="A722" s="894"/>
    </row>
    <row r="723" spans="1:1">
      <c r="A723" s="894"/>
    </row>
    <row r="724" spans="1:1">
      <c r="A724" s="894"/>
    </row>
    <row r="725" spans="1:1">
      <c r="A725" s="894"/>
    </row>
    <row r="726" spans="1:1">
      <c r="A726" s="894"/>
    </row>
    <row r="727" spans="1:1">
      <c r="A727" s="894"/>
    </row>
    <row r="728" spans="1:1">
      <c r="A728" s="894"/>
    </row>
    <row r="729" spans="1:1">
      <c r="A729" s="894"/>
    </row>
    <row r="730" spans="1:1">
      <c r="A730" s="894"/>
    </row>
    <row r="731" spans="1:1">
      <c r="A731" s="894"/>
    </row>
    <row r="732" spans="1:1">
      <c r="A732" s="894"/>
    </row>
    <row r="733" spans="1:1">
      <c r="A733" s="894"/>
    </row>
    <row r="734" spans="1:1">
      <c r="A734" s="894"/>
    </row>
    <row r="735" spans="1:1">
      <c r="A735" s="894"/>
    </row>
    <row r="736" spans="1:1">
      <c r="A736" s="894"/>
    </row>
    <row r="737" spans="1:1">
      <c r="A737" s="894"/>
    </row>
    <row r="738" spans="1:1">
      <c r="A738" s="894"/>
    </row>
    <row r="739" spans="1:1">
      <c r="A739" s="894"/>
    </row>
    <row r="740" spans="1:1">
      <c r="A740" s="894"/>
    </row>
    <row r="741" spans="1:1">
      <c r="A741" s="894"/>
    </row>
    <row r="742" spans="1:1">
      <c r="A742" s="894"/>
    </row>
    <row r="743" spans="1:1">
      <c r="A743" s="894"/>
    </row>
    <row r="744" spans="1:1">
      <c r="A744" s="894"/>
    </row>
    <row r="745" spans="1:1">
      <c r="A745" s="894"/>
    </row>
    <row r="746" spans="1:1">
      <c r="A746" s="894"/>
    </row>
    <row r="747" spans="1:1">
      <c r="A747" s="894"/>
    </row>
    <row r="748" spans="1:1">
      <c r="A748" s="894"/>
    </row>
    <row r="749" spans="1:1">
      <c r="A749" s="894"/>
    </row>
    <row r="750" spans="1:1">
      <c r="A750" s="894"/>
    </row>
    <row r="751" spans="1:1">
      <c r="A751" s="894"/>
    </row>
    <row r="752" spans="1:1">
      <c r="A752" s="894"/>
    </row>
    <row r="753" spans="1:1">
      <c r="A753" s="894"/>
    </row>
    <row r="754" spans="1:1">
      <c r="A754" s="894"/>
    </row>
    <row r="755" spans="1:1">
      <c r="A755" s="894"/>
    </row>
    <row r="756" spans="1:1">
      <c r="A756" s="894"/>
    </row>
    <row r="757" spans="1:1">
      <c r="A757" s="894"/>
    </row>
    <row r="758" spans="1:1">
      <c r="A758" s="894"/>
    </row>
    <row r="759" spans="1:1">
      <c r="A759" s="894"/>
    </row>
    <row r="760" spans="1:1">
      <c r="A760" s="894"/>
    </row>
    <row r="761" spans="1:1">
      <c r="A761" s="894"/>
    </row>
    <row r="762" spans="1:1">
      <c r="A762" s="894"/>
    </row>
    <row r="763" spans="1:1">
      <c r="A763" s="894"/>
    </row>
    <row r="764" spans="1:1">
      <c r="A764" s="894"/>
    </row>
    <row r="765" spans="1:1">
      <c r="A765" s="894"/>
    </row>
    <row r="766" spans="1:1">
      <c r="A766" s="894"/>
    </row>
    <row r="767" spans="1:1">
      <c r="A767" s="894"/>
    </row>
    <row r="768" spans="1:1">
      <c r="A768" s="894"/>
    </row>
    <row r="769" spans="1:1">
      <c r="A769" s="894"/>
    </row>
    <row r="770" spans="1:1">
      <c r="A770" s="894"/>
    </row>
    <row r="771" spans="1:1">
      <c r="A771" s="894"/>
    </row>
    <row r="772" spans="1:1">
      <c r="A772" s="894"/>
    </row>
    <row r="773" spans="1:1">
      <c r="A773" s="894"/>
    </row>
    <row r="774" spans="1:1">
      <c r="A774" s="894"/>
    </row>
    <row r="782" spans="1:1">
      <c r="A782" s="2094"/>
    </row>
    <row r="783" spans="1:1">
      <c r="A783" s="894"/>
    </row>
    <row r="784" spans="1:1">
      <c r="A784" s="894"/>
    </row>
    <row r="785" spans="1:10">
      <c r="A785" s="894"/>
    </row>
    <row r="786" spans="1:10">
      <c r="A786" s="894"/>
    </row>
    <row r="787" spans="1:10">
      <c r="A787" s="894"/>
    </row>
    <row r="788" spans="1:10">
      <c r="A788" s="894"/>
    </row>
    <row r="789" spans="1:10">
      <c r="A789" s="894"/>
    </row>
    <row r="790" spans="1:10">
      <c r="A790" s="894"/>
    </row>
    <row r="791" spans="1:10">
      <c r="A791" s="894"/>
    </row>
    <row r="792" spans="1:10">
      <c r="A792" s="894"/>
    </row>
    <row r="793" spans="1:10">
      <c r="A793" s="894"/>
    </row>
    <row r="794" spans="1:10">
      <c r="A794" s="894"/>
    </row>
    <row r="795" spans="1:10">
      <c r="A795" s="894"/>
    </row>
    <row r="796" spans="1:10">
      <c r="A796" s="894"/>
    </row>
    <row r="797" spans="1:10">
      <c r="A797" s="894"/>
    </row>
    <row r="798" spans="1:10">
      <c r="A798" s="894"/>
    </row>
    <row r="799" spans="1:10">
      <c r="A799" s="894"/>
      <c r="J799" s="317">
        <f>1341-794</f>
        <v>547</v>
      </c>
    </row>
    <row r="800" spans="1:10">
      <c r="A800" s="894"/>
    </row>
    <row r="801" spans="1:1">
      <c r="A801" s="894"/>
    </row>
    <row r="802" spans="1:1">
      <c r="A802" s="894"/>
    </row>
    <row r="803" spans="1:1">
      <c r="A803" s="894"/>
    </row>
    <row r="804" spans="1:1">
      <c r="A804" s="894"/>
    </row>
    <row r="805" spans="1:1">
      <c r="A805" s="894"/>
    </row>
    <row r="806" spans="1:1">
      <c r="A806" s="894"/>
    </row>
    <row r="807" spans="1:1">
      <c r="A807" s="894"/>
    </row>
    <row r="808" spans="1:1">
      <c r="A808" s="894"/>
    </row>
    <row r="809" spans="1:1">
      <c r="A809" s="894"/>
    </row>
    <row r="810" spans="1:1">
      <c r="A810" s="894"/>
    </row>
    <row r="811" spans="1:1">
      <c r="A811" s="894"/>
    </row>
    <row r="812" spans="1:1">
      <c r="A812" s="894"/>
    </row>
    <row r="813" spans="1:1">
      <c r="A813" s="894"/>
    </row>
    <row r="814" spans="1:1">
      <c r="A814" s="894"/>
    </row>
    <row r="815" spans="1:1">
      <c r="A815" s="894"/>
    </row>
    <row r="816" spans="1:1">
      <c r="A816" s="894"/>
    </row>
    <row r="817" spans="1:1">
      <c r="A817" s="894"/>
    </row>
    <row r="818" spans="1:1">
      <c r="A818" s="894"/>
    </row>
    <row r="845" spans="9:9">
      <c r="I845" s="317">
        <f>853-839</f>
        <v>14</v>
      </c>
    </row>
    <row r="941" spans="8:8">
      <c r="H941" s="316"/>
    </row>
    <row r="969" hidden="1"/>
    <row r="970" hidden="1"/>
    <row r="971" hidden="1"/>
    <row r="972" hidden="1"/>
    <row r="973" hidden="1"/>
    <row r="974" hidden="1"/>
    <row r="1018" spans="10:10">
      <c r="J1018" s="317">
        <f>17+2+4+3+18</f>
        <v>44</v>
      </c>
    </row>
  </sheetData>
  <autoFilter ref="A3:F629" xr:uid="{6F14391A-0166-4CD4-8BF6-588F23E425FA}"/>
  <pageMargins left="0.7" right="0.7" top="0.75" bottom="0.75" header="0.3" footer="0.3"/>
  <pageSetup paperSize="9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64D1-2BAC-47CC-9BD7-63D0CEF6E916}">
  <sheetPr codeName="Sheet32">
    <tabColor theme="7"/>
  </sheetPr>
  <dimension ref="A1:I15"/>
  <sheetViews>
    <sheetView view="pageBreakPreview" zoomScaleNormal="100" zoomScaleSheetLayoutView="100" workbookViewId="0">
      <selection activeCell="F13" sqref="F13"/>
    </sheetView>
  </sheetViews>
  <sheetFormatPr defaultColWidth="9.140625" defaultRowHeight="13.9"/>
  <cols>
    <col min="1" max="2" width="10.140625" style="317" customWidth="1"/>
    <col min="3" max="3" width="10.5703125" style="317" customWidth="1"/>
    <col min="4" max="4" width="9.140625" style="317"/>
    <col min="5" max="5" width="15.5703125" style="317" bestFit="1" customWidth="1"/>
    <col min="6" max="6" width="14" style="317" bestFit="1" customWidth="1"/>
    <col min="7" max="16384" width="9.140625" style="317"/>
  </cols>
  <sheetData>
    <row r="1" spans="1:9">
      <c r="A1" s="872" t="s">
        <v>82</v>
      </c>
      <c r="B1" s="872"/>
      <c r="C1" s="873"/>
      <c r="D1" s="873"/>
      <c r="E1" s="873"/>
      <c r="F1" s="873"/>
    </row>
    <row r="2" spans="1:9">
      <c r="A2" s="873"/>
      <c r="B2" s="873"/>
      <c r="C2" s="873"/>
      <c r="D2" s="873"/>
      <c r="E2" s="873"/>
      <c r="F2" s="873"/>
      <c r="I2" s="317" t="s">
        <v>138</v>
      </c>
    </row>
    <row r="3" spans="1:9">
      <c r="A3" s="872"/>
      <c r="B3" s="872" t="s">
        <v>450</v>
      </c>
      <c r="C3" s="873"/>
      <c r="D3" s="873"/>
      <c r="E3" s="875">
        <f>+'Summary Total Pigs'!C3</f>
        <v>46226</v>
      </c>
      <c r="F3" s="873"/>
    </row>
    <row r="4" spans="1:9">
      <c r="A4" s="872"/>
      <c r="B4" s="872"/>
      <c r="C4" s="873"/>
      <c r="D4" s="873"/>
      <c r="E4" s="875"/>
      <c r="F4" s="873"/>
    </row>
    <row r="5" spans="1:9" ht="17.45">
      <c r="A5" s="886"/>
      <c r="B5" s="886" t="s">
        <v>1193</v>
      </c>
      <c r="C5" s="873"/>
      <c r="D5" s="873"/>
      <c r="E5" s="875"/>
      <c r="F5" s="873"/>
    </row>
    <row r="6" spans="1:9">
      <c r="A6" s="873"/>
      <c r="B6" s="873"/>
      <c r="C6" s="873"/>
      <c r="D6" s="873"/>
      <c r="E6" s="873"/>
      <c r="F6" s="873"/>
    </row>
    <row r="7" spans="1:9">
      <c r="A7" s="876"/>
      <c r="B7" s="876"/>
      <c r="C7" s="876" t="s">
        <v>575</v>
      </c>
      <c r="D7" s="876" t="s">
        <v>452</v>
      </c>
      <c r="E7" s="876" t="s">
        <v>453</v>
      </c>
      <c r="F7" s="876" t="s">
        <v>577</v>
      </c>
    </row>
    <row r="8" spans="1:9">
      <c r="A8" s="1994">
        <v>1</v>
      </c>
      <c r="B8" s="1995">
        <v>1</v>
      </c>
      <c r="C8" s="1996" t="s">
        <v>1194</v>
      </c>
      <c r="D8" s="1997"/>
      <c r="E8" s="1998">
        <v>45017</v>
      </c>
      <c r="F8" s="1996" t="s">
        <v>191</v>
      </c>
    </row>
    <row r="9" spans="1:9">
      <c r="A9" s="1999">
        <f>A8+1</f>
        <v>2</v>
      </c>
      <c r="B9" s="894"/>
      <c r="C9" s="894"/>
      <c r="D9" s="894"/>
      <c r="E9" s="1949"/>
      <c r="F9" s="880"/>
    </row>
    <row r="10" spans="1:9">
      <c r="A10" s="899">
        <f>A9+1</f>
        <v>3</v>
      </c>
      <c r="B10" s="894"/>
      <c r="C10" s="887"/>
      <c r="D10" s="887"/>
      <c r="E10" s="887"/>
      <c r="F10" s="1639">
        <f>A8</f>
        <v>1</v>
      </c>
    </row>
    <row r="11" spans="1:9">
      <c r="A11" s="879"/>
      <c r="B11" s="887"/>
      <c r="F11" s="316">
        <f>A8</f>
        <v>1</v>
      </c>
    </row>
    <row r="12" spans="1:9">
      <c r="A12" s="879"/>
      <c r="E12" s="317" t="s">
        <v>309</v>
      </c>
      <c r="F12" s="316">
        <v>0</v>
      </c>
    </row>
    <row r="13" spans="1:9">
      <c r="A13" s="887" t="s">
        <v>71</v>
      </c>
      <c r="E13" s="317" t="s">
        <v>624</v>
      </c>
      <c r="F13" s="317">
        <v>0</v>
      </c>
    </row>
    <row r="15" spans="1:9" s="884" customFormat="1">
      <c r="A15" s="317"/>
      <c r="B15" s="317"/>
      <c r="C15" s="317"/>
      <c r="D15" s="317"/>
      <c r="E15" s="317"/>
      <c r="F15" s="317"/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77F60-FFC9-45F0-86D3-AB7D16920724}">
  <sheetPr>
    <tabColor theme="7"/>
    <pageSetUpPr fitToPage="1"/>
  </sheetPr>
  <dimension ref="A1:O98"/>
  <sheetViews>
    <sheetView view="pageBreakPreview" topLeftCell="D78" zoomScaleNormal="100" zoomScaleSheetLayoutView="100" workbookViewId="0">
      <selection activeCell="B89" sqref="B89"/>
    </sheetView>
  </sheetViews>
  <sheetFormatPr defaultColWidth="9.140625" defaultRowHeight="13.9"/>
  <cols>
    <col min="1" max="2" width="9.140625" style="874"/>
    <col min="3" max="3" width="14.7109375" style="874" bestFit="1" customWidth="1"/>
    <col min="4" max="4" width="9.140625" style="874"/>
    <col min="5" max="5" width="19.28515625" style="874" bestFit="1" customWidth="1"/>
    <col min="6" max="6" width="19.7109375" style="874" bestFit="1" customWidth="1"/>
    <col min="7" max="8" width="9.140625" style="874"/>
    <col min="9" max="9" width="11" style="874" bestFit="1" customWidth="1"/>
    <col min="10" max="10" width="12.28515625" style="874" bestFit="1" customWidth="1"/>
    <col min="11" max="11" width="10.7109375" style="874" bestFit="1" customWidth="1"/>
    <col min="12" max="15" width="13.28515625" style="874" bestFit="1" customWidth="1"/>
    <col min="16" max="16384" width="9.140625" style="874"/>
  </cols>
  <sheetData>
    <row r="1" spans="1:14">
      <c r="A1" s="2006" t="s">
        <v>82</v>
      </c>
      <c r="B1" s="2006"/>
      <c r="C1" s="2006"/>
      <c r="D1" s="2007"/>
      <c r="E1" s="2007"/>
      <c r="F1" s="2007"/>
      <c r="G1" s="2008"/>
    </row>
    <row r="2" spans="1:14">
      <c r="A2" s="2007"/>
      <c r="B2" s="2007"/>
      <c r="C2" s="2007"/>
      <c r="D2" s="2007"/>
      <c r="E2" s="2007"/>
      <c r="F2" s="2007"/>
      <c r="G2" s="2008"/>
    </row>
    <row r="3" spans="1:14">
      <c r="A3" s="2006" t="s">
        <v>450</v>
      </c>
      <c r="B3" s="2006"/>
      <c r="C3" s="2006"/>
      <c r="D3" s="2007"/>
      <c r="E3" s="2007"/>
      <c r="F3" s="2009">
        <f>+'Summary Total Pigs'!C3</f>
        <v>46226</v>
      </c>
      <c r="G3" s="2008"/>
    </row>
    <row r="4" spans="1:14">
      <c r="A4" s="2007"/>
      <c r="B4" s="2007"/>
      <c r="C4" s="2007"/>
      <c r="D4" s="2007"/>
      <c r="E4" s="2007"/>
      <c r="F4" s="2007"/>
      <c r="G4" s="2008"/>
      <c r="I4" s="874" t="s">
        <v>55</v>
      </c>
      <c r="L4" s="874" t="s">
        <v>79</v>
      </c>
    </row>
    <row r="5" spans="1:14">
      <c r="A5" s="2010"/>
      <c r="B5" s="2010"/>
      <c r="C5" s="2010" t="s">
        <v>451</v>
      </c>
      <c r="D5" s="2010" t="s">
        <v>452</v>
      </c>
      <c r="E5" s="2010" t="s">
        <v>576</v>
      </c>
      <c r="F5" s="2010" t="s">
        <v>330</v>
      </c>
      <c r="G5" s="2008"/>
      <c r="J5" s="877"/>
      <c r="K5" s="878"/>
      <c r="L5" s="877"/>
      <c r="M5" s="873"/>
      <c r="N5" s="877"/>
    </row>
    <row r="6" spans="1:14">
      <c r="A6" s="2011">
        <v>1</v>
      </c>
      <c r="B6" s="2069">
        <v>1</v>
      </c>
      <c r="C6" s="2073" t="s">
        <v>1195</v>
      </c>
      <c r="D6" s="1217"/>
      <c r="E6" s="2019">
        <v>46217</v>
      </c>
      <c r="F6" s="1217" t="s">
        <v>1196</v>
      </c>
      <c r="G6" s="2014"/>
      <c r="I6" s="1948">
        <v>44013</v>
      </c>
      <c r="J6" s="2024" t="e">
        <f>SUM(#REF!)</f>
        <v>#REF!</v>
      </c>
      <c r="L6" s="1948">
        <v>44643</v>
      </c>
      <c r="M6" s="874">
        <v>1</v>
      </c>
    </row>
    <row r="7" spans="1:14">
      <c r="A7" s="2011">
        <f>A6+1</f>
        <v>2</v>
      </c>
      <c r="B7" s="2012">
        <f>+B6+1</f>
        <v>2</v>
      </c>
      <c r="C7" s="2071" t="s">
        <v>1197</v>
      </c>
      <c r="D7" s="1947"/>
      <c r="E7" s="2019">
        <v>46217</v>
      </c>
      <c r="F7" s="1217" t="s">
        <v>1196</v>
      </c>
      <c r="G7" s="2014"/>
      <c r="I7" s="1948">
        <v>44326</v>
      </c>
      <c r="J7" s="2024" t="e">
        <f>SUM(#REF!)</f>
        <v>#REF!</v>
      </c>
    </row>
    <row r="8" spans="1:14">
      <c r="A8" s="2011">
        <f t="shared" ref="A8:A23" si="0">A7+1</f>
        <v>3</v>
      </c>
      <c r="B8" s="2012">
        <f t="shared" ref="B8:B71" si="1">+B7+1</f>
        <v>3</v>
      </c>
      <c r="C8" s="2071" t="s">
        <v>1198</v>
      </c>
      <c r="D8" s="1947"/>
      <c r="E8" s="2019">
        <v>46217</v>
      </c>
      <c r="F8" s="1217" t="s">
        <v>1196</v>
      </c>
      <c r="G8" s="2102"/>
      <c r="I8" s="1948">
        <v>44470</v>
      </c>
      <c r="J8" s="2024" t="e">
        <f>#REF!</f>
        <v>#REF!</v>
      </c>
    </row>
    <row r="9" spans="1:14">
      <c r="A9" s="2011">
        <f t="shared" si="0"/>
        <v>4</v>
      </c>
      <c r="B9" s="2012">
        <f t="shared" si="1"/>
        <v>4</v>
      </c>
      <c r="C9" s="2073" t="s">
        <v>1199</v>
      </c>
      <c r="D9" s="1217"/>
      <c r="E9" s="2019">
        <v>46217</v>
      </c>
      <c r="F9" s="1217" t="s">
        <v>1196</v>
      </c>
      <c r="G9" s="2014"/>
      <c r="I9" s="1948"/>
      <c r="J9" s="2024"/>
    </row>
    <row r="10" spans="1:14">
      <c r="A10" s="2011">
        <f t="shared" si="0"/>
        <v>5</v>
      </c>
      <c r="B10" s="2012">
        <f t="shared" si="1"/>
        <v>5</v>
      </c>
      <c r="C10" s="2071" t="s">
        <v>1200</v>
      </c>
      <c r="D10" s="1947"/>
      <c r="E10" s="2019">
        <v>46217</v>
      </c>
      <c r="F10" s="1217" t="s">
        <v>1196</v>
      </c>
      <c r="G10" s="2014"/>
      <c r="I10" s="1948"/>
      <c r="J10" s="2024"/>
    </row>
    <row r="11" spans="1:14">
      <c r="A11" s="2011">
        <f t="shared" si="0"/>
        <v>6</v>
      </c>
      <c r="B11" s="2012">
        <f t="shared" si="1"/>
        <v>6</v>
      </c>
      <c r="C11" s="2071" t="s">
        <v>1201</v>
      </c>
      <c r="D11" s="1947"/>
      <c r="E11" s="2019">
        <v>46217</v>
      </c>
      <c r="F11" s="1217" t="s">
        <v>1196</v>
      </c>
      <c r="G11" s="2014"/>
      <c r="I11" s="1948">
        <v>44768</v>
      </c>
      <c r="J11" s="2024" t="e">
        <f>#REF!</f>
        <v>#REF!</v>
      </c>
    </row>
    <row r="12" spans="1:14">
      <c r="A12" s="2011">
        <f t="shared" si="0"/>
        <v>7</v>
      </c>
      <c r="B12" s="2012">
        <f t="shared" si="1"/>
        <v>7</v>
      </c>
      <c r="C12" s="2071" t="s">
        <v>1202</v>
      </c>
      <c r="D12" s="1947"/>
      <c r="E12" s="2019">
        <v>46217</v>
      </c>
      <c r="F12" s="1217" t="s">
        <v>1196</v>
      </c>
      <c r="G12" s="2014"/>
      <c r="I12" s="1948">
        <v>44887</v>
      </c>
      <c r="J12" s="2024" t="e">
        <f>#REF!</f>
        <v>#REF!</v>
      </c>
    </row>
    <row r="13" spans="1:14">
      <c r="A13" s="2011">
        <f t="shared" si="0"/>
        <v>8</v>
      </c>
      <c r="B13" s="2012">
        <f t="shared" si="1"/>
        <v>8</v>
      </c>
      <c r="C13" s="2071" t="s">
        <v>1203</v>
      </c>
      <c r="D13" s="1947"/>
      <c r="E13" s="2019">
        <v>46217</v>
      </c>
      <c r="F13" s="1217" t="s">
        <v>1196</v>
      </c>
      <c r="G13" s="2014"/>
      <c r="I13" s="1948">
        <v>45017</v>
      </c>
      <c r="J13" s="2024" t="e">
        <f>#REF!</f>
        <v>#REF!</v>
      </c>
    </row>
    <row r="14" spans="1:14">
      <c r="A14" s="2011">
        <f t="shared" si="0"/>
        <v>9</v>
      </c>
      <c r="B14" s="2012">
        <f t="shared" si="1"/>
        <v>9</v>
      </c>
      <c r="C14" s="2073" t="s">
        <v>1204</v>
      </c>
      <c r="D14" s="1217"/>
      <c r="E14" s="2019">
        <v>46217</v>
      </c>
      <c r="F14" s="1217" t="s">
        <v>1196</v>
      </c>
      <c r="G14" s="2014"/>
      <c r="I14" s="1948">
        <v>45170</v>
      </c>
      <c r="J14" s="2024" t="e">
        <f>#REF!</f>
        <v>#REF!</v>
      </c>
    </row>
    <row r="15" spans="1:14">
      <c r="A15" s="2011">
        <f t="shared" si="0"/>
        <v>10</v>
      </c>
      <c r="B15" s="2012">
        <f t="shared" si="1"/>
        <v>10</v>
      </c>
      <c r="C15" s="2072" t="s">
        <v>1205</v>
      </c>
      <c r="D15" s="1947"/>
      <c r="E15" s="2019">
        <v>46217</v>
      </c>
      <c r="F15" s="1217" t="s">
        <v>1196</v>
      </c>
      <c r="G15" s="2014"/>
      <c r="I15" s="1948">
        <v>45328</v>
      </c>
      <c r="J15" s="2024" t="e">
        <f>#REF!</f>
        <v>#REF!</v>
      </c>
    </row>
    <row r="16" spans="1:14">
      <c r="A16" s="2011">
        <f t="shared" si="0"/>
        <v>11</v>
      </c>
      <c r="B16" s="2012">
        <f t="shared" si="1"/>
        <v>11</v>
      </c>
      <c r="C16" s="2078" t="s">
        <v>1206</v>
      </c>
      <c r="D16" s="2079"/>
      <c r="E16" s="2019">
        <v>46217</v>
      </c>
      <c r="F16" s="1217" t="s">
        <v>1196</v>
      </c>
      <c r="G16" s="2014"/>
      <c r="I16" s="1948">
        <v>45474</v>
      </c>
      <c r="J16" s="2024" t="e">
        <f>#REF!</f>
        <v>#REF!</v>
      </c>
    </row>
    <row r="17" spans="1:15">
      <c r="A17" s="2011">
        <f t="shared" si="0"/>
        <v>12</v>
      </c>
      <c r="B17" s="2012">
        <f t="shared" si="1"/>
        <v>12</v>
      </c>
      <c r="C17" s="2072" t="s">
        <v>1207</v>
      </c>
      <c r="D17" s="1947"/>
      <c r="E17" s="2019">
        <v>46217</v>
      </c>
      <c r="F17" s="1217" t="s">
        <v>1196</v>
      </c>
      <c r="G17" s="2014"/>
      <c r="I17" s="1948">
        <v>45627</v>
      </c>
      <c r="J17" s="874">
        <f>B19</f>
        <v>14</v>
      </c>
    </row>
    <row r="18" spans="1:15">
      <c r="A18" s="2011">
        <f t="shared" si="0"/>
        <v>13</v>
      </c>
      <c r="B18" s="2012">
        <f t="shared" si="1"/>
        <v>13</v>
      </c>
      <c r="C18" s="2073" t="s">
        <v>1208</v>
      </c>
      <c r="D18" s="1217"/>
      <c r="E18" s="2019">
        <v>46217</v>
      </c>
      <c r="F18" s="1217" t="s">
        <v>1196</v>
      </c>
      <c r="G18" s="2014"/>
      <c r="I18" s="1948">
        <v>45748</v>
      </c>
      <c r="J18" s="874">
        <f>B32</f>
        <v>27</v>
      </c>
      <c r="L18" s="874" t="s">
        <v>1209</v>
      </c>
      <c r="N18" s="874">
        <v>44326</v>
      </c>
      <c r="O18" s="874" t="s">
        <v>192</v>
      </c>
    </row>
    <row r="19" spans="1:15" ht="15" customHeight="1">
      <c r="A19" s="2011">
        <f t="shared" si="0"/>
        <v>14</v>
      </c>
      <c r="B19" s="2012">
        <f t="shared" si="1"/>
        <v>14</v>
      </c>
      <c r="C19" s="2072" t="s">
        <v>1210</v>
      </c>
      <c r="D19" s="1947"/>
      <c r="E19" s="2019">
        <v>46217</v>
      </c>
      <c r="F19" s="1217" t="s">
        <v>1196</v>
      </c>
      <c r="G19" s="2014"/>
      <c r="L19" s="874" t="s">
        <v>1211</v>
      </c>
      <c r="N19" s="874">
        <v>44326</v>
      </c>
      <c r="O19" s="874" t="s">
        <v>192</v>
      </c>
    </row>
    <row r="20" spans="1:15" ht="15" customHeight="1">
      <c r="A20" s="2011">
        <f t="shared" si="0"/>
        <v>15</v>
      </c>
      <c r="B20" s="2012">
        <f t="shared" si="1"/>
        <v>15</v>
      </c>
      <c r="C20" s="2072" t="s">
        <v>1212</v>
      </c>
      <c r="D20" s="1947"/>
      <c r="E20" s="2019">
        <v>46217</v>
      </c>
      <c r="F20" s="1217" t="s">
        <v>1196</v>
      </c>
      <c r="G20" s="2014"/>
      <c r="J20" s="2024" t="e">
        <f>SUM(J6:J18)</f>
        <v>#REF!</v>
      </c>
    </row>
    <row r="21" spans="1:15" ht="15" customHeight="1">
      <c r="A21" s="2011">
        <f t="shared" si="0"/>
        <v>16</v>
      </c>
      <c r="B21" s="2012">
        <f t="shared" si="1"/>
        <v>16</v>
      </c>
      <c r="C21" s="2072" t="s">
        <v>1213</v>
      </c>
      <c r="D21" s="1947"/>
      <c r="E21" s="2019">
        <v>46217</v>
      </c>
      <c r="F21" s="1217" t="s">
        <v>1196</v>
      </c>
      <c r="G21" s="2014"/>
    </row>
    <row r="22" spans="1:15" ht="15" customHeight="1">
      <c r="A22" s="2011">
        <f t="shared" si="0"/>
        <v>17</v>
      </c>
      <c r="B22" s="2012">
        <f t="shared" si="1"/>
        <v>17</v>
      </c>
      <c r="C22" s="2072" t="s">
        <v>1214</v>
      </c>
      <c r="D22" s="1947"/>
      <c r="E22" s="2019">
        <v>46217</v>
      </c>
      <c r="F22" s="1217" t="s">
        <v>1196</v>
      </c>
      <c r="G22" s="2014"/>
      <c r="J22" s="2024" t="e">
        <f>SUM(J20,M6)</f>
        <v>#REF!</v>
      </c>
    </row>
    <row r="23" spans="1:15" ht="15" customHeight="1">
      <c r="A23" s="2011">
        <f t="shared" si="0"/>
        <v>18</v>
      </c>
      <c r="B23" s="2012">
        <f t="shared" si="1"/>
        <v>18</v>
      </c>
      <c r="C23" s="2073" t="s">
        <v>1215</v>
      </c>
      <c r="D23" s="1217"/>
      <c r="E23" s="2019">
        <v>46217</v>
      </c>
      <c r="F23" s="1217" t="s">
        <v>1196</v>
      </c>
      <c r="G23" s="2014"/>
    </row>
    <row r="24" spans="1:15" ht="15" customHeight="1">
      <c r="A24" s="2011">
        <f t="shared" ref="A24:A39" si="2">A23+1</f>
        <v>19</v>
      </c>
      <c r="B24" s="2012">
        <f t="shared" si="1"/>
        <v>19</v>
      </c>
      <c r="C24" s="2072" t="s">
        <v>1216</v>
      </c>
      <c r="D24" s="1947"/>
      <c r="E24" s="2019">
        <v>46217</v>
      </c>
      <c r="F24" s="1217" t="s">
        <v>1196</v>
      </c>
      <c r="G24" s="2014"/>
    </row>
    <row r="25" spans="1:15" ht="15" customHeight="1">
      <c r="A25" s="2011">
        <f t="shared" si="2"/>
        <v>20</v>
      </c>
      <c r="B25" s="2012">
        <f t="shared" si="1"/>
        <v>20</v>
      </c>
      <c r="C25" s="2013" t="s">
        <v>1217</v>
      </c>
      <c r="D25" s="1947"/>
      <c r="E25" s="2019">
        <v>46217</v>
      </c>
      <c r="F25" s="1217" t="s">
        <v>1196</v>
      </c>
      <c r="G25" s="2014"/>
    </row>
    <row r="26" spans="1:15" ht="15" customHeight="1">
      <c r="A26" s="2011">
        <f t="shared" si="2"/>
        <v>21</v>
      </c>
      <c r="B26" s="2012">
        <f t="shared" si="1"/>
        <v>21</v>
      </c>
      <c r="C26" s="2013" t="s">
        <v>1218</v>
      </c>
      <c r="D26" s="1947"/>
      <c r="E26" s="2019">
        <v>46217</v>
      </c>
      <c r="F26" s="1217" t="s">
        <v>1196</v>
      </c>
      <c r="G26" s="2014"/>
    </row>
    <row r="27" spans="1:15" ht="15" customHeight="1">
      <c r="A27" s="2011">
        <f t="shared" si="2"/>
        <v>22</v>
      </c>
      <c r="B27" s="2012">
        <f t="shared" si="1"/>
        <v>22</v>
      </c>
      <c r="C27" s="2073" t="s">
        <v>1219</v>
      </c>
      <c r="D27" s="1217"/>
      <c r="E27" s="2019">
        <v>46217</v>
      </c>
      <c r="F27" s="1217" t="s">
        <v>1196</v>
      </c>
      <c r="G27" s="2014"/>
    </row>
    <row r="28" spans="1:15" ht="15" customHeight="1">
      <c r="A28" s="2011">
        <f t="shared" si="2"/>
        <v>23</v>
      </c>
      <c r="B28" s="2012">
        <f t="shared" si="1"/>
        <v>23</v>
      </c>
      <c r="C28" s="2073" t="s">
        <v>1220</v>
      </c>
      <c r="D28" s="1217"/>
      <c r="E28" s="2019">
        <v>46217</v>
      </c>
      <c r="F28" s="1217" t="s">
        <v>1196</v>
      </c>
      <c r="G28" s="2014"/>
    </row>
    <row r="29" spans="1:15" ht="15" customHeight="1">
      <c r="A29" s="2011">
        <f t="shared" si="2"/>
        <v>24</v>
      </c>
      <c r="B29" s="2012">
        <f t="shared" si="1"/>
        <v>24</v>
      </c>
      <c r="C29" s="2013" t="s">
        <v>1221</v>
      </c>
      <c r="D29" s="1947"/>
      <c r="E29" s="2019">
        <v>46217</v>
      </c>
      <c r="F29" s="1217" t="s">
        <v>1196</v>
      </c>
      <c r="G29" s="2014"/>
    </row>
    <row r="30" spans="1:15" ht="15" customHeight="1">
      <c r="A30" s="2011">
        <f t="shared" si="2"/>
        <v>25</v>
      </c>
      <c r="B30" s="2012">
        <f t="shared" si="1"/>
        <v>25</v>
      </c>
      <c r="C30" s="2073" t="s">
        <v>1222</v>
      </c>
      <c r="D30" s="1217"/>
      <c r="E30" s="2019">
        <v>46217</v>
      </c>
      <c r="F30" s="1217" t="s">
        <v>1196</v>
      </c>
      <c r="G30" s="2014"/>
    </row>
    <row r="31" spans="1:15" ht="13.5" customHeight="1">
      <c r="A31" s="2011">
        <f t="shared" si="2"/>
        <v>26</v>
      </c>
      <c r="B31" s="2012">
        <f t="shared" si="1"/>
        <v>26</v>
      </c>
      <c r="C31" s="2013" t="s">
        <v>1223</v>
      </c>
      <c r="D31" s="1947"/>
      <c r="E31" s="2019">
        <v>46217</v>
      </c>
      <c r="F31" s="1217" t="s">
        <v>1196</v>
      </c>
      <c r="G31" s="2014"/>
    </row>
    <row r="32" spans="1:15" ht="13.5" customHeight="1">
      <c r="A32" s="2011">
        <f t="shared" si="2"/>
        <v>27</v>
      </c>
      <c r="B32" s="2012">
        <f t="shared" si="1"/>
        <v>27</v>
      </c>
      <c r="C32" s="2013" t="s">
        <v>1224</v>
      </c>
      <c r="D32" s="1947"/>
      <c r="E32" s="2019">
        <v>46217</v>
      </c>
      <c r="F32" s="1217" t="s">
        <v>1196</v>
      </c>
      <c r="G32" s="2014"/>
    </row>
    <row r="33" spans="1:9" ht="13.5" customHeight="1">
      <c r="A33" s="2011">
        <f t="shared" si="2"/>
        <v>28</v>
      </c>
      <c r="B33" s="2012">
        <f t="shared" si="1"/>
        <v>28</v>
      </c>
      <c r="C33" s="2013" t="s">
        <v>1225</v>
      </c>
      <c r="D33" s="1947"/>
      <c r="E33" s="2019">
        <v>46217</v>
      </c>
      <c r="F33" s="1217" t="s">
        <v>1196</v>
      </c>
      <c r="G33" s="2014"/>
    </row>
    <row r="34" spans="1:9" ht="13.5" customHeight="1">
      <c r="A34" s="2011">
        <f t="shared" si="2"/>
        <v>29</v>
      </c>
      <c r="B34" s="2012">
        <f t="shared" si="1"/>
        <v>29</v>
      </c>
      <c r="C34" s="2013" t="s">
        <v>1226</v>
      </c>
      <c r="D34" s="1947"/>
      <c r="E34" s="2019">
        <v>46217</v>
      </c>
      <c r="F34" s="1217" t="s">
        <v>1196</v>
      </c>
      <c r="G34" s="2014"/>
    </row>
    <row r="35" spans="1:9" ht="13.5" customHeight="1">
      <c r="A35" s="2011">
        <f t="shared" si="2"/>
        <v>30</v>
      </c>
      <c r="B35" s="2012">
        <f t="shared" si="1"/>
        <v>30</v>
      </c>
      <c r="C35" s="2013" t="s">
        <v>1227</v>
      </c>
      <c r="D35" s="1947"/>
      <c r="E35" s="2019">
        <v>46217</v>
      </c>
      <c r="F35" s="1217" t="s">
        <v>1196</v>
      </c>
      <c r="G35" s="2014"/>
    </row>
    <row r="36" spans="1:9" ht="13.5" customHeight="1">
      <c r="A36" s="2011">
        <f t="shared" si="2"/>
        <v>31</v>
      </c>
      <c r="B36" s="2012">
        <f t="shared" si="1"/>
        <v>31</v>
      </c>
      <c r="C36" s="2073" t="s">
        <v>1228</v>
      </c>
      <c r="D36" s="1217"/>
      <c r="E36" s="2019">
        <v>46217</v>
      </c>
      <c r="F36" s="1217" t="s">
        <v>1196</v>
      </c>
      <c r="G36" s="2014"/>
    </row>
    <row r="37" spans="1:9" ht="13.5" customHeight="1">
      <c r="A37" s="2011">
        <f t="shared" si="2"/>
        <v>32</v>
      </c>
      <c r="B37" s="2012">
        <f t="shared" si="1"/>
        <v>32</v>
      </c>
      <c r="C37" s="2013" t="s">
        <v>1229</v>
      </c>
      <c r="D37" s="1947"/>
      <c r="E37" s="2019">
        <v>46217</v>
      </c>
      <c r="F37" s="1217" t="s">
        <v>1196</v>
      </c>
      <c r="G37" s="2014"/>
    </row>
    <row r="38" spans="1:9" ht="13.5" customHeight="1">
      <c r="A38" s="2011">
        <f t="shared" si="2"/>
        <v>33</v>
      </c>
      <c r="B38" s="2012">
        <f t="shared" si="1"/>
        <v>33</v>
      </c>
      <c r="C38" s="2073" t="s">
        <v>1230</v>
      </c>
      <c r="D38" s="1217"/>
      <c r="E38" s="2019">
        <v>46217</v>
      </c>
      <c r="F38" s="1217" t="s">
        <v>1196</v>
      </c>
      <c r="G38" s="2014"/>
    </row>
    <row r="39" spans="1:9" ht="13.5" customHeight="1">
      <c r="A39" s="2011">
        <f t="shared" si="2"/>
        <v>34</v>
      </c>
      <c r="B39" s="2012">
        <f t="shared" si="1"/>
        <v>34</v>
      </c>
      <c r="C39" s="2013" t="s">
        <v>1231</v>
      </c>
      <c r="D39" s="1947"/>
      <c r="E39" s="2019">
        <v>46217</v>
      </c>
      <c r="F39" s="1217" t="s">
        <v>1196</v>
      </c>
      <c r="G39" s="2014"/>
    </row>
    <row r="40" spans="1:9" ht="13.5" customHeight="1">
      <c r="A40" s="2011">
        <f t="shared" ref="A40:A55" si="3">A39+1</f>
        <v>35</v>
      </c>
      <c r="B40" s="2012">
        <f t="shared" si="1"/>
        <v>35</v>
      </c>
      <c r="C40" s="2073" t="s">
        <v>1232</v>
      </c>
      <c r="D40" s="1217"/>
      <c r="E40" s="2019">
        <v>46217</v>
      </c>
      <c r="F40" s="1217" t="s">
        <v>1196</v>
      </c>
      <c r="G40" s="2014"/>
    </row>
    <row r="41" spans="1:9" ht="13.5" customHeight="1">
      <c r="A41" s="2011">
        <f t="shared" si="3"/>
        <v>36</v>
      </c>
      <c r="B41" s="2012">
        <f t="shared" si="1"/>
        <v>36</v>
      </c>
      <c r="C41" s="2013" t="s">
        <v>1233</v>
      </c>
      <c r="D41" s="1947"/>
      <c r="E41" s="2019">
        <v>46217</v>
      </c>
      <c r="F41" s="1217" t="s">
        <v>1196</v>
      </c>
      <c r="G41" s="2014"/>
    </row>
    <row r="42" spans="1:9" ht="13.5" customHeight="1">
      <c r="A42" s="2011">
        <f t="shared" si="3"/>
        <v>37</v>
      </c>
      <c r="B42" s="2012">
        <f t="shared" si="1"/>
        <v>37</v>
      </c>
      <c r="C42" s="2013" t="s">
        <v>1234</v>
      </c>
      <c r="D42" s="1947"/>
      <c r="E42" s="2019">
        <v>46217</v>
      </c>
      <c r="F42" s="1217" t="s">
        <v>1196</v>
      </c>
      <c r="G42" s="2014"/>
    </row>
    <row r="43" spans="1:9" ht="13.5" customHeight="1">
      <c r="A43" s="2011">
        <f t="shared" si="3"/>
        <v>38</v>
      </c>
      <c r="B43" s="2012">
        <f t="shared" si="1"/>
        <v>38</v>
      </c>
      <c r="C43" s="2073" t="s">
        <v>1235</v>
      </c>
      <c r="D43" s="1217"/>
      <c r="E43" s="2019">
        <v>46217</v>
      </c>
      <c r="F43" s="1217" t="s">
        <v>1196</v>
      </c>
      <c r="G43" s="2014"/>
    </row>
    <row r="44" spans="1:9" ht="13.5" customHeight="1">
      <c r="A44" s="2011">
        <f t="shared" si="3"/>
        <v>39</v>
      </c>
      <c r="B44" s="2012">
        <f t="shared" si="1"/>
        <v>39</v>
      </c>
      <c r="C44" s="2073" t="s">
        <v>1236</v>
      </c>
      <c r="D44" s="1217"/>
      <c r="E44" s="2019">
        <v>46217</v>
      </c>
      <c r="F44" s="1217" t="s">
        <v>1196</v>
      </c>
      <c r="G44" s="2014"/>
      <c r="I44" s="874">
        <v>718064695</v>
      </c>
    </row>
    <row r="45" spans="1:9" ht="13.5" customHeight="1">
      <c r="A45" s="2011">
        <f t="shared" si="3"/>
        <v>40</v>
      </c>
      <c r="B45" s="2012">
        <f t="shared" si="1"/>
        <v>40</v>
      </c>
      <c r="C45" s="2013" t="s">
        <v>1237</v>
      </c>
      <c r="D45" s="1947"/>
      <c r="E45" s="2019">
        <v>46217</v>
      </c>
      <c r="F45" s="1217" t="s">
        <v>1196</v>
      </c>
      <c r="G45" s="2014"/>
    </row>
    <row r="46" spans="1:9" ht="13.5" customHeight="1">
      <c r="A46" s="2011">
        <f t="shared" si="3"/>
        <v>41</v>
      </c>
      <c r="B46" s="2012">
        <f t="shared" si="1"/>
        <v>41</v>
      </c>
      <c r="C46" s="2013" t="s">
        <v>1238</v>
      </c>
      <c r="D46" s="1947"/>
      <c r="E46" s="2019">
        <v>46217</v>
      </c>
      <c r="F46" s="1217" t="s">
        <v>1196</v>
      </c>
      <c r="G46" s="2014"/>
    </row>
    <row r="47" spans="1:9" ht="13.5" customHeight="1">
      <c r="A47" s="2011">
        <f t="shared" si="3"/>
        <v>42</v>
      </c>
      <c r="B47" s="2012">
        <f t="shared" si="1"/>
        <v>42</v>
      </c>
      <c r="C47" s="2013" t="s">
        <v>1239</v>
      </c>
      <c r="D47" s="1947"/>
      <c r="E47" s="2019">
        <v>46217</v>
      </c>
      <c r="F47" s="1217" t="s">
        <v>1196</v>
      </c>
      <c r="G47" s="2014"/>
    </row>
    <row r="48" spans="1:9" ht="13.5" customHeight="1">
      <c r="A48" s="2011">
        <f t="shared" si="3"/>
        <v>43</v>
      </c>
      <c r="B48" s="2012">
        <f t="shared" si="1"/>
        <v>43</v>
      </c>
      <c r="C48" s="2013" t="s">
        <v>1240</v>
      </c>
      <c r="D48" s="1947"/>
      <c r="E48" s="2019">
        <v>46217</v>
      </c>
      <c r="F48" s="1217" t="s">
        <v>1196</v>
      </c>
      <c r="G48" s="2014"/>
    </row>
    <row r="49" spans="1:7" ht="13.5" customHeight="1">
      <c r="A49" s="2011">
        <f t="shared" si="3"/>
        <v>44</v>
      </c>
      <c r="B49" s="2012">
        <f t="shared" si="1"/>
        <v>44</v>
      </c>
      <c r="C49" s="2013" t="s">
        <v>1241</v>
      </c>
      <c r="D49" s="1947"/>
      <c r="E49" s="2019">
        <v>46217</v>
      </c>
      <c r="F49" s="1217" t="s">
        <v>1196</v>
      </c>
      <c r="G49" s="2014"/>
    </row>
    <row r="50" spans="1:7" ht="13.5" customHeight="1">
      <c r="A50" s="2011">
        <f t="shared" si="3"/>
        <v>45</v>
      </c>
      <c r="B50" s="2012">
        <f t="shared" si="1"/>
        <v>45</v>
      </c>
      <c r="C50" s="2013" t="s">
        <v>1242</v>
      </c>
      <c r="D50" s="1947"/>
      <c r="E50" s="2019">
        <v>46217</v>
      </c>
      <c r="F50" s="1217" t="s">
        <v>1196</v>
      </c>
      <c r="G50" s="2014"/>
    </row>
    <row r="51" spans="1:7" ht="13.5" customHeight="1">
      <c r="A51" s="2011">
        <f t="shared" si="3"/>
        <v>46</v>
      </c>
      <c r="B51" s="2012">
        <f t="shared" si="1"/>
        <v>46</v>
      </c>
      <c r="C51" s="2013" t="s">
        <v>1243</v>
      </c>
      <c r="D51" s="1947"/>
      <c r="E51" s="2019">
        <v>46217</v>
      </c>
      <c r="F51" s="1217" t="s">
        <v>1196</v>
      </c>
      <c r="G51" s="2014"/>
    </row>
    <row r="52" spans="1:7" ht="13.5" customHeight="1">
      <c r="A52" s="2011">
        <f t="shared" si="3"/>
        <v>47</v>
      </c>
      <c r="B52" s="2012">
        <f t="shared" si="1"/>
        <v>47</v>
      </c>
      <c r="C52" s="2013" t="s">
        <v>1244</v>
      </c>
      <c r="D52" s="1947"/>
      <c r="E52" s="2019">
        <v>46217</v>
      </c>
      <c r="F52" s="1217" t="s">
        <v>1196</v>
      </c>
      <c r="G52" s="2014"/>
    </row>
    <row r="53" spans="1:7" ht="13.5" customHeight="1">
      <c r="A53" s="2011">
        <f t="shared" si="3"/>
        <v>48</v>
      </c>
      <c r="B53" s="2012">
        <f t="shared" si="1"/>
        <v>48</v>
      </c>
      <c r="C53" s="2073" t="s">
        <v>1245</v>
      </c>
      <c r="D53" s="1217"/>
      <c r="E53" s="2019">
        <v>46217</v>
      </c>
      <c r="F53" s="1217" t="s">
        <v>1196</v>
      </c>
      <c r="G53" s="2014"/>
    </row>
    <row r="54" spans="1:7" ht="13.5" customHeight="1">
      <c r="A54" s="2011">
        <f t="shared" si="3"/>
        <v>49</v>
      </c>
      <c r="B54" s="2012">
        <f t="shared" si="1"/>
        <v>49</v>
      </c>
      <c r="C54" s="2071" t="s">
        <v>1246</v>
      </c>
      <c r="D54" s="1947"/>
      <c r="E54" s="2019">
        <v>46217</v>
      </c>
      <c r="F54" s="1217" t="s">
        <v>1196</v>
      </c>
      <c r="G54" s="2014"/>
    </row>
    <row r="55" spans="1:7" ht="13.5" customHeight="1">
      <c r="A55" s="2011">
        <f t="shared" si="3"/>
        <v>50</v>
      </c>
      <c r="B55" s="2012">
        <f t="shared" si="1"/>
        <v>50</v>
      </c>
      <c r="C55" s="2081" t="s">
        <v>1247</v>
      </c>
      <c r="D55" s="1947"/>
      <c r="E55" s="2019">
        <v>46217</v>
      </c>
      <c r="F55" s="1217" t="s">
        <v>1196</v>
      </c>
      <c r="G55" s="2014"/>
    </row>
    <row r="56" spans="1:7" ht="13.5" customHeight="1">
      <c r="A56" s="2011">
        <f t="shared" ref="A56:A71" si="4">A55+1</f>
        <v>51</v>
      </c>
      <c r="B56" s="2012">
        <f t="shared" si="1"/>
        <v>51</v>
      </c>
      <c r="C56" s="2081" t="s">
        <v>1248</v>
      </c>
      <c r="D56" s="1947"/>
      <c r="E56" s="2019">
        <v>46217</v>
      </c>
      <c r="F56" s="1217" t="s">
        <v>1196</v>
      </c>
      <c r="G56" s="2014"/>
    </row>
    <row r="57" spans="1:7" ht="13.15" customHeight="1">
      <c r="A57" s="2011">
        <f t="shared" si="4"/>
        <v>52</v>
      </c>
      <c r="B57" s="2012">
        <f t="shared" si="1"/>
        <v>52</v>
      </c>
      <c r="C57" s="2071" t="s">
        <v>1249</v>
      </c>
      <c r="D57" s="1947"/>
      <c r="E57" s="2019">
        <v>46217</v>
      </c>
      <c r="F57" s="1217" t="s">
        <v>1196</v>
      </c>
      <c r="G57" s="2068"/>
    </row>
    <row r="58" spans="1:7" ht="13.5" customHeight="1">
      <c r="A58" s="2011">
        <f t="shared" si="4"/>
        <v>53</v>
      </c>
      <c r="B58" s="2012">
        <f t="shared" si="1"/>
        <v>53</v>
      </c>
      <c r="C58" s="2071" t="s">
        <v>1250</v>
      </c>
      <c r="D58" s="1947"/>
      <c r="E58" s="2019">
        <v>46217</v>
      </c>
      <c r="F58" s="1217" t="s">
        <v>1196</v>
      </c>
      <c r="G58" s="2068"/>
    </row>
    <row r="59" spans="1:7" ht="13.5" customHeight="1">
      <c r="A59" s="2011">
        <f t="shared" si="4"/>
        <v>54</v>
      </c>
      <c r="B59" s="2012">
        <f t="shared" si="1"/>
        <v>54</v>
      </c>
      <c r="C59" s="2073" t="s">
        <v>1251</v>
      </c>
      <c r="D59" s="1217"/>
      <c r="E59" s="2019">
        <v>46217</v>
      </c>
      <c r="F59" s="1217" t="s">
        <v>1196</v>
      </c>
      <c r="G59" s="2068"/>
    </row>
    <row r="60" spans="1:7" ht="13.5" customHeight="1">
      <c r="A60" s="2011">
        <f t="shared" si="4"/>
        <v>55</v>
      </c>
      <c r="B60" s="2012">
        <f t="shared" si="1"/>
        <v>55</v>
      </c>
      <c r="C60" s="2071" t="s">
        <v>1252</v>
      </c>
      <c r="D60" s="1947"/>
      <c r="E60" s="2019">
        <v>46217</v>
      </c>
      <c r="F60" s="1217" t="s">
        <v>1196</v>
      </c>
      <c r="G60" s="2068"/>
    </row>
    <row r="61" spans="1:7" ht="13.5" customHeight="1">
      <c r="A61" s="2011">
        <f t="shared" si="4"/>
        <v>56</v>
      </c>
      <c r="B61" s="2012">
        <f t="shared" si="1"/>
        <v>56</v>
      </c>
      <c r="C61" s="2071" t="s">
        <v>1253</v>
      </c>
      <c r="D61" s="1947"/>
      <c r="E61" s="2019">
        <v>46217</v>
      </c>
      <c r="F61" s="1217" t="s">
        <v>1196</v>
      </c>
      <c r="G61" s="2068"/>
    </row>
    <row r="62" spans="1:7" ht="13.5" customHeight="1">
      <c r="A62" s="2011">
        <f t="shared" si="4"/>
        <v>57</v>
      </c>
      <c r="B62" s="2012">
        <f t="shared" si="1"/>
        <v>57</v>
      </c>
      <c r="C62" s="2071" t="s">
        <v>1254</v>
      </c>
      <c r="D62" s="1947"/>
      <c r="E62" s="2019">
        <v>46217</v>
      </c>
      <c r="F62" s="1217" t="s">
        <v>1196</v>
      </c>
      <c r="G62" s="2068"/>
    </row>
    <row r="63" spans="1:7" ht="13.5" customHeight="1">
      <c r="A63" s="2011">
        <f t="shared" si="4"/>
        <v>58</v>
      </c>
      <c r="B63" s="2012">
        <f t="shared" si="1"/>
        <v>58</v>
      </c>
      <c r="C63" s="2071" t="s">
        <v>1255</v>
      </c>
      <c r="D63" s="1947"/>
      <c r="E63" s="2019">
        <v>46217</v>
      </c>
      <c r="F63" s="1217" t="s">
        <v>1196</v>
      </c>
      <c r="G63" s="2068"/>
    </row>
    <row r="64" spans="1:7" ht="13.5" customHeight="1">
      <c r="A64" s="2011">
        <f t="shared" si="4"/>
        <v>59</v>
      </c>
      <c r="B64" s="2012">
        <f t="shared" si="1"/>
        <v>59</v>
      </c>
      <c r="C64" s="2071" t="s">
        <v>1256</v>
      </c>
      <c r="D64" s="1947"/>
      <c r="E64" s="2019">
        <v>46217</v>
      </c>
      <c r="F64" s="1217" t="s">
        <v>1196</v>
      </c>
      <c r="G64" s="2068"/>
    </row>
    <row r="65" spans="1:7" ht="13.5" customHeight="1">
      <c r="A65" s="2011">
        <f t="shared" si="4"/>
        <v>60</v>
      </c>
      <c r="B65" s="2012">
        <f t="shared" si="1"/>
        <v>60</v>
      </c>
      <c r="C65" s="2071" t="s">
        <v>1257</v>
      </c>
      <c r="D65" s="1947"/>
      <c r="E65" s="2019">
        <v>46217</v>
      </c>
      <c r="F65" s="1217" t="s">
        <v>1196</v>
      </c>
      <c r="G65" s="2068"/>
    </row>
    <row r="66" spans="1:7" ht="13.5" customHeight="1">
      <c r="A66" s="2011">
        <f t="shared" si="4"/>
        <v>61</v>
      </c>
      <c r="B66" s="2012">
        <f t="shared" si="1"/>
        <v>61</v>
      </c>
      <c r="C66" s="2071" t="s">
        <v>1258</v>
      </c>
      <c r="D66" s="1947"/>
      <c r="E66" s="2019">
        <v>46217</v>
      </c>
      <c r="F66" s="1217" t="s">
        <v>1196</v>
      </c>
      <c r="G66" s="2068"/>
    </row>
    <row r="67" spans="1:7" ht="13.5" customHeight="1">
      <c r="A67" s="2011">
        <f t="shared" si="4"/>
        <v>62</v>
      </c>
      <c r="B67" s="2012">
        <f t="shared" si="1"/>
        <v>62</v>
      </c>
      <c r="C67" s="2071" t="s">
        <v>1259</v>
      </c>
      <c r="D67" s="1947"/>
      <c r="E67" s="2019">
        <v>46217</v>
      </c>
      <c r="F67" s="1217" t="s">
        <v>1196</v>
      </c>
      <c r="G67" s="2068"/>
    </row>
    <row r="68" spans="1:7" ht="13.5" customHeight="1">
      <c r="A68" s="2011">
        <f t="shared" si="4"/>
        <v>63</v>
      </c>
      <c r="B68" s="2012">
        <f t="shared" si="1"/>
        <v>63</v>
      </c>
      <c r="C68" s="2071" t="s">
        <v>1260</v>
      </c>
      <c r="D68" s="1947"/>
      <c r="E68" s="2019">
        <v>46217</v>
      </c>
      <c r="F68" s="1217" t="s">
        <v>1196</v>
      </c>
      <c r="G68" s="2068"/>
    </row>
    <row r="69" spans="1:7" ht="13.5" customHeight="1">
      <c r="A69" s="2011">
        <f t="shared" si="4"/>
        <v>64</v>
      </c>
      <c r="B69" s="2012">
        <f t="shared" si="1"/>
        <v>64</v>
      </c>
      <c r="C69" s="2071" t="s">
        <v>1261</v>
      </c>
      <c r="D69" s="1947"/>
      <c r="E69" s="2019">
        <v>46217</v>
      </c>
      <c r="F69" s="1217" t="s">
        <v>1196</v>
      </c>
      <c r="G69" s="2068"/>
    </row>
    <row r="70" spans="1:7" ht="13.5" customHeight="1">
      <c r="A70" s="2011">
        <f t="shared" si="4"/>
        <v>65</v>
      </c>
      <c r="B70" s="2012">
        <f t="shared" si="1"/>
        <v>65</v>
      </c>
      <c r="C70" s="2071" t="s">
        <v>1262</v>
      </c>
      <c r="D70" s="1947"/>
      <c r="E70" s="2019">
        <v>46217</v>
      </c>
      <c r="F70" s="1217" t="s">
        <v>1196</v>
      </c>
      <c r="G70" s="2068"/>
    </row>
    <row r="71" spans="1:7" ht="13.5" customHeight="1">
      <c r="A71" s="2011">
        <f t="shared" si="4"/>
        <v>66</v>
      </c>
      <c r="B71" s="2012">
        <f t="shared" si="1"/>
        <v>66</v>
      </c>
      <c r="C71" s="2073" t="s">
        <v>1263</v>
      </c>
      <c r="D71" s="1217"/>
      <c r="E71" s="2019">
        <v>46217</v>
      </c>
      <c r="F71" s="1217" t="s">
        <v>1196</v>
      </c>
      <c r="G71" s="2018"/>
    </row>
    <row r="72" spans="1:7" ht="13.5" customHeight="1">
      <c r="A72" s="2011">
        <f t="shared" ref="A72:A87" si="5">A71+1</f>
        <v>67</v>
      </c>
      <c r="B72" s="2012">
        <f t="shared" ref="B72:B89" si="6">+B71+1</f>
        <v>67</v>
      </c>
      <c r="C72" s="2073" t="s">
        <v>1264</v>
      </c>
      <c r="D72" s="1217"/>
      <c r="E72" s="2019">
        <v>46217</v>
      </c>
      <c r="F72" s="1217" t="s">
        <v>1196</v>
      </c>
      <c r="G72" s="2018"/>
    </row>
    <row r="73" spans="1:7" ht="13.5" customHeight="1">
      <c r="A73" s="2011">
        <f t="shared" si="5"/>
        <v>68</v>
      </c>
      <c r="B73" s="2012">
        <f t="shared" si="6"/>
        <v>68</v>
      </c>
      <c r="C73" s="2073" t="s">
        <v>1265</v>
      </c>
      <c r="D73" s="1217"/>
      <c r="E73" s="2019">
        <v>46217</v>
      </c>
      <c r="F73" s="1217" t="s">
        <v>1196</v>
      </c>
      <c r="G73" s="2018"/>
    </row>
    <row r="74" spans="1:7" ht="13.5" customHeight="1">
      <c r="A74" s="2011">
        <f t="shared" si="5"/>
        <v>69</v>
      </c>
      <c r="B74" s="2012">
        <f t="shared" si="6"/>
        <v>69</v>
      </c>
      <c r="C74" s="2073" t="s">
        <v>1266</v>
      </c>
      <c r="D74" s="1217"/>
      <c r="E74" s="2019">
        <v>46217</v>
      </c>
      <c r="F74" s="1217" t="s">
        <v>1196</v>
      </c>
      <c r="G74" s="2018"/>
    </row>
    <row r="75" spans="1:7" ht="13.5" customHeight="1">
      <c r="A75" s="2011">
        <f t="shared" si="5"/>
        <v>70</v>
      </c>
      <c r="B75" s="2012">
        <f t="shared" si="6"/>
        <v>70</v>
      </c>
      <c r="C75" s="2073" t="s">
        <v>1267</v>
      </c>
      <c r="D75" s="1217"/>
      <c r="E75" s="2019">
        <v>46217</v>
      </c>
      <c r="F75" s="1217" t="s">
        <v>1196</v>
      </c>
      <c r="G75" s="2018"/>
    </row>
    <row r="76" spans="1:7" ht="13.5" customHeight="1">
      <c r="A76" s="2011">
        <f t="shared" si="5"/>
        <v>71</v>
      </c>
      <c r="B76" s="2012">
        <f t="shared" si="6"/>
        <v>71</v>
      </c>
      <c r="C76" s="2073" t="s">
        <v>1268</v>
      </c>
      <c r="D76" s="1217"/>
      <c r="E76" s="2019">
        <v>46217</v>
      </c>
      <c r="F76" s="1217" t="s">
        <v>1196</v>
      </c>
      <c r="G76" s="2018"/>
    </row>
    <row r="77" spans="1:7" ht="13.5" customHeight="1">
      <c r="A77" s="2011">
        <f t="shared" si="5"/>
        <v>72</v>
      </c>
      <c r="B77" s="2012">
        <f t="shared" si="6"/>
        <v>72</v>
      </c>
      <c r="C77" s="2073" t="s">
        <v>1269</v>
      </c>
      <c r="D77" s="1217"/>
      <c r="E77" s="2019">
        <v>46217</v>
      </c>
      <c r="F77" s="1217" t="s">
        <v>1196</v>
      </c>
      <c r="G77" s="2018"/>
    </row>
    <row r="78" spans="1:7" ht="13.5" customHeight="1">
      <c r="A78" s="2011">
        <f t="shared" si="5"/>
        <v>73</v>
      </c>
      <c r="B78" s="2012">
        <f t="shared" si="6"/>
        <v>73</v>
      </c>
      <c r="C78" s="2073" t="s">
        <v>1270</v>
      </c>
      <c r="D78" s="1217"/>
      <c r="E78" s="2019">
        <v>46217</v>
      </c>
      <c r="F78" s="1217" t="s">
        <v>1196</v>
      </c>
      <c r="G78" s="2018"/>
    </row>
    <row r="79" spans="1:7" ht="13.5" customHeight="1">
      <c r="A79" s="2011">
        <f t="shared" si="5"/>
        <v>74</v>
      </c>
      <c r="B79" s="2012">
        <f t="shared" si="6"/>
        <v>74</v>
      </c>
      <c r="C79" s="2073" t="s">
        <v>1271</v>
      </c>
      <c r="D79" s="1217"/>
      <c r="E79" s="2019">
        <v>46217</v>
      </c>
      <c r="F79" s="1217" t="s">
        <v>1196</v>
      </c>
      <c r="G79" s="2018"/>
    </row>
    <row r="80" spans="1:7" ht="13.5" customHeight="1">
      <c r="A80" s="2011">
        <f t="shared" si="5"/>
        <v>75</v>
      </c>
      <c r="B80" s="2012">
        <f t="shared" si="6"/>
        <v>75</v>
      </c>
      <c r="C80" s="2073" t="s">
        <v>1272</v>
      </c>
      <c r="D80" s="1217"/>
      <c r="E80" s="2019">
        <v>46217</v>
      </c>
      <c r="F80" s="1217" t="s">
        <v>1196</v>
      </c>
      <c r="G80" s="2018"/>
    </row>
    <row r="81" spans="1:7" ht="13.5" customHeight="1">
      <c r="A81" s="2011">
        <f t="shared" si="5"/>
        <v>76</v>
      </c>
      <c r="B81" s="2012">
        <f t="shared" si="6"/>
        <v>76</v>
      </c>
      <c r="C81" s="2073" t="s">
        <v>1273</v>
      </c>
      <c r="D81" s="1217"/>
      <c r="E81" s="2019">
        <v>46217</v>
      </c>
      <c r="F81" s="1217" t="s">
        <v>1196</v>
      </c>
      <c r="G81" s="2018"/>
    </row>
    <row r="82" spans="1:7" ht="13.5" customHeight="1">
      <c r="A82" s="2011">
        <f t="shared" si="5"/>
        <v>77</v>
      </c>
      <c r="B82" s="2012">
        <f t="shared" si="6"/>
        <v>77</v>
      </c>
      <c r="C82" s="2073" t="s">
        <v>1274</v>
      </c>
      <c r="D82" s="1217"/>
      <c r="E82" s="2019">
        <v>46217</v>
      </c>
      <c r="F82" s="1217" t="s">
        <v>1196</v>
      </c>
      <c r="G82" s="2018"/>
    </row>
    <row r="83" spans="1:7" ht="13.5" customHeight="1">
      <c r="A83" s="2011">
        <f t="shared" si="5"/>
        <v>78</v>
      </c>
      <c r="B83" s="2012">
        <f t="shared" si="6"/>
        <v>78</v>
      </c>
      <c r="C83" s="2073" t="s">
        <v>1275</v>
      </c>
      <c r="D83" s="1217"/>
      <c r="E83" s="2019">
        <v>46217</v>
      </c>
      <c r="F83" s="1217" t="s">
        <v>1196</v>
      </c>
      <c r="G83" s="2018"/>
    </row>
    <row r="84" spans="1:7" ht="13.5" customHeight="1">
      <c r="A84" s="2011">
        <f t="shared" si="5"/>
        <v>79</v>
      </c>
      <c r="B84" s="2012">
        <f t="shared" si="6"/>
        <v>79</v>
      </c>
      <c r="C84" s="2073" t="s">
        <v>1276</v>
      </c>
      <c r="D84" s="1217"/>
      <c r="E84" s="2019">
        <v>46217</v>
      </c>
      <c r="F84" s="1217" t="s">
        <v>1196</v>
      </c>
      <c r="G84" s="2018"/>
    </row>
    <row r="85" spans="1:7" ht="13.5" customHeight="1">
      <c r="A85" s="2011">
        <f t="shared" si="5"/>
        <v>80</v>
      </c>
      <c r="B85" s="2012">
        <f t="shared" si="6"/>
        <v>80</v>
      </c>
      <c r="C85" s="2073" t="s">
        <v>1277</v>
      </c>
      <c r="D85" s="1217"/>
      <c r="E85" s="2019">
        <v>46217</v>
      </c>
      <c r="F85" s="1217" t="s">
        <v>1196</v>
      </c>
      <c r="G85" s="2018"/>
    </row>
    <row r="86" spans="1:7" ht="13.5" customHeight="1">
      <c r="A86" s="2011">
        <f t="shared" si="5"/>
        <v>81</v>
      </c>
      <c r="B86" s="2012">
        <f t="shared" si="6"/>
        <v>81</v>
      </c>
      <c r="C86" s="2073" t="s">
        <v>1278</v>
      </c>
      <c r="D86" s="1217"/>
      <c r="E86" s="2019">
        <v>46217</v>
      </c>
      <c r="F86" s="1217" t="s">
        <v>1196</v>
      </c>
      <c r="G86" s="2018"/>
    </row>
    <row r="87" spans="1:7" ht="13.5" customHeight="1">
      <c r="A87" s="2011">
        <f t="shared" si="5"/>
        <v>82</v>
      </c>
      <c r="B87" s="2012">
        <f t="shared" si="6"/>
        <v>82</v>
      </c>
      <c r="C87" s="2073" t="s">
        <v>1279</v>
      </c>
      <c r="D87" s="1217"/>
      <c r="E87" s="2019">
        <v>46217</v>
      </c>
      <c r="F87" s="1217" t="s">
        <v>1196</v>
      </c>
      <c r="G87" s="2018"/>
    </row>
    <row r="88" spans="1:7" ht="13.5" customHeight="1">
      <c r="A88" s="2011">
        <f t="shared" ref="A88:A89" si="7">A87+1</f>
        <v>83</v>
      </c>
      <c r="B88" s="2012">
        <f t="shared" si="6"/>
        <v>83</v>
      </c>
      <c r="C88" s="2073" t="s">
        <v>1280</v>
      </c>
      <c r="D88" s="1217"/>
      <c r="E88" s="2019">
        <v>46217</v>
      </c>
      <c r="F88" s="1217" t="s">
        <v>1196</v>
      </c>
      <c r="G88" s="2018"/>
    </row>
    <row r="89" spans="1:7" ht="13.5" customHeight="1">
      <c r="A89" s="2011">
        <f t="shared" si="7"/>
        <v>84</v>
      </c>
      <c r="B89" s="2012">
        <f t="shared" si="6"/>
        <v>84</v>
      </c>
      <c r="C89" s="2073" t="s">
        <v>1281</v>
      </c>
      <c r="D89" s="2018"/>
      <c r="E89" s="2019">
        <v>46217</v>
      </c>
      <c r="F89" s="1217" t="s">
        <v>1196</v>
      </c>
      <c r="G89" s="2018"/>
    </row>
    <row r="90" spans="1:7">
      <c r="A90" s="2067"/>
    </row>
    <row r="91" spans="1:7">
      <c r="A91" s="2011"/>
    </row>
    <row r="92" spans="1:7">
      <c r="A92" s="2011"/>
    </row>
    <row r="93" spans="1:7">
      <c r="A93" s="2011"/>
    </row>
    <row r="94" spans="1:7">
      <c r="A94" s="2011"/>
    </row>
    <row r="95" spans="1:7">
      <c r="A95" s="2011"/>
    </row>
    <row r="96" spans="1:7">
      <c r="A96" s="2011"/>
    </row>
    <row r="97" spans="1:1">
      <c r="A97" s="2011"/>
    </row>
    <row r="98" spans="1:1">
      <c r="A98" s="2011"/>
    </row>
  </sheetData>
  <pageMargins left="0.7" right="0.7" top="0.75" bottom="0.75" header="0.3" footer="0.3"/>
  <pageSetup paperSize="9" scale="99" fitToHeight="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70CF-1A74-4F3D-AB44-381617397C85}">
  <sheetPr>
    <tabColor theme="7"/>
    <pageSetUpPr fitToPage="1"/>
  </sheetPr>
  <dimension ref="A1:N156"/>
  <sheetViews>
    <sheetView view="pageBreakPreview" zoomScaleNormal="100" zoomScaleSheetLayoutView="100" workbookViewId="0">
      <selection activeCell="I154" sqref="I154"/>
    </sheetView>
  </sheetViews>
  <sheetFormatPr defaultColWidth="9.140625" defaultRowHeight="13.9"/>
  <cols>
    <col min="1" max="2" width="9.140625" style="874"/>
    <col min="3" max="3" width="14.7109375" style="874" bestFit="1" customWidth="1"/>
    <col min="4" max="4" width="9.140625" style="874"/>
    <col min="5" max="5" width="19.28515625" style="874" bestFit="1" customWidth="1"/>
    <col min="6" max="6" width="17" style="874" bestFit="1" customWidth="1"/>
    <col min="7" max="8" width="9.140625" style="874"/>
    <col min="9" max="9" width="11" style="874" bestFit="1" customWidth="1"/>
    <col min="10" max="10" width="12.28515625" style="874" bestFit="1" customWidth="1"/>
    <col min="11" max="11" width="10.7109375" style="874" bestFit="1" customWidth="1"/>
    <col min="12" max="15" width="13.28515625" style="874" bestFit="1" customWidth="1"/>
    <col min="16" max="16384" width="9.140625" style="874"/>
  </cols>
  <sheetData>
    <row r="1" spans="1:14">
      <c r="A1" s="2006" t="s">
        <v>82</v>
      </c>
      <c r="B1" s="2006"/>
      <c r="C1" s="2006"/>
      <c r="D1" s="2007"/>
      <c r="E1" s="2007"/>
      <c r="F1" s="2007"/>
      <c r="G1" s="2008"/>
    </row>
    <row r="2" spans="1:14">
      <c r="A2" s="2007"/>
      <c r="B2" s="2007"/>
      <c r="C2" s="2007"/>
      <c r="D2" s="2007"/>
      <c r="E2" s="2007"/>
      <c r="F2" s="2007"/>
      <c r="G2" s="2008"/>
    </row>
    <row r="3" spans="1:14">
      <c r="A3" s="2006" t="s">
        <v>450</v>
      </c>
      <c r="B3" s="2006"/>
      <c r="C3" s="2006"/>
      <c r="D3" s="2007"/>
      <c r="E3" s="2007"/>
      <c r="F3" s="2009">
        <f>+'Summary Total Pigs'!C3</f>
        <v>46226</v>
      </c>
      <c r="G3" s="2008"/>
    </row>
    <row r="4" spans="1:14">
      <c r="A4" s="2007"/>
      <c r="B4" s="2007"/>
      <c r="C4" s="2007"/>
      <c r="D4" s="2007"/>
      <c r="E4" s="2007"/>
      <c r="F4" s="2007"/>
      <c r="G4" s="2008"/>
    </row>
    <row r="5" spans="1:14">
      <c r="A5" s="2010"/>
      <c r="B5" s="2010"/>
      <c r="C5" s="2010" t="s">
        <v>1282</v>
      </c>
      <c r="D5" s="2010" t="s">
        <v>452</v>
      </c>
      <c r="E5" s="2010" t="s">
        <v>576</v>
      </c>
      <c r="F5" s="2010" t="s">
        <v>330</v>
      </c>
      <c r="G5" s="2008"/>
      <c r="J5" s="877"/>
      <c r="K5" s="878"/>
      <c r="L5" s="877"/>
      <c r="M5" s="873"/>
      <c r="N5" s="877"/>
    </row>
    <row r="6" spans="1:14">
      <c r="A6" s="2011">
        <v>1</v>
      </c>
      <c r="B6" s="2069">
        <v>1</v>
      </c>
      <c r="C6" s="2073" t="s">
        <v>1283</v>
      </c>
      <c r="D6" s="1217"/>
      <c r="E6" s="2019">
        <v>46217</v>
      </c>
      <c r="F6" s="1217" t="s">
        <v>192</v>
      </c>
      <c r="G6" s="2014"/>
      <c r="I6" s="1948"/>
      <c r="J6" s="2024"/>
      <c r="L6" s="1948"/>
    </row>
    <row r="7" spans="1:14">
      <c r="A7" s="2011">
        <f>A6+1</f>
        <v>2</v>
      </c>
      <c r="B7" s="2012">
        <f>+B6+1</f>
        <v>2</v>
      </c>
      <c r="C7" s="2071" t="s">
        <v>1284</v>
      </c>
      <c r="D7" s="1947"/>
      <c r="E7" s="2019">
        <v>46217</v>
      </c>
      <c r="F7" s="1217" t="s">
        <v>192</v>
      </c>
      <c r="G7" s="2014"/>
      <c r="I7" s="1948"/>
      <c r="J7" s="2024"/>
    </row>
    <row r="8" spans="1:14">
      <c r="A8" s="2011">
        <f t="shared" ref="A8:A11" si="0">A7+1</f>
        <v>3</v>
      </c>
      <c r="B8" s="2012">
        <f t="shared" ref="B8:B11" si="1">+B7+1</f>
        <v>3</v>
      </c>
      <c r="C8" s="2071" t="s">
        <v>1285</v>
      </c>
      <c r="D8" s="1947"/>
      <c r="E8" s="2019">
        <v>46217</v>
      </c>
      <c r="F8" s="1217" t="s">
        <v>192</v>
      </c>
      <c r="G8" s="2102"/>
      <c r="I8" s="1948"/>
      <c r="J8" s="2024"/>
    </row>
    <row r="9" spans="1:14">
      <c r="A9" s="2011">
        <f t="shared" si="0"/>
        <v>4</v>
      </c>
      <c r="B9" s="2012">
        <f t="shared" si="1"/>
        <v>4</v>
      </c>
      <c r="C9" s="2073" t="s">
        <v>1286</v>
      </c>
      <c r="D9" s="1217"/>
      <c r="E9" s="2019">
        <v>46217</v>
      </c>
      <c r="F9" s="1217" t="s">
        <v>192</v>
      </c>
      <c r="G9" s="2014"/>
      <c r="I9" s="1948"/>
      <c r="J9" s="2024"/>
    </row>
    <row r="10" spans="1:14">
      <c r="A10" s="2011">
        <f t="shared" si="0"/>
        <v>5</v>
      </c>
      <c r="B10" s="2012">
        <f t="shared" si="1"/>
        <v>5</v>
      </c>
      <c r="C10" s="2071" t="s">
        <v>1287</v>
      </c>
      <c r="D10" s="1947"/>
      <c r="E10" s="2019">
        <v>46217</v>
      </c>
      <c r="F10" s="1217" t="s">
        <v>192</v>
      </c>
      <c r="G10" s="2014"/>
      <c r="I10" s="1948"/>
      <c r="J10" s="2024"/>
    </row>
    <row r="11" spans="1:14">
      <c r="A11" s="2011">
        <f t="shared" si="0"/>
        <v>6</v>
      </c>
      <c r="B11" s="2012">
        <f t="shared" si="1"/>
        <v>6</v>
      </c>
      <c r="C11" s="2071" t="s">
        <v>1288</v>
      </c>
      <c r="D11" s="1947"/>
      <c r="E11" s="2019">
        <v>46217</v>
      </c>
      <c r="F11" s="1217" t="s">
        <v>192</v>
      </c>
      <c r="G11" s="2014"/>
      <c r="I11" s="1948"/>
      <c r="J11" s="2024"/>
    </row>
    <row r="12" spans="1:14" hidden="1">
      <c r="A12" s="2011"/>
      <c r="E12" s="2077"/>
      <c r="G12" s="1217"/>
    </row>
    <row r="13" spans="1:14" hidden="1">
      <c r="A13" s="2011"/>
      <c r="E13" s="2077"/>
      <c r="G13" s="1217"/>
    </row>
    <row r="14" spans="1:14" hidden="1">
      <c r="A14" s="2011"/>
      <c r="E14" s="2077"/>
      <c r="G14" s="1217"/>
    </row>
    <row r="15" spans="1:14" hidden="1">
      <c r="A15" s="2011"/>
      <c r="E15" s="2077"/>
      <c r="G15" s="1217"/>
    </row>
    <row r="16" spans="1:14" hidden="1">
      <c r="A16" s="2011"/>
      <c r="E16" s="2077"/>
      <c r="G16" s="1217"/>
    </row>
    <row r="17" spans="1:7" hidden="1">
      <c r="A17" s="2011"/>
      <c r="E17" s="2077"/>
      <c r="G17" s="1217"/>
    </row>
    <row r="18" spans="1:7" hidden="1">
      <c r="A18" s="2011"/>
      <c r="E18" s="2077"/>
      <c r="G18" s="1217"/>
    </row>
    <row r="19" spans="1:7" hidden="1">
      <c r="A19" s="2011"/>
      <c r="E19" s="2077"/>
      <c r="G19" s="1217"/>
    </row>
    <row r="20" spans="1:7" hidden="1">
      <c r="A20" s="2011"/>
      <c r="E20" s="2077"/>
      <c r="G20" s="1217"/>
    </row>
    <row r="21" spans="1:7" hidden="1">
      <c r="A21" s="2011"/>
      <c r="E21" s="2077"/>
      <c r="G21" s="1217"/>
    </row>
    <row r="22" spans="1:7" hidden="1">
      <c r="A22" s="2011"/>
      <c r="E22" s="2077"/>
      <c r="G22" s="1217"/>
    </row>
    <row r="23" spans="1:7" hidden="1">
      <c r="A23" s="2011"/>
      <c r="E23" s="2077"/>
      <c r="G23" s="1217"/>
    </row>
    <row r="24" spans="1:7" hidden="1">
      <c r="A24" s="2011"/>
      <c r="E24" s="2077"/>
      <c r="G24" s="1217"/>
    </row>
    <row r="25" spans="1:7" hidden="1">
      <c r="A25" s="2011"/>
      <c r="E25" s="2077"/>
      <c r="G25" s="1217"/>
    </row>
    <row r="26" spans="1:7" hidden="1">
      <c r="A26" s="2011"/>
      <c r="E26" s="2077"/>
      <c r="G26" s="1217"/>
    </row>
    <row r="27" spans="1:7" hidden="1">
      <c r="A27" s="2011"/>
      <c r="E27" s="2077"/>
      <c r="G27" s="1217"/>
    </row>
    <row r="28" spans="1:7" hidden="1">
      <c r="A28" s="2011"/>
      <c r="E28" s="2077"/>
      <c r="G28" s="1217"/>
    </row>
    <row r="29" spans="1:7" hidden="1">
      <c r="A29" s="2011"/>
      <c r="E29" s="2077"/>
      <c r="G29" s="1217"/>
    </row>
    <row r="30" spans="1:7" hidden="1">
      <c r="A30" s="2011"/>
      <c r="E30" s="2077"/>
      <c r="G30" s="1217"/>
    </row>
    <row r="31" spans="1:7" hidden="1">
      <c r="A31" s="2011"/>
      <c r="E31" s="2077"/>
      <c r="G31" s="1217"/>
    </row>
    <row r="32" spans="1:7" hidden="1">
      <c r="A32" s="2011"/>
      <c r="E32" s="2077"/>
      <c r="G32" s="1217"/>
    </row>
    <row r="33" spans="1:7" hidden="1">
      <c r="A33" s="2011"/>
      <c r="E33" s="2077"/>
      <c r="G33" s="1217"/>
    </row>
    <row r="34" spans="1:7" hidden="1">
      <c r="A34" s="2011"/>
      <c r="E34" s="2077"/>
      <c r="G34" s="1217"/>
    </row>
    <row r="35" spans="1:7" hidden="1">
      <c r="A35" s="2011"/>
      <c r="E35" s="2077"/>
      <c r="G35" s="1217"/>
    </row>
    <row r="36" spans="1:7" hidden="1">
      <c r="A36" s="2011"/>
      <c r="E36" s="2077"/>
      <c r="G36" s="1217"/>
    </row>
    <row r="37" spans="1:7" hidden="1">
      <c r="A37" s="2011"/>
      <c r="E37" s="2077"/>
      <c r="G37" s="1217"/>
    </row>
    <row r="38" spans="1:7" hidden="1">
      <c r="A38" s="2011"/>
      <c r="E38" s="2077"/>
      <c r="G38" s="1217"/>
    </row>
    <row r="39" spans="1:7" hidden="1">
      <c r="A39" s="2011"/>
      <c r="E39" s="2077"/>
      <c r="G39" s="1217"/>
    </row>
    <row r="40" spans="1:7" hidden="1">
      <c r="A40" s="2011"/>
      <c r="E40" s="2077"/>
      <c r="G40" s="1217"/>
    </row>
    <row r="41" spans="1:7" hidden="1">
      <c r="A41" s="2011"/>
      <c r="E41" s="2077"/>
      <c r="G41" s="1217"/>
    </row>
    <row r="42" spans="1:7" hidden="1">
      <c r="A42" s="2011"/>
      <c r="E42" s="2077"/>
      <c r="G42" s="1217"/>
    </row>
    <row r="43" spans="1:7" hidden="1">
      <c r="A43" s="2011"/>
      <c r="E43" s="2077"/>
      <c r="G43" s="1217"/>
    </row>
    <row r="44" spans="1:7" hidden="1">
      <c r="A44" s="2011"/>
      <c r="E44" s="2077"/>
      <c r="G44" s="1217"/>
    </row>
    <row r="45" spans="1:7" hidden="1">
      <c r="A45" s="2011"/>
      <c r="E45" s="2077"/>
      <c r="G45" s="1217"/>
    </row>
    <row r="46" spans="1:7" hidden="1">
      <c r="A46" s="2011"/>
      <c r="E46" s="2077"/>
      <c r="G46" s="1217"/>
    </row>
    <row r="47" spans="1:7" hidden="1">
      <c r="A47" s="2011"/>
      <c r="E47" s="2077"/>
      <c r="G47" s="1217"/>
    </row>
    <row r="48" spans="1:7" hidden="1">
      <c r="A48" s="2011"/>
      <c r="E48" s="2077"/>
      <c r="G48" s="1217"/>
    </row>
    <row r="49" spans="1:7" hidden="1">
      <c r="A49" s="2011"/>
      <c r="E49" s="2077"/>
      <c r="G49" s="1217"/>
    </row>
    <row r="50" spans="1:7" hidden="1">
      <c r="A50" s="2011"/>
      <c r="E50" s="2077"/>
      <c r="G50" s="1217"/>
    </row>
    <row r="51" spans="1:7" hidden="1">
      <c r="A51" s="2011"/>
      <c r="E51" s="2077"/>
      <c r="G51" s="1217"/>
    </row>
    <row r="52" spans="1:7" hidden="1">
      <c r="A52" s="2011"/>
      <c r="E52" s="2077"/>
      <c r="G52" s="1217"/>
    </row>
    <row r="53" spans="1:7" hidden="1">
      <c r="A53" s="2011"/>
      <c r="E53" s="2077"/>
      <c r="G53" s="1217"/>
    </row>
    <row r="54" spans="1:7" hidden="1">
      <c r="A54" s="2011"/>
      <c r="E54" s="2077"/>
      <c r="G54" s="1217"/>
    </row>
    <row r="55" spans="1:7" hidden="1">
      <c r="A55" s="2011"/>
      <c r="E55" s="2077"/>
      <c r="G55" s="1217"/>
    </row>
    <row r="56" spans="1:7" hidden="1">
      <c r="A56" s="2011"/>
      <c r="E56" s="874" t="s">
        <v>227</v>
      </c>
      <c r="G56" s="1217"/>
    </row>
    <row r="57" spans="1:7" hidden="1">
      <c r="A57" s="2011"/>
      <c r="E57" s="874" t="s">
        <v>309</v>
      </c>
      <c r="F57" s="2024" t="e">
        <f>323-#REF!-F58</f>
        <v>#REF!</v>
      </c>
      <c r="G57" s="1217"/>
    </row>
    <row r="58" spans="1:7" hidden="1">
      <c r="A58" s="2011"/>
      <c r="E58" s="874" t="s">
        <v>229</v>
      </c>
      <c r="G58" s="1217"/>
    </row>
    <row r="59" spans="1:7" hidden="1">
      <c r="A59" s="2011"/>
      <c r="E59" s="874" t="s">
        <v>624</v>
      </c>
      <c r="F59" s="874">
        <v>90</v>
      </c>
      <c r="G59" s="1217"/>
    </row>
    <row r="60" spans="1:7" hidden="1">
      <c r="A60" s="2011"/>
      <c r="G60" s="1217"/>
    </row>
    <row r="61" spans="1:7" hidden="1">
      <c r="A61" s="2011"/>
      <c r="G61" s="1217"/>
    </row>
    <row r="62" spans="1:7" hidden="1">
      <c r="A62" s="2011"/>
      <c r="G62" s="1217"/>
    </row>
    <row r="63" spans="1:7" hidden="1">
      <c r="A63" s="2011"/>
      <c r="G63" s="1217"/>
    </row>
    <row r="64" spans="1:7" hidden="1">
      <c r="A64" s="2011"/>
      <c r="G64" s="1217"/>
    </row>
    <row r="65" spans="1:7" hidden="1">
      <c r="A65" s="2011"/>
      <c r="G65" s="1217"/>
    </row>
    <row r="66" spans="1:7" hidden="1">
      <c r="A66" s="2011"/>
      <c r="G66" s="1217"/>
    </row>
    <row r="67" spans="1:7" hidden="1">
      <c r="A67" s="2011"/>
      <c r="G67" s="1217"/>
    </row>
    <row r="68" spans="1:7" hidden="1">
      <c r="A68" s="2011"/>
      <c r="G68" s="1217"/>
    </row>
    <row r="69" spans="1:7" hidden="1">
      <c r="A69" s="2011"/>
      <c r="G69" s="1217"/>
    </row>
    <row r="70" spans="1:7" hidden="1">
      <c r="A70" s="2011"/>
      <c r="G70" s="1217"/>
    </row>
    <row r="71" spans="1:7" hidden="1">
      <c r="A71" s="2011"/>
      <c r="G71" s="1217"/>
    </row>
    <row r="72" spans="1:7" hidden="1">
      <c r="A72" s="2011"/>
      <c r="G72" s="1217"/>
    </row>
    <row r="73" spans="1:7" hidden="1">
      <c r="A73" s="2011"/>
      <c r="G73" s="1217"/>
    </row>
    <row r="74" spans="1:7" hidden="1">
      <c r="A74" s="2011"/>
      <c r="G74" s="1217"/>
    </row>
    <row r="75" spans="1:7" hidden="1">
      <c r="A75" s="2011"/>
      <c r="G75" s="1217"/>
    </row>
    <row r="76" spans="1:7" hidden="1">
      <c r="A76" s="2011"/>
      <c r="G76" s="1217"/>
    </row>
    <row r="77" spans="1:7" hidden="1">
      <c r="A77" s="2011"/>
      <c r="G77" s="1217"/>
    </row>
    <row r="78" spans="1:7" hidden="1">
      <c r="A78" s="2011"/>
      <c r="G78" s="1217"/>
    </row>
    <row r="79" spans="1:7" hidden="1">
      <c r="A79" s="2011"/>
      <c r="G79" s="1217"/>
    </row>
    <row r="80" spans="1:7" hidden="1">
      <c r="A80" s="2011"/>
      <c r="G80" s="1217"/>
    </row>
    <row r="81" spans="1:7" hidden="1">
      <c r="A81" s="2011"/>
      <c r="G81" s="1217"/>
    </row>
    <row r="82" spans="1:7" hidden="1">
      <c r="A82" s="2011"/>
      <c r="G82" s="1217"/>
    </row>
    <row r="83" spans="1:7" hidden="1">
      <c r="A83" s="2011"/>
      <c r="G83" s="1217"/>
    </row>
    <row r="84" spans="1:7" hidden="1">
      <c r="A84" s="2011"/>
      <c r="G84" s="1217"/>
    </row>
    <row r="85" spans="1:7" hidden="1">
      <c r="A85" s="2011"/>
      <c r="G85" s="1217"/>
    </row>
    <row r="86" spans="1:7" hidden="1">
      <c r="A86" s="2011"/>
      <c r="G86" s="1217"/>
    </row>
    <row r="87" spans="1:7" hidden="1">
      <c r="A87" s="2011"/>
      <c r="G87" s="1217"/>
    </row>
    <row r="88" spans="1:7" hidden="1">
      <c r="A88" s="2011"/>
      <c r="G88" s="1217"/>
    </row>
    <row r="89" spans="1:7" hidden="1">
      <c r="A89" s="2011"/>
      <c r="G89" s="1217"/>
    </row>
    <row r="90" spans="1:7" hidden="1">
      <c r="A90" s="2011"/>
      <c r="G90" s="1217"/>
    </row>
    <row r="91" spans="1:7" hidden="1">
      <c r="A91" s="2011"/>
      <c r="G91" s="1217"/>
    </row>
    <row r="92" spans="1:7" hidden="1">
      <c r="A92" s="2011"/>
      <c r="G92" s="1217"/>
    </row>
    <row r="93" spans="1:7" hidden="1">
      <c r="A93" s="2011"/>
      <c r="G93" s="1217"/>
    </row>
    <row r="94" spans="1:7" hidden="1">
      <c r="A94" s="2011"/>
      <c r="G94" s="1217"/>
    </row>
    <row r="95" spans="1:7" hidden="1">
      <c r="A95" s="2011"/>
      <c r="G95" s="1217"/>
    </row>
    <row r="96" spans="1:7" hidden="1">
      <c r="A96" s="2011"/>
      <c r="G96" s="1217"/>
    </row>
    <row r="97" spans="1:7" hidden="1">
      <c r="A97" s="2011"/>
      <c r="G97" s="1217"/>
    </row>
    <row r="98" spans="1:7" hidden="1">
      <c r="A98" s="2011"/>
      <c r="G98" s="1217"/>
    </row>
    <row r="99" spans="1:7" hidden="1">
      <c r="A99" s="2011"/>
      <c r="G99" s="1217"/>
    </row>
    <row r="100" spans="1:7" hidden="1">
      <c r="A100" s="2011"/>
      <c r="G100" s="1217"/>
    </row>
    <row r="101" spans="1:7" hidden="1">
      <c r="A101" s="2011"/>
      <c r="G101" s="1217"/>
    </row>
    <row r="102" spans="1:7" hidden="1">
      <c r="A102" s="2011"/>
      <c r="G102" s="1217"/>
    </row>
    <row r="103" spans="1:7" hidden="1">
      <c r="A103" s="2011"/>
      <c r="G103" s="1217"/>
    </row>
    <row r="104" spans="1:7" hidden="1">
      <c r="A104" s="2011"/>
      <c r="G104" s="1217"/>
    </row>
    <row r="105" spans="1:7" hidden="1">
      <c r="A105" s="2011"/>
      <c r="G105" s="1217"/>
    </row>
    <row r="106" spans="1:7" hidden="1">
      <c r="A106" s="2011"/>
      <c r="G106" s="1217"/>
    </row>
    <row r="107" spans="1:7" hidden="1">
      <c r="A107" s="2011"/>
      <c r="G107" s="1217"/>
    </row>
    <row r="108" spans="1:7" hidden="1">
      <c r="A108" s="2011"/>
      <c r="G108" s="1217"/>
    </row>
    <row r="109" spans="1:7" hidden="1">
      <c r="A109" s="2011"/>
      <c r="G109" s="1217"/>
    </row>
    <row r="110" spans="1:7" hidden="1">
      <c r="A110" s="2011"/>
      <c r="G110" s="1217"/>
    </row>
    <row r="111" spans="1:7" hidden="1">
      <c r="A111" s="2011"/>
      <c r="G111" s="1217"/>
    </row>
    <row r="112" spans="1:7" hidden="1">
      <c r="A112" s="2011"/>
      <c r="G112" s="1217"/>
    </row>
    <row r="113" spans="1:7" hidden="1">
      <c r="A113" s="2011"/>
      <c r="G113" s="1217"/>
    </row>
    <row r="114" spans="1:7" hidden="1">
      <c r="A114" s="2011"/>
      <c r="G114" s="1217"/>
    </row>
    <row r="115" spans="1:7" hidden="1">
      <c r="A115" s="2011"/>
      <c r="G115" s="1217"/>
    </row>
    <row r="116" spans="1:7" hidden="1">
      <c r="A116" s="2011"/>
      <c r="G116" s="1217"/>
    </row>
    <row r="117" spans="1:7" hidden="1">
      <c r="A117" s="2011"/>
      <c r="G117" s="1217"/>
    </row>
    <row r="118" spans="1:7" hidden="1">
      <c r="A118" s="2011"/>
      <c r="G118" s="1217"/>
    </row>
    <row r="119" spans="1:7" hidden="1">
      <c r="A119" s="2011"/>
      <c r="G119" s="1217"/>
    </row>
    <row r="120" spans="1:7" hidden="1">
      <c r="A120" s="2011"/>
      <c r="G120" s="1217"/>
    </row>
    <row r="121" spans="1:7" hidden="1">
      <c r="A121" s="2011"/>
      <c r="G121" s="1217"/>
    </row>
    <row r="122" spans="1:7" hidden="1">
      <c r="A122" s="2011"/>
      <c r="G122" s="1217"/>
    </row>
    <row r="123" spans="1:7" hidden="1">
      <c r="A123" s="2011"/>
      <c r="G123" s="1217"/>
    </row>
    <row r="124" spans="1:7" hidden="1">
      <c r="A124" s="2011"/>
      <c r="G124" s="1217"/>
    </row>
    <row r="125" spans="1:7" hidden="1">
      <c r="A125" s="2011"/>
      <c r="G125" s="1217"/>
    </row>
    <row r="126" spans="1:7" hidden="1">
      <c r="A126" s="2011"/>
      <c r="G126" s="1217"/>
    </row>
    <row r="127" spans="1:7" hidden="1">
      <c r="A127" s="2011"/>
      <c r="G127" s="1217"/>
    </row>
    <row r="128" spans="1:7" hidden="1">
      <c r="A128" s="2011"/>
      <c r="G128" s="1217"/>
    </row>
    <row r="129" spans="1:7" hidden="1">
      <c r="A129" s="2011"/>
      <c r="G129" s="1217"/>
    </row>
    <row r="130" spans="1:7" hidden="1">
      <c r="A130" s="2011"/>
      <c r="G130" s="1217"/>
    </row>
    <row r="131" spans="1:7" hidden="1">
      <c r="A131" s="2011"/>
      <c r="G131" s="1217"/>
    </row>
    <row r="132" spans="1:7" hidden="1">
      <c r="A132" s="2011"/>
      <c r="G132" s="1217"/>
    </row>
    <row r="133" spans="1:7" hidden="1">
      <c r="A133" s="2011"/>
      <c r="G133" s="1217"/>
    </row>
    <row r="134" spans="1:7" hidden="1">
      <c r="A134" s="2011"/>
      <c r="G134" s="1217"/>
    </row>
    <row r="135" spans="1:7" hidden="1">
      <c r="A135" s="2011"/>
      <c r="G135" s="1217"/>
    </row>
    <row r="136" spans="1:7" hidden="1">
      <c r="A136" s="2011"/>
      <c r="G136" s="1217"/>
    </row>
    <row r="137" spans="1:7" hidden="1">
      <c r="A137" s="2011"/>
      <c r="G137" s="1217"/>
    </row>
    <row r="138" spans="1:7" hidden="1">
      <c r="A138" s="2011"/>
      <c r="G138" s="1217"/>
    </row>
    <row r="139" spans="1:7" hidden="1">
      <c r="A139" s="2011"/>
      <c r="G139" s="1217"/>
    </row>
    <row r="140" spans="1:7" hidden="1">
      <c r="A140" s="2011"/>
      <c r="G140" s="1217"/>
    </row>
    <row r="141" spans="1:7" hidden="1">
      <c r="A141" s="2011"/>
      <c r="G141" s="1217"/>
    </row>
    <row r="142" spans="1:7" hidden="1">
      <c r="A142" s="2011"/>
      <c r="G142" s="1217"/>
    </row>
    <row r="143" spans="1:7" hidden="1">
      <c r="A143" s="2011"/>
      <c r="G143" s="1217"/>
    </row>
    <row r="144" spans="1:7" hidden="1">
      <c r="A144" s="2011"/>
      <c r="G144" s="1217"/>
    </row>
    <row r="145" spans="1:8" hidden="1">
      <c r="A145" s="2011"/>
      <c r="G145" s="1217"/>
    </row>
    <row r="146" spans="1:8" hidden="1">
      <c r="A146" s="2011"/>
      <c r="G146" s="1217"/>
    </row>
    <row r="147" spans="1:8">
      <c r="A147" s="2011"/>
      <c r="G147" s="1217"/>
      <c r="H147" s="2024"/>
    </row>
    <row r="148" spans="1:8">
      <c r="A148" s="2067"/>
    </row>
    <row r="149" spans="1:8">
      <c r="A149" s="2011"/>
    </row>
    <row r="150" spans="1:8">
      <c r="A150" s="2011"/>
    </row>
    <row r="151" spans="1:8">
      <c r="A151" s="2011"/>
    </row>
    <row r="152" spans="1:8">
      <c r="A152" s="2011"/>
    </row>
    <row r="153" spans="1:8">
      <c r="A153" s="2011"/>
    </row>
    <row r="154" spans="1:8">
      <c r="A154" s="2011"/>
    </row>
    <row r="155" spans="1:8">
      <c r="A155" s="2011"/>
    </row>
    <row r="156" spans="1:8">
      <c r="A156" s="2011"/>
    </row>
  </sheetData>
  <pageMargins left="0.7" right="0.7" top="0.75" bottom="0.75" header="0.3" footer="0.3"/>
  <pageSetup paperSize="9" fitToHeight="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3801-8BE9-4937-B5D0-5160039AA6D7}">
  <sheetPr>
    <tabColor theme="7"/>
    <pageSetUpPr fitToPage="1"/>
  </sheetPr>
  <dimension ref="A1:O611"/>
  <sheetViews>
    <sheetView view="pageBreakPreview" topLeftCell="A283" zoomScaleNormal="100" zoomScaleSheetLayoutView="100" workbookViewId="0">
      <selection activeCell="B295" sqref="B295"/>
    </sheetView>
  </sheetViews>
  <sheetFormatPr defaultColWidth="9.140625" defaultRowHeight="13.9"/>
  <cols>
    <col min="1" max="2" width="9.140625" style="874"/>
    <col min="3" max="3" width="14.7109375" style="874" bestFit="1" customWidth="1"/>
    <col min="4" max="4" width="9.140625" style="874"/>
    <col min="5" max="5" width="19.28515625" style="874" bestFit="1" customWidth="1"/>
    <col min="6" max="6" width="17" style="874" bestFit="1" customWidth="1"/>
    <col min="7" max="8" width="9.140625" style="874"/>
    <col min="9" max="9" width="11" style="874" bestFit="1" customWidth="1"/>
    <col min="10" max="10" width="12.28515625" style="874" bestFit="1" customWidth="1"/>
    <col min="11" max="11" width="10.7109375" style="874" bestFit="1" customWidth="1"/>
    <col min="12" max="15" width="13.28515625" style="874" bestFit="1" customWidth="1"/>
    <col min="16" max="16384" width="9.140625" style="874"/>
  </cols>
  <sheetData>
    <row r="1" spans="1:14">
      <c r="A1" s="2006" t="s">
        <v>82</v>
      </c>
      <c r="B1" s="2006"/>
      <c r="C1" s="2006"/>
      <c r="D1" s="2007"/>
      <c r="E1" s="2007"/>
      <c r="F1" s="2007"/>
      <c r="G1" s="2008"/>
    </row>
    <row r="2" spans="1:14">
      <c r="A2" s="2007"/>
      <c r="B2" s="2007"/>
      <c r="C2" s="2007"/>
      <c r="D2" s="2007"/>
      <c r="E2" s="2007"/>
      <c r="F2" s="2007"/>
      <c r="G2" s="2008"/>
    </row>
    <row r="3" spans="1:14">
      <c r="A3" s="2006" t="s">
        <v>450</v>
      </c>
      <c r="B3" s="2006"/>
      <c r="C3" s="2006"/>
      <c r="D3" s="2007"/>
      <c r="E3" s="2007"/>
      <c r="F3" s="2009">
        <f>+'Summary Total Pigs'!C3</f>
        <v>46226</v>
      </c>
      <c r="G3" s="2008"/>
    </row>
    <row r="4" spans="1:14">
      <c r="A4" s="2007"/>
      <c r="B4" s="2007"/>
      <c r="C4" s="2007"/>
      <c r="D4" s="2007"/>
      <c r="E4" s="2007"/>
      <c r="F4" s="2007"/>
      <c r="G4" s="2008"/>
      <c r="I4" s="874" t="s">
        <v>55</v>
      </c>
      <c r="L4" s="874" t="s">
        <v>79</v>
      </c>
    </row>
    <row r="5" spans="1:14">
      <c r="A5" s="2010"/>
      <c r="B5" s="2010"/>
      <c r="C5" s="2010" t="s">
        <v>451</v>
      </c>
      <c r="D5" s="2010" t="s">
        <v>452</v>
      </c>
      <c r="E5" s="2010" t="s">
        <v>453</v>
      </c>
      <c r="F5" s="2010" t="s">
        <v>330</v>
      </c>
      <c r="G5" s="2008"/>
      <c r="J5" s="877"/>
      <c r="K5" s="878"/>
      <c r="L5" s="877"/>
      <c r="M5" s="873"/>
      <c r="N5" s="877"/>
    </row>
    <row r="6" spans="1:14">
      <c r="A6" s="2011">
        <v>1</v>
      </c>
      <c r="B6" s="2069">
        <v>1</v>
      </c>
      <c r="C6" s="2073" t="s">
        <v>1209</v>
      </c>
      <c r="D6" s="1217"/>
      <c r="E6" s="2019">
        <v>44013</v>
      </c>
      <c r="F6" s="1217" t="s">
        <v>192</v>
      </c>
      <c r="G6" s="2014"/>
      <c r="I6" s="1948">
        <v>44013</v>
      </c>
      <c r="J6" s="2024" t="e">
        <f>SUM(#REF!)</f>
        <v>#REF!</v>
      </c>
      <c r="L6" s="1948">
        <v>44643</v>
      </c>
      <c r="M6" s="874">
        <v>1</v>
      </c>
    </row>
    <row r="7" spans="1:14">
      <c r="A7" s="2011">
        <f>A6+1</f>
        <v>2</v>
      </c>
      <c r="B7" s="2012">
        <v>1</v>
      </c>
      <c r="C7" s="2071" t="s">
        <v>1289</v>
      </c>
      <c r="D7" s="1947"/>
      <c r="E7" s="1948">
        <v>44470</v>
      </c>
      <c r="F7" s="1217" t="s">
        <v>192</v>
      </c>
      <c r="G7" s="2014"/>
      <c r="I7" s="1948">
        <v>44326</v>
      </c>
      <c r="J7" s="2024" t="e">
        <f>SUM(#REF!)</f>
        <v>#REF!</v>
      </c>
    </row>
    <row r="8" spans="1:14">
      <c r="A8" s="2011">
        <f t="shared" ref="A8:A71" si="0">A7+1</f>
        <v>3</v>
      </c>
      <c r="B8" s="2012">
        <f t="shared" ref="B8" si="1">B7+1</f>
        <v>2</v>
      </c>
      <c r="C8" s="2071" t="s">
        <v>1290</v>
      </c>
      <c r="D8" s="1947"/>
      <c r="E8" s="1948">
        <v>44470</v>
      </c>
      <c r="F8" s="1217" t="s">
        <v>192</v>
      </c>
      <c r="G8" s="2102"/>
      <c r="I8" s="1948">
        <v>44470</v>
      </c>
      <c r="J8" s="2024" t="e">
        <f>#REF!</f>
        <v>#REF!</v>
      </c>
    </row>
    <row r="9" spans="1:14">
      <c r="A9" s="2011">
        <f t="shared" si="0"/>
        <v>4</v>
      </c>
      <c r="B9" s="1217">
        <v>1</v>
      </c>
      <c r="C9" s="2073" t="s">
        <v>1291</v>
      </c>
      <c r="D9" s="1217"/>
      <c r="E9" s="2019">
        <v>44643</v>
      </c>
      <c r="F9" s="1217" t="s">
        <v>192</v>
      </c>
      <c r="G9" s="2014"/>
      <c r="I9" s="1948"/>
      <c r="J9" s="2024"/>
    </row>
    <row r="10" spans="1:14">
      <c r="A10" s="2011">
        <f t="shared" si="0"/>
        <v>5</v>
      </c>
      <c r="B10" s="1217">
        <f t="shared" ref="B10" si="2">B9+1</f>
        <v>2</v>
      </c>
      <c r="C10" s="2071" t="s">
        <v>1292</v>
      </c>
      <c r="D10" s="1947"/>
      <c r="E10" s="1948">
        <v>44643</v>
      </c>
      <c r="F10" s="1217" t="s">
        <v>192</v>
      </c>
      <c r="G10" s="2014"/>
      <c r="I10" s="1948"/>
      <c r="J10" s="2024"/>
    </row>
    <row r="11" spans="1:14">
      <c r="A11" s="2011">
        <f t="shared" si="0"/>
        <v>6</v>
      </c>
      <c r="B11" s="2069">
        <v>1</v>
      </c>
      <c r="C11" s="2071" t="s">
        <v>1293</v>
      </c>
      <c r="D11" s="1947"/>
      <c r="E11" s="1948">
        <v>44768</v>
      </c>
      <c r="F11" s="1217" t="s">
        <v>192</v>
      </c>
      <c r="G11" s="2014"/>
      <c r="I11" s="1948">
        <v>44768</v>
      </c>
      <c r="J11" s="2024" t="e">
        <f>#REF!</f>
        <v>#REF!</v>
      </c>
    </row>
    <row r="12" spans="1:14">
      <c r="A12" s="2011">
        <f t="shared" si="0"/>
        <v>7</v>
      </c>
      <c r="B12" s="2069">
        <f t="shared" ref="B12:B13" si="3">B11+1</f>
        <v>2</v>
      </c>
      <c r="C12" s="2071" t="s">
        <v>1294</v>
      </c>
      <c r="D12" s="1947"/>
      <c r="E12" s="1948">
        <v>44768</v>
      </c>
      <c r="F12" s="1217" t="s">
        <v>192</v>
      </c>
      <c r="G12" s="2014"/>
      <c r="I12" s="1948">
        <v>44887</v>
      </c>
      <c r="J12" s="2024" t="e">
        <f>#REF!</f>
        <v>#REF!</v>
      </c>
    </row>
    <row r="13" spans="1:14">
      <c r="A13" s="2011">
        <f t="shared" si="0"/>
        <v>8</v>
      </c>
      <c r="B13" s="2069">
        <f t="shared" si="3"/>
        <v>3</v>
      </c>
      <c r="C13" s="2071" t="s">
        <v>1295</v>
      </c>
      <c r="D13" s="1947"/>
      <c r="E13" s="1948">
        <v>44768</v>
      </c>
      <c r="F13" s="1217" t="s">
        <v>192</v>
      </c>
      <c r="G13" s="2014"/>
      <c r="I13" s="1948">
        <v>45017</v>
      </c>
      <c r="J13" s="2024" t="e">
        <f>#REF!</f>
        <v>#REF!</v>
      </c>
    </row>
    <row r="14" spans="1:14">
      <c r="A14" s="2011">
        <f t="shared" si="0"/>
        <v>9</v>
      </c>
      <c r="B14" s="1217">
        <v>1</v>
      </c>
      <c r="C14" s="2073" t="s">
        <v>1296</v>
      </c>
      <c r="D14" s="1217"/>
      <c r="E14" s="2019">
        <v>44887</v>
      </c>
      <c r="F14" s="1217" t="s">
        <v>192</v>
      </c>
      <c r="G14" s="2014"/>
      <c r="I14" s="1948">
        <v>45170</v>
      </c>
      <c r="J14" s="2024" t="e">
        <f>#REF!</f>
        <v>#REF!</v>
      </c>
    </row>
    <row r="15" spans="1:14">
      <c r="A15" s="2011">
        <f t="shared" si="0"/>
        <v>10</v>
      </c>
      <c r="B15" s="1217">
        <f t="shared" ref="B15:B24" si="4">B14+1</f>
        <v>2</v>
      </c>
      <c r="C15" s="2072" t="s">
        <v>1297</v>
      </c>
      <c r="D15" s="1947"/>
      <c r="E15" s="1948">
        <v>44887</v>
      </c>
      <c r="F15" s="1217" t="s">
        <v>192</v>
      </c>
      <c r="G15" s="2014"/>
      <c r="I15" s="1948">
        <v>45328</v>
      </c>
      <c r="J15" s="2024" t="e">
        <f>#REF!</f>
        <v>#REF!</v>
      </c>
    </row>
    <row r="16" spans="1:14">
      <c r="A16" s="2011">
        <f t="shared" si="0"/>
        <v>11</v>
      </c>
      <c r="B16" s="2021">
        <f t="shared" si="4"/>
        <v>3</v>
      </c>
      <c r="C16" s="2078" t="s">
        <v>1298</v>
      </c>
      <c r="D16" s="2079"/>
      <c r="E16" s="2080">
        <v>44887</v>
      </c>
      <c r="F16" s="1217" t="s">
        <v>192</v>
      </c>
      <c r="G16" s="2014"/>
      <c r="I16" s="1948">
        <v>45474</v>
      </c>
      <c r="J16" s="2024" t="e">
        <f>#REF!</f>
        <v>#REF!</v>
      </c>
    </row>
    <row r="17" spans="1:15">
      <c r="A17" s="2011">
        <f t="shared" si="0"/>
        <v>12</v>
      </c>
      <c r="B17" s="1217">
        <f t="shared" si="4"/>
        <v>4</v>
      </c>
      <c r="C17" s="2072" t="s">
        <v>1299</v>
      </c>
      <c r="D17" s="1947"/>
      <c r="E17" s="1948">
        <v>44887</v>
      </c>
      <c r="F17" s="1217" t="s">
        <v>192</v>
      </c>
      <c r="G17" s="2014"/>
      <c r="I17" s="1948">
        <v>45627</v>
      </c>
      <c r="J17" s="874">
        <f>B19</f>
        <v>6</v>
      </c>
    </row>
    <row r="18" spans="1:15">
      <c r="A18" s="2011">
        <f t="shared" si="0"/>
        <v>13</v>
      </c>
      <c r="B18" s="1217">
        <f t="shared" si="4"/>
        <v>5</v>
      </c>
      <c r="C18" s="2073" t="s">
        <v>1300</v>
      </c>
      <c r="D18" s="1217"/>
      <c r="E18" s="2019">
        <v>44887</v>
      </c>
      <c r="F18" s="1217" t="s">
        <v>192</v>
      </c>
      <c r="G18" s="2014"/>
      <c r="I18" s="1948">
        <v>45748</v>
      </c>
      <c r="J18" s="874">
        <f>B32</f>
        <v>8</v>
      </c>
      <c r="L18" s="874" t="s">
        <v>1209</v>
      </c>
      <c r="N18" s="874">
        <v>44326</v>
      </c>
      <c r="O18" s="874" t="s">
        <v>192</v>
      </c>
    </row>
    <row r="19" spans="1:15" ht="15" customHeight="1">
      <c r="A19" s="2011">
        <f t="shared" si="0"/>
        <v>14</v>
      </c>
      <c r="B19" s="1217">
        <f t="shared" si="4"/>
        <v>6</v>
      </c>
      <c r="C19" s="2072" t="s">
        <v>1301</v>
      </c>
      <c r="D19" s="1947"/>
      <c r="E19" s="1948">
        <v>44887</v>
      </c>
      <c r="F19" s="1217" t="s">
        <v>192</v>
      </c>
      <c r="G19" s="2014"/>
      <c r="L19" s="874" t="s">
        <v>1211</v>
      </c>
      <c r="N19" s="874">
        <v>44326</v>
      </c>
      <c r="O19" s="874" t="s">
        <v>192</v>
      </c>
    </row>
    <row r="20" spans="1:15" ht="15" customHeight="1">
      <c r="A20" s="2011">
        <f t="shared" si="0"/>
        <v>15</v>
      </c>
      <c r="B20" s="1217">
        <f t="shared" si="4"/>
        <v>7</v>
      </c>
      <c r="C20" s="2072" t="s">
        <v>1302</v>
      </c>
      <c r="D20" s="1947"/>
      <c r="E20" s="1948">
        <v>44887</v>
      </c>
      <c r="F20" s="1217" t="s">
        <v>192</v>
      </c>
      <c r="G20" s="2014"/>
      <c r="J20" s="2024" t="e">
        <f>SUM(J6:J18)</f>
        <v>#REF!</v>
      </c>
    </row>
    <row r="21" spans="1:15" ht="15" customHeight="1">
      <c r="A21" s="2011">
        <f t="shared" si="0"/>
        <v>16</v>
      </c>
      <c r="B21" s="1217">
        <f t="shared" si="4"/>
        <v>8</v>
      </c>
      <c r="C21" s="2072" t="s">
        <v>1303</v>
      </c>
      <c r="D21" s="1947"/>
      <c r="E21" s="1948">
        <v>44887</v>
      </c>
      <c r="F21" s="1217" t="s">
        <v>192</v>
      </c>
      <c r="G21" s="2014"/>
    </row>
    <row r="22" spans="1:15" ht="15" customHeight="1">
      <c r="A22" s="2011">
        <f t="shared" si="0"/>
        <v>17</v>
      </c>
      <c r="B22" s="1217">
        <f t="shared" si="4"/>
        <v>9</v>
      </c>
      <c r="C22" s="2072" t="s">
        <v>1304</v>
      </c>
      <c r="D22" s="1947"/>
      <c r="E22" s="1948">
        <v>44887</v>
      </c>
      <c r="F22" s="1217" t="s">
        <v>192</v>
      </c>
      <c r="G22" s="2014"/>
      <c r="J22" s="2024" t="e">
        <f>SUM(J20,M6)</f>
        <v>#REF!</v>
      </c>
    </row>
    <row r="23" spans="1:15" ht="15" customHeight="1">
      <c r="A23" s="2011">
        <f t="shared" si="0"/>
        <v>18</v>
      </c>
      <c r="B23" s="1217">
        <f t="shared" si="4"/>
        <v>10</v>
      </c>
      <c r="C23" s="2073" t="s">
        <v>1305</v>
      </c>
      <c r="D23" s="1217"/>
      <c r="E23" s="2019">
        <v>44887</v>
      </c>
      <c r="F23" s="1217" t="s">
        <v>192</v>
      </c>
      <c r="G23" s="2014"/>
    </row>
    <row r="24" spans="1:15" ht="15" customHeight="1">
      <c r="A24" s="2011">
        <f t="shared" si="0"/>
        <v>19</v>
      </c>
      <c r="B24" s="1217">
        <f t="shared" si="4"/>
        <v>11</v>
      </c>
      <c r="C24" s="2072" t="s">
        <v>1306</v>
      </c>
      <c r="D24" s="1947"/>
      <c r="E24" s="1948">
        <v>44887</v>
      </c>
      <c r="F24" s="1217" t="s">
        <v>192</v>
      </c>
      <c r="G24" s="2014"/>
    </row>
    <row r="25" spans="1:15" ht="15" customHeight="1">
      <c r="A25" s="2011">
        <f t="shared" si="0"/>
        <v>20</v>
      </c>
      <c r="B25" s="2012">
        <v>1</v>
      </c>
      <c r="C25" s="2013" t="s">
        <v>1307</v>
      </c>
      <c r="D25" s="1947"/>
      <c r="E25" s="1948">
        <v>45017</v>
      </c>
      <c r="F25" s="1217" t="s">
        <v>192</v>
      </c>
      <c r="G25" s="2014"/>
    </row>
    <row r="26" spans="1:15" ht="15" customHeight="1">
      <c r="A26" s="2011">
        <f t="shared" si="0"/>
        <v>21</v>
      </c>
      <c r="B26" s="2012">
        <f>+B25+1</f>
        <v>2</v>
      </c>
      <c r="C26" s="2013" t="s">
        <v>1308</v>
      </c>
      <c r="D26" s="1947"/>
      <c r="E26" s="1948">
        <v>45017</v>
      </c>
      <c r="F26" s="1217" t="s">
        <v>192</v>
      </c>
      <c r="G26" s="2014"/>
    </row>
    <row r="27" spans="1:15" ht="15" customHeight="1">
      <c r="A27" s="2011">
        <f t="shared" si="0"/>
        <v>22</v>
      </c>
      <c r="B27" s="2012">
        <f t="shared" ref="B27:B36" si="5">+B26+1</f>
        <v>3</v>
      </c>
      <c r="C27" s="2073" t="s">
        <v>1309</v>
      </c>
      <c r="D27" s="1217"/>
      <c r="E27" s="2019">
        <v>45017</v>
      </c>
      <c r="F27" s="1217" t="s">
        <v>192</v>
      </c>
      <c r="G27" s="2014"/>
    </row>
    <row r="28" spans="1:15" ht="15" customHeight="1">
      <c r="A28" s="2011">
        <f t="shared" si="0"/>
        <v>23</v>
      </c>
      <c r="B28" s="2012">
        <f>+B27+1</f>
        <v>4</v>
      </c>
      <c r="C28" s="2073" t="s">
        <v>1310</v>
      </c>
      <c r="D28" s="1217"/>
      <c r="E28" s="2019">
        <v>45017</v>
      </c>
      <c r="F28" s="1217" t="s">
        <v>192</v>
      </c>
      <c r="G28" s="2014"/>
    </row>
    <row r="29" spans="1:15" ht="15" customHeight="1">
      <c r="A29" s="2011">
        <f t="shared" si="0"/>
        <v>24</v>
      </c>
      <c r="B29" s="2012">
        <f>+B28+1</f>
        <v>5</v>
      </c>
      <c r="C29" s="2013" t="s">
        <v>1311</v>
      </c>
      <c r="D29" s="1947"/>
      <c r="E29" s="1948">
        <v>45017</v>
      </c>
      <c r="F29" s="1217" t="s">
        <v>192</v>
      </c>
      <c r="G29" s="2014"/>
    </row>
    <row r="30" spans="1:15" ht="15" customHeight="1">
      <c r="A30" s="2011">
        <f t="shared" si="0"/>
        <v>25</v>
      </c>
      <c r="B30" s="2012">
        <f t="shared" si="5"/>
        <v>6</v>
      </c>
      <c r="C30" s="2073" t="s">
        <v>1312</v>
      </c>
      <c r="D30" s="1217"/>
      <c r="E30" s="2019">
        <v>45017</v>
      </c>
      <c r="F30" s="1217" t="s">
        <v>192</v>
      </c>
      <c r="G30" s="2014"/>
    </row>
    <row r="31" spans="1:15" ht="13.5" customHeight="1">
      <c r="A31" s="2011">
        <f t="shared" si="0"/>
        <v>26</v>
      </c>
      <c r="B31" s="2012">
        <f t="shared" si="5"/>
        <v>7</v>
      </c>
      <c r="C31" s="2013" t="s">
        <v>1313</v>
      </c>
      <c r="D31" s="1947"/>
      <c r="E31" s="1948">
        <v>45017</v>
      </c>
      <c r="F31" s="1217" t="s">
        <v>192</v>
      </c>
      <c r="G31" s="2014"/>
    </row>
    <row r="32" spans="1:15" ht="13.5" customHeight="1">
      <c r="A32" s="2011">
        <f t="shared" si="0"/>
        <v>27</v>
      </c>
      <c r="B32" s="2012">
        <f t="shared" si="5"/>
        <v>8</v>
      </c>
      <c r="C32" s="2013" t="s">
        <v>1314</v>
      </c>
      <c r="D32" s="1947"/>
      <c r="E32" s="1948">
        <v>45017</v>
      </c>
      <c r="F32" s="1217" t="s">
        <v>192</v>
      </c>
      <c r="G32" s="2014"/>
    </row>
    <row r="33" spans="1:9" ht="13.5" customHeight="1">
      <c r="A33" s="2011">
        <f t="shared" si="0"/>
        <v>28</v>
      </c>
      <c r="B33" s="2012">
        <f t="shared" si="5"/>
        <v>9</v>
      </c>
      <c r="C33" s="2013" t="s">
        <v>1315</v>
      </c>
      <c r="D33" s="1947"/>
      <c r="E33" s="1948">
        <v>45017</v>
      </c>
      <c r="F33" s="1217" t="s">
        <v>192</v>
      </c>
      <c r="G33" s="2014"/>
    </row>
    <row r="34" spans="1:9" ht="13.5" customHeight="1">
      <c r="A34" s="2011">
        <f t="shared" si="0"/>
        <v>29</v>
      </c>
      <c r="B34" s="2012">
        <f t="shared" si="5"/>
        <v>10</v>
      </c>
      <c r="C34" s="2013" t="s">
        <v>1316</v>
      </c>
      <c r="D34" s="1947"/>
      <c r="E34" s="1948">
        <v>45017</v>
      </c>
      <c r="F34" s="1217" t="s">
        <v>192</v>
      </c>
      <c r="G34" s="2014"/>
    </row>
    <row r="35" spans="1:9" ht="13.5" customHeight="1">
      <c r="A35" s="2011">
        <f t="shared" si="0"/>
        <v>30</v>
      </c>
      <c r="B35" s="2012">
        <f>+B34+1</f>
        <v>11</v>
      </c>
      <c r="C35" s="2013" t="s">
        <v>1317</v>
      </c>
      <c r="D35" s="1947"/>
      <c r="E35" s="1948">
        <v>45017</v>
      </c>
      <c r="F35" s="1217" t="s">
        <v>192</v>
      </c>
      <c r="G35" s="2014"/>
    </row>
    <row r="36" spans="1:9" ht="13.5" customHeight="1">
      <c r="A36" s="2011">
        <f t="shared" si="0"/>
        <v>31</v>
      </c>
      <c r="B36" s="2012">
        <f t="shared" si="5"/>
        <v>12</v>
      </c>
      <c r="C36" s="2073" t="s">
        <v>1318</v>
      </c>
      <c r="D36" s="1217"/>
      <c r="E36" s="2019">
        <v>45017</v>
      </c>
      <c r="F36" s="1217" t="s">
        <v>192</v>
      </c>
      <c r="G36" s="2014"/>
    </row>
    <row r="37" spans="1:9" ht="13.5" customHeight="1">
      <c r="A37" s="2011">
        <f t="shared" si="0"/>
        <v>32</v>
      </c>
      <c r="B37" s="1217">
        <v>1</v>
      </c>
      <c r="C37" s="2013" t="s">
        <v>1319</v>
      </c>
      <c r="D37" s="1947"/>
      <c r="E37" s="1948">
        <v>45170</v>
      </c>
      <c r="F37" s="1217" t="s">
        <v>192</v>
      </c>
      <c r="G37" s="2014"/>
    </row>
    <row r="38" spans="1:9" ht="13.5" customHeight="1">
      <c r="A38" s="2011">
        <f t="shared" si="0"/>
        <v>33</v>
      </c>
      <c r="B38" s="1217">
        <f>B37+1</f>
        <v>2</v>
      </c>
      <c r="C38" s="2073" t="s">
        <v>1320</v>
      </c>
      <c r="D38" s="1217"/>
      <c r="E38" s="2019">
        <v>45170</v>
      </c>
      <c r="F38" s="1217" t="s">
        <v>192</v>
      </c>
      <c r="G38" s="2014"/>
    </row>
    <row r="39" spans="1:9" ht="13.5" customHeight="1">
      <c r="A39" s="2011">
        <f t="shared" si="0"/>
        <v>34</v>
      </c>
      <c r="B39" s="1217">
        <f t="shared" ref="B39:B53" si="6">B38+1</f>
        <v>3</v>
      </c>
      <c r="C39" s="2013" t="s">
        <v>1321</v>
      </c>
      <c r="D39" s="1947"/>
      <c r="E39" s="1948">
        <v>45170</v>
      </c>
      <c r="F39" s="1217" t="s">
        <v>192</v>
      </c>
      <c r="G39" s="2014"/>
    </row>
    <row r="40" spans="1:9" ht="13.5" customHeight="1">
      <c r="A40" s="2011">
        <f t="shared" si="0"/>
        <v>35</v>
      </c>
      <c r="B40" s="1217">
        <f t="shared" si="6"/>
        <v>4</v>
      </c>
      <c r="C40" s="2073" t="s">
        <v>1322</v>
      </c>
      <c r="D40" s="1217"/>
      <c r="E40" s="2019">
        <v>45170</v>
      </c>
      <c r="F40" s="1217" t="s">
        <v>192</v>
      </c>
      <c r="G40" s="2014"/>
    </row>
    <row r="41" spans="1:9" ht="13.5" customHeight="1">
      <c r="A41" s="2011">
        <f t="shared" si="0"/>
        <v>36</v>
      </c>
      <c r="B41" s="1217">
        <f t="shared" si="6"/>
        <v>5</v>
      </c>
      <c r="C41" s="2013" t="s">
        <v>1323</v>
      </c>
      <c r="D41" s="1947"/>
      <c r="E41" s="1948">
        <v>45170</v>
      </c>
      <c r="F41" s="1217" t="s">
        <v>192</v>
      </c>
      <c r="G41" s="2014"/>
    </row>
    <row r="42" spans="1:9" ht="13.5" customHeight="1">
      <c r="A42" s="2011">
        <f t="shared" si="0"/>
        <v>37</v>
      </c>
      <c r="B42" s="1217">
        <f t="shared" si="6"/>
        <v>6</v>
      </c>
      <c r="C42" s="2013" t="s">
        <v>1324</v>
      </c>
      <c r="D42" s="1947"/>
      <c r="E42" s="1948">
        <v>45170</v>
      </c>
      <c r="F42" s="1217" t="s">
        <v>192</v>
      </c>
      <c r="G42" s="2014"/>
    </row>
    <row r="43" spans="1:9" ht="13.5" customHeight="1">
      <c r="A43" s="2011">
        <f t="shared" si="0"/>
        <v>38</v>
      </c>
      <c r="B43" s="1217">
        <f t="shared" si="6"/>
        <v>7</v>
      </c>
      <c r="C43" s="2073" t="s">
        <v>1325</v>
      </c>
      <c r="D43" s="1217"/>
      <c r="E43" s="2019">
        <v>45170</v>
      </c>
      <c r="F43" s="1217" t="s">
        <v>192</v>
      </c>
      <c r="G43" s="2014"/>
    </row>
    <row r="44" spans="1:9" ht="13.5" customHeight="1">
      <c r="A44" s="2011">
        <f t="shared" si="0"/>
        <v>39</v>
      </c>
      <c r="B44" s="1217">
        <f t="shared" si="6"/>
        <v>8</v>
      </c>
      <c r="C44" s="2073" t="s">
        <v>1326</v>
      </c>
      <c r="D44" s="1217"/>
      <c r="E44" s="2019">
        <v>45170</v>
      </c>
      <c r="F44" s="1217" t="s">
        <v>192</v>
      </c>
      <c r="G44" s="2014"/>
      <c r="I44" s="874">
        <v>718064695</v>
      </c>
    </row>
    <row r="45" spans="1:9" ht="13.5" customHeight="1">
      <c r="A45" s="2011">
        <f t="shared" si="0"/>
        <v>40</v>
      </c>
      <c r="B45" s="1217">
        <f>B44+1</f>
        <v>9</v>
      </c>
      <c r="C45" s="2013" t="s">
        <v>1327</v>
      </c>
      <c r="D45" s="1947"/>
      <c r="E45" s="1948">
        <v>45170</v>
      </c>
      <c r="F45" s="1217" t="s">
        <v>192</v>
      </c>
      <c r="G45" s="2014"/>
    </row>
    <row r="46" spans="1:9" ht="13.5" customHeight="1">
      <c r="A46" s="2011">
        <f t="shared" si="0"/>
        <v>41</v>
      </c>
      <c r="B46" s="1217">
        <f t="shared" si="6"/>
        <v>10</v>
      </c>
      <c r="C46" s="2013" t="s">
        <v>1328</v>
      </c>
      <c r="D46" s="1947"/>
      <c r="E46" s="1948">
        <v>45170</v>
      </c>
      <c r="F46" s="1217" t="s">
        <v>192</v>
      </c>
      <c r="G46" s="2014"/>
    </row>
    <row r="47" spans="1:9" ht="13.5" customHeight="1">
      <c r="A47" s="2011">
        <f t="shared" si="0"/>
        <v>42</v>
      </c>
      <c r="B47" s="1217">
        <f t="shared" si="6"/>
        <v>11</v>
      </c>
      <c r="C47" s="2013" t="s">
        <v>1329</v>
      </c>
      <c r="D47" s="1947"/>
      <c r="E47" s="1948">
        <v>45170</v>
      </c>
      <c r="F47" s="1217" t="s">
        <v>192</v>
      </c>
      <c r="G47" s="2014"/>
    </row>
    <row r="48" spans="1:9" ht="13.5" customHeight="1">
      <c r="A48" s="2011">
        <f t="shared" si="0"/>
        <v>43</v>
      </c>
      <c r="B48" s="1217">
        <f t="shared" si="6"/>
        <v>12</v>
      </c>
      <c r="C48" s="2013" t="s">
        <v>1330</v>
      </c>
      <c r="D48" s="1947"/>
      <c r="E48" s="1948">
        <v>45170</v>
      </c>
      <c r="F48" s="1217" t="s">
        <v>192</v>
      </c>
      <c r="G48" s="2014"/>
    </row>
    <row r="49" spans="1:7" ht="13.5" customHeight="1">
      <c r="A49" s="2011">
        <f t="shared" si="0"/>
        <v>44</v>
      </c>
      <c r="B49" s="1217">
        <f t="shared" si="6"/>
        <v>13</v>
      </c>
      <c r="C49" s="2013" t="s">
        <v>1331</v>
      </c>
      <c r="D49" s="1947"/>
      <c r="E49" s="1948">
        <v>45170</v>
      </c>
      <c r="F49" s="1217" t="s">
        <v>192</v>
      </c>
      <c r="G49" s="2014"/>
    </row>
    <row r="50" spans="1:7" ht="13.5" customHeight="1">
      <c r="A50" s="2011">
        <f t="shared" si="0"/>
        <v>45</v>
      </c>
      <c r="B50" s="1217">
        <f>B49+1</f>
        <v>14</v>
      </c>
      <c r="C50" s="2013" t="s">
        <v>1332</v>
      </c>
      <c r="D50" s="1947"/>
      <c r="E50" s="1948">
        <v>45170</v>
      </c>
      <c r="F50" s="1217" t="s">
        <v>192</v>
      </c>
      <c r="G50" s="2014"/>
    </row>
    <row r="51" spans="1:7" ht="13.5" customHeight="1">
      <c r="A51" s="2011">
        <f t="shared" si="0"/>
        <v>46</v>
      </c>
      <c r="B51" s="1217">
        <f t="shared" si="6"/>
        <v>15</v>
      </c>
      <c r="C51" s="2013" t="s">
        <v>1333</v>
      </c>
      <c r="D51" s="1947"/>
      <c r="E51" s="1948">
        <v>45170</v>
      </c>
      <c r="F51" s="1217" t="s">
        <v>192</v>
      </c>
      <c r="G51" s="2014"/>
    </row>
    <row r="52" spans="1:7" ht="13.5" customHeight="1">
      <c r="A52" s="2011">
        <f t="shared" si="0"/>
        <v>47</v>
      </c>
      <c r="B52" s="1217">
        <f t="shared" si="6"/>
        <v>16</v>
      </c>
      <c r="C52" s="2013" t="s">
        <v>1334</v>
      </c>
      <c r="D52" s="1947"/>
      <c r="E52" s="1948">
        <v>45170</v>
      </c>
      <c r="F52" s="1217" t="s">
        <v>192</v>
      </c>
      <c r="G52" s="2014"/>
    </row>
    <row r="53" spans="1:7" ht="13.5" customHeight="1">
      <c r="A53" s="2011">
        <f t="shared" si="0"/>
        <v>48</v>
      </c>
      <c r="B53" s="1217">
        <f t="shared" si="6"/>
        <v>17</v>
      </c>
      <c r="C53" s="2073" t="s">
        <v>1335</v>
      </c>
      <c r="D53" s="1217"/>
      <c r="E53" s="2019">
        <v>45170</v>
      </c>
      <c r="F53" s="1217" t="s">
        <v>192</v>
      </c>
      <c r="G53" s="2014"/>
    </row>
    <row r="54" spans="1:7" ht="13.5" customHeight="1">
      <c r="A54" s="2011">
        <f t="shared" si="0"/>
        <v>49</v>
      </c>
      <c r="B54" s="1217">
        <v>1</v>
      </c>
      <c r="C54" s="2071" t="s">
        <v>1336</v>
      </c>
      <c r="D54" s="1947"/>
      <c r="E54" s="1948">
        <v>45328</v>
      </c>
      <c r="F54" s="1217" t="s">
        <v>192</v>
      </c>
      <c r="G54" s="2014"/>
    </row>
    <row r="55" spans="1:7" ht="13.5" customHeight="1">
      <c r="A55" s="2011">
        <f t="shared" si="0"/>
        <v>50</v>
      </c>
      <c r="B55" s="2012">
        <f>B54+1</f>
        <v>2</v>
      </c>
      <c r="C55" s="2081" t="s">
        <v>1337</v>
      </c>
      <c r="D55" s="1947"/>
      <c r="E55" s="1948">
        <v>45328</v>
      </c>
      <c r="F55" s="1217" t="s">
        <v>192</v>
      </c>
      <c r="G55" s="2014"/>
    </row>
    <row r="56" spans="1:7" ht="13.5" customHeight="1">
      <c r="A56" s="2011">
        <f t="shared" si="0"/>
        <v>51</v>
      </c>
      <c r="B56" s="2012">
        <f t="shared" ref="B56:B70" si="7">B55+1</f>
        <v>3</v>
      </c>
      <c r="C56" s="2081" t="s">
        <v>1338</v>
      </c>
      <c r="D56" s="1947"/>
      <c r="E56" s="1948">
        <v>45328</v>
      </c>
      <c r="F56" s="1217" t="s">
        <v>192</v>
      </c>
      <c r="G56" s="2014"/>
    </row>
    <row r="57" spans="1:7" ht="13.15" customHeight="1">
      <c r="A57" s="2011">
        <f t="shared" si="0"/>
        <v>52</v>
      </c>
      <c r="B57" s="2012">
        <f t="shared" si="7"/>
        <v>4</v>
      </c>
      <c r="C57" s="2071" t="s">
        <v>1339</v>
      </c>
      <c r="D57" s="1947"/>
      <c r="E57" s="1948">
        <v>45328</v>
      </c>
      <c r="F57" s="1217" t="s">
        <v>192</v>
      </c>
      <c r="G57" s="2068"/>
    </row>
    <row r="58" spans="1:7" ht="13.5" customHeight="1">
      <c r="A58" s="2011">
        <f t="shared" si="0"/>
        <v>53</v>
      </c>
      <c r="B58" s="2012">
        <f t="shared" si="7"/>
        <v>5</v>
      </c>
      <c r="C58" s="2071" t="s">
        <v>1340</v>
      </c>
      <c r="D58" s="1947"/>
      <c r="E58" s="1948">
        <v>45328</v>
      </c>
      <c r="F58" s="1217" t="s">
        <v>192</v>
      </c>
      <c r="G58" s="2068"/>
    </row>
    <row r="59" spans="1:7" ht="13.5" customHeight="1">
      <c r="A59" s="2011">
        <f t="shared" si="0"/>
        <v>54</v>
      </c>
      <c r="B59" s="2012">
        <f t="shared" si="7"/>
        <v>6</v>
      </c>
      <c r="C59" s="2073" t="s">
        <v>1341</v>
      </c>
      <c r="D59" s="1217"/>
      <c r="E59" s="2019">
        <v>45328</v>
      </c>
      <c r="F59" s="1217" t="s">
        <v>192</v>
      </c>
      <c r="G59" s="2068"/>
    </row>
    <row r="60" spans="1:7" ht="13.5" customHeight="1">
      <c r="A60" s="2011">
        <f t="shared" si="0"/>
        <v>55</v>
      </c>
      <c r="B60" s="2012">
        <f t="shared" si="7"/>
        <v>7</v>
      </c>
      <c r="C60" s="2071" t="s">
        <v>1342</v>
      </c>
      <c r="D60" s="1947"/>
      <c r="E60" s="1948">
        <v>45328</v>
      </c>
      <c r="F60" s="1217" t="s">
        <v>192</v>
      </c>
      <c r="G60" s="2068"/>
    </row>
    <row r="61" spans="1:7" ht="13.5" customHeight="1">
      <c r="A61" s="2011">
        <f t="shared" si="0"/>
        <v>56</v>
      </c>
      <c r="B61" s="2012">
        <f t="shared" si="7"/>
        <v>8</v>
      </c>
      <c r="C61" s="2071" t="s">
        <v>1343</v>
      </c>
      <c r="D61" s="1947"/>
      <c r="E61" s="1948">
        <v>45328</v>
      </c>
      <c r="F61" s="1217" t="s">
        <v>192</v>
      </c>
      <c r="G61" s="2068"/>
    </row>
    <row r="62" spans="1:7" ht="13.5" customHeight="1">
      <c r="A62" s="2011">
        <f t="shared" si="0"/>
        <v>57</v>
      </c>
      <c r="B62" s="2012">
        <f t="shared" si="7"/>
        <v>9</v>
      </c>
      <c r="C62" s="2071" t="s">
        <v>1344</v>
      </c>
      <c r="D62" s="1947"/>
      <c r="E62" s="1948">
        <v>45328</v>
      </c>
      <c r="F62" s="1217" t="s">
        <v>192</v>
      </c>
      <c r="G62" s="2068"/>
    </row>
    <row r="63" spans="1:7" ht="13.5" customHeight="1">
      <c r="A63" s="2011">
        <f t="shared" si="0"/>
        <v>58</v>
      </c>
      <c r="B63" s="2012">
        <f t="shared" si="7"/>
        <v>10</v>
      </c>
      <c r="C63" s="2071" t="s">
        <v>1345</v>
      </c>
      <c r="D63" s="1947"/>
      <c r="E63" s="1948">
        <v>45328</v>
      </c>
      <c r="F63" s="1217" t="s">
        <v>192</v>
      </c>
      <c r="G63" s="2068"/>
    </row>
    <row r="64" spans="1:7" ht="13.5" customHeight="1">
      <c r="A64" s="2011">
        <f t="shared" si="0"/>
        <v>59</v>
      </c>
      <c r="B64" s="2012">
        <f t="shared" si="7"/>
        <v>11</v>
      </c>
      <c r="C64" s="2071" t="s">
        <v>1346</v>
      </c>
      <c r="D64" s="1947"/>
      <c r="E64" s="1948">
        <v>45328</v>
      </c>
      <c r="F64" s="1217" t="s">
        <v>192</v>
      </c>
      <c r="G64" s="2068"/>
    </row>
    <row r="65" spans="1:7" ht="13.5" customHeight="1">
      <c r="A65" s="2011">
        <f t="shared" si="0"/>
        <v>60</v>
      </c>
      <c r="B65" s="2012">
        <f>+B64+1</f>
        <v>12</v>
      </c>
      <c r="C65" s="2071" t="s">
        <v>1347</v>
      </c>
      <c r="D65" s="1947"/>
      <c r="E65" s="1948">
        <v>45328</v>
      </c>
      <c r="F65" s="1217" t="s">
        <v>192</v>
      </c>
      <c r="G65" s="2068"/>
    </row>
    <row r="66" spans="1:7" ht="13.5" customHeight="1">
      <c r="A66" s="2011">
        <f t="shared" si="0"/>
        <v>61</v>
      </c>
      <c r="B66" s="2012">
        <f t="shared" si="7"/>
        <v>13</v>
      </c>
      <c r="C66" s="2071" t="s">
        <v>1348</v>
      </c>
      <c r="D66" s="1947"/>
      <c r="E66" s="1948">
        <v>45328</v>
      </c>
      <c r="F66" s="1217" t="s">
        <v>192</v>
      </c>
      <c r="G66" s="2068"/>
    </row>
    <row r="67" spans="1:7" ht="13.5" customHeight="1">
      <c r="A67" s="2011">
        <f t="shared" si="0"/>
        <v>62</v>
      </c>
      <c r="B67" s="2012">
        <f t="shared" si="7"/>
        <v>14</v>
      </c>
      <c r="C67" s="2071" t="s">
        <v>1349</v>
      </c>
      <c r="D67" s="1947"/>
      <c r="E67" s="1948">
        <v>45328</v>
      </c>
      <c r="F67" s="1217" t="s">
        <v>192</v>
      </c>
      <c r="G67" s="2068"/>
    </row>
    <row r="68" spans="1:7" ht="13.5" customHeight="1">
      <c r="A68" s="2011">
        <f t="shared" si="0"/>
        <v>63</v>
      </c>
      <c r="B68" s="2012">
        <f t="shared" si="7"/>
        <v>15</v>
      </c>
      <c r="C68" s="2071" t="s">
        <v>1350</v>
      </c>
      <c r="D68" s="1947"/>
      <c r="E68" s="1948">
        <v>45328</v>
      </c>
      <c r="F68" s="1217" t="s">
        <v>192</v>
      </c>
      <c r="G68" s="2068"/>
    </row>
    <row r="69" spans="1:7" ht="13.5" customHeight="1">
      <c r="A69" s="2011">
        <f t="shared" si="0"/>
        <v>64</v>
      </c>
      <c r="B69" s="2012">
        <f t="shared" si="7"/>
        <v>16</v>
      </c>
      <c r="C69" s="2071" t="s">
        <v>1351</v>
      </c>
      <c r="D69" s="1947"/>
      <c r="E69" s="1948">
        <v>45328</v>
      </c>
      <c r="F69" s="1217" t="s">
        <v>192</v>
      </c>
      <c r="G69" s="2068"/>
    </row>
    <row r="70" spans="1:7" ht="13.5" customHeight="1">
      <c r="A70" s="2011">
        <f t="shared" si="0"/>
        <v>65</v>
      </c>
      <c r="B70" s="2012">
        <f t="shared" si="7"/>
        <v>17</v>
      </c>
      <c r="C70" s="2071" t="s">
        <v>1352</v>
      </c>
      <c r="D70" s="1947"/>
      <c r="E70" s="1948">
        <v>45328</v>
      </c>
      <c r="F70" s="1217" t="s">
        <v>192</v>
      </c>
      <c r="G70" s="2068"/>
    </row>
    <row r="71" spans="1:7" ht="13.5" customHeight="1">
      <c r="A71" s="2011">
        <f t="shared" si="0"/>
        <v>66</v>
      </c>
      <c r="B71" s="2012">
        <v>1</v>
      </c>
      <c r="C71" s="2073" t="s">
        <v>1353</v>
      </c>
      <c r="D71" s="1217"/>
      <c r="E71" s="1948">
        <v>45474</v>
      </c>
      <c r="F71" s="1217" t="s">
        <v>192</v>
      </c>
      <c r="G71" s="2018"/>
    </row>
    <row r="72" spans="1:7" ht="13.5" customHeight="1">
      <c r="A72" s="2011">
        <f t="shared" ref="A72:A135" si="8">A71+1</f>
        <v>67</v>
      </c>
      <c r="B72" s="2012">
        <f>B71+1</f>
        <v>2</v>
      </c>
      <c r="C72" s="2073" t="s">
        <v>1354</v>
      </c>
      <c r="D72" s="1217"/>
      <c r="E72" s="2019">
        <v>45474</v>
      </c>
      <c r="F72" s="1217" t="s">
        <v>192</v>
      </c>
      <c r="G72" s="2018"/>
    </row>
    <row r="73" spans="1:7" ht="13.5" customHeight="1">
      <c r="A73" s="2011">
        <f t="shared" si="8"/>
        <v>68</v>
      </c>
      <c r="B73" s="2012">
        <f t="shared" ref="B73:B92" si="9">B72+1</f>
        <v>3</v>
      </c>
      <c r="C73" s="2073" t="s">
        <v>1355</v>
      </c>
      <c r="D73" s="1217"/>
      <c r="E73" s="1948">
        <v>45474</v>
      </c>
      <c r="F73" s="1217" t="s">
        <v>192</v>
      </c>
      <c r="G73" s="2018"/>
    </row>
    <row r="74" spans="1:7" ht="13.5" customHeight="1">
      <c r="A74" s="2011">
        <f t="shared" si="8"/>
        <v>69</v>
      </c>
      <c r="B74" s="2012">
        <f t="shared" si="9"/>
        <v>4</v>
      </c>
      <c r="C74" s="2073" t="s">
        <v>1356</v>
      </c>
      <c r="D74" s="1217"/>
      <c r="E74" s="2019">
        <v>45474</v>
      </c>
      <c r="F74" s="1217" t="s">
        <v>192</v>
      </c>
      <c r="G74" s="2018"/>
    </row>
    <row r="75" spans="1:7" ht="13.5" customHeight="1">
      <c r="A75" s="2011">
        <f t="shared" si="8"/>
        <v>70</v>
      </c>
      <c r="B75" s="2012">
        <f t="shared" si="9"/>
        <v>5</v>
      </c>
      <c r="C75" s="2073" t="s">
        <v>1357</v>
      </c>
      <c r="D75" s="1217"/>
      <c r="E75" s="1948">
        <v>45474</v>
      </c>
      <c r="F75" s="1217" t="s">
        <v>192</v>
      </c>
      <c r="G75" s="2018"/>
    </row>
    <row r="76" spans="1:7" ht="13.5" customHeight="1">
      <c r="A76" s="2011">
        <f t="shared" si="8"/>
        <v>71</v>
      </c>
      <c r="B76" s="2012">
        <f>+B75+1</f>
        <v>6</v>
      </c>
      <c r="C76" s="2073" t="s">
        <v>1358</v>
      </c>
      <c r="D76" s="1217"/>
      <c r="E76" s="1948">
        <v>45474</v>
      </c>
      <c r="F76" s="1217" t="s">
        <v>192</v>
      </c>
      <c r="G76" s="2018"/>
    </row>
    <row r="77" spans="1:7" ht="13.5" customHeight="1">
      <c r="A77" s="2011">
        <f t="shared" si="8"/>
        <v>72</v>
      </c>
      <c r="B77" s="2012">
        <f t="shared" si="9"/>
        <v>7</v>
      </c>
      <c r="C77" s="2073" t="s">
        <v>1359</v>
      </c>
      <c r="D77" s="1217"/>
      <c r="E77" s="1948">
        <v>45474</v>
      </c>
      <c r="F77" s="1217" t="s">
        <v>192</v>
      </c>
      <c r="G77" s="2018"/>
    </row>
    <row r="78" spans="1:7" ht="13.5" customHeight="1">
      <c r="A78" s="2011">
        <f t="shared" si="8"/>
        <v>73</v>
      </c>
      <c r="B78" s="2012">
        <f t="shared" si="9"/>
        <v>8</v>
      </c>
      <c r="C78" s="2073" t="s">
        <v>1360</v>
      </c>
      <c r="D78" s="1217"/>
      <c r="E78" s="2019">
        <v>45474</v>
      </c>
      <c r="F78" s="1217" t="s">
        <v>192</v>
      </c>
      <c r="G78" s="2018"/>
    </row>
    <row r="79" spans="1:7" ht="13.5" customHeight="1">
      <c r="A79" s="2011">
        <f t="shared" si="8"/>
        <v>74</v>
      </c>
      <c r="B79" s="2012">
        <f t="shared" si="9"/>
        <v>9</v>
      </c>
      <c r="C79" s="2073" t="s">
        <v>1361</v>
      </c>
      <c r="D79" s="1217"/>
      <c r="E79" s="1948">
        <v>45474</v>
      </c>
      <c r="F79" s="1217" t="s">
        <v>192</v>
      </c>
      <c r="G79" s="2018"/>
    </row>
    <row r="80" spans="1:7" ht="13.5" customHeight="1">
      <c r="A80" s="2011">
        <f t="shared" si="8"/>
        <v>75</v>
      </c>
      <c r="B80" s="2012">
        <f t="shared" si="9"/>
        <v>10</v>
      </c>
      <c r="C80" s="2073" t="s">
        <v>1362</v>
      </c>
      <c r="D80" s="1217"/>
      <c r="E80" s="1948">
        <v>45474</v>
      </c>
      <c r="F80" s="1217" t="s">
        <v>192</v>
      </c>
      <c r="G80" s="2018"/>
    </row>
    <row r="81" spans="1:7" ht="13.5" customHeight="1">
      <c r="A81" s="2011">
        <f t="shared" si="8"/>
        <v>76</v>
      </c>
      <c r="B81" s="2012">
        <f t="shared" si="9"/>
        <v>11</v>
      </c>
      <c r="C81" s="2073" t="s">
        <v>1363</v>
      </c>
      <c r="D81" s="1217"/>
      <c r="E81" s="1948">
        <v>45474</v>
      </c>
      <c r="F81" s="1217" t="s">
        <v>192</v>
      </c>
      <c r="G81" s="2018"/>
    </row>
    <row r="82" spans="1:7" ht="13.5" customHeight="1">
      <c r="A82" s="2011">
        <f t="shared" si="8"/>
        <v>77</v>
      </c>
      <c r="B82" s="2012">
        <f t="shared" si="9"/>
        <v>12</v>
      </c>
      <c r="C82" s="2073" t="s">
        <v>1364</v>
      </c>
      <c r="D82" s="1217"/>
      <c r="E82" s="2019">
        <v>45474</v>
      </c>
      <c r="F82" s="1217" t="s">
        <v>192</v>
      </c>
      <c r="G82" s="2018"/>
    </row>
    <row r="83" spans="1:7" ht="13.5" customHeight="1">
      <c r="A83" s="2011">
        <f t="shared" si="8"/>
        <v>78</v>
      </c>
      <c r="B83" s="2012">
        <f t="shared" si="9"/>
        <v>13</v>
      </c>
      <c r="C83" s="2073" t="s">
        <v>1365</v>
      </c>
      <c r="D83" s="1217"/>
      <c r="E83" s="1948">
        <v>45474</v>
      </c>
      <c r="F83" s="1217" t="s">
        <v>192</v>
      </c>
      <c r="G83" s="2018"/>
    </row>
    <row r="84" spans="1:7" ht="13.5" customHeight="1">
      <c r="A84" s="2011">
        <f t="shared" si="8"/>
        <v>79</v>
      </c>
      <c r="B84" s="2012">
        <f t="shared" si="9"/>
        <v>14</v>
      </c>
      <c r="C84" s="2073" t="s">
        <v>1366</v>
      </c>
      <c r="D84" s="1217"/>
      <c r="E84" s="1948">
        <v>45474</v>
      </c>
      <c r="F84" s="1217" t="s">
        <v>192</v>
      </c>
      <c r="G84" s="2018"/>
    </row>
    <row r="85" spans="1:7" ht="13.5" customHeight="1">
      <c r="A85" s="2011">
        <f t="shared" si="8"/>
        <v>80</v>
      </c>
      <c r="B85" s="2012">
        <f t="shared" si="9"/>
        <v>15</v>
      </c>
      <c r="C85" s="2073" t="s">
        <v>1367</v>
      </c>
      <c r="D85" s="1217"/>
      <c r="E85" s="2019">
        <v>45474</v>
      </c>
      <c r="F85" s="1217" t="s">
        <v>192</v>
      </c>
      <c r="G85" s="2018"/>
    </row>
    <row r="86" spans="1:7" ht="13.5" customHeight="1">
      <c r="A86" s="2011">
        <f t="shared" si="8"/>
        <v>81</v>
      </c>
      <c r="B86" s="2012">
        <f t="shared" si="9"/>
        <v>16</v>
      </c>
      <c r="C86" s="2073" t="s">
        <v>1368</v>
      </c>
      <c r="D86" s="1217"/>
      <c r="E86" s="1948">
        <v>45474</v>
      </c>
      <c r="F86" s="1217" t="s">
        <v>192</v>
      </c>
      <c r="G86" s="2018"/>
    </row>
    <row r="87" spans="1:7" ht="13.5" customHeight="1">
      <c r="A87" s="2011">
        <f t="shared" si="8"/>
        <v>82</v>
      </c>
      <c r="B87" s="2012">
        <f>+B86+1</f>
        <v>17</v>
      </c>
      <c r="C87" s="2073" t="s">
        <v>1369</v>
      </c>
      <c r="D87" s="1217"/>
      <c r="E87" s="1948">
        <v>45474</v>
      </c>
      <c r="F87" s="1217" t="s">
        <v>192</v>
      </c>
      <c r="G87" s="2018"/>
    </row>
    <row r="88" spans="1:7" ht="13.5" customHeight="1">
      <c r="A88" s="2011">
        <f t="shared" si="8"/>
        <v>83</v>
      </c>
      <c r="B88" s="2012">
        <f t="shared" si="9"/>
        <v>18</v>
      </c>
      <c r="C88" s="2073" t="s">
        <v>1370</v>
      </c>
      <c r="D88" s="1217"/>
      <c r="E88" s="1948">
        <v>45474</v>
      </c>
      <c r="F88" s="1217" t="s">
        <v>192</v>
      </c>
      <c r="G88" s="2018"/>
    </row>
    <row r="89" spans="1:7" ht="13.5" customHeight="1">
      <c r="A89" s="2011">
        <f t="shared" si="8"/>
        <v>84</v>
      </c>
      <c r="B89" s="2012">
        <f t="shared" si="9"/>
        <v>19</v>
      </c>
      <c r="C89" s="2073" t="s">
        <v>1371</v>
      </c>
      <c r="D89" s="2018"/>
      <c r="E89" s="1948">
        <v>45474</v>
      </c>
      <c r="F89" s="1217" t="s">
        <v>192</v>
      </c>
      <c r="G89" s="2018"/>
    </row>
    <row r="90" spans="1:7" ht="13.5" customHeight="1">
      <c r="A90" s="2011">
        <f t="shared" si="8"/>
        <v>85</v>
      </c>
      <c r="B90" s="2012">
        <f t="shared" si="9"/>
        <v>20</v>
      </c>
      <c r="C90" s="2073" t="s">
        <v>1372</v>
      </c>
      <c r="D90" s="2018"/>
      <c r="E90" s="1948">
        <v>45474</v>
      </c>
      <c r="F90" s="1217" t="s">
        <v>192</v>
      </c>
      <c r="G90" s="2018"/>
    </row>
    <row r="91" spans="1:7" ht="13.5" customHeight="1">
      <c r="A91" s="2011">
        <f t="shared" si="8"/>
        <v>86</v>
      </c>
      <c r="B91" s="2012">
        <f t="shared" si="9"/>
        <v>21</v>
      </c>
      <c r="C91" s="2013" t="s">
        <v>1373</v>
      </c>
      <c r="D91" s="1947"/>
      <c r="E91" s="1948">
        <v>45474</v>
      </c>
      <c r="F91" s="1217" t="s">
        <v>192</v>
      </c>
      <c r="G91" s="2018"/>
    </row>
    <row r="92" spans="1:7" ht="13.5" customHeight="1">
      <c r="A92" s="2011">
        <f t="shared" si="8"/>
        <v>87</v>
      </c>
      <c r="B92" s="2012">
        <f t="shared" si="9"/>
        <v>22</v>
      </c>
      <c r="C92" s="2073" t="s">
        <v>1374</v>
      </c>
      <c r="D92" s="2018"/>
      <c r="E92" s="1948">
        <v>45474</v>
      </c>
      <c r="F92" s="1217" t="s">
        <v>192</v>
      </c>
      <c r="G92" s="2018"/>
    </row>
    <row r="93" spans="1:7" ht="13.5" customHeight="1">
      <c r="A93" s="2011">
        <f t="shared" si="8"/>
        <v>88</v>
      </c>
      <c r="B93" s="1217">
        <v>1</v>
      </c>
      <c r="C93" s="2074" t="s">
        <v>1375</v>
      </c>
      <c r="D93" s="1217"/>
      <c r="E93" s="2019">
        <v>45627</v>
      </c>
      <c r="F93" s="1217" t="s">
        <v>192</v>
      </c>
      <c r="G93" s="2018"/>
    </row>
    <row r="94" spans="1:7" ht="13.5" customHeight="1">
      <c r="A94" s="2011">
        <f t="shared" si="8"/>
        <v>89</v>
      </c>
      <c r="B94" s="1217">
        <f>B93+1</f>
        <v>2</v>
      </c>
      <c r="C94" s="2073" t="s">
        <v>1376</v>
      </c>
      <c r="D94" s="1217"/>
      <c r="E94" s="2019">
        <v>45627</v>
      </c>
      <c r="F94" s="1217" t="s">
        <v>192</v>
      </c>
      <c r="G94" s="2018"/>
    </row>
    <row r="95" spans="1:7" ht="13.5" customHeight="1">
      <c r="A95" s="2011">
        <f t="shared" si="8"/>
        <v>90</v>
      </c>
      <c r="B95" s="1217">
        <f t="shared" ref="B95:B116" si="10">B94+1</f>
        <v>3</v>
      </c>
      <c r="C95" s="2073" t="s">
        <v>1377</v>
      </c>
      <c r="D95" s="1217"/>
      <c r="E95" s="2019">
        <v>45627</v>
      </c>
      <c r="F95" s="1217" t="s">
        <v>192</v>
      </c>
      <c r="G95" s="2018"/>
    </row>
    <row r="96" spans="1:7" ht="13.5" customHeight="1">
      <c r="A96" s="2011">
        <f t="shared" si="8"/>
        <v>91</v>
      </c>
      <c r="B96" s="1217">
        <f t="shared" si="10"/>
        <v>4</v>
      </c>
      <c r="C96" s="2073" t="s">
        <v>1378</v>
      </c>
      <c r="D96" s="1217"/>
      <c r="E96" s="2019">
        <v>45627</v>
      </c>
      <c r="F96" s="1217" t="s">
        <v>192</v>
      </c>
      <c r="G96" s="2018"/>
    </row>
    <row r="97" spans="1:7" ht="13.5" customHeight="1">
      <c r="A97" s="2011">
        <f t="shared" si="8"/>
        <v>92</v>
      </c>
      <c r="B97" s="1217">
        <f>+B96+1</f>
        <v>5</v>
      </c>
      <c r="C97" s="2072" t="s">
        <v>462</v>
      </c>
      <c r="D97" s="1947"/>
      <c r="E97" s="2019">
        <v>45627</v>
      </c>
      <c r="F97" s="1217" t="s">
        <v>192</v>
      </c>
      <c r="G97" s="2018"/>
    </row>
    <row r="98" spans="1:7" ht="13.5" customHeight="1">
      <c r="A98" s="2011">
        <f t="shared" si="8"/>
        <v>93</v>
      </c>
      <c r="B98" s="1217">
        <f t="shared" si="10"/>
        <v>6</v>
      </c>
      <c r="C98" s="2072" t="s">
        <v>463</v>
      </c>
      <c r="D98" s="1947"/>
      <c r="E98" s="2019">
        <v>45627</v>
      </c>
      <c r="F98" s="1217" t="s">
        <v>192</v>
      </c>
      <c r="G98" s="2018"/>
    </row>
    <row r="99" spans="1:7" ht="13.5" customHeight="1">
      <c r="A99" s="2011">
        <f t="shared" si="8"/>
        <v>94</v>
      </c>
      <c r="B99" s="1217">
        <f t="shared" si="10"/>
        <v>7</v>
      </c>
      <c r="C99" s="2073" t="s">
        <v>1379</v>
      </c>
      <c r="D99" s="1217"/>
      <c r="E99" s="2019">
        <v>45627</v>
      </c>
      <c r="F99" s="1217" t="s">
        <v>192</v>
      </c>
      <c r="G99" s="2018"/>
    </row>
    <row r="100" spans="1:7" ht="13.5" customHeight="1">
      <c r="A100" s="2011">
        <f t="shared" si="8"/>
        <v>95</v>
      </c>
      <c r="B100" s="1217">
        <f t="shared" si="10"/>
        <v>8</v>
      </c>
      <c r="C100" s="2073" t="s">
        <v>1380</v>
      </c>
      <c r="D100" s="1217"/>
      <c r="E100" s="2019">
        <v>45627</v>
      </c>
      <c r="F100" s="1217" t="s">
        <v>192</v>
      </c>
      <c r="G100" s="2018"/>
    </row>
    <row r="101" spans="1:7" ht="13.5" customHeight="1">
      <c r="A101" s="2011">
        <f t="shared" si="8"/>
        <v>96</v>
      </c>
      <c r="B101" s="1217">
        <f t="shared" si="10"/>
        <v>9</v>
      </c>
      <c r="C101" s="2073" t="s">
        <v>1381</v>
      </c>
      <c r="D101" s="1217"/>
      <c r="E101" s="2019">
        <v>45627</v>
      </c>
      <c r="F101" s="1217" t="s">
        <v>192</v>
      </c>
      <c r="G101" s="2018"/>
    </row>
    <row r="102" spans="1:7" ht="13.5" customHeight="1">
      <c r="A102" s="2011">
        <f t="shared" si="8"/>
        <v>97</v>
      </c>
      <c r="B102" s="1217">
        <f t="shared" si="10"/>
        <v>10</v>
      </c>
      <c r="C102" s="2073" t="s">
        <v>1382</v>
      </c>
      <c r="D102" s="1217"/>
      <c r="E102" s="2019">
        <v>45627</v>
      </c>
      <c r="F102" s="1217" t="s">
        <v>192</v>
      </c>
      <c r="G102" s="2018"/>
    </row>
    <row r="103" spans="1:7" ht="13.5" customHeight="1">
      <c r="A103" s="2011">
        <f t="shared" si="8"/>
        <v>98</v>
      </c>
      <c r="B103" s="1217">
        <f t="shared" si="10"/>
        <v>11</v>
      </c>
      <c r="C103" s="2073" t="s">
        <v>1383</v>
      </c>
      <c r="D103" s="1217"/>
      <c r="E103" s="2019">
        <v>45627</v>
      </c>
      <c r="F103" s="1217" t="s">
        <v>192</v>
      </c>
      <c r="G103" s="2018"/>
    </row>
    <row r="104" spans="1:7" ht="13.5" customHeight="1">
      <c r="A104" s="2011">
        <f t="shared" si="8"/>
        <v>99</v>
      </c>
      <c r="B104" s="1217">
        <f t="shared" si="10"/>
        <v>12</v>
      </c>
      <c r="C104" s="2073" t="s">
        <v>1384</v>
      </c>
      <c r="D104" s="1217"/>
      <c r="E104" s="2019">
        <v>45627</v>
      </c>
      <c r="F104" s="1217" t="s">
        <v>192</v>
      </c>
      <c r="G104" s="2018"/>
    </row>
    <row r="105" spans="1:7" ht="13.5" customHeight="1">
      <c r="A105" s="2011">
        <f t="shared" si="8"/>
        <v>100</v>
      </c>
      <c r="B105" s="1217">
        <f t="shared" si="10"/>
        <v>13</v>
      </c>
      <c r="C105" s="2073" t="s">
        <v>1385</v>
      </c>
      <c r="D105" s="1217"/>
      <c r="E105" s="2019">
        <v>45627</v>
      </c>
      <c r="F105" s="1217" t="s">
        <v>192</v>
      </c>
      <c r="G105" s="2018"/>
    </row>
    <row r="106" spans="1:7" ht="13.5" customHeight="1">
      <c r="A106" s="2011">
        <f t="shared" si="8"/>
        <v>101</v>
      </c>
      <c r="B106" s="1217">
        <f t="shared" si="10"/>
        <v>14</v>
      </c>
      <c r="C106" s="2073" t="s">
        <v>1386</v>
      </c>
      <c r="D106" s="1217"/>
      <c r="E106" s="2019">
        <v>45627</v>
      </c>
      <c r="F106" s="1217" t="s">
        <v>192</v>
      </c>
      <c r="G106" s="2018"/>
    </row>
    <row r="107" spans="1:7" ht="13.5" customHeight="1">
      <c r="A107" s="2011">
        <f t="shared" si="8"/>
        <v>102</v>
      </c>
      <c r="B107" s="1217">
        <f t="shared" si="10"/>
        <v>15</v>
      </c>
      <c r="C107" s="2073" t="s">
        <v>1387</v>
      </c>
      <c r="D107" s="1217"/>
      <c r="E107" s="2019">
        <v>45627</v>
      </c>
      <c r="F107" s="1217" t="s">
        <v>192</v>
      </c>
      <c r="G107" s="2018"/>
    </row>
    <row r="108" spans="1:7" ht="13.5" customHeight="1">
      <c r="A108" s="2011">
        <f t="shared" si="8"/>
        <v>103</v>
      </c>
      <c r="B108" s="1217">
        <f t="shared" si="10"/>
        <v>16</v>
      </c>
      <c r="C108" s="2073" t="s">
        <v>1388</v>
      </c>
      <c r="D108" s="1217"/>
      <c r="E108" s="2019">
        <v>45627</v>
      </c>
      <c r="F108" s="1217" t="s">
        <v>192</v>
      </c>
      <c r="G108" s="2018"/>
    </row>
    <row r="109" spans="1:7" ht="13.5" customHeight="1">
      <c r="A109" s="2011">
        <f t="shared" si="8"/>
        <v>104</v>
      </c>
      <c r="B109" s="1217">
        <f t="shared" si="10"/>
        <v>17</v>
      </c>
      <c r="C109" s="2073" t="s">
        <v>1389</v>
      </c>
      <c r="D109" s="1217"/>
      <c r="E109" s="2019">
        <v>45627</v>
      </c>
      <c r="F109" s="1217" t="s">
        <v>192</v>
      </c>
      <c r="G109" s="2018"/>
    </row>
    <row r="110" spans="1:7" ht="13.5" customHeight="1">
      <c r="A110" s="2011">
        <f t="shared" si="8"/>
        <v>105</v>
      </c>
      <c r="B110" s="1217">
        <f t="shared" si="10"/>
        <v>18</v>
      </c>
      <c r="C110" s="2073" t="s">
        <v>1390</v>
      </c>
      <c r="D110" s="1217"/>
      <c r="E110" s="2019">
        <v>45627</v>
      </c>
      <c r="F110" s="1217" t="s">
        <v>192</v>
      </c>
      <c r="G110" s="2018"/>
    </row>
    <row r="111" spans="1:7" ht="13.5" customHeight="1">
      <c r="A111" s="2011">
        <f t="shared" si="8"/>
        <v>106</v>
      </c>
      <c r="B111" s="1217">
        <f t="shared" si="10"/>
        <v>19</v>
      </c>
      <c r="C111" s="2073" t="s">
        <v>1391</v>
      </c>
      <c r="D111" s="1217"/>
      <c r="E111" s="2019">
        <v>45627</v>
      </c>
      <c r="F111" s="1217" t="s">
        <v>192</v>
      </c>
      <c r="G111" s="2018"/>
    </row>
    <row r="112" spans="1:7" ht="13.5" customHeight="1">
      <c r="A112" s="2011">
        <f t="shared" si="8"/>
        <v>107</v>
      </c>
      <c r="B112" s="1217">
        <f t="shared" si="10"/>
        <v>20</v>
      </c>
      <c r="C112" s="2073" t="s">
        <v>1392</v>
      </c>
      <c r="D112" s="1217"/>
      <c r="E112" s="2019">
        <v>45627</v>
      </c>
      <c r="F112" s="1217" t="s">
        <v>192</v>
      </c>
      <c r="G112" s="2018"/>
    </row>
    <row r="113" spans="1:7" ht="13.5" customHeight="1">
      <c r="A113" s="2011">
        <f t="shared" si="8"/>
        <v>108</v>
      </c>
      <c r="B113" s="1217">
        <f t="shared" si="10"/>
        <v>21</v>
      </c>
      <c r="C113" s="2073" t="s">
        <v>1393</v>
      </c>
      <c r="D113" s="1217"/>
      <c r="E113" s="2019">
        <v>45627</v>
      </c>
      <c r="F113" s="1217" t="s">
        <v>192</v>
      </c>
      <c r="G113" s="2018"/>
    </row>
    <row r="114" spans="1:7" ht="13.5" customHeight="1">
      <c r="A114" s="2011">
        <f t="shared" si="8"/>
        <v>109</v>
      </c>
      <c r="B114" s="1217">
        <f t="shared" si="10"/>
        <v>22</v>
      </c>
      <c r="C114" s="2073" t="s">
        <v>1394</v>
      </c>
      <c r="D114" s="1217"/>
      <c r="E114" s="2019">
        <v>45627</v>
      </c>
      <c r="F114" s="1217" t="s">
        <v>192</v>
      </c>
      <c r="G114" s="2018"/>
    </row>
    <row r="115" spans="1:7" ht="13.5" customHeight="1">
      <c r="A115" s="2011">
        <f t="shared" si="8"/>
        <v>110</v>
      </c>
      <c r="B115" s="1217">
        <f t="shared" si="10"/>
        <v>23</v>
      </c>
      <c r="C115" s="2073" t="s">
        <v>1395</v>
      </c>
      <c r="D115" s="1217"/>
      <c r="E115" s="2019">
        <v>45627</v>
      </c>
      <c r="F115" s="1217" t="s">
        <v>192</v>
      </c>
      <c r="G115" s="2018"/>
    </row>
    <row r="116" spans="1:7" ht="13.5" customHeight="1">
      <c r="A116" s="2011">
        <f t="shared" si="8"/>
        <v>111</v>
      </c>
      <c r="B116" s="1217">
        <f t="shared" si="10"/>
        <v>24</v>
      </c>
      <c r="C116" s="2073" t="s">
        <v>1396</v>
      </c>
      <c r="D116" s="1217"/>
      <c r="E116" s="2019">
        <v>45627</v>
      </c>
      <c r="F116" s="1217" t="s">
        <v>192</v>
      </c>
      <c r="G116" s="2018"/>
    </row>
    <row r="117" spans="1:7" ht="13.5" customHeight="1">
      <c r="A117" s="2011">
        <f t="shared" si="8"/>
        <v>112</v>
      </c>
      <c r="B117" s="1217">
        <v>1</v>
      </c>
      <c r="C117" s="2073" t="s">
        <v>1397</v>
      </c>
      <c r="D117" s="1217"/>
      <c r="E117" s="2019">
        <v>45748</v>
      </c>
      <c r="F117" s="1217" t="s">
        <v>192</v>
      </c>
      <c r="G117" s="2018"/>
    </row>
    <row r="118" spans="1:7" ht="13.5" customHeight="1">
      <c r="A118" s="2011">
        <f t="shared" si="8"/>
        <v>113</v>
      </c>
      <c r="B118" s="1217">
        <f>B117+1</f>
        <v>2</v>
      </c>
      <c r="C118" s="2073" t="s">
        <v>1398</v>
      </c>
      <c r="D118" s="1217"/>
      <c r="E118" s="2019">
        <v>45748</v>
      </c>
      <c r="F118" s="1217" t="s">
        <v>192</v>
      </c>
      <c r="G118" s="2018"/>
    </row>
    <row r="119" spans="1:7" ht="13.5" customHeight="1">
      <c r="A119" s="2011">
        <f t="shared" si="8"/>
        <v>114</v>
      </c>
      <c r="B119" s="1217">
        <f t="shared" ref="B119:B160" si="11">B118+1</f>
        <v>3</v>
      </c>
      <c r="C119" s="2073" t="s">
        <v>1399</v>
      </c>
      <c r="D119" s="1217"/>
      <c r="E119" s="2019">
        <v>45748</v>
      </c>
      <c r="F119" s="1217" t="s">
        <v>192</v>
      </c>
      <c r="G119" s="2018"/>
    </row>
    <row r="120" spans="1:7" ht="13.5" customHeight="1">
      <c r="A120" s="2011">
        <f t="shared" si="8"/>
        <v>115</v>
      </c>
      <c r="B120" s="1217">
        <f t="shared" si="11"/>
        <v>4</v>
      </c>
      <c r="C120" s="2073" t="s">
        <v>1400</v>
      </c>
      <c r="D120" s="1217"/>
      <c r="E120" s="2019">
        <v>45748</v>
      </c>
      <c r="F120" s="1217" t="s">
        <v>192</v>
      </c>
      <c r="G120" s="2018"/>
    </row>
    <row r="121" spans="1:7" ht="13.5" customHeight="1">
      <c r="A121" s="2011">
        <f t="shared" si="8"/>
        <v>116</v>
      </c>
      <c r="B121" s="1217">
        <f t="shared" si="11"/>
        <v>5</v>
      </c>
      <c r="C121" s="2073" t="s">
        <v>1401</v>
      </c>
      <c r="D121" s="1217"/>
      <c r="E121" s="2019">
        <v>45748</v>
      </c>
      <c r="F121" s="1217" t="s">
        <v>192</v>
      </c>
      <c r="G121" s="2018"/>
    </row>
    <row r="122" spans="1:7" ht="13.5" customHeight="1">
      <c r="A122" s="2011">
        <f t="shared" si="8"/>
        <v>117</v>
      </c>
      <c r="B122" s="1217">
        <f t="shared" si="11"/>
        <v>6</v>
      </c>
      <c r="C122" s="2073" t="s">
        <v>1402</v>
      </c>
      <c r="D122" s="1217"/>
      <c r="E122" s="2019">
        <v>45748</v>
      </c>
      <c r="F122" s="1217" t="s">
        <v>192</v>
      </c>
      <c r="G122" s="2018"/>
    </row>
    <row r="123" spans="1:7" ht="13.5" customHeight="1">
      <c r="A123" s="2011">
        <f t="shared" si="8"/>
        <v>118</v>
      </c>
      <c r="B123" s="1217">
        <f t="shared" si="11"/>
        <v>7</v>
      </c>
      <c r="C123" s="2073" t="s">
        <v>1403</v>
      </c>
      <c r="D123" s="1217"/>
      <c r="E123" s="2019">
        <v>45748</v>
      </c>
      <c r="F123" s="1217" t="s">
        <v>192</v>
      </c>
      <c r="G123" s="2018"/>
    </row>
    <row r="124" spans="1:7" ht="13.5" customHeight="1">
      <c r="A124" s="2011">
        <f t="shared" si="8"/>
        <v>119</v>
      </c>
      <c r="B124" s="1217">
        <f t="shared" si="11"/>
        <v>8</v>
      </c>
      <c r="C124" s="2073" t="s">
        <v>1404</v>
      </c>
      <c r="D124" s="1217"/>
      <c r="E124" s="2019">
        <v>45748</v>
      </c>
      <c r="F124" s="1217" t="s">
        <v>192</v>
      </c>
      <c r="G124" s="2018"/>
    </row>
    <row r="125" spans="1:7" ht="13.5" customHeight="1">
      <c r="A125" s="2011">
        <f t="shared" si="8"/>
        <v>120</v>
      </c>
      <c r="B125" s="1217">
        <f t="shared" si="11"/>
        <v>9</v>
      </c>
      <c r="C125" s="2073" t="s">
        <v>1405</v>
      </c>
      <c r="D125" s="1217"/>
      <c r="E125" s="2019">
        <v>45748</v>
      </c>
      <c r="F125" s="1217" t="s">
        <v>192</v>
      </c>
      <c r="G125" s="2018"/>
    </row>
    <row r="126" spans="1:7" ht="13.5" customHeight="1">
      <c r="A126" s="2011">
        <f t="shared" si="8"/>
        <v>121</v>
      </c>
      <c r="B126" s="1217">
        <f t="shared" si="11"/>
        <v>10</v>
      </c>
      <c r="C126" s="2073" t="s">
        <v>1406</v>
      </c>
      <c r="D126" s="1217"/>
      <c r="E126" s="2019">
        <v>45748</v>
      </c>
      <c r="F126" s="1217" t="s">
        <v>192</v>
      </c>
      <c r="G126" s="2018"/>
    </row>
    <row r="127" spans="1:7" ht="13.5" customHeight="1">
      <c r="A127" s="2011">
        <f t="shared" si="8"/>
        <v>122</v>
      </c>
      <c r="B127" s="1217">
        <f t="shared" si="11"/>
        <v>11</v>
      </c>
      <c r="C127" s="2073" t="s">
        <v>1407</v>
      </c>
      <c r="D127" s="1217"/>
      <c r="E127" s="2019">
        <v>45748</v>
      </c>
      <c r="F127" s="1217" t="s">
        <v>192</v>
      </c>
      <c r="G127" s="2018"/>
    </row>
    <row r="128" spans="1:7" ht="13.5" customHeight="1">
      <c r="A128" s="2011">
        <f t="shared" si="8"/>
        <v>123</v>
      </c>
      <c r="B128" s="1217">
        <f t="shared" si="11"/>
        <v>12</v>
      </c>
      <c r="C128" s="2073" t="s">
        <v>1408</v>
      </c>
      <c r="D128" s="1217"/>
      <c r="E128" s="2019">
        <v>45748</v>
      </c>
      <c r="F128" s="1217" t="s">
        <v>192</v>
      </c>
      <c r="G128" s="2018"/>
    </row>
    <row r="129" spans="1:7" ht="13.5" customHeight="1">
      <c r="A129" s="2011">
        <f t="shared" si="8"/>
        <v>124</v>
      </c>
      <c r="B129" s="1217">
        <f t="shared" si="11"/>
        <v>13</v>
      </c>
      <c r="C129" s="2073" t="s">
        <v>1409</v>
      </c>
      <c r="D129" s="1217"/>
      <c r="E129" s="2019">
        <v>45748</v>
      </c>
      <c r="F129" s="1217" t="s">
        <v>192</v>
      </c>
      <c r="G129" s="2018"/>
    </row>
    <row r="130" spans="1:7" ht="13.5" customHeight="1">
      <c r="A130" s="2011">
        <f t="shared" si="8"/>
        <v>125</v>
      </c>
      <c r="B130" s="1217">
        <f t="shared" si="11"/>
        <v>14</v>
      </c>
      <c r="C130" s="2073" t="s">
        <v>1410</v>
      </c>
      <c r="D130" s="1217"/>
      <c r="E130" s="2019">
        <v>45748</v>
      </c>
      <c r="F130" s="1217" t="s">
        <v>192</v>
      </c>
      <c r="G130" s="2018"/>
    </row>
    <row r="131" spans="1:7" ht="13.5" customHeight="1">
      <c r="A131" s="2011">
        <f t="shared" si="8"/>
        <v>126</v>
      </c>
      <c r="B131" s="1217">
        <f t="shared" si="11"/>
        <v>15</v>
      </c>
      <c r="C131" s="2073" t="s">
        <v>1411</v>
      </c>
      <c r="D131" s="1217"/>
      <c r="E131" s="2019">
        <v>45748</v>
      </c>
      <c r="F131" s="1217" t="s">
        <v>192</v>
      </c>
      <c r="G131" s="2018"/>
    </row>
    <row r="132" spans="1:7" ht="13.5" customHeight="1">
      <c r="A132" s="2011">
        <f t="shared" si="8"/>
        <v>127</v>
      </c>
      <c r="B132" s="1217">
        <f t="shared" si="11"/>
        <v>16</v>
      </c>
      <c r="C132" s="2073" t="s">
        <v>1412</v>
      </c>
      <c r="D132" s="1217"/>
      <c r="E132" s="2019">
        <v>45748</v>
      </c>
      <c r="F132" s="1217" t="s">
        <v>192</v>
      </c>
      <c r="G132" s="2018"/>
    </row>
    <row r="133" spans="1:7" ht="13.5" customHeight="1">
      <c r="A133" s="2011">
        <f t="shared" si="8"/>
        <v>128</v>
      </c>
      <c r="B133" s="1217">
        <f t="shared" si="11"/>
        <v>17</v>
      </c>
      <c r="C133" s="2073" t="s">
        <v>1413</v>
      </c>
      <c r="D133" s="1217"/>
      <c r="E133" s="2019">
        <v>45748</v>
      </c>
      <c r="F133" s="1217" t="s">
        <v>192</v>
      </c>
      <c r="G133" s="2018"/>
    </row>
    <row r="134" spans="1:7" ht="13.5" customHeight="1">
      <c r="A134" s="2011">
        <f t="shared" si="8"/>
        <v>129</v>
      </c>
      <c r="B134" s="1217">
        <f t="shared" si="11"/>
        <v>18</v>
      </c>
      <c r="C134" s="2073" t="s">
        <v>1414</v>
      </c>
      <c r="D134" s="1217"/>
      <c r="E134" s="2019">
        <v>45748</v>
      </c>
      <c r="F134" s="1217" t="s">
        <v>192</v>
      </c>
      <c r="G134" s="2018"/>
    </row>
    <row r="135" spans="1:7" ht="13.5" customHeight="1">
      <c r="A135" s="2011">
        <f t="shared" si="8"/>
        <v>130</v>
      </c>
      <c r="B135" s="1217">
        <f t="shared" si="11"/>
        <v>19</v>
      </c>
      <c r="C135" s="2073" t="s">
        <v>1415</v>
      </c>
      <c r="D135" s="1217"/>
      <c r="E135" s="2019">
        <v>45748</v>
      </c>
      <c r="F135" s="1217" t="s">
        <v>192</v>
      </c>
      <c r="G135" s="2018"/>
    </row>
    <row r="136" spans="1:7" ht="13.5" customHeight="1">
      <c r="A136" s="2011">
        <f t="shared" ref="A136:A199" si="12">A135+1</f>
        <v>131</v>
      </c>
      <c r="B136" s="1217">
        <f t="shared" si="11"/>
        <v>20</v>
      </c>
      <c r="C136" s="2073" t="s">
        <v>1416</v>
      </c>
      <c r="D136" s="1217"/>
      <c r="E136" s="2019">
        <v>45748</v>
      </c>
      <c r="F136" s="1217" t="s">
        <v>192</v>
      </c>
      <c r="G136" s="2018"/>
    </row>
    <row r="137" spans="1:7" ht="13.5" customHeight="1">
      <c r="A137" s="2011">
        <f t="shared" si="12"/>
        <v>132</v>
      </c>
      <c r="B137" s="1217">
        <f t="shared" si="11"/>
        <v>21</v>
      </c>
      <c r="C137" s="2073" t="s">
        <v>1417</v>
      </c>
      <c r="D137" s="1217"/>
      <c r="E137" s="2019">
        <v>45748</v>
      </c>
      <c r="F137" s="1217" t="s">
        <v>192</v>
      </c>
      <c r="G137" s="2018"/>
    </row>
    <row r="138" spans="1:7" ht="13.5" customHeight="1">
      <c r="A138" s="2011">
        <f t="shared" si="12"/>
        <v>133</v>
      </c>
      <c r="B138" s="1217">
        <f t="shared" si="11"/>
        <v>22</v>
      </c>
      <c r="C138" s="2073" t="s">
        <v>1418</v>
      </c>
      <c r="D138" s="1217"/>
      <c r="E138" s="2019">
        <v>45748</v>
      </c>
      <c r="F138" s="1217" t="s">
        <v>192</v>
      </c>
      <c r="G138" s="2018"/>
    </row>
    <row r="139" spans="1:7" ht="13.5" customHeight="1">
      <c r="A139" s="2011">
        <f t="shared" si="12"/>
        <v>134</v>
      </c>
      <c r="B139" s="1217">
        <f t="shared" si="11"/>
        <v>23</v>
      </c>
      <c r="C139" s="2073" t="s">
        <v>1419</v>
      </c>
      <c r="D139" s="1217"/>
      <c r="E139" s="2019">
        <v>45748</v>
      </c>
      <c r="F139" s="1217" t="s">
        <v>192</v>
      </c>
      <c r="G139" s="2018"/>
    </row>
    <row r="140" spans="1:7" ht="13.5" customHeight="1">
      <c r="A140" s="2011">
        <f t="shared" si="12"/>
        <v>135</v>
      </c>
      <c r="B140" s="1217">
        <f>+B139+1</f>
        <v>24</v>
      </c>
      <c r="C140" s="2073" t="s">
        <v>1420</v>
      </c>
      <c r="D140" s="1217"/>
      <c r="E140" s="2019">
        <v>45748</v>
      </c>
      <c r="F140" s="1217" t="s">
        <v>192</v>
      </c>
      <c r="G140" s="2018"/>
    </row>
    <row r="141" spans="1:7" ht="13.5" customHeight="1">
      <c r="A141" s="2011">
        <f t="shared" si="12"/>
        <v>136</v>
      </c>
      <c r="B141" s="1217">
        <f t="shared" si="11"/>
        <v>25</v>
      </c>
      <c r="C141" s="2073" t="s">
        <v>1421</v>
      </c>
      <c r="D141" s="1217"/>
      <c r="E141" s="2019">
        <v>45748</v>
      </c>
      <c r="F141" s="1217" t="s">
        <v>192</v>
      </c>
      <c r="G141" s="2018"/>
    </row>
    <row r="142" spans="1:7" ht="13.5" customHeight="1">
      <c r="A142" s="2011">
        <f t="shared" si="12"/>
        <v>137</v>
      </c>
      <c r="B142" s="1217">
        <f t="shared" si="11"/>
        <v>26</v>
      </c>
      <c r="C142" s="2073" t="s">
        <v>1422</v>
      </c>
      <c r="D142" s="1217"/>
      <c r="E142" s="2019">
        <v>45748</v>
      </c>
      <c r="F142" s="1217" t="s">
        <v>192</v>
      </c>
      <c r="G142" s="2018"/>
    </row>
    <row r="143" spans="1:7" ht="13.5" customHeight="1">
      <c r="A143" s="2011">
        <f t="shared" si="12"/>
        <v>138</v>
      </c>
      <c r="B143" s="1217">
        <f t="shared" si="11"/>
        <v>27</v>
      </c>
      <c r="C143" s="2073" t="s">
        <v>1423</v>
      </c>
      <c r="D143" s="1217"/>
      <c r="E143" s="2019">
        <v>45748</v>
      </c>
      <c r="F143" s="1217" t="s">
        <v>192</v>
      </c>
      <c r="G143" s="2018"/>
    </row>
    <row r="144" spans="1:7" ht="13.5" customHeight="1">
      <c r="A144" s="2011">
        <f t="shared" si="12"/>
        <v>139</v>
      </c>
      <c r="B144" s="1217">
        <f t="shared" si="11"/>
        <v>28</v>
      </c>
      <c r="C144" s="2073" t="s">
        <v>1424</v>
      </c>
      <c r="D144" s="1217"/>
      <c r="E144" s="2019">
        <v>45748</v>
      </c>
      <c r="F144" s="1217" t="s">
        <v>192</v>
      </c>
      <c r="G144" s="2018"/>
    </row>
    <row r="145" spans="1:7" ht="13.5" customHeight="1">
      <c r="A145" s="2011">
        <f t="shared" si="12"/>
        <v>140</v>
      </c>
      <c r="B145" s="1217">
        <f t="shared" si="11"/>
        <v>29</v>
      </c>
      <c r="C145" s="2073" t="s">
        <v>1425</v>
      </c>
      <c r="D145" s="1217"/>
      <c r="E145" s="2019">
        <v>45748</v>
      </c>
      <c r="F145" s="1217" t="s">
        <v>192</v>
      </c>
      <c r="G145" s="2018"/>
    </row>
    <row r="146" spans="1:7" ht="13.5" customHeight="1">
      <c r="A146" s="2011">
        <f t="shared" si="12"/>
        <v>141</v>
      </c>
      <c r="B146" s="1217">
        <f t="shared" si="11"/>
        <v>30</v>
      </c>
      <c r="C146" s="2073" t="s">
        <v>1426</v>
      </c>
      <c r="D146" s="1217"/>
      <c r="E146" s="2019">
        <v>45748</v>
      </c>
      <c r="F146" s="1217" t="s">
        <v>192</v>
      </c>
      <c r="G146" s="2018"/>
    </row>
    <row r="147" spans="1:7" ht="13.5" customHeight="1">
      <c r="A147" s="2011">
        <f t="shared" si="12"/>
        <v>142</v>
      </c>
      <c r="B147" s="1217">
        <f t="shared" si="11"/>
        <v>31</v>
      </c>
      <c r="C147" s="2073" t="s">
        <v>1427</v>
      </c>
      <c r="D147" s="1217"/>
      <c r="E147" s="2019">
        <v>45748</v>
      </c>
      <c r="F147" s="1217" t="s">
        <v>192</v>
      </c>
      <c r="G147" s="2018"/>
    </row>
    <row r="148" spans="1:7" ht="13.5" customHeight="1">
      <c r="A148" s="2011">
        <f t="shared" si="12"/>
        <v>143</v>
      </c>
      <c r="B148" s="1217">
        <f t="shared" si="11"/>
        <v>32</v>
      </c>
      <c r="C148" s="2073" t="s">
        <v>1428</v>
      </c>
      <c r="D148" s="1217"/>
      <c r="E148" s="2019">
        <v>45748</v>
      </c>
      <c r="F148" s="1217" t="s">
        <v>192</v>
      </c>
      <c r="G148" s="2018"/>
    </row>
    <row r="149" spans="1:7" ht="13.5" customHeight="1">
      <c r="A149" s="2011">
        <f t="shared" si="12"/>
        <v>144</v>
      </c>
      <c r="B149" s="1217">
        <f t="shared" si="11"/>
        <v>33</v>
      </c>
      <c r="C149" s="2073" t="s">
        <v>1429</v>
      </c>
      <c r="D149" s="1217"/>
      <c r="E149" s="2019">
        <v>45748</v>
      </c>
      <c r="F149" s="1217" t="s">
        <v>192</v>
      </c>
      <c r="G149" s="2018"/>
    </row>
    <row r="150" spans="1:7" ht="13.5" customHeight="1">
      <c r="A150" s="2011">
        <f t="shared" si="12"/>
        <v>145</v>
      </c>
      <c r="B150" s="1217">
        <f t="shared" si="11"/>
        <v>34</v>
      </c>
      <c r="C150" s="2073" t="s">
        <v>1430</v>
      </c>
      <c r="D150" s="1217"/>
      <c r="E150" s="2019">
        <v>45748</v>
      </c>
      <c r="F150" s="1217" t="s">
        <v>192</v>
      </c>
      <c r="G150" s="2018"/>
    </row>
    <row r="151" spans="1:7" ht="13.5" customHeight="1">
      <c r="A151" s="2011">
        <f t="shared" si="12"/>
        <v>146</v>
      </c>
      <c r="B151" s="1217">
        <f t="shared" si="11"/>
        <v>35</v>
      </c>
      <c r="C151" s="2073" t="s">
        <v>1431</v>
      </c>
      <c r="D151" s="1217"/>
      <c r="E151" s="2019">
        <v>45748</v>
      </c>
      <c r="F151" s="1217" t="s">
        <v>192</v>
      </c>
      <c r="G151" s="2018"/>
    </row>
    <row r="152" spans="1:7" ht="13.5" customHeight="1">
      <c r="A152" s="2011">
        <f t="shared" si="12"/>
        <v>147</v>
      </c>
      <c r="B152" s="1217">
        <f t="shared" si="11"/>
        <v>36</v>
      </c>
      <c r="C152" s="2073" t="s">
        <v>1432</v>
      </c>
      <c r="D152" s="1217"/>
      <c r="E152" s="2019">
        <v>45748</v>
      </c>
      <c r="F152" s="1217" t="s">
        <v>192</v>
      </c>
      <c r="G152" s="2018"/>
    </row>
    <row r="153" spans="1:7" ht="13.5" customHeight="1">
      <c r="A153" s="2011">
        <f t="shared" si="12"/>
        <v>148</v>
      </c>
      <c r="B153" s="1217">
        <f t="shared" si="11"/>
        <v>37</v>
      </c>
      <c r="C153" s="2073" t="s">
        <v>1433</v>
      </c>
      <c r="D153" s="1217"/>
      <c r="E153" s="2019">
        <v>45748</v>
      </c>
      <c r="F153" s="1217" t="s">
        <v>192</v>
      </c>
      <c r="G153" s="2018"/>
    </row>
    <row r="154" spans="1:7" ht="13.5" customHeight="1">
      <c r="A154" s="2011">
        <f t="shared" si="12"/>
        <v>149</v>
      </c>
      <c r="B154" s="1217">
        <f t="shared" si="11"/>
        <v>38</v>
      </c>
      <c r="C154" s="2073" t="s">
        <v>1434</v>
      </c>
      <c r="D154" s="1217"/>
      <c r="E154" s="2019">
        <v>45748</v>
      </c>
      <c r="F154" s="1217" t="s">
        <v>192</v>
      </c>
      <c r="G154" s="2018"/>
    </row>
    <row r="155" spans="1:7" ht="13.5" customHeight="1">
      <c r="A155" s="2011">
        <f t="shared" si="12"/>
        <v>150</v>
      </c>
      <c r="B155" s="1217">
        <f t="shared" si="11"/>
        <v>39</v>
      </c>
      <c r="C155" s="2073" t="s">
        <v>1435</v>
      </c>
      <c r="D155" s="1217"/>
      <c r="E155" s="2019">
        <v>45748</v>
      </c>
      <c r="F155" s="1217" t="s">
        <v>192</v>
      </c>
      <c r="G155" s="2018"/>
    </row>
    <row r="156" spans="1:7" ht="13.5" customHeight="1">
      <c r="A156" s="2011">
        <f t="shared" si="12"/>
        <v>151</v>
      </c>
      <c r="B156" s="1217">
        <f t="shared" si="11"/>
        <v>40</v>
      </c>
      <c r="C156" s="2073" t="s">
        <v>1436</v>
      </c>
      <c r="D156" s="1217"/>
      <c r="E156" s="2019">
        <v>45748</v>
      </c>
      <c r="F156" s="1217" t="s">
        <v>192</v>
      </c>
      <c r="G156" s="2069"/>
    </row>
    <row r="157" spans="1:7" ht="13.5" customHeight="1">
      <c r="A157" s="2011">
        <f t="shared" si="12"/>
        <v>152</v>
      </c>
      <c r="B157" s="1217">
        <f t="shared" si="11"/>
        <v>41</v>
      </c>
      <c r="C157" s="2073" t="s">
        <v>1437</v>
      </c>
      <c r="D157" s="1217"/>
      <c r="E157" s="2019">
        <v>45748</v>
      </c>
      <c r="F157" s="1217" t="s">
        <v>192</v>
      </c>
      <c r="G157" s="1217"/>
    </row>
    <row r="158" spans="1:7" ht="13.5" customHeight="1">
      <c r="A158" s="2011">
        <f t="shared" si="12"/>
        <v>153</v>
      </c>
      <c r="B158" s="1217">
        <f t="shared" si="11"/>
        <v>42</v>
      </c>
      <c r="C158" s="2073" t="s">
        <v>1438</v>
      </c>
      <c r="D158" s="1217"/>
      <c r="E158" s="2019">
        <v>45748</v>
      </c>
      <c r="F158" s="1217" t="s">
        <v>192</v>
      </c>
      <c r="G158" s="2069"/>
    </row>
    <row r="159" spans="1:7" ht="13.5" customHeight="1">
      <c r="A159" s="2011">
        <f t="shared" si="12"/>
        <v>154</v>
      </c>
      <c r="B159" s="1217">
        <f t="shared" si="11"/>
        <v>43</v>
      </c>
      <c r="C159" s="2073" t="s">
        <v>1439</v>
      </c>
      <c r="D159" s="1217"/>
      <c r="E159" s="2019">
        <v>45748</v>
      </c>
      <c r="F159" s="1217" t="s">
        <v>192</v>
      </c>
      <c r="G159" s="1217"/>
    </row>
    <row r="160" spans="1:7" ht="13.5" customHeight="1">
      <c r="A160" s="2011">
        <f t="shared" si="12"/>
        <v>155</v>
      </c>
      <c r="B160" s="1217">
        <f t="shared" si="11"/>
        <v>44</v>
      </c>
      <c r="C160" s="2074" t="s">
        <v>1440</v>
      </c>
      <c r="D160" s="1217"/>
      <c r="E160" s="2019">
        <v>45748</v>
      </c>
      <c r="F160" s="1217" t="s">
        <v>192</v>
      </c>
      <c r="G160" s="1217"/>
    </row>
    <row r="161" spans="1:7" ht="13.5" customHeight="1">
      <c r="A161" s="2011">
        <f t="shared" si="12"/>
        <v>156</v>
      </c>
      <c r="B161" s="1217">
        <v>1</v>
      </c>
      <c r="C161" s="1217" t="s">
        <v>1441</v>
      </c>
      <c r="D161" s="1217"/>
      <c r="E161" s="2019">
        <v>45901</v>
      </c>
      <c r="F161" s="1217" t="s">
        <v>192</v>
      </c>
      <c r="G161" s="1217"/>
    </row>
    <row r="162" spans="1:7" ht="13.5" customHeight="1">
      <c r="A162" s="2011">
        <f t="shared" si="12"/>
        <v>157</v>
      </c>
      <c r="B162" s="1217">
        <f>B161+1</f>
        <v>2</v>
      </c>
      <c r="C162" s="1217" t="s">
        <v>1442</v>
      </c>
      <c r="D162" s="1217"/>
      <c r="E162" s="2019">
        <v>45901</v>
      </c>
      <c r="F162" s="1217" t="s">
        <v>192</v>
      </c>
      <c r="G162" s="1217"/>
    </row>
    <row r="163" spans="1:7" ht="13.5" customHeight="1">
      <c r="A163" s="2011">
        <f t="shared" si="12"/>
        <v>158</v>
      </c>
      <c r="B163" s="1217">
        <f>B162+1</f>
        <v>3</v>
      </c>
      <c r="C163" s="1217" t="s">
        <v>1443</v>
      </c>
      <c r="D163" s="1217"/>
      <c r="E163" s="2019">
        <v>45901</v>
      </c>
      <c r="F163" s="1217" t="s">
        <v>192</v>
      </c>
      <c r="G163" s="1217"/>
    </row>
    <row r="164" spans="1:7" ht="13.5" customHeight="1">
      <c r="A164" s="2011">
        <f t="shared" si="12"/>
        <v>159</v>
      </c>
      <c r="B164" s="1217">
        <f t="shared" ref="B164:B217" si="13">B163+1</f>
        <v>4</v>
      </c>
      <c r="C164" s="1217" t="s">
        <v>1444</v>
      </c>
      <c r="D164" s="1217"/>
      <c r="E164" s="2019">
        <v>45901</v>
      </c>
      <c r="F164" s="1217" t="s">
        <v>192</v>
      </c>
      <c r="G164" s="1217"/>
    </row>
    <row r="165" spans="1:7" ht="13.5" customHeight="1">
      <c r="A165" s="2011">
        <f t="shared" si="12"/>
        <v>160</v>
      </c>
      <c r="B165" s="1217">
        <f t="shared" si="13"/>
        <v>5</v>
      </c>
      <c r="C165" s="1217" t="s">
        <v>1445</v>
      </c>
      <c r="D165" s="1217"/>
      <c r="E165" s="2019">
        <v>45901</v>
      </c>
      <c r="F165" s="1217" t="s">
        <v>192</v>
      </c>
      <c r="G165" s="1217"/>
    </row>
    <row r="166" spans="1:7" ht="13.5" customHeight="1">
      <c r="A166" s="2011">
        <f t="shared" si="12"/>
        <v>161</v>
      </c>
      <c r="B166" s="1217">
        <f>B165+1</f>
        <v>6</v>
      </c>
      <c r="C166" s="1217" t="s">
        <v>1446</v>
      </c>
      <c r="D166" s="1217"/>
      <c r="E166" s="2019">
        <v>45901</v>
      </c>
      <c r="F166" s="1217" t="s">
        <v>192</v>
      </c>
      <c r="G166" s="1217"/>
    </row>
    <row r="167" spans="1:7" ht="13.5" customHeight="1">
      <c r="A167" s="2011">
        <f t="shared" si="12"/>
        <v>162</v>
      </c>
      <c r="B167" s="1217">
        <f t="shared" si="13"/>
        <v>7</v>
      </c>
      <c r="C167" s="1217" t="s">
        <v>1447</v>
      </c>
      <c r="D167" s="1217"/>
      <c r="E167" s="2019">
        <v>45901</v>
      </c>
      <c r="F167" s="1217" t="s">
        <v>192</v>
      </c>
      <c r="G167" s="1217"/>
    </row>
    <row r="168" spans="1:7" ht="13.5" customHeight="1">
      <c r="A168" s="2011">
        <f t="shared" si="12"/>
        <v>163</v>
      </c>
      <c r="B168" s="1217">
        <f t="shared" si="13"/>
        <v>8</v>
      </c>
      <c r="C168" s="1217" t="s">
        <v>1448</v>
      </c>
      <c r="D168" s="1217"/>
      <c r="E168" s="2019">
        <v>45901</v>
      </c>
      <c r="F168" s="1217" t="s">
        <v>192</v>
      </c>
      <c r="G168" s="2069">
        <f>A165</f>
        <v>160</v>
      </c>
    </row>
    <row r="169" spans="1:7" ht="13.5" customHeight="1">
      <c r="A169" s="2011">
        <f t="shared" si="12"/>
        <v>164</v>
      </c>
      <c r="B169" s="1217">
        <f>+B168+1</f>
        <v>9</v>
      </c>
      <c r="C169" s="1217" t="s">
        <v>1449</v>
      </c>
      <c r="D169" s="1217"/>
      <c r="E169" s="2019">
        <v>45901</v>
      </c>
      <c r="F169" s="1217" t="s">
        <v>192</v>
      </c>
      <c r="G169" s="1217">
        <v>1</v>
      </c>
    </row>
    <row r="170" spans="1:7" ht="13.5" customHeight="1">
      <c r="A170" s="2011">
        <f t="shared" si="12"/>
        <v>165</v>
      </c>
      <c r="B170" s="1217">
        <f t="shared" si="13"/>
        <v>10</v>
      </c>
      <c r="C170" s="1217" t="s">
        <v>1450</v>
      </c>
      <c r="D170" s="1217"/>
      <c r="E170" s="2019">
        <v>45901</v>
      </c>
      <c r="F170" s="1217" t="s">
        <v>192</v>
      </c>
      <c r="G170" s="2069">
        <f>402-G168-G169-G171</f>
        <v>239</v>
      </c>
    </row>
    <row r="171" spans="1:7" ht="13.5" customHeight="1">
      <c r="A171" s="2011">
        <f t="shared" si="12"/>
        <v>166</v>
      </c>
      <c r="B171" s="1217">
        <f t="shared" si="13"/>
        <v>11</v>
      </c>
      <c r="C171" s="1217" t="s">
        <v>1451</v>
      </c>
      <c r="D171" s="1217"/>
      <c r="E171" s="2019">
        <v>45901</v>
      </c>
      <c r="F171" s="1217" t="s">
        <v>192</v>
      </c>
      <c r="G171" s="1217">
        <v>2</v>
      </c>
    </row>
    <row r="172" spans="1:7" ht="13.5" customHeight="1">
      <c r="A172" s="2011">
        <f t="shared" si="12"/>
        <v>167</v>
      </c>
      <c r="B172" s="1217">
        <f t="shared" si="13"/>
        <v>12</v>
      </c>
      <c r="C172" s="1217" t="s">
        <v>1452</v>
      </c>
      <c r="D172" s="1217"/>
      <c r="E172" s="2019">
        <v>45901</v>
      </c>
      <c r="F172" s="1217" t="s">
        <v>192</v>
      </c>
      <c r="G172" s="1217"/>
    </row>
    <row r="173" spans="1:7" ht="13.5" customHeight="1">
      <c r="A173" s="2011">
        <f t="shared" si="12"/>
        <v>168</v>
      </c>
      <c r="B173" s="1217">
        <f t="shared" si="13"/>
        <v>13</v>
      </c>
      <c r="C173" s="1217" t="s">
        <v>1453</v>
      </c>
      <c r="D173" s="1217"/>
      <c r="E173" s="2019">
        <v>45901</v>
      </c>
      <c r="F173" s="1217" t="s">
        <v>192</v>
      </c>
      <c r="G173" s="1217"/>
    </row>
    <row r="174" spans="1:7" ht="13.5" customHeight="1">
      <c r="A174" s="2011">
        <f t="shared" si="12"/>
        <v>169</v>
      </c>
      <c r="B174" s="1217">
        <f t="shared" si="13"/>
        <v>14</v>
      </c>
      <c r="C174" s="1217" t="s">
        <v>1454</v>
      </c>
      <c r="D174" s="1217"/>
      <c r="E174" s="2019">
        <v>45901</v>
      </c>
      <c r="F174" s="1217" t="s">
        <v>192</v>
      </c>
      <c r="G174" s="1217"/>
    </row>
    <row r="175" spans="1:7" ht="13.5" customHeight="1">
      <c r="A175" s="2011">
        <f t="shared" si="12"/>
        <v>170</v>
      </c>
      <c r="B175" s="1217">
        <f t="shared" si="13"/>
        <v>15</v>
      </c>
      <c r="C175" s="1217" t="s">
        <v>1455</v>
      </c>
      <c r="D175" s="1217"/>
      <c r="E175" s="2019">
        <v>45901</v>
      </c>
      <c r="F175" s="1217" t="s">
        <v>192</v>
      </c>
      <c r="G175" s="1217"/>
    </row>
    <row r="176" spans="1:7" ht="13.5" customHeight="1">
      <c r="A176" s="2011">
        <f t="shared" si="12"/>
        <v>171</v>
      </c>
      <c r="B176" s="1217">
        <f t="shared" si="13"/>
        <v>16</v>
      </c>
      <c r="C176" s="1217" t="s">
        <v>1456</v>
      </c>
      <c r="D176" s="1217"/>
      <c r="E176" s="2019">
        <v>45901</v>
      </c>
      <c r="F176" s="1217" t="s">
        <v>192</v>
      </c>
      <c r="G176" s="1217"/>
    </row>
    <row r="177" spans="1:7" ht="13.5" customHeight="1">
      <c r="A177" s="2011">
        <f t="shared" si="12"/>
        <v>172</v>
      </c>
      <c r="B177" s="1217">
        <f t="shared" si="13"/>
        <v>17</v>
      </c>
      <c r="C177" s="1217" t="s">
        <v>1457</v>
      </c>
      <c r="D177" s="1217"/>
      <c r="E177" s="2019">
        <v>45901</v>
      </c>
      <c r="F177" s="1217" t="s">
        <v>192</v>
      </c>
      <c r="G177" s="1217"/>
    </row>
    <row r="178" spans="1:7" ht="13.5" customHeight="1">
      <c r="A178" s="2011">
        <f t="shared" si="12"/>
        <v>173</v>
      </c>
      <c r="B178" s="1217">
        <f t="shared" si="13"/>
        <v>18</v>
      </c>
      <c r="C178" s="1217" t="s">
        <v>1458</v>
      </c>
      <c r="D178" s="1217"/>
      <c r="E178" s="2019">
        <v>45901</v>
      </c>
      <c r="F178" s="1217" t="s">
        <v>192</v>
      </c>
      <c r="G178" s="1217"/>
    </row>
    <row r="179" spans="1:7" ht="13.5" customHeight="1">
      <c r="A179" s="2011">
        <f t="shared" si="12"/>
        <v>174</v>
      </c>
      <c r="B179" s="1217">
        <f t="shared" si="13"/>
        <v>19</v>
      </c>
      <c r="C179" s="1217" t="s">
        <v>1459</v>
      </c>
      <c r="D179" s="1217"/>
      <c r="E179" s="2019">
        <v>45901</v>
      </c>
      <c r="F179" s="1217" t="s">
        <v>192</v>
      </c>
      <c r="G179" s="1217"/>
    </row>
    <row r="180" spans="1:7" ht="13.5" customHeight="1">
      <c r="A180" s="2011">
        <f t="shared" si="12"/>
        <v>175</v>
      </c>
      <c r="B180" s="1217">
        <f t="shared" si="13"/>
        <v>20</v>
      </c>
      <c r="C180" s="1217" t="s">
        <v>1460</v>
      </c>
      <c r="D180" s="1217"/>
      <c r="E180" s="2019">
        <v>45901</v>
      </c>
      <c r="F180" s="1217" t="s">
        <v>192</v>
      </c>
      <c r="G180" s="1217"/>
    </row>
    <row r="181" spans="1:7" ht="13.5" customHeight="1">
      <c r="A181" s="2011">
        <f t="shared" si="12"/>
        <v>176</v>
      </c>
      <c r="B181" s="1217">
        <f t="shared" si="13"/>
        <v>21</v>
      </c>
      <c r="C181" s="1217" t="s">
        <v>1461</v>
      </c>
      <c r="D181" s="1217"/>
      <c r="E181" s="2019">
        <v>45901</v>
      </c>
      <c r="F181" s="1217" t="s">
        <v>192</v>
      </c>
      <c r="G181" s="1217"/>
    </row>
    <row r="182" spans="1:7" ht="13.5" customHeight="1">
      <c r="A182" s="2011">
        <f t="shared" si="12"/>
        <v>177</v>
      </c>
      <c r="B182" s="1217">
        <f t="shared" si="13"/>
        <v>22</v>
      </c>
      <c r="C182" s="1217" t="s">
        <v>1462</v>
      </c>
      <c r="D182" s="1217"/>
      <c r="E182" s="2019">
        <v>45901</v>
      </c>
      <c r="F182" s="1217" t="s">
        <v>192</v>
      </c>
      <c r="G182" s="1217"/>
    </row>
    <row r="183" spans="1:7" ht="13.5" customHeight="1">
      <c r="A183" s="2011">
        <f t="shared" si="12"/>
        <v>178</v>
      </c>
      <c r="B183" s="1217">
        <f t="shared" si="13"/>
        <v>23</v>
      </c>
      <c r="C183" s="1217" t="s">
        <v>1463</v>
      </c>
      <c r="D183" s="1217"/>
      <c r="E183" s="2019">
        <v>45901</v>
      </c>
      <c r="F183" s="1217" t="s">
        <v>192</v>
      </c>
      <c r="G183" s="1217"/>
    </row>
    <row r="184" spans="1:7" ht="13.5" customHeight="1">
      <c r="A184" s="2011">
        <f t="shared" si="12"/>
        <v>179</v>
      </c>
      <c r="B184" s="1217">
        <f t="shared" si="13"/>
        <v>24</v>
      </c>
      <c r="C184" s="1217" t="s">
        <v>1464</v>
      </c>
      <c r="D184" s="1217"/>
      <c r="E184" s="2019">
        <v>45901</v>
      </c>
      <c r="F184" s="1217" t="s">
        <v>192</v>
      </c>
      <c r="G184" s="1217"/>
    </row>
    <row r="185" spans="1:7" ht="13.5" customHeight="1">
      <c r="A185" s="2011">
        <f t="shared" si="12"/>
        <v>180</v>
      </c>
      <c r="B185" s="1217">
        <f t="shared" si="13"/>
        <v>25</v>
      </c>
      <c r="C185" s="1217" t="s">
        <v>1465</v>
      </c>
      <c r="D185" s="1217"/>
      <c r="E185" s="2019">
        <v>45901</v>
      </c>
      <c r="F185" s="1217" t="s">
        <v>192</v>
      </c>
      <c r="G185" s="1217"/>
    </row>
    <row r="186" spans="1:7" ht="13.5" customHeight="1">
      <c r="A186" s="2011">
        <f t="shared" si="12"/>
        <v>181</v>
      </c>
      <c r="B186" s="1217">
        <f t="shared" si="13"/>
        <v>26</v>
      </c>
      <c r="C186" s="1217" t="s">
        <v>1466</v>
      </c>
      <c r="D186" s="1217"/>
      <c r="E186" s="2019">
        <v>45901</v>
      </c>
      <c r="F186" s="1217" t="s">
        <v>192</v>
      </c>
      <c r="G186" s="1217"/>
    </row>
    <row r="187" spans="1:7" ht="13.5" customHeight="1">
      <c r="A187" s="2011">
        <f t="shared" si="12"/>
        <v>182</v>
      </c>
      <c r="B187" s="1217">
        <f t="shared" si="13"/>
        <v>27</v>
      </c>
      <c r="C187" s="1217" t="s">
        <v>1467</v>
      </c>
      <c r="D187" s="1217"/>
      <c r="E187" s="2019">
        <v>45901</v>
      </c>
      <c r="F187" s="1217" t="s">
        <v>192</v>
      </c>
      <c r="G187" s="1217"/>
    </row>
    <row r="188" spans="1:7" ht="13.5" customHeight="1">
      <c r="A188" s="2011">
        <f t="shared" si="12"/>
        <v>183</v>
      </c>
      <c r="B188" s="1217">
        <f t="shared" si="13"/>
        <v>28</v>
      </c>
      <c r="C188" s="1217" t="s">
        <v>1468</v>
      </c>
      <c r="D188" s="1217"/>
      <c r="E188" s="2019">
        <v>45901</v>
      </c>
      <c r="F188" s="1217" t="s">
        <v>192</v>
      </c>
      <c r="G188" s="1217"/>
    </row>
    <row r="189" spans="1:7" ht="13.5" customHeight="1">
      <c r="A189" s="2011">
        <f t="shared" si="12"/>
        <v>184</v>
      </c>
      <c r="B189" s="1217">
        <f t="shared" si="13"/>
        <v>29</v>
      </c>
      <c r="C189" s="1217" t="s">
        <v>1469</v>
      </c>
      <c r="D189" s="1217"/>
      <c r="E189" s="2019">
        <v>45901</v>
      </c>
      <c r="F189" s="1217" t="s">
        <v>192</v>
      </c>
      <c r="G189" s="1217"/>
    </row>
    <row r="190" spans="1:7" ht="13.5" customHeight="1">
      <c r="A190" s="2011">
        <f t="shared" si="12"/>
        <v>185</v>
      </c>
      <c r="B190" s="1217">
        <f t="shared" si="13"/>
        <v>30</v>
      </c>
      <c r="C190" s="1217" t="s">
        <v>1470</v>
      </c>
      <c r="D190" s="1217"/>
      <c r="E190" s="2019">
        <v>45901</v>
      </c>
      <c r="F190" s="1217" t="s">
        <v>192</v>
      </c>
      <c r="G190" s="1217"/>
    </row>
    <row r="191" spans="1:7" ht="13.5" customHeight="1">
      <c r="A191" s="2011">
        <f t="shared" si="12"/>
        <v>186</v>
      </c>
      <c r="B191" s="1217">
        <f t="shared" si="13"/>
        <v>31</v>
      </c>
      <c r="C191" s="1217" t="s">
        <v>1471</v>
      </c>
      <c r="D191" s="1217"/>
      <c r="E191" s="2019">
        <v>45901</v>
      </c>
      <c r="F191" s="1217" t="s">
        <v>192</v>
      </c>
      <c r="G191" s="1217"/>
    </row>
    <row r="192" spans="1:7" ht="13.5" customHeight="1">
      <c r="A192" s="2011">
        <f t="shared" si="12"/>
        <v>187</v>
      </c>
      <c r="B192" s="1217">
        <f>+B191+1</f>
        <v>32</v>
      </c>
      <c r="C192" s="1217" t="s">
        <v>1472</v>
      </c>
      <c r="D192" s="1217"/>
      <c r="E192" s="2019">
        <v>45901</v>
      </c>
      <c r="F192" s="1217" t="s">
        <v>192</v>
      </c>
      <c r="G192" s="1217"/>
    </row>
    <row r="193" spans="1:11">
      <c r="A193" s="2011">
        <f t="shared" si="12"/>
        <v>188</v>
      </c>
      <c r="B193" s="1217">
        <f t="shared" si="13"/>
        <v>33</v>
      </c>
      <c r="C193" s="1217" t="s">
        <v>1473</v>
      </c>
      <c r="D193" s="1217"/>
      <c r="E193" s="2019">
        <v>45901</v>
      </c>
      <c r="F193" s="1217" t="s">
        <v>192</v>
      </c>
      <c r="G193" s="1217"/>
    </row>
    <row r="194" spans="1:11">
      <c r="A194" s="2011">
        <f t="shared" si="12"/>
        <v>189</v>
      </c>
      <c r="B194" s="1217">
        <f t="shared" si="13"/>
        <v>34</v>
      </c>
      <c r="C194" s="1217" t="s">
        <v>1474</v>
      </c>
      <c r="D194" s="1217"/>
      <c r="E194" s="2019">
        <v>45901</v>
      </c>
      <c r="F194" s="1217" t="s">
        <v>192</v>
      </c>
      <c r="G194" s="1217"/>
    </row>
    <row r="195" spans="1:11">
      <c r="A195" s="2011">
        <f t="shared" si="12"/>
        <v>190</v>
      </c>
      <c r="B195" s="1217">
        <f t="shared" si="13"/>
        <v>35</v>
      </c>
      <c r="C195" s="1217" t="s">
        <v>1475</v>
      </c>
      <c r="D195" s="1217"/>
      <c r="E195" s="2019">
        <v>45901</v>
      </c>
      <c r="F195" s="1217" t="s">
        <v>192</v>
      </c>
      <c r="G195" s="1217"/>
      <c r="H195" s="874" t="s">
        <v>1476</v>
      </c>
      <c r="J195" s="874">
        <v>45627</v>
      </c>
      <c r="K195" s="874" t="s">
        <v>192</v>
      </c>
    </row>
    <row r="196" spans="1:11">
      <c r="A196" s="2011">
        <f t="shared" si="12"/>
        <v>191</v>
      </c>
      <c r="B196" s="1217">
        <f t="shared" si="13"/>
        <v>36</v>
      </c>
      <c r="C196" s="1217" t="s">
        <v>1477</v>
      </c>
      <c r="D196" s="1217"/>
      <c r="E196" s="2019">
        <v>45901</v>
      </c>
      <c r="F196" s="1217" t="s">
        <v>192</v>
      </c>
      <c r="G196" s="1217"/>
      <c r="H196" s="874" t="s">
        <v>1292</v>
      </c>
      <c r="J196" s="874">
        <v>45627</v>
      </c>
      <c r="K196" s="874" t="s">
        <v>192</v>
      </c>
    </row>
    <row r="197" spans="1:11">
      <c r="A197" s="2011">
        <f t="shared" si="12"/>
        <v>192</v>
      </c>
      <c r="B197" s="1217">
        <f t="shared" si="13"/>
        <v>37</v>
      </c>
      <c r="C197" s="1217" t="s">
        <v>1478</v>
      </c>
      <c r="D197" s="1217"/>
      <c r="E197" s="2019">
        <v>45901</v>
      </c>
      <c r="F197" s="1217" t="s">
        <v>192</v>
      </c>
      <c r="G197" s="1217"/>
      <c r="H197" s="874" t="s">
        <v>1289</v>
      </c>
      <c r="J197" s="874">
        <v>45627</v>
      </c>
      <c r="K197" s="874" t="s">
        <v>192</v>
      </c>
    </row>
    <row r="198" spans="1:11">
      <c r="A198" s="2011">
        <f t="shared" si="12"/>
        <v>193</v>
      </c>
      <c r="B198" s="1217">
        <f t="shared" si="13"/>
        <v>38</v>
      </c>
      <c r="C198" s="1217" t="s">
        <v>1479</v>
      </c>
      <c r="D198" s="1217"/>
      <c r="E198" s="2019">
        <v>45901</v>
      </c>
      <c r="F198" s="1217" t="s">
        <v>192</v>
      </c>
      <c r="G198" s="1217"/>
      <c r="H198" s="874" t="s">
        <v>1290</v>
      </c>
      <c r="J198" s="874">
        <v>45627</v>
      </c>
      <c r="K198" s="874" t="s">
        <v>192</v>
      </c>
    </row>
    <row r="199" spans="1:11">
      <c r="A199" s="2011">
        <f t="shared" si="12"/>
        <v>194</v>
      </c>
      <c r="B199" s="1217">
        <f t="shared" si="13"/>
        <v>39</v>
      </c>
      <c r="C199" s="1217" t="s">
        <v>1480</v>
      </c>
      <c r="D199" s="1217"/>
      <c r="E199" s="2019">
        <v>45901</v>
      </c>
      <c r="F199" s="1217" t="s">
        <v>192</v>
      </c>
      <c r="G199" s="1217"/>
    </row>
    <row r="200" spans="1:11">
      <c r="A200" s="2011">
        <f t="shared" ref="A200:A263" si="14">A199+1</f>
        <v>195</v>
      </c>
      <c r="B200" s="1217">
        <f t="shared" si="13"/>
        <v>40</v>
      </c>
      <c r="C200" s="1217" t="s">
        <v>1481</v>
      </c>
      <c r="D200" s="1217"/>
      <c r="E200" s="2019">
        <v>45901</v>
      </c>
      <c r="F200" s="1217" t="s">
        <v>192</v>
      </c>
      <c r="G200" s="1217"/>
    </row>
    <row r="201" spans="1:11">
      <c r="A201" s="2011">
        <f t="shared" si="14"/>
        <v>196</v>
      </c>
      <c r="B201" s="1217">
        <f t="shared" si="13"/>
        <v>41</v>
      </c>
      <c r="C201" s="1217" t="s">
        <v>1482</v>
      </c>
      <c r="D201" s="1217"/>
      <c r="E201" s="2019">
        <v>45901</v>
      </c>
      <c r="F201" s="1217" t="s">
        <v>192</v>
      </c>
      <c r="G201" s="1217"/>
    </row>
    <row r="202" spans="1:11">
      <c r="A202" s="2011">
        <f t="shared" si="14"/>
        <v>197</v>
      </c>
      <c r="B202" s="1217">
        <f t="shared" si="13"/>
        <v>42</v>
      </c>
      <c r="C202" s="1217" t="s">
        <v>1483</v>
      </c>
      <c r="D202" s="1217"/>
      <c r="E202" s="2019">
        <v>45901</v>
      </c>
      <c r="F202" s="1217" t="s">
        <v>192</v>
      </c>
      <c r="G202" s="1217"/>
    </row>
    <row r="203" spans="1:11">
      <c r="A203" s="2011">
        <f t="shared" si="14"/>
        <v>198</v>
      </c>
      <c r="B203" s="1217">
        <f t="shared" si="13"/>
        <v>43</v>
      </c>
      <c r="C203" s="1217" t="s">
        <v>1484</v>
      </c>
      <c r="D203" s="1217"/>
      <c r="E203" s="2019">
        <v>45901</v>
      </c>
      <c r="F203" s="1217" t="s">
        <v>192</v>
      </c>
      <c r="G203" s="1217"/>
    </row>
    <row r="204" spans="1:11">
      <c r="A204" s="2011">
        <f t="shared" si="14"/>
        <v>199</v>
      </c>
      <c r="B204" s="1217">
        <f t="shared" si="13"/>
        <v>44</v>
      </c>
      <c r="C204" s="1217" t="s">
        <v>1485</v>
      </c>
      <c r="D204" s="1217"/>
      <c r="E204" s="2019">
        <v>45901</v>
      </c>
      <c r="F204" s="1217" t="s">
        <v>192</v>
      </c>
      <c r="G204" s="1217"/>
    </row>
    <row r="205" spans="1:11">
      <c r="A205" s="2011">
        <f t="shared" si="14"/>
        <v>200</v>
      </c>
      <c r="B205" s="1217">
        <f t="shared" si="13"/>
        <v>45</v>
      </c>
      <c r="C205" s="1217" t="s">
        <v>1486</v>
      </c>
      <c r="D205" s="1217"/>
      <c r="E205" s="2019">
        <v>45901</v>
      </c>
      <c r="F205" s="1217" t="s">
        <v>192</v>
      </c>
      <c r="G205" s="1217"/>
    </row>
    <row r="206" spans="1:11">
      <c r="A206" s="2011">
        <f t="shared" si="14"/>
        <v>201</v>
      </c>
      <c r="B206" s="1217">
        <f t="shared" si="13"/>
        <v>46</v>
      </c>
      <c r="C206" s="1217" t="s">
        <v>1487</v>
      </c>
      <c r="D206" s="1217"/>
      <c r="E206" s="2019">
        <v>45901</v>
      </c>
      <c r="F206" s="1217" t="s">
        <v>192</v>
      </c>
      <c r="G206" s="1217"/>
    </row>
    <row r="207" spans="1:11">
      <c r="A207" s="2011">
        <f t="shared" si="14"/>
        <v>202</v>
      </c>
      <c r="B207" s="1217">
        <f t="shared" si="13"/>
        <v>47</v>
      </c>
      <c r="C207" s="1217" t="s">
        <v>1488</v>
      </c>
      <c r="D207" s="1217"/>
      <c r="E207" s="2019">
        <v>45901</v>
      </c>
      <c r="F207" s="1217" t="s">
        <v>192</v>
      </c>
      <c r="G207" s="1217"/>
    </row>
    <row r="208" spans="1:11">
      <c r="A208" s="2011">
        <f t="shared" si="14"/>
        <v>203</v>
      </c>
      <c r="B208" s="1217">
        <f t="shared" si="13"/>
        <v>48</v>
      </c>
      <c r="C208" s="1217" t="s">
        <v>1489</v>
      </c>
      <c r="D208" s="1217"/>
      <c r="E208" s="2019">
        <v>45901</v>
      </c>
      <c r="F208" s="1217" t="s">
        <v>192</v>
      </c>
      <c r="G208" s="1217"/>
    </row>
    <row r="209" spans="1:7">
      <c r="A209" s="2011">
        <f t="shared" si="14"/>
        <v>204</v>
      </c>
      <c r="B209" s="1217">
        <f t="shared" si="13"/>
        <v>49</v>
      </c>
      <c r="C209" s="1217" t="s">
        <v>1490</v>
      </c>
      <c r="D209" s="1217"/>
      <c r="E209" s="2019">
        <v>45901</v>
      </c>
      <c r="F209" s="1217" t="s">
        <v>192</v>
      </c>
      <c r="G209" s="1217"/>
    </row>
    <row r="210" spans="1:7">
      <c r="A210" s="2011">
        <f t="shared" si="14"/>
        <v>205</v>
      </c>
      <c r="B210" s="1217">
        <f t="shared" si="13"/>
        <v>50</v>
      </c>
      <c r="C210" s="1217" t="s">
        <v>1491</v>
      </c>
      <c r="D210" s="1217"/>
      <c r="E210" s="2019">
        <v>45901</v>
      </c>
      <c r="F210" s="1217" t="s">
        <v>192</v>
      </c>
      <c r="G210" s="1217"/>
    </row>
    <row r="211" spans="1:7">
      <c r="A211" s="2011">
        <f t="shared" si="14"/>
        <v>206</v>
      </c>
      <c r="B211" s="1217">
        <f t="shared" si="13"/>
        <v>51</v>
      </c>
      <c r="C211" s="1217" t="s">
        <v>1492</v>
      </c>
      <c r="D211" s="1217"/>
      <c r="E211" s="2019">
        <v>45901</v>
      </c>
      <c r="F211" s="1217" t="s">
        <v>192</v>
      </c>
      <c r="G211" s="1217"/>
    </row>
    <row r="212" spans="1:7">
      <c r="A212" s="2011">
        <f t="shared" si="14"/>
        <v>207</v>
      </c>
      <c r="B212" s="1217">
        <f t="shared" si="13"/>
        <v>52</v>
      </c>
      <c r="C212" s="1217" t="s">
        <v>1493</v>
      </c>
      <c r="D212" s="1217"/>
      <c r="E212" s="2019">
        <v>45901</v>
      </c>
      <c r="F212" s="1217" t="s">
        <v>192</v>
      </c>
      <c r="G212" s="1217"/>
    </row>
    <row r="213" spans="1:7">
      <c r="A213" s="2011">
        <f t="shared" si="14"/>
        <v>208</v>
      </c>
      <c r="B213" s="1217">
        <f t="shared" si="13"/>
        <v>53</v>
      </c>
      <c r="C213" s="1217" t="s">
        <v>1494</v>
      </c>
      <c r="D213" s="1217"/>
      <c r="E213" s="2019">
        <v>45901</v>
      </c>
      <c r="F213" s="1217" t="s">
        <v>192</v>
      </c>
      <c r="G213" s="1217"/>
    </row>
    <row r="214" spans="1:7">
      <c r="A214" s="2011">
        <f t="shared" si="14"/>
        <v>209</v>
      </c>
      <c r="B214" s="1217">
        <f t="shared" si="13"/>
        <v>54</v>
      </c>
      <c r="C214" s="1217" t="s">
        <v>1495</v>
      </c>
      <c r="D214" s="1217"/>
      <c r="E214" s="2019">
        <v>45901</v>
      </c>
      <c r="F214" s="1217" t="s">
        <v>192</v>
      </c>
      <c r="G214" s="1217"/>
    </row>
    <row r="215" spans="1:7">
      <c r="A215" s="2011">
        <f t="shared" si="14"/>
        <v>210</v>
      </c>
      <c r="B215" s="1217">
        <f t="shared" si="13"/>
        <v>55</v>
      </c>
      <c r="C215" s="1217" t="s">
        <v>1496</v>
      </c>
      <c r="D215" s="1217"/>
      <c r="E215" s="2019">
        <v>45901</v>
      </c>
      <c r="F215" s="1217" t="s">
        <v>192</v>
      </c>
      <c r="G215" s="1217"/>
    </row>
    <row r="216" spans="1:7">
      <c r="A216" s="2011">
        <f t="shared" si="14"/>
        <v>211</v>
      </c>
      <c r="B216" s="1217">
        <f t="shared" si="13"/>
        <v>56</v>
      </c>
      <c r="C216" s="1217" t="s">
        <v>1497</v>
      </c>
      <c r="D216" s="1217"/>
      <c r="E216" s="2019">
        <v>45901</v>
      </c>
      <c r="F216" s="1217" t="s">
        <v>192</v>
      </c>
      <c r="G216" s="1217"/>
    </row>
    <row r="217" spans="1:7">
      <c r="A217" s="2011">
        <f t="shared" si="14"/>
        <v>212</v>
      </c>
      <c r="B217" s="1217">
        <f t="shared" si="13"/>
        <v>57</v>
      </c>
      <c r="C217" s="1217" t="s">
        <v>1498</v>
      </c>
      <c r="D217" s="1217"/>
      <c r="E217" s="2019">
        <v>45901</v>
      </c>
      <c r="F217" s="1217" t="s">
        <v>192</v>
      </c>
      <c r="G217" s="1217"/>
    </row>
    <row r="218" spans="1:7">
      <c r="A218" s="2011">
        <f t="shared" si="14"/>
        <v>213</v>
      </c>
      <c r="B218" s="1217">
        <f t="shared" ref="B218:B233" si="15">B217+1</f>
        <v>58</v>
      </c>
      <c r="C218" s="1217" t="s">
        <v>1499</v>
      </c>
      <c r="D218" s="1217"/>
      <c r="E218" s="2019">
        <v>45901</v>
      </c>
      <c r="F218" s="1217" t="s">
        <v>192</v>
      </c>
      <c r="G218" s="1217"/>
    </row>
    <row r="219" spans="1:7">
      <c r="A219" s="2011">
        <f t="shared" si="14"/>
        <v>214</v>
      </c>
      <c r="B219" s="1217">
        <f t="shared" si="15"/>
        <v>59</v>
      </c>
      <c r="C219" s="1217" t="s">
        <v>1500</v>
      </c>
      <c r="D219" s="1217"/>
      <c r="E219" s="2019">
        <v>45901</v>
      </c>
      <c r="F219" s="1217" t="s">
        <v>192</v>
      </c>
      <c r="G219" s="1217"/>
    </row>
    <row r="220" spans="1:7">
      <c r="A220" s="2011">
        <f t="shared" si="14"/>
        <v>215</v>
      </c>
      <c r="B220" s="1217">
        <f t="shared" si="15"/>
        <v>60</v>
      </c>
      <c r="C220" s="1217" t="s">
        <v>1501</v>
      </c>
      <c r="D220" s="1217"/>
      <c r="E220" s="2019">
        <v>45901</v>
      </c>
      <c r="F220" s="1217" t="s">
        <v>192</v>
      </c>
      <c r="G220" s="1217"/>
    </row>
    <row r="221" spans="1:7">
      <c r="A221" s="2011">
        <f t="shared" si="14"/>
        <v>216</v>
      </c>
      <c r="B221" s="1217">
        <f t="shared" si="15"/>
        <v>61</v>
      </c>
      <c r="C221" s="1217" t="s">
        <v>1502</v>
      </c>
      <c r="D221" s="1217"/>
      <c r="E221" s="2019">
        <v>45901</v>
      </c>
      <c r="F221" s="1217" t="s">
        <v>192</v>
      </c>
      <c r="G221" s="1217"/>
    </row>
    <row r="222" spans="1:7">
      <c r="A222" s="2011">
        <f t="shared" si="14"/>
        <v>217</v>
      </c>
      <c r="B222" s="1217">
        <f t="shared" si="15"/>
        <v>62</v>
      </c>
      <c r="C222" s="1217" t="s">
        <v>1503</v>
      </c>
      <c r="D222" s="1217"/>
      <c r="E222" s="2019">
        <v>45901</v>
      </c>
      <c r="F222" s="1217" t="s">
        <v>192</v>
      </c>
      <c r="G222" s="1217"/>
    </row>
    <row r="223" spans="1:7">
      <c r="A223" s="2011">
        <f t="shared" si="14"/>
        <v>218</v>
      </c>
      <c r="B223" s="1217">
        <f t="shared" si="15"/>
        <v>63</v>
      </c>
      <c r="C223" s="1217" t="s">
        <v>1504</v>
      </c>
      <c r="D223" s="1217"/>
      <c r="E223" s="2019">
        <v>45901</v>
      </c>
      <c r="F223" s="1217" t="s">
        <v>192</v>
      </c>
      <c r="G223" s="1217"/>
    </row>
    <row r="224" spans="1:7">
      <c r="A224" s="2011">
        <f t="shared" si="14"/>
        <v>219</v>
      </c>
      <c r="B224" s="1217">
        <f t="shared" si="15"/>
        <v>64</v>
      </c>
      <c r="C224" s="1217" t="s">
        <v>1505</v>
      </c>
      <c r="D224" s="1217"/>
      <c r="E224" s="2019">
        <v>45901</v>
      </c>
      <c r="F224" s="1217" t="s">
        <v>192</v>
      </c>
      <c r="G224" s="1217"/>
    </row>
    <row r="225" spans="1:7">
      <c r="A225" s="2011">
        <f t="shared" si="14"/>
        <v>220</v>
      </c>
      <c r="B225" s="1217">
        <f t="shared" si="15"/>
        <v>65</v>
      </c>
      <c r="C225" s="1217" t="s">
        <v>1506</v>
      </c>
      <c r="D225" s="1217"/>
      <c r="E225" s="2019">
        <v>45901</v>
      </c>
      <c r="F225" s="1217" t="s">
        <v>192</v>
      </c>
      <c r="G225" s="1217"/>
    </row>
    <row r="226" spans="1:7">
      <c r="A226" s="2011">
        <f t="shared" si="14"/>
        <v>221</v>
      </c>
      <c r="B226" s="1217">
        <f t="shared" si="15"/>
        <v>66</v>
      </c>
      <c r="C226" s="1217" t="s">
        <v>1507</v>
      </c>
      <c r="D226" s="1217"/>
      <c r="E226" s="2019">
        <v>45901</v>
      </c>
      <c r="F226" s="1217" t="s">
        <v>192</v>
      </c>
      <c r="G226" s="1217"/>
    </row>
    <row r="227" spans="1:7">
      <c r="A227" s="2011">
        <f t="shared" si="14"/>
        <v>222</v>
      </c>
      <c r="B227" s="1217">
        <f t="shared" si="15"/>
        <v>67</v>
      </c>
      <c r="C227" s="1217" t="s">
        <v>1508</v>
      </c>
      <c r="D227" s="1217"/>
      <c r="E227" s="2019">
        <v>45901</v>
      </c>
      <c r="F227" s="1217" t="s">
        <v>192</v>
      </c>
      <c r="G227" s="1217"/>
    </row>
    <row r="228" spans="1:7">
      <c r="A228" s="2011">
        <f t="shared" si="14"/>
        <v>223</v>
      </c>
      <c r="B228" s="1217">
        <f>1+B227</f>
        <v>68</v>
      </c>
      <c r="C228" s="1217" t="s">
        <v>1509</v>
      </c>
      <c r="D228" s="1217"/>
      <c r="E228" s="2019">
        <v>45901</v>
      </c>
      <c r="F228" s="1217" t="s">
        <v>192</v>
      </c>
      <c r="G228" s="1217"/>
    </row>
    <row r="229" spans="1:7">
      <c r="A229" s="2011">
        <f t="shared" si="14"/>
        <v>224</v>
      </c>
      <c r="B229" s="1217">
        <f t="shared" si="15"/>
        <v>69</v>
      </c>
      <c r="C229" s="1217" t="s">
        <v>1510</v>
      </c>
      <c r="D229" s="1217"/>
      <c r="E229" s="2019">
        <v>45901</v>
      </c>
      <c r="F229" s="1217" t="s">
        <v>192</v>
      </c>
      <c r="G229" s="1217"/>
    </row>
    <row r="230" spans="1:7">
      <c r="A230" s="2011">
        <f t="shared" si="14"/>
        <v>225</v>
      </c>
      <c r="B230" s="1217">
        <f t="shared" si="15"/>
        <v>70</v>
      </c>
      <c r="C230" s="1217" t="s">
        <v>1511</v>
      </c>
      <c r="D230" s="1217"/>
      <c r="E230" s="2019">
        <v>45901</v>
      </c>
      <c r="F230" s="1217" t="s">
        <v>192</v>
      </c>
      <c r="G230" s="1217"/>
    </row>
    <row r="231" spans="1:7">
      <c r="A231" s="2011">
        <f t="shared" si="14"/>
        <v>226</v>
      </c>
      <c r="B231" s="1217">
        <f t="shared" si="15"/>
        <v>71</v>
      </c>
      <c r="C231" s="1217" t="s">
        <v>1512</v>
      </c>
      <c r="D231" s="1217"/>
      <c r="E231" s="2019">
        <v>45901</v>
      </c>
      <c r="F231" s="1217" t="s">
        <v>192</v>
      </c>
      <c r="G231" s="1217"/>
    </row>
    <row r="232" spans="1:7">
      <c r="A232" s="2011">
        <f t="shared" si="14"/>
        <v>227</v>
      </c>
      <c r="B232" s="1217">
        <f t="shared" si="15"/>
        <v>72</v>
      </c>
      <c r="C232" s="1217" t="s">
        <v>1513</v>
      </c>
      <c r="D232" s="1217"/>
      <c r="E232" s="2019">
        <v>45901</v>
      </c>
      <c r="F232" s="1217" t="s">
        <v>192</v>
      </c>
      <c r="G232" s="1217"/>
    </row>
    <row r="233" spans="1:7">
      <c r="A233" s="2011">
        <f t="shared" si="14"/>
        <v>228</v>
      </c>
      <c r="B233" s="2021">
        <f t="shared" si="15"/>
        <v>73</v>
      </c>
      <c r="C233" s="1217" t="s">
        <v>1514</v>
      </c>
      <c r="D233" s="1217"/>
      <c r="E233" s="2019">
        <v>45901</v>
      </c>
      <c r="F233" s="2021" t="s">
        <v>192</v>
      </c>
      <c r="G233" s="1217"/>
    </row>
    <row r="234" spans="1:7">
      <c r="A234" s="2011">
        <f t="shared" si="14"/>
        <v>229</v>
      </c>
      <c r="B234" s="2106">
        <v>1</v>
      </c>
      <c r="C234" s="2106" t="s">
        <v>1515</v>
      </c>
      <c r="E234" s="2104">
        <v>46054</v>
      </c>
      <c r="F234" s="2105" t="s">
        <v>192</v>
      </c>
      <c r="G234" s="1217"/>
    </row>
    <row r="235" spans="1:7">
      <c r="A235" s="2011">
        <f t="shared" si="14"/>
        <v>230</v>
      </c>
      <c r="B235" s="2106">
        <f>B234+1</f>
        <v>2</v>
      </c>
      <c r="C235" s="2106" t="s">
        <v>1516</v>
      </c>
      <c r="E235" s="2104">
        <v>46054</v>
      </c>
      <c r="F235" s="2106" t="s">
        <v>192</v>
      </c>
      <c r="G235" s="1217"/>
    </row>
    <row r="236" spans="1:7">
      <c r="A236" s="2011">
        <f t="shared" si="14"/>
        <v>231</v>
      </c>
      <c r="B236" s="2106">
        <f t="shared" ref="A236:B342" si="16">B235+1</f>
        <v>3</v>
      </c>
      <c r="C236" s="2106" t="s">
        <v>1517</v>
      </c>
      <c r="E236" s="2104">
        <v>46054</v>
      </c>
      <c r="F236" s="2106" t="s">
        <v>192</v>
      </c>
      <c r="G236" s="1217"/>
    </row>
    <row r="237" spans="1:7">
      <c r="A237" s="2011">
        <f t="shared" si="14"/>
        <v>232</v>
      </c>
      <c r="B237" s="2106">
        <f t="shared" si="16"/>
        <v>4</v>
      </c>
      <c r="C237" s="2106" t="s">
        <v>1518</v>
      </c>
      <c r="E237" s="2104">
        <v>46054</v>
      </c>
      <c r="F237" s="2106" t="s">
        <v>192</v>
      </c>
      <c r="G237" s="1217"/>
    </row>
    <row r="238" spans="1:7">
      <c r="A238" s="2011">
        <f t="shared" si="14"/>
        <v>233</v>
      </c>
      <c r="B238" s="2106">
        <f t="shared" si="16"/>
        <v>5</v>
      </c>
      <c r="C238" s="2106" t="s">
        <v>1519</v>
      </c>
      <c r="E238" s="2104">
        <v>46054</v>
      </c>
      <c r="F238" s="2106" t="s">
        <v>192</v>
      </c>
      <c r="G238" s="1217"/>
    </row>
    <row r="239" spans="1:7">
      <c r="A239" s="2011">
        <f t="shared" si="14"/>
        <v>234</v>
      </c>
      <c r="B239" s="2106">
        <f t="shared" si="16"/>
        <v>6</v>
      </c>
      <c r="C239" s="2106" t="s">
        <v>1520</v>
      </c>
      <c r="E239" s="2104">
        <v>46054</v>
      </c>
      <c r="F239" s="2106" t="s">
        <v>192</v>
      </c>
      <c r="G239" s="1217"/>
    </row>
    <row r="240" spans="1:7">
      <c r="A240" s="2011">
        <f t="shared" si="14"/>
        <v>235</v>
      </c>
      <c r="B240" s="2106">
        <f t="shared" si="16"/>
        <v>7</v>
      </c>
      <c r="C240" s="2106" t="s">
        <v>1521</v>
      </c>
      <c r="E240" s="2104">
        <v>46054</v>
      </c>
      <c r="F240" s="2106" t="s">
        <v>192</v>
      </c>
      <c r="G240" s="1217"/>
    </row>
    <row r="241" spans="1:7">
      <c r="A241" s="2011">
        <f t="shared" si="14"/>
        <v>236</v>
      </c>
      <c r="B241" s="2106">
        <f t="shared" si="16"/>
        <v>8</v>
      </c>
      <c r="C241" s="2106" t="s">
        <v>1522</v>
      </c>
      <c r="E241" s="2104">
        <v>46054</v>
      </c>
      <c r="F241" s="2106" t="s">
        <v>192</v>
      </c>
      <c r="G241" s="1217"/>
    </row>
    <row r="242" spans="1:7">
      <c r="A242" s="2011">
        <f t="shared" si="14"/>
        <v>237</v>
      </c>
      <c r="B242" s="2106">
        <f t="shared" si="16"/>
        <v>9</v>
      </c>
      <c r="C242" s="2106" t="s">
        <v>1523</v>
      </c>
      <c r="E242" s="2104">
        <v>46054</v>
      </c>
      <c r="F242" s="2106" t="s">
        <v>192</v>
      </c>
      <c r="G242" s="1217"/>
    </row>
    <row r="243" spans="1:7">
      <c r="A243" s="2011">
        <f t="shared" si="14"/>
        <v>238</v>
      </c>
      <c r="B243" s="2106">
        <f t="shared" si="16"/>
        <v>10</v>
      </c>
      <c r="C243" s="2106" t="s">
        <v>1524</v>
      </c>
      <c r="E243" s="2104">
        <v>46054</v>
      </c>
      <c r="F243" s="2106" t="s">
        <v>192</v>
      </c>
      <c r="G243" s="1217"/>
    </row>
    <row r="244" spans="1:7">
      <c r="A244" s="2011">
        <f t="shared" si="14"/>
        <v>239</v>
      </c>
      <c r="B244" s="2106">
        <f t="shared" si="16"/>
        <v>11</v>
      </c>
      <c r="C244" s="2106" t="s">
        <v>1525</v>
      </c>
      <c r="E244" s="2104">
        <v>46054</v>
      </c>
      <c r="F244" s="2106" t="s">
        <v>192</v>
      </c>
      <c r="G244" s="1217"/>
    </row>
    <row r="245" spans="1:7">
      <c r="A245" s="2011">
        <f t="shared" si="14"/>
        <v>240</v>
      </c>
      <c r="B245" s="2106">
        <f t="shared" si="16"/>
        <v>12</v>
      </c>
      <c r="C245" s="2106" t="s">
        <v>1526</v>
      </c>
      <c r="E245" s="2104">
        <v>46054</v>
      </c>
      <c r="F245" s="2106" t="s">
        <v>192</v>
      </c>
      <c r="G245" s="1217"/>
    </row>
    <row r="246" spans="1:7">
      <c r="A246" s="2011">
        <f t="shared" si="14"/>
        <v>241</v>
      </c>
      <c r="B246" s="2106">
        <f t="shared" si="16"/>
        <v>13</v>
      </c>
      <c r="C246" s="2106" t="s">
        <v>1527</v>
      </c>
      <c r="E246" s="2104">
        <v>46054</v>
      </c>
      <c r="F246" s="2106" t="s">
        <v>192</v>
      </c>
      <c r="G246" s="1217"/>
    </row>
    <row r="247" spans="1:7">
      <c r="A247" s="2011">
        <f t="shared" si="14"/>
        <v>242</v>
      </c>
      <c r="B247" s="2106">
        <f t="shared" si="16"/>
        <v>14</v>
      </c>
      <c r="C247" s="2106" t="s">
        <v>1528</v>
      </c>
      <c r="E247" s="2104">
        <v>46054</v>
      </c>
      <c r="F247" s="2106" t="s">
        <v>192</v>
      </c>
      <c r="G247" s="1217"/>
    </row>
    <row r="248" spans="1:7">
      <c r="A248" s="2011">
        <f t="shared" si="14"/>
        <v>243</v>
      </c>
      <c r="B248" s="2106">
        <f t="shared" si="16"/>
        <v>15</v>
      </c>
      <c r="C248" s="2106" t="s">
        <v>1529</v>
      </c>
      <c r="E248" s="2104">
        <v>46054</v>
      </c>
      <c r="F248" s="2106" t="s">
        <v>192</v>
      </c>
      <c r="G248" s="1217"/>
    </row>
    <row r="249" spans="1:7">
      <c r="A249" s="2011">
        <f t="shared" si="14"/>
        <v>244</v>
      </c>
      <c r="B249" s="2106">
        <f t="shared" si="16"/>
        <v>16</v>
      </c>
      <c r="C249" s="2106" t="s">
        <v>1530</v>
      </c>
      <c r="E249" s="2104">
        <v>46054</v>
      </c>
      <c r="F249" s="2106" t="s">
        <v>192</v>
      </c>
      <c r="G249" s="1217"/>
    </row>
    <row r="250" spans="1:7">
      <c r="A250" s="2011">
        <f t="shared" si="14"/>
        <v>245</v>
      </c>
      <c r="B250" s="2106">
        <f t="shared" si="16"/>
        <v>17</v>
      </c>
      <c r="C250" s="2106" t="s">
        <v>1531</v>
      </c>
      <c r="E250" s="2104">
        <v>46054</v>
      </c>
      <c r="F250" s="2106" t="s">
        <v>192</v>
      </c>
      <c r="G250" s="1217"/>
    </row>
    <row r="251" spans="1:7">
      <c r="A251" s="2011">
        <f t="shared" si="14"/>
        <v>246</v>
      </c>
      <c r="B251" s="2106">
        <f t="shared" si="16"/>
        <v>18</v>
      </c>
      <c r="C251" s="2106" t="s">
        <v>1532</v>
      </c>
      <c r="E251" s="2104">
        <v>46054</v>
      </c>
      <c r="F251" s="2106" t="s">
        <v>192</v>
      </c>
      <c r="G251" s="1217"/>
    </row>
    <row r="252" spans="1:7">
      <c r="A252" s="2011">
        <f t="shared" si="14"/>
        <v>247</v>
      </c>
      <c r="B252" s="2106">
        <f t="shared" si="16"/>
        <v>19</v>
      </c>
      <c r="C252" s="2106" t="s">
        <v>1533</v>
      </c>
      <c r="E252" s="2104">
        <v>46054</v>
      </c>
      <c r="F252" s="2106" t="s">
        <v>192</v>
      </c>
      <c r="G252" s="1217"/>
    </row>
    <row r="253" spans="1:7">
      <c r="A253" s="2011">
        <f t="shared" si="14"/>
        <v>248</v>
      </c>
      <c r="B253" s="2106">
        <f t="shared" si="16"/>
        <v>20</v>
      </c>
      <c r="C253" s="2106" t="s">
        <v>1534</v>
      </c>
      <c r="E253" s="2104">
        <v>46054</v>
      </c>
      <c r="F253" s="2106" t="s">
        <v>192</v>
      </c>
      <c r="G253" s="1217"/>
    </row>
    <row r="254" spans="1:7">
      <c r="A254" s="2011">
        <f t="shared" si="14"/>
        <v>249</v>
      </c>
      <c r="B254" s="2106">
        <f t="shared" si="16"/>
        <v>21</v>
      </c>
      <c r="C254" s="2106" t="s">
        <v>1535</v>
      </c>
      <c r="E254" s="2104">
        <v>46054</v>
      </c>
      <c r="F254" s="2106" t="s">
        <v>192</v>
      </c>
      <c r="G254" s="1217"/>
    </row>
    <row r="255" spans="1:7">
      <c r="A255" s="2011">
        <f t="shared" si="14"/>
        <v>250</v>
      </c>
      <c r="B255" s="2106">
        <f t="shared" si="16"/>
        <v>22</v>
      </c>
      <c r="C255" s="2106" t="s">
        <v>1536</v>
      </c>
      <c r="E255" s="2104">
        <v>46054</v>
      </c>
      <c r="F255" s="2106" t="s">
        <v>192</v>
      </c>
      <c r="G255" s="1217"/>
    </row>
    <row r="256" spans="1:7">
      <c r="A256" s="2011">
        <f t="shared" si="14"/>
        <v>251</v>
      </c>
      <c r="B256" s="2106">
        <f t="shared" si="16"/>
        <v>23</v>
      </c>
      <c r="C256" s="2106" t="s">
        <v>1537</v>
      </c>
      <c r="E256" s="2104">
        <v>46054</v>
      </c>
      <c r="F256" s="2106" t="s">
        <v>192</v>
      </c>
      <c r="G256" s="1217"/>
    </row>
    <row r="257" spans="1:7">
      <c r="A257" s="2011">
        <f t="shared" si="14"/>
        <v>252</v>
      </c>
      <c r="B257" s="2106">
        <f t="shared" si="16"/>
        <v>24</v>
      </c>
      <c r="C257" s="2106" t="s">
        <v>1538</v>
      </c>
      <c r="E257" s="2104">
        <v>46054</v>
      </c>
      <c r="F257" s="2106" t="s">
        <v>192</v>
      </c>
      <c r="G257" s="1217"/>
    </row>
    <row r="258" spans="1:7">
      <c r="A258" s="2011">
        <f t="shared" si="14"/>
        <v>253</v>
      </c>
      <c r="B258" s="2106">
        <f t="shared" si="16"/>
        <v>25</v>
      </c>
      <c r="C258" s="2106" t="s">
        <v>1539</v>
      </c>
      <c r="E258" s="2104">
        <v>46054</v>
      </c>
      <c r="F258" s="2106" t="s">
        <v>192</v>
      </c>
      <c r="G258" s="1217"/>
    </row>
    <row r="259" spans="1:7">
      <c r="A259" s="2011">
        <f t="shared" si="14"/>
        <v>254</v>
      </c>
      <c r="B259" s="2106">
        <f t="shared" si="16"/>
        <v>26</v>
      </c>
      <c r="C259" s="2106" t="s">
        <v>1540</v>
      </c>
      <c r="E259" s="2104">
        <v>46054</v>
      </c>
      <c r="F259" s="2106" t="s">
        <v>192</v>
      </c>
      <c r="G259" s="1217"/>
    </row>
    <row r="260" spans="1:7">
      <c r="A260" s="2011">
        <f t="shared" si="14"/>
        <v>255</v>
      </c>
      <c r="B260" s="2106">
        <f t="shared" si="16"/>
        <v>27</v>
      </c>
      <c r="C260" s="2106" t="s">
        <v>1541</v>
      </c>
      <c r="E260" s="2104">
        <v>46054</v>
      </c>
      <c r="F260" s="2106" t="s">
        <v>192</v>
      </c>
      <c r="G260" s="1217"/>
    </row>
    <row r="261" spans="1:7">
      <c r="A261" s="2011">
        <f t="shared" si="14"/>
        <v>256</v>
      </c>
      <c r="B261" s="2106">
        <f t="shared" si="16"/>
        <v>28</v>
      </c>
      <c r="C261" s="2106" t="s">
        <v>1542</v>
      </c>
      <c r="E261" s="2104">
        <v>46054</v>
      </c>
      <c r="F261" s="2106" t="s">
        <v>192</v>
      </c>
      <c r="G261" s="1217"/>
    </row>
    <row r="262" spans="1:7">
      <c r="A262" s="2011">
        <f t="shared" si="14"/>
        <v>257</v>
      </c>
      <c r="B262" s="2106">
        <f t="shared" si="16"/>
        <v>29</v>
      </c>
      <c r="C262" s="2106" t="s">
        <v>1543</v>
      </c>
      <c r="E262" s="2104">
        <v>46054</v>
      </c>
      <c r="F262" s="2106" t="s">
        <v>192</v>
      </c>
      <c r="G262" s="1217"/>
    </row>
    <row r="263" spans="1:7">
      <c r="A263" s="2011">
        <f t="shared" si="14"/>
        <v>258</v>
      </c>
      <c r="B263" s="2106">
        <f t="shared" si="16"/>
        <v>30</v>
      </c>
      <c r="C263" s="2106" t="s">
        <v>1544</v>
      </c>
      <c r="E263" s="2104">
        <v>46054</v>
      </c>
      <c r="F263" s="2106" t="s">
        <v>192</v>
      </c>
      <c r="G263" s="1217"/>
    </row>
    <row r="264" spans="1:7">
      <c r="A264" s="2011">
        <f t="shared" ref="A264:A328" si="17">A263+1</f>
        <v>259</v>
      </c>
      <c r="B264" s="2106">
        <f t="shared" si="16"/>
        <v>31</v>
      </c>
      <c r="C264" s="2106" t="s">
        <v>1545</v>
      </c>
      <c r="E264" s="2104">
        <v>46054</v>
      </c>
      <c r="F264" s="2106" t="s">
        <v>192</v>
      </c>
      <c r="G264" s="1217"/>
    </row>
    <row r="265" spans="1:7">
      <c r="A265" s="2011">
        <f t="shared" si="17"/>
        <v>260</v>
      </c>
      <c r="B265" s="2106">
        <f t="shared" si="16"/>
        <v>32</v>
      </c>
      <c r="C265" s="2106" t="s">
        <v>1546</v>
      </c>
      <c r="E265" s="2104">
        <v>46054</v>
      </c>
      <c r="F265" s="2106" t="s">
        <v>192</v>
      </c>
      <c r="G265" s="1217"/>
    </row>
    <row r="266" spans="1:7">
      <c r="A266" s="2011">
        <f t="shared" si="17"/>
        <v>261</v>
      </c>
      <c r="B266" s="2106">
        <f t="shared" si="16"/>
        <v>33</v>
      </c>
      <c r="C266" s="2106" t="s">
        <v>1547</v>
      </c>
      <c r="E266" s="2104">
        <v>46054</v>
      </c>
      <c r="F266" s="2106" t="s">
        <v>192</v>
      </c>
      <c r="G266" s="1217"/>
    </row>
    <row r="267" spans="1:7">
      <c r="A267" s="2011">
        <f t="shared" si="17"/>
        <v>262</v>
      </c>
      <c r="B267" s="2106">
        <f t="shared" si="16"/>
        <v>34</v>
      </c>
      <c r="C267" s="2106" t="s">
        <v>1548</v>
      </c>
      <c r="E267" s="2104">
        <v>46054</v>
      </c>
      <c r="F267" s="2106" t="s">
        <v>192</v>
      </c>
      <c r="G267" s="1217"/>
    </row>
    <row r="268" spans="1:7">
      <c r="A268" s="2011">
        <f t="shared" si="17"/>
        <v>263</v>
      </c>
      <c r="B268" s="2106">
        <f t="shared" si="16"/>
        <v>35</v>
      </c>
      <c r="C268" s="2106" t="s">
        <v>1549</v>
      </c>
      <c r="E268" s="2104">
        <v>46054</v>
      </c>
      <c r="F268" s="2106" t="s">
        <v>192</v>
      </c>
      <c r="G268" s="1217"/>
    </row>
    <row r="269" spans="1:7">
      <c r="A269" s="2011">
        <f t="shared" si="17"/>
        <v>264</v>
      </c>
      <c r="B269" s="2106">
        <f t="shared" si="16"/>
        <v>36</v>
      </c>
      <c r="C269" s="2106" t="s">
        <v>1550</v>
      </c>
      <c r="E269" s="2104">
        <v>46054</v>
      </c>
      <c r="F269" s="2106" t="s">
        <v>192</v>
      </c>
      <c r="G269" s="1217"/>
    </row>
    <row r="270" spans="1:7">
      <c r="A270" s="2011">
        <f t="shared" si="17"/>
        <v>265</v>
      </c>
      <c r="B270" s="2106">
        <f t="shared" si="16"/>
        <v>37</v>
      </c>
      <c r="C270" s="2106" t="s">
        <v>1551</v>
      </c>
      <c r="E270" s="2104">
        <v>46054</v>
      </c>
      <c r="F270" s="2106" t="s">
        <v>192</v>
      </c>
      <c r="G270" s="1217"/>
    </row>
    <row r="271" spans="1:7">
      <c r="A271" s="2011">
        <f t="shared" si="17"/>
        <v>266</v>
      </c>
      <c r="B271" s="2106">
        <f t="shared" si="16"/>
        <v>38</v>
      </c>
      <c r="C271" s="2106" t="s">
        <v>1552</v>
      </c>
      <c r="E271" s="2104">
        <v>46054</v>
      </c>
      <c r="F271" s="2106" t="s">
        <v>192</v>
      </c>
      <c r="G271" s="1217"/>
    </row>
    <row r="272" spans="1:7">
      <c r="A272" s="2011">
        <f t="shared" si="17"/>
        <v>267</v>
      </c>
      <c r="B272" s="2106">
        <f t="shared" si="16"/>
        <v>39</v>
      </c>
      <c r="C272" s="2106" t="s">
        <v>1553</v>
      </c>
      <c r="E272" s="2104">
        <v>46054</v>
      </c>
      <c r="F272" s="2106" t="s">
        <v>192</v>
      </c>
      <c r="G272" s="1217"/>
    </row>
    <row r="273" spans="1:7">
      <c r="A273" s="2011">
        <f t="shared" si="17"/>
        <v>268</v>
      </c>
      <c r="B273" s="2106">
        <f t="shared" si="16"/>
        <v>40</v>
      </c>
      <c r="C273" s="2106" t="s">
        <v>1554</v>
      </c>
      <c r="E273" s="2104">
        <v>46054</v>
      </c>
      <c r="F273" s="2106" t="s">
        <v>192</v>
      </c>
      <c r="G273" s="1217"/>
    </row>
    <row r="274" spans="1:7">
      <c r="A274" s="2011">
        <f t="shared" si="17"/>
        <v>269</v>
      </c>
      <c r="B274" s="2106">
        <f t="shared" si="16"/>
        <v>41</v>
      </c>
      <c r="C274" s="2106" t="s">
        <v>1555</v>
      </c>
      <c r="E274" s="2104">
        <v>46054</v>
      </c>
      <c r="F274" s="2106" t="s">
        <v>192</v>
      </c>
      <c r="G274" s="1217"/>
    </row>
    <row r="275" spans="1:7">
      <c r="A275" s="2011">
        <f t="shared" si="17"/>
        <v>270</v>
      </c>
      <c r="B275" s="2106">
        <f t="shared" si="16"/>
        <v>42</v>
      </c>
      <c r="C275" s="2106" t="s">
        <v>1556</v>
      </c>
      <c r="E275" s="2104">
        <v>46054</v>
      </c>
      <c r="F275" s="2106" t="s">
        <v>192</v>
      </c>
      <c r="G275" s="1217"/>
    </row>
    <row r="276" spans="1:7">
      <c r="A276" s="2011">
        <f t="shared" si="17"/>
        <v>271</v>
      </c>
      <c r="B276" s="2106">
        <f t="shared" si="16"/>
        <v>43</v>
      </c>
      <c r="C276" s="2106" t="s">
        <v>1557</v>
      </c>
      <c r="E276" s="2104">
        <v>46054</v>
      </c>
      <c r="F276" s="2106" t="s">
        <v>192</v>
      </c>
      <c r="G276" s="1217"/>
    </row>
    <row r="277" spans="1:7">
      <c r="A277" s="2011">
        <f t="shared" si="17"/>
        <v>272</v>
      </c>
      <c r="B277" s="2106">
        <f t="shared" si="16"/>
        <v>44</v>
      </c>
      <c r="C277" s="2106" t="s">
        <v>1558</v>
      </c>
      <c r="E277" s="2104">
        <v>46054</v>
      </c>
      <c r="F277" s="2106" t="s">
        <v>192</v>
      </c>
      <c r="G277" s="1217"/>
    </row>
    <row r="278" spans="1:7">
      <c r="A278" s="2011">
        <f t="shared" si="17"/>
        <v>273</v>
      </c>
      <c r="B278" s="2106">
        <f t="shared" si="16"/>
        <v>45</v>
      </c>
      <c r="C278" s="2106" t="s">
        <v>1559</v>
      </c>
      <c r="E278" s="2104">
        <v>46054</v>
      </c>
      <c r="F278" s="2106" t="s">
        <v>192</v>
      </c>
      <c r="G278" s="1217"/>
    </row>
    <row r="279" spans="1:7">
      <c r="A279" s="2011">
        <f t="shared" si="17"/>
        <v>274</v>
      </c>
      <c r="B279" s="2106">
        <f t="shared" si="16"/>
        <v>46</v>
      </c>
      <c r="C279" s="2106" t="s">
        <v>1560</v>
      </c>
      <c r="E279" s="2104">
        <v>46054</v>
      </c>
      <c r="F279" s="2106" t="s">
        <v>192</v>
      </c>
      <c r="G279" s="1217"/>
    </row>
    <row r="280" spans="1:7">
      <c r="A280" s="2011">
        <f t="shared" si="17"/>
        <v>275</v>
      </c>
      <c r="B280" s="2106">
        <f>+B279+1</f>
        <v>47</v>
      </c>
      <c r="C280" s="2106" t="s">
        <v>1561</v>
      </c>
      <c r="E280" s="2104">
        <v>46054</v>
      </c>
      <c r="F280" s="2106" t="s">
        <v>192</v>
      </c>
      <c r="G280" s="1217"/>
    </row>
    <row r="281" spans="1:7">
      <c r="A281" s="2011">
        <f t="shared" si="17"/>
        <v>276</v>
      </c>
      <c r="B281" s="2106">
        <f t="shared" si="16"/>
        <v>48</v>
      </c>
      <c r="C281" s="2106" t="s">
        <v>1562</v>
      </c>
      <c r="E281" s="2104">
        <v>46054</v>
      </c>
      <c r="F281" s="2106" t="s">
        <v>192</v>
      </c>
      <c r="G281" s="1217"/>
    </row>
    <row r="282" spans="1:7">
      <c r="A282" s="2011">
        <f t="shared" si="17"/>
        <v>277</v>
      </c>
      <c r="B282" s="2106">
        <f t="shared" si="16"/>
        <v>49</v>
      </c>
      <c r="C282" s="2106" t="s">
        <v>1563</v>
      </c>
      <c r="E282" s="2104">
        <v>46054</v>
      </c>
      <c r="F282" s="2106" t="s">
        <v>192</v>
      </c>
      <c r="G282" s="1217"/>
    </row>
    <row r="283" spans="1:7">
      <c r="A283" s="2011">
        <f t="shared" si="17"/>
        <v>278</v>
      </c>
      <c r="B283" s="2106">
        <f t="shared" si="16"/>
        <v>50</v>
      </c>
      <c r="C283" s="2106" t="s">
        <v>1564</v>
      </c>
      <c r="E283" s="2104">
        <v>46054</v>
      </c>
      <c r="F283" s="2106" t="s">
        <v>192</v>
      </c>
      <c r="G283" s="1217"/>
    </row>
    <row r="284" spans="1:7">
      <c r="A284" s="2011">
        <f t="shared" si="17"/>
        <v>279</v>
      </c>
      <c r="B284" s="2106">
        <f t="shared" si="16"/>
        <v>51</v>
      </c>
      <c r="C284" s="2106" t="s">
        <v>1565</v>
      </c>
      <c r="E284" s="2104">
        <v>46054</v>
      </c>
      <c r="F284" s="2106" t="s">
        <v>192</v>
      </c>
      <c r="G284" s="1217"/>
    </row>
    <row r="285" spans="1:7">
      <c r="A285" s="2011">
        <f t="shared" si="17"/>
        <v>280</v>
      </c>
      <c r="B285" s="2106">
        <f t="shared" si="16"/>
        <v>52</v>
      </c>
      <c r="C285" s="2106" t="s">
        <v>1566</v>
      </c>
      <c r="E285" s="2104">
        <v>46054</v>
      </c>
      <c r="F285" s="2106" t="s">
        <v>192</v>
      </c>
      <c r="G285" s="1217"/>
    </row>
    <row r="286" spans="1:7">
      <c r="A286" s="2011">
        <f t="shared" si="17"/>
        <v>281</v>
      </c>
      <c r="B286" s="2106">
        <f t="shared" si="16"/>
        <v>53</v>
      </c>
      <c r="C286" s="2106" t="s">
        <v>1567</v>
      </c>
      <c r="E286" s="2104">
        <v>46054</v>
      </c>
      <c r="F286" s="2106" t="s">
        <v>192</v>
      </c>
      <c r="G286" s="1217"/>
    </row>
    <row r="287" spans="1:7">
      <c r="A287" s="2011">
        <f t="shared" si="17"/>
        <v>282</v>
      </c>
      <c r="B287" s="2106">
        <f t="shared" si="16"/>
        <v>54</v>
      </c>
      <c r="C287" s="2106" t="s">
        <v>1568</v>
      </c>
      <c r="E287" s="2104">
        <v>46054</v>
      </c>
      <c r="F287" s="2106" t="s">
        <v>192</v>
      </c>
      <c r="G287" s="1217"/>
    </row>
    <row r="288" spans="1:7">
      <c r="A288" s="2011">
        <f t="shared" si="17"/>
        <v>283</v>
      </c>
      <c r="B288" s="2106">
        <f t="shared" si="16"/>
        <v>55</v>
      </c>
      <c r="C288" s="2106" t="s">
        <v>1569</v>
      </c>
      <c r="E288" s="2104">
        <v>46054</v>
      </c>
      <c r="F288" s="2106" t="s">
        <v>192</v>
      </c>
      <c r="G288" s="1217"/>
    </row>
    <row r="289" spans="1:9">
      <c r="A289" s="2011">
        <f t="shared" si="17"/>
        <v>284</v>
      </c>
      <c r="B289" s="2106">
        <f t="shared" si="16"/>
        <v>56</v>
      </c>
      <c r="C289" s="2106" t="s">
        <v>1570</v>
      </c>
      <c r="E289" s="2104">
        <v>46054</v>
      </c>
      <c r="F289" s="2106" t="s">
        <v>192</v>
      </c>
      <c r="G289" s="1217"/>
    </row>
    <row r="290" spans="1:9">
      <c r="A290" s="2011">
        <f t="shared" si="17"/>
        <v>285</v>
      </c>
      <c r="B290" s="2106">
        <f t="shared" si="16"/>
        <v>57</v>
      </c>
      <c r="C290" s="2106" t="s">
        <v>1571</v>
      </c>
      <c r="E290" s="2104">
        <v>46054</v>
      </c>
      <c r="F290" s="2106" t="s">
        <v>192</v>
      </c>
      <c r="G290" s="1217"/>
    </row>
    <row r="291" spans="1:9">
      <c r="A291" s="2011">
        <f t="shared" si="17"/>
        <v>286</v>
      </c>
      <c r="B291" s="2106">
        <f t="shared" si="16"/>
        <v>58</v>
      </c>
      <c r="C291" s="2106" t="s">
        <v>1572</v>
      </c>
      <c r="E291" s="2104">
        <v>46054</v>
      </c>
      <c r="F291" s="2106" t="s">
        <v>192</v>
      </c>
      <c r="G291" s="1217"/>
    </row>
    <row r="292" spans="1:9">
      <c r="A292" s="2011">
        <f t="shared" si="17"/>
        <v>287</v>
      </c>
      <c r="B292" s="2106">
        <f t="shared" si="16"/>
        <v>59</v>
      </c>
      <c r="C292" s="2106" t="s">
        <v>1573</v>
      </c>
      <c r="E292" s="2104">
        <v>46054</v>
      </c>
      <c r="F292" s="2106" t="s">
        <v>192</v>
      </c>
      <c r="G292" s="1217"/>
    </row>
    <row r="293" spans="1:9">
      <c r="A293" s="2011">
        <f t="shared" si="17"/>
        <v>288</v>
      </c>
      <c r="B293" s="2106">
        <f t="shared" si="16"/>
        <v>60</v>
      </c>
      <c r="C293" s="2106" t="s">
        <v>1574</v>
      </c>
      <c r="E293" s="2104">
        <v>46054</v>
      </c>
      <c r="F293" s="2106" t="s">
        <v>192</v>
      </c>
      <c r="G293" s="1217"/>
    </row>
    <row r="294" spans="1:9">
      <c r="A294" s="2011">
        <f t="shared" si="17"/>
        <v>289</v>
      </c>
      <c r="B294" s="2106">
        <f t="shared" si="16"/>
        <v>61</v>
      </c>
      <c r="C294" s="2106" t="s">
        <v>1575</v>
      </c>
      <c r="E294" s="2104">
        <v>46054</v>
      </c>
      <c r="F294" s="2106" t="s">
        <v>192</v>
      </c>
      <c r="G294" s="1217"/>
    </row>
    <row r="295" spans="1:9">
      <c r="A295" s="2011">
        <f t="shared" si="17"/>
        <v>290</v>
      </c>
      <c r="B295" s="2106">
        <f t="shared" si="16"/>
        <v>62</v>
      </c>
      <c r="C295" s="2106" t="s">
        <v>1576</v>
      </c>
      <c r="E295" s="2104">
        <v>46054</v>
      </c>
      <c r="F295" s="2106" t="s">
        <v>192</v>
      </c>
      <c r="G295" s="1217"/>
    </row>
    <row r="296" spans="1:9">
      <c r="A296" s="2011">
        <f t="shared" si="17"/>
        <v>291</v>
      </c>
      <c r="E296" s="2077"/>
      <c r="G296" s="1217"/>
    </row>
    <row r="297" spans="1:9">
      <c r="A297" s="2011">
        <f t="shared" si="17"/>
        <v>292</v>
      </c>
      <c r="E297" s="2077"/>
      <c r="G297" s="1217"/>
    </row>
    <row r="298" spans="1:9">
      <c r="A298" s="2011">
        <f t="shared" si="17"/>
        <v>293</v>
      </c>
      <c r="D298" s="874" t="s">
        <v>71</v>
      </c>
      <c r="E298" s="2024">
        <f>A295</f>
        <v>290</v>
      </c>
      <c r="G298" s="1217"/>
      <c r="I298" s="2024">
        <f>+'Grasmere Imported Sows'!F124+E298</f>
        <v>408</v>
      </c>
    </row>
    <row r="299" spans="1:9">
      <c r="A299" s="2011">
        <f t="shared" si="17"/>
        <v>294</v>
      </c>
      <c r="E299" s="2077"/>
      <c r="G299" s="1217"/>
    </row>
    <row r="300" spans="1:9">
      <c r="A300" s="2011">
        <f t="shared" si="17"/>
        <v>295</v>
      </c>
      <c r="D300" s="874" t="s">
        <v>1577</v>
      </c>
      <c r="E300" s="2024">
        <f>293-A295-E301</f>
        <v>0</v>
      </c>
      <c r="G300" s="1217"/>
    </row>
    <row r="301" spans="1:9">
      <c r="A301" s="2011">
        <f t="shared" si="17"/>
        <v>296</v>
      </c>
      <c r="D301" s="874" t="s">
        <v>293</v>
      </c>
      <c r="E301" s="874">
        <v>3</v>
      </c>
      <c r="G301" s="1217"/>
    </row>
    <row r="302" spans="1:9">
      <c r="A302" s="2011">
        <f t="shared" si="17"/>
        <v>297</v>
      </c>
      <c r="E302" s="2077"/>
      <c r="G302" s="1217"/>
    </row>
    <row r="303" spans="1:9">
      <c r="A303" s="2011">
        <f t="shared" si="17"/>
        <v>298</v>
      </c>
      <c r="E303" s="2077"/>
      <c r="G303" s="1217"/>
    </row>
    <row r="304" spans="1:9">
      <c r="A304" s="2011">
        <f t="shared" si="17"/>
        <v>299</v>
      </c>
      <c r="E304" s="2077"/>
      <c r="G304" s="1217"/>
    </row>
    <row r="305" spans="1:10">
      <c r="A305" s="2011">
        <f t="shared" si="17"/>
        <v>300</v>
      </c>
      <c r="E305" s="2077"/>
      <c r="G305" s="1217"/>
      <c r="J305" s="2024"/>
    </row>
    <row r="306" spans="1:10">
      <c r="A306" s="2011">
        <f t="shared" si="17"/>
        <v>301</v>
      </c>
      <c r="E306" s="2077"/>
      <c r="G306" s="1217"/>
    </row>
    <row r="307" spans="1:10">
      <c r="A307" s="2011">
        <f t="shared" si="17"/>
        <v>302</v>
      </c>
      <c r="E307" s="2077"/>
      <c r="G307" s="1217"/>
    </row>
    <row r="308" spans="1:10">
      <c r="A308" s="2011">
        <f t="shared" si="17"/>
        <v>303</v>
      </c>
      <c r="E308" s="2077"/>
      <c r="G308" s="1217"/>
    </row>
    <row r="309" spans="1:10">
      <c r="A309" s="2011">
        <f t="shared" si="17"/>
        <v>304</v>
      </c>
      <c r="E309" s="2077"/>
      <c r="G309" s="1217"/>
    </row>
    <row r="310" spans="1:10">
      <c r="A310" s="2011">
        <f t="shared" si="17"/>
        <v>305</v>
      </c>
      <c r="E310" s="2077"/>
      <c r="G310" s="1217"/>
    </row>
    <row r="311" spans="1:10">
      <c r="A311" s="2011">
        <f t="shared" si="17"/>
        <v>306</v>
      </c>
      <c r="E311" s="2077"/>
      <c r="G311" s="1217"/>
    </row>
    <row r="312" spans="1:10">
      <c r="A312" s="2011">
        <f t="shared" si="17"/>
        <v>307</v>
      </c>
      <c r="E312" s="2077"/>
      <c r="G312" s="1217"/>
    </row>
    <row r="313" spans="1:10">
      <c r="A313" s="2011">
        <f t="shared" si="17"/>
        <v>308</v>
      </c>
      <c r="E313" s="2077"/>
      <c r="G313" s="1217"/>
    </row>
    <row r="314" spans="1:10">
      <c r="A314" s="2011">
        <f t="shared" si="17"/>
        <v>309</v>
      </c>
      <c r="E314" s="2077"/>
      <c r="G314" s="1217"/>
    </row>
    <row r="315" spans="1:10">
      <c r="A315" s="2011">
        <f t="shared" si="17"/>
        <v>310</v>
      </c>
      <c r="E315" s="2077"/>
      <c r="G315" s="1217"/>
    </row>
    <row r="316" spans="1:10">
      <c r="A316" s="2011">
        <f t="shared" si="17"/>
        <v>311</v>
      </c>
      <c r="E316" s="2077"/>
      <c r="G316" s="1217"/>
    </row>
    <row r="317" spans="1:10">
      <c r="A317" s="2011">
        <f t="shared" si="17"/>
        <v>312</v>
      </c>
      <c r="E317" s="2077"/>
      <c r="G317" s="1217"/>
    </row>
    <row r="318" spans="1:10">
      <c r="A318" s="2011">
        <f t="shared" si="17"/>
        <v>313</v>
      </c>
      <c r="E318" s="2077"/>
      <c r="G318" s="1217"/>
    </row>
    <row r="319" spans="1:10">
      <c r="A319" s="2011">
        <f t="shared" si="17"/>
        <v>314</v>
      </c>
      <c r="E319" s="2077"/>
      <c r="G319" s="1217"/>
    </row>
    <row r="320" spans="1:10">
      <c r="A320" s="2011">
        <f t="shared" si="17"/>
        <v>315</v>
      </c>
      <c r="E320" s="2077"/>
      <c r="G320" s="1217"/>
    </row>
    <row r="321" spans="1:7">
      <c r="A321" s="2011">
        <f t="shared" si="17"/>
        <v>316</v>
      </c>
      <c r="E321" s="2077"/>
      <c r="G321" s="1217"/>
    </row>
    <row r="322" spans="1:7">
      <c r="A322" s="2011">
        <f t="shared" si="17"/>
        <v>317</v>
      </c>
      <c r="E322" s="2077"/>
      <c r="G322" s="1217"/>
    </row>
    <row r="323" spans="1:7">
      <c r="A323" s="2011">
        <f t="shared" si="17"/>
        <v>318</v>
      </c>
      <c r="E323" s="2077"/>
      <c r="G323" s="1217"/>
    </row>
    <row r="324" spans="1:7">
      <c r="A324" s="2011">
        <f t="shared" si="17"/>
        <v>319</v>
      </c>
      <c r="E324" s="2077"/>
      <c r="G324" s="1217"/>
    </row>
    <row r="325" spans="1:7">
      <c r="A325" s="2011">
        <f t="shared" si="17"/>
        <v>320</v>
      </c>
      <c r="E325" s="2077"/>
      <c r="G325" s="1217"/>
    </row>
    <row r="326" spans="1:7">
      <c r="A326" s="2011">
        <f t="shared" si="17"/>
        <v>321</v>
      </c>
      <c r="E326" s="2077"/>
      <c r="G326" s="1217"/>
    </row>
    <row r="327" spans="1:7">
      <c r="A327" s="2011">
        <f t="shared" si="17"/>
        <v>322</v>
      </c>
      <c r="E327" s="2077"/>
      <c r="G327" s="1217"/>
    </row>
    <row r="328" spans="1:7">
      <c r="A328" s="2011">
        <f t="shared" si="17"/>
        <v>323</v>
      </c>
      <c r="E328" s="2077"/>
      <c r="G328" s="1217"/>
    </row>
    <row r="329" spans="1:7">
      <c r="A329" s="2011">
        <f t="shared" ref="A329:A339" si="18">A328+1</f>
        <v>324</v>
      </c>
      <c r="E329" s="2077"/>
      <c r="G329" s="1217"/>
    </row>
    <row r="330" spans="1:7">
      <c r="A330" s="2011">
        <f t="shared" si="18"/>
        <v>325</v>
      </c>
      <c r="E330" s="2077"/>
      <c r="G330" s="1217"/>
    </row>
    <row r="331" spans="1:7">
      <c r="A331" s="2011">
        <f t="shared" si="18"/>
        <v>326</v>
      </c>
      <c r="E331" s="2077"/>
      <c r="G331" s="1217"/>
    </row>
    <row r="332" spans="1:7">
      <c r="A332" s="2011">
        <f t="shared" si="18"/>
        <v>327</v>
      </c>
      <c r="E332" s="2077"/>
      <c r="G332" s="1217"/>
    </row>
    <row r="333" spans="1:7">
      <c r="A333" s="2011">
        <f t="shared" si="18"/>
        <v>328</v>
      </c>
      <c r="E333" s="2077"/>
      <c r="G333" s="1217"/>
    </row>
    <row r="334" spans="1:7">
      <c r="A334" s="2011">
        <f t="shared" si="18"/>
        <v>329</v>
      </c>
      <c r="E334" s="2077"/>
      <c r="G334" s="1217"/>
    </row>
    <row r="335" spans="1:7">
      <c r="A335" s="2011">
        <f t="shared" si="18"/>
        <v>330</v>
      </c>
      <c r="E335" s="2077"/>
      <c r="G335" s="1217"/>
    </row>
    <row r="336" spans="1:7">
      <c r="A336" s="2011">
        <f t="shared" si="18"/>
        <v>331</v>
      </c>
      <c r="E336" s="2077"/>
      <c r="G336" s="1217"/>
    </row>
    <row r="337" spans="1:7">
      <c r="A337" s="2011">
        <f t="shared" si="18"/>
        <v>332</v>
      </c>
      <c r="E337" s="2077"/>
      <c r="G337" s="1217"/>
    </row>
    <row r="338" spans="1:7">
      <c r="A338" s="2011">
        <f t="shared" si="18"/>
        <v>333</v>
      </c>
      <c r="E338" s="2077"/>
      <c r="G338" s="1217"/>
    </row>
    <row r="339" spans="1:7">
      <c r="A339" s="2011">
        <f t="shared" si="18"/>
        <v>334</v>
      </c>
      <c r="E339" s="2077"/>
      <c r="G339" s="1217"/>
    </row>
    <row r="340" spans="1:7">
      <c r="A340" s="2011">
        <f t="shared" si="16"/>
        <v>335</v>
      </c>
      <c r="E340" s="2077"/>
      <c r="G340" s="1217"/>
    </row>
    <row r="341" spans="1:7">
      <c r="A341" s="2011">
        <f t="shared" si="16"/>
        <v>336</v>
      </c>
      <c r="E341" s="2077"/>
      <c r="G341" s="1217"/>
    </row>
    <row r="342" spans="1:7">
      <c r="A342" s="2022">
        <f t="shared" si="16"/>
        <v>337</v>
      </c>
      <c r="E342" s="2077"/>
      <c r="G342" s="2021"/>
    </row>
    <row r="343" spans="1:7">
      <c r="A343" s="2023"/>
      <c r="E343" s="2077"/>
    </row>
    <row r="344" spans="1:7">
      <c r="A344" s="2023"/>
      <c r="E344" s="2077"/>
    </row>
    <row r="345" spans="1:7">
      <c r="A345" s="2023"/>
      <c r="E345" s="2077"/>
    </row>
    <row r="346" spans="1:7">
      <c r="A346" s="2023"/>
      <c r="E346" s="2077"/>
    </row>
    <row r="347" spans="1:7">
      <c r="A347" s="2023"/>
      <c r="E347" s="2077"/>
    </row>
    <row r="348" spans="1:7">
      <c r="A348" s="2023"/>
      <c r="E348" s="2077"/>
    </row>
    <row r="349" spans="1:7">
      <c r="A349" s="2023"/>
      <c r="E349" s="2077"/>
    </row>
    <row r="350" spans="1:7">
      <c r="A350" s="2023"/>
      <c r="E350" s="2077"/>
    </row>
    <row r="351" spans="1:7">
      <c r="A351" s="2023"/>
      <c r="E351" s="2077"/>
    </row>
    <row r="352" spans="1:7">
      <c r="A352" s="2023"/>
      <c r="E352" s="2077"/>
    </row>
    <row r="353" spans="1:5">
      <c r="A353" s="2023"/>
      <c r="E353" s="2077"/>
    </row>
    <row r="354" spans="1:5">
      <c r="A354" s="2023"/>
      <c r="E354" s="2077"/>
    </row>
    <row r="355" spans="1:5">
      <c r="A355" s="2023"/>
      <c r="E355" s="2077"/>
    </row>
    <row r="356" spans="1:5">
      <c r="A356" s="2023"/>
      <c r="E356" s="2077"/>
    </row>
    <row r="357" spans="1:5">
      <c r="A357" s="2023"/>
      <c r="E357" s="2077"/>
    </row>
    <row r="358" spans="1:5">
      <c r="A358" s="2023"/>
      <c r="E358" s="2077"/>
    </row>
    <row r="359" spans="1:5">
      <c r="A359" s="2023"/>
      <c r="E359" s="2077"/>
    </row>
    <row r="360" spans="1:5">
      <c r="A360" s="2023"/>
      <c r="E360" s="2077"/>
    </row>
    <row r="361" spans="1:5">
      <c r="A361" s="2023"/>
      <c r="E361" s="2077"/>
    </row>
    <row r="362" spans="1:5">
      <c r="A362" s="2023"/>
      <c r="E362" s="2077"/>
    </row>
    <row r="363" spans="1:5">
      <c r="A363" s="2023"/>
      <c r="E363" s="2077"/>
    </row>
    <row r="364" spans="1:5">
      <c r="A364" s="2023"/>
      <c r="E364" s="2077"/>
    </row>
    <row r="365" spans="1:5">
      <c r="A365" s="2023"/>
      <c r="E365" s="2077"/>
    </row>
    <row r="366" spans="1:5">
      <c r="A366" s="2023"/>
      <c r="E366" s="2077"/>
    </row>
    <row r="367" spans="1:5">
      <c r="A367" s="2023"/>
      <c r="E367" s="2077"/>
    </row>
    <row r="368" spans="1:5">
      <c r="A368" s="2023"/>
      <c r="E368" s="2077"/>
    </row>
    <row r="369" spans="1:11">
      <c r="A369" s="2023"/>
      <c r="E369" s="2077"/>
    </row>
    <row r="370" spans="1:11">
      <c r="A370" s="2023"/>
      <c r="E370" s="2077"/>
    </row>
    <row r="371" spans="1:11">
      <c r="A371" s="2023"/>
      <c r="E371" s="2077"/>
    </row>
    <row r="372" spans="1:11">
      <c r="A372" s="2023"/>
      <c r="E372" s="2077"/>
    </row>
    <row r="373" spans="1:11">
      <c r="A373" s="2023"/>
      <c r="E373" s="2077"/>
    </row>
    <row r="374" spans="1:11">
      <c r="A374" s="2023"/>
      <c r="E374" s="2077"/>
    </row>
    <row r="375" spans="1:11">
      <c r="A375" s="2023"/>
      <c r="E375" s="2077"/>
    </row>
    <row r="376" spans="1:11">
      <c r="A376" s="2023"/>
      <c r="E376" s="2077"/>
    </row>
    <row r="377" spans="1:11">
      <c r="A377" s="2023"/>
      <c r="E377" s="2077"/>
      <c r="K377" s="2024">
        <f>E298+'Grasmere Imported Sows'!F124</f>
        <v>408</v>
      </c>
    </row>
    <row r="378" spans="1:11">
      <c r="A378" s="2023"/>
      <c r="E378" s="2077"/>
    </row>
    <row r="379" spans="1:11">
      <c r="A379" s="2023"/>
      <c r="E379" s="2077"/>
    </row>
    <row r="380" spans="1:11">
      <c r="A380" s="2023"/>
      <c r="E380" s="2077"/>
    </row>
    <row r="381" spans="1:11">
      <c r="A381" s="2023"/>
      <c r="E381" s="2077"/>
    </row>
    <row r="382" spans="1:11">
      <c r="A382" s="2023"/>
      <c r="E382" s="2077"/>
      <c r="J382" s="874">
        <f>307+193</f>
        <v>500</v>
      </c>
    </row>
    <row r="383" spans="1:11">
      <c r="A383" s="2023"/>
      <c r="E383" s="2077"/>
    </row>
    <row r="384" spans="1:11">
      <c r="A384" s="2023"/>
      <c r="E384" s="2077"/>
    </row>
    <row r="385" spans="1:7">
      <c r="A385" s="2023"/>
      <c r="E385" s="2077"/>
    </row>
    <row r="386" spans="1:7">
      <c r="A386" s="2023"/>
      <c r="E386" s="2077"/>
    </row>
    <row r="387" spans="1:7">
      <c r="A387" s="2023"/>
      <c r="E387" s="2077"/>
    </row>
    <row r="388" spans="1:7">
      <c r="A388" s="2023"/>
      <c r="E388" s="2077"/>
    </row>
    <row r="389" spans="1:7">
      <c r="A389" s="2023"/>
      <c r="E389" s="2077"/>
    </row>
    <row r="390" spans="1:7">
      <c r="A390" s="2023"/>
      <c r="E390" s="2077"/>
    </row>
    <row r="391" spans="1:7">
      <c r="A391" s="2023"/>
      <c r="E391" s="2077"/>
    </row>
    <row r="392" spans="1:7">
      <c r="A392" s="2023"/>
      <c r="E392" s="2077"/>
    </row>
    <row r="393" spans="1:7" hidden="1">
      <c r="A393" s="2067"/>
      <c r="E393" s="2077"/>
      <c r="G393" s="2095"/>
    </row>
    <row r="394" spans="1:7" hidden="1">
      <c r="A394" s="2011"/>
      <c r="E394" s="2077"/>
      <c r="G394" s="1217"/>
    </row>
    <row r="395" spans="1:7" hidden="1">
      <c r="A395" s="2011"/>
      <c r="E395" s="2077"/>
      <c r="G395" s="1217"/>
    </row>
    <row r="396" spans="1:7" hidden="1">
      <c r="A396" s="2011"/>
      <c r="E396" s="2077"/>
      <c r="G396" s="1217"/>
    </row>
    <row r="397" spans="1:7" hidden="1">
      <c r="A397" s="2011"/>
      <c r="E397" s="2077"/>
      <c r="G397" s="1217"/>
    </row>
    <row r="398" spans="1:7" hidden="1">
      <c r="A398" s="2011"/>
      <c r="E398" s="2077"/>
      <c r="G398" s="1217"/>
    </row>
    <row r="399" spans="1:7" hidden="1">
      <c r="A399" s="2011"/>
      <c r="E399" s="2077"/>
      <c r="G399" s="1217"/>
    </row>
    <row r="400" spans="1:7" hidden="1">
      <c r="A400" s="2011"/>
      <c r="E400" s="2077"/>
      <c r="G400" s="1217"/>
    </row>
    <row r="401" spans="1:7" hidden="1">
      <c r="A401" s="2011"/>
      <c r="E401" s="2077"/>
      <c r="G401" s="1217"/>
    </row>
    <row r="402" spans="1:7" hidden="1">
      <c r="A402" s="2011"/>
      <c r="E402" s="2077"/>
      <c r="G402" s="1217"/>
    </row>
    <row r="403" spans="1:7" hidden="1">
      <c r="A403" s="2011"/>
      <c r="E403" s="2077"/>
      <c r="G403" s="1217"/>
    </row>
    <row r="404" spans="1:7" hidden="1">
      <c r="A404" s="2011"/>
      <c r="E404" s="2077"/>
      <c r="G404" s="1217"/>
    </row>
    <row r="405" spans="1:7" hidden="1">
      <c r="A405" s="2011"/>
      <c r="E405" s="2077"/>
      <c r="G405" s="1217"/>
    </row>
    <row r="406" spans="1:7" hidden="1">
      <c r="A406" s="2011"/>
      <c r="E406" s="2077"/>
      <c r="G406" s="1217"/>
    </row>
    <row r="407" spans="1:7" hidden="1">
      <c r="A407" s="2011"/>
      <c r="E407" s="2077"/>
      <c r="G407" s="1217"/>
    </row>
    <row r="408" spans="1:7" hidden="1">
      <c r="A408" s="2011"/>
      <c r="E408" s="2077"/>
      <c r="G408" s="1217"/>
    </row>
    <row r="409" spans="1:7" hidden="1">
      <c r="A409" s="2011"/>
      <c r="E409" s="2077"/>
      <c r="G409" s="1217"/>
    </row>
    <row r="410" spans="1:7" hidden="1">
      <c r="A410" s="2011"/>
      <c r="E410" s="2077"/>
      <c r="G410" s="1217"/>
    </row>
    <row r="411" spans="1:7" hidden="1">
      <c r="A411" s="2011"/>
      <c r="E411" s="2077"/>
      <c r="G411" s="1217"/>
    </row>
    <row r="412" spans="1:7" hidden="1">
      <c r="A412" s="2011"/>
      <c r="E412" s="2077"/>
      <c r="G412" s="1217"/>
    </row>
    <row r="413" spans="1:7" hidden="1">
      <c r="A413" s="2011"/>
      <c r="E413" s="2077"/>
      <c r="G413" s="1217"/>
    </row>
    <row r="414" spans="1:7" hidden="1">
      <c r="A414" s="2011"/>
      <c r="E414" s="2077"/>
      <c r="G414" s="1217"/>
    </row>
    <row r="415" spans="1:7" hidden="1">
      <c r="A415" s="2011"/>
      <c r="E415" s="2077"/>
      <c r="G415" s="1217"/>
    </row>
    <row r="416" spans="1:7" hidden="1">
      <c r="A416" s="2011"/>
      <c r="E416" s="2077"/>
      <c r="G416" s="1217"/>
    </row>
    <row r="417" spans="1:7" hidden="1">
      <c r="A417" s="2011"/>
      <c r="E417" s="2077"/>
      <c r="G417" s="1217"/>
    </row>
    <row r="418" spans="1:7" hidden="1">
      <c r="A418" s="2011"/>
      <c r="E418" s="2077"/>
      <c r="G418" s="1217"/>
    </row>
    <row r="419" spans="1:7" hidden="1">
      <c r="A419" s="2011"/>
      <c r="E419" s="2077"/>
      <c r="G419" s="1217"/>
    </row>
    <row r="420" spans="1:7" hidden="1">
      <c r="A420" s="2011"/>
      <c r="E420" s="2077"/>
      <c r="G420" s="1217"/>
    </row>
    <row r="421" spans="1:7" hidden="1">
      <c r="A421" s="2011"/>
      <c r="E421" s="2077"/>
      <c r="G421" s="1217"/>
    </row>
    <row r="422" spans="1:7" hidden="1">
      <c r="A422" s="2011"/>
      <c r="E422" s="2077"/>
      <c r="G422" s="1217"/>
    </row>
    <row r="423" spans="1:7" hidden="1">
      <c r="A423" s="2011"/>
      <c r="E423" s="2077"/>
      <c r="G423" s="1217"/>
    </row>
    <row r="424" spans="1:7" hidden="1">
      <c r="A424" s="2011"/>
      <c r="E424" s="2077"/>
      <c r="G424" s="1217"/>
    </row>
    <row r="425" spans="1:7" hidden="1">
      <c r="A425" s="2011"/>
      <c r="E425" s="2077"/>
      <c r="G425" s="1217"/>
    </row>
    <row r="426" spans="1:7" hidden="1">
      <c r="A426" s="2011"/>
      <c r="E426" s="2077"/>
      <c r="G426" s="1217"/>
    </row>
    <row r="427" spans="1:7" hidden="1">
      <c r="A427" s="2011"/>
      <c r="E427" s="2077"/>
      <c r="G427" s="1217"/>
    </row>
    <row r="428" spans="1:7" hidden="1">
      <c r="A428" s="2011"/>
      <c r="E428" s="2077"/>
      <c r="G428" s="1217"/>
    </row>
    <row r="429" spans="1:7" hidden="1">
      <c r="A429" s="2011"/>
      <c r="E429" s="2077"/>
      <c r="G429" s="1217"/>
    </row>
    <row r="430" spans="1:7" hidden="1">
      <c r="A430" s="2011"/>
      <c r="E430" s="2077"/>
      <c r="G430" s="1217"/>
    </row>
    <row r="431" spans="1:7" hidden="1">
      <c r="A431" s="2011"/>
      <c r="E431" s="2077"/>
      <c r="G431" s="1217"/>
    </row>
    <row r="432" spans="1:7" hidden="1">
      <c r="A432" s="2011"/>
      <c r="E432" s="2077"/>
      <c r="G432" s="1217"/>
    </row>
    <row r="433" spans="1:7" hidden="1">
      <c r="A433" s="2011"/>
      <c r="E433" s="2077"/>
      <c r="G433" s="1217"/>
    </row>
    <row r="434" spans="1:7" hidden="1">
      <c r="A434" s="2011"/>
      <c r="E434" s="2077"/>
      <c r="G434" s="1217"/>
    </row>
    <row r="435" spans="1:7" hidden="1">
      <c r="A435" s="2011"/>
      <c r="E435" s="2077"/>
      <c r="G435" s="1217"/>
    </row>
    <row r="436" spans="1:7" hidden="1">
      <c r="A436" s="2011"/>
      <c r="E436" s="2077"/>
      <c r="G436" s="1217"/>
    </row>
    <row r="437" spans="1:7" hidden="1">
      <c r="A437" s="2011"/>
      <c r="E437" s="2077"/>
      <c r="G437" s="1217"/>
    </row>
    <row r="438" spans="1:7" hidden="1">
      <c r="A438" s="2011"/>
      <c r="E438" s="2077"/>
      <c r="G438" s="1217"/>
    </row>
    <row r="439" spans="1:7" hidden="1">
      <c r="A439" s="2011"/>
      <c r="E439" s="2077"/>
      <c r="G439" s="1217"/>
    </row>
    <row r="440" spans="1:7" hidden="1">
      <c r="A440" s="2011"/>
      <c r="E440" s="2077"/>
      <c r="G440" s="1217"/>
    </row>
    <row r="441" spans="1:7" hidden="1">
      <c r="A441" s="2011"/>
      <c r="E441" s="2077"/>
      <c r="G441" s="1217"/>
    </row>
    <row r="442" spans="1:7" hidden="1">
      <c r="A442" s="2011"/>
      <c r="E442" s="2077"/>
      <c r="G442" s="1217"/>
    </row>
    <row r="443" spans="1:7" hidden="1">
      <c r="A443" s="2011"/>
      <c r="E443" s="2077"/>
      <c r="G443" s="1217"/>
    </row>
    <row r="444" spans="1:7" hidden="1">
      <c r="A444" s="2011"/>
      <c r="E444" s="2077"/>
      <c r="G444" s="1217"/>
    </row>
    <row r="445" spans="1:7" hidden="1">
      <c r="A445" s="2011"/>
      <c r="E445" s="2077"/>
      <c r="G445" s="1217"/>
    </row>
    <row r="446" spans="1:7" hidden="1">
      <c r="A446" s="2011"/>
      <c r="E446" s="2077"/>
      <c r="G446" s="1217"/>
    </row>
    <row r="447" spans="1:7" hidden="1">
      <c r="A447" s="2011"/>
      <c r="E447" s="2077"/>
      <c r="G447" s="1217"/>
    </row>
    <row r="448" spans="1:7" hidden="1">
      <c r="A448" s="2011"/>
      <c r="E448" s="2077"/>
      <c r="G448" s="1217"/>
    </row>
    <row r="449" spans="1:7" hidden="1">
      <c r="A449" s="2011"/>
      <c r="E449" s="2077"/>
      <c r="G449" s="1217"/>
    </row>
    <row r="450" spans="1:7" hidden="1">
      <c r="A450" s="2011"/>
      <c r="E450" s="2077"/>
      <c r="G450" s="1217"/>
    </row>
    <row r="451" spans="1:7" hidden="1">
      <c r="A451" s="2011"/>
      <c r="E451" s="2077"/>
      <c r="G451" s="1217"/>
    </row>
    <row r="452" spans="1:7" hidden="1">
      <c r="A452" s="2011"/>
      <c r="E452" s="2077"/>
      <c r="G452" s="1217"/>
    </row>
    <row r="453" spans="1:7" hidden="1">
      <c r="A453" s="2011"/>
      <c r="E453" s="2077"/>
      <c r="G453" s="1217"/>
    </row>
    <row r="454" spans="1:7" hidden="1">
      <c r="A454" s="2011"/>
      <c r="E454" s="2077"/>
      <c r="G454" s="1217"/>
    </row>
    <row r="455" spans="1:7" hidden="1">
      <c r="A455" s="2011"/>
      <c r="E455" s="2077"/>
      <c r="G455" s="1217"/>
    </row>
    <row r="456" spans="1:7" hidden="1">
      <c r="A456" s="2011"/>
      <c r="E456" s="2077"/>
      <c r="G456" s="1217"/>
    </row>
    <row r="457" spans="1:7" hidden="1">
      <c r="A457" s="2011"/>
      <c r="E457" s="2077"/>
      <c r="G457" s="1217"/>
    </row>
    <row r="458" spans="1:7" hidden="1">
      <c r="A458" s="2011"/>
      <c r="E458" s="2077"/>
      <c r="G458" s="1217"/>
    </row>
    <row r="459" spans="1:7" hidden="1">
      <c r="A459" s="2011"/>
      <c r="E459" s="2077"/>
      <c r="G459" s="1217"/>
    </row>
    <row r="460" spans="1:7" hidden="1">
      <c r="A460" s="2011"/>
      <c r="E460" s="2077"/>
      <c r="G460" s="1217"/>
    </row>
    <row r="461" spans="1:7" hidden="1">
      <c r="A461" s="2011"/>
      <c r="E461" s="2077"/>
      <c r="G461" s="1217"/>
    </row>
    <row r="462" spans="1:7" hidden="1">
      <c r="A462" s="2011"/>
      <c r="E462" s="2077"/>
      <c r="G462" s="1217"/>
    </row>
    <row r="463" spans="1:7" hidden="1">
      <c r="A463" s="2011"/>
      <c r="E463" s="2077"/>
      <c r="G463" s="1217"/>
    </row>
    <row r="464" spans="1:7" hidden="1">
      <c r="A464" s="2011"/>
      <c r="E464" s="2077"/>
      <c r="G464" s="1217"/>
    </row>
    <row r="465" spans="1:7" hidden="1">
      <c r="A465" s="2011"/>
      <c r="E465" s="2077"/>
      <c r="G465" s="1217"/>
    </row>
    <row r="466" spans="1:7" hidden="1">
      <c r="A466" s="2011"/>
      <c r="E466" s="2077"/>
      <c r="G466" s="1217"/>
    </row>
    <row r="467" spans="1:7" hidden="1">
      <c r="A467" s="2011"/>
      <c r="E467" s="2077"/>
      <c r="G467" s="1217"/>
    </row>
    <row r="468" spans="1:7" hidden="1">
      <c r="A468" s="2011"/>
      <c r="E468" s="2077"/>
      <c r="G468" s="1217"/>
    </row>
    <row r="469" spans="1:7" hidden="1">
      <c r="A469" s="2011"/>
      <c r="E469" s="2077"/>
      <c r="G469" s="1217"/>
    </row>
    <row r="470" spans="1:7" hidden="1">
      <c r="A470" s="2011"/>
      <c r="E470" s="2077"/>
      <c r="G470" s="1217"/>
    </row>
    <row r="471" spans="1:7" hidden="1">
      <c r="A471" s="2011"/>
      <c r="E471" s="2077"/>
      <c r="G471" s="1217"/>
    </row>
    <row r="472" spans="1:7" hidden="1">
      <c r="A472" s="2011"/>
      <c r="E472" s="2077"/>
      <c r="G472" s="1217"/>
    </row>
    <row r="473" spans="1:7" hidden="1">
      <c r="A473" s="2011"/>
      <c r="E473" s="2077"/>
      <c r="G473" s="1217"/>
    </row>
    <row r="474" spans="1:7" hidden="1">
      <c r="A474" s="2011"/>
      <c r="E474" s="2077"/>
      <c r="G474" s="1217"/>
    </row>
    <row r="475" spans="1:7" hidden="1">
      <c r="A475" s="2011"/>
      <c r="E475" s="2077"/>
      <c r="G475" s="1217"/>
    </row>
    <row r="476" spans="1:7" hidden="1">
      <c r="A476" s="2011"/>
      <c r="E476" s="2077"/>
      <c r="G476" s="1217"/>
    </row>
    <row r="477" spans="1:7" hidden="1">
      <c r="A477" s="2011"/>
      <c r="E477" s="2077"/>
      <c r="G477" s="1217"/>
    </row>
    <row r="478" spans="1:7" hidden="1">
      <c r="A478" s="2011"/>
      <c r="E478" s="2077"/>
      <c r="G478" s="1217"/>
    </row>
    <row r="479" spans="1:7" hidden="1">
      <c r="A479" s="2011"/>
      <c r="E479" s="2077"/>
      <c r="G479" s="1217"/>
    </row>
    <row r="480" spans="1:7" hidden="1">
      <c r="A480" s="2011"/>
      <c r="E480" s="2077"/>
      <c r="G480" s="1217"/>
    </row>
    <row r="481" spans="1:7" hidden="1">
      <c r="A481" s="2011"/>
      <c r="E481" s="2077"/>
      <c r="G481" s="1217"/>
    </row>
    <row r="482" spans="1:7" hidden="1">
      <c r="A482" s="2011"/>
      <c r="E482" s="2077"/>
      <c r="G482" s="1217"/>
    </row>
    <row r="483" spans="1:7" hidden="1">
      <c r="A483" s="2011"/>
      <c r="E483" s="2077"/>
      <c r="G483" s="1217"/>
    </row>
    <row r="484" spans="1:7" hidden="1">
      <c r="A484" s="2011"/>
      <c r="E484" s="2077"/>
      <c r="G484" s="1217"/>
    </row>
    <row r="485" spans="1:7" hidden="1">
      <c r="A485" s="2011"/>
      <c r="E485" s="2077"/>
      <c r="G485" s="1217"/>
    </row>
    <row r="486" spans="1:7" hidden="1">
      <c r="A486" s="2011"/>
      <c r="E486" s="2077"/>
      <c r="G486" s="1217"/>
    </row>
    <row r="487" spans="1:7" hidden="1">
      <c r="A487" s="2011"/>
      <c r="E487" s="2077"/>
      <c r="G487" s="1217"/>
    </row>
    <row r="488" spans="1:7" hidden="1">
      <c r="A488" s="2011"/>
      <c r="E488" s="2077"/>
      <c r="G488" s="1217"/>
    </row>
    <row r="489" spans="1:7" hidden="1">
      <c r="A489" s="2011"/>
      <c r="E489" s="2077"/>
      <c r="G489" s="1217"/>
    </row>
    <row r="490" spans="1:7" hidden="1">
      <c r="A490" s="2011"/>
      <c r="E490" s="2077"/>
      <c r="G490" s="1217"/>
    </row>
    <row r="491" spans="1:7" hidden="1">
      <c r="A491" s="2011"/>
      <c r="E491" s="2077"/>
      <c r="G491" s="1217"/>
    </row>
    <row r="492" spans="1:7" hidden="1">
      <c r="A492" s="2011"/>
      <c r="E492" s="2077"/>
      <c r="G492" s="1217"/>
    </row>
    <row r="493" spans="1:7" hidden="1">
      <c r="A493" s="2011"/>
      <c r="E493" s="2077"/>
      <c r="G493" s="1217"/>
    </row>
    <row r="494" spans="1:7" hidden="1">
      <c r="A494" s="2011"/>
      <c r="E494" s="2077"/>
      <c r="G494" s="1217"/>
    </row>
    <row r="495" spans="1:7" hidden="1">
      <c r="A495" s="2011"/>
      <c r="E495" s="2077"/>
      <c r="G495" s="1217"/>
    </row>
    <row r="496" spans="1:7" hidden="1">
      <c r="A496" s="2011"/>
      <c r="E496" s="2077"/>
      <c r="G496" s="1217"/>
    </row>
    <row r="497" spans="1:7" hidden="1">
      <c r="A497" s="2011"/>
      <c r="E497" s="2077"/>
      <c r="G497" s="1217"/>
    </row>
    <row r="498" spans="1:7" hidden="1">
      <c r="A498" s="2011"/>
      <c r="E498" s="2077"/>
      <c r="G498" s="1217"/>
    </row>
    <row r="499" spans="1:7" hidden="1">
      <c r="A499" s="2011"/>
      <c r="E499" s="2077"/>
      <c r="G499" s="1217"/>
    </row>
    <row r="500" spans="1:7" hidden="1">
      <c r="A500" s="2011"/>
      <c r="E500" s="2077"/>
      <c r="G500" s="1217"/>
    </row>
    <row r="501" spans="1:7" hidden="1">
      <c r="A501" s="2011"/>
      <c r="E501" s="2077"/>
      <c r="G501" s="1217"/>
    </row>
    <row r="502" spans="1:7" hidden="1">
      <c r="A502" s="2011"/>
      <c r="E502" s="2077"/>
      <c r="G502" s="1217"/>
    </row>
    <row r="503" spans="1:7" hidden="1">
      <c r="A503" s="2011"/>
      <c r="E503" s="2077"/>
      <c r="G503" s="1217"/>
    </row>
    <row r="504" spans="1:7" hidden="1">
      <c r="A504" s="2011"/>
      <c r="E504" s="2077"/>
      <c r="G504" s="1217"/>
    </row>
    <row r="505" spans="1:7" hidden="1">
      <c r="A505" s="2011"/>
      <c r="E505" s="2077"/>
      <c r="G505" s="1217"/>
    </row>
    <row r="506" spans="1:7" hidden="1">
      <c r="A506" s="2011"/>
      <c r="E506" s="2077"/>
      <c r="G506" s="1217"/>
    </row>
    <row r="507" spans="1:7" hidden="1">
      <c r="A507" s="2011"/>
      <c r="E507" s="2077"/>
      <c r="G507" s="1217"/>
    </row>
    <row r="508" spans="1:7" hidden="1">
      <c r="A508" s="2011"/>
      <c r="E508" s="874" t="s">
        <v>227</v>
      </c>
      <c r="G508" s="1217"/>
    </row>
    <row r="509" spans="1:7" hidden="1">
      <c r="A509" s="2011"/>
      <c r="E509" s="874" t="s">
        <v>309</v>
      </c>
      <c r="F509" s="2024">
        <f>323-A391-F510</f>
        <v>323</v>
      </c>
      <c r="G509" s="1217"/>
    </row>
    <row r="510" spans="1:7" hidden="1">
      <c r="A510" s="2011"/>
      <c r="E510" s="874" t="s">
        <v>229</v>
      </c>
      <c r="G510" s="1217"/>
    </row>
    <row r="511" spans="1:7" hidden="1">
      <c r="A511" s="2011"/>
      <c r="E511" s="874" t="s">
        <v>624</v>
      </c>
      <c r="F511" s="874">
        <v>90</v>
      </c>
      <c r="G511" s="1217"/>
    </row>
    <row r="512" spans="1:7" hidden="1">
      <c r="A512" s="2011"/>
      <c r="G512" s="1217"/>
    </row>
    <row r="513" spans="1:7" hidden="1">
      <c r="A513" s="2011"/>
      <c r="G513" s="1217"/>
    </row>
    <row r="514" spans="1:7" hidden="1">
      <c r="A514" s="2011"/>
      <c r="G514" s="1217"/>
    </row>
    <row r="515" spans="1:7" hidden="1">
      <c r="A515" s="2011"/>
      <c r="G515" s="1217"/>
    </row>
    <row r="516" spans="1:7" hidden="1">
      <c r="A516" s="2011"/>
      <c r="G516" s="1217"/>
    </row>
    <row r="517" spans="1:7" hidden="1">
      <c r="A517" s="2011"/>
      <c r="G517" s="1217"/>
    </row>
    <row r="518" spans="1:7" hidden="1">
      <c r="A518" s="2011"/>
      <c r="G518" s="1217"/>
    </row>
    <row r="519" spans="1:7" hidden="1">
      <c r="A519" s="2011"/>
      <c r="G519" s="1217"/>
    </row>
    <row r="520" spans="1:7" hidden="1">
      <c r="A520" s="2011"/>
      <c r="G520" s="1217"/>
    </row>
    <row r="521" spans="1:7" hidden="1">
      <c r="A521" s="2011"/>
      <c r="G521" s="1217"/>
    </row>
    <row r="522" spans="1:7" hidden="1">
      <c r="A522" s="2011"/>
      <c r="G522" s="1217"/>
    </row>
    <row r="523" spans="1:7" hidden="1">
      <c r="A523" s="2011"/>
      <c r="G523" s="1217"/>
    </row>
    <row r="524" spans="1:7" hidden="1">
      <c r="A524" s="2011"/>
      <c r="G524" s="1217"/>
    </row>
    <row r="525" spans="1:7" hidden="1">
      <c r="A525" s="2011"/>
      <c r="G525" s="1217"/>
    </row>
    <row r="526" spans="1:7" hidden="1">
      <c r="A526" s="2011"/>
      <c r="G526" s="1217"/>
    </row>
    <row r="527" spans="1:7" hidden="1">
      <c r="A527" s="2011"/>
      <c r="G527" s="1217"/>
    </row>
    <row r="528" spans="1:7" hidden="1">
      <c r="A528" s="2011"/>
      <c r="G528" s="1217"/>
    </row>
    <row r="529" spans="1:7" hidden="1">
      <c r="A529" s="2011"/>
      <c r="G529" s="1217"/>
    </row>
    <row r="530" spans="1:7" hidden="1">
      <c r="A530" s="2011"/>
      <c r="G530" s="1217"/>
    </row>
    <row r="531" spans="1:7" hidden="1">
      <c r="A531" s="2011"/>
      <c r="G531" s="1217"/>
    </row>
    <row r="532" spans="1:7" hidden="1">
      <c r="A532" s="2011"/>
      <c r="G532" s="1217"/>
    </row>
    <row r="533" spans="1:7" hidden="1">
      <c r="A533" s="2011"/>
      <c r="G533" s="1217"/>
    </row>
    <row r="534" spans="1:7" hidden="1">
      <c r="A534" s="2011"/>
      <c r="G534" s="1217"/>
    </row>
    <row r="535" spans="1:7" hidden="1">
      <c r="A535" s="2011"/>
      <c r="G535" s="1217"/>
    </row>
    <row r="536" spans="1:7" hidden="1">
      <c r="A536" s="2011"/>
      <c r="G536" s="1217"/>
    </row>
    <row r="537" spans="1:7" hidden="1">
      <c r="A537" s="2011"/>
      <c r="G537" s="1217"/>
    </row>
    <row r="538" spans="1:7" hidden="1">
      <c r="A538" s="2011"/>
      <c r="G538" s="1217"/>
    </row>
    <row r="539" spans="1:7" hidden="1">
      <c r="A539" s="2011"/>
      <c r="G539" s="1217"/>
    </row>
    <row r="540" spans="1:7" hidden="1">
      <c r="A540" s="2011"/>
      <c r="G540" s="1217"/>
    </row>
    <row r="541" spans="1:7" hidden="1">
      <c r="A541" s="2011"/>
      <c r="G541" s="1217"/>
    </row>
    <row r="542" spans="1:7" hidden="1">
      <c r="A542" s="2011"/>
      <c r="G542" s="1217"/>
    </row>
    <row r="543" spans="1:7" hidden="1">
      <c r="A543" s="2011"/>
      <c r="G543" s="1217"/>
    </row>
    <row r="544" spans="1:7" hidden="1">
      <c r="A544" s="2011"/>
      <c r="G544" s="1217"/>
    </row>
    <row r="545" spans="1:7" hidden="1">
      <c r="A545" s="2011"/>
      <c r="G545" s="1217"/>
    </row>
    <row r="546" spans="1:7" hidden="1">
      <c r="A546" s="2011"/>
      <c r="G546" s="1217"/>
    </row>
    <row r="547" spans="1:7" hidden="1">
      <c r="A547" s="2011"/>
      <c r="G547" s="1217"/>
    </row>
    <row r="548" spans="1:7" hidden="1">
      <c r="A548" s="2011"/>
      <c r="G548" s="1217"/>
    </row>
    <row r="549" spans="1:7" hidden="1">
      <c r="A549" s="2011"/>
      <c r="G549" s="1217"/>
    </row>
    <row r="550" spans="1:7" hidden="1">
      <c r="A550" s="2011"/>
      <c r="G550" s="1217"/>
    </row>
    <row r="551" spans="1:7" hidden="1">
      <c r="A551" s="2011"/>
      <c r="G551" s="1217"/>
    </row>
    <row r="552" spans="1:7" hidden="1">
      <c r="A552" s="2011"/>
      <c r="G552" s="1217"/>
    </row>
    <row r="553" spans="1:7" hidden="1">
      <c r="A553" s="2011"/>
      <c r="G553" s="1217"/>
    </row>
    <row r="554" spans="1:7" hidden="1">
      <c r="A554" s="2011"/>
      <c r="G554" s="1217"/>
    </row>
    <row r="555" spans="1:7" hidden="1">
      <c r="A555" s="2011"/>
      <c r="G555" s="1217"/>
    </row>
    <row r="556" spans="1:7" hidden="1">
      <c r="A556" s="2011"/>
      <c r="G556" s="1217"/>
    </row>
    <row r="557" spans="1:7" hidden="1">
      <c r="A557" s="2011"/>
      <c r="G557" s="1217"/>
    </row>
    <row r="558" spans="1:7" hidden="1">
      <c r="A558" s="2011"/>
      <c r="G558" s="1217"/>
    </row>
    <row r="559" spans="1:7" hidden="1">
      <c r="A559" s="2011"/>
      <c r="G559" s="1217"/>
    </row>
    <row r="560" spans="1:7" hidden="1">
      <c r="A560" s="2011"/>
      <c r="G560" s="1217"/>
    </row>
    <row r="561" spans="1:7" hidden="1">
      <c r="A561" s="2011"/>
      <c r="G561" s="1217"/>
    </row>
    <row r="562" spans="1:7" hidden="1">
      <c r="A562" s="2011"/>
      <c r="G562" s="1217"/>
    </row>
    <row r="563" spans="1:7" hidden="1">
      <c r="A563" s="2011"/>
      <c r="G563" s="1217"/>
    </row>
    <row r="564" spans="1:7" hidden="1">
      <c r="A564" s="2011"/>
      <c r="G564" s="1217"/>
    </row>
    <row r="565" spans="1:7" hidden="1">
      <c r="A565" s="2011"/>
      <c r="G565" s="1217"/>
    </row>
    <row r="566" spans="1:7" hidden="1">
      <c r="A566" s="2011"/>
      <c r="G566" s="1217"/>
    </row>
    <row r="567" spans="1:7" hidden="1">
      <c r="A567" s="2011"/>
      <c r="G567" s="1217"/>
    </row>
    <row r="568" spans="1:7" hidden="1">
      <c r="A568" s="2011"/>
      <c r="G568" s="1217"/>
    </row>
    <row r="569" spans="1:7" hidden="1">
      <c r="A569" s="2011"/>
      <c r="G569" s="1217"/>
    </row>
    <row r="570" spans="1:7" hidden="1">
      <c r="A570" s="2011"/>
      <c r="G570" s="1217"/>
    </row>
    <row r="571" spans="1:7" hidden="1">
      <c r="A571" s="2011"/>
      <c r="G571" s="1217"/>
    </row>
    <row r="572" spans="1:7" hidden="1">
      <c r="A572" s="2011"/>
      <c r="G572" s="1217"/>
    </row>
    <row r="573" spans="1:7" hidden="1">
      <c r="A573" s="2011"/>
      <c r="G573" s="1217"/>
    </row>
    <row r="574" spans="1:7" hidden="1">
      <c r="A574" s="2011"/>
      <c r="G574" s="1217"/>
    </row>
    <row r="575" spans="1:7" hidden="1">
      <c r="A575" s="2011"/>
      <c r="G575" s="1217"/>
    </row>
    <row r="576" spans="1:7" hidden="1">
      <c r="A576" s="2011"/>
      <c r="G576" s="1217"/>
    </row>
    <row r="577" spans="1:7" hidden="1">
      <c r="A577" s="2011"/>
      <c r="G577" s="1217"/>
    </row>
    <row r="578" spans="1:7" hidden="1">
      <c r="A578" s="2011"/>
      <c r="G578" s="1217"/>
    </row>
    <row r="579" spans="1:7" hidden="1">
      <c r="A579" s="2011"/>
      <c r="G579" s="1217"/>
    </row>
    <row r="580" spans="1:7" hidden="1">
      <c r="A580" s="2011"/>
      <c r="G580" s="1217"/>
    </row>
    <row r="581" spans="1:7" hidden="1">
      <c r="A581" s="2011"/>
      <c r="G581" s="1217"/>
    </row>
    <row r="582" spans="1:7" hidden="1">
      <c r="A582" s="2011"/>
      <c r="G582" s="1217"/>
    </row>
    <row r="583" spans="1:7" hidden="1">
      <c r="A583" s="2011"/>
      <c r="G583" s="1217"/>
    </row>
    <row r="584" spans="1:7" hidden="1">
      <c r="A584" s="2011"/>
      <c r="G584" s="1217"/>
    </row>
    <row r="585" spans="1:7" hidden="1">
      <c r="A585" s="2011"/>
      <c r="G585" s="1217"/>
    </row>
    <row r="586" spans="1:7" hidden="1">
      <c r="A586" s="2011"/>
      <c r="G586" s="1217"/>
    </row>
    <row r="587" spans="1:7" hidden="1">
      <c r="A587" s="2011"/>
      <c r="G587" s="1217"/>
    </row>
    <row r="588" spans="1:7" hidden="1">
      <c r="A588" s="2011"/>
      <c r="G588" s="1217"/>
    </row>
    <row r="589" spans="1:7" hidden="1">
      <c r="A589" s="2011"/>
      <c r="G589" s="1217"/>
    </row>
    <row r="590" spans="1:7" hidden="1">
      <c r="A590" s="2011"/>
      <c r="G590" s="1217"/>
    </row>
    <row r="591" spans="1:7" hidden="1">
      <c r="A591" s="2011"/>
      <c r="G591" s="1217"/>
    </row>
    <row r="592" spans="1:7" hidden="1">
      <c r="A592" s="2011"/>
      <c r="G592" s="1217"/>
    </row>
    <row r="593" spans="1:8" hidden="1">
      <c r="A593" s="2011"/>
      <c r="G593" s="1217"/>
    </row>
    <row r="594" spans="1:8" hidden="1">
      <c r="A594" s="2011"/>
      <c r="G594" s="1217"/>
    </row>
    <row r="595" spans="1:8" hidden="1">
      <c r="A595" s="2011"/>
      <c r="G595" s="1217"/>
    </row>
    <row r="596" spans="1:8" hidden="1">
      <c r="A596" s="2011"/>
      <c r="G596" s="1217"/>
    </row>
    <row r="597" spans="1:8" hidden="1">
      <c r="A597" s="2011"/>
      <c r="G597" s="1217"/>
    </row>
    <row r="598" spans="1:8" hidden="1">
      <c r="A598" s="2011"/>
      <c r="G598" s="1217"/>
    </row>
    <row r="599" spans="1:8" hidden="1">
      <c r="A599" s="2011"/>
      <c r="G599" s="1217"/>
    </row>
    <row r="600" spans="1:8" hidden="1">
      <c r="A600" s="2011"/>
      <c r="G600" s="1217"/>
    </row>
    <row r="601" spans="1:8" hidden="1">
      <c r="A601" s="2011"/>
      <c r="G601" s="1217"/>
    </row>
    <row r="602" spans="1:8">
      <c r="A602" s="2011"/>
      <c r="G602" s="1217"/>
      <c r="H602" s="2024">
        <f>A391+'Porta Imported Boars'!A10+'Porta TN70'!A818+'Richlands Imported Boars'!A11+'Grasmere Imported Boars'!A27+'Grasmere Imported Sows'!A205</f>
        <v>29</v>
      </c>
    </row>
    <row r="603" spans="1:8">
      <c r="A603" s="2067"/>
    </row>
    <row r="604" spans="1:8">
      <c r="A604" s="2011"/>
    </row>
    <row r="605" spans="1:8">
      <c r="A605" s="2011"/>
    </row>
    <row r="606" spans="1:8">
      <c r="A606" s="2011"/>
    </row>
    <row r="607" spans="1:8">
      <c r="A607" s="2011"/>
    </row>
    <row r="608" spans="1:8">
      <c r="A608" s="2011"/>
    </row>
    <row r="609" spans="1:1">
      <c r="A609" s="2011"/>
    </row>
    <row r="610" spans="1:1">
      <c r="A610" s="2011"/>
    </row>
    <row r="611" spans="1:1">
      <c r="A611" s="2011"/>
    </row>
  </sheetData>
  <sortState xmlns:xlrd2="http://schemas.microsoft.com/office/spreadsheetml/2017/richdata2" ref="A6:F611">
    <sortCondition ref="E6:E611"/>
    <sortCondition ref="C6:C611"/>
  </sortState>
  <pageMargins left="0.7" right="0.7" top="0.75" bottom="0.75" header="0.3" footer="0.3"/>
  <pageSetup paperSize="9" fitToHeight="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1BF5-C7F5-4A98-8DF0-2478CB224C2A}">
  <sheetPr>
    <tabColor theme="7"/>
  </sheetPr>
  <dimension ref="A1:P48"/>
  <sheetViews>
    <sheetView view="pageBreakPreview" zoomScaleNormal="100" zoomScaleSheetLayoutView="100" workbookViewId="0">
      <selection activeCell="E5" sqref="E5"/>
    </sheetView>
  </sheetViews>
  <sheetFormatPr defaultColWidth="9.140625" defaultRowHeight="13.9"/>
  <cols>
    <col min="1" max="2" width="9.140625" style="317"/>
    <col min="3" max="3" width="14.140625" style="317" customWidth="1"/>
    <col min="4" max="4" width="9.140625" style="317"/>
    <col min="5" max="5" width="17.42578125" style="317" customWidth="1"/>
    <col min="6" max="6" width="14" style="317" bestFit="1" customWidth="1"/>
    <col min="7" max="16384" width="9.140625" style="317"/>
  </cols>
  <sheetData>
    <row r="1" spans="1:11">
      <c r="A1" s="934" t="s">
        <v>82</v>
      </c>
      <c r="B1" s="934"/>
      <c r="C1" s="882"/>
      <c r="D1" s="882"/>
      <c r="E1" s="882"/>
      <c r="F1" s="882"/>
    </row>
    <row r="2" spans="1:11">
      <c r="A2" s="882"/>
      <c r="B2" s="882"/>
      <c r="C2" s="882"/>
      <c r="D2" s="882"/>
      <c r="E2" s="882"/>
      <c r="F2" s="882"/>
    </row>
    <row r="3" spans="1:11">
      <c r="A3" s="934" t="s">
        <v>450</v>
      </c>
      <c r="B3" s="934"/>
      <c r="C3" s="882"/>
      <c r="D3" s="882"/>
      <c r="E3" s="2028">
        <f>+'Summary Total Pigs'!C3</f>
        <v>46226</v>
      </c>
      <c r="F3" s="882"/>
    </row>
    <row r="4" spans="1:11">
      <c r="A4" s="882"/>
      <c r="B4" s="882"/>
      <c r="C4" s="882"/>
      <c r="D4" s="882"/>
      <c r="E4" s="882"/>
      <c r="F4" s="882"/>
    </row>
    <row r="5" spans="1:11">
      <c r="A5" s="968"/>
      <c r="B5" s="968"/>
      <c r="C5" s="968" t="s">
        <v>575</v>
      </c>
      <c r="D5" s="968" t="s">
        <v>452</v>
      </c>
      <c r="E5" s="968" t="s">
        <v>576</v>
      </c>
      <c r="F5" s="968" t="s">
        <v>577</v>
      </c>
    </row>
    <row r="6" spans="1:11">
      <c r="A6" s="1269">
        <v>0</v>
      </c>
      <c r="B6" s="1269">
        <v>0</v>
      </c>
      <c r="C6" s="894"/>
      <c r="D6" s="894"/>
      <c r="E6" s="2029"/>
      <c r="F6" s="2059"/>
    </row>
    <row r="7" spans="1:11">
      <c r="A7" s="1269">
        <v>1</v>
      </c>
      <c r="B7" s="894">
        <v>1</v>
      </c>
      <c r="C7" s="894" t="s">
        <v>589</v>
      </c>
      <c r="D7" s="894"/>
      <c r="E7" s="1949">
        <v>45901</v>
      </c>
      <c r="F7" s="2059" t="s">
        <v>114</v>
      </c>
    </row>
    <row r="8" spans="1:11">
      <c r="A8" s="1269">
        <f>A7+1</f>
        <v>2</v>
      </c>
      <c r="B8" s="894">
        <f>B7+1</f>
        <v>2</v>
      </c>
      <c r="C8" s="894" t="s">
        <v>590</v>
      </c>
      <c r="D8" s="894"/>
      <c r="E8" s="1949">
        <v>45901</v>
      </c>
      <c r="F8" s="2059" t="s">
        <v>114</v>
      </c>
    </row>
    <row r="9" spans="1:11">
      <c r="A9" s="1269">
        <f t="shared" ref="A9:A12" si="0">A8+1</f>
        <v>3</v>
      </c>
      <c r="B9" s="894">
        <f t="shared" ref="B9:B10" si="1">B8+1</f>
        <v>3</v>
      </c>
      <c r="C9" s="894" t="s">
        <v>591</v>
      </c>
      <c r="D9" s="894"/>
      <c r="E9" s="1949">
        <v>45901</v>
      </c>
      <c r="F9" s="2059" t="s">
        <v>114</v>
      </c>
    </row>
    <row r="10" spans="1:11">
      <c r="A10" s="1269">
        <f t="shared" si="0"/>
        <v>4</v>
      </c>
      <c r="B10" s="894">
        <f t="shared" si="1"/>
        <v>4</v>
      </c>
      <c r="C10" s="894" t="s">
        <v>592</v>
      </c>
      <c r="D10" s="894"/>
      <c r="E10" s="1949">
        <v>45901</v>
      </c>
      <c r="F10" s="2059" t="s">
        <v>114</v>
      </c>
    </row>
    <row r="11" spans="1:11">
      <c r="A11" s="1269">
        <f t="shared" si="0"/>
        <v>5</v>
      </c>
      <c r="B11" s="894"/>
      <c r="C11" s="894"/>
      <c r="D11" s="894"/>
      <c r="E11" s="894"/>
      <c r="F11" s="2059"/>
    </row>
    <row r="12" spans="1:11">
      <c r="A12" s="1269">
        <f t="shared" si="0"/>
        <v>6</v>
      </c>
      <c r="B12" s="894"/>
      <c r="C12" s="894"/>
      <c r="D12" s="894"/>
      <c r="E12" s="894"/>
      <c r="F12" s="895"/>
    </row>
    <row r="13" spans="1:11">
      <c r="A13" s="1269"/>
      <c r="B13" s="894"/>
      <c r="C13" s="894"/>
      <c r="D13" s="894"/>
      <c r="E13" s="894"/>
      <c r="F13" s="895"/>
      <c r="K13" s="317">
        <f>1.05</f>
        <v>1.05</v>
      </c>
    </row>
    <row r="14" spans="1:11">
      <c r="A14" s="1269"/>
      <c r="B14" s="894"/>
      <c r="C14" s="894"/>
      <c r="D14" s="894"/>
      <c r="E14" s="894"/>
      <c r="F14" s="895"/>
      <c r="K14" s="317">
        <f>517/K13</f>
        <v>492.38095238095235</v>
      </c>
    </row>
    <row r="15" spans="1:11">
      <c r="A15" s="1269"/>
      <c r="B15" s="887" t="s">
        <v>71</v>
      </c>
      <c r="C15" s="894" t="s">
        <v>601</v>
      </c>
      <c r="D15" s="894">
        <v>0</v>
      </c>
      <c r="E15" s="894"/>
      <c r="F15" s="894"/>
    </row>
    <row r="16" spans="1:11">
      <c r="A16" s="1269"/>
      <c r="B16" s="894"/>
      <c r="C16" s="894" t="s">
        <v>309</v>
      </c>
      <c r="D16" s="2037">
        <v>0</v>
      </c>
      <c r="E16" s="894"/>
      <c r="F16" s="894"/>
    </row>
    <row r="17" spans="1:6">
      <c r="A17" s="1269"/>
      <c r="B17" s="894"/>
      <c r="C17" s="894" t="s">
        <v>602</v>
      </c>
      <c r="D17" s="894">
        <v>0</v>
      </c>
      <c r="E17" s="894" t="s">
        <v>191</v>
      </c>
      <c r="F17" s="2037"/>
    </row>
    <row r="18" spans="1:6">
      <c r="A18" s="1269"/>
      <c r="E18" s="316"/>
      <c r="F18" s="316"/>
    </row>
    <row r="19" spans="1:6">
      <c r="A19" s="1269"/>
    </row>
    <row r="20" spans="1:6">
      <c r="A20" s="1269"/>
    </row>
    <row r="21" spans="1:6">
      <c r="A21" s="1269"/>
    </row>
    <row r="22" spans="1:6">
      <c r="A22" s="2033"/>
    </row>
    <row r="23" spans="1:6">
      <c r="A23" s="2025"/>
    </row>
    <row r="24" spans="1:6">
      <c r="A24" s="2025"/>
    </row>
    <row r="25" spans="1:6">
      <c r="A25" s="2025"/>
    </row>
    <row r="26" spans="1:6">
      <c r="A26" s="2025"/>
    </row>
    <row r="27" spans="1:6">
      <c r="A27" s="2025"/>
    </row>
    <row r="28" spans="1:6">
      <c r="A28" s="2025"/>
    </row>
    <row r="29" spans="1:6">
      <c r="A29" s="2025"/>
    </row>
    <row r="30" spans="1:6">
      <c r="A30" s="2025"/>
    </row>
    <row r="31" spans="1:6">
      <c r="A31" s="2025"/>
    </row>
    <row r="32" spans="1:6">
      <c r="A32" s="2025"/>
    </row>
    <row r="33" spans="1:16" ht="43.15" customHeight="1">
      <c r="A33" s="2025"/>
    </row>
    <row r="34" spans="1:16">
      <c r="A34" s="2025"/>
    </row>
    <row r="35" spans="1:16">
      <c r="A35" s="2025"/>
    </row>
    <row r="36" spans="1:16">
      <c r="A36" s="2025"/>
    </row>
    <row r="37" spans="1:16">
      <c r="A37" s="2025"/>
    </row>
    <row r="48" spans="1:16">
      <c r="P48" s="1046"/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3">
    <tabColor theme="9" tint="-0.249977111117893"/>
  </sheetPr>
  <dimension ref="A1:EE51"/>
  <sheetViews>
    <sheetView view="pageBreakPreview" zoomScale="63" zoomScaleNormal="100" zoomScaleSheetLayoutView="63" workbookViewId="0">
      <pane xSplit="1" ySplit="6" topLeftCell="DC7" activePane="bottomRight" state="frozen"/>
      <selection pane="bottomRight" activeCell="BK19" sqref="BK19"/>
      <selection pane="bottomLeft" activeCell="AT31" sqref="AT31"/>
      <selection pane="topRight" activeCell="AT31" sqref="AT31"/>
    </sheetView>
  </sheetViews>
  <sheetFormatPr defaultColWidth="9.140625" defaultRowHeight="13.9"/>
  <cols>
    <col min="1" max="1" width="31.140625" style="317" customWidth="1"/>
    <col min="2" max="2" width="17.85546875" style="317" bestFit="1" customWidth="1"/>
    <col min="3" max="3" width="14.85546875" style="317" bestFit="1" customWidth="1"/>
    <col min="4" max="4" width="15.85546875" style="873" bestFit="1" customWidth="1"/>
    <col min="5" max="5" width="0.5703125" style="882" customWidth="1"/>
    <col min="6" max="6" width="13.140625" style="882" customWidth="1"/>
    <col min="7" max="8" width="14.85546875" style="882" bestFit="1" customWidth="1"/>
    <col min="9" max="9" width="1.28515625" style="882" customWidth="1"/>
    <col min="10" max="10" width="17.85546875" style="317" bestFit="1" customWidth="1"/>
    <col min="11" max="11" width="13.5703125" style="317" bestFit="1" customWidth="1"/>
    <col min="12" max="12" width="15.85546875" style="873" bestFit="1" customWidth="1"/>
    <col min="13" max="13" width="0.85546875" style="882" customWidth="1"/>
    <col min="14" max="14" width="17.85546875" style="882" bestFit="1" customWidth="1"/>
    <col min="15" max="15" width="14" style="882" bestFit="1" customWidth="1"/>
    <col min="16" max="16" width="14.85546875" style="882" bestFit="1" customWidth="1"/>
    <col min="17" max="17" width="1" style="882" customWidth="1"/>
    <col min="18" max="18" width="17.85546875" style="873" bestFit="1" customWidth="1"/>
    <col min="19" max="19" width="14" style="873" bestFit="1" customWidth="1"/>
    <col min="20" max="20" width="15.85546875" style="873" bestFit="1" customWidth="1"/>
    <col min="21" max="21" width="0.7109375" style="882" customWidth="1"/>
    <col min="22" max="22" width="17.85546875" style="873" bestFit="1" customWidth="1"/>
    <col min="23" max="23" width="15.28515625" style="873" bestFit="1" customWidth="1"/>
    <col min="24" max="24" width="15.85546875" style="873" bestFit="1" customWidth="1"/>
    <col min="25" max="25" width="0.5703125" style="882" customWidth="1"/>
    <col min="26" max="26" width="17.85546875" style="873" bestFit="1" customWidth="1"/>
    <col min="27" max="27" width="14" style="873" bestFit="1" customWidth="1"/>
    <col min="28" max="28" width="14.85546875" style="873" bestFit="1" customWidth="1"/>
    <col min="29" max="29" width="0.7109375" style="882" customWidth="1"/>
    <col min="30" max="30" width="17.85546875" style="873" bestFit="1" customWidth="1"/>
    <col min="31" max="31" width="15.28515625" style="873" bestFit="1" customWidth="1"/>
    <col min="32" max="32" width="15.7109375" style="873" bestFit="1" customWidth="1"/>
    <col min="33" max="33" width="1.5703125" style="882" customWidth="1"/>
    <col min="34" max="34" width="17.85546875" style="873" bestFit="1" customWidth="1"/>
    <col min="35" max="35" width="15.28515625" style="873" bestFit="1" customWidth="1"/>
    <col min="36" max="36" width="16.7109375" style="873" bestFit="1" customWidth="1"/>
    <col min="37" max="37" width="0.85546875" style="882" customWidth="1"/>
    <col min="38" max="38" width="17.85546875" style="873" bestFit="1" customWidth="1"/>
    <col min="39" max="39" width="16.7109375" style="873" bestFit="1" customWidth="1"/>
    <col min="40" max="40" width="19.28515625" style="873" bestFit="1" customWidth="1"/>
    <col min="41" max="41" width="0.7109375" style="882" customWidth="1"/>
    <col min="42" max="42" width="17.85546875" style="873" bestFit="1" customWidth="1"/>
    <col min="43" max="43" width="16.28515625" style="873" bestFit="1" customWidth="1"/>
    <col min="44" max="44" width="17.140625" style="873" bestFit="1" customWidth="1"/>
    <col min="45" max="45" width="0.5703125" style="882" customWidth="1"/>
    <col min="46" max="46" width="28.5703125" style="873" bestFit="1" customWidth="1"/>
    <col min="47" max="47" width="16.28515625" style="873" bestFit="1" customWidth="1"/>
    <col min="48" max="48" width="19.28515625" style="873" bestFit="1" customWidth="1"/>
    <col min="49" max="49" width="0.7109375" style="882" customWidth="1"/>
    <col min="50" max="51" width="16.42578125" style="882" customWidth="1"/>
    <col min="52" max="52" width="16.7109375" style="882" bestFit="1" customWidth="1"/>
    <col min="53" max="53" width="1.28515625" style="882" customWidth="1"/>
    <col min="54" max="54" width="17.85546875" style="873" bestFit="1" customWidth="1"/>
    <col min="55" max="55" width="16.7109375" style="873" bestFit="1" customWidth="1"/>
    <col min="56" max="56" width="20.7109375" style="873" bestFit="1" customWidth="1"/>
    <col min="57" max="57" width="0.5703125" style="882" customWidth="1"/>
    <col min="58" max="58" width="17.85546875" style="873" bestFit="1" customWidth="1"/>
    <col min="59" max="59" width="16.7109375" style="873" bestFit="1" customWidth="1"/>
    <col min="60" max="60" width="19.28515625" style="873" bestFit="1" customWidth="1"/>
    <col min="61" max="61" width="1" style="1483" customWidth="1"/>
    <col min="62" max="62" width="17.85546875" style="873" bestFit="1" customWidth="1"/>
    <col min="63" max="63" width="17.140625" style="873" bestFit="1" customWidth="1"/>
    <col min="64" max="64" width="20.28515625" style="873" bestFit="1" customWidth="1"/>
    <col min="65" max="65" width="0.7109375" style="1483" customWidth="1"/>
    <col min="66" max="66" width="17.85546875" style="873" bestFit="1" customWidth="1"/>
    <col min="67" max="67" width="17.140625" style="873" bestFit="1" customWidth="1"/>
    <col min="68" max="68" width="20.28515625" style="873" customWidth="1"/>
    <col min="69" max="69" width="0.7109375" style="882" customWidth="1"/>
    <col min="70" max="72" width="20.28515625" style="873" customWidth="1"/>
    <col min="73" max="73" width="0.7109375" style="882" customWidth="1"/>
    <col min="74" max="76" width="20.28515625" style="873" customWidth="1"/>
    <col min="77" max="77" width="0.7109375" style="882" customWidth="1"/>
    <col min="78" max="80" width="20.28515625" style="873" customWidth="1"/>
    <col min="81" max="81" width="1" style="1483" customWidth="1"/>
    <col min="82" max="84" width="20.28515625" style="873" customWidth="1"/>
    <col min="85" max="85" width="0.85546875" style="1483" customWidth="1"/>
    <col min="86" max="86" width="20.28515625" style="1483" customWidth="1"/>
    <col min="87" max="88" width="18.85546875" style="1483" customWidth="1"/>
    <col min="89" max="89" width="1" style="1483" customWidth="1"/>
    <col min="90" max="90" width="19.42578125" style="1483" customWidth="1"/>
    <col min="91" max="91" width="18.42578125" style="1483" customWidth="1"/>
    <col min="92" max="92" width="22.140625" style="1483" customWidth="1"/>
    <col min="93" max="93" width="1" style="1483" customWidth="1"/>
    <col min="94" max="96" width="22.140625" style="1483" customWidth="1"/>
    <col min="97" max="97" width="1.140625" style="1483" customWidth="1"/>
    <col min="98" max="99" width="11.7109375" style="1483" customWidth="1"/>
    <col min="100" max="100" width="17.28515625" style="1483" customWidth="1"/>
    <col min="101" max="101" width="0.5703125" style="882" customWidth="1"/>
    <col min="102" max="103" width="11.7109375" style="1483" customWidth="1"/>
    <col min="104" max="104" width="17.28515625" style="1483" customWidth="1"/>
    <col min="105" max="105" width="0.28515625" style="882" customWidth="1"/>
    <col min="106" max="107" width="15.7109375" style="882" customWidth="1"/>
    <col min="108" max="108" width="17.42578125" style="882" bestFit="1" customWidth="1"/>
    <col min="109" max="109" width="10.5703125" style="882" customWidth="1"/>
    <col min="110" max="112" width="17.42578125" style="882" customWidth="1"/>
    <col min="113" max="113" width="8.7109375" style="882" customWidth="1"/>
    <col min="114" max="115" width="12.140625" style="882" customWidth="1"/>
    <col min="116" max="116" width="17.42578125" style="882" customWidth="1"/>
    <col min="117" max="117" width="12.140625" style="882" customWidth="1"/>
    <col min="118" max="118" width="15.42578125" style="317" bestFit="1" customWidth="1"/>
    <col min="119" max="119" width="17.5703125" style="882" bestFit="1" customWidth="1"/>
    <col min="120" max="120" width="21.140625" style="882" bestFit="1" customWidth="1"/>
    <col min="121" max="121" width="20.7109375" style="1021" customWidth="1"/>
    <col min="122" max="122" width="19.140625" style="1021" bestFit="1" customWidth="1"/>
    <col min="123" max="123" width="20.5703125" style="1021" bestFit="1" customWidth="1"/>
    <col min="124" max="124" width="17.5703125" style="1021" bestFit="1" customWidth="1"/>
    <col min="125" max="125" width="16.85546875" style="1021" bestFit="1" customWidth="1"/>
    <col min="126" max="126" width="16.140625" style="1021" bestFit="1" customWidth="1"/>
    <col min="127" max="127" width="13" style="1021" bestFit="1" customWidth="1"/>
    <col min="128" max="128" width="14.7109375" style="1021" bestFit="1" customWidth="1"/>
    <col min="129" max="131" width="9.140625" style="317"/>
    <col min="132" max="132" width="9.7109375" style="317" bestFit="1" customWidth="1"/>
    <col min="133" max="133" width="9.5703125" style="317" bestFit="1" customWidth="1"/>
    <col min="134" max="16384" width="9.140625" style="317"/>
  </cols>
  <sheetData>
    <row r="1" spans="1:132">
      <c r="A1" s="980">
        <f>+'Summary Total Pigs'!C3</f>
        <v>46226</v>
      </c>
      <c r="C1" s="316"/>
      <c r="K1" s="873" t="s">
        <v>138</v>
      </c>
    </row>
    <row r="2" spans="1:132" ht="14.25" customHeight="1">
      <c r="A2" s="915" t="s">
        <v>1578</v>
      </c>
      <c r="K2" s="873" t="s">
        <v>138</v>
      </c>
      <c r="BH2" s="1021"/>
      <c r="BI2" s="1484"/>
      <c r="BJ2" s="1021"/>
      <c r="BK2" s="1021"/>
      <c r="BL2" s="1021"/>
      <c r="BM2" s="1484"/>
      <c r="BN2" s="1021"/>
      <c r="BO2" s="1021"/>
      <c r="BP2" s="1021"/>
      <c r="BQ2" s="380"/>
      <c r="BR2" s="1021"/>
      <c r="BS2" s="1021"/>
      <c r="BT2" s="1021"/>
      <c r="BU2" s="380"/>
      <c r="BV2" s="1021"/>
      <c r="BW2" s="1021"/>
      <c r="BX2" s="1021"/>
      <c r="BY2" s="380"/>
      <c r="BZ2" s="1021"/>
      <c r="CA2" s="1021"/>
      <c r="CB2" s="1021"/>
      <c r="CC2" s="1484"/>
      <c r="CD2" s="1021"/>
      <c r="CE2" s="1021"/>
      <c r="CF2" s="1021"/>
      <c r="CG2" s="1484"/>
      <c r="CH2" s="1484"/>
      <c r="CI2" s="1484"/>
      <c r="CJ2" s="1484"/>
      <c r="CK2" s="1484"/>
      <c r="CL2" s="1484"/>
      <c r="CM2" s="1484"/>
      <c r="CN2" s="1484"/>
      <c r="CO2" s="1484"/>
      <c r="CP2" s="1484"/>
      <c r="CQ2" s="1484"/>
      <c r="CR2" s="1484"/>
      <c r="CS2" s="1484"/>
      <c r="CT2" s="1484"/>
      <c r="CU2" s="1484"/>
      <c r="CV2" s="1484"/>
      <c r="CW2" s="380"/>
      <c r="CX2" s="1484"/>
      <c r="CY2" s="1484"/>
      <c r="CZ2" s="1484"/>
      <c r="DA2" s="380"/>
      <c r="DB2" s="380"/>
      <c r="DC2" s="380"/>
      <c r="DD2" s="380"/>
      <c r="DE2" s="380"/>
      <c r="DF2" s="380"/>
      <c r="DG2" s="380"/>
      <c r="DH2" s="380"/>
      <c r="DI2" s="380"/>
      <c r="DJ2" s="380"/>
      <c r="DK2" s="380"/>
      <c r="DL2" s="380"/>
      <c r="DM2" s="380"/>
    </row>
    <row r="3" spans="1:132">
      <c r="C3" s="1046"/>
      <c r="D3" s="882"/>
      <c r="L3" s="882"/>
      <c r="R3" s="882"/>
      <c r="S3" s="882"/>
      <c r="T3" s="882"/>
      <c r="V3" s="882"/>
      <c r="W3" s="882"/>
      <c r="X3" s="882"/>
      <c r="Z3" s="882"/>
      <c r="AA3" s="882"/>
      <c r="AB3" s="882"/>
      <c r="AD3" s="882"/>
      <c r="AE3" s="882"/>
      <c r="AF3" s="882"/>
      <c r="AH3" s="882"/>
      <c r="AI3" s="882"/>
      <c r="AJ3" s="882"/>
      <c r="AL3" s="882"/>
      <c r="AM3" s="882"/>
      <c r="AN3" s="882"/>
      <c r="AP3" s="882"/>
      <c r="AQ3" s="882"/>
      <c r="AR3" s="882"/>
      <c r="AT3" s="882"/>
      <c r="AU3" s="882"/>
      <c r="AV3" s="882"/>
      <c r="BB3" s="882"/>
      <c r="BC3" s="882"/>
      <c r="BD3" s="882"/>
      <c r="BF3" s="882"/>
      <c r="BG3" s="882"/>
      <c r="BH3" s="882"/>
      <c r="BJ3" s="882"/>
      <c r="BK3" s="882"/>
      <c r="BL3" s="882"/>
      <c r="BN3" s="882"/>
      <c r="BO3" s="882"/>
      <c r="BP3" s="882"/>
      <c r="BR3" s="882"/>
      <c r="BS3" s="882"/>
      <c r="BT3" s="882"/>
      <c r="BV3" s="882"/>
      <c r="BW3" s="882"/>
      <c r="BX3" s="882"/>
      <c r="BZ3" s="882"/>
      <c r="CA3" s="882"/>
      <c r="CB3" s="882"/>
      <c r="CD3" s="882"/>
      <c r="CE3" s="882"/>
      <c r="CF3" s="882"/>
      <c r="DQ3" s="380"/>
      <c r="DR3" s="380"/>
      <c r="DS3" s="380"/>
      <c r="DT3" s="380"/>
      <c r="DU3" s="380"/>
      <c r="DV3" s="380"/>
      <c r="DW3" s="380"/>
      <c r="DX3" s="380"/>
    </row>
    <row r="4" spans="1:132">
      <c r="B4" s="981" t="s">
        <v>1579</v>
      </c>
      <c r="C4" s="981">
        <f>36-C5</f>
        <v>0</v>
      </c>
      <c r="D4" s="981" t="s">
        <v>1580</v>
      </c>
      <c r="F4" s="981" t="str">
        <f>+B4</f>
        <v>Avail. For Amort</v>
      </c>
      <c r="G4" s="981"/>
      <c r="H4" s="981" t="str">
        <f>+D4</f>
        <v>Months</v>
      </c>
      <c r="J4" s="981" t="str">
        <f>+B4</f>
        <v>Avail. For Amort</v>
      </c>
      <c r="K4" s="982">
        <f>36-K5</f>
        <v>0</v>
      </c>
      <c r="L4" s="981" t="s">
        <v>1580</v>
      </c>
      <c r="N4" s="981" t="str">
        <f>+F4</f>
        <v>Avail. For Amort</v>
      </c>
      <c r="O4" s="982">
        <f>36-O5</f>
        <v>0</v>
      </c>
      <c r="P4" s="981" t="s">
        <v>1580</v>
      </c>
      <c r="R4" s="981" t="str">
        <f>+J4</f>
        <v>Avail. For Amort</v>
      </c>
      <c r="S4" s="981">
        <f>36-S5</f>
        <v>0</v>
      </c>
      <c r="T4" s="981" t="s">
        <v>1580</v>
      </c>
      <c r="V4" s="981" t="str">
        <f>+R4</f>
        <v>Avail. For Amort</v>
      </c>
      <c r="W4" s="982">
        <f>36-W5</f>
        <v>0</v>
      </c>
      <c r="X4" s="981" t="s">
        <v>1580</v>
      </c>
      <c r="Z4" s="981" t="str">
        <f>+V4</f>
        <v>Avail. For Amort</v>
      </c>
      <c r="AA4" s="982">
        <f>36-AA5</f>
        <v>0</v>
      </c>
      <c r="AB4" s="981" t="str">
        <f>+X4</f>
        <v>Months</v>
      </c>
      <c r="AD4" s="981" t="str">
        <f>+Z4</f>
        <v>Avail. For Amort</v>
      </c>
      <c r="AE4" s="982">
        <f>36-AE5</f>
        <v>0</v>
      </c>
      <c r="AF4" s="981" t="str">
        <f>+AB4</f>
        <v>Months</v>
      </c>
      <c r="AH4" s="981" t="str">
        <f>+AD4</f>
        <v>Avail. For Amort</v>
      </c>
      <c r="AI4" s="982">
        <f>36-AI5</f>
        <v>0</v>
      </c>
      <c r="AJ4" s="981" t="str">
        <f>+AF4</f>
        <v>Months</v>
      </c>
      <c r="AL4" s="981" t="str">
        <f>+AH4</f>
        <v>Avail. For Amort</v>
      </c>
      <c r="AM4" s="982">
        <f>36-AM5</f>
        <v>0</v>
      </c>
      <c r="AN4" s="981" t="str">
        <f>+AJ4</f>
        <v>Months</v>
      </c>
      <c r="AP4" s="981" t="str">
        <f>+AL4</f>
        <v>Avail. For Amort</v>
      </c>
      <c r="AQ4" s="982">
        <f>36-AQ5</f>
        <v>0</v>
      </c>
      <c r="AR4" s="981" t="str">
        <f>+AN4</f>
        <v>Months</v>
      </c>
      <c r="AT4" s="981" t="str">
        <f>+AP4</f>
        <v>Avail. For Amort</v>
      </c>
      <c r="AU4" s="982">
        <f>36-AU5</f>
        <v>0</v>
      </c>
      <c r="AV4" s="981" t="str">
        <f>+AR4</f>
        <v>Months</v>
      </c>
      <c r="AX4" s="981" t="str">
        <f>+AT4</f>
        <v>Avail. For Amort</v>
      </c>
      <c r="AY4" s="982"/>
      <c r="AZ4" s="981" t="str">
        <f>+AV4</f>
        <v>Months</v>
      </c>
      <c r="BB4" s="981" t="str">
        <f>+AT4</f>
        <v>Avail. For Amort</v>
      </c>
      <c r="BC4" s="982">
        <f>36-BC5</f>
        <v>0</v>
      </c>
      <c r="BD4" s="981" t="str">
        <f>+AV4</f>
        <v>Months</v>
      </c>
      <c r="BF4" s="981" t="str">
        <f>+BB4</f>
        <v>Avail. For Amort</v>
      </c>
      <c r="BG4" s="982">
        <f>36-BG5</f>
        <v>0</v>
      </c>
      <c r="BH4" s="981" t="str">
        <f>+AV4</f>
        <v>Months</v>
      </c>
      <c r="BJ4" s="981" t="str">
        <f>+BF4</f>
        <v>Avail. For Amort</v>
      </c>
      <c r="BK4" s="982">
        <f>36-BK5</f>
        <v>1</v>
      </c>
      <c r="BL4" s="981" t="str">
        <f>+BD4</f>
        <v>Months</v>
      </c>
      <c r="BN4" s="981" t="str">
        <f>+BJ4</f>
        <v>Avail. For Amort</v>
      </c>
      <c r="BO4" s="982">
        <f>36-BO5</f>
        <v>7</v>
      </c>
      <c r="BP4" s="981" t="str">
        <f>+BH4</f>
        <v>Months</v>
      </c>
      <c r="BR4" s="981" t="str">
        <f>+BN4</f>
        <v>Avail. For Amort</v>
      </c>
      <c r="BS4" s="982">
        <f>36-BS5</f>
        <v>12</v>
      </c>
      <c r="BT4" s="981" t="str">
        <f>+BL4</f>
        <v>Months</v>
      </c>
      <c r="BV4" s="981" t="str">
        <f>+BR4</f>
        <v>Avail. For Amort</v>
      </c>
      <c r="BW4" s="982">
        <f>36-BW5</f>
        <v>16</v>
      </c>
      <c r="BX4" s="981" t="str">
        <f>+BT4</f>
        <v>Months</v>
      </c>
      <c r="BZ4" s="981" t="str">
        <f>+BV4</f>
        <v>Avail. For Amort</v>
      </c>
      <c r="CA4" s="982">
        <f>36-CA5</f>
        <v>36</v>
      </c>
      <c r="CB4" s="981" t="str">
        <f>+BX4</f>
        <v>Months</v>
      </c>
      <c r="CD4" s="981" t="str">
        <f>+BZ4</f>
        <v>Avail. For Amort</v>
      </c>
      <c r="CE4" s="982">
        <f>36-CE5</f>
        <v>20</v>
      </c>
      <c r="CF4" s="981"/>
      <c r="CH4" s="981" t="str">
        <f>+CD4</f>
        <v>Avail. For Amort</v>
      </c>
      <c r="CI4" s="982">
        <f>36-CI5</f>
        <v>25</v>
      </c>
      <c r="CJ4" s="981"/>
      <c r="CL4" s="981" t="str">
        <f>+CH4</f>
        <v>Avail. For Amort</v>
      </c>
      <c r="CM4" s="982">
        <f>36-CM5</f>
        <v>30</v>
      </c>
      <c r="CN4" s="981"/>
      <c r="CO4" s="882"/>
      <c r="CP4" s="981" t="str">
        <f>+CL4</f>
        <v>Avail. For Amort</v>
      </c>
      <c r="CQ4" s="982">
        <f>36-CQ5</f>
        <v>35</v>
      </c>
      <c r="CR4" s="981"/>
      <c r="CT4" s="981" t="str">
        <f>+CP4</f>
        <v>Avail. For Amort</v>
      </c>
      <c r="CU4" s="982">
        <f>36-CU5</f>
        <v>35</v>
      </c>
      <c r="CV4" s="981"/>
      <c r="CX4" s="981" t="str">
        <f>+CT4</f>
        <v>Avail. For Amort</v>
      </c>
      <c r="CY4" s="982">
        <f>36-CY5</f>
        <v>35</v>
      </c>
      <c r="CZ4" s="981"/>
      <c r="DB4" s="981" t="str">
        <f>+CX4</f>
        <v>Avail. For Amort</v>
      </c>
      <c r="DC4" s="982">
        <f>36-DC5</f>
        <v>35</v>
      </c>
      <c r="DD4" s="981"/>
      <c r="DF4" s="981"/>
      <c r="DG4" s="981"/>
      <c r="DH4" s="981"/>
      <c r="DN4" s="1022"/>
      <c r="DO4" s="981"/>
      <c r="DP4" s="981"/>
    </row>
    <row r="5" spans="1:132" s="884" customFormat="1">
      <c r="A5" s="983"/>
      <c r="B5" s="912">
        <v>41791</v>
      </c>
      <c r="C5" s="986">
        <v>36</v>
      </c>
      <c r="D5" s="984" t="s">
        <v>1580</v>
      </c>
      <c r="E5" s="987"/>
      <c r="F5" s="912"/>
      <c r="G5" s="985"/>
      <c r="H5" s="984" t="str">
        <f>+D5</f>
        <v>Months</v>
      </c>
      <c r="I5" s="987"/>
      <c r="J5" s="912">
        <v>42125</v>
      </c>
      <c r="K5" s="986">
        <v>36</v>
      </c>
      <c r="L5" s="984" t="s">
        <v>1580</v>
      </c>
      <c r="M5" s="987"/>
      <c r="N5" s="912">
        <v>42156</v>
      </c>
      <c r="O5" s="986">
        <v>36</v>
      </c>
      <c r="P5" s="984" t="s">
        <v>1580</v>
      </c>
      <c r="Q5" s="987"/>
      <c r="R5" s="912">
        <v>42522</v>
      </c>
      <c r="S5" s="986">
        <v>36</v>
      </c>
      <c r="T5" s="984" t="s">
        <v>1580</v>
      </c>
      <c r="U5" s="987"/>
      <c r="V5" s="912"/>
      <c r="W5" s="986">
        <v>36</v>
      </c>
      <c r="X5" s="984" t="s">
        <v>1580</v>
      </c>
      <c r="Y5" s="987"/>
      <c r="Z5" s="912">
        <v>42675</v>
      </c>
      <c r="AA5" s="986">
        <v>36</v>
      </c>
      <c r="AB5" s="984" t="s">
        <v>1580</v>
      </c>
      <c r="AC5" s="987"/>
      <c r="AD5" s="988">
        <v>42826</v>
      </c>
      <c r="AE5" s="986">
        <v>36</v>
      </c>
      <c r="AF5" s="984" t="s">
        <v>1580</v>
      </c>
      <c r="AG5" s="987"/>
      <c r="AH5" s="988">
        <v>43160</v>
      </c>
      <c r="AI5" s="986">
        <v>36</v>
      </c>
      <c r="AJ5" s="984" t="str">
        <f>+AF5</f>
        <v>Months</v>
      </c>
      <c r="AK5" s="987"/>
      <c r="AL5" s="988">
        <v>43282</v>
      </c>
      <c r="AM5" s="986">
        <v>36</v>
      </c>
      <c r="AN5" s="984" t="str">
        <f>+AJ5</f>
        <v>Months</v>
      </c>
      <c r="AO5" s="987"/>
      <c r="AP5" s="988">
        <v>43374</v>
      </c>
      <c r="AQ5" s="986">
        <v>36</v>
      </c>
      <c r="AR5" s="984" t="str">
        <f>+AN5</f>
        <v>Months</v>
      </c>
      <c r="AS5" s="987"/>
      <c r="AT5" s="988">
        <v>43586</v>
      </c>
      <c r="AU5" s="986">
        <v>36</v>
      </c>
      <c r="AV5" s="984" t="str">
        <f>+AR5</f>
        <v>Months</v>
      </c>
      <c r="AW5" s="987"/>
      <c r="AX5" s="988">
        <v>43739</v>
      </c>
      <c r="AY5" s="986"/>
      <c r="AZ5" s="984" t="str">
        <f>+AV5</f>
        <v>Months</v>
      </c>
      <c r="BA5" s="987"/>
      <c r="BB5" s="988">
        <v>44013</v>
      </c>
      <c r="BC5" s="986">
        <v>36</v>
      </c>
      <c r="BD5" s="984" t="str">
        <f>+AV5</f>
        <v>Months</v>
      </c>
      <c r="BE5" s="987"/>
      <c r="BF5" s="988">
        <v>44173</v>
      </c>
      <c r="BG5" s="986">
        <v>36</v>
      </c>
      <c r="BH5" s="984" t="str">
        <f>+BD5</f>
        <v>Months</v>
      </c>
      <c r="BI5" s="1485"/>
      <c r="BJ5" s="988">
        <v>44326</v>
      </c>
      <c r="BK5" s="986">
        <v>35</v>
      </c>
      <c r="BL5" s="984" t="str">
        <f>+BH5</f>
        <v>Months</v>
      </c>
      <c r="BM5" s="1485"/>
      <c r="BN5" s="988">
        <v>44470</v>
      </c>
      <c r="BO5" s="986">
        <v>29</v>
      </c>
      <c r="BP5" s="984" t="str">
        <f>+BL5</f>
        <v>Months</v>
      </c>
      <c r="BQ5" s="987"/>
      <c r="BR5" s="988">
        <f>+'Grasmere Imported Sows'!E8</f>
        <v>44643</v>
      </c>
      <c r="BS5" s="986">
        <v>24</v>
      </c>
      <c r="BT5" s="984" t="str">
        <f>+BP5</f>
        <v>Months</v>
      </c>
      <c r="BU5" s="987"/>
      <c r="BV5" s="988" t="e">
        <f>'Grasmere Imported Sows'!#REF!</f>
        <v>#REF!</v>
      </c>
      <c r="BW5" s="986">
        <v>20</v>
      </c>
      <c r="BX5" s="984" t="str">
        <f>+BT5</f>
        <v>Months</v>
      </c>
      <c r="BY5" s="987"/>
      <c r="BZ5" s="988" t="e">
        <f>'Grasmere Imported Boars'!#REF!</f>
        <v>#REF!</v>
      </c>
      <c r="CA5" s="986">
        <v>0</v>
      </c>
      <c r="CB5" s="984" t="str">
        <f>+BX5</f>
        <v>Months</v>
      </c>
      <c r="CC5" s="1485"/>
      <c r="CD5" s="1759" t="e">
        <f>'Grasmere Imported Sows'!#REF!</f>
        <v>#REF!</v>
      </c>
      <c r="CE5" s="986">
        <v>16</v>
      </c>
      <c r="CF5" s="984" t="str">
        <f>+CB5</f>
        <v>Months</v>
      </c>
      <c r="CG5" s="1485"/>
      <c r="CH5" s="1759">
        <f>'Grasmere Imported Sows'!E29</f>
        <v>45017</v>
      </c>
      <c r="CI5" s="986">
        <v>11</v>
      </c>
      <c r="CJ5" s="984" t="str">
        <f>+CF5</f>
        <v>Months</v>
      </c>
      <c r="CK5" s="1485"/>
      <c r="CL5" s="1759" t="e">
        <f>'Grasmere Imported Sows'!#REF!</f>
        <v>#REF!</v>
      </c>
      <c r="CM5" s="1002">
        <v>6</v>
      </c>
      <c r="CN5" s="984" t="str">
        <f>+CJ5</f>
        <v>Months</v>
      </c>
      <c r="CO5" s="987"/>
      <c r="CP5" s="1759">
        <f>'Grasmere Imported Sows'!E52</f>
        <v>45328</v>
      </c>
      <c r="CQ5" s="1002">
        <v>1</v>
      </c>
      <c r="CR5" s="984" t="str">
        <f>+CN5</f>
        <v>Months</v>
      </c>
      <c r="CS5" s="1485"/>
      <c r="CT5" s="1759" t="e">
        <f>'Grasmere Imported Sows'!#REF!</f>
        <v>#REF!</v>
      </c>
      <c r="CU5" s="1002">
        <v>1</v>
      </c>
      <c r="CV5" s="984" t="str">
        <f>+CR5</f>
        <v>Months</v>
      </c>
      <c r="CW5" s="987"/>
      <c r="CX5" s="1759">
        <f>'Grasmere Imported Sows'!E91</f>
        <v>45627</v>
      </c>
      <c r="CY5" s="1002">
        <v>1</v>
      </c>
      <c r="CZ5" s="984" t="str">
        <f>+CV5</f>
        <v>Months</v>
      </c>
      <c r="DA5" s="987"/>
      <c r="DB5" s="1759">
        <v>45748</v>
      </c>
      <c r="DC5" s="1002">
        <v>1</v>
      </c>
      <c r="DD5" s="984" t="str">
        <f>+CZ5</f>
        <v>Months</v>
      </c>
      <c r="DE5" s="987"/>
      <c r="DF5" s="1759">
        <v>45901</v>
      </c>
      <c r="DG5" s="2083"/>
      <c r="DH5" s="2083"/>
      <c r="DI5" s="987"/>
      <c r="DJ5" s="1759">
        <v>45901</v>
      </c>
      <c r="DK5" s="987"/>
      <c r="DL5" s="987"/>
      <c r="DM5" s="987"/>
      <c r="DN5" s="1612"/>
      <c r="DO5" s="986" t="s">
        <v>71</v>
      </c>
      <c r="DP5" s="1613"/>
      <c r="DQ5" s="872"/>
      <c r="DR5" s="872"/>
      <c r="DS5" s="872"/>
      <c r="DT5" s="872"/>
      <c r="DU5" s="872"/>
      <c r="DV5" s="872"/>
      <c r="DW5" s="872"/>
      <c r="DX5" s="872"/>
    </row>
    <row r="6" spans="1:132" s="884" customFormat="1">
      <c r="A6" s="989" t="s">
        <v>112</v>
      </c>
      <c r="B6" s="992" t="s">
        <v>1581</v>
      </c>
      <c r="C6" s="993" t="s">
        <v>1582</v>
      </c>
      <c r="D6" s="990" t="s">
        <v>1583</v>
      </c>
      <c r="E6" s="991"/>
      <c r="F6" s="992" t="str">
        <f>+B6</f>
        <v>Quantity</v>
      </c>
      <c r="G6" s="993" t="str">
        <f>+C6</f>
        <v>Unit Cost</v>
      </c>
      <c r="H6" s="990" t="str">
        <f>+D6</f>
        <v>Total Cost</v>
      </c>
      <c r="I6" s="991"/>
      <c r="J6" s="992" t="str">
        <f>+B6</f>
        <v>Quantity</v>
      </c>
      <c r="K6" s="993" t="str">
        <f>+C6</f>
        <v>Unit Cost</v>
      </c>
      <c r="L6" s="990" t="str">
        <f>+D6</f>
        <v>Total Cost</v>
      </c>
      <c r="M6" s="991"/>
      <c r="N6" s="992" t="str">
        <f>+J6</f>
        <v>Quantity</v>
      </c>
      <c r="O6" s="993" t="str">
        <f>+K6</f>
        <v>Unit Cost</v>
      </c>
      <c r="P6" s="990" t="str">
        <f>+L6</f>
        <v>Total Cost</v>
      </c>
      <c r="Q6" s="991"/>
      <c r="R6" s="992" t="str">
        <f>+F6</f>
        <v>Quantity</v>
      </c>
      <c r="S6" s="993" t="str">
        <f>+G6</f>
        <v>Unit Cost</v>
      </c>
      <c r="T6" s="990" t="str">
        <f>+H6</f>
        <v>Total Cost</v>
      </c>
      <c r="U6" s="991"/>
      <c r="V6" s="992" t="str">
        <f>+J6</f>
        <v>Quantity</v>
      </c>
      <c r="W6" s="993" t="str">
        <f>+K6</f>
        <v>Unit Cost</v>
      </c>
      <c r="X6" s="990" t="str">
        <f>+L6</f>
        <v>Total Cost</v>
      </c>
      <c r="Y6" s="991"/>
      <c r="Z6" s="992" t="str">
        <f>+V6</f>
        <v>Quantity</v>
      </c>
      <c r="AA6" s="993" t="str">
        <f>+W6</f>
        <v>Unit Cost</v>
      </c>
      <c r="AB6" s="990" t="str">
        <f>+X6</f>
        <v>Total Cost</v>
      </c>
      <c r="AC6" s="991"/>
      <c r="AD6" s="992" t="str">
        <f>+Z6</f>
        <v>Quantity</v>
      </c>
      <c r="AE6" s="993" t="str">
        <f>+AA6</f>
        <v>Unit Cost</v>
      </c>
      <c r="AF6" s="990" t="str">
        <f>+AB6</f>
        <v>Total Cost</v>
      </c>
      <c r="AG6" s="991"/>
      <c r="AH6" s="994" t="str">
        <f>+AD6</f>
        <v>Quantity</v>
      </c>
      <c r="AI6" s="993" t="str">
        <f>+AE6</f>
        <v>Unit Cost</v>
      </c>
      <c r="AJ6" s="990" t="str">
        <f>+AF6</f>
        <v>Total Cost</v>
      </c>
      <c r="AK6" s="991"/>
      <c r="AL6" s="994" t="str">
        <f>+AH6</f>
        <v>Quantity</v>
      </c>
      <c r="AM6" s="993" t="str">
        <f>+AI6</f>
        <v>Unit Cost</v>
      </c>
      <c r="AN6" s="990" t="str">
        <f>+AJ6</f>
        <v>Total Cost</v>
      </c>
      <c r="AO6" s="991"/>
      <c r="AP6" s="992" t="str">
        <f>+AL6</f>
        <v>Quantity</v>
      </c>
      <c r="AQ6" s="993" t="str">
        <f>+AM6</f>
        <v>Unit Cost</v>
      </c>
      <c r="AR6" s="990" t="str">
        <f>+AN6</f>
        <v>Total Cost</v>
      </c>
      <c r="AS6" s="991"/>
      <c r="AT6" s="995" t="str">
        <f>+AP6</f>
        <v>Quantity</v>
      </c>
      <c r="AU6" s="996" t="str">
        <f>+AQ6</f>
        <v>Unit Cost</v>
      </c>
      <c r="AV6" s="997" t="str">
        <f>+AR6</f>
        <v>Total Cost</v>
      </c>
      <c r="AW6" s="968"/>
      <c r="AX6" s="995" t="str">
        <f>+AT6</f>
        <v>Quantity</v>
      </c>
      <c r="AY6" s="996" t="str">
        <f>+AU6</f>
        <v>Unit Cost</v>
      </c>
      <c r="AZ6" s="997" t="str">
        <f>+AV6</f>
        <v>Total Cost</v>
      </c>
      <c r="BA6" s="968"/>
      <c r="BB6" s="995" t="str">
        <f>+AX6</f>
        <v>Quantity</v>
      </c>
      <c r="BC6" s="996" t="str">
        <f>+AY6</f>
        <v>Unit Cost</v>
      </c>
      <c r="BD6" s="997" t="str">
        <f>+AZ6</f>
        <v>Total Cost</v>
      </c>
      <c r="BE6" s="968"/>
      <c r="BF6" s="995" t="str">
        <f>+BB6</f>
        <v>Quantity</v>
      </c>
      <c r="BG6" s="996" t="str">
        <f>+BC6</f>
        <v>Unit Cost</v>
      </c>
      <c r="BH6" s="997" t="str">
        <f>+BD6</f>
        <v>Total Cost</v>
      </c>
      <c r="BI6" s="1486"/>
      <c r="BJ6" s="995" t="str">
        <f>+BF6</f>
        <v>Quantity</v>
      </c>
      <c r="BK6" s="996" t="str">
        <f>+BG6</f>
        <v>Unit Cost</v>
      </c>
      <c r="BL6" s="997" t="str">
        <f>+BH6</f>
        <v>Total Cost</v>
      </c>
      <c r="BM6" s="1486"/>
      <c r="BN6" s="995" t="str">
        <f>+BJ6</f>
        <v>Quantity</v>
      </c>
      <c r="BO6" s="996" t="str">
        <f>+BK6</f>
        <v>Unit Cost</v>
      </c>
      <c r="BP6" s="997" t="str">
        <f>+BL6</f>
        <v>Total Cost</v>
      </c>
      <c r="BQ6" s="968"/>
      <c r="BR6" s="996" t="str">
        <f>+BN6</f>
        <v>Quantity</v>
      </c>
      <c r="BS6" s="996" t="str">
        <f>+BO6</f>
        <v>Unit Cost</v>
      </c>
      <c r="BT6" s="996" t="str">
        <f>+BP6</f>
        <v>Total Cost</v>
      </c>
      <c r="BU6" s="968"/>
      <c r="BV6" s="996" t="str">
        <f>+BR6</f>
        <v>Quantity</v>
      </c>
      <c r="BW6" s="996" t="str">
        <f t="shared" ref="BW6:BX6" si="0">+BS6</f>
        <v>Unit Cost</v>
      </c>
      <c r="BX6" s="996" t="str">
        <f t="shared" si="0"/>
        <v>Total Cost</v>
      </c>
      <c r="BY6" s="968"/>
      <c r="BZ6" s="996" t="str">
        <f>+BV6</f>
        <v>Quantity</v>
      </c>
      <c r="CA6" s="996" t="str">
        <f t="shared" ref="CA6" si="1">+BW6</f>
        <v>Unit Cost</v>
      </c>
      <c r="CB6" s="996" t="str">
        <f t="shared" ref="CB6" si="2">+BX6</f>
        <v>Total Cost</v>
      </c>
      <c r="CC6" s="1486"/>
      <c r="CD6" s="996" t="str">
        <f>+BZ6</f>
        <v>Quantity</v>
      </c>
      <c r="CE6" s="996" t="str">
        <f t="shared" ref="CE6:CF6" si="3">+CA6</f>
        <v>Unit Cost</v>
      </c>
      <c r="CF6" s="996" t="str">
        <f t="shared" si="3"/>
        <v>Total Cost</v>
      </c>
      <c r="CG6" s="1486"/>
      <c r="CH6" s="996" t="str">
        <f>+CD6</f>
        <v>Quantity</v>
      </c>
      <c r="CI6" s="996" t="str">
        <f t="shared" ref="CI6" si="4">+CE6</f>
        <v>Unit Cost</v>
      </c>
      <c r="CJ6" s="996" t="str">
        <f t="shared" ref="CJ6" si="5">+CF6</f>
        <v>Total Cost</v>
      </c>
      <c r="CK6" s="1486"/>
      <c r="CL6" s="996" t="str">
        <f>+CH6</f>
        <v>Quantity</v>
      </c>
      <c r="CM6" s="996" t="str">
        <f t="shared" ref="CM6" si="6">+CI6</f>
        <v>Unit Cost</v>
      </c>
      <c r="CN6" s="996" t="str">
        <f t="shared" ref="CN6" si="7">+CJ6</f>
        <v>Total Cost</v>
      </c>
      <c r="CO6" s="968"/>
      <c r="CP6" s="996" t="str">
        <f>+CL6</f>
        <v>Quantity</v>
      </c>
      <c r="CQ6" s="996" t="str">
        <f t="shared" ref="CQ6" si="8">+CM6</f>
        <v>Unit Cost</v>
      </c>
      <c r="CR6" s="996" t="str">
        <f t="shared" ref="CR6" si="9">+CN6</f>
        <v>Total Cost</v>
      </c>
      <c r="CS6" s="1486"/>
      <c r="CT6" s="996" t="str">
        <f>+CP6</f>
        <v>Quantity</v>
      </c>
      <c r="CU6" s="996" t="str">
        <f t="shared" ref="CU6" si="10">+CQ6</f>
        <v>Unit Cost</v>
      </c>
      <c r="CV6" s="996" t="str">
        <f t="shared" ref="CV6" si="11">+CR6</f>
        <v>Total Cost</v>
      </c>
      <c r="CW6" s="968"/>
      <c r="CX6" s="996" t="str">
        <f>+CT6</f>
        <v>Quantity</v>
      </c>
      <c r="CY6" s="996" t="str">
        <f t="shared" ref="CY6" si="12">+CU6</f>
        <v>Unit Cost</v>
      </c>
      <c r="CZ6" s="996" t="str">
        <f t="shared" ref="CZ6" si="13">+CV6</f>
        <v>Total Cost</v>
      </c>
      <c r="DA6" s="968"/>
      <c r="DB6" s="996" t="str">
        <f>+CX6</f>
        <v>Quantity</v>
      </c>
      <c r="DC6" s="996" t="str">
        <f t="shared" ref="DC6" si="14">+CY6</f>
        <v>Unit Cost</v>
      </c>
      <c r="DD6" s="996" t="str">
        <f t="shared" ref="DD6" si="15">+CZ6</f>
        <v>Total Cost</v>
      </c>
      <c r="DE6" s="968"/>
      <c r="DF6" s="996"/>
      <c r="DG6" s="996"/>
      <c r="DH6" s="996"/>
      <c r="DI6" s="968"/>
      <c r="DJ6" s="968"/>
      <c r="DK6" s="968"/>
      <c r="DL6" s="968"/>
      <c r="DM6" s="968"/>
      <c r="DN6" s="1614" t="str">
        <f>+BN6</f>
        <v>Quantity</v>
      </c>
      <c r="DO6" s="1615" t="str">
        <f>+BO6</f>
        <v>Unit Cost</v>
      </c>
      <c r="DP6" s="1616" t="str">
        <f>+BP6</f>
        <v>Total Cost</v>
      </c>
      <c r="DQ6" s="872"/>
      <c r="DR6" s="872"/>
      <c r="DS6" s="872"/>
      <c r="DT6" s="872"/>
      <c r="DU6" s="872"/>
      <c r="DV6" s="872"/>
      <c r="DW6" s="872"/>
      <c r="DX6" s="872"/>
    </row>
    <row r="7" spans="1:132" s="1021" customFormat="1">
      <c r="A7" s="1023" t="s">
        <v>1584</v>
      </c>
      <c r="B7" s="960">
        <v>33</v>
      </c>
      <c r="C7" s="1025">
        <f>+D7/B7</f>
        <v>9687.7527272727275</v>
      </c>
      <c r="D7" s="936">
        <f>+[37]Grasmere!$H$36*4</f>
        <v>319695.84000000003</v>
      </c>
      <c r="E7" s="889"/>
      <c r="F7" s="960"/>
      <c r="G7" s="1025"/>
      <c r="H7" s="936"/>
      <c r="I7" s="889"/>
      <c r="J7" s="960">
        <v>44</v>
      </c>
      <c r="K7" s="1025">
        <f>+L7/J7</f>
        <v>8391.5645454545465</v>
      </c>
      <c r="L7" s="936">
        <f>(91352.21+955)*4</f>
        <v>369228.84</v>
      </c>
      <c r="M7" s="889"/>
      <c r="N7" s="960">
        <v>40</v>
      </c>
      <c r="O7" s="1025">
        <f>+P7/N7</f>
        <v>8584.0190000000002</v>
      </c>
      <c r="P7" s="936">
        <f>(86247.61-407.42)*4</f>
        <v>343360.76</v>
      </c>
      <c r="Q7" s="889"/>
      <c r="R7" s="960">
        <v>44</v>
      </c>
      <c r="S7" s="1025">
        <f>+[38]Grasmere!$G$54*4</f>
        <v>7053.0254545454545</v>
      </c>
      <c r="T7" s="936">
        <f>+R7*S7</f>
        <v>310333.12</v>
      </c>
      <c r="U7" s="889"/>
      <c r="V7" s="960"/>
      <c r="W7" s="1025"/>
      <c r="X7" s="936"/>
      <c r="Y7" s="889"/>
      <c r="Z7" s="960">
        <v>44</v>
      </c>
      <c r="AA7" s="959">
        <f>+AB7/Z7</f>
        <v>8392.9954366188013</v>
      </c>
      <c r="AB7" s="936">
        <v>369291.79921122722</v>
      </c>
      <c r="AC7" s="889"/>
      <c r="AD7" s="960">
        <v>44</v>
      </c>
      <c r="AE7" s="959">
        <f>114133.28/44*4/1.125</f>
        <v>9222.8913131313129</v>
      </c>
      <c r="AF7" s="936">
        <f>+AD7*AE7</f>
        <v>405807.21777777775</v>
      </c>
      <c r="AG7" s="889"/>
      <c r="AH7" s="960">
        <v>36</v>
      </c>
      <c r="AI7" s="959">
        <f>4006.81/1.6*4</f>
        <v>10017.025</v>
      </c>
      <c r="AJ7" s="936">
        <f>+AH7*AI7</f>
        <v>360612.89999999997</v>
      </c>
      <c r="AK7" s="889"/>
      <c r="AL7" s="960">
        <v>35</v>
      </c>
      <c r="AM7" s="1026">
        <f>4392.69/1.8*4</f>
        <v>9761.5333333333328</v>
      </c>
      <c r="AN7" s="936">
        <f>+AL7*AM7</f>
        <v>341653.66666666663</v>
      </c>
      <c r="AO7" s="889"/>
      <c r="AP7" s="960">
        <v>39</v>
      </c>
      <c r="AQ7" s="959">
        <f>+[39]Sheet1!$H$23/3.7*4</f>
        <v>8399.1235584543974</v>
      </c>
      <c r="AR7" s="936">
        <f>+AP7*AQ7</f>
        <v>327565.81877972151</v>
      </c>
      <c r="AS7" s="889"/>
      <c r="AT7" s="960">
        <f>+'[40]Grasmere valuation '!BL7</f>
        <v>147</v>
      </c>
      <c r="AU7" s="959">
        <f>+'[40]Grasmere valuation '!BM7</f>
        <v>16046.636819943167</v>
      </c>
      <c r="AV7" s="936">
        <f>+'[40]Grasmere valuation '!BN7</f>
        <v>2358855.6125316457</v>
      </c>
      <c r="AW7" s="889"/>
      <c r="AX7" s="960"/>
      <c r="AY7" s="959"/>
      <c r="AZ7" s="936"/>
      <c r="BA7" s="889"/>
      <c r="BB7" s="960">
        <v>81</v>
      </c>
      <c r="BC7" s="959">
        <f>+BD7/BB7</f>
        <v>199948.32943761846</v>
      </c>
      <c r="BD7" s="936">
        <v>16195814.684447095</v>
      </c>
      <c r="BE7" s="889"/>
      <c r="BF7" s="960">
        <v>47</v>
      </c>
      <c r="BG7" s="959">
        <f>+[41]Sheet1!$L$45</f>
        <v>234317.26664502168</v>
      </c>
      <c r="BH7" s="936">
        <f>+BF7*BG7</f>
        <v>11012911.53231602</v>
      </c>
      <c r="BI7" s="1487"/>
      <c r="BJ7" s="960">
        <v>63</v>
      </c>
      <c r="BK7" s="959">
        <f>+'[42]May 2021'!$K$29</f>
        <v>300760.73609469831</v>
      </c>
      <c r="BL7" s="936">
        <f>+BJ7*BK7</f>
        <v>18947926.373965994</v>
      </c>
      <c r="BM7" s="1487"/>
      <c r="BN7" s="960">
        <v>63</v>
      </c>
      <c r="BO7" s="959">
        <f>+'[42]October 21'!$L$32</f>
        <v>454374.45382046868</v>
      </c>
      <c r="BP7" s="936">
        <f>+BN7*BO7</f>
        <v>28625590.590689529</v>
      </c>
      <c r="BQ7" s="889"/>
      <c r="BR7" s="960">
        <v>67</v>
      </c>
      <c r="BS7" s="959">
        <f>+'[43]March 22'!$L$26</f>
        <v>678679.52865999355</v>
      </c>
      <c r="BT7" s="936">
        <f>+BR7*BS7</f>
        <v>45471528.42021957</v>
      </c>
      <c r="BU7" s="889"/>
      <c r="BV7" s="960">
        <v>62</v>
      </c>
      <c r="BW7" s="959">
        <f>+'[44]July 22'!$L$31</f>
        <v>1928201.8379708324</v>
      </c>
      <c r="BX7" s="936">
        <f>+BV7*BW7</f>
        <v>119548513.95419161</v>
      </c>
      <c r="BY7" s="889"/>
      <c r="BZ7" s="959"/>
      <c r="CA7" s="959"/>
      <c r="CB7" s="959"/>
      <c r="CC7" s="1487"/>
      <c r="CD7" s="959">
        <v>57</v>
      </c>
      <c r="CE7" s="959">
        <f>+'[45]Nov 2022'!$L$31</f>
        <v>1718030.6987312208</v>
      </c>
      <c r="CF7" s="936">
        <f>+CD7*CE7</f>
        <v>97927749.827679589</v>
      </c>
      <c r="CG7" s="1487"/>
      <c r="CH7" s="959">
        <v>63</v>
      </c>
      <c r="CI7" s="1818">
        <f>'[46]April 2023'!$L$35</f>
        <v>4481824.7167510167</v>
      </c>
      <c r="CJ7" s="936">
        <f>+CH7*CI7</f>
        <v>282354957.15531403</v>
      </c>
      <c r="CK7" s="1487"/>
      <c r="CL7" s="959">
        <f>'[47]September 2023'!$C$35</f>
        <v>63</v>
      </c>
      <c r="CM7" s="1818">
        <f>'[47]September 2023'!$L$35</f>
        <v>2400.2507468139415</v>
      </c>
      <c r="CN7" s="936">
        <f>+CL7*CM7</f>
        <v>151215.79704927831</v>
      </c>
      <c r="CO7" s="889"/>
      <c r="CP7" s="959">
        <f>'[47]February 2024'!$C$38</f>
        <v>71</v>
      </c>
      <c r="CQ7" s="1818">
        <f>'[47]February 2024'!$L$38</f>
        <v>2636.1338769012727</v>
      </c>
      <c r="CR7" s="936">
        <f>+CP7*CQ7</f>
        <v>187165.50525999037</v>
      </c>
      <c r="CS7" s="1487"/>
      <c r="CT7" s="959">
        <v>63</v>
      </c>
      <c r="CU7" s="1818">
        <f>'[48]July 2024'!$L$38</f>
        <v>2712.5979856433833</v>
      </c>
      <c r="CV7" s="936">
        <f>+CT7*CU7</f>
        <v>170893.67309553316</v>
      </c>
      <c r="CW7" s="889"/>
      <c r="CX7" s="959">
        <v>63</v>
      </c>
      <c r="CY7" s="1818">
        <f>'[48]July 2024'!$L$38</f>
        <v>2712.5979856433833</v>
      </c>
      <c r="CZ7" s="936">
        <f>+CX7*CY7</f>
        <v>170893.67309553316</v>
      </c>
      <c r="DA7" s="889"/>
      <c r="DB7" s="959">
        <v>84</v>
      </c>
      <c r="DC7" s="1818">
        <f>'[48]July 2024'!$L$38</f>
        <v>2712.5979856433833</v>
      </c>
      <c r="DD7" s="936">
        <f>+DB7*DC7</f>
        <v>227858.23079404418</v>
      </c>
      <c r="DE7" s="889"/>
      <c r="DF7" s="959"/>
      <c r="DG7" s="959"/>
      <c r="DH7" s="959"/>
      <c r="DI7" s="889"/>
      <c r="DJ7" s="889"/>
      <c r="DK7" s="889"/>
      <c r="DL7" s="889"/>
      <c r="DM7" s="889"/>
      <c r="DN7" s="1606">
        <f>+B7+F7+J7+N7+R7+V7+Z7+AD7+AH7+AL7+AP7+AT7+AX7+BB7+BF7+BJ7+BN7+BR7+BV7+BZ7+CD7+CH7+CL7+CP7+CT7+CX7+DB7</f>
        <v>1353</v>
      </c>
      <c r="DO7" s="1611">
        <f>+DP7/DN7</f>
        <v>462623.63593207672</v>
      </c>
      <c r="DP7" s="1607">
        <f>+D7+H7+L7+P7+T7+X7+AB7+AF7+AJ7+AN7+AR7+AV7+AZ7+BD7+BH7+BL7+BP7+BT7+BX7+CB7+CF7+CJ7+CN7+CR7</f>
        <v>625929779.41609979</v>
      </c>
    </row>
    <row r="8" spans="1:132" s="1021" customFormat="1">
      <c r="A8" s="1023" t="s">
        <v>169</v>
      </c>
      <c r="B8" s="960">
        <f>+B9-B7</f>
        <v>-33</v>
      </c>
      <c r="C8" s="1025">
        <f>+C7</f>
        <v>9687.7527272727275</v>
      </c>
      <c r="D8" s="936">
        <f>+C8*B8</f>
        <v>-319695.84000000003</v>
      </c>
      <c r="E8" s="889"/>
      <c r="F8" s="960"/>
      <c r="G8" s="1025"/>
      <c r="H8" s="936"/>
      <c r="I8" s="889"/>
      <c r="J8" s="960">
        <f>+J9-J7</f>
        <v>-44</v>
      </c>
      <c r="K8" s="1025">
        <f>+K7</f>
        <v>8391.5645454545465</v>
      </c>
      <c r="L8" s="936">
        <f>+K8*J8</f>
        <v>-369228.84</v>
      </c>
      <c r="M8" s="889"/>
      <c r="N8" s="960">
        <f>+N9-N7</f>
        <v>-40</v>
      </c>
      <c r="O8" s="1025">
        <f>+O7</f>
        <v>8584.0190000000002</v>
      </c>
      <c r="P8" s="936">
        <f>+O8*N8</f>
        <v>-343360.76</v>
      </c>
      <c r="Q8" s="889"/>
      <c r="R8" s="960">
        <f>+R9-R7</f>
        <v>-44</v>
      </c>
      <c r="S8" s="1025">
        <f>+S7</f>
        <v>7053.0254545454545</v>
      </c>
      <c r="T8" s="936">
        <f>+S8*R8</f>
        <v>-310333.12</v>
      </c>
      <c r="U8" s="889"/>
      <c r="V8" s="960"/>
      <c r="W8" s="1025"/>
      <c r="X8" s="936"/>
      <c r="Y8" s="889"/>
      <c r="Z8" s="960">
        <f>+Z9-Z7</f>
        <v>-44</v>
      </c>
      <c r="AA8" s="959">
        <f>+AA7</f>
        <v>8392.9954366188013</v>
      </c>
      <c r="AB8" s="936">
        <f>+Z8*AA8</f>
        <v>-369291.79921122728</v>
      </c>
      <c r="AC8" s="889"/>
      <c r="AD8" s="960">
        <f>+AD9-AD7</f>
        <v>-44</v>
      </c>
      <c r="AE8" s="959">
        <f>+AE7</f>
        <v>9222.8913131313129</v>
      </c>
      <c r="AF8" s="936">
        <f>+AD8*AE8</f>
        <v>-405807.21777777775</v>
      </c>
      <c r="AG8" s="889"/>
      <c r="AH8" s="960">
        <f>+AH9-AH7</f>
        <v>-36</v>
      </c>
      <c r="AI8" s="959">
        <f>+AI7</f>
        <v>10017.025</v>
      </c>
      <c r="AJ8" s="936">
        <f>+AH8*AI8</f>
        <v>-360612.89999999997</v>
      </c>
      <c r="AK8" s="889"/>
      <c r="AL8" s="960">
        <f>+AL9-AL7</f>
        <v>-35</v>
      </c>
      <c r="AM8" s="959">
        <f>+AM7</f>
        <v>9761.5333333333328</v>
      </c>
      <c r="AN8" s="936">
        <f>+AL8*AM8</f>
        <v>-341653.66666666663</v>
      </c>
      <c r="AO8" s="889"/>
      <c r="AP8" s="960">
        <f>+AP9-AP7</f>
        <v>-39</v>
      </c>
      <c r="AQ8" s="959">
        <f>+AQ7</f>
        <v>8399.1235584543974</v>
      </c>
      <c r="AR8" s="936">
        <f>+AP8*AQ8</f>
        <v>-327565.81877972151</v>
      </c>
      <c r="AS8" s="889"/>
      <c r="AT8" s="960">
        <f>+AT9-AT7</f>
        <v>-147</v>
      </c>
      <c r="AU8" s="959">
        <f>+'[40]Grasmere valuation '!BM8</f>
        <v>16046.636819943167</v>
      </c>
      <c r="AV8" s="936">
        <f>+AT8*AU8</f>
        <v>-2358855.6125316457</v>
      </c>
      <c r="AW8" s="889"/>
      <c r="AX8" s="960"/>
      <c r="AY8" s="959"/>
      <c r="AZ8" s="936"/>
      <c r="BA8" s="889"/>
      <c r="BB8" s="960">
        <f>+BB9-BB7</f>
        <v>-81</v>
      </c>
      <c r="BC8" s="959">
        <f>+BC7</f>
        <v>199948.32943761846</v>
      </c>
      <c r="BD8" s="936">
        <f>+BB8*BC8</f>
        <v>-16195814.684447095</v>
      </c>
      <c r="BE8" s="889"/>
      <c r="BF8" s="960">
        <f>+BF9-BF7</f>
        <v>-47</v>
      </c>
      <c r="BG8" s="959">
        <f>+BG7</f>
        <v>234317.26664502168</v>
      </c>
      <c r="BH8" s="936">
        <f>+BF8*BG8</f>
        <v>-11012911.53231602</v>
      </c>
      <c r="BI8" s="1487"/>
      <c r="BJ8" s="960">
        <f>+BJ9-BJ7</f>
        <v>-62</v>
      </c>
      <c r="BK8" s="959">
        <f>+BK7</f>
        <v>300760.73609469831</v>
      </c>
      <c r="BL8" s="936">
        <f>+BJ8*BK8</f>
        <v>-18647165.637871295</v>
      </c>
      <c r="BM8" s="1487"/>
      <c r="BN8" s="960">
        <f>+BN9-BN7</f>
        <v>-62</v>
      </c>
      <c r="BO8" s="959">
        <f>+BO7</f>
        <v>454374.45382046868</v>
      </c>
      <c r="BP8" s="936">
        <f>+BN8*BO8</f>
        <v>-28171216.136869058</v>
      </c>
      <c r="BQ8" s="889"/>
      <c r="BR8" s="960">
        <f>+BR9-BR7</f>
        <v>-66</v>
      </c>
      <c r="BS8" s="959">
        <f>+BS7</f>
        <v>678679.52865999355</v>
      </c>
      <c r="BT8" s="936">
        <f>+BR8*BS8</f>
        <v>-44792848.891559571</v>
      </c>
      <c r="BU8" s="889"/>
      <c r="BV8" s="960">
        <f>+BV9-BV7</f>
        <v>-58</v>
      </c>
      <c r="BW8" s="959">
        <f>+BW7</f>
        <v>1928201.8379708324</v>
      </c>
      <c r="BX8" s="936">
        <f>+BV8*BW8</f>
        <v>-111835706.60230827</v>
      </c>
      <c r="BY8" s="889"/>
      <c r="BZ8" s="959"/>
      <c r="CA8" s="959"/>
      <c r="CB8" s="959"/>
      <c r="CC8" s="1487"/>
      <c r="CD8" s="960">
        <f>+CD9-CD7</f>
        <v>-49</v>
      </c>
      <c r="CE8" s="959">
        <f>+CE7</f>
        <v>1718030.6987312208</v>
      </c>
      <c r="CF8" s="936">
        <f>+CD8*CE8</f>
        <v>-84183504.237829819</v>
      </c>
      <c r="CG8" s="1487"/>
      <c r="CH8" s="960">
        <f>+CH9-CH7</f>
        <v>-53</v>
      </c>
      <c r="CI8" s="959">
        <f>+CI7</f>
        <v>4481824.7167510167</v>
      </c>
      <c r="CJ8" s="936">
        <f>+CH8*CI8</f>
        <v>-237536709.98780388</v>
      </c>
      <c r="CK8" s="1487"/>
      <c r="CL8" s="960">
        <f>+CL9-CL7</f>
        <v>-50</v>
      </c>
      <c r="CM8" s="959">
        <f>+CM7</f>
        <v>2400.2507468139415</v>
      </c>
      <c r="CN8" s="936">
        <f>+CL8*CM8</f>
        <v>-120012.53734069708</v>
      </c>
      <c r="CO8" s="889"/>
      <c r="CP8" s="960">
        <f>+CP9-CP7</f>
        <v>-49</v>
      </c>
      <c r="CQ8" s="959">
        <f>+CQ7</f>
        <v>2636.1338769012727</v>
      </c>
      <c r="CR8" s="936">
        <f>+CP8*CQ8</f>
        <v>-129170.55996816236</v>
      </c>
      <c r="CS8" s="1487"/>
      <c r="CT8" s="960">
        <f>+CT9-CT7</f>
        <v>-49</v>
      </c>
      <c r="CU8" s="959">
        <f>+CU7</f>
        <v>2712.5979856433833</v>
      </c>
      <c r="CV8" s="936">
        <f>+CT8*CU8</f>
        <v>-132917.30129652578</v>
      </c>
      <c r="CW8" s="889"/>
      <c r="CX8" s="960">
        <f>+CX9-CX7</f>
        <v>-42</v>
      </c>
      <c r="CY8" s="959">
        <f>+CY7</f>
        <v>2712.5979856433833</v>
      </c>
      <c r="CZ8" s="936">
        <f>+CX8*CY8</f>
        <v>-113929.11539702209</v>
      </c>
      <c r="DA8" s="889"/>
      <c r="DB8" s="960">
        <f>+DB9-DB7</f>
        <v>-61</v>
      </c>
      <c r="DC8" s="959">
        <f>+DC7</f>
        <v>2712.5979856433833</v>
      </c>
      <c r="DD8" s="936">
        <f>+DB8*DC8</f>
        <v>-165468.47712424639</v>
      </c>
      <c r="DE8" s="889"/>
      <c r="DF8" s="959"/>
      <c r="DG8" s="959"/>
      <c r="DH8" s="959"/>
      <c r="DI8" s="889"/>
      <c r="DJ8" s="889"/>
      <c r="DK8" s="889"/>
      <c r="DL8" s="889"/>
      <c r="DM8" s="889"/>
      <c r="DN8" s="1606">
        <f>+B8+F8+J8+N8+R8+V8+Z8+AD8+AH8+AL8+AP8+AT8+AX8+BB8+BF8+BJ8+BN8+BR8+BV8+BZ8+CD8+CH8+CL8+CP8+CT8+CX8+DB8</f>
        <v>-1235</v>
      </c>
      <c r="DO8" s="1611">
        <f>+DP8/DN8</f>
        <v>451928.31286095618</v>
      </c>
      <c r="DP8" s="1607">
        <f>+D8+H8+L8+P8+T8+X8+AB8+AF8+AJ8+AN8+AR8+AV8+AZ8+BD8+BH8+BL8+BP8+BT8+BX8+CB8+CF8+CJ8+CN8+CR8</f>
        <v>-558131466.38328087</v>
      </c>
    </row>
    <row r="9" spans="1:132" s="872" customFormat="1">
      <c r="A9" s="998" t="s">
        <v>1585</v>
      </c>
      <c r="B9" s="930">
        <v>0</v>
      </c>
      <c r="C9" s="931">
        <f>+C8</f>
        <v>9687.7527272727275</v>
      </c>
      <c r="D9" s="932">
        <f>SUM(D7:D8)</f>
        <v>0</v>
      </c>
      <c r="E9" s="999"/>
      <c r="F9" s="930"/>
      <c r="G9" s="931"/>
      <c r="H9" s="932"/>
      <c r="I9" s="999"/>
      <c r="J9" s="930">
        <v>0</v>
      </c>
      <c r="K9" s="931">
        <f>+K8</f>
        <v>8391.5645454545465</v>
      </c>
      <c r="L9" s="932">
        <f>SUM(L7:L8)</f>
        <v>0</v>
      </c>
      <c r="M9" s="999"/>
      <c r="N9" s="930">
        <v>0</v>
      </c>
      <c r="O9" s="931">
        <f>+O8</f>
        <v>8584.0190000000002</v>
      </c>
      <c r="P9" s="932">
        <f>SUM(P7:P8)</f>
        <v>0</v>
      </c>
      <c r="Q9" s="999"/>
      <c r="R9" s="930">
        <v>0</v>
      </c>
      <c r="S9" s="931">
        <f>+S8</f>
        <v>7053.0254545454545</v>
      </c>
      <c r="T9" s="932">
        <f>SUM(T7:T8)</f>
        <v>0</v>
      </c>
      <c r="U9" s="999"/>
      <c r="V9" s="930"/>
      <c r="W9" s="931"/>
      <c r="X9" s="932"/>
      <c r="Y9" s="999"/>
      <c r="Z9" s="930">
        <v>0</v>
      </c>
      <c r="AA9" s="931">
        <f>+AA8</f>
        <v>8392.9954366188013</v>
      </c>
      <c r="AB9" s="932">
        <f>SUM(AB7:AB8)</f>
        <v>0</v>
      </c>
      <c r="AC9" s="999"/>
      <c r="AD9" s="930">
        <v>0</v>
      </c>
      <c r="AE9" s="931">
        <f>+AE8</f>
        <v>9222.8913131313129</v>
      </c>
      <c r="AF9" s="932">
        <f>SUM(AF7:AF8)</f>
        <v>0</v>
      </c>
      <c r="AG9" s="999"/>
      <c r="AH9" s="930">
        <v>0</v>
      </c>
      <c r="AI9" s="931">
        <f>+AI8</f>
        <v>10017.025</v>
      </c>
      <c r="AJ9" s="932">
        <f>SUM(AJ7:AJ8)</f>
        <v>0</v>
      </c>
      <c r="AK9" s="999"/>
      <c r="AL9" s="930">
        <v>0</v>
      </c>
      <c r="AM9" s="931">
        <f>+AM8</f>
        <v>9761.5333333333328</v>
      </c>
      <c r="AN9" s="932">
        <f>SUM(AN7:AN8)</f>
        <v>0</v>
      </c>
      <c r="AO9" s="999"/>
      <c r="AP9" s="930">
        <v>0</v>
      </c>
      <c r="AQ9" s="931">
        <f>+AQ8</f>
        <v>8399.1235584543974</v>
      </c>
      <c r="AR9" s="932">
        <f>SUM(AR7:AR8)</f>
        <v>0</v>
      </c>
      <c r="AS9" s="999"/>
      <c r="AT9" s="930">
        <v>0</v>
      </c>
      <c r="AU9" s="931">
        <f>+AU8</f>
        <v>16046.636819943167</v>
      </c>
      <c r="AV9" s="932">
        <f>SUM(AV7:AV8)</f>
        <v>0</v>
      </c>
      <c r="AW9" s="999"/>
      <c r="AX9" s="930"/>
      <c r="AY9" s="931"/>
      <c r="AZ9" s="932"/>
      <c r="BA9" s="999"/>
      <c r="BB9" s="930">
        <v>0</v>
      </c>
      <c r="BC9" s="931">
        <f>+BC8</f>
        <v>199948.32943761846</v>
      </c>
      <c r="BD9" s="932">
        <f>SUM(BD7:BD8)</f>
        <v>0</v>
      </c>
      <c r="BE9" s="999"/>
      <c r="BF9" s="930">
        <v>0</v>
      </c>
      <c r="BG9" s="931">
        <f>+BG8</f>
        <v>234317.26664502168</v>
      </c>
      <c r="BH9" s="932">
        <f>SUM(BH7:BH8)</f>
        <v>0</v>
      </c>
      <c r="BI9" s="1488"/>
      <c r="BJ9" s="930">
        <f>+'Grasmere Imported Sows'!B6</f>
        <v>1</v>
      </c>
      <c r="BK9" s="931">
        <f>+BK8</f>
        <v>300760.73609469831</v>
      </c>
      <c r="BL9" s="932">
        <f>SUM(BL7:BL8)</f>
        <v>300760.73609469831</v>
      </c>
      <c r="BM9" s="1488"/>
      <c r="BN9" s="930">
        <f>+'Grasmere Imported Sows'!B7</f>
        <v>1</v>
      </c>
      <c r="BO9" s="931">
        <f>+BO8</f>
        <v>454374.45382046868</v>
      </c>
      <c r="BP9" s="932">
        <f>SUM(BP7:BP8)</f>
        <v>454374.45382047072</v>
      </c>
      <c r="BQ9" s="999"/>
      <c r="BR9" s="930">
        <f>+'Grasmere Imported Sows'!B8</f>
        <v>1</v>
      </c>
      <c r="BS9" s="931">
        <f>+BS8</f>
        <v>678679.52865999355</v>
      </c>
      <c r="BT9" s="932">
        <f>SUM(BT7:BT8)</f>
        <v>678679.52865999937</v>
      </c>
      <c r="BU9" s="999"/>
      <c r="BV9" s="930">
        <f>'Grasmere Imported Sows'!B12</f>
        <v>4</v>
      </c>
      <c r="BW9" s="931">
        <f>+BW8</f>
        <v>1928201.8379708324</v>
      </c>
      <c r="BX9" s="932">
        <f>SUM(BX7:BX8)</f>
        <v>7712807.3518833369</v>
      </c>
      <c r="BY9" s="999"/>
      <c r="BZ9" s="931"/>
      <c r="CA9" s="931"/>
      <c r="CB9" s="931"/>
      <c r="CC9" s="1488"/>
      <c r="CD9" s="1758">
        <f>'Grasmere Imported Sows'!B20</f>
        <v>8</v>
      </c>
      <c r="CE9" s="931">
        <f>+CE8</f>
        <v>1718030.6987312208</v>
      </c>
      <c r="CF9" s="932">
        <f>SUM(CF7:CF8)</f>
        <v>13744245.58984977</v>
      </c>
      <c r="CG9" s="1488"/>
      <c r="CH9" s="1758">
        <f>+'Grasmere Imported Sows'!B30</f>
        <v>10</v>
      </c>
      <c r="CI9" s="1819">
        <f>+CI8</f>
        <v>4481824.7167510167</v>
      </c>
      <c r="CJ9" s="932">
        <f>SUM(CJ7:CJ8)</f>
        <v>44818247.167510152</v>
      </c>
      <c r="CK9" s="1488"/>
      <c r="CL9" s="1758">
        <f>'Grasmere Imported Sows'!B43</f>
        <v>13</v>
      </c>
      <c r="CM9" s="1819">
        <f>+CM8</f>
        <v>2400.2507468139415</v>
      </c>
      <c r="CN9" s="932">
        <f>SUM(CN7:CN8)</f>
        <v>31203.25970858123</v>
      </c>
      <c r="CO9" s="999"/>
      <c r="CP9" s="1758">
        <f>'Grasmere Imported Sows'!B65</f>
        <v>22</v>
      </c>
      <c r="CQ9" s="1819">
        <f>+CQ8</f>
        <v>2636.1338769012727</v>
      </c>
      <c r="CR9" s="932">
        <f>SUM(CR7:CR8)</f>
        <v>57994.945291828015</v>
      </c>
      <c r="CS9" s="1488"/>
      <c r="CT9" s="1758">
        <f>'Grasmere Imported Sows'!B79</f>
        <v>14</v>
      </c>
      <c r="CU9" s="1819">
        <f>+CU8</f>
        <v>2712.5979856433833</v>
      </c>
      <c r="CV9" s="932">
        <f>SUM(CV7:CV8)</f>
        <v>37976.371799007378</v>
      </c>
      <c r="CW9" s="999"/>
      <c r="CX9" s="1758">
        <f>'Grasmere Imported Sows'!B100</f>
        <v>21</v>
      </c>
      <c r="CY9" s="1819">
        <f>+CY8</f>
        <v>2712.5979856433833</v>
      </c>
      <c r="CZ9" s="932">
        <f>SUM(CZ7:CZ8)</f>
        <v>56964.557698511067</v>
      </c>
      <c r="DA9" s="999"/>
      <c r="DB9" s="1758">
        <f>'Grasmere Imported Sows'!B123</f>
        <v>23</v>
      </c>
      <c r="DC9" s="1819">
        <f>+DC8</f>
        <v>2712.5979856433833</v>
      </c>
      <c r="DD9" s="932">
        <f>SUM(DD7:DD8)</f>
        <v>62389.753669797792</v>
      </c>
      <c r="DE9" s="999"/>
      <c r="DF9" s="931"/>
      <c r="DG9" s="931"/>
      <c r="DH9" s="931"/>
      <c r="DI9" s="999"/>
      <c r="DJ9" s="999"/>
      <c r="DK9" s="999"/>
      <c r="DL9" s="999"/>
      <c r="DM9" s="999"/>
      <c r="DN9" s="1608">
        <f>SUM(DN7:DN8)</f>
        <v>118</v>
      </c>
      <c r="DO9" s="1822">
        <f>+DP9/DN9</f>
        <v>574561.97485439759</v>
      </c>
      <c r="DP9" s="1609">
        <f>SUM(DP7:DP8)</f>
        <v>67798313.032818913</v>
      </c>
      <c r="DQ9" s="872">
        <f>+'Grasmere Valuation '!H94</f>
        <v>67709114.827818424</v>
      </c>
      <c r="DR9" s="872">
        <f>+DP9-DQ9</f>
        <v>89198.20500048995</v>
      </c>
    </row>
    <row r="10" spans="1:132" s="1021" customFormat="1">
      <c r="A10" s="1023" t="s">
        <v>1586</v>
      </c>
      <c r="B10" s="1024">
        <v>-130</v>
      </c>
      <c r="C10" s="1025">
        <v>1.62</v>
      </c>
      <c r="D10" s="936">
        <f>+B9*B10*C10</f>
        <v>0</v>
      </c>
      <c r="E10" s="889"/>
      <c r="F10" s="1024"/>
      <c r="G10" s="1025"/>
      <c r="H10" s="936"/>
      <c r="I10" s="889"/>
      <c r="J10" s="1024">
        <v>-130</v>
      </c>
      <c r="K10" s="1025">
        <f>+C10</f>
        <v>1.62</v>
      </c>
      <c r="L10" s="936">
        <f>+J9*J10*K10</f>
        <v>0</v>
      </c>
      <c r="M10" s="889"/>
      <c r="N10" s="1024">
        <v>-130</v>
      </c>
      <c r="O10" s="1025">
        <f>+G10</f>
        <v>0</v>
      </c>
      <c r="P10" s="936">
        <f>+N9*N10*O10</f>
        <v>0</v>
      </c>
      <c r="Q10" s="889"/>
      <c r="R10" s="1024">
        <v>-130</v>
      </c>
      <c r="S10" s="1025">
        <v>1.5</v>
      </c>
      <c r="T10" s="936">
        <f>+R9*R10*S10</f>
        <v>0</v>
      </c>
      <c r="U10" s="889"/>
      <c r="V10" s="1024"/>
      <c r="W10" s="1025"/>
      <c r="X10" s="936"/>
      <c r="Y10" s="889"/>
      <c r="Z10" s="1024">
        <v>-130</v>
      </c>
      <c r="AA10" s="1025">
        <v>1.5</v>
      </c>
      <c r="AB10" s="936">
        <f>+Z9*Z10*AA10</f>
        <v>0</v>
      </c>
      <c r="AC10" s="889"/>
      <c r="AD10" s="1024">
        <v>-130</v>
      </c>
      <c r="AE10" s="1025">
        <v>1.5</v>
      </c>
      <c r="AF10" s="936">
        <f>+AD9*AD10*AE10</f>
        <v>0</v>
      </c>
      <c r="AG10" s="889"/>
      <c r="AH10" s="1024">
        <v>-130</v>
      </c>
      <c r="AI10" s="1025">
        <v>1.5</v>
      </c>
      <c r="AJ10" s="936">
        <f>+AH9*AH10*AI10</f>
        <v>0</v>
      </c>
      <c r="AK10" s="889"/>
      <c r="AL10" s="1024">
        <v>-130</v>
      </c>
      <c r="AM10" s="1025">
        <v>1.5</v>
      </c>
      <c r="AN10" s="936">
        <f>+AL9*AL10*AM10</f>
        <v>0</v>
      </c>
      <c r="AO10" s="889"/>
      <c r="AP10" s="1024">
        <v>-130</v>
      </c>
      <c r="AQ10" s="1025">
        <v>1.5</v>
      </c>
      <c r="AR10" s="936">
        <f>+AP9*AP10*AQ10</f>
        <v>0</v>
      </c>
      <c r="AS10" s="889"/>
      <c r="AT10" s="960">
        <v>-130</v>
      </c>
      <c r="AU10" s="959">
        <f>+'[40]Grasmere valuation '!BM10</f>
        <v>1.5</v>
      </c>
      <c r="AV10" s="936">
        <f>+AT9*AT10*AU10</f>
        <v>0</v>
      </c>
      <c r="AW10" s="889"/>
      <c r="AX10" s="960"/>
      <c r="AY10" s="959"/>
      <c r="AZ10" s="936"/>
      <c r="BA10" s="889"/>
      <c r="BB10" s="960">
        <v>-130</v>
      </c>
      <c r="BC10" s="959">
        <v>122.07000000000008</v>
      </c>
      <c r="BD10" s="936">
        <f>+BB9*BB10*BC10</f>
        <v>0</v>
      </c>
      <c r="BE10" s="889"/>
      <c r="BF10" s="960">
        <v>-130</v>
      </c>
      <c r="BG10" s="959">
        <v>122.07</v>
      </c>
      <c r="BH10" s="936">
        <f>+BF9*BF10*BG10</f>
        <v>0</v>
      </c>
      <c r="BI10" s="1487"/>
      <c r="BJ10" s="960">
        <v>-130</v>
      </c>
      <c r="BK10" s="959">
        <v>122.07000000000008</v>
      </c>
      <c r="BL10" s="936">
        <f>+BJ9*BJ10*BK10</f>
        <v>-15869.100000000009</v>
      </c>
      <c r="BM10" s="1487"/>
      <c r="BN10" s="960">
        <v>-130</v>
      </c>
      <c r="BO10" s="959">
        <f>+[49]CCC!$G$16</f>
        <v>229.83791290065597</v>
      </c>
      <c r="BP10" s="936">
        <f>+BN9*BN10*BO10</f>
        <v>-29878.928677085274</v>
      </c>
      <c r="BQ10" s="889"/>
      <c r="BR10" s="960">
        <v>-130</v>
      </c>
      <c r="BS10" s="959">
        <f>+[50]CCC!$G$23</f>
        <v>307.69</v>
      </c>
      <c r="BT10" s="936">
        <f>+BR9*BR10*BS10</f>
        <v>-39999.699999999997</v>
      </c>
      <c r="BU10" s="889"/>
      <c r="BV10" s="960">
        <v>-130</v>
      </c>
      <c r="BW10" s="959">
        <f>+[50]CCC!$G$23</f>
        <v>307.69</v>
      </c>
      <c r="BX10" s="936">
        <f>+BV9*BV10*BW10</f>
        <v>-159998.79999999999</v>
      </c>
      <c r="BY10" s="889"/>
      <c r="BZ10" s="959"/>
      <c r="CA10" s="959"/>
      <c r="CB10" s="959"/>
      <c r="CC10" s="1487"/>
      <c r="CD10" s="959">
        <v>-130</v>
      </c>
      <c r="CE10" s="959">
        <f>+[51]Summary!$G$16</f>
        <v>1306.7267352627152</v>
      </c>
      <c r="CF10" s="936">
        <f>+CD9*CD10*CE10</f>
        <v>-1358995.8046732238</v>
      </c>
      <c r="CG10" s="1487"/>
      <c r="CH10" s="959">
        <v>-130</v>
      </c>
      <c r="CI10" s="1820">
        <f>[52]Summary!$G$18</f>
        <v>3020.6555657372742</v>
      </c>
      <c r="CJ10" s="936">
        <f>+CH9*CH10*CI10</f>
        <v>-3926852.2354584564</v>
      </c>
      <c r="CK10" s="1487"/>
      <c r="CL10" s="959">
        <v>-130</v>
      </c>
      <c r="CM10" s="1876">
        <f>[52]Summary!$G$18</f>
        <v>3020.6555657372742</v>
      </c>
      <c r="CN10" s="936">
        <f>+CL9*CL10*CM10</f>
        <v>-5104907.9060959937</v>
      </c>
      <c r="CO10" s="889"/>
      <c r="CP10" s="959">
        <v>-130</v>
      </c>
      <c r="CQ10" s="1876">
        <f>[52]Summary!$G$18</f>
        <v>3020.6555657372742</v>
      </c>
      <c r="CR10" s="936">
        <f>+CP9*CP10*CQ10</f>
        <v>-8639074.918008605</v>
      </c>
      <c r="CS10" s="1487"/>
      <c r="CT10" s="959">
        <v>-130</v>
      </c>
      <c r="CU10" s="1876">
        <f>[52]Summary!$G$18</f>
        <v>3020.6555657372742</v>
      </c>
      <c r="CV10" s="936">
        <f>+CT9*CT10*CU10</f>
        <v>-5497593.1296418393</v>
      </c>
      <c r="CW10" s="889"/>
      <c r="CX10" s="959">
        <v>-130</v>
      </c>
      <c r="CY10" s="1876">
        <f>[52]Summary!$G$18</f>
        <v>3020.6555657372742</v>
      </c>
      <c r="CZ10" s="936">
        <f>+CX9*CX10*CY10</f>
        <v>-8246389.6944627585</v>
      </c>
      <c r="DA10" s="889"/>
      <c r="DB10" s="959">
        <v>-130</v>
      </c>
      <c r="DC10" s="1876">
        <f>[52]Summary!$G$18</f>
        <v>3020.6555657372742</v>
      </c>
      <c r="DD10" s="936">
        <f>+DB9*DB10*DC10</f>
        <v>-9031760.1415544506</v>
      </c>
      <c r="DE10" s="889"/>
      <c r="DF10" s="959"/>
      <c r="DG10" s="959"/>
      <c r="DH10" s="959"/>
      <c r="DI10" s="889"/>
      <c r="DJ10" s="889"/>
      <c r="DK10" s="889"/>
      <c r="DL10" s="889"/>
      <c r="DM10" s="889"/>
      <c r="DN10" s="1606">
        <f>+B10+F10+J10+N10+R10+V10+Z10+AD10+AH10+AL10+AP10+AT10+AX10+BB10+BF10+BJ10+BN10+BR10+BV10+BZ10+CD10+CH10+CL10+CP10+CT10+CX10+DB10</f>
        <v>-2990</v>
      </c>
      <c r="DO10" s="1611">
        <f>+DP10/DN10</f>
        <v>6446.6814023121615</v>
      </c>
      <c r="DP10" s="1607">
        <f>+D10+H10+L10+P10+T10+X10+AB10+AF10+AJ10+AN10+AR10+AV10+AZ10+BD10+BH10+BL10+BP10+BT10+BX10+CB10+CF10+CJ10+CN10+CR10</f>
        <v>-19275577.392913364</v>
      </c>
      <c r="EB10" s="1021">
        <f>205+44</f>
        <v>249</v>
      </c>
    </row>
    <row r="11" spans="1:132" s="1021" customFormat="1">
      <c r="A11" s="1023" t="s">
        <v>1587</v>
      </c>
      <c r="B11" s="930">
        <f>+B9</f>
        <v>0</v>
      </c>
      <c r="C11" s="959"/>
      <c r="D11" s="936">
        <f>+D9+D10</f>
        <v>0</v>
      </c>
      <c r="E11" s="889"/>
      <c r="F11" s="930"/>
      <c r="G11" s="959"/>
      <c r="H11" s="936"/>
      <c r="I11" s="889"/>
      <c r="J11" s="930">
        <f>+J9</f>
        <v>0</v>
      </c>
      <c r="K11" s="959"/>
      <c r="L11" s="936">
        <f>+L9+L10</f>
        <v>0</v>
      </c>
      <c r="M11" s="889"/>
      <c r="N11" s="930">
        <f>+N9</f>
        <v>0</v>
      </c>
      <c r="O11" s="959"/>
      <c r="P11" s="936">
        <f>+P9+P10</f>
        <v>0</v>
      </c>
      <c r="Q11" s="889"/>
      <c r="R11" s="930">
        <f>+R9</f>
        <v>0</v>
      </c>
      <c r="S11" s="959"/>
      <c r="T11" s="936">
        <f>+T9+T10</f>
        <v>0</v>
      </c>
      <c r="U11" s="889"/>
      <c r="V11" s="930"/>
      <c r="W11" s="959"/>
      <c r="X11" s="936"/>
      <c r="Y11" s="889"/>
      <c r="Z11" s="930">
        <f>+Z9</f>
        <v>0</v>
      </c>
      <c r="AA11" s="959"/>
      <c r="AB11" s="936">
        <f>+AB9+AB10</f>
        <v>0</v>
      </c>
      <c r="AC11" s="889"/>
      <c r="AD11" s="930">
        <f>+AD9</f>
        <v>0</v>
      </c>
      <c r="AE11" s="959"/>
      <c r="AF11" s="936">
        <f>+AF9+AF10</f>
        <v>0</v>
      </c>
      <c r="AG11" s="889"/>
      <c r="AH11" s="930">
        <f>+AH9</f>
        <v>0</v>
      </c>
      <c r="AI11" s="959"/>
      <c r="AJ11" s="936">
        <v>0</v>
      </c>
      <c r="AK11" s="889"/>
      <c r="AL11" s="930">
        <f>+AL9</f>
        <v>0</v>
      </c>
      <c r="AM11" s="959"/>
      <c r="AN11" s="936">
        <v>0</v>
      </c>
      <c r="AO11" s="889"/>
      <c r="AP11" s="930">
        <f>+AP9</f>
        <v>0</v>
      </c>
      <c r="AQ11" s="959"/>
      <c r="AR11" s="936">
        <v>0</v>
      </c>
      <c r="AS11" s="889"/>
      <c r="AT11" s="930">
        <f>+AT9</f>
        <v>0</v>
      </c>
      <c r="AU11" s="959">
        <v>0</v>
      </c>
      <c r="AV11" s="936">
        <v>0</v>
      </c>
      <c r="AW11" s="889"/>
      <c r="AX11" s="930"/>
      <c r="AY11" s="959"/>
      <c r="AZ11" s="936"/>
      <c r="BA11" s="889"/>
      <c r="BB11" s="930">
        <f>+BB9</f>
        <v>0</v>
      </c>
      <c r="BC11" s="959"/>
      <c r="BD11" s="936">
        <f>+BD9+BD10</f>
        <v>0</v>
      </c>
      <c r="BE11" s="889"/>
      <c r="BF11" s="930">
        <f>+BF9</f>
        <v>0</v>
      </c>
      <c r="BG11" s="959"/>
      <c r="BH11" s="936">
        <f>+BH9+BH10</f>
        <v>0</v>
      </c>
      <c r="BI11" s="1487"/>
      <c r="BJ11" s="930">
        <f>+BJ9</f>
        <v>1</v>
      </c>
      <c r="BK11" s="959"/>
      <c r="BL11" s="936">
        <f>+BL9+BL10</f>
        <v>284891.63609469827</v>
      </c>
      <c r="BM11" s="1487"/>
      <c r="BN11" s="930">
        <f>+BN9</f>
        <v>1</v>
      </c>
      <c r="BO11" s="959"/>
      <c r="BP11" s="936">
        <f>+BP9+BP10</f>
        <v>424495.52514338546</v>
      </c>
      <c r="BQ11" s="889"/>
      <c r="BR11" s="930">
        <f>+BR9</f>
        <v>1</v>
      </c>
      <c r="BS11" s="959"/>
      <c r="BT11" s="936">
        <f>+BT9+BT10</f>
        <v>638679.82865999942</v>
      </c>
      <c r="BU11" s="889"/>
      <c r="BV11" s="930">
        <f>+BV9</f>
        <v>4</v>
      </c>
      <c r="BW11" s="959"/>
      <c r="BX11" s="936">
        <f>+BX9+BX10</f>
        <v>7552808.5518833371</v>
      </c>
      <c r="BY11" s="889"/>
      <c r="BZ11" s="959"/>
      <c r="CA11" s="959"/>
      <c r="CB11" s="959"/>
      <c r="CC11" s="1487"/>
      <c r="CD11" s="930">
        <f>+CD9</f>
        <v>8</v>
      </c>
      <c r="CE11" s="959"/>
      <c r="CF11" s="936">
        <f>+CF9+CF10</f>
        <v>12385249.785176545</v>
      </c>
      <c r="CG11" s="1487"/>
      <c r="CH11" s="930">
        <f>+CH9</f>
        <v>10</v>
      </c>
      <c r="CI11" s="959"/>
      <c r="CJ11" s="936">
        <f>+CJ9+CJ10</f>
        <v>40891394.932051696</v>
      </c>
      <c r="CK11" s="1487"/>
      <c r="CL11" s="930">
        <f>+CL9</f>
        <v>13</v>
      </c>
      <c r="CM11" s="959"/>
      <c r="CN11" s="936">
        <f>+CN9+CN10</f>
        <v>-5073704.6463874122</v>
      </c>
      <c r="CO11" s="889"/>
      <c r="CP11" s="930">
        <f>+CP9</f>
        <v>22</v>
      </c>
      <c r="CQ11" s="959"/>
      <c r="CR11" s="936">
        <f>+CR9+CR10</f>
        <v>-8581079.9727167767</v>
      </c>
      <c r="CS11" s="1487"/>
      <c r="CT11" s="930">
        <f>+CT9</f>
        <v>14</v>
      </c>
      <c r="CU11" s="959"/>
      <c r="CV11" s="936">
        <f>+CV9+CV10</f>
        <v>-5459616.7578428322</v>
      </c>
      <c r="CW11" s="889"/>
      <c r="CX11" s="930">
        <f>+CX9</f>
        <v>21</v>
      </c>
      <c r="CY11" s="959"/>
      <c r="CZ11" s="936">
        <f>+CZ9+CZ10</f>
        <v>-8189425.136764247</v>
      </c>
      <c r="DA11" s="889"/>
      <c r="DB11" s="930">
        <f>+DB9</f>
        <v>23</v>
      </c>
      <c r="DC11" s="959"/>
      <c r="DD11" s="936">
        <f>+DD9+DD10</f>
        <v>-8969370.3878846522</v>
      </c>
      <c r="DE11" s="889"/>
      <c r="DF11" s="959"/>
      <c r="DG11" s="959"/>
      <c r="DH11" s="959"/>
      <c r="DI11" s="889"/>
      <c r="DJ11" s="889"/>
      <c r="DK11" s="889"/>
      <c r="DL11" s="889"/>
      <c r="DM11" s="889"/>
      <c r="DN11" s="1608">
        <f>+DN9</f>
        <v>118</v>
      </c>
      <c r="DO11" s="1611">
        <f>+DP11/DN11</f>
        <v>411209.62406699552</v>
      </c>
      <c r="DP11" s="1607">
        <f>+D11+H11+L11+P11+T11+X11+AB11+AF11+AJ11+AN11+AR11+AV11+AZ11+BD11+BH11+BL11+BP11+BT11+BX11+CB11+CF11+CJ11+CN11+CR11</f>
        <v>48522735.639905468</v>
      </c>
      <c r="DS11" s="872"/>
    </row>
    <row r="12" spans="1:132" s="1021" customFormat="1">
      <c r="A12" s="1023"/>
      <c r="B12" s="960"/>
      <c r="C12" s="959"/>
      <c r="D12" s="936"/>
      <c r="E12" s="889"/>
      <c r="F12" s="960"/>
      <c r="G12" s="959"/>
      <c r="H12" s="936"/>
      <c r="I12" s="889"/>
      <c r="J12" s="960"/>
      <c r="K12" s="959"/>
      <c r="L12" s="936"/>
      <c r="M12" s="889"/>
      <c r="N12" s="960"/>
      <c r="O12" s="959"/>
      <c r="P12" s="936"/>
      <c r="Q12" s="889"/>
      <c r="R12" s="960"/>
      <c r="S12" s="959"/>
      <c r="T12" s="936"/>
      <c r="U12" s="889"/>
      <c r="V12" s="960"/>
      <c r="W12" s="959"/>
      <c r="X12" s="936"/>
      <c r="Y12" s="889"/>
      <c r="Z12" s="960"/>
      <c r="AA12" s="959"/>
      <c r="AB12" s="936"/>
      <c r="AC12" s="889"/>
      <c r="AD12" s="960"/>
      <c r="AE12" s="959"/>
      <c r="AF12" s="936"/>
      <c r="AG12" s="889"/>
      <c r="AH12" s="960"/>
      <c r="AI12" s="959"/>
      <c r="AJ12" s="936"/>
      <c r="AK12" s="889"/>
      <c r="AL12" s="960"/>
      <c r="AM12" s="959"/>
      <c r="AN12" s="936"/>
      <c r="AO12" s="889"/>
      <c r="AP12" s="960"/>
      <c r="AQ12" s="959"/>
      <c r="AR12" s="936"/>
      <c r="AS12" s="889"/>
      <c r="AT12" s="960"/>
      <c r="AU12" s="959"/>
      <c r="AV12" s="936"/>
      <c r="AW12" s="889"/>
      <c r="AX12" s="960"/>
      <c r="AY12" s="959"/>
      <c r="AZ12" s="936"/>
      <c r="BA12" s="889"/>
      <c r="BB12" s="960"/>
      <c r="BC12" s="959"/>
      <c r="BD12" s="936"/>
      <c r="BE12" s="889"/>
      <c r="BF12" s="960"/>
      <c r="BG12" s="959"/>
      <c r="BH12" s="936"/>
      <c r="BI12" s="1487"/>
      <c r="BJ12" s="960"/>
      <c r="BK12" s="959"/>
      <c r="BL12" s="936"/>
      <c r="BM12" s="1487"/>
      <c r="BN12" s="960"/>
      <c r="BO12" s="959"/>
      <c r="BP12" s="936"/>
      <c r="BQ12" s="889"/>
      <c r="BR12" s="960"/>
      <c r="BS12" s="959"/>
      <c r="BT12" s="936"/>
      <c r="BU12" s="889"/>
      <c r="BV12" s="960"/>
      <c r="BW12" s="959"/>
      <c r="BX12" s="936"/>
      <c r="BY12" s="889"/>
      <c r="BZ12" s="959"/>
      <c r="CA12" s="959"/>
      <c r="CB12" s="959"/>
      <c r="CC12" s="1487"/>
      <c r="CD12" s="959"/>
      <c r="CE12" s="959"/>
      <c r="CF12" s="936"/>
      <c r="CG12" s="1487"/>
      <c r="CH12" s="959"/>
      <c r="CI12" s="959"/>
      <c r="CJ12" s="936"/>
      <c r="CK12" s="1487"/>
      <c r="CL12" s="959"/>
      <c r="CM12" s="959"/>
      <c r="CN12" s="936"/>
      <c r="CO12" s="889"/>
      <c r="CP12" s="959"/>
      <c r="CQ12" s="959"/>
      <c r="CR12" s="936"/>
      <c r="CS12" s="1487"/>
      <c r="CT12" s="959"/>
      <c r="CU12" s="959"/>
      <c r="CV12" s="936"/>
      <c r="CW12" s="889"/>
      <c r="CX12" s="959"/>
      <c r="CY12" s="959"/>
      <c r="CZ12" s="936"/>
      <c r="DA12" s="889"/>
      <c r="DB12" s="959"/>
      <c r="DC12" s="959"/>
      <c r="DD12" s="936"/>
      <c r="DE12" s="889"/>
      <c r="DF12" s="959"/>
      <c r="DG12" s="959"/>
      <c r="DH12" s="959"/>
      <c r="DI12" s="889"/>
      <c r="DJ12" s="889"/>
      <c r="DK12" s="889"/>
      <c r="DL12" s="889"/>
      <c r="DM12" s="889"/>
      <c r="DN12" s="1606"/>
      <c r="DO12" s="1611"/>
      <c r="DP12" s="1607">
        <f>+D12+H12+L12+P12+T12+X12+AB12+AF12+AJ12+AN12+AR12+AV12+AZ12+BD12+BH12+BL12+BP12+BT12+BX12+CB12+CF12+CJ12+CN12+CR12</f>
        <v>0</v>
      </c>
    </row>
    <row r="13" spans="1:132" s="1021" customFormat="1">
      <c r="A13" s="1023" t="s">
        <v>1588</v>
      </c>
      <c r="B13" s="960"/>
      <c r="C13" s="959"/>
      <c r="D13" s="936">
        <f>+D11/36</f>
        <v>0</v>
      </c>
      <c r="E13" s="889"/>
      <c r="F13" s="960"/>
      <c r="G13" s="959"/>
      <c r="H13" s="936"/>
      <c r="I13" s="889"/>
      <c r="J13" s="960"/>
      <c r="K13" s="959"/>
      <c r="L13" s="936">
        <f>+L11/36</f>
        <v>0</v>
      </c>
      <c r="M13" s="889"/>
      <c r="N13" s="960"/>
      <c r="O13" s="959"/>
      <c r="P13" s="936">
        <f>+P11/36</f>
        <v>0</v>
      </c>
      <c r="Q13" s="889"/>
      <c r="R13" s="960"/>
      <c r="S13" s="959"/>
      <c r="T13" s="936">
        <f>+T11/36</f>
        <v>0</v>
      </c>
      <c r="U13" s="889"/>
      <c r="V13" s="960"/>
      <c r="W13" s="959"/>
      <c r="X13" s="936"/>
      <c r="Y13" s="889"/>
      <c r="Z13" s="960"/>
      <c r="AA13" s="959"/>
      <c r="AB13" s="936">
        <f>+AB11/36</f>
        <v>0</v>
      </c>
      <c r="AC13" s="889"/>
      <c r="AD13" s="960"/>
      <c r="AE13" s="959"/>
      <c r="AF13" s="936">
        <f>+AF11/36</f>
        <v>0</v>
      </c>
      <c r="AG13" s="889"/>
      <c r="AH13" s="960"/>
      <c r="AI13" s="959"/>
      <c r="AJ13" s="936">
        <v>0</v>
      </c>
      <c r="AK13" s="889"/>
      <c r="AL13" s="960"/>
      <c r="AM13" s="959"/>
      <c r="AN13" s="936">
        <v>0</v>
      </c>
      <c r="AO13" s="889"/>
      <c r="AP13" s="960"/>
      <c r="AQ13" s="959"/>
      <c r="AR13" s="936">
        <v>0</v>
      </c>
      <c r="AS13" s="889"/>
      <c r="AT13" s="960"/>
      <c r="AU13" s="959"/>
      <c r="AV13" s="936">
        <v>0</v>
      </c>
      <c r="AW13" s="889"/>
      <c r="AX13" s="960"/>
      <c r="AY13" s="959"/>
      <c r="AZ13" s="936"/>
      <c r="BA13" s="889"/>
      <c r="BB13" s="960"/>
      <c r="BC13" s="959"/>
      <c r="BD13" s="936">
        <f>+BD11/36</f>
        <v>0</v>
      </c>
      <c r="BE13" s="889"/>
      <c r="BF13" s="960"/>
      <c r="BG13" s="959"/>
      <c r="BH13" s="936">
        <f>+BH11/36</f>
        <v>0</v>
      </c>
      <c r="BI13" s="1487"/>
      <c r="BJ13" s="960"/>
      <c r="BK13" s="959"/>
      <c r="BL13" s="936">
        <f>+BL11/36</f>
        <v>7913.6565581860632</v>
      </c>
      <c r="BM13" s="1487"/>
      <c r="BN13" s="960"/>
      <c r="BO13" s="959"/>
      <c r="BP13" s="936">
        <f>+BP11/36</f>
        <v>11791.542365094041</v>
      </c>
      <c r="BQ13" s="889"/>
      <c r="BR13" s="960"/>
      <c r="BS13" s="959"/>
      <c r="BT13" s="936">
        <f>+BT11/36</f>
        <v>17741.106351666651</v>
      </c>
      <c r="BU13" s="889"/>
      <c r="BV13" s="960"/>
      <c r="BW13" s="959"/>
      <c r="BX13" s="936">
        <f>+BX11/36</f>
        <v>209800.23755231491</v>
      </c>
      <c r="BY13" s="889"/>
      <c r="BZ13" s="959"/>
      <c r="CA13" s="959"/>
      <c r="CB13" s="959"/>
      <c r="CC13" s="1487"/>
      <c r="CD13" s="959"/>
      <c r="CE13" s="959"/>
      <c r="CF13" s="936">
        <f>+CF11/36</f>
        <v>344034.71625490405</v>
      </c>
      <c r="CG13" s="1487"/>
      <c r="CH13" s="959"/>
      <c r="CI13" s="959"/>
      <c r="CJ13" s="936">
        <f>+CJ11/36</f>
        <v>1135872.0814458805</v>
      </c>
      <c r="CK13" s="1487"/>
      <c r="CL13" s="959"/>
      <c r="CM13" s="959"/>
      <c r="CN13" s="936">
        <f>+CN11/36</f>
        <v>-140936.24017742812</v>
      </c>
      <c r="CO13" s="889"/>
      <c r="CP13" s="959"/>
      <c r="CQ13" s="959"/>
      <c r="CR13" s="936">
        <f>+CR11/36</f>
        <v>-238363.33257546602</v>
      </c>
      <c r="CS13" s="1487"/>
      <c r="CT13" s="959"/>
      <c r="CU13" s="959"/>
      <c r="CV13" s="936">
        <f>+CV11/36</f>
        <v>-151656.02105118977</v>
      </c>
      <c r="CW13" s="889"/>
      <c r="CX13" s="959"/>
      <c r="CY13" s="959"/>
      <c r="CZ13" s="936">
        <f>+CZ11/36</f>
        <v>-227484.03157678465</v>
      </c>
      <c r="DA13" s="889"/>
      <c r="DB13" s="959"/>
      <c r="DC13" s="959"/>
      <c r="DD13" s="936">
        <f>+DD11/36</f>
        <v>-249149.17744124035</v>
      </c>
      <c r="DE13" s="889"/>
      <c r="DF13" s="959"/>
      <c r="DG13" s="959"/>
      <c r="DH13" s="959"/>
      <c r="DI13" s="889"/>
      <c r="DJ13" s="889"/>
      <c r="DK13" s="889"/>
      <c r="DL13" s="889"/>
      <c r="DM13" s="889"/>
      <c r="DN13" s="1606"/>
      <c r="DO13" s="1611"/>
      <c r="DP13" s="1607">
        <f>+D13+H13+L13+P13+T13+X13+AB13+AF13+AJ13+AN13+AR13+AV13+AZ13+BD13+BH13+BL13+BP13+BT13+BX13+CB13+CF13+CJ13+CN13+CR13</f>
        <v>1347853.7677751521</v>
      </c>
    </row>
    <row r="14" spans="1:132" s="1021" customFormat="1">
      <c r="A14" s="1023"/>
      <c r="B14" s="960"/>
      <c r="C14" s="959"/>
      <c r="D14" s="936"/>
      <c r="E14" s="889"/>
      <c r="F14" s="960"/>
      <c r="G14" s="959"/>
      <c r="H14" s="936"/>
      <c r="I14" s="889"/>
      <c r="J14" s="960"/>
      <c r="K14" s="959"/>
      <c r="L14" s="936"/>
      <c r="M14" s="889"/>
      <c r="N14" s="960"/>
      <c r="O14" s="959"/>
      <c r="P14" s="936"/>
      <c r="Q14" s="889"/>
      <c r="R14" s="960"/>
      <c r="S14" s="959"/>
      <c r="T14" s="936"/>
      <c r="U14" s="889"/>
      <c r="V14" s="960"/>
      <c r="W14" s="959"/>
      <c r="X14" s="936"/>
      <c r="Y14" s="889"/>
      <c r="Z14" s="960"/>
      <c r="AA14" s="959"/>
      <c r="AB14" s="936"/>
      <c r="AC14" s="889"/>
      <c r="AD14" s="960"/>
      <c r="AE14" s="959"/>
      <c r="AF14" s="936"/>
      <c r="AG14" s="889"/>
      <c r="AH14" s="960"/>
      <c r="AI14" s="959"/>
      <c r="AJ14" s="936"/>
      <c r="AK14" s="889"/>
      <c r="AL14" s="960"/>
      <c r="AM14" s="959"/>
      <c r="AN14" s="936"/>
      <c r="AO14" s="889"/>
      <c r="AP14" s="960"/>
      <c r="AQ14" s="959"/>
      <c r="AR14" s="936"/>
      <c r="AS14" s="889"/>
      <c r="AT14" s="960"/>
      <c r="AU14" s="959"/>
      <c r="AV14" s="936"/>
      <c r="AW14" s="889"/>
      <c r="AX14" s="960"/>
      <c r="AY14" s="959"/>
      <c r="AZ14" s="936"/>
      <c r="BA14" s="889"/>
      <c r="BB14" s="960"/>
      <c r="BC14" s="959">
        <f>+BB14/BB7</f>
        <v>0</v>
      </c>
      <c r="BD14" s="936"/>
      <c r="BE14" s="889"/>
      <c r="BF14" s="960"/>
      <c r="BG14" s="959"/>
      <c r="BH14" s="936"/>
      <c r="BI14" s="1487"/>
      <c r="BJ14" s="960"/>
      <c r="BK14" s="959"/>
      <c r="BL14" s="936"/>
      <c r="BM14" s="1487"/>
      <c r="BN14" s="960"/>
      <c r="BO14" s="959"/>
      <c r="BP14" s="936"/>
      <c r="BQ14" s="889"/>
      <c r="BR14" s="960"/>
      <c r="BS14" s="959"/>
      <c r="BT14" s="936"/>
      <c r="BU14" s="889"/>
      <c r="BV14" s="960"/>
      <c r="BW14" s="959"/>
      <c r="BX14" s="936"/>
      <c r="BY14" s="889"/>
      <c r="BZ14" s="959"/>
      <c r="CA14" s="959"/>
      <c r="CB14" s="959"/>
      <c r="CC14" s="1487"/>
      <c r="CD14" s="959"/>
      <c r="CE14" s="959"/>
      <c r="CF14" s="936"/>
      <c r="CG14" s="1487"/>
      <c r="CH14" s="959"/>
      <c r="CI14" s="959"/>
      <c r="CJ14" s="936"/>
      <c r="CK14" s="1487"/>
      <c r="CL14" s="959"/>
      <c r="CM14" s="959"/>
      <c r="CN14" s="936"/>
      <c r="CO14" s="889"/>
      <c r="CP14" s="959"/>
      <c r="CQ14" s="959"/>
      <c r="CR14" s="936"/>
      <c r="CS14" s="1487"/>
      <c r="CT14" s="959"/>
      <c r="CU14" s="959"/>
      <c r="CV14" s="936"/>
      <c r="CW14" s="889"/>
      <c r="CX14" s="959"/>
      <c r="CY14" s="959"/>
      <c r="CZ14" s="936"/>
      <c r="DA14" s="889"/>
      <c r="DB14" s="959"/>
      <c r="DC14" s="959"/>
      <c r="DD14" s="936"/>
      <c r="DE14" s="889"/>
      <c r="DF14" s="959"/>
      <c r="DG14" s="959"/>
      <c r="DH14" s="959"/>
      <c r="DI14" s="889"/>
      <c r="DJ14" s="889"/>
      <c r="DK14" s="889"/>
      <c r="DL14" s="889"/>
      <c r="DM14" s="889"/>
      <c r="DN14" s="1606"/>
      <c r="DO14" s="1611"/>
      <c r="DP14" s="1607">
        <f>+D14+H14+L14+P14+T14+X14+AB14+AF14+AJ14+AN14+AR14+AV14+AZ14+BD14+BH14+BL14+BP14+BT14+BX14+CB14+CF14+CN14+CR14</f>
        <v>0</v>
      </c>
    </row>
    <row r="15" spans="1:132" s="1021" customFormat="1">
      <c r="A15" s="1023" t="s">
        <v>1589</v>
      </c>
      <c r="B15" s="960"/>
      <c r="C15" s="959"/>
      <c r="D15" s="936">
        <f>+D13*C5</f>
        <v>0</v>
      </c>
      <c r="E15" s="889"/>
      <c r="F15" s="960"/>
      <c r="G15" s="959"/>
      <c r="H15" s="936"/>
      <c r="I15" s="889"/>
      <c r="J15" s="960"/>
      <c r="K15" s="959"/>
      <c r="L15" s="936">
        <f>+L13*K5</f>
        <v>0</v>
      </c>
      <c r="M15" s="889"/>
      <c r="N15" s="960"/>
      <c r="O15" s="959"/>
      <c r="P15" s="936">
        <f>+P13*O5</f>
        <v>0</v>
      </c>
      <c r="Q15" s="889"/>
      <c r="R15" s="960"/>
      <c r="S15" s="959"/>
      <c r="T15" s="936">
        <f>+T13*S5</f>
        <v>0</v>
      </c>
      <c r="U15" s="889"/>
      <c r="V15" s="960"/>
      <c r="W15" s="959"/>
      <c r="X15" s="936"/>
      <c r="Y15" s="889"/>
      <c r="Z15" s="960"/>
      <c r="AA15" s="959"/>
      <c r="AB15" s="936">
        <f>+AB13*AA5</f>
        <v>0</v>
      </c>
      <c r="AC15" s="889"/>
      <c r="AD15" s="960"/>
      <c r="AE15" s="959"/>
      <c r="AF15" s="936">
        <f>+AF13*AE5</f>
        <v>0</v>
      </c>
      <c r="AG15" s="889"/>
      <c r="AH15" s="960"/>
      <c r="AI15" s="959"/>
      <c r="AJ15" s="936">
        <f>SUM(AJ9:AJ10)</f>
        <v>0</v>
      </c>
      <c r="AK15" s="889"/>
      <c r="AL15" s="960"/>
      <c r="AM15" s="959"/>
      <c r="AN15" s="936">
        <f>SUM(AN9:AN10)</f>
        <v>0</v>
      </c>
      <c r="AO15" s="889"/>
      <c r="AP15" s="960"/>
      <c r="AQ15" s="959"/>
      <c r="AR15" s="936">
        <f>SUM(AR9:AR10)</f>
        <v>0</v>
      </c>
      <c r="AS15" s="889"/>
      <c r="AT15" s="960"/>
      <c r="AU15" s="959"/>
      <c r="AV15" s="936">
        <f>SUM(AV9:AV10)</f>
        <v>0</v>
      </c>
      <c r="AW15" s="889"/>
      <c r="AX15" s="960"/>
      <c r="AY15" s="959"/>
      <c r="AZ15" s="936"/>
      <c r="BA15" s="889"/>
      <c r="BB15" s="960"/>
      <c r="BC15" s="959"/>
      <c r="BD15" s="936">
        <f>+BD13*BC5</f>
        <v>0</v>
      </c>
      <c r="BE15" s="889"/>
      <c r="BF15" s="960"/>
      <c r="BG15" s="959"/>
      <c r="BH15" s="936">
        <f>+BH13*BG5</f>
        <v>0</v>
      </c>
      <c r="BI15" s="1487"/>
      <c r="BJ15" s="960"/>
      <c r="BK15" s="959"/>
      <c r="BL15" s="936">
        <f>+BL13*BK5</f>
        <v>276977.97953651223</v>
      </c>
      <c r="BM15" s="1487"/>
      <c r="BN15" s="960"/>
      <c r="BO15" s="959"/>
      <c r="BP15" s="936">
        <f>+BP13*BO5</f>
        <v>341954.72858772718</v>
      </c>
      <c r="BQ15" s="889"/>
      <c r="BR15" s="960"/>
      <c r="BS15" s="959"/>
      <c r="BT15" s="936">
        <f>+BT13*BS5</f>
        <v>425786.55243999965</v>
      </c>
      <c r="BU15" s="889"/>
      <c r="BV15" s="960"/>
      <c r="BW15" s="959"/>
      <c r="BX15" s="936">
        <f>+BX13*BW5</f>
        <v>4196004.7510462981</v>
      </c>
      <c r="BY15" s="889"/>
      <c r="BZ15" s="959"/>
      <c r="CA15" s="959"/>
      <c r="CB15" s="959"/>
      <c r="CC15" s="1487"/>
      <c r="CD15" s="959"/>
      <c r="CE15" s="959"/>
      <c r="CF15" s="936">
        <f>+CF13*CE5</f>
        <v>5504555.4600784648</v>
      </c>
      <c r="CG15" s="1487"/>
      <c r="CH15" s="959"/>
      <c r="CI15" s="959"/>
      <c r="CJ15" s="936">
        <f>+CJ13*CI5</f>
        <v>12494592.895904684</v>
      </c>
      <c r="CK15" s="1487"/>
      <c r="CL15" s="959"/>
      <c r="CM15" s="959"/>
      <c r="CN15" s="936">
        <f>+CN13*CM5</f>
        <v>-845617.4410645687</v>
      </c>
      <c r="CO15" s="889"/>
      <c r="CP15" s="959"/>
      <c r="CQ15" s="959"/>
      <c r="CR15" s="936">
        <f>+CR13*CQ5</f>
        <v>-238363.33257546602</v>
      </c>
      <c r="CS15" s="1487"/>
      <c r="CT15" s="959"/>
      <c r="CU15" s="959"/>
      <c r="CV15" s="936">
        <f>+CV13*CU5</f>
        <v>-151656.02105118977</v>
      </c>
      <c r="CW15" s="889"/>
      <c r="CX15" s="959"/>
      <c r="CY15" s="959"/>
      <c r="CZ15" s="936">
        <f>+CZ13*CY5</f>
        <v>-227484.03157678465</v>
      </c>
      <c r="DA15" s="889"/>
      <c r="DB15" s="959"/>
      <c r="DC15" s="959"/>
      <c r="DD15" s="936">
        <f>+DD13*DC5</f>
        <v>-249149.17744124035</v>
      </c>
      <c r="DE15" s="889"/>
      <c r="DF15" s="959"/>
      <c r="DG15" s="959"/>
      <c r="DH15" s="959"/>
      <c r="DI15" s="889"/>
      <c r="DJ15" s="889"/>
      <c r="DK15" s="889"/>
      <c r="DL15" s="889"/>
      <c r="DM15" s="889"/>
      <c r="DN15" s="1606"/>
      <c r="DO15" s="1611"/>
      <c r="DP15" s="1607">
        <f>+D15+H15+L15+P15+T15+X15+AB15+AF15+AJ15+AN15+AR15+AV15+AZ15+BD15+BH15+BL15+BP15+BT15+BX15+CB15+CF15+CJ15+CN15+CR15</f>
        <v>22155891.593953647</v>
      </c>
    </row>
    <row r="16" spans="1:132">
      <c r="A16" s="1027"/>
      <c r="B16" s="1001" t="s">
        <v>138</v>
      </c>
      <c r="C16" s="890"/>
      <c r="D16" s="1000"/>
      <c r="E16" s="889"/>
      <c r="F16" s="1001"/>
      <c r="G16" s="890"/>
      <c r="H16" s="1000"/>
      <c r="I16" s="889"/>
      <c r="J16" s="1028"/>
      <c r="K16" s="356">
        <f>+C16</f>
        <v>0</v>
      </c>
      <c r="L16" s="1000" t="s">
        <v>138</v>
      </c>
      <c r="M16" s="889" t="s">
        <v>138</v>
      </c>
      <c r="N16" s="1028"/>
      <c r="O16" s="356" t="s">
        <v>138</v>
      </c>
      <c r="P16" s="1000" t="s">
        <v>138</v>
      </c>
      <c r="Q16" s="889"/>
      <c r="R16" s="1001">
        <f>+K16</f>
        <v>0</v>
      </c>
      <c r="S16" s="890" t="s">
        <v>138</v>
      </c>
      <c r="T16" s="1000" t="s">
        <v>138</v>
      </c>
      <c r="U16" s="889"/>
      <c r="V16" s="1001"/>
      <c r="W16" s="890" t="s">
        <v>138</v>
      </c>
      <c r="X16" s="1000" t="s">
        <v>138</v>
      </c>
      <c r="Y16" s="889"/>
      <c r="Z16" s="1001">
        <f>+R16</f>
        <v>0</v>
      </c>
      <c r="AA16" s="890"/>
      <c r="AB16" s="1000"/>
      <c r="AC16" s="889"/>
      <c r="AD16" s="1001">
        <f>+Z16</f>
        <v>0</v>
      </c>
      <c r="AE16" s="890"/>
      <c r="AF16" s="1000"/>
      <c r="AG16" s="889"/>
      <c r="AH16" s="1001"/>
      <c r="AI16" s="890" t="s">
        <v>138</v>
      </c>
      <c r="AJ16" s="1000"/>
      <c r="AK16" s="889"/>
      <c r="AL16" s="1001"/>
      <c r="AM16" s="890" t="s">
        <v>138</v>
      </c>
      <c r="AN16" s="1000"/>
      <c r="AO16" s="889"/>
      <c r="AP16" s="1001"/>
      <c r="AQ16" s="890"/>
      <c r="AR16" s="1000"/>
      <c r="AS16" s="889"/>
      <c r="AT16" s="1001"/>
      <c r="AU16" s="890"/>
      <c r="AV16" s="1000"/>
      <c r="AW16" s="889"/>
      <c r="AX16" s="1001"/>
      <c r="AY16" s="890"/>
      <c r="AZ16" s="1000"/>
      <c r="BA16" s="889"/>
      <c r="BB16" s="1001"/>
      <c r="BC16" s="890"/>
      <c r="BD16" s="1000"/>
      <c r="BE16" s="889"/>
      <c r="BF16" s="1001"/>
      <c r="BG16" s="890"/>
      <c r="BH16" s="1000"/>
      <c r="BI16" s="1487"/>
      <c r="BJ16" s="1001"/>
      <c r="BK16" s="890"/>
      <c r="BL16" s="1000"/>
      <c r="BM16" s="1487"/>
      <c r="BN16" s="1001"/>
      <c r="BO16" s="890"/>
      <c r="BP16" s="1000"/>
      <c r="BQ16" s="889"/>
      <c r="BR16" s="1001"/>
      <c r="BS16" s="890"/>
      <c r="BT16" s="890"/>
      <c r="BU16" s="889"/>
      <c r="BV16" s="1001"/>
      <c r="BW16" s="890"/>
      <c r="BX16" s="890"/>
      <c r="BY16" s="889"/>
      <c r="BZ16" s="890"/>
      <c r="CA16" s="890"/>
      <c r="CB16" s="890"/>
      <c r="CC16" s="1487"/>
      <c r="CD16" s="890"/>
      <c r="CE16" s="890"/>
      <c r="CF16" s="890"/>
      <c r="CG16" s="1487"/>
      <c r="CH16" s="1487"/>
      <c r="CI16" s="1487"/>
      <c r="CJ16" s="1487"/>
      <c r="CK16" s="1487"/>
      <c r="CL16" s="1487"/>
      <c r="CM16" s="1487"/>
      <c r="CN16" s="1487"/>
      <c r="CO16" s="889"/>
      <c r="CP16" s="1487"/>
      <c r="CQ16" s="1487"/>
      <c r="CR16" s="1487"/>
      <c r="CS16" s="1487"/>
      <c r="CT16" s="1487"/>
      <c r="CU16" s="1487"/>
      <c r="CV16" s="1487"/>
      <c r="CW16" s="889"/>
      <c r="CX16" s="1487"/>
      <c r="CY16" s="1487"/>
      <c r="CZ16" s="1487"/>
      <c r="DA16" s="889"/>
      <c r="DB16" s="1487"/>
      <c r="DC16" s="1487"/>
      <c r="DD16" s="1487"/>
      <c r="DE16" s="889"/>
      <c r="DF16" s="1487"/>
      <c r="DG16" s="1487"/>
      <c r="DH16" s="1487"/>
      <c r="DI16" s="889"/>
      <c r="DJ16" s="889"/>
      <c r="DK16" s="889"/>
      <c r="DL16" s="889"/>
      <c r="DM16" s="889"/>
      <c r="DN16" s="1617"/>
      <c r="DO16" s="1618"/>
      <c r="DP16" s="1619" t="s">
        <v>138</v>
      </c>
    </row>
    <row r="17" spans="1:135">
      <c r="A17" s="1027"/>
      <c r="B17" s="960"/>
      <c r="C17" s="959"/>
      <c r="D17" s="936" t="s">
        <v>1580</v>
      </c>
      <c r="E17" s="889"/>
      <c r="F17" s="960"/>
      <c r="G17" s="959"/>
      <c r="H17" s="936"/>
      <c r="I17" s="889"/>
      <c r="J17" s="1029"/>
      <c r="K17" s="1030"/>
      <c r="L17" s="936" t="str">
        <f>+D17</f>
        <v>Months</v>
      </c>
      <c r="M17" s="889"/>
      <c r="N17" s="1029"/>
      <c r="O17" s="1030"/>
      <c r="P17" s="936"/>
      <c r="Q17" s="889"/>
      <c r="R17" s="960"/>
      <c r="S17" s="959"/>
      <c r="T17" s="936" t="str">
        <f>+L17</f>
        <v>Months</v>
      </c>
      <c r="U17" s="889"/>
      <c r="V17" s="960"/>
      <c r="W17" s="959">
        <f>18-W18</f>
        <v>0</v>
      </c>
      <c r="X17" s="936" t="str">
        <f>+T17</f>
        <v>Months</v>
      </c>
      <c r="Y17" s="889"/>
      <c r="Z17" s="1029"/>
      <c r="AA17" s="1030">
        <f>18-AA18</f>
        <v>0</v>
      </c>
      <c r="AB17" s="936" t="str">
        <f>+X17</f>
        <v>Months</v>
      </c>
      <c r="AC17" s="889"/>
      <c r="AD17" s="960"/>
      <c r="AE17" s="959">
        <f>18-AE18</f>
        <v>0</v>
      </c>
      <c r="AF17" s="936" t="str">
        <f>+AB17</f>
        <v>Months</v>
      </c>
      <c r="AG17" s="889"/>
      <c r="AH17" s="1005"/>
      <c r="AI17" s="1002"/>
      <c r="AJ17" s="936" t="str">
        <f>+AF17</f>
        <v>Months</v>
      </c>
      <c r="AK17" s="889"/>
      <c r="AL17" s="960"/>
      <c r="AM17" s="1002"/>
      <c r="AN17" s="936" t="str">
        <f>+AJ17</f>
        <v>Months</v>
      </c>
      <c r="AO17" s="889"/>
      <c r="AP17" s="960"/>
      <c r="AQ17" s="959">
        <f>18-AQ18</f>
        <v>0</v>
      </c>
      <c r="AR17" s="936" t="str">
        <f>+AN17</f>
        <v>Months</v>
      </c>
      <c r="AS17" s="889"/>
      <c r="AT17" s="960"/>
      <c r="AU17" s="1002"/>
      <c r="AV17" s="936" t="str">
        <f>+AR17</f>
        <v>Months</v>
      </c>
      <c r="AW17" s="889"/>
      <c r="AX17" s="960"/>
      <c r="AY17" s="1002">
        <f>18-AY18</f>
        <v>0</v>
      </c>
      <c r="AZ17" s="936" t="str">
        <f>+AV17</f>
        <v>Months</v>
      </c>
      <c r="BA17" s="889"/>
      <c r="BB17" s="960"/>
      <c r="BC17" s="1002">
        <f>18-BC18</f>
        <v>0</v>
      </c>
      <c r="BD17" s="936" t="str">
        <f>+AV17</f>
        <v>Months</v>
      </c>
      <c r="BE17" s="889"/>
      <c r="BF17" s="960"/>
      <c r="BG17" s="1002">
        <f>18-BG18</f>
        <v>0</v>
      </c>
      <c r="BH17" s="936" t="str">
        <f>+BD17</f>
        <v>Months</v>
      </c>
      <c r="BI17" s="1487"/>
      <c r="BJ17" s="960"/>
      <c r="BK17" s="1002">
        <f>18-BK18</f>
        <v>0</v>
      </c>
      <c r="BL17" s="936" t="str">
        <f>+BH17</f>
        <v>Months</v>
      </c>
      <c r="BM17" s="1487"/>
      <c r="BN17" s="960"/>
      <c r="BO17" s="1002">
        <f>18-BO18</f>
        <v>0</v>
      </c>
      <c r="BP17" s="936" t="str">
        <f>+BL17</f>
        <v>Months</v>
      </c>
      <c r="BQ17" s="889"/>
      <c r="BR17" s="960"/>
      <c r="BS17" s="1002">
        <f>18-BS18</f>
        <v>0</v>
      </c>
      <c r="BT17" s="936" t="str">
        <f>+BP17</f>
        <v>Months</v>
      </c>
      <c r="BU17" s="889"/>
      <c r="BV17" s="960"/>
      <c r="BW17" s="1002"/>
      <c r="BX17" s="936"/>
      <c r="BY17" s="889"/>
      <c r="BZ17" s="960"/>
      <c r="CA17" s="1002">
        <f>18-CA18</f>
        <v>0</v>
      </c>
      <c r="CB17" s="936" t="str">
        <f>+BT17</f>
        <v>Months</v>
      </c>
      <c r="CC17" s="1487"/>
      <c r="CD17" s="960"/>
      <c r="CE17" s="1002">
        <f>18-CE18</f>
        <v>2</v>
      </c>
      <c r="CF17" s="936">
        <f>+BX17</f>
        <v>0</v>
      </c>
      <c r="CG17" s="1487"/>
      <c r="CH17" s="960"/>
      <c r="CI17" s="1002">
        <f>18-CI18</f>
        <v>7</v>
      </c>
      <c r="CJ17" s="936" t="str">
        <f>+CB17</f>
        <v>Months</v>
      </c>
      <c r="CK17" s="1487"/>
      <c r="CL17" s="960"/>
      <c r="CM17" s="1002">
        <f>18-CM18</f>
        <v>12</v>
      </c>
      <c r="CN17" s="936">
        <f>+CF17</f>
        <v>0</v>
      </c>
      <c r="CO17" s="889"/>
      <c r="CP17" s="960"/>
      <c r="CQ17" s="1002">
        <f>18-CQ18</f>
        <v>17</v>
      </c>
      <c r="CR17" s="936" t="str">
        <f>+CJ17</f>
        <v>Months</v>
      </c>
      <c r="CS17" s="1487"/>
      <c r="CT17" s="960"/>
      <c r="CU17" s="1002">
        <f>18-CU18</f>
        <v>17</v>
      </c>
      <c r="CV17" s="936">
        <f>+CN17</f>
        <v>0</v>
      </c>
      <c r="CW17" s="889"/>
      <c r="CX17" s="960"/>
      <c r="CY17" s="1002">
        <f>18-CY18</f>
        <v>17</v>
      </c>
      <c r="CZ17" s="936" t="str">
        <f>+CR17</f>
        <v>Months</v>
      </c>
      <c r="DA17" s="889"/>
      <c r="DB17" s="960"/>
      <c r="DC17" s="1002">
        <f>18-DC18</f>
        <v>17</v>
      </c>
      <c r="DD17" s="936">
        <f>+CV17</f>
        <v>0</v>
      </c>
      <c r="DE17" s="889"/>
      <c r="DF17" s="959"/>
      <c r="DG17" s="959"/>
      <c r="DH17" s="959"/>
      <c r="DI17" s="889"/>
      <c r="DJ17" s="889"/>
      <c r="DK17" s="889"/>
      <c r="DL17" s="889"/>
      <c r="DM17" s="889"/>
      <c r="DN17" s="1606"/>
      <c r="DO17" s="1611"/>
      <c r="DP17" s="1610"/>
    </row>
    <row r="18" spans="1:135" s="884" customFormat="1">
      <c r="A18" s="1003" t="s">
        <v>113</v>
      </c>
      <c r="B18" s="1017"/>
      <c r="C18" s="1004"/>
      <c r="D18" s="932" t="s">
        <v>1580</v>
      </c>
      <c r="E18" s="999"/>
      <c r="F18" s="1017">
        <v>42309</v>
      </c>
      <c r="G18" s="1004">
        <v>18</v>
      </c>
      <c r="H18" s="932" t="s">
        <v>1580</v>
      </c>
      <c r="I18" s="999"/>
      <c r="J18" s="1017"/>
      <c r="K18" s="954"/>
      <c r="L18" s="932" t="str">
        <f>+D18</f>
        <v>Months</v>
      </c>
      <c r="M18" s="999"/>
      <c r="N18" s="1017"/>
      <c r="O18" s="954"/>
      <c r="P18" s="932"/>
      <c r="Q18" s="999"/>
      <c r="R18" s="1017"/>
      <c r="S18" s="1004"/>
      <c r="T18" s="932" t="str">
        <f>+L18</f>
        <v>Months</v>
      </c>
      <c r="U18" s="999"/>
      <c r="V18" s="1017">
        <v>43191</v>
      </c>
      <c r="W18" s="1004">
        <v>18</v>
      </c>
      <c r="X18" s="932" t="str">
        <f>+T18</f>
        <v>Months</v>
      </c>
      <c r="Y18" s="999"/>
      <c r="Z18" s="1017">
        <f>+Z5</f>
        <v>42675</v>
      </c>
      <c r="AA18" s="954">
        <v>18</v>
      </c>
      <c r="AB18" s="932" t="str">
        <f>+X18</f>
        <v>Months</v>
      </c>
      <c r="AC18" s="999"/>
      <c r="AD18" s="912">
        <v>42826</v>
      </c>
      <c r="AE18" s="1004">
        <v>18</v>
      </c>
      <c r="AF18" s="932" t="str">
        <f>+AB18</f>
        <v>Months</v>
      </c>
      <c r="AG18" s="885"/>
      <c r="AH18" s="1041"/>
      <c r="AI18" s="954"/>
      <c r="AJ18" s="932" t="str">
        <f>+AF18</f>
        <v>Months</v>
      </c>
      <c r="AK18" s="999"/>
      <c r="AL18" s="1041"/>
      <c r="AM18" s="1004"/>
      <c r="AN18" s="932" t="str">
        <f>+AJ18</f>
        <v>Months</v>
      </c>
      <c r="AO18" s="999"/>
      <c r="AP18" s="1017">
        <f>+AP5</f>
        <v>43374</v>
      </c>
      <c r="AQ18" s="1004">
        <v>18</v>
      </c>
      <c r="AR18" s="932" t="str">
        <f>+AN18</f>
        <v>Months</v>
      </c>
      <c r="AS18" s="999"/>
      <c r="AT18" s="1845">
        <v>43586</v>
      </c>
      <c r="AU18" s="954">
        <v>18</v>
      </c>
      <c r="AV18" s="932" t="str">
        <f>+AR18</f>
        <v>Months</v>
      </c>
      <c r="AW18" s="889"/>
      <c r="AX18" s="1041">
        <f>'Richlands Imported Boars'!E11</f>
        <v>43739</v>
      </c>
      <c r="AY18" s="1004">
        <v>18</v>
      </c>
      <c r="AZ18" s="932" t="str">
        <f>+AV18</f>
        <v>Months</v>
      </c>
      <c r="BA18" s="889"/>
      <c r="BB18" s="1041">
        <v>44013</v>
      </c>
      <c r="BC18" s="1004">
        <v>18</v>
      </c>
      <c r="BD18" s="932" t="str">
        <f>+AV18</f>
        <v>Months</v>
      </c>
      <c r="BE18" s="889"/>
      <c r="BF18" s="1041">
        <f>BF5</f>
        <v>44173</v>
      </c>
      <c r="BG18" s="1004">
        <v>18</v>
      </c>
      <c r="BH18" s="932" t="str">
        <f>+BD18</f>
        <v>Months</v>
      </c>
      <c r="BI18" s="1487"/>
      <c r="BJ18" s="1041">
        <v>44317</v>
      </c>
      <c r="BK18" s="1004">
        <v>18</v>
      </c>
      <c r="BL18" s="932" t="str">
        <f>+BH18</f>
        <v>Months</v>
      </c>
      <c r="BM18" s="1487"/>
      <c r="BN18" s="1041">
        <f>+BN5</f>
        <v>44470</v>
      </c>
      <c r="BO18" s="1004">
        <v>18</v>
      </c>
      <c r="BP18" s="932" t="str">
        <f>+BL18</f>
        <v>Months</v>
      </c>
      <c r="BQ18" s="999"/>
      <c r="BR18" s="1041">
        <f>+BR5</f>
        <v>44643</v>
      </c>
      <c r="BS18" s="1004">
        <v>18</v>
      </c>
      <c r="BT18" s="932" t="str">
        <f>+BP18</f>
        <v>Months</v>
      </c>
      <c r="BU18" s="999"/>
      <c r="BV18" s="1041"/>
      <c r="BW18" s="1004"/>
      <c r="BX18" s="932"/>
      <c r="BY18" s="999"/>
      <c r="BZ18" s="1041">
        <v>44805</v>
      </c>
      <c r="CA18" s="1004">
        <v>18</v>
      </c>
      <c r="CB18" s="932" t="str">
        <f>+BT18</f>
        <v>Months</v>
      </c>
      <c r="CC18" s="1487"/>
      <c r="CD18" s="1759" t="e">
        <f>+CD5</f>
        <v>#REF!</v>
      </c>
      <c r="CE18" s="1004">
        <v>16</v>
      </c>
      <c r="CF18" s="932">
        <f>+BX18</f>
        <v>0</v>
      </c>
      <c r="CG18" s="1487"/>
      <c r="CH18" s="1759">
        <f>CH5</f>
        <v>45017</v>
      </c>
      <c r="CI18" s="1004">
        <v>11</v>
      </c>
      <c r="CJ18" s="932" t="str">
        <f>+CB18</f>
        <v>Months</v>
      </c>
      <c r="CK18" s="1487"/>
      <c r="CL18" s="1759" t="e">
        <f>CL5</f>
        <v>#REF!</v>
      </c>
      <c r="CM18" s="1002">
        <v>6</v>
      </c>
      <c r="CN18" s="932">
        <f>+CF18</f>
        <v>0</v>
      </c>
      <c r="CO18" s="999"/>
      <c r="CP18" s="1759">
        <f>CP5</f>
        <v>45328</v>
      </c>
      <c r="CQ18" s="1002">
        <v>1</v>
      </c>
      <c r="CR18" s="932" t="str">
        <f>+CJ18</f>
        <v>Months</v>
      </c>
      <c r="CS18" s="1487"/>
      <c r="CT18" s="1759" t="e">
        <f>CT5</f>
        <v>#REF!</v>
      </c>
      <c r="CU18" s="1002">
        <v>1</v>
      </c>
      <c r="CV18" s="932">
        <f>+CN18</f>
        <v>0</v>
      </c>
      <c r="CW18" s="999"/>
      <c r="CX18" s="1759">
        <f>CX5</f>
        <v>45627</v>
      </c>
      <c r="CY18" s="1002">
        <v>1</v>
      </c>
      <c r="CZ18" s="932" t="str">
        <f>+CR18</f>
        <v>Months</v>
      </c>
      <c r="DA18" s="999"/>
      <c r="DB18" s="1759">
        <f>DB5</f>
        <v>45748</v>
      </c>
      <c r="DC18" s="1002">
        <v>1</v>
      </c>
      <c r="DD18" s="932">
        <f>+CV18</f>
        <v>0</v>
      </c>
      <c r="DE18" s="999"/>
      <c r="DF18" s="931"/>
      <c r="DG18" s="931"/>
      <c r="DH18" s="931"/>
      <c r="DI18" s="999"/>
      <c r="DJ18" s="999"/>
      <c r="DK18" s="999"/>
      <c r="DL18" s="999"/>
      <c r="DM18" s="999"/>
      <c r="DN18" s="1614" t="s">
        <v>1581</v>
      </c>
      <c r="DO18" s="1615" t="s">
        <v>1581</v>
      </c>
      <c r="DP18" s="1616" t="s">
        <v>1590</v>
      </c>
      <c r="DQ18" s="872"/>
      <c r="DR18" s="872"/>
      <c r="DS18" s="872"/>
      <c r="DT18" s="872"/>
      <c r="DU18" s="872"/>
      <c r="DV18" s="872"/>
      <c r="DW18" s="872"/>
      <c r="DX18" s="872"/>
    </row>
    <row r="19" spans="1:135" s="1021" customFormat="1">
      <c r="A19" s="1023" t="str">
        <f>+A7</f>
        <v>Purchases</v>
      </c>
      <c r="B19" s="1024"/>
      <c r="C19" s="1025"/>
      <c r="D19" s="936"/>
      <c r="E19" s="889"/>
      <c r="F19" s="1024">
        <v>8</v>
      </c>
      <c r="G19" s="1025">
        <f>(22837.47-737.78)/8*4</f>
        <v>11049.845000000001</v>
      </c>
      <c r="H19" s="936">
        <f>+F19*G19</f>
        <v>88398.760000000009</v>
      </c>
      <c r="I19" s="889"/>
      <c r="J19" s="1024"/>
      <c r="K19" s="1025"/>
      <c r="L19" s="936"/>
      <c r="M19" s="889"/>
      <c r="N19" s="1024"/>
      <c r="O19" s="1025"/>
      <c r="P19" s="936"/>
      <c r="Q19" s="889"/>
      <c r="R19" s="1024"/>
      <c r="S19" s="1025"/>
      <c r="T19" s="936"/>
      <c r="U19" s="889"/>
      <c r="V19" s="1024">
        <v>8</v>
      </c>
      <c r="W19" s="1025">
        <f>4063.26/1.5*4</f>
        <v>10835.36</v>
      </c>
      <c r="X19" s="936">
        <f>+V19*W19</f>
        <v>86682.880000000005</v>
      </c>
      <c r="Y19" s="889"/>
      <c r="Z19" s="1024">
        <v>14</v>
      </c>
      <c r="AA19" s="1025">
        <f>+AB19/Z19</f>
        <v>7817.9226160729513</v>
      </c>
      <c r="AB19" s="936">
        <v>109450.91662502132</v>
      </c>
      <c r="AC19" s="889"/>
      <c r="AD19" s="1024">
        <v>5</v>
      </c>
      <c r="AE19" s="1025">
        <f>13803.57/5*4/1.125</f>
        <v>9815.8719999999994</v>
      </c>
      <c r="AF19" s="936">
        <f>+AD19*AE19</f>
        <v>49079.360000000001</v>
      </c>
      <c r="AG19" s="897"/>
      <c r="AH19" s="1024"/>
      <c r="AI19" s="1025"/>
      <c r="AJ19" s="936"/>
      <c r="AK19" s="889"/>
      <c r="AL19" s="960"/>
      <c r="AM19" s="959"/>
      <c r="AN19" s="936"/>
      <c r="AO19" s="889"/>
      <c r="AP19" s="960">
        <v>4</v>
      </c>
      <c r="AQ19" s="959">
        <f>+[39]Sheet1!$H$22/3.7*4</f>
        <v>7358.9425580510087</v>
      </c>
      <c r="AR19" s="936">
        <f>+AP19*AQ19</f>
        <v>29435.770232204035</v>
      </c>
      <c r="AS19" s="889"/>
      <c r="AT19" s="1024">
        <v>11</v>
      </c>
      <c r="AU19" s="1025">
        <f>+AV19/AT19</f>
        <v>16377.627951668586</v>
      </c>
      <c r="AV19" s="936">
        <v>180153.90746835445</v>
      </c>
      <c r="AW19" s="889"/>
      <c r="AX19" s="960">
        <v>6</v>
      </c>
      <c r="AY19" s="959">
        <f>+AZ19/AX19</f>
        <v>76871.666666666672</v>
      </c>
      <c r="AZ19" s="936">
        <v>461230</v>
      </c>
      <c r="BA19" s="889"/>
      <c r="BB19" s="960">
        <v>10</v>
      </c>
      <c r="BC19" s="959">
        <f>+BD19/BB19</f>
        <v>192558.29391729325</v>
      </c>
      <c r="BD19" s="936">
        <v>1925582.9391729324</v>
      </c>
      <c r="BE19" s="889"/>
      <c r="BF19" s="960">
        <v>3</v>
      </c>
      <c r="BG19" s="959">
        <f>+[41]Sheet1!$L$46</f>
        <v>261154.31712121217</v>
      </c>
      <c r="BH19" s="936">
        <f>+[41]Sheet1!$K$46</f>
        <v>783462.95136363653</v>
      </c>
      <c r="BI19" s="1487"/>
      <c r="BJ19" s="960">
        <v>6</v>
      </c>
      <c r="BK19" s="959">
        <f>+'[42]May 2021'!$K$30</f>
        <v>285116.59484520816</v>
      </c>
      <c r="BL19" s="936">
        <f>+BJ19*BK19</f>
        <v>1710699.5690712491</v>
      </c>
      <c r="BM19" s="1487"/>
      <c r="BN19" s="960">
        <v>4</v>
      </c>
      <c r="BO19" s="959">
        <f>+BP19/BN19</f>
        <v>309484.57765520358</v>
      </c>
      <c r="BP19" s="936">
        <f>+'[42]October 21'!$C$33*'[42]October 21'!$L$33</f>
        <v>1237938.3106208143</v>
      </c>
      <c r="BQ19" s="889"/>
      <c r="BR19" s="960">
        <v>3</v>
      </c>
      <c r="BS19" s="959">
        <f>+'[43]March 22'!$L$27</f>
        <v>708067.95992681163</v>
      </c>
      <c r="BT19" s="936">
        <f>+BR19*BS19</f>
        <v>2124203.879780435</v>
      </c>
      <c r="BU19" s="889"/>
      <c r="BV19" s="960"/>
      <c r="BW19" s="959"/>
      <c r="BX19" s="936"/>
      <c r="BY19" s="889"/>
      <c r="BZ19" s="959">
        <v>3</v>
      </c>
      <c r="CA19" s="959">
        <f>+'[53]September 22'!$L$13</f>
        <v>1945534.0347603799</v>
      </c>
      <c r="CB19" s="936">
        <f>+BZ19*CA19</f>
        <v>5836602.1042811396</v>
      </c>
      <c r="CC19" s="1487"/>
      <c r="CD19" s="959">
        <v>6</v>
      </c>
      <c r="CE19" s="959">
        <f>+'[45]Nov 2022'!$L$32</f>
        <v>1310142.0875361108</v>
      </c>
      <c r="CF19" s="936">
        <f>+CD19*CE19</f>
        <v>7860852.5252166651</v>
      </c>
      <c r="CG19" s="1487"/>
      <c r="CH19" s="959">
        <v>6</v>
      </c>
      <c r="CI19" s="1821">
        <f>'[46]April 2023'!$L$36</f>
        <v>4433598.130629871</v>
      </c>
      <c r="CJ19" s="936">
        <f>+CH19*CI19</f>
        <v>26601588.783779226</v>
      </c>
      <c r="CK19" s="1487"/>
      <c r="CL19" s="959">
        <f>'[47]September 2023'!$C$44</f>
        <v>4</v>
      </c>
      <c r="CM19" s="1818">
        <f>'[47]September 2023'!$L$36</f>
        <v>167.05821019531521</v>
      </c>
      <c r="CN19" s="936">
        <f>+CL19*CM19</f>
        <v>668.23284078126085</v>
      </c>
      <c r="CO19" s="889"/>
      <c r="CP19" s="959">
        <f>'[47]February 2024'!$C$39</f>
        <v>7</v>
      </c>
      <c r="CQ19" s="1818">
        <f>'[47]February 2024'!$L$39</f>
        <v>2640.7277044547914</v>
      </c>
      <c r="CR19" s="936">
        <f>+CP19*CQ19</f>
        <v>18485.093931183539</v>
      </c>
      <c r="CS19" s="1487"/>
      <c r="CT19" s="959">
        <v>3</v>
      </c>
      <c r="CU19" s="1818">
        <f>'[48]July 2024'!$L$40</f>
        <v>3031.3260040427031</v>
      </c>
      <c r="CV19" s="936">
        <f>+CT19*CU19</f>
        <v>9093.9780121281092</v>
      </c>
      <c r="CW19" s="889"/>
      <c r="CX19" s="959">
        <v>1</v>
      </c>
      <c r="CY19" s="1818">
        <f>'[48]July 2024'!$L$40</f>
        <v>3031.3260040427031</v>
      </c>
      <c r="CZ19" s="936">
        <f>+CX19*CY19</f>
        <v>3031.3260040427031</v>
      </c>
      <c r="DA19" s="889"/>
      <c r="DB19" s="959">
        <v>4</v>
      </c>
      <c r="DC19" s="1818">
        <f>'[48]July 2024'!$L$40</f>
        <v>3031.3260040427031</v>
      </c>
      <c r="DD19" s="936">
        <f>+DB19*DC19</f>
        <v>12125.304016170812</v>
      </c>
      <c r="DE19" s="889"/>
      <c r="DF19" s="959">
        <v>6</v>
      </c>
      <c r="DG19" s="1818">
        <f>'[48]July 2024'!$L$40</f>
        <v>3031.3260040427031</v>
      </c>
      <c r="DH19" s="936">
        <f>+DF19*DG19</f>
        <v>18187.956024256218</v>
      </c>
      <c r="DI19" s="889"/>
      <c r="DJ19" s="959">
        <v>8</v>
      </c>
      <c r="DK19" s="1818">
        <f>'[48]July 2024'!$L$40</f>
        <v>3031.3260040427031</v>
      </c>
      <c r="DL19" s="936">
        <f>+DJ19*DK19</f>
        <v>24250.608032341624</v>
      </c>
      <c r="DM19" s="889"/>
      <c r="DN19" s="1606">
        <f>+B19+F19+J19+N19+R19+V19+Z19+AD19+AH19+AL19+AP19+AT19+AX19+BB19+BF19+BJ19+BN19+BR19+BV19+BZ19+CD19+CH19+CL19+CP19+CT19+CX19+DB19+DF19+DJ19</f>
        <v>130</v>
      </c>
      <c r="DO19" s="1611">
        <f>+DP19/DN19</f>
        <v>377727.04603372037</v>
      </c>
      <c r="DP19" s="1607">
        <f>+D19+H19+L19+P19+T19+X19+AB19+AF19+AJ19+AN19+AR19+AV19+AZ19+BD19+BH19+BL19+BP19+BT19+BX19+CB19+CF19+CJ19+CN19+CR19</f>
        <v>49104515.98438365</v>
      </c>
    </row>
    <row r="20" spans="1:135" s="1021" customFormat="1">
      <c r="A20" s="1023" t="str">
        <f>+A8</f>
        <v>Mortality</v>
      </c>
      <c r="B20" s="1024"/>
      <c r="C20" s="1025"/>
      <c r="D20" s="936"/>
      <c r="E20" s="889"/>
      <c r="F20" s="1024">
        <f>+F21-F19</f>
        <v>-8</v>
      </c>
      <c r="G20" s="1025">
        <f>+G19</f>
        <v>11049.845000000001</v>
      </c>
      <c r="H20" s="936">
        <f>+F20*G20</f>
        <v>-88398.760000000009</v>
      </c>
      <c r="I20" s="889"/>
      <c r="J20" s="1024"/>
      <c r="K20" s="1025"/>
      <c r="L20" s="936"/>
      <c r="M20" s="889"/>
      <c r="N20" s="1024"/>
      <c r="O20" s="1025"/>
      <c r="P20" s="936"/>
      <c r="Q20" s="889"/>
      <c r="R20" s="1024"/>
      <c r="S20" s="1025"/>
      <c r="T20" s="936"/>
      <c r="U20" s="889"/>
      <c r="V20" s="1024">
        <f>+V21-V19</f>
        <v>-8</v>
      </c>
      <c r="W20" s="1025">
        <f>+W19</f>
        <v>10835.36</v>
      </c>
      <c r="X20" s="936">
        <f>+V20*W20</f>
        <v>-86682.880000000005</v>
      </c>
      <c r="Y20" s="889"/>
      <c r="Z20" s="1024">
        <f>+Z21-Z19</f>
        <v>-13</v>
      </c>
      <c r="AA20" s="1025">
        <f>+AA19</f>
        <v>7817.9226160729513</v>
      </c>
      <c r="AB20" s="936">
        <f>+Z20*AA20</f>
        <v>-101632.99400894837</v>
      </c>
      <c r="AC20" s="889"/>
      <c r="AD20" s="1024">
        <f>+AD21-AD19</f>
        <v>-5</v>
      </c>
      <c r="AE20" s="1025">
        <f>+AE19</f>
        <v>9815.8719999999994</v>
      </c>
      <c r="AF20" s="936">
        <f>+AD20*AE20</f>
        <v>-49079.360000000001</v>
      </c>
      <c r="AG20" s="897"/>
      <c r="AH20" s="1024"/>
      <c r="AI20" s="1025"/>
      <c r="AJ20" s="936"/>
      <c r="AK20" s="889"/>
      <c r="AL20" s="960"/>
      <c r="AM20" s="959"/>
      <c r="AN20" s="936"/>
      <c r="AO20" s="889"/>
      <c r="AP20" s="960">
        <f>+AP21-AP19</f>
        <v>-3</v>
      </c>
      <c r="AQ20" s="959">
        <f>+AQ19</f>
        <v>7358.9425580510087</v>
      </c>
      <c r="AR20" s="936">
        <f>+AP20*AQ20</f>
        <v>-22076.827674153028</v>
      </c>
      <c r="AS20" s="889"/>
      <c r="AT20" s="1024">
        <f>+AT21-AT19</f>
        <v>-10</v>
      </c>
      <c r="AU20" s="1025">
        <f>+AU19</f>
        <v>16377.627951668586</v>
      </c>
      <c r="AV20" s="936">
        <f>+AT20*AU20</f>
        <v>-163776.27951668587</v>
      </c>
      <c r="AW20" s="889"/>
      <c r="AX20" s="960">
        <f>+AX21-AX19</f>
        <v>-5</v>
      </c>
      <c r="AY20" s="959">
        <f>+AY19</f>
        <v>76871.666666666672</v>
      </c>
      <c r="AZ20" s="936">
        <f>+AX20*AY20</f>
        <v>-384358.33333333337</v>
      </c>
      <c r="BA20" s="889"/>
      <c r="BB20" s="960">
        <f>+BB21-BB19</f>
        <v>-10</v>
      </c>
      <c r="BC20" s="959">
        <f>+BC19</f>
        <v>192558.29391729325</v>
      </c>
      <c r="BD20" s="936">
        <f>+BB20*BC20</f>
        <v>-1925582.9391729324</v>
      </c>
      <c r="BE20" s="889"/>
      <c r="BF20" s="960">
        <f>+BF21-BF19</f>
        <v>-3</v>
      </c>
      <c r="BG20" s="959">
        <f>+BG19</f>
        <v>261154.31712121217</v>
      </c>
      <c r="BH20" s="936">
        <f>+BF20*BG20</f>
        <v>-783462.95136363653</v>
      </c>
      <c r="BI20" s="1487"/>
      <c r="BJ20" s="960">
        <f>+BJ21-BJ19</f>
        <v>-6</v>
      </c>
      <c r="BK20" s="959">
        <f>+BK19</f>
        <v>285116.59484520816</v>
      </c>
      <c r="BL20" s="936">
        <f>+BJ20*BK20</f>
        <v>-1710699.5690712491</v>
      </c>
      <c r="BM20" s="1487"/>
      <c r="BN20" s="960">
        <f>+BN21-BN19</f>
        <v>-4</v>
      </c>
      <c r="BO20" s="959">
        <f>+BO19</f>
        <v>309484.57765520358</v>
      </c>
      <c r="BP20" s="936">
        <f>+BN20*BO20</f>
        <v>-1237938.3106208143</v>
      </c>
      <c r="BQ20" s="889"/>
      <c r="BR20" s="960">
        <f>+BR21-BR19</f>
        <v>-3</v>
      </c>
      <c r="BS20" s="959">
        <f>+BS19</f>
        <v>708067.95992681163</v>
      </c>
      <c r="BT20" s="936">
        <f>+BR20*BS20</f>
        <v>-2124203.879780435</v>
      </c>
      <c r="BU20" s="889"/>
      <c r="BV20" s="960"/>
      <c r="BW20" s="959"/>
      <c r="BX20" s="936"/>
      <c r="BY20" s="889"/>
      <c r="BZ20" s="960">
        <f>+BZ21-BZ19</f>
        <v>-3</v>
      </c>
      <c r="CA20" s="959">
        <f>+CA19</f>
        <v>1945534.0347603799</v>
      </c>
      <c r="CB20" s="936">
        <f>+BZ20*CA20</f>
        <v>-5836602.1042811396</v>
      </c>
      <c r="CC20" s="1487"/>
      <c r="CD20" s="960">
        <f>+CD21-CD19</f>
        <v>-6</v>
      </c>
      <c r="CE20" s="959">
        <f>+CE19</f>
        <v>1310142.0875361108</v>
      </c>
      <c r="CF20" s="936">
        <f>+CD20*CE20</f>
        <v>-7860852.5252166651</v>
      </c>
      <c r="CG20" s="1487"/>
      <c r="CH20" s="960">
        <f>+CH21-CH19</f>
        <v>-5</v>
      </c>
      <c r="CI20" s="1821">
        <f>+CI19</f>
        <v>4433598.130629871</v>
      </c>
      <c r="CJ20" s="936">
        <f>+CH20*CI20</f>
        <v>-22167990.653149355</v>
      </c>
      <c r="CK20" s="1487"/>
      <c r="CL20" s="960">
        <f>+CL21-CL19</f>
        <v>-3</v>
      </c>
      <c r="CM20" s="1821">
        <f>+CM19</f>
        <v>167.05821019531521</v>
      </c>
      <c r="CN20" s="936">
        <f>+CL20*CM20</f>
        <v>-501.17463058594564</v>
      </c>
      <c r="CO20" s="889"/>
      <c r="CP20" s="960">
        <f>+CP21-CP19</f>
        <v>-3</v>
      </c>
      <c r="CQ20" s="1821">
        <f>+CQ19</f>
        <v>2640.7277044547914</v>
      </c>
      <c r="CR20" s="936">
        <f>+CP20*CQ20</f>
        <v>-7922.1831133643736</v>
      </c>
      <c r="CS20" s="1487"/>
      <c r="CT20" s="960">
        <f>+CT21-CT19</f>
        <v>-3</v>
      </c>
      <c r="CU20" s="1821">
        <f>+CU19</f>
        <v>3031.3260040427031</v>
      </c>
      <c r="CV20" s="936">
        <f>+CT20*CU20</f>
        <v>-9093.9780121281092</v>
      </c>
      <c r="CW20" s="889"/>
      <c r="CX20" s="960">
        <f>+CX21-CX19</f>
        <v>1</v>
      </c>
      <c r="CY20" s="1821">
        <f>+CY19</f>
        <v>3031.3260040427031</v>
      </c>
      <c r="CZ20" s="936">
        <f>+CX20*CY20</f>
        <v>3031.3260040427031</v>
      </c>
      <c r="DA20" s="889"/>
      <c r="DB20" s="960">
        <f>+DB21-DB19</f>
        <v>0</v>
      </c>
      <c r="DC20" s="1821">
        <f>+DC19</f>
        <v>3031.3260040427031</v>
      </c>
      <c r="DD20" s="936">
        <f>+DB20*DC20</f>
        <v>0</v>
      </c>
      <c r="DE20" s="889"/>
      <c r="DF20" s="960">
        <f>+DF21-DF19</f>
        <v>-2</v>
      </c>
      <c r="DG20" s="1821">
        <f>+DG19</f>
        <v>3031.3260040427031</v>
      </c>
      <c r="DH20" s="936">
        <f>+DF20*DG20</f>
        <v>-6062.6520080854061</v>
      </c>
      <c r="DI20" s="889"/>
      <c r="DJ20" s="960">
        <f>+DJ21-DJ19</f>
        <v>0</v>
      </c>
      <c r="DK20" s="1821">
        <f>+DK19</f>
        <v>3031.3260040427031</v>
      </c>
      <c r="DL20" s="936">
        <f>+DJ20*DK20</f>
        <v>0</v>
      </c>
      <c r="DM20" s="889"/>
      <c r="DN20" s="1606">
        <f>+B20+F20+J20+N20+R20+V20+Z20+AD20+AH20+AL20+AP20+AT20+AX20+BB20+BF20+BJ20+BN20+BR20+BV20+BZ20+CD20+CH20+CL20+CP20+CT20+CX20+DB20+DF20+DJ20</f>
        <v>-102</v>
      </c>
      <c r="DO20" s="1611">
        <f>+DP20/DN20</f>
        <v>436781.97769542446</v>
      </c>
      <c r="DP20" s="1607">
        <f>+D20+H20+L20+P20+T20+X20+AB20+AF20+AJ20+AN20+AR20+AV20+AZ20+BD20+BH20+BL20+BP20+BT20+BX20+CB20+CF20+CJ20+CN20+CR20</f>
        <v>-44551761.724933296</v>
      </c>
      <c r="EC20" s="1021">
        <f>26+8+4</f>
        <v>38</v>
      </c>
    </row>
    <row r="21" spans="1:135" s="872" customFormat="1">
      <c r="A21" s="998" t="s">
        <v>1591</v>
      </c>
      <c r="B21" s="930"/>
      <c r="C21" s="931"/>
      <c r="D21" s="932"/>
      <c r="E21" s="999"/>
      <c r="F21" s="930">
        <v>0</v>
      </c>
      <c r="G21" s="931">
        <f>+G19</f>
        <v>11049.845000000001</v>
      </c>
      <c r="H21" s="932">
        <f>+F21*G21</f>
        <v>0</v>
      </c>
      <c r="I21" s="999"/>
      <c r="J21" s="930"/>
      <c r="K21" s="931"/>
      <c r="L21" s="932"/>
      <c r="M21" s="999"/>
      <c r="N21" s="930"/>
      <c r="O21" s="931"/>
      <c r="P21" s="932"/>
      <c r="Q21" s="999"/>
      <c r="R21" s="930"/>
      <c r="S21" s="931"/>
      <c r="T21" s="932"/>
      <c r="U21" s="889"/>
      <c r="V21" s="930">
        <v>0</v>
      </c>
      <c r="W21" s="931">
        <f>+W19</f>
        <v>10835.36</v>
      </c>
      <c r="X21" s="932">
        <f>+V21*W21</f>
        <v>0</v>
      </c>
      <c r="Y21" s="889"/>
      <c r="Z21" s="930">
        <f>+'Richlands Imported Boars'!B8+'Villa Imported Boars'!B14</f>
        <v>1</v>
      </c>
      <c r="AA21" s="931">
        <f>+AA19</f>
        <v>7817.9226160729513</v>
      </c>
      <c r="AB21" s="932">
        <f>+Z21*AA21</f>
        <v>7817.9226160729513</v>
      </c>
      <c r="AC21" s="999"/>
      <c r="AD21" s="930">
        <v>0</v>
      </c>
      <c r="AE21" s="931">
        <f>+AE19</f>
        <v>9815.8719999999994</v>
      </c>
      <c r="AF21" s="932">
        <f>+AD21*AE21</f>
        <v>0</v>
      </c>
      <c r="AG21" s="999"/>
      <c r="AH21" s="930"/>
      <c r="AI21" s="931"/>
      <c r="AJ21" s="932"/>
      <c r="AK21" s="999"/>
      <c r="AL21" s="930"/>
      <c r="AM21" s="931"/>
      <c r="AN21" s="932"/>
      <c r="AO21" s="999"/>
      <c r="AP21" s="930">
        <f>+'Richlands Imported Boars'!B9</f>
        <v>1</v>
      </c>
      <c r="AQ21" s="931">
        <f>+AQ19</f>
        <v>7358.9425580510087</v>
      </c>
      <c r="AR21" s="932">
        <f>+AP21*AQ21</f>
        <v>7358.9425580510087</v>
      </c>
      <c r="AS21" s="999"/>
      <c r="AT21" s="930">
        <f>+'Richlands Imported Boars'!B10</f>
        <v>1</v>
      </c>
      <c r="AU21" s="931">
        <f>+AU19</f>
        <v>16377.627951668586</v>
      </c>
      <c r="AV21" s="932">
        <f>SUM(AV19:AV20)</f>
        <v>16377.627951668575</v>
      </c>
      <c r="AW21" s="999"/>
      <c r="AX21" s="930">
        <f>+'Richlands Imported Boars'!B11</f>
        <v>1</v>
      </c>
      <c r="AY21" s="931">
        <f>+AY19</f>
        <v>76871.666666666672</v>
      </c>
      <c r="AZ21" s="932">
        <f>SUM(AZ19:AZ20)</f>
        <v>76871.666666666628</v>
      </c>
      <c r="BA21" s="999"/>
      <c r="BB21" s="930">
        <v>0</v>
      </c>
      <c r="BC21" s="931">
        <f>+BC19</f>
        <v>192558.29391729325</v>
      </c>
      <c r="BD21" s="932">
        <f>SUM(BD19:BD20)</f>
        <v>0</v>
      </c>
      <c r="BE21" s="999"/>
      <c r="BF21" s="930">
        <v>0</v>
      </c>
      <c r="BG21" s="931">
        <f>+BG19</f>
        <v>261154.31712121217</v>
      </c>
      <c r="BH21" s="932">
        <f>SUM(BH19:BH20)</f>
        <v>0</v>
      </c>
      <c r="BI21" s="1488"/>
      <c r="BJ21" s="930">
        <v>0</v>
      </c>
      <c r="BK21" s="931">
        <f>+BK19</f>
        <v>285116.59484520816</v>
      </c>
      <c r="BL21" s="932">
        <f>SUM(BL19:BL20)</f>
        <v>0</v>
      </c>
      <c r="BM21" s="1488"/>
      <c r="BN21" s="930">
        <v>0</v>
      </c>
      <c r="BO21" s="931">
        <f>+BO19</f>
        <v>309484.57765520358</v>
      </c>
      <c r="BP21" s="932">
        <f>SUM(BP19:BP20)</f>
        <v>0</v>
      </c>
      <c r="BQ21" s="999"/>
      <c r="BR21" s="930">
        <f>0+'Multiplier Imported Boars '!B6</f>
        <v>0</v>
      </c>
      <c r="BS21" s="931">
        <f>+BS19</f>
        <v>708067.95992681163</v>
      </c>
      <c r="BT21" s="932">
        <f>SUM(BT19:BT20)</f>
        <v>0</v>
      </c>
      <c r="BU21" s="999"/>
      <c r="BV21" s="930"/>
      <c r="BW21" s="931"/>
      <c r="BX21" s="932"/>
      <c r="BY21" s="999"/>
      <c r="BZ21" s="930">
        <v>0</v>
      </c>
      <c r="CA21" s="931">
        <f>+CA19</f>
        <v>1945534.0347603799</v>
      </c>
      <c r="CB21" s="932">
        <f>SUM(CB19:CB20)</f>
        <v>0</v>
      </c>
      <c r="CC21" s="1488"/>
      <c r="CD21" s="930">
        <v>0</v>
      </c>
      <c r="CE21" s="931">
        <f>+CE19</f>
        <v>1310142.0875361108</v>
      </c>
      <c r="CF21" s="932">
        <f>SUM(CF19:CF20)</f>
        <v>0</v>
      </c>
      <c r="CG21" s="1488"/>
      <c r="CH21" s="930">
        <f>+'Porta Imported Boars'!B8</f>
        <v>1</v>
      </c>
      <c r="CI21" s="931">
        <f>+CI19</f>
        <v>4433598.130629871</v>
      </c>
      <c r="CJ21" s="932">
        <f>SUM(CJ19:CJ20)</f>
        <v>4433598.130629871</v>
      </c>
      <c r="CK21" s="1488"/>
      <c r="CL21" s="930">
        <f>+'Grasmere Imported Boars'!B6</f>
        <v>1</v>
      </c>
      <c r="CM21" s="931">
        <f>+CM19</f>
        <v>167.05821019531521</v>
      </c>
      <c r="CN21" s="932">
        <f>SUM(CN19:CN20)</f>
        <v>167.05821019531521</v>
      </c>
      <c r="CO21" s="999"/>
      <c r="CP21" s="930">
        <f>'Grasmere Imported Boars'!B10</f>
        <v>4</v>
      </c>
      <c r="CQ21" s="931">
        <f>+CQ19</f>
        <v>2640.7277044547914</v>
      </c>
      <c r="CR21" s="932">
        <f>SUM(CR19:CR20)</f>
        <v>10562.910817819165</v>
      </c>
      <c r="CS21" s="1488"/>
      <c r="CT21" s="930">
        <v>0</v>
      </c>
      <c r="CU21" s="931">
        <f>+CU19</f>
        <v>3031.3260040427031</v>
      </c>
      <c r="CV21" s="932">
        <f>SUM(CV19:CV20)</f>
        <v>0</v>
      </c>
      <c r="CW21" s="999"/>
      <c r="CX21" s="930">
        <f>'Grasmere Imported Boars'!B12</f>
        <v>2</v>
      </c>
      <c r="CY21" s="931">
        <f>+CY19</f>
        <v>3031.3260040427031</v>
      </c>
      <c r="CZ21" s="932">
        <f>SUM(CZ19:CZ20)</f>
        <v>6062.6520080854061</v>
      </c>
      <c r="DA21" s="999"/>
      <c r="DB21" s="930">
        <f>'Grasmere Imported Boars'!B16</f>
        <v>4</v>
      </c>
      <c r="DC21" s="931">
        <f>+DC19</f>
        <v>3031.3260040427031</v>
      </c>
      <c r="DD21" s="932">
        <f>SUM(DD19:DD20)</f>
        <v>12125.304016170812</v>
      </c>
      <c r="DE21" s="999"/>
      <c r="DF21" s="930">
        <f>'Grasmere Imported Boars'!B20</f>
        <v>4</v>
      </c>
      <c r="DG21" s="931">
        <f>+DG19</f>
        <v>3031.3260040427031</v>
      </c>
      <c r="DH21" s="932">
        <f>SUM(DH19:DH20)</f>
        <v>12125.304016170812</v>
      </c>
      <c r="DI21" s="999"/>
      <c r="DJ21" s="930">
        <f>'Grasmere Imported Boars'!B28</f>
        <v>8</v>
      </c>
      <c r="DK21" s="931">
        <f>+DK19</f>
        <v>3031.3260040427031</v>
      </c>
      <c r="DL21" s="932">
        <f>SUM(DL19:DL20)</f>
        <v>24250.608032341624</v>
      </c>
      <c r="DM21" s="999"/>
      <c r="DN21" s="1608">
        <f>SUM(DN19:DN20)</f>
        <v>28</v>
      </c>
      <c r="DO21" s="1609">
        <f>+DP21/DN21</f>
        <v>162598.36640894119</v>
      </c>
      <c r="DP21" s="1620">
        <f>SUM(DP19:DP20)</f>
        <v>4552754.2594503537</v>
      </c>
      <c r="DQ21" s="872">
        <f>+'Grasmere Valuation '!H143</f>
        <v>4552754.2594503444</v>
      </c>
      <c r="DR21" s="872">
        <f>+DQ21-DP21</f>
        <v>-9.3132257461547852E-9</v>
      </c>
      <c r="DS21" s="1021"/>
    </row>
    <row r="22" spans="1:135" s="1021" customFormat="1">
      <c r="A22" s="1023" t="str">
        <f>+A10</f>
        <v>Residual Value KGs</v>
      </c>
      <c r="B22" s="1024"/>
      <c r="C22" s="1025"/>
      <c r="D22" s="936"/>
      <c r="E22" s="889"/>
      <c r="F22" s="1024">
        <v>-150</v>
      </c>
      <c r="G22" s="1025">
        <v>1.84</v>
      </c>
      <c r="H22" s="936">
        <f>+F21*F22*G22</f>
        <v>0</v>
      </c>
      <c r="I22" s="889"/>
      <c r="J22" s="1024"/>
      <c r="K22" s="1025"/>
      <c r="L22" s="936"/>
      <c r="M22" s="889"/>
      <c r="N22" s="1024"/>
      <c r="O22" s="1025"/>
      <c r="P22" s="936"/>
      <c r="Q22" s="889"/>
      <c r="R22" s="1024"/>
      <c r="S22" s="1025"/>
      <c r="T22" s="936"/>
      <c r="U22" s="889"/>
      <c r="V22" s="1024">
        <v>-150</v>
      </c>
      <c r="W22" s="1025">
        <v>1.84</v>
      </c>
      <c r="X22" s="936">
        <f>+V21*V22*W22</f>
        <v>0</v>
      </c>
      <c r="Y22" s="889"/>
      <c r="Z22" s="1024">
        <v>-150</v>
      </c>
      <c r="AA22" s="1025">
        <v>1.84</v>
      </c>
      <c r="AB22" s="936">
        <f>+Z21*Z22*AA22</f>
        <v>-276</v>
      </c>
      <c r="AC22" s="889"/>
      <c r="AD22" s="1024">
        <v>-150</v>
      </c>
      <c r="AE22" s="1025">
        <v>1.84</v>
      </c>
      <c r="AF22" s="936">
        <f>+AD21*AD22*AE22</f>
        <v>0</v>
      </c>
      <c r="AG22" s="897"/>
      <c r="AH22" s="1024"/>
      <c r="AI22" s="1025"/>
      <c r="AJ22" s="936"/>
      <c r="AK22" s="889"/>
      <c r="AL22" s="960"/>
      <c r="AM22" s="959"/>
      <c r="AN22" s="936"/>
      <c r="AO22" s="889"/>
      <c r="AP22" s="960">
        <v>-150</v>
      </c>
      <c r="AQ22" s="959">
        <v>1.84</v>
      </c>
      <c r="AR22" s="936">
        <f>+AP21*AP22*AQ22</f>
        <v>-276</v>
      </c>
      <c r="AS22" s="889"/>
      <c r="AT22" s="1024">
        <v>-150</v>
      </c>
      <c r="AU22" s="1025">
        <v>1.84</v>
      </c>
      <c r="AV22" s="936">
        <f>+AT21*AT22*AU22</f>
        <v>-276</v>
      </c>
      <c r="AW22" s="889"/>
      <c r="AX22" s="960">
        <v>-150</v>
      </c>
      <c r="AY22" s="959">
        <v>1.84</v>
      </c>
      <c r="AZ22" s="936">
        <f>+AX21*AX22*AY22</f>
        <v>-276</v>
      </c>
      <c r="BA22" s="889"/>
      <c r="BB22" s="960">
        <v>-150</v>
      </c>
      <c r="BC22" s="959">
        <v>122.07000000000008</v>
      </c>
      <c r="BD22" s="936">
        <f>+BB21*BB22*BC22</f>
        <v>0</v>
      </c>
      <c r="BE22" s="889"/>
      <c r="BF22" s="960">
        <v>-150</v>
      </c>
      <c r="BG22" s="959">
        <v>122.07000000000008</v>
      </c>
      <c r="BH22" s="936">
        <f>+BF21*BF22*BG22</f>
        <v>0</v>
      </c>
      <c r="BI22" s="1487"/>
      <c r="BJ22" s="960">
        <v>-150</v>
      </c>
      <c r="BK22" s="959">
        <v>122.07000000000008</v>
      </c>
      <c r="BL22" s="936">
        <f>+BJ21*BJ22*BK22</f>
        <v>0</v>
      </c>
      <c r="BM22" s="1487"/>
      <c r="BN22" s="960">
        <v>-150</v>
      </c>
      <c r="BO22" s="959">
        <f>+BO10</f>
        <v>229.83791290065597</v>
      </c>
      <c r="BP22" s="936">
        <f>+BN21*BN22*BO22</f>
        <v>0</v>
      </c>
      <c r="BQ22" s="889"/>
      <c r="BR22" s="960">
        <v>-150</v>
      </c>
      <c r="BS22" s="959">
        <f>+BS10</f>
        <v>307.69</v>
      </c>
      <c r="BT22" s="936">
        <f>+BR21*BR22*BS22</f>
        <v>0</v>
      </c>
      <c r="BU22" s="889"/>
      <c r="BV22" s="960"/>
      <c r="BW22" s="959"/>
      <c r="BX22" s="936"/>
      <c r="BY22" s="889"/>
      <c r="BZ22" s="960">
        <v>-150</v>
      </c>
      <c r="CA22" s="959">
        <f>+[54]Summary!$G$16</f>
        <v>1281.8490695430385</v>
      </c>
      <c r="CB22" s="936">
        <f>+BZ21*BZ22*CA22</f>
        <v>0</v>
      </c>
      <c r="CC22" s="1487"/>
      <c r="CD22" s="960">
        <v>-150</v>
      </c>
      <c r="CE22" s="959">
        <f>+[51]Summary!$G$16</f>
        <v>1306.7267352627152</v>
      </c>
      <c r="CF22" s="936">
        <f>+CD21*CD22*CE22</f>
        <v>0</v>
      </c>
      <c r="CG22" s="1487"/>
      <c r="CH22" s="960">
        <v>-150</v>
      </c>
      <c r="CI22" s="1820">
        <f>[52]Summary!$G$18</f>
        <v>3020.6555657372742</v>
      </c>
      <c r="CJ22" s="936">
        <f>+CH21*CH22*CI22</f>
        <v>-453098.3348605911</v>
      </c>
      <c r="CK22" s="1487"/>
      <c r="CL22" s="960">
        <v>-150</v>
      </c>
      <c r="CM22" s="1876">
        <f>[52]Summary!$G$18</f>
        <v>3020.6555657372742</v>
      </c>
      <c r="CN22" s="936">
        <f>+CL21*CL22*CM22</f>
        <v>-453098.3348605911</v>
      </c>
      <c r="CO22" s="889"/>
      <c r="CP22" s="960">
        <v>-150</v>
      </c>
      <c r="CQ22" s="1876">
        <f>[52]Summary!$G$18</f>
        <v>3020.6555657372742</v>
      </c>
      <c r="CR22" s="936">
        <f>+CP21*CP22*CQ22</f>
        <v>-1812393.3394423644</v>
      </c>
      <c r="CS22" s="1487"/>
      <c r="CT22" s="960">
        <v>-150</v>
      </c>
      <c r="CU22" s="1876">
        <f>[52]Summary!$G$18</f>
        <v>3020.6555657372742</v>
      </c>
      <c r="CV22" s="936">
        <f>+CT21*CT22*CU22</f>
        <v>0</v>
      </c>
      <c r="CW22" s="889"/>
      <c r="CX22" s="960">
        <v>-150</v>
      </c>
      <c r="CY22" s="1876">
        <f>[52]Summary!$G$18</f>
        <v>3020.6555657372742</v>
      </c>
      <c r="CZ22" s="936">
        <f>+CX21*CX22*CY22</f>
        <v>-906196.6697211822</v>
      </c>
      <c r="DA22" s="889"/>
      <c r="DB22" s="960">
        <v>-150</v>
      </c>
      <c r="DC22" s="1876">
        <f>[52]Summary!$G$18</f>
        <v>3020.6555657372742</v>
      </c>
      <c r="DD22" s="936">
        <f>+DB21*DB22*DC22</f>
        <v>-1812393.3394423644</v>
      </c>
      <c r="DE22" s="889"/>
      <c r="DF22" s="960">
        <v>-150</v>
      </c>
      <c r="DG22" s="1876">
        <f>[52]Summary!$G$18</f>
        <v>3020.6555657372742</v>
      </c>
      <c r="DH22" s="936">
        <f>+DF21*DF22*DG22</f>
        <v>-1812393.3394423644</v>
      </c>
      <c r="DI22" s="889"/>
      <c r="DJ22" s="960">
        <v>-150</v>
      </c>
      <c r="DK22" s="1876">
        <f>[52]Summary!$G$18</f>
        <v>3020.6555657372742</v>
      </c>
      <c r="DL22" s="936">
        <f>+DJ21*DJ22*DK22</f>
        <v>-3624786.6788847288</v>
      </c>
      <c r="DM22" s="889"/>
      <c r="DN22" s="1606">
        <f>+B22+F22+J22+N22+R22+V22+Z22+AD22+AH22+AL22+AP22+AT22+AX22+BB22+BF22+BJ22+BN22+BR22+BV22+BZ22+CD22+CH22+CL22+CP22+CT22+CX22+DB22</f>
        <v>-3000</v>
      </c>
      <c r="DO22" s="1611">
        <f>+DP22/DN22</f>
        <v>906.5646697211821</v>
      </c>
      <c r="DP22" s="1607">
        <f t="shared" ref="DP22:DP27" si="16">+D22+H22+L22+P22+T22+X22+AB22+AF22+AJ22+AN22+AR22+AV22+AZ22+BD22+BH22+BL22+BP22+BT22+BX22+CB22+CF22+CJ22+CN22+CR22</f>
        <v>-2719694.0091635464</v>
      </c>
    </row>
    <row r="23" spans="1:135" s="1021" customFormat="1">
      <c r="A23" s="1023" t="str">
        <f>+A11</f>
        <v>Depreciable Amount</v>
      </c>
      <c r="B23" s="930"/>
      <c r="C23" s="1025"/>
      <c r="D23" s="936"/>
      <c r="E23" s="889"/>
      <c r="F23" s="930">
        <f>+F21</f>
        <v>0</v>
      </c>
      <c r="G23" s="1025"/>
      <c r="H23" s="936">
        <v>0</v>
      </c>
      <c r="I23" s="889"/>
      <c r="J23" s="930"/>
      <c r="K23" s="1025"/>
      <c r="L23" s="936"/>
      <c r="M23" s="889"/>
      <c r="N23" s="930"/>
      <c r="O23" s="1025"/>
      <c r="P23" s="936"/>
      <c r="Q23" s="889"/>
      <c r="R23" s="930"/>
      <c r="S23" s="1025"/>
      <c r="T23" s="936"/>
      <c r="U23" s="889"/>
      <c r="V23" s="930">
        <f>+V21</f>
        <v>0</v>
      </c>
      <c r="W23" s="1025"/>
      <c r="X23" s="936">
        <f>+X21+X22</f>
        <v>0</v>
      </c>
      <c r="Y23" s="889"/>
      <c r="Z23" s="930">
        <f>+Z21</f>
        <v>1</v>
      </c>
      <c r="AA23" s="1025"/>
      <c r="AB23" s="936">
        <v>0</v>
      </c>
      <c r="AC23" s="889"/>
      <c r="AD23" s="930">
        <f>+AD21</f>
        <v>0</v>
      </c>
      <c r="AE23" s="1025"/>
      <c r="AF23" s="936">
        <v>0</v>
      </c>
      <c r="AG23" s="897"/>
      <c r="AH23" s="930"/>
      <c r="AI23" s="1025"/>
      <c r="AJ23" s="936"/>
      <c r="AK23" s="889"/>
      <c r="AL23" s="930"/>
      <c r="AM23" s="959"/>
      <c r="AN23" s="936"/>
      <c r="AO23" s="889"/>
      <c r="AP23" s="930">
        <f>+AP21</f>
        <v>1</v>
      </c>
      <c r="AQ23" s="959"/>
      <c r="AR23" s="936">
        <v>0</v>
      </c>
      <c r="AS23" s="889"/>
      <c r="AT23" s="930">
        <f>+AT21</f>
        <v>1</v>
      </c>
      <c r="AU23" s="1025"/>
      <c r="AV23" s="936">
        <v>0</v>
      </c>
      <c r="AW23" s="889"/>
      <c r="AX23" s="930">
        <f>+AX21</f>
        <v>1</v>
      </c>
      <c r="AY23" s="959"/>
      <c r="AZ23" s="936">
        <v>0</v>
      </c>
      <c r="BA23" s="889"/>
      <c r="BB23" s="930">
        <f>+BB21</f>
        <v>0</v>
      </c>
      <c r="BC23" s="959"/>
      <c r="BD23" s="936">
        <v>0</v>
      </c>
      <c r="BE23" s="889"/>
      <c r="BF23" s="930">
        <f>+BF21</f>
        <v>0</v>
      </c>
      <c r="BG23" s="959"/>
      <c r="BH23" s="936">
        <v>0</v>
      </c>
      <c r="BI23" s="1487"/>
      <c r="BJ23" s="930">
        <f>+BJ21</f>
        <v>0</v>
      </c>
      <c r="BK23" s="959"/>
      <c r="BL23" s="936">
        <f>+BL21+BL22</f>
        <v>0</v>
      </c>
      <c r="BM23" s="1487"/>
      <c r="BN23" s="930">
        <f>+BN21</f>
        <v>0</v>
      </c>
      <c r="BO23" s="959"/>
      <c r="BP23" s="936">
        <f>+BP21+BP22</f>
        <v>0</v>
      </c>
      <c r="BQ23" s="889"/>
      <c r="BR23" s="930">
        <f>+BR21</f>
        <v>0</v>
      </c>
      <c r="BS23" s="959"/>
      <c r="BT23" s="936">
        <f>+BT21+BT22</f>
        <v>0</v>
      </c>
      <c r="BU23" s="889"/>
      <c r="BV23" s="930"/>
      <c r="BW23" s="959"/>
      <c r="BX23" s="936"/>
      <c r="BY23" s="889"/>
      <c r="BZ23" s="930">
        <f>+BZ21</f>
        <v>0</v>
      </c>
      <c r="CA23" s="959"/>
      <c r="CB23" s="936">
        <f>+CB21+CB22</f>
        <v>0</v>
      </c>
      <c r="CC23" s="1487"/>
      <c r="CD23" s="930">
        <f>+CD21</f>
        <v>0</v>
      </c>
      <c r="CE23" s="959"/>
      <c r="CF23" s="936">
        <f>+CF21+CF22</f>
        <v>0</v>
      </c>
      <c r="CG23" s="1487"/>
      <c r="CH23" s="930">
        <f>+CH21</f>
        <v>1</v>
      </c>
      <c r="CI23" s="959"/>
      <c r="CJ23" s="936">
        <f>+CJ21+CJ22</f>
        <v>3980499.7957692798</v>
      </c>
      <c r="CK23" s="1487"/>
      <c r="CL23" s="930">
        <f>+CL21</f>
        <v>1</v>
      </c>
      <c r="CM23" s="959"/>
      <c r="CN23" s="936">
        <f>+CN21+CN22</f>
        <v>-452931.27665039577</v>
      </c>
      <c r="CO23" s="889"/>
      <c r="CP23" s="930">
        <f>+CP21</f>
        <v>4</v>
      </c>
      <c r="CQ23" s="959"/>
      <c r="CR23" s="936">
        <f>+CR21+CR22</f>
        <v>-1801830.4286245452</v>
      </c>
      <c r="CS23" s="1487"/>
      <c r="CT23" s="930">
        <f>+CT21</f>
        <v>0</v>
      </c>
      <c r="CU23" s="959"/>
      <c r="CV23" s="936">
        <f>+CV21+CV22</f>
        <v>0</v>
      </c>
      <c r="CW23" s="889"/>
      <c r="CX23" s="930">
        <f>+CX21</f>
        <v>2</v>
      </c>
      <c r="CY23" s="959"/>
      <c r="CZ23" s="936">
        <f>+CZ21+CZ22</f>
        <v>-900134.01771309681</v>
      </c>
      <c r="DA23" s="889"/>
      <c r="DB23" s="930">
        <f>+DB21</f>
        <v>4</v>
      </c>
      <c r="DC23" s="959"/>
      <c r="DD23" s="936">
        <f>+DD21+DD22</f>
        <v>-1800268.0354261936</v>
      </c>
      <c r="DE23" s="889"/>
      <c r="DF23" s="930">
        <f>+DF21</f>
        <v>4</v>
      </c>
      <c r="DG23" s="959"/>
      <c r="DH23" s="936">
        <f>+DH21+DH22</f>
        <v>-1800268.0354261936</v>
      </c>
      <c r="DI23" s="889"/>
      <c r="DJ23" s="930">
        <f>+DJ21</f>
        <v>8</v>
      </c>
      <c r="DK23" s="959"/>
      <c r="DL23" s="936">
        <f>+DL21+DL22</f>
        <v>-3600536.0708523872</v>
      </c>
      <c r="DM23" s="889"/>
      <c r="DN23" s="1608">
        <f>+DN21</f>
        <v>28</v>
      </c>
      <c r="DO23" s="1611">
        <f>+DP23/DN23</f>
        <v>61633.503231940675</v>
      </c>
      <c r="DP23" s="1607">
        <f t="shared" si="16"/>
        <v>1725738.0904943389</v>
      </c>
      <c r="DS23" s="872"/>
    </row>
    <row r="24" spans="1:135" s="1021" customFormat="1">
      <c r="A24" s="1023"/>
      <c r="B24" s="1024"/>
      <c r="C24" s="1025"/>
      <c r="D24" s="936"/>
      <c r="E24" s="889"/>
      <c r="F24" s="1024"/>
      <c r="G24" s="1025"/>
      <c r="H24" s="936"/>
      <c r="I24" s="889"/>
      <c r="J24" s="1024"/>
      <c r="K24" s="1025"/>
      <c r="L24" s="936"/>
      <c r="M24" s="889"/>
      <c r="N24" s="1024"/>
      <c r="O24" s="1025"/>
      <c r="P24" s="936"/>
      <c r="Q24" s="889"/>
      <c r="R24" s="1024"/>
      <c r="S24" s="1025"/>
      <c r="T24" s="936"/>
      <c r="U24" s="889"/>
      <c r="V24" s="1024"/>
      <c r="W24" s="1025"/>
      <c r="X24" s="936"/>
      <c r="Y24" s="889"/>
      <c r="Z24" s="1024"/>
      <c r="AA24" s="1025"/>
      <c r="AB24" s="936"/>
      <c r="AC24" s="889"/>
      <c r="AD24" s="1024"/>
      <c r="AE24" s="1025"/>
      <c r="AF24" s="936"/>
      <c r="AG24" s="897"/>
      <c r="AH24" s="1024"/>
      <c r="AI24" s="1025"/>
      <c r="AJ24" s="936"/>
      <c r="AK24" s="889"/>
      <c r="AL24" s="960"/>
      <c r="AM24" s="959"/>
      <c r="AN24" s="936"/>
      <c r="AO24" s="889"/>
      <c r="AP24" s="960"/>
      <c r="AQ24" s="959"/>
      <c r="AR24" s="936"/>
      <c r="AS24" s="889"/>
      <c r="AT24" s="1024"/>
      <c r="AU24" s="1025"/>
      <c r="AV24" s="936"/>
      <c r="AW24" s="889"/>
      <c r="AX24" s="960"/>
      <c r="AY24" s="959"/>
      <c r="AZ24" s="936"/>
      <c r="BA24" s="889"/>
      <c r="BB24" s="960"/>
      <c r="BC24" s="959"/>
      <c r="BD24" s="936"/>
      <c r="BE24" s="889"/>
      <c r="BF24" s="960"/>
      <c r="BG24" s="959"/>
      <c r="BH24" s="936"/>
      <c r="BI24" s="1487"/>
      <c r="BJ24" s="960"/>
      <c r="BK24" s="959"/>
      <c r="BL24" s="936"/>
      <c r="BM24" s="1487"/>
      <c r="BN24" s="960"/>
      <c r="BO24" s="959"/>
      <c r="BP24" s="936"/>
      <c r="BQ24" s="889"/>
      <c r="BR24" s="960"/>
      <c r="BS24" s="959"/>
      <c r="BT24" s="936"/>
      <c r="BU24" s="889"/>
      <c r="BV24" s="960"/>
      <c r="BW24" s="959"/>
      <c r="BX24" s="936"/>
      <c r="BY24" s="889"/>
      <c r="BZ24" s="959"/>
      <c r="CA24" s="959"/>
      <c r="CB24" s="936"/>
      <c r="CC24" s="1487"/>
      <c r="CD24" s="959"/>
      <c r="CE24" s="959"/>
      <c r="CF24" s="936"/>
      <c r="CG24" s="1487"/>
      <c r="CH24" s="959"/>
      <c r="CI24" s="959"/>
      <c r="CJ24" s="936"/>
      <c r="CK24" s="1487"/>
      <c r="CL24" s="959"/>
      <c r="CM24" s="959"/>
      <c r="CN24" s="936"/>
      <c r="CO24" s="889"/>
      <c r="CP24" s="959"/>
      <c r="CQ24" s="959"/>
      <c r="CR24" s="936"/>
      <c r="CS24" s="1487"/>
      <c r="CT24" s="959"/>
      <c r="CU24" s="959"/>
      <c r="CV24" s="936"/>
      <c r="CW24" s="889"/>
      <c r="CX24" s="959"/>
      <c r="CY24" s="959"/>
      <c r="CZ24" s="936"/>
      <c r="DA24" s="889"/>
      <c r="DB24" s="959"/>
      <c r="DC24" s="959"/>
      <c r="DD24" s="936"/>
      <c r="DE24" s="889"/>
      <c r="DF24" s="959"/>
      <c r="DG24" s="959"/>
      <c r="DH24" s="936"/>
      <c r="DI24" s="889"/>
      <c r="DJ24" s="959"/>
      <c r="DK24" s="959"/>
      <c r="DL24" s="936"/>
      <c r="DM24" s="889"/>
      <c r="DN24" s="1606"/>
      <c r="DO24" s="1611"/>
      <c r="DP24" s="1607">
        <f t="shared" si="16"/>
        <v>0</v>
      </c>
    </row>
    <row r="25" spans="1:135" s="1021" customFormat="1">
      <c r="A25" s="1023" t="str">
        <f>+A13</f>
        <v>Monthly Amortisation</v>
      </c>
      <c r="B25" s="1024"/>
      <c r="C25" s="1025"/>
      <c r="D25" s="936"/>
      <c r="E25" s="889"/>
      <c r="F25" s="1024"/>
      <c r="G25" s="1025"/>
      <c r="H25" s="936">
        <v>0</v>
      </c>
      <c r="I25" s="889"/>
      <c r="J25" s="1024"/>
      <c r="K25" s="1025"/>
      <c r="L25" s="936"/>
      <c r="M25" s="889"/>
      <c r="N25" s="1024"/>
      <c r="O25" s="1025"/>
      <c r="P25" s="936"/>
      <c r="Q25" s="889"/>
      <c r="R25" s="1024"/>
      <c r="S25" s="1025"/>
      <c r="T25" s="936"/>
      <c r="U25" s="889"/>
      <c r="V25" s="1024"/>
      <c r="W25" s="1025"/>
      <c r="X25" s="936">
        <f>+X23/18</f>
        <v>0</v>
      </c>
      <c r="Y25" s="889"/>
      <c r="Z25" s="1024"/>
      <c r="AA25" s="1025"/>
      <c r="AB25" s="936">
        <v>0</v>
      </c>
      <c r="AC25" s="889"/>
      <c r="AD25" s="1024"/>
      <c r="AE25" s="1025"/>
      <c r="AF25" s="936">
        <v>0</v>
      </c>
      <c r="AG25" s="897"/>
      <c r="AH25" s="1024"/>
      <c r="AI25" s="1025"/>
      <c r="AJ25" s="936"/>
      <c r="AK25" s="889"/>
      <c r="AL25" s="960"/>
      <c r="AM25" s="959"/>
      <c r="AN25" s="936"/>
      <c r="AO25" s="889"/>
      <c r="AP25" s="960"/>
      <c r="AQ25" s="959"/>
      <c r="AR25" s="936">
        <v>0</v>
      </c>
      <c r="AS25" s="889"/>
      <c r="AT25" s="1024"/>
      <c r="AU25" s="1025"/>
      <c r="AV25" s="936">
        <v>0</v>
      </c>
      <c r="AW25" s="889"/>
      <c r="AX25" s="960"/>
      <c r="AY25" s="959"/>
      <c r="AZ25" s="936">
        <v>0</v>
      </c>
      <c r="BA25" s="889"/>
      <c r="BB25" s="960"/>
      <c r="BC25" s="959"/>
      <c r="BD25" s="936">
        <v>0</v>
      </c>
      <c r="BE25" s="889"/>
      <c r="BF25" s="960"/>
      <c r="BG25" s="959"/>
      <c r="BH25" s="936">
        <v>0</v>
      </c>
      <c r="BI25" s="1487"/>
      <c r="BJ25" s="960"/>
      <c r="BK25" s="959"/>
      <c r="BL25" s="936">
        <f>+BL23/18</f>
        <v>0</v>
      </c>
      <c r="BM25" s="1487"/>
      <c r="BN25" s="960"/>
      <c r="BO25" s="959"/>
      <c r="BP25" s="936">
        <f>+BP23/18</f>
        <v>0</v>
      </c>
      <c r="BQ25" s="889"/>
      <c r="BR25" s="960"/>
      <c r="BS25" s="959"/>
      <c r="BT25" s="936">
        <f>+BT23/18</f>
        <v>0</v>
      </c>
      <c r="BU25" s="889"/>
      <c r="BV25" s="960"/>
      <c r="BW25" s="959"/>
      <c r="BX25" s="936"/>
      <c r="BY25" s="889"/>
      <c r="BZ25" s="959"/>
      <c r="CA25" s="959"/>
      <c r="CB25" s="936">
        <f>+CB23/18</f>
        <v>0</v>
      </c>
      <c r="CC25" s="1487"/>
      <c r="CD25" s="959"/>
      <c r="CE25" s="959"/>
      <c r="CF25" s="936">
        <f>+CF23/18</f>
        <v>0</v>
      </c>
      <c r="CG25" s="1487"/>
      <c r="CH25" s="959"/>
      <c r="CI25" s="959"/>
      <c r="CJ25" s="936">
        <f>+CJ23/18</f>
        <v>221138.87754273775</v>
      </c>
      <c r="CK25" s="1487"/>
      <c r="CL25" s="959"/>
      <c r="CM25" s="959"/>
      <c r="CN25" s="936">
        <f>+CN23/18</f>
        <v>-25162.848702799765</v>
      </c>
      <c r="CO25" s="889"/>
      <c r="CP25" s="959"/>
      <c r="CQ25" s="959"/>
      <c r="CR25" s="936">
        <f>+CR23/18</f>
        <v>-100101.6904791414</v>
      </c>
      <c r="CS25" s="1487"/>
      <c r="CT25" s="959"/>
      <c r="CU25" s="959"/>
      <c r="CV25" s="936">
        <f>+CV23/18</f>
        <v>0</v>
      </c>
      <c r="CW25" s="889"/>
      <c r="CX25" s="959"/>
      <c r="CY25" s="959"/>
      <c r="CZ25" s="936">
        <f>+CZ23/18</f>
        <v>-50007.44542850538</v>
      </c>
      <c r="DA25" s="889"/>
      <c r="DB25" s="959"/>
      <c r="DC25" s="959"/>
      <c r="DD25" s="936">
        <f>+DD23/18</f>
        <v>-100014.89085701076</v>
      </c>
      <c r="DE25" s="889"/>
      <c r="DF25" s="959"/>
      <c r="DG25" s="959"/>
      <c r="DH25" s="936">
        <f>+DH23/18</f>
        <v>-100014.89085701076</v>
      </c>
      <c r="DI25" s="889"/>
      <c r="DJ25" s="959"/>
      <c r="DK25" s="959"/>
      <c r="DL25" s="936">
        <f>+DL23/18</f>
        <v>-200029.78171402152</v>
      </c>
      <c r="DM25" s="889"/>
      <c r="DN25" s="1606"/>
      <c r="DO25" s="1611"/>
      <c r="DP25" s="1607">
        <f t="shared" si="16"/>
        <v>95874.338360796595</v>
      </c>
    </row>
    <row r="26" spans="1:135" s="1021" customFormat="1">
      <c r="A26" s="1023"/>
      <c r="B26" s="1024"/>
      <c r="C26" s="1025"/>
      <c r="D26" s="936"/>
      <c r="E26" s="889"/>
      <c r="F26" s="1024"/>
      <c r="G26" s="1025"/>
      <c r="H26" s="936"/>
      <c r="I26" s="889"/>
      <c r="J26" s="1024"/>
      <c r="K26" s="1025"/>
      <c r="L26" s="936"/>
      <c r="M26" s="889"/>
      <c r="N26" s="1024"/>
      <c r="O26" s="1025"/>
      <c r="P26" s="936"/>
      <c r="Q26" s="889"/>
      <c r="R26" s="1024"/>
      <c r="S26" s="1025"/>
      <c r="T26" s="936"/>
      <c r="U26" s="889"/>
      <c r="V26" s="1024"/>
      <c r="W26" s="1025"/>
      <c r="X26" s="936"/>
      <c r="Y26" s="889"/>
      <c r="Z26" s="1024"/>
      <c r="AA26" s="1025"/>
      <c r="AB26" s="936"/>
      <c r="AC26" s="889"/>
      <c r="AD26" s="1024"/>
      <c r="AE26" s="1025"/>
      <c r="AF26" s="936"/>
      <c r="AG26" s="897"/>
      <c r="AH26" s="1024"/>
      <c r="AI26" s="1025"/>
      <c r="AJ26" s="936"/>
      <c r="AK26" s="889"/>
      <c r="AL26" s="960"/>
      <c r="AM26" s="959"/>
      <c r="AN26" s="936"/>
      <c r="AO26" s="889"/>
      <c r="AP26" s="960"/>
      <c r="AQ26" s="959"/>
      <c r="AR26" s="936"/>
      <c r="AS26" s="889"/>
      <c r="AT26" s="1024"/>
      <c r="AU26" s="1025"/>
      <c r="AV26" s="936"/>
      <c r="AW26" s="889"/>
      <c r="AX26" s="960"/>
      <c r="AY26" s="959"/>
      <c r="AZ26" s="936"/>
      <c r="BA26" s="889"/>
      <c r="BB26" s="960"/>
      <c r="BC26" s="959"/>
      <c r="BD26" s="936"/>
      <c r="BE26" s="889"/>
      <c r="BF26" s="960"/>
      <c r="BG26" s="959"/>
      <c r="BH26" s="936"/>
      <c r="BI26" s="1487"/>
      <c r="BJ26" s="960"/>
      <c r="BK26" s="959"/>
      <c r="BL26" s="936"/>
      <c r="BM26" s="1487"/>
      <c r="BN26" s="960"/>
      <c r="BO26" s="959"/>
      <c r="BP26" s="936"/>
      <c r="BQ26" s="889"/>
      <c r="BR26" s="960"/>
      <c r="BS26" s="959"/>
      <c r="BT26" s="936"/>
      <c r="BU26" s="889"/>
      <c r="BV26" s="960"/>
      <c r="BW26" s="959"/>
      <c r="BX26" s="936"/>
      <c r="BY26" s="889"/>
      <c r="BZ26" s="959"/>
      <c r="CA26" s="959"/>
      <c r="CB26" s="936"/>
      <c r="CC26" s="1487"/>
      <c r="CD26" s="959"/>
      <c r="CE26" s="959"/>
      <c r="CF26" s="936"/>
      <c r="CG26" s="1487"/>
      <c r="CH26" s="959"/>
      <c r="CI26" s="959"/>
      <c r="CJ26" s="936"/>
      <c r="CK26" s="1487"/>
      <c r="CL26" s="959"/>
      <c r="CM26" s="959"/>
      <c r="CN26" s="936"/>
      <c r="CO26" s="889"/>
      <c r="CP26" s="959"/>
      <c r="CQ26" s="959"/>
      <c r="CR26" s="936"/>
      <c r="CS26" s="1487"/>
      <c r="CT26" s="959"/>
      <c r="CU26" s="959"/>
      <c r="CV26" s="936"/>
      <c r="CW26" s="889"/>
      <c r="CX26" s="959"/>
      <c r="CY26" s="959"/>
      <c r="CZ26" s="936"/>
      <c r="DA26" s="889"/>
      <c r="DB26" s="959"/>
      <c r="DC26" s="959"/>
      <c r="DD26" s="936"/>
      <c r="DE26" s="889"/>
      <c r="DF26" s="959"/>
      <c r="DG26" s="959"/>
      <c r="DH26" s="936"/>
      <c r="DI26" s="889"/>
      <c r="DJ26" s="889"/>
      <c r="DK26" s="889"/>
      <c r="DL26" s="889"/>
      <c r="DM26" s="889"/>
      <c r="DN26" s="1606"/>
      <c r="DO26" s="1611"/>
      <c r="DP26" s="1607">
        <f t="shared" si="16"/>
        <v>0</v>
      </c>
    </row>
    <row r="27" spans="1:135" s="1021" customFormat="1">
      <c r="A27" s="1023" t="str">
        <f>+A15</f>
        <v xml:space="preserve">Cummulative Amortisation </v>
      </c>
      <c r="B27" s="1024"/>
      <c r="C27" s="1025"/>
      <c r="D27" s="936"/>
      <c r="E27" s="889"/>
      <c r="F27" s="1024"/>
      <c r="G27" s="1025"/>
      <c r="H27" s="936">
        <f>SUM(H21:H22)</f>
        <v>0</v>
      </c>
      <c r="I27" s="889"/>
      <c r="J27" s="1024"/>
      <c r="K27" s="1025"/>
      <c r="L27" s="936"/>
      <c r="M27" s="889"/>
      <c r="N27" s="1024"/>
      <c r="O27" s="1025"/>
      <c r="P27" s="936"/>
      <c r="Q27" s="889"/>
      <c r="R27" s="1024"/>
      <c r="S27" s="1025"/>
      <c r="T27" s="936"/>
      <c r="U27" s="889"/>
      <c r="V27" s="1024"/>
      <c r="W27" s="1025"/>
      <c r="X27" s="936">
        <f>+X25*W18</f>
        <v>0</v>
      </c>
      <c r="Y27" s="889"/>
      <c r="Z27" s="1024"/>
      <c r="AA27" s="1025"/>
      <c r="AB27" s="936">
        <f>SUM(AB21:AB22)</f>
        <v>7541.9226160729513</v>
      </c>
      <c r="AC27" s="889"/>
      <c r="AD27" s="1024"/>
      <c r="AE27" s="1025"/>
      <c r="AF27" s="936">
        <f>SUM(AF21:AF22)</f>
        <v>0</v>
      </c>
      <c r="AG27" s="897"/>
      <c r="AH27" s="1024"/>
      <c r="AI27" s="1025"/>
      <c r="AJ27" s="936"/>
      <c r="AK27" s="889"/>
      <c r="AL27" s="960"/>
      <c r="AM27" s="959"/>
      <c r="AN27" s="936"/>
      <c r="AO27" s="889"/>
      <c r="AP27" s="960"/>
      <c r="AQ27" s="959"/>
      <c r="AR27" s="936">
        <f>SUM(AR21:AR22)</f>
        <v>7082.9425580510087</v>
      </c>
      <c r="AS27" s="889"/>
      <c r="AT27" s="1024"/>
      <c r="AU27" s="1025"/>
      <c r="AV27" s="936">
        <f>SUM(AV21:AV22)</f>
        <v>16101.627951668575</v>
      </c>
      <c r="AW27" s="889"/>
      <c r="AX27" s="960"/>
      <c r="AY27" s="959"/>
      <c r="AZ27" s="936">
        <f>SUM(AZ21:AZ22)</f>
        <v>76595.666666666628</v>
      </c>
      <c r="BA27" s="889"/>
      <c r="BB27" s="960"/>
      <c r="BC27" s="959"/>
      <c r="BD27" s="936">
        <f>SUM(BD21:BD22)</f>
        <v>0</v>
      </c>
      <c r="BE27" s="889"/>
      <c r="BF27" s="960"/>
      <c r="BG27" s="959"/>
      <c r="BH27" s="936">
        <f>SUM(BH21:BH22)</f>
        <v>0</v>
      </c>
      <c r="BI27" s="1487"/>
      <c r="BJ27" s="960"/>
      <c r="BK27" s="959"/>
      <c r="BL27" s="936">
        <f>+BL25*BK18</f>
        <v>0</v>
      </c>
      <c r="BM27" s="1487"/>
      <c r="BN27" s="960"/>
      <c r="BO27" s="959"/>
      <c r="BP27" s="936">
        <f>+BP25*BO18</f>
        <v>0</v>
      </c>
      <c r="BQ27" s="889"/>
      <c r="BR27" s="960"/>
      <c r="BS27" s="959"/>
      <c r="BT27" s="936">
        <f>+BT25*BS18</f>
        <v>0</v>
      </c>
      <c r="BU27" s="889"/>
      <c r="BV27" s="960"/>
      <c r="BW27" s="959"/>
      <c r="BX27" s="936"/>
      <c r="BY27" s="889"/>
      <c r="BZ27" s="959"/>
      <c r="CA27" s="959"/>
      <c r="CB27" s="936">
        <f>+CB25*CA18</f>
        <v>0</v>
      </c>
      <c r="CC27" s="1487"/>
      <c r="CD27" s="959"/>
      <c r="CE27" s="959"/>
      <c r="CF27" s="936">
        <f>+CF25*CE18</f>
        <v>0</v>
      </c>
      <c r="CG27" s="1487"/>
      <c r="CH27" s="959"/>
      <c r="CI27" s="959"/>
      <c r="CJ27" s="936">
        <f>+CJ25*CI18</f>
        <v>2432527.6529701152</v>
      </c>
      <c r="CK27" s="1487"/>
      <c r="CL27" s="959"/>
      <c r="CM27" s="959"/>
      <c r="CN27" s="936">
        <f>+CN25*CM18</f>
        <v>-150977.0922167986</v>
      </c>
      <c r="CO27" s="889"/>
      <c r="CP27" s="959"/>
      <c r="CQ27" s="959"/>
      <c r="CR27" s="936">
        <f>+CR25*CQ18</f>
        <v>-100101.6904791414</v>
      </c>
      <c r="CS27" s="1487"/>
      <c r="CT27" s="959"/>
      <c r="CU27" s="959"/>
      <c r="CV27" s="936">
        <f>+CV25*CU18</f>
        <v>0</v>
      </c>
      <c r="CW27" s="889"/>
      <c r="CX27" s="959"/>
      <c r="CY27" s="959"/>
      <c r="CZ27" s="936">
        <f>+CZ25*CY18</f>
        <v>-50007.44542850538</v>
      </c>
      <c r="DA27" s="889"/>
      <c r="DB27" s="959"/>
      <c r="DC27" s="959"/>
      <c r="DD27" s="936">
        <f>+DD25*DC18</f>
        <v>-100014.89085701076</v>
      </c>
      <c r="DE27" s="889"/>
      <c r="DF27" s="959"/>
      <c r="DG27" s="959"/>
      <c r="DH27" s="936">
        <f>+DH25*DG18</f>
        <v>0</v>
      </c>
      <c r="DI27" s="889"/>
      <c r="DJ27" s="889"/>
      <c r="DK27" s="889"/>
      <c r="DL27" s="889"/>
      <c r="DM27" s="889"/>
      <c r="DN27" s="1606"/>
      <c r="DO27" s="1611"/>
      <c r="DP27" s="1607">
        <f t="shared" si="16"/>
        <v>2288771.0300666345</v>
      </c>
    </row>
    <row r="28" spans="1:135" s="1021" customFormat="1">
      <c r="A28" s="1023"/>
      <c r="B28" s="1001"/>
      <c r="C28" s="890"/>
      <c r="D28" s="967"/>
      <c r="E28" s="889"/>
      <c r="F28" s="1001"/>
      <c r="G28" s="890"/>
      <c r="H28" s="967"/>
      <c r="I28" s="889"/>
      <c r="J28" s="1031"/>
      <c r="K28" s="1032"/>
      <c r="L28" s="1000"/>
      <c r="M28" s="889"/>
      <c r="N28" s="1031"/>
      <c r="O28" s="1032"/>
      <c r="P28" s="1000"/>
      <c r="Q28" s="889"/>
      <c r="R28" s="1001"/>
      <c r="S28" s="890"/>
      <c r="T28" s="967"/>
      <c r="U28" s="889"/>
      <c r="V28" s="966"/>
      <c r="W28" s="889"/>
      <c r="X28" s="967"/>
      <c r="Y28" s="889"/>
      <c r="Z28" s="966"/>
      <c r="AA28" s="889"/>
      <c r="AB28" s="967"/>
      <c r="AC28" s="889"/>
      <c r="AD28" s="966"/>
      <c r="AE28" s="889"/>
      <c r="AF28" s="967"/>
      <c r="AG28" s="889"/>
      <c r="AH28" s="965"/>
      <c r="AI28" s="963"/>
      <c r="AJ28" s="964"/>
      <c r="AK28" s="889"/>
      <c r="AL28" s="965"/>
      <c r="AM28" s="963"/>
      <c r="AN28" s="964"/>
      <c r="AO28" s="889"/>
      <c r="AP28" s="966"/>
      <c r="AQ28" s="889"/>
      <c r="AR28" s="967"/>
      <c r="AS28" s="889"/>
      <c r="AT28" s="966"/>
      <c r="AU28" s="889"/>
      <c r="AV28" s="967"/>
      <c r="AW28" s="889"/>
      <c r="AX28" s="965"/>
      <c r="AY28" s="963"/>
      <c r="AZ28" s="964"/>
      <c r="BA28" s="889"/>
      <c r="BB28" s="965"/>
      <c r="BC28" s="963"/>
      <c r="BD28" s="964"/>
      <c r="BE28" s="889"/>
      <c r="BF28" s="966"/>
      <c r="BG28" s="889"/>
      <c r="BH28" s="967"/>
      <c r="BI28" s="1487"/>
      <c r="BJ28" s="966"/>
      <c r="BK28" s="889"/>
      <c r="BL28" s="967"/>
      <c r="BM28" s="1487"/>
      <c r="BN28" s="966"/>
      <c r="BO28" s="889"/>
      <c r="BP28" s="967"/>
      <c r="BQ28" s="889"/>
      <c r="BR28" s="889"/>
      <c r="BS28" s="889"/>
      <c r="BT28" s="889"/>
      <c r="BU28" s="889"/>
      <c r="BV28" s="889"/>
      <c r="BW28" s="889"/>
      <c r="BX28" s="889"/>
      <c r="BY28" s="889"/>
      <c r="BZ28" s="889"/>
      <c r="CA28" s="889"/>
      <c r="CB28" s="889"/>
      <c r="CC28" s="1487"/>
      <c r="CD28" s="889"/>
      <c r="CE28" s="889"/>
      <c r="CF28" s="889"/>
      <c r="CG28" s="1487"/>
      <c r="CH28" s="1487"/>
      <c r="CI28" s="1487"/>
      <c r="CJ28" s="1487"/>
      <c r="CK28" s="1487"/>
      <c r="CL28" s="1487"/>
      <c r="CM28" s="1487"/>
      <c r="CN28" s="1487"/>
      <c r="CO28" s="1487"/>
      <c r="CP28" s="1487"/>
      <c r="CQ28" s="1487"/>
      <c r="CR28" s="1487"/>
      <c r="CS28" s="1487"/>
      <c r="CT28" s="1487"/>
      <c r="CU28" s="1487"/>
      <c r="CV28" s="1487"/>
      <c r="CW28" s="889"/>
      <c r="CX28" s="1487"/>
      <c r="CY28" s="1487"/>
      <c r="CZ28" s="1487"/>
      <c r="DA28" s="889"/>
      <c r="DB28" s="1487"/>
      <c r="DC28" s="1487"/>
      <c r="DD28" s="1487"/>
      <c r="DE28" s="889"/>
      <c r="DF28" s="1487"/>
      <c r="DG28" s="1487"/>
      <c r="DH28" s="1487"/>
      <c r="DI28" s="889"/>
      <c r="DJ28" s="889"/>
      <c r="DK28" s="889"/>
      <c r="DL28" s="889"/>
      <c r="DM28" s="889"/>
      <c r="DN28" s="1617"/>
      <c r="DO28" s="1618"/>
      <c r="DP28" s="1733">
        <f t="shared" ref="DP28" si="17">+D28+H28+L28+P28+T28+X28+AB28+AF28+AJ28+AN28+AR28+AV28+AZ28+BD28+BH28+BL28+BP28+BT28+BX28+CB28+CF28+CJ28</f>
        <v>0</v>
      </c>
      <c r="EB28" s="1021" t="s">
        <v>138</v>
      </c>
      <c r="ED28" s="1021" t="s">
        <v>138</v>
      </c>
      <c r="EE28" s="1021" t="s">
        <v>138</v>
      </c>
    </row>
    <row r="29" spans="1:135" s="1021" customFormat="1">
      <c r="A29" s="1033"/>
      <c r="B29" s="1034"/>
      <c r="C29" s="1035"/>
      <c r="D29" s="1006"/>
      <c r="E29" s="1010"/>
      <c r="F29" s="1034"/>
      <c r="G29" s="1035"/>
      <c r="H29" s="1006"/>
      <c r="I29" s="1010"/>
      <c r="J29" s="1034"/>
      <c r="K29" s="1035"/>
      <c r="L29" s="1006"/>
      <c r="M29" s="1010"/>
      <c r="N29" s="1034"/>
      <c r="O29" s="1035"/>
      <c r="P29" s="1006"/>
      <c r="Q29" s="1010"/>
      <c r="R29" s="1008"/>
      <c r="S29" s="1009"/>
      <c r="T29" s="1006"/>
      <c r="U29" s="1010"/>
      <c r="V29" s="1008"/>
      <c r="W29" s="1009"/>
      <c r="X29" s="1006"/>
      <c r="Y29" s="1010"/>
      <c r="Z29" s="1008"/>
      <c r="AA29" s="1009"/>
      <c r="AB29" s="1006"/>
      <c r="AC29" s="1010"/>
      <c r="AD29" s="1008"/>
      <c r="AE29" s="1009"/>
      <c r="AF29" s="1006"/>
      <c r="AG29" s="1010"/>
      <c r="AH29" s="1008"/>
      <c r="AI29" s="1009"/>
      <c r="AJ29" s="1006"/>
      <c r="AK29" s="1010"/>
      <c r="AL29" s="1008"/>
      <c r="AM29" s="1009"/>
      <c r="AN29" s="1006"/>
      <c r="AO29" s="1010"/>
      <c r="AP29" s="1008"/>
      <c r="AQ29" s="1009"/>
      <c r="AR29" s="1006"/>
      <c r="AS29" s="1010"/>
      <c r="AT29" s="1008"/>
      <c r="AU29" s="1009"/>
      <c r="AV29" s="1006"/>
      <c r="AW29" s="1010"/>
      <c r="AX29" s="1008"/>
      <c r="AY29" s="1009"/>
      <c r="AZ29" s="1006"/>
      <c r="BA29" s="1010"/>
      <c r="BB29" s="1008"/>
      <c r="BC29" s="1009"/>
      <c r="BD29" s="1006"/>
      <c r="BE29" s="1010"/>
      <c r="BF29" s="1008"/>
      <c r="BG29" s="1009"/>
      <c r="BH29" s="1006"/>
      <c r="BI29" s="1489"/>
      <c r="BJ29" s="1008"/>
      <c r="BK29" s="1009"/>
      <c r="BL29" s="1006"/>
      <c r="BM29" s="1489"/>
      <c r="BN29" s="1008"/>
      <c r="BO29" s="1009"/>
      <c r="BP29" s="1006"/>
      <c r="BQ29" s="1010"/>
      <c r="BR29" s="1009"/>
      <c r="BS29" s="1009"/>
      <c r="BT29" s="1006"/>
      <c r="BU29" s="1010"/>
      <c r="BV29" s="1009"/>
      <c r="BW29" s="1009"/>
      <c r="BX29" s="1006"/>
      <c r="BY29" s="1010"/>
      <c r="BZ29" s="1009"/>
      <c r="CA29" s="1009"/>
      <c r="CB29" s="1009"/>
      <c r="CC29" s="1489"/>
      <c r="CD29" s="1009"/>
      <c r="CE29" s="1009"/>
      <c r="CF29" s="1009"/>
      <c r="CG29" s="1489"/>
      <c r="CH29" s="1489"/>
      <c r="CI29" s="1489"/>
      <c r="CJ29" s="1489"/>
      <c r="CK29" s="1489"/>
      <c r="CL29" s="1489"/>
      <c r="CM29" s="1489"/>
      <c r="CN29" s="1489"/>
      <c r="CO29" s="1489"/>
      <c r="CP29" s="1489"/>
      <c r="CQ29" s="1489"/>
      <c r="CR29" s="1489"/>
      <c r="CS29" s="1489"/>
      <c r="CT29" s="1489"/>
      <c r="CU29" s="1489"/>
      <c r="CV29" s="1489"/>
      <c r="CW29" s="1010"/>
      <c r="CX29" s="1489"/>
      <c r="CY29" s="1489"/>
      <c r="CZ29" s="1489"/>
      <c r="DA29" s="1010"/>
      <c r="DB29" s="1489"/>
      <c r="DC29" s="1489"/>
      <c r="DD29" s="1489"/>
      <c r="DE29" s="1010"/>
      <c r="DF29" s="1489"/>
      <c r="DG29" s="1489"/>
      <c r="DH29" s="1489"/>
      <c r="DI29" s="1010"/>
      <c r="DJ29" s="1010"/>
      <c r="DK29" s="1010"/>
      <c r="DL29" s="1010"/>
      <c r="DM29" s="1010"/>
      <c r="DN29" s="1621"/>
      <c r="DO29" s="1622"/>
      <c r="DP29" s="1623"/>
    </row>
    <row r="30" spans="1:135" s="1021" customFormat="1">
      <c r="A30" s="1023" t="s">
        <v>1592</v>
      </c>
      <c r="B30" s="1031"/>
      <c r="C30" s="1032"/>
      <c r="D30" s="1643">
        <f>+D7+D19</f>
        <v>319695.84000000003</v>
      </c>
      <c r="E30" s="889"/>
      <c r="F30" s="1031"/>
      <c r="G30" s="1032"/>
      <c r="H30" s="1643">
        <f>+H7+H19</f>
        <v>88398.760000000009</v>
      </c>
      <c r="I30" s="889"/>
      <c r="J30" s="1031"/>
      <c r="K30" s="1032"/>
      <c r="L30" s="1643">
        <f>+L7+L19</f>
        <v>369228.84</v>
      </c>
      <c r="M30" s="889"/>
      <c r="N30" s="1031"/>
      <c r="O30" s="1032"/>
      <c r="P30" s="1643">
        <f>+P7+P19</f>
        <v>343360.76</v>
      </c>
      <c r="Q30" s="889"/>
      <c r="R30" s="1001"/>
      <c r="S30" s="890"/>
      <c r="T30" s="1643">
        <f>+T7+T19</f>
        <v>310333.12</v>
      </c>
      <c r="U30" s="889"/>
      <c r="V30" s="1001"/>
      <c r="W30" s="890"/>
      <c r="X30" s="1643">
        <f>+X7+X19</f>
        <v>86682.880000000005</v>
      </c>
      <c r="Y30" s="889"/>
      <c r="Z30" s="1001"/>
      <c r="AA30" s="890"/>
      <c r="AB30" s="1643">
        <f>+AB7+AB19</f>
        <v>478742.71583624854</v>
      </c>
      <c r="AC30" s="889"/>
      <c r="AD30" s="1001"/>
      <c r="AE30" s="890"/>
      <c r="AF30" s="1643">
        <f>+AF7+AF19</f>
        <v>454886.57777777774</v>
      </c>
      <c r="AG30" s="889"/>
      <c r="AH30" s="1001"/>
      <c r="AI30" s="890"/>
      <c r="AJ30" s="1643">
        <f>+AJ7+AJ19</f>
        <v>360612.89999999997</v>
      </c>
      <c r="AK30" s="889"/>
      <c r="AL30" s="1001"/>
      <c r="AM30" s="890"/>
      <c r="AN30" s="1643">
        <f>+AN7+AN19</f>
        <v>341653.66666666663</v>
      </c>
      <c r="AO30" s="889"/>
      <c r="AP30" s="1001"/>
      <c r="AQ30" s="890"/>
      <c r="AR30" s="1643">
        <f>+AR7+AR19</f>
        <v>357001.58901192556</v>
      </c>
      <c r="AS30" s="889"/>
      <c r="AT30" s="1001"/>
      <c r="AU30" s="890"/>
      <c r="AV30" s="1643">
        <f>+AV7+AV19</f>
        <v>2539009.52</v>
      </c>
      <c r="AW30" s="889"/>
      <c r="AX30" s="1001"/>
      <c r="AY30" s="890"/>
      <c r="AZ30" s="1643">
        <f>+AZ7+AZ19</f>
        <v>461230</v>
      </c>
      <c r="BA30" s="889"/>
      <c r="BB30" s="1001"/>
      <c r="BC30" s="890"/>
      <c r="BD30" s="1643">
        <f>+BD7+BD19</f>
        <v>18121397.623620026</v>
      </c>
      <c r="BE30" s="889"/>
      <c r="BF30" s="1001"/>
      <c r="BG30" s="890"/>
      <c r="BH30" s="1643">
        <f>+BH7+BH19</f>
        <v>11796374.483679656</v>
      </c>
      <c r="BI30" s="1487"/>
      <c r="BJ30" s="1001"/>
      <c r="BK30" s="890"/>
      <c r="BL30" s="1643">
        <f>+BL7+BL19</f>
        <v>20658625.943037242</v>
      </c>
      <c r="BM30" s="1487"/>
      <c r="BN30" s="1001"/>
      <c r="BO30" s="890"/>
      <c r="BP30" s="1643">
        <f>+BP7+BP19</f>
        <v>29863528.901310343</v>
      </c>
      <c r="BQ30" s="1667"/>
      <c r="BR30" s="1662"/>
      <c r="BS30" s="1662"/>
      <c r="BT30" s="1643">
        <f>+BT7+BT19</f>
        <v>47595732.300000004</v>
      </c>
      <c r="BU30" s="1667"/>
      <c r="BV30" s="1662"/>
      <c r="BW30" s="1662"/>
      <c r="BX30" s="1643">
        <f>+BX7+BX19</f>
        <v>119548513.95419161</v>
      </c>
      <c r="BY30" s="1667"/>
      <c r="BZ30" s="1662"/>
      <c r="CA30" s="1662"/>
      <c r="CB30" s="1643">
        <f>+CB7+CB19</f>
        <v>5836602.1042811396</v>
      </c>
      <c r="CC30" s="1487"/>
      <c r="CD30" s="1662"/>
      <c r="CE30" s="1662"/>
      <c r="CF30" s="1662">
        <f>+CF7+CF19</f>
        <v>105788602.35289626</v>
      </c>
      <c r="CG30" s="1662"/>
      <c r="CH30" s="1662"/>
      <c r="CI30" s="1662"/>
      <c r="CJ30" s="1662">
        <f>+CJ7+CJ19</f>
        <v>308956545.93909323</v>
      </c>
      <c r="CK30" s="1487"/>
      <c r="CL30" s="1662"/>
      <c r="CM30" s="1662"/>
      <c r="CN30" s="1662">
        <f>+CN7+CN19</f>
        <v>151884.02989005958</v>
      </c>
      <c r="CO30" s="1662"/>
      <c r="CP30" s="1662"/>
      <c r="CQ30" s="1662"/>
      <c r="CR30" s="1662">
        <f>+CR7+CR19</f>
        <v>205650.59919117391</v>
      </c>
      <c r="CS30" s="1487"/>
      <c r="CT30" s="1662"/>
      <c r="CU30" s="1662"/>
      <c r="CV30" s="1662">
        <f>+CV7+CV19</f>
        <v>179987.65110766128</v>
      </c>
      <c r="CW30" s="1667"/>
      <c r="CX30" s="1662"/>
      <c r="CY30" s="1662"/>
      <c r="CZ30" s="1662">
        <f>+CZ7+CZ19</f>
        <v>173924.99909957586</v>
      </c>
      <c r="DA30" s="1667"/>
      <c r="DB30" s="1662"/>
      <c r="DC30" s="1662"/>
      <c r="DD30" s="1662">
        <f>+DD7+DD19</f>
        <v>239983.534810215</v>
      </c>
      <c r="DE30" s="1667"/>
      <c r="DF30" s="1662"/>
      <c r="DG30" s="1662"/>
      <c r="DH30" s="1662"/>
      <c r="DI30" s="1667"/>
      <c r="DJ30" s="1667"/>
      <c r="DK30" s="1667"/>
      <c r="DL30" s="1667"/>
      <c r="DM30" s="1667"/>
      <c r="DN30" s="1624">
        <v>0</v>
      </c>
      <c r="DO30" s="1624"/>
      <c r="DP30" s="1625">
        <f>+D30+H30+L30+P30+T30+X30+AB30+AF30+AJ30+AN30+AR30+AV30+AZ30+BD30+BH30+BL30+BP30+BT30+BX30+CB30+CF30+CJ30</f>
        <v>674676760.77140212</v>
      </c>
    </row>
    <row r="31" spans="1:135" s="1037" customFormat="1">
      <c r="A31" s="1036" t="s">
        <v>1593</v>
      </c>
      <c r="B31" s="1011">
        <f>-B15-B27</f>
        <v>0</v>
      </c>
      <c r="C31" s="1012">
        <f>-C15-C27</f>
        <v>0</v>
      </c>
      <c r="D31" s="1644">
        <f>-D15-D27</f>
        <v>0</v>
      </c>
      <c r="E31" s="889"/>
      <c r="F31" s="1011"/>
      <c r="G31" s="1012"/>
      <c r="H31" s="1644">
        <f>-H15-H27</f>
        <v>0</v>
      </c>
      <c r="I31" s="889"/>
      <c r="J31" s="1011">
        <f>-J15-J27</f>
        <v>0</v>
      </c>
      <c r="K31" s="1012">
        <f>-K15-K27</f>
        <v>0</v>
      </c>
      <c r="L31" s="1644">
        <f>-L15-L27</f>
        <v>0</v>
      </c>
      <c r="M31" s="889">
        <f>-M15-M27</f>
        <v>0</v>
      </c>
      <c r="N31" s="1011"/>
      <c r="O31" s="1012"/>
      <c r="P31" s="1644">
        <f>-P15-P27</f>
        <v>0</v>
      </c>
      <c r="Q31" s="889"/>
      <c r="R31" s="1011"/>
      <c r="S31" s="1012"/>
      <c r="T31" s="1644">
        <f>-T15-T27</f>
        <v>0</v>
      </c>
      <c r="U31" s="889"/>
      <c r="V31" s="1011"/>
      <c r="W31" s="1012"/>
      <c r="X31" s="1644">
        <f>-X15-X27</f>
        <v>0</v>
      </c>
      <c r="Y31" s="889"/>
      <c r="Z31" s="1011"/>
      <c r="AA31" s="1012"/>
      <c r="AB31" s="1644">
        <f>-AB15-AB27</f>
        <v>-7541.9226160729513</v>
      </c>
      <c r="AC31" s="889"/>
      <c r="AD31" s="1011"/>
      <c r="AE31" s="1012"/>
      <c r="AF31" s="1644">
        <f>-AF15-AF27</f>
        <v>0</v>
      </c>
      <c r="AG31" s="889"/>
      <c r="AH31" s="1011"/>
      <c r="AI31" s="1012"/>
      <c r="AJ31" s="1644">
        <f>-AJ15-AJ27</f>
        <v>0</v>
      </c>
      <c r="AK31" s="889"/>
      <c r="AL31" s="1011"/>
      <c r="AM31" s="1012"/>
      <c r="AN31" s="1644">
        <f>-AN15-AN27</f>
        <v>0</v>
      </c>
      <c r="AO31" s="889"/>
      <c r="AP31" s="1011"/>
      <c r="AQ31" s="1012"/>
      <c r="AR31" s="1644">
        <f>-AR15-AR27</f>
        <v>-7082.9425580510087</v>
      </c>
      <c r="AS31" s="889"/>
      <c r="AT31" s="1011"/>
      <c r="AU31" s="1012"/>
      <c r="AV31" s="1644">
        <f>-AV15-AV27</f>
        <v>-16101.627951668575</v>
      </c>
      <c r="AW31" s="889"/>
      <c r="AX31" s="1011"/>
      <c r="AY31" s="1012"/>
      <c r="AZ31" s="1644">
        <f>-AZ15-AZ27</f>
        <v>-76595.666666666628</v>
      </c>
      <c r="BA31" s="889"/>
      <c r="BB31" s="1011"/>
      <c r="BC31" s="1012"/>
      <c r="BD31" s="1644">
        <f>-BD15-BD27</f>
        <v>0</v>
      </c>
      <c r="BE31" s="889"/>
      <c r="BF31" s="1011"/>
      <c r="BG31" s="1012"/>
      <c r="BH31" s="1644">
        <f>-BH15-BH27</f>
        <v>0</v>
      </c>
      <c r="BI31" s="1487"/>
      <c r="BJ31" s="1011"/>
      <c r="BK31" s="1012"/>
      <c r="BL31" s="1644">
        <f>-BL15-BL27</f>
        <v>-276977.97953651223</v>
      </c>
      <c r="BM31" s="1487"/>
      <c r="BN31" s="1011"/>
      <c r="BO31" s="1012"/>
      <c r="BP31" s="1644">
        <f>-BP15-BP27</f>
        <v>-341954.72858772718</v>
      </c>
      <c r="BQ31" s="1667"/>
      <c r="BR31" s="1663"/>
      <c r="BS31" s="1663"/>
      <c r="BT31" s="1644">
        <f>-BT15-BT27</f>
        <v>-425786.55243999965</v>
      </c>
      <c r="BU31" s="1667"/>
      <c r="BV31" s="1663"/>
      <c r="BW31" s="1663"/>
      <c r="BX31" s="1644">
        <f>-BX15-BX27</f>
        <v>-4196004.7510462981</v>
      </c>
      <c r="BY31" s="1667"/>
      <c r="BZ31" s="1663"/>
      <c r="CA31" s="1663"/>
      <c r="CB31" s="1644">
        <f>-CB15-CB27</f>
        <v>0</v>
      </c>
      <c r="CC31" s="1487"/>
      <c r="CD31" s="1663"/>
      <c r="CE31" s="1663"/>
      <c r="CF31" s="1663">
        <f>-CF15-CF27</f>
        <v>-5504555.4600784648</v>
      </c>
      <c r="CG31" s="1663"/>
      <c r="CH31" s="1663"/>
      <c r="CI31" s="1663"/>
      <c r="CJ31" s="1663">
        <f>-CJ15-CJ27</f>
        <v>-14927120.548874799</v>
      </c>
      <c r="CK31" s="1487"/>
      <c r="CL31" s="1663"/>
      <c r="CM31" s="1663"/>
      <c r="CN31" s="1663">
        <f>-CN15-CN27</f>
        <v>996594.53328136727</v>
      </c>
      <c r="CO31" s="1663"/>
      <c r="CP31" s="1663"/>
      <c r="CQ31" s="1663"/>
      <c r="CR31" s="1663">
        <f>-CR15-CR27</f>
        <v>338465.02305460745</v>
      </c>
      <c r="CS31" s="1487"/>
      <c r="CT31" s="1663"/>
      <c r="CU31" s="1663"/>
      <c r="CV31" s="1663">
        <f>-CV15-CV27</f>
        <v>151656.02105118977</v>
      </c>
      <c r="CW31" s="1667"/>
      <c r="CX31" s="1663"/>
      <c r="CY31" s="1663"/>
      <c r="CZ31" s="1663">
        <f>-CZ15-CZ27</f>
        <v>277491.47700529004</v>
      </c>
      <c r="DA31" s="1667"/>
      <c r="DB31" s="1663"/>
      <c r="DC31" s="1663"/>
      <c r="DD31" s="1663">
        <f>-DD15-DD27</f>
        <v>349164.06829825114</v>
      </c>
      <c r="DE31" s="1667"/>
      <c r="DF31" s="1663"/>
      <c r="DG31" s="1663"/>
      <c r="DH31" s="1663"/>
      <c r="DI31" s="1667"/>
      <c r="DJ31" s="1667"/>
      <c r="DK31" s="1667"/>
      <c r="DL31" s="1667"/>
      <c r="DM31" s="1667"/>
      <c r="DN31" s="1626"/>
      <c r="DO31" s="1626"/>
      <c r="DP31" s="1626">
        <f>+D31+H31+L31+P31+T31+X31+AB31+AF31+AJ31+AN31+AR31+AV31+AZ31+BD31+BH31+BL31+BP31+BT31+BX31+CB31+CF31+CJ31</f>
        <v>-25779722.18035626</v>
      </c>
    </row>
    <row r="32" spans="1:135" s="1021" customFormat="1">
      <c r="A32" s="1023" t="s">
        <v>1594</v>
      </c>
      <c r="B32" s="1031"/>
      <c r="C32" s="1032"/>
      <c r="D32" s="1643">
        <f>+D8+D20</f>
        <v>-319695.84000000003</v>
      </c>
      <c r="E32" s="889"/>
      <c r="F32" s="1031"/>
      <c r="G32" s="1032"/>
      <c r="H32" s="1643">
        <f>+H8+H20</f>
        <v>-88398.760000000009</v>
      </c>
      <c r="I32" s="889"/>
      <c r="J32" s="1031"/>
      <c r="K32" s="1032"/>
      <c r="L32" s="1643">
        <f>+L8+L20</f>
        <v>-369228.84</v>
      </c>
      <c r="M32" s="889"/>
      <c r="N32" s="1031"/>
      <c r="O32" s="1032"/>
      <c r="P32" s="1643">
        <f>+P8+P20</f>
        <v>-343360.76</v>
      </c>
      <c r="Q32" s="889"/>
      <c r="R32" s="1001"/>
      <c r="S32" s="890"/>
      <c r="T32" s="1643">
        <f>+T8+T20</f>
        <v>-310333.12</v>
      </c>
      <c r="U32" s="889"/>
      <c r="V32" s="1001"/>
      <c r="W32" s="890"/>
      <c r="X32" s="1643">
        <f>+X8+X20</f>
        <v>-86682.880000000005</v>
      </c>
      <c r="Y32" s="889"/>
      <c r="Z32" s="1001"/>
      <c r="AA32" s="890"/>
      <c r="AB32" s="1643">
        <f>+AB8+AB20</f>
        <v>-470924.79322017566</v>
      </c>
      <c r="AC32" s="889"/>
      <c r="AD32" s="1001"/>
      <c r="AE32" s="890"/>
      <c r="AF32" s="1643">
        <f>+AF8+AF20</f>
        <v>-454886.57777777774</v>
      </c>
      <c r="AG32" s="889"/>
      <c r="AH32" s="1001"/>
      <c r="AI32" s="890"/>
      <c r="AJ32" s="1643">
        <f>+AJ8+AJ20</f>
        <v>-360612.89999999997</v>
      </c>
      <c r="AK32" s="889"/>
      <c r="AL32" s="1001"/>
      <c r="AM32" s="890"/>
      <c r="AN32" s="1643">
        <f>+AN8+AN20</f>
        <v>-341653.66666666663</v>
      </c>
      <c r="AO32" s="889"/>
      <c r="AP32" s="1001"/>
      <c r="AQ32" s="890"/>
      <c r="AR32" s="1643">
        <f>+AR8+AR20</f>
        <v>-349642.64645387453</v>
      </c>
      <c r="AS32" s="889"/>
      <c r="AT32" s="1001"/>
      <c r="AU32" s="890"/>
      <c r="AV32" s="1643">
        <f>+AV8+AV20</f>
        <v>-2522631.8920483314</v>
      </c>
      <c r="AW32" s="889"/>
      <c r="AX32" s="1001"/>
      <c r="AY32" s="890"/>
      <c r="AZ32" s="1643">
        <f>+AZ8+AZ20</f>
        <v>-384358.33333333337</v>
      </c>
      <c r="BA32" s="889"/>
      <c r="BB32" s="1001"/>
      <c r="BC32" s="890"/>
      <c r="BD32" s="1643">
        <f>+BD8+BD20</f>
        <v>-18121397.623620026</v>
      </c>
      <c r="BE32" s="889"/>
      <c r="BF32" s="1001"/>
      <c r="BG32" s="890"/>
      <c r="BH32" s="1643">
        <f>+BH8+BH20</f>
        <v>-11796374.483679656</v>
      </c>
      <c r="BI32" s="1487"/>
      <c r="BJ32" s="1001"/>
      <c r="BK32" s="890"/>
      <c r="BL32" s="1643">
        <f>+BL8+BL20</f>
        <v>-20357865.206942543</v>
      </c>
      <c r="BM32" s="1487"/>
      <c r="BN32" s="1001"/>
      <c r="BO32" s="890"/>
      <c r="BP32" s="1643">
        <f>+BP8+BP20</f>
        <v>-29409154.447489873</v>
      </c>
      <c r="BQ32" s="1667"/>
      <c r="BR32" s="1662"/>
      <c r="BS32" s="1662"/>
      <c r="BT32" s="1643">
        <f>+BT8+BT20</f>
        <v>-46917052.771340005</v>
      </c>
      <c r="BU32" s="1667"/>
      <c r="BV32" s="1662"/>
      <c r="BW32" s="1662"/>
      <c r="BX32" s="1643">
        <f>+BX8+BX20</f>
        <v>-111835706.60230827</v>
      </c>
      <c r="BY32" s="1667"/>
      <c r="BZ32" s="1662"/>
      <c r="CA32" s="1662"/>
      <c r="CB32" s="1643">
        <f>+CB8+CB20</f>
        <v>-5836602.1042811396</v>
      </c>
      <c r="CC32" s="1487"/>
      <c r="CD32" s="1662"/>
      <c r="CE32" s="1662"/>
      <c r="CF32" s="1662">
        <f>+CF8+CF20</f>
        <v>-92044356.763046488</v>
      </c>
      <c r="CG32" s="1662"/>
      <c r="CH32" s="1662"/>
      <c r="CI32" s="1662"/>
      <c r="CJ32" s="1662">
        <f>+CJ8+CJ20</f>
        <v>-259704700.64095324</v>
      </c>
      <c r="CK32" s="1487"/>
      <c r="CL32" s="1662"/>
      <c r="CM32" s="1662"/>
      <c r="CN32" s="1662">
        <f>+CN8+CN20</f>
        <v>-120513.71197128302</v>
      </c>
      <c r="CO32" s="1662"/>
      <c r="CP32" s="1662"/>
      <c r="CQ32" s="1662"/>
      <c r="CR32" s="1662">
        <f>+CR8+CR20</f>
        <v>-137092.74308152674</v>
      </c>
      <c r="CS32" s="1487"/>
      <c r="CT32" s="1662"/>
      <c r="CU32" s="1662"/>
      <c r="CV32" s="1662">
        <f>+CV8+CV20</f>
        <v>-142011.2793086539</v>
      </c>
      <c r="CW32" s="1667"/>
      <c r="CX32" s="1662"/>
      <c r="CY32" s="1662"/>
      <c r="CZ32" s="1662">
        <f>+CZ8+CZ20</f>
        <v>-110897.78939297939</v>
      </c>
      <c r="DA32" s="1667"/>
      <c r="DB32" s="1662"/>
      <c r="DC32" s="1662"/>
      <c r="DD32" s="1662">
        <f>+DD8+DD20</f>
        <v>-165468.47712424639</v>
      </c>
      <c r="DE32" s="1667"/>
      <c r="DF32" s="1662"/>
      <c r="DG32" s="1662"/>
      <c r="DH32" s="1662"/>
      <c r="DI32" s="1667"/>
      <c r="DJ32" s="1667"/>
      <c r="DK32" s="1667"/>
      <c r="DL32" s="1667"/>
      <c r="DM32" s="1667"/>
      <c r="DN32" s="1624"/>
      <c r="DO32" s="1624"/>
      <c r="DP32" s="1625">
        <f>+D32+H32+L32+P32+T32+X32+AB32+AF32+AJ32+AN32+AR32+AV32+AZ32+BD32+BH32+BL32+BP32+BT32+BX32+CB32+CF32+CJ32</f>
        <v>-602425621.65316141</v>
      </c>
    </row>
    <row r="33" spans="1:120" s="872" customFormat="1">
      <c r="A33" s="1013" t="s">
        <v>636</v>
      </c>
      <c r="B33" s="1014"/>
      <c r="C33" s="876"/>
      <c r="D33" s="1645">
        <f>SUM(D30:D32)</f>
        <v>0</v>
      </c>
      <c r="E33" s="968"/>
      <c r="F33" s="1014"/>
      <c r="G33" s="876"/>
      <c r="H33" s="1645">
        <f>SUM(H30:H32)</f>
        <v>0</v>
      </c>
      <c r="I33" s="968"/>
      <c r="J33" s="1014"/>
      <c r="K33" s="876"/>
      <c r="L33" s="1645">
        <f>SUM(L30:L32)</f>
        <v>0</v>
      </c>
      <c r="M33" s="968"/>
      <c r="N33" s="1014"/>
      <c r="O33" s="876"/>
      <c r="P33" s="1645">
        <f>SUM(P30:P32)</f>
        <v>0</v>
      </c>
      <c r="Q33" s="968"/>
      <c r="R33" s="1014"/>
      <c r="S33" s="876"/>
      <c r="T33" s="1645">
        <f>SUM(T30:T32)</f>
        <v>0</v>
      </c>
      <c r="U33" s="968"/>
      <c r="V33" s="1014"/>
      <c r="W33" s="876"/>
      <c r="X33" s="1645">
        <f>SUM(X30:X32)</f>
        <v>0</v>
      </c>
      <c r="Y33" s="968"/>
      <c r="Z33" s="1014"/>
      <c r="AA33" s="876"/>
      <c r="AB33" s="1645">
        <f>SUM(AB30:AB32)</f>
        <v>275.99999999994179</v>
      </c>
      <c r="AC33" s="968"/>
      <c r="AD33" s="1014"/>
      <c r="AE33" s="876"/>
      <c r="AF33" s="1645">
        <f>SUM(AF30:AF32)</f>
        <v>0</v>
      </c>
      <c r="AG33" s="968"/>
      <c r="AH33" s="1014"/>
      <c r="AI33" s="876"/>
      <c r="AJ33" s="1645">
        <f>SUM(AJ30:AJ32)</f>
        <v>0</v>
      </c>
      <c r="AK33" s="968"/>
      <c r="AL33" s="1014"/>
      <c r="AM33" s="876"/>
      <c r="AN33" s="1645">
        <f>SUM(AN30:AN32)</f>
        <v>0</v>
      </c>
      <c r="AO33" s="968"/>
      <c r="AP33" s="1014"/>
      <c r="AQ33" s="876"/>
      <c r="AR33" s="1645">
        <f>SUM(AR30:AR32)</f>
        <v>276</v>
      </c>
      <c r="AS33" s="968"/>
      <c r="AT33" s="1014"/>
      <c r="AU33" s="876"/>
      <c r="AV33" s="1645">
        <f>SUM(AV30:AV32)</f>
        <v>276</v>
      </c>
      <c r="AW33" s="968"/>
      <c r="AX33" s="1014"/>
      <c r="AY33" s="876"/>
      <c r="AZ33" s="1645">
        <f>SUM(AZ30:AZ32)</f>
        <v>276</v>
      </c>
      <c r="BA33" s="968"/>
      <c r="BB33" s="1014"/>
      <c r="BC33" s="876"/>
      <c r="BD33" s="1645">
        <f>SUM(BD30:BD32)</f>
        <v>0</v>
      </c>
      <c r="BE33" s="968"/>
      <c r="BF33" s="1014"/>
      <c r="BG33" s="876"/>
      <c r="BH33" s="1645">
        <f>SUM(BH30:BH32)</f>
        <v>0</v>
      </c>
      <c r="BI33" s="1486"/>
      <c r="BJ33" s="1014"/>
      <c r="BK33" s="876"/>
      <c r="BL33" s="1645">
        <f>SUM(BL30:BL32)</f>
        <v>23782.756558187306</v>
      </c>
      <c r="BM33" s="1486"/>
      <c r="BN33" s="1014"/>
      <c r="BO33" s="876"/>
      <c r="BP33" s="1645">
        <f>SUM(BP30:BP32)</f>
        <v>112419.72523274273</v>
      </c>
      <c r="BQ33" s="1668"/>
      <c r="BR33" s="1664"/>
      <c r="BS33" s="1664"/>
      <c r="BT33" s="1645">
        <f>SUM(BT30:BT32)</f>
        <v>252892.97621999681</v>
      </c>
      <c r="BU33" s="1668"/>
      <c r="BV33" s="1664"/>
      <c r="BW33" s="1664"/>
      <c r="BX33" s="1645">
        <f>SUM(BX30:BX32)</f>
        <v>3516802.600837037</v>
      </c>
      <c r="BY33" s="1668"/>
      <c r="BZ33" s="1664"/>
      <c r="CA33" s="1664"/>
      <c r="CB33" s="1645">
        <f>SUM(CB30:CB32)</f>
        <v>0</v>
      </c>
      <c r="CC33" s="1486"/>
      <c r="CD33" s="1664"/>
      <c r="CE33" s="1664"/>
      <c r="CF33" s="1823">
        <f>SUM(CF30:CF32)</f>
        <v>8239690.1297713071</v>
      </c>
      <c r="CG33" s="1664"/>
      <c r="CH33" s="1664"/>
      <c r="CI33" s="1664"/>
      <c r="CJ33" s="1823">
        <f>SUM(CJ30:CJ32)</f>
        <v>34324724.749265194</v>
      </c>
      <c r="CK33" s="1488"/>
      <c r="CL33" s="1664"/>
      <c r="CM33" s="1664"/>
      <c r="CN33" s="1823">
        <f>SUM(CN30:CN32)</f>
        <v>1027964.8512001438</v>
      </c>
      <c r="CO33" s="1823"/>
      <c r="CP33" s="1664"/>
      <c r="CQ33" s="1664"/>
      <c r="CR33" s="1823">
        <f>SUM(CR30:CR32)</f>
        <v>407022.87916425464</v>
      </c>
      <c r="CS33" s="1488"/>
      <c r="CT33" s="1664"/>
      <c r="CU33" s="1664"/>
      <c r="CV33" s="1823">
        <f>SUM(CV30:CV32)</f>
        <v>189632.39285019715</v>
      </c>
      <c r="CW33" s="1951"/>
      <c r="CX33" s="1664"/>
      <c r="CY33" s="1664"/>
      <c r="CZ33" s="1823">
        <f>SUM(CZ30:CZ32)</f>
        <v>340518.68671188649</v>
      </c>
      <c r="DA33" s="1951"/>
      <c r="DB33" s="1664"/>
      <c r="DC33" s="1664"/>
      <c r="DD33" s="1823">
        <f>SUM(DD30:DD32)</f>
        <v>423679.12598421972</v>
      </c>
      <c r="DE33" s="1951"/>
      <c r="DF33" s="1823"/>
      <c r="DG33" s="1823"/>
      <c r="DH33" s="1823"/>
      <c r="DI33" s="1951"/>
      <c r="DJ33" s="1951"/>
      <c r="DK33" s="1951"/>
      <c r="DL33" s="1951"/>
      <c r="DM33" s="1951"/>
      <c r="DN33" s="1824"/>
      <c r="DO33" s="1824"/>
      <c r="DP33" s="1627">
        <f>+D33+H33+L33+P33+T33+X33+AB33+AF33+AJ33+AN33+AR33+AV33+AZ33+BD33+BH33+BL33+BP33+BT33+BX33+CB33+CF33+CJ33</f>
        <v>46471416.937884465</v>
      </c>
    </row>
    <row r="34" spans="1:120" s="1021" customFormat="1">
      <c r="A34" s="1023"/>
      <c r="B34" s="1031"/>
      <c r="C34" s="1032"/>
      <c r="D34" s="1643"/>
      <c r="E34" s="889"/>
      <c r="F34" s="1031"/>
      <c r="G34" s="1032"/>
      <c r="H34" s="1643"/>
      <c r="I34" s="889"/>
      <c r="J34" s="1031"/>
      <c r="K34" s="1032"/>
      <c r="L34" s="1643"/>
      <c r="M34" s="889"/>
      <c r="N34" s="1031"/>
      <c r="O34" s="1032"/>
      <c r="P34" s="1643"/>
      <c r="Q34" s="889"/>
      <c r="R34" s="1001"/>
      <c r="S34" s="890"/>
      <c r="T34" s="1643"/>
      <c r="U34" s="889"/>
      <c r="V34" s="1001"/>
      <c r="W34" s="890"/>
      <c r="X34" s="1643"/>
      <c r="Y34" s="889"/>
      <c r="Z34" s="1001"/>
      <c r="AA34" s="890"/>
      <c r="AB34" s="1643"/>
      <c r="AC34" s="889"/>
      <c r="AD34" s="1001"/>
      <c r="AE34" s="890"/>
      <c r="AF34" s="1643"/>
      <c r="AG34" s="889"/>
      <c r="AH34" s="1008"/>
      <c r="AI34" s="1009"/>
      <c r="AJ34" s="1643"/>
      <c r="AK34" s="889"/>
      <c r="AL34" s="1008"/>
      <c r="AM34" s="1009"/>
      <c r="AN34" s="1643"/>
      <c r="AO34" s="889"/>
      <c r="AP34" s="1001"/>
      <c r="AQ34" s="890"/>
      <c r="AR34" s="1643"/>
      <c r="AS34" s="889"/>
      <c r="AT34" s="1001"/>
      <c r="AU34" s="890"/>
      <c r="AV34" s="1643"/>
      <c r="AW34" s="889"/>
      <c r="AX34" s="889"/>
      <c r="AY34" s="889"/>
      <c r="AZ34" s="1643"/>
      <c r="BA34" s="889"/>
      <c r="BB34" s="1001"/>
      <c r="BC34" s="890"/>
      <c r="BD34" s="1643"/>
      <c r="BE34" s="889"/>
      <c r="BF34" s="1001"/>
      <c r="BG34" s="890"/>
      <c r="BH34" s="1643"/>
      <c r="BI34" s="1487"/>
      <c r="BJ34" s="1001"/>
      <c r="BK34" s="890"/>
      <c r="BL34" s="1643"/>
      <c r="BM34" s="1487"/>
      <c r="BN34" s="1001"/>
      <c r="BO34" s="890"/>
      <c r="BP34" s="1643"/>
      <c r="BQ34" s="1667"/>
      <c r="BR34" s="1662"/>
      <c r="BS34" s="1662"/>
      <c r="BT34" s="1643"/>
      <c r="BU34" s="1667"/>
      <c r="BV34" s="1662"/>
      <c r="BW34" s="1662"/>
      <c r="BX34" s="1643"/>
      <c r="BY34" s="1667"/>
      <c r="BZ34" s="1662"/>
      <c r="CA34" s="1662"/>
      <c r="CB34" s="1643"/>
      <c r="CC34" s="1487"/>
      <c r="CD34" s="1662"/>
      <c r="CE34" s="1662"/>
      <c r="CF34" s="1662"/>
      <c r="CG34" s="1662"/>
      <c r="CH34" s="1662"/>
      <c r="CI34" s="1662"/>
      <c r="CJ34" s="1662"/>
      <c r="CK34" s="1487"/>
      <c r="CL34" s="1662"/>
      <c r="CM34" s="1662"/>
      <c r="CN34" s="1662"/>
      <c r="CO34" s="1662"/>
      <c r="CP34" s="1662"/>
      <c r="CQ34" s="1662"/>
      <c r="CR34" s="1662"/>
      <c r="CS34" s="1487"/>
      <c r="CT34" s="1662"/>
      <c r="CU34" s="1662"/>
      <c r="CV34" s="1662"/>
      <c r="CW34" s="1667"/>
      <c r="CX34" s="1662"/>
      <c r="CY34" s="1662"/>
      <c r="CZ34" s="1662"/>
      <c r="DA34" s="1667"/>
      <c r="DB34" s="1662"/>
      <c r="DC34" s="1662"/>
      <c r="DD34" s="1662"/>
      <c r="DE34" s="1667"/>
      <c r="DF34" s="1662"/>
      <c r="DG34" s="1662"/>
      <c r="DH34" s="1662"/>
      <c r="DI34" s="1667"/>
      <c r="DJ34" s="1667"/>
      <c r="DK34" s="1667"/>
      <c r="DL34" s="1667"/>
      <c r="DM34" s="1667"/>
      <c r="DN34" s="1733"/>
      <c r="DO34" s="1618"/>
      <c r="DP34" s="1619"/>
    </row>
    <row r="35" spans="1:120" s="1021" customFormat="1">
      <c r="A35" s="1023"/>
      <c r="B35" s="1038"/>
      <c r="C35" s="1039"/>
      <c r="D35" s="1646"/>
      <c r="E35" s="963"/>
      <c r="F35" s="1038"/>
      <c r="G35" s="1039"/>
      <c r="H35" s="1646">
        <f>-(H10+H22)</f>
        <v>0</v>
      </c>
      <c r="I35" s="963"/>
      <c r="J35" s="1038"/>
      <c r="K35" s="1039"/>
      <c r="L35" s="1646">
        <f>-(L10+L22)</f>
        <v>0</v>
      </c>
      <c r="M35" s="963"/>
      <c r="N35" s="1038"/>
      <c r="O35" s="1039"/>
      <c r="P35" s="1646">
        <f>-(P10+P22)</f>
        <v>0</v>
      </c>
      <c r="Q35" s="963"/>
      <c r="R35" s="1015"/>
      <c r="S35" s="1016"/>
      <c r="T35" s="1646">
        <f>-(T10+T22)</f>
        <v>0</v>
      </c>
      <c r="U35" s="963"/>
      <c r="V35" s="1015"/>
      <c r="W35" s="1016"/>
      <c r="X35" s="1646">
        <f>-(X10+X22)</f>
        <v>0</v>
      </c>
      <c r="Y35" s="963"/>
      <c r="Z35" s="1015"/>
      <c r="AA35" s="1016"/>
      <c r="AB35" s="1646">
        <f>-(AB10+AB22)</f>
        <v>276</v>
      </c>
      <c r="AC35" s="963"/>
      <c r="AD35" s="1015"/>
      <c r="AE35" s="1016"/>
      <c r="AF35" s="1646">
        <f>-(AF10+AF22)</f>
        <v>0</v>
      </c>
      <c r="AG35" s="963"/>
      <c r="AH35" s="1015"/>
      <c r="AI35" s="1016"/>
      <c r="AJ35" s="1646">
        <f>-(AJ10+AJ22)</f>
        <v>0</v>
      </c>
      <c r="AK35" s="963"/>
      <c r="AL35" s="1015"/>
      <c r="AM35" s="1016"/>
      <c r="AN35" s="1646">
        <f>-(AN10+AN22)</f>
        <v>0</v>
      </c>
      <c r="AO35" s="963"/>
      <c r="AP35" s="1015"/>
      <c r="AQ35" s="1016"/>
      <c r="AR35" s="1646">
        <f>-(AR10+AR22)</f>
        <v>276</v>
      </c>
      <c r="AS35" s="963"/>
      <c r="AT35" s="1015"/>
      <c r="AU35" s="1016"/>
      <c r="AV35" s="1646">
        <f>-(AV10+AV22)</f>
        <v>276</v>
      </c>
      <c r="AW35" s="963"/>
      <c r="AX35" s="963"/>
      <c r="AY35" s="963"/>
      <c r="AZ35" s="1646">
        <f>-(AZ10+AZ22)</f>
        <v>276</v>
      </c>
      <c r="BA35" s="963"/>
      <c r="BB35" s="1015"/>
      <c r="BC35" s="1016"/>
      <c r="BD35" s="1646">
        <f>-(BD10+BD22)</f>
        <v>0</v>
      </c>
      <c r="BE35" s="963"/>
      <c r="BF35" s="1015"/>
      <c r="BG35" s="1016"/>
      <c r="BH35" s="1646">
        <f>-(BH10+BH22)</f>
        <v>0</v>
      </c>
      <c r="BI35" s="1490"/>
      <c r="BJ35" s="1015"/>
      <c r="BK35" s="1016"/>
      <c r="BL35" s="1646">
        <f>-(BL10+BL22)</f>
        <v>15869.100000000009</v>
      </c>
      <c r="BM35" s="1490"/>
      <c r="BN35" s="1015"/>
      <c r="BO35" s="1016"/>
      <c r="BP35" s="1646">
        <f>-(BP10+BP22)</f>
        <v>29878.928677085274</v>
      </c>
      <c r="BQ35" s="1669"/>
      <c r="BR35" s="1665"/>
      <c r="BS35" s="1665"/>
      <c r="BT35" s="1646">
        <f>-(BT10+BT22)</f>
        <v>39999.699999999997</v>
      </c>
      <c r="BU35" s="1669"/>
      <c r="BV35" s="1665"/>
      <c r="BW35" s="1665"/>
      <c r="BX35" s="1646">
        <f>-(BX10+BX22)</f>
        <v>159998.79999999999</v>
      </c>
      <c r="BY35" s="1669"/>
      <c r="BZ35" s="1665"/>
      <c r="CA35" s="1665"/>
      <c r="CB35" s="1646">
        <f>-(CB10+CB22)</f>
        <v>0</v>
      </c>
      <c r="CC35" s="1490"/>
      <c r="CD35" s="1665"/>
      <c r="CE35" s="1665"/>
      <c r="CF35" s="1662">
        <f>-(CF10+CF22)</f>
        <v>1358995.8046732238</v>
      </c>
      <c r="CG35" s="1665"/>
      <c r="CH35" s="1665"/>
      <c r="CI35" s="1665"/>
      <c r="CJ35" s="1662">
        <f>-(CJ10+CJ22)</f>
        <v>4379950.5703190472</v>
      </c>
      <c r="CK35" s="1487"/>
      <c r="CL35" s="1665"/>
      <c r="CM35" s="1665"/>
      <c r="CN35" s="1662">
        <f>-(CN10+CN22)</f>
        <v>5558006.2409565849</v>
      </c>
      <c r="CO35" s="1662"/>
      <c r="CP35" s="1665"/>
      <c r="CQ35" s="1665"/>
      <c r="CR35" s="1662">
        <f>-(CR10+CR22)</f>
        <v>10451468.25745097</v>
      </c>
      <c r="CS35" s="1487"/>
      <c r="CT35" s="1665"/>
      <c r="CU35" s="1665"/>
      <c r="CV35" s="1662">
        <f>-(CV10+CV22)</f>
        <v>5497593.1296418393</v>
      </c>
      <c r="CW35" s="1667"/>
      <c r="CX35" s="1665"/>
      <c r="CY35" s="1665"/>
      <c r="CZ35" s="1662">
        <f>-(CZ10+CZ22)</f>
        <v>9152586.36418394</v>
      </c>
      <c r="DA35" s="1667"/>
      <c r="DB35" s="1665"/>
      <c r="DC35" s="1665"/>
      <c r="DD35" s="1662">
        <f>-(DD10+DD22)</f>
        <v>10844153.480996815</v>
      </c>
      <c r="DE35" s="1667"/>
      <c r="DF35" s="1662"/>
      <c r="DG35" s="1662"/>
      <c r="DH35" s="1662"/>
      <c r="DI35" s="1667"/>
      <c r="DJ35" s="1667"/>
      <c r="DK35" s="1667"/>
      <c r="DL35" s="1667"/>
      <c r="DM35" s="1667"/>
      <c r="DN35" s="1733"/>
      <c r="DO35" s="1618"/>
      <c r="DP35" s="1628"/>
    </row>
    <row r="36" spans="1:120" s="1021" customFormat="1">
      <c r="A36" s="1033" t="s">
        <v>1595</v>
      </c>
      <c r="B36" s="1034"/>
      <c r="C36" s="1035"/>
      <c r="D36" s="1647"/>
      <c r="E36" s="1010"/>
      <c r="F36" s="1010"/>
      <c r="G36" s="1010"/>
      <c r="H36" s="1647">
        <f>H13*G4</f>
        <v>0</v>
      </c>
      <c r="I36" s="1010"/>
      <c r="J36" s="1034"/>
      <c r="K36" s="1035"/>
      <c r="L36" s="1647">
        <f>L13*K4</f>
        <v>0</v>
      </c>
      <c r="M36" s="1010"/>
      <c r="N36" s="1010"/>
      <c r="O36" s="1010"/>
      <c r="P36" s="1647">
        <f>P13*O4</f>
        <v>0</v>
      </c>
      <c r="Q36" s="1010"/>
      <c r="R36" s="1008"/>
      <c r="S36" s="1009"/>
      <c r="T36" s="1647">
        <f>T13*S4</f>
        <v>0</v>
      </c>
      <c r="U36" s="1010"/>
      <c r="V36" s="1008"/>
      <c r="W36" s="1009"/>
      <c r="X36" s="1647">
        <f>X13*W4</f>
        <v>0</v>
      </c>
      <c r="Y36" s="1010"/>
      <c r="Z36" s="1008"/>
      <c r="AA36" s="1009"/>
      <c r="AB36" s="1647">
        <f>AB13*AA4</f>
        <v>0</v>
      </c>
      <c r="AC36" s="1010"/>
      <c r="AD36" s="1008"/>
      <c r="AE36" s="1009"/>
      <c r="AF36" s="1647">
        <f>AF13*AE4</f>
        <v>0</v>
      </c>
      <c r="AG36" s="1010"/>
      <c r="AH36" s="1001"/>
      <c r="AI36" s="890"/>
      <c r="AJ36" s="1647">
        <f>AJ13*AI4</f>
        <v>0</v>
      </c>
      <c r="AK36" s="1010"/>
      <c r="AL36" s="1008"/>
      <c r="AM36" s="1009"/>
      <c r="AN36" s="1647">
        <f>AN13*AM4</f>
        <v>0</v>
      </c>
      <c r="AO36" s="1010"/>
      <c r="AP36" s="1008"/>
      <c r="AQ36" s="1009"/>
      <c r="AR36" s="1647">
        <f>AR13*AQ4</f>
        <v>0</v>
      </c>
      <c r="AS36" s="1010"/>
      <c r="AT36" s="1008"/>
      <c r="AU36" s="1009"/>
      <c r="AV36" s="1647">
        <f>AV13*AU4</f>
        <v>0</v>
      </c>
      <c r="AW36" s="1010"/>
      <c r="AX36" s="1010"/>
      <c r="AY36" s="1010"/>
      <c r="AZ36" s="1647">
        <f>AZ13*AY4</f>
        <v>0</v>
      </c>
      <c r="BA36" s="1010"/>
      <c r="BB36" s="1008"/>
      <c r="BC36" s="1009"/>
      <c r="BD36" s="1647">
        <f>BD13*BC4</f>
        <v>0</v>
      </c>
      <c r="BE36" s="1010"/>
      <c r="BF36" s="1008"/>
      <c r="BG36" s="1009"/>
      <c r="BH36" s="1647">
        <f>BH13*BG4</f>
        <v>0</v>
      </c>
      <c r="BI36" s="1489"/>
      <c r="BJ36" s="1008"/>
      <c r="BK36" s="1009"/>
      <c r="BL36" s="1647">
        <f>BL13*BK4</f>
        <v>7913.6565581860632</v>
      </c>
      <c r="BM36" s="1489"/>
      <c r="BN36" s="1008"/>
      <c r="BO36" s="1009"/>
      <c r="BP36" s="1647">
        <f>BP13*BO4</f>
        <v>82540.796555658293</v>
      </c>
      <c r="BQ36" s="1670"/>
      <c r="BR36" s="1666"/>
      <c r="BS36" s="1666"/>
      <c r="BT36" s="1647">
        <f>BT13*BS4</f>
        <v>212893.27621999983</v>
      </c>
      <c r="BU36" s="1670"/>
      <c r="BV36" s="1666"/>
      <c r="BW36" s="1666"/>
      <c r="BX36" s="1647">
        <f>BX13*BW4</f>
        <v>3356803.8008370386</v>
      </c>
      <c r="BY36" s="1670"/>
      <c r="BZ36" s="1666"/>
      <c r="CA36" s="1666"/>
      <c r="CB36" s="1647">
        <f>CB13*CA4</f>
        <v>0</v>
      </c>
      <c r="CC36" s="1489"/>
      <c r="CD36" s="1666"/>
      <c r="CE36" s="1666"/>
      <c r="CF36" s="1662">
        <f>CF13*CE4</f>
        <v>6880694.3250980806</v>
      </c>
      <c r="CG36" s="1666"/>
      <c r="CH36" s="1666"/>
      <c r="CI36" s="1666"/>
      <c r="CJ36" s="1662">
        <f>CJ13*CI4</f>
        <v>28396802.036147013</v>
      </c>
      <c r="CK36" s="1487"/>
      <c r="CL36" s="1666"/>
      <c r="CM36" s="1666"/>
      <c r="CN36" s="1662">
        <f>CN13*CM4</f>
        <v>-4228087.205322843</v>
      </c>
      <c r="CO36" s="1662"/>
      <c r="CP36" s="1666"/>
      <c r="CQ36" s="1666"/>
      <c r="CR36" s="1662">
        <f>CR13*CQ4</f>
        <v>-8342716.6401413102</v>
      </c>
      <c r="CS36" s="1487"/>
      <c r="CT36" s="1666"/>
      <c r="CU36" s="1666"/>
      <c r="CV36" s="1662">
        <f>CV13*CU4</f>
        <v>-5307960.7367916424</v>
      </c>
      <c r="CW36" s="1667"/>
      <c r="CX36" s="1666"/>
      <c r="CY36" s="1666"/>
      <c r="CZ36" s="1662">
        <f>CZ13*CY4</f>
        <v>-7961941.1051874626</v>
      </c>
      <c r="DA36" s="1667"/>
      <c r="DB36" s="1666"/>
      <c r="DC36" s="1666"/>
      <c r="DD36" s="1662">
        <f>DD13*DC4</f>
        <v>-8720221.2104434129</v>
      </c>
      <c r="DE36" s="1667"/>
      <c r="DF36" s="1662"/>
      <c r="DG36" s="1662"/>
      <c r="DH36" s="1662"/>
      <c r="DI36" s="1667"/>
      <c r="DJ36" s="1667"/>
      <c r="DK36" s="1667"/>
      <c r="DL36" s="1667"/>
      <c r="DM36" s="1667"/>
      <c r="DN36" s="897"/>
      <c r="DO36" s="889"/>
      <c r="DP36" s="1007"/>
    </row>
    <row r="37" spans="1:120" s="1021" customFormat="1">
      <c r="A37" s="1023" t="s">
        <v>639</v>
      </c>
      <c r="B37" s="1031"/>
      <c r="C37" s="1032"/>
      <c r="D37" s="1643"/>
      <c r="E37" s="889"/>
      <c r="F37" s="889"/>
      <c r="G37" s="889"/>
      <c r="H37" s="1643">
        <f>+H25*G17</f>
        <v>0</v>
      </c>
      <c r="I37" s="889"/>
      <c r="J37" s="1031"/>
      <c r="K37" s="1032"/>
      <c r="L37" s="1643">
        <f>+L25*K17</f>
        <v>0</v>
      </c>
      <c r="M37" s="889"/>
      <c r="N37" s="889"/>
      <c r="O37" s="889"/>
      <c r="P37" s="1643">
        <f>+P25*O17</f>
        <v>0</v>
      </c>
      <c r="Q37" s="889"/>
      <c r="R37" s="1001"/>
      <c r="S37" s="890"/>
      <c r="T37" s="1643">
        <f>+T25*S17</f>
        <v>0</v>
      </c>
      <c r="U37" s="889"/>
      <c r="V37" s="1001"/>
      <c r="W37" s="890"/>
      <c r="X37" s="1643">
        <f>+X25*W17</f>
        <v>0</v>
      </c>
      <c r="Y37" s="889"/>
      <c r="Z37" s="1001"/>
      <c r="AA37" s="890"/>
      <c r="AB37" s="1643">
        <f>+AB25*AA17</f>
        <v>0</v>
      </c>
      <c r="AC37" s="889"/>
      <c r="AD37" s="1001"/>
      <c r="AE37" s="890"/>
      <c r="AF37" s="1643">
        <f>+AF25*AE17</f>
        <v>0</v>
      </c>
      <c r="AG37" s="889"/>
      <c r="AH37" s="1001"/>
      <c r="AI37" s="890"/>
      <c r="AJ37" s="1643">
        <f>+AJ25*AI17</f>
        <v>0</v>
      </c>
      <c r="AK37" s="889"/>
      <c r="AL37" s="1001"/>
      <c r="AM37" s="890"/>
      <c r="AN37" s="1643">
        <f>+AN25*AM17</f>
        <v>0</v>
      </c>
      <c r="AO37" s="889"/>
      <c r="AP37" s="1001"/>
      <c r="AQ37" s="890"/>
      <c r="AR37" s="1643">
        <f>+AR25*AQ17</f>
        <v>0</v>
      </c>
      <c r="AS37" s="889"/>
      <c r="AT37" s="1001"/>
      <c r="AU37" s="890"/>
      <c r="AV37" s="1643">
        <f>+AV25*AU17</f>
        <v>0</v>
      </c>
      <c r="AW37" s="889"/>
      <c r="AX37" s="889"/>
      <c r="AY37" s="889"/>
      <c r="AZ37" s="1643">
        <f>+AZ25*AY17</f>
        <v>0</v>
      </c>
      <c r="BA37" s="889"/>
      <c r="BB37" s="1001"/>
      <c r="BC37" s="890"/>
      <c r="BD37" s="1643">
        <f>+BD25*BC17</f>
        <v>0</v>
      </c>
      <c r="BE37" s="889"/>
      <c r="BF37" s="1001"/>
      <c r="BG37" s="890"/>
      <c r="BH37" s="1643">
        <f>+BH25*BG17</f>
        <v>0</v>
      </c>
      <c r="BI37" s="1487"/>
      <c r="BJ37" s="1001"/>
      <c r="BK37" s="890"/>
      <c r="BL37" s="1643">
        <f>+BL25*BK17</f>
        <v>0</v>
      </c>
      <c r="BM37" s="1487"/>
      <c r="BN37" s="1001"/>
      <c r="BO37" s="890"/>
      <c r="BP37" s="1643">
        <f>+BP25*BO17</f>
        <v>0</v>
      </c>
      <c r="BQ37" s="1667"/>
      <c r="BR37" s="1662"/>
      <c r="BS37" s="1662"/>
      <c r="BT37" s="1643">
        <f>+BT25*BS17</f>
        <v>0</v>
      </c>
      <c r="BU37" s="1667"/>
      <c r="BV37" s="1662"/>
      <c r="BW37" s="1662"/>
      <c r="BX37" s="1643">
        <f>+BX25*BW17</f>
        <v>0</v>
      </c>
      <c r="BY37" s="1667"/>
      <c r="BZ37" s="1662"/>
      <c r="CA37" s="1662"/>
      <c r="CB37" s="1643">
        <f>+CB25*CA17</f>
        <v>0</v>
      </c>
      <c r="CC37" s="1487"/>
      <c r="CD37" s="1662"/>
      <c r="CE37" s="1662"/>
      <c r="CF37" s="1662">
        <f>+CF25*CE17</f>
        <v>0</v>
      </c>
      <c r="CG37" s="1662"/>
      <c r="CH37" s="1662"/>
      <c r="CI37" s="1662"/>
      <c r="CJ37" s="1662">
        <f>+CJ25*CI17</f>
        <v>1547972.1427991642</v>
      </c>
      <c r="CK37" s="1487"/>
      <c r="CL37" s="1662"/>
      <c r="CM37" s="1662"/>
      <c r="CN37" s="1662">
        <f>+CN25*CM17</f>
        <v>-301954.1844335972</v>
      </c>
      <c r="CO37" s="1662"/>
      <c r="CP37" s="1662"/>
      <c r="CQ37" s="1662"/>
      <c r="CR37" s="1662">
        <f>+CR25*CQ17</f>
        <v>-1701728.7381454038</v>
      </c>
      <c r="CS37" s="1487"/>
      <c r="CT37" s="1662"/>
      <c r="CU37" s="1662"/>
      <c r="CV37" s="1662">
        <f>+CV25*CU17</f>
        <v>0</v>
      </c>
      <c r="CW37" s="1667"/>
      <c r="CX37" s="1662"/>
      <c r="CY37" s="1662"/>
      <c r="CZ37" s="1662">
        <f>+CZ25*CY17</f>
        <v>-850126.5722845915</v>
      </c>
      <c r="DA37" s="1667"/>
      <c r="DB37" s="1662"/>
      <c r="DC37" s="1662"/>
      <c r="DD37" s="1662">
        <f>+DD25*DC17</f>
        <v>-1700253.144569183</v>
      </c>
      <c r="DE37" s="1667"/>
      <c r="DF37" s="1662"/>
      <c r="DG37" s="1662"/>
      <c r="DH37" s="1662"/>
      <c r="DI37" s="1667"/>
      <c r="DJ37" s="1667"/>
      <c r="DK37" s="1667"/>
      <c r="DL37" s="1667"/>
      <c r="DM37" s="1667"/>
      <c r="DN37" s="897"/>
      <c r="DO37" s="889"/>
      <c r="DP37" s="889"/>
    </row>
    <row r="38" spans="1:120" s="1021" customFormat="1">
      <c r="A38" s="1023" t="s">
        <v>636</v>
      </c>
      <c r="B38" s="1031"/>
      <c r="C38" s="1032"/>
      <c r="D38" s="1643"/>
      <c r="E38" s="889"/>
      <c r="F38" s="889"/>
      <c r="G38" s="889"/>
      <c r="H38" s="1643">
        <f>SUM(H35:H37)</f>
        <v>0</v>
      </c>
      <c r="I38" s="889"/>
      <c r="J38" s="1031"/>
      <c r="K38" s="1032"/>
      <c r="L38" s="1643">
        <f>SUM(L35:L37)</f>
        <v>0</v>
      </c>
      <c r="M38" s="889"/>
      <c r="N38" s="889"/>
      <c r="O38" s="889"/>
      <c r="P38" s="1643">
        <f>SUM(P35:P37)</f>
        <v>0</v>
      </c>
      <c r="Q38" s="889"/>
      <c r="R38" s="1001"/>
      <c r="S38" s="890"/>
      <c r="T38" s="1643">
        <f>SUM(T35:T37)</f>
        <v>0</v>
      </c>
      <c r="U38" s="889"/>
      <c r="V38" s="1001"/>
      <c r="W38" s="890"/>
      <c r="X38" s="1643">
        <f>SUM(X35:X37)</f>
        <v>0</v>
      </c>
      <c r="Y38" s="889"/>
      <c r="Z38" s="1001"/>
      <c r="AA38" s="890"/>
      <c r="AB38" s="1643">
        <f>SUM(AB35:AB37)</f>
        <v>276</v>
      </c>
      <c r="AC38" s="889"/>
      <c r="AD38" s="1001"/>
      <c r="AE38" s="890"/>
      <c r="AF38" s="1643">
        <f>SUM(AF35:AF37)</f>
        <v>0</v>
      </c>
      <c r="AG38" s="889"/>
      <c r="AH38" s="1001"/>
      <c r="AI38" s="890"/>
      <c r="AJ38" s="1643">
        <f>SUM(AJ35:AJ37)</f>
        <v>0</v>
      </c>
      <c r="AK38" s="889"/>
      <c r="AL38" s="1001"/>
      <c r="AM38" s="890"/>
      <c r="AN38" s="1643">
        <f>SUM(AN35:AN37)</f>
        <v>0</v>
      </c>
      <c r="AO38" s="889"/>
      <c r="AP38" s="1001"/>
      <c r="AQ38" s="890"/>
      <c r="AR38" s="1643">
        <f>SUM(AR35:AR37)</f>
        <v>276</v>
      </c>
      <c r="AS38" s="889"/>
      <c r="AT38" s="1001"/>
      <c r="AU38" s="890"/>
      <c r="AV38" s="1643">
        <f>SUM(AV35:AV37)</f>
        <v>276</v>
      </c>
      <c r="AW38" s="889"/>
      <c r="AX38" s="889"/>
      <c r="AY38" s="889"/>
      <c r="AZ38" s="1643">
        <f>SUM(AZ35:AZ37)</f>
        <v>276</v>
      </c>
      <c r="BA38" s="889"/>
      <c r="BB38" s="1001"/>
      <c r="BC38" s="890"/>
      <c r="BD38" s="1643">
        <f>SUM(BD35:BD37)</f>
        <v>0</v>
      </c>
      <c r="BE38" s="889"/>
      <c r="BF38" s="1001"/>
      <c r="BG38" s="890"/>
      <c r="BH38" s="1643">
        <f>SUM(BH35:BH37)</f>
        <v>0</v>
      </c>
      <c r="BI38" s="1487"/>
      <c r="BJ38" s="1001"/>
      <c r="BK38" s="890"/>
      <c r="BL38" s="1643">
        <f>SUM(BL35:BL37)</f>
        <v>23782.756558186073</v>
      </c>
      <c r="BM38" s="1487"/>
      <c r="BN38" s="1001"/>
      <c r="BO38" s="890"/>
      <c r="BP38" s="1643">
        <f>SUM(BP35:BP37)</f>
        <v>112419.72523274357</v>
      </c>
      <c r="BQ38" s="1667"/>
      <c r="BR38" s="1662"/>
      <c r="BS38" s="1662"/>
      <c r="BT38" s="1643">
        <f>SUM(BT35:BT37)</f>
        <v>252892.97621999984</v>
      </c>
      <c r="BU38" s="1667"/>
      <c r="BV38" s="1662"/>
      <c r="BW38" s="1662"/>
      <c r="BX38" s="1643">
        <f>SUM(BX35:BX37)</f>
        <v>3516802.6008370384</v>
      </c>
      <c r="BY38" s="1667"/>
      <c r="BZ38" s="1662"/>
      <c r="CA38" s="1662"/>
      <c r="CB38" s="1643">
        <f>SUM(CB35:CB37)</f>
        <v>0</v>
      </c>
      <c r="CC38" s="1487"/>
      <c r="CD38" s="1662"/>
      <c r="CE38" s="1662"/>
      <c r="CF38" s="1662">
        <f>SUM(CF35:CF37)</f>
        <v>8239690.1297713043</v>
      </c>
      <c r="CG38" s="1662"/>
      <c r="CH38" s="1662"/>
      <c r="CI38" s="1662"/>
      <c r="CJ38" s="1662">
        <f>SUM(CJ35:CJ37)</f>
        <v>34324724.749265224</v>
      </c>
      <c r="CK38" s="1487"/>
      <c r="CL38" s="1662"/>
      <c r="CM38" s="1662"/>
      <c r="CN38" s="1662">
        <f>SUM(CN35:CN37)</f>
        <v>1027964.8512001447</v>
      </c>
      <c r="CO38" s="1662"/>
      <c r="CP38" s="1662"/>
      <c r="CQ38" s="1662"/>
      <c r="CR38" s="1662">
        <f>SUM(CR35:CR37)</f>
        <v>407022.87916425592</v>
      </c>
      <c r="CS38" s="1487"/>
      <c r="CT38" s="1662"/>
      <c r="CU38" s="1662"/>
      <c r="CV38" s="1662">
        <f>SUM(CV35:CV37)</f>
        <v>189632.39285019692</v>
      </c>
      <c r="CW38" s="1667"/>
      <c r="CX38" s="1662"/>
      <c r="CY38" s="1662"/>
      <c r="CZ38" s="1662">
        <f>SUM(CZ35:CZ37)</f>
        <v>340518.68671188585</v>
      </c>
      <c r="DA38" s="1667"/>
      <c r="DB38" s="1662"/>
      <c r="DC38" s="1662"/>
      <c r="DD38" s="1662">
        <f>SUM(DD35:DD37)</f>
        <v>423679.1259842196</v>
      </c>
      <c r="DE38" s="1667"/>
      <c r="DF38" s="1662"/>
      <c r="DG38" s="1662"/>
      <c r="DH38" s="1662"/>
      <c r="DI38" s="1667"/>
      <c r="DJ38" s="1667"/>
      <c r="DK38" s="1667"/>
      <c r="DL38" s="1667"/>
      <c r="DM38" s="1667"/>
      <c r="DN38" s="897"/>
      <c r="DO38" s="889"/>
      <c r="DP38" s="967">
        <f>+DP30+DP32</f>
        <v>72251139.118240714</v>
      </c>
    </row>
    <row r="39" spans="1:120" s="1021" customFormat="1">
      <c r="A39" s="1040" t="s">
        <v>1596</v>
      </c>
      <c r="B39" s="1038"/>
      <c r="C39" s="1039"/>
      <c r="D39" s="1646"/>
      <c r="E39" s="963"/>
      <c r="F39" s="963"/>
      <c r="G39" s="963"/>
      <c r="H39" s="1646">
        <f>+H33-H38</f>
        <v>0</v>
      </c>
      <c r="I39" s="963"/>
      <c r="J39" s="1038"/>
      <c r="K39" s="1039"/>
      <c r="L39" s="1646">
        <f>+L33-L38</f>
        <v>0</v>
      </c>
      <c r="M39" s="963"/>
      <c r="N39" s="963"/>
      <c r="O39" s="963"/>
      <c r="P39" s="1646">
        <f>+P33-P38</f>
        <v>0</v>
      </c>
      <c r="Q39" s="963"/>
      <c r="R39" s="1015"/>
      <c r="S39" s="1016"/>
      <c r="T39" s="1646">
        <f>+T33-T38</f>
        <v>0</v>
      </c>
      <c r="U39" s="963"/>
      <c r="V39" s="1015"/>
      <c r="W39" s="1016"/>
      <c r="X39" s="1646">
        <f>+X33-X38</f>
        <v>0</v>
      </c>
      <c r="Y39" s="963"/>
      <c r="Z39" s="1015"/>
      <c r="AA39" s="1016"/>
      <c r="AB39" s="1646">
        <f>+AB33-AB38</f>
        <v>-5.8207660913467407E-11</v>
      </c>
      <c r="AC39" s="963"/>
      <c r="AD39" s="1015"/>
      <c r="AE39" s="1016"/>
      <c r="AF39" s="1646">
        <f>+AF33-AF38</f>
        <v>0</v>
      </c>
      <c r="AG39" s="963"/>
      <c r="AH39" s="1015"/>
      <c r="AI39" s="1016"/>
      <c r="AJ39" s="1646">
        <f>+AJ33-AJ38</f>
        <v>0</v>
      </c>
      <c r="AK39" s="963"/>
      <c r="AL39" s="1015"/>
      <c r="AM39" s="1016"/>
      <c r="AN39" s="1646">
        <f>+AN33-AN38</f>
        <v>0</v>
      </c>
      <c r="AO39" s="963"/>
      <c r="AP39" s="1015"/>
      <c r="AQ39" s="1016"/>
      <c r="AR39" s="1646">
        <f>+AR33-AR38</f>
        <v>0</v>
      </c>
      <c r="AS39" s="963"/>
      <c r="AT39" s="1015"/>
      <c r="AU39" s="1016"/>
      <c r="AV39" s="1646">
        <f>+AV33-AV38</f>
        <v>0</v>
      </c>
      <c r="AW39" s="963"/>
      <c r="AX39" s="963"/>
      <c r="AY39" s="963"/>
      <c r="AZ39" s="1646">
        <f>+AZ33-AZ38</f>
        <v>0</v>
      </c>
      <c r="BA39" s="963"/>
      <c r="BB39" s="1015"/>
      <c r="BC39" s="1016"/>
      <c r="BD39" s="1646">
        <f>+BD33-BD38</f>
        <v>0</v>
      </c>
      <c r="BE39" s="963"/>
      <c r="BF39" s="1015"/>
      <c r="BG39" s="1016"/>
      <c r="BH39" s="1646">
        <f>+BH33-BH38</f>
        <v>0</v>
      </c>
      <c r="BI39" s="1490"/>
      <c r="BJ39" s="1015"/>
      <c r="BK39" s="1016"/>
      <c r="BL39" s="1646">
        <f>+BL33-BL38</f>
        <v>1.2332748156040907E-9</v>
      </c>
      <c r="BM39" s="1490"/>
      <c r="BN39" s="1015"/>
      <c r="BO39" s="1016"/>
      <c r="BP39" s="1646">
        <f>+BP33-BP38</f>
        <v>-8.440110832452774E-10</v>
      </c>
      <c r="BQ39" s="1669"/>
      <c r="BR39" s="1665"/>
      <c r="BS39" s="1665"/>
      <c r="BT39" s="1646">
        <f>+BT33-BT38</f>
        <v>-3.0267983675003052E-9</v>
      </c>
      <c r="BU39" s="1669"/>
      <c r="BV39" s="1665"/>
      <c r="BW39" s="1665"/>
      <c r="BX39" s="1646">
        <f>+BX33-BX38</f>
        <v>0</v>
      </c>
      <c r="BY39" s="1669"/>
      <c r="BZ39" s="1665"/>
      <c r="CA39" s="1665"/>
      <c r="CB39" s="1646">
        <f>+CB33-CB38</f>
        <v>0</v>
      </c>
      <c r="CC39" s="1490"/>
      <c r="CD39" s="1665"/>
      <c r="CE39" s="1665"/>
      <c r="CF39" s="1662">
        <f>+CF33-CF38</f>
        <v>0</v>
      </c>
      <c r="CG39" s="1487"/>
      <c r="CH39" s="1487"/>
      <c r="CI39" s="1487"/>
      <c r="CJ39" s="1662">
        <f>+CJ33-CJ38</f>
        <v>0</v>
      </c>
      <c r="CK39" s="1487"/>
      <c r="CL39" s="1487"/>
      <c r="CM39" s="1487"/>
      <c r="CN39" s="1662">
        <f>+CN33-CN38</f>
        <v>-9.3132257461547852E-10</v>
      </c>
      <c r="CO39" s="1662"/>
      <c r="CP39" s="1487"/>
      <c r="CQ39" s="1487"/>
      <c r="CR39" s="1662">
        <f>+CR33-CR38</f>
        <v>-1.280568540096283E-9</v>
      </c>
      <c r="CS39" s="1487"/>
      <c r="CT39" s="1487"/>
      <c r="CU39" s="1487"/>
      <c r="CV39" s="1662">
        <f>+CV33-CV38</f>
        <v>2.3283064365386963E-10</v>
      </c>
      <c r="CW39" s="1667"/>
      <c r="CX39" s="1487"/>
      <c r="CY39" s="1487"/>
      <c r="CZ39" s="1662">
        <f>+CZ33-CZ38</f>
        <v>6.4028427004814148E-10</v>
      </c>
      <c r="DA39" s="1667"/>
      <c r="DB39" s="1487"/>
      <c r="DC39" s="1487"/>
      <c r="DD39" s="1662">
        <f>+DD33-DD38</f>
        <v>0</v>
      </c>
      <c r="DE39" s="1667"/>
      <c r="DF39" s="1662"/>
      <c r="DG39" s="1662"/>
      <c r="DH39" s="1662"/>
      <c r="DI39" s="1667"/>
      <c r="DJ39" s="1667"/>
      <c r="DK39" s="1667"/>
      <c r="DL39" s="1667"/>
      <c r="DM39" s="1667"/>
      <c r="DN39" s="897"/>
      <c r="DO39" s="889"/>
      <c r="DP39" s="964"/>
    </row>
    <row r="40" spans="1:120">
      <c r="AH40" s="890"/>
      <c r="AI40" s="890"/>
      <c r="AJ40" s="890"/>
      <c r="AK40" s="889"/>
      <c r="AL40" s="890"/>
      <c r="AM40" s="890"/>
      <c r="AN40" s="890"/>
      <c r="AO40" s="889"/>
      <c r="AP40" s="890"/>
      <c r="AQ40" s="890"/>
      <c r="AR40" s="890"/>
      <c r="AS40" s="889"/>
      <c r="AT40" s="890"/>
      <c r="AU40" s="890"/>
      <c r="AV40" s="890"/>
      <c r="AW40" s="889"/>
      <c r="AX40" s="889"/>
      <c r="AY40" s="889"/>
      <c r="AZ40" s="889"/>
      <c r="BA40" s="889"/>
      <c r="BB40" s="890"/>
      <c r="BC40" s="890"/>
      <c r="BD40" s="890"/>
      <c r="BE40" s="889"/>
      <c r="BF40" s="890"/>
      <c r="BG40" s="890"/>
      <c r="BH40" s="890"/>
      <c r="BI40" s="1487"/>
      <c r="BJ40" s="890"/>
      <c r="BK40" s="890"/>
      <c r="BL40" s="890"/>
      <c r="BM40" s="1487"/>
      <c r="BN40" s="890"/>
      <c r="BO40" s="890"/>
      <c r="BP40" s="890"/>
      <c r="BQ40" s="889"/>
      <c r="BR40" s="890"/>
      <c r="BS40" s="890"/>
      <c r="BT40" s="890"/>
      <c r="BU40" s="889"/>
      <c r="BV40" s="890"/>
      <c r="BW40" s="890"/>
      <c r="BX40" s="890"/>
      <c r="BY40" s="889"/>
      <c r="BZ40" s="890"/>
      <c r="CA40" s="890"/>
      <c r="CB40" s="890"/>
      <c r="CC40" s="1487"/>
      <c r="CD40" s="890"/>
      <c r="CE40" s="890"/>
      <c r="CF40" s="890"/>
      <c r="CG40" s="1487"/>
      <c r="CH40" s="1487"/>
      <c r="CI40" s="1487"/>
      <c r="CJ40" s="1487"/>
      <c r="CK40" s="1487"/>
      <c r="CL40" s="1487"/>
      <c r="CM40" s="1487"/>
      <c r="CN40" s="1487"/>
      <c r="CO40" s="1487"/>
      <c r="CP40" s="1487"/>
      <c r="CQ40" s="1487"/>
      <c r="CR40" s="1487"/>
      <c r="CS40" s="1487"/>
      <c r="CT40" s="1487"/>
      <c r="CU40" s="1487"/>
      <c r="CV40" s="1487"/>
      <c r="CW40" s="889"/>
      <c r="CX40" s="1487"/>
      <c r="CY40" s="1487"/>
      <c r="CZ40" s="1487"/>
      <c r="DA40" s="889"/>
      <c r="DB40" s="889"/>
      <c r="DC40" s="889"/>
      <c r="DD40" s="889"/>
      <c r="DE40" s="889"/>
      <c r="DF40" s="889"/>
      <c r="DG40" s="889"/>
      <c r="DH40" s="889"/>
      <c r="DI40" s="889"/>
      <c r="DJ40" s="889"/>
      <c r="DK40" s="889"/>
      <c r="DL40" s="889"/>
      <c r="DM40" s="889"/>
      <c r="DP40" s="1648"/>
    </row>
    <row r="41" spans="1:120">
      <c r="AH41" s="890"/>
      <c r="AI41" s="890"/>
      <c r="AJ41" s="890"/>
      <c r="AK41" s="889"/>
      <c r="DP41" s="1648">
        <f>+DP30+DP32</f>
        <v>72251139.118240714</v>
      </c>
    </row>
    <row r="42" spans="1:120">
      <c r="D42" s="873">
        <f>+'Summary Valuation'!C30</f>
        <v>0</v>
      </c>
      <c r="H42" s="882">
        <f>+'Summary Valuation'!C38</f>
        <v>0</v>
      </c>
      <c r="L42" s="873">
        <f>+'Summary Valuation'!C34</f>
        <v>0</v>
      </c>
      <c r="P42" s="882">
        <f>+'Summary Valuation'!C36</f>
        <v>0</v>
      </c>
      <c r="T42" s="873">
        <f>+'Summary Valuation'!C40</f>
        <v>0</v>
      </c>
      <c r="X42" s="873">
        <f>+'Summary Valuation'!C32</f>
        <v>0</v>
      </c>
      <c r="AB42" s="873">
        <f>+'Summary Valuation'!C42</f>
        <v>-7541.9226160729513</v>
      </c>
      <c r="AF42" s="873">
        <f>+'Summary Valuation'!C44</f>
        <v>0</v>
      </c>
      <c r="AH42" s="890"/>
      <c r="AI42" s="890"/>
      <c r="AJ42" s="890">
        <f>+'Summary Valuation'!C68</f>
        <v>0</v>
      </c>
      <c r="AK42" s="889"/>
      <c r="AN42" s="873">
        <f>+'Summary Valuation'!C72</f>
        <v>0</v>
      </c>
      <c r="AR42" s="873">
        <f>+'Summary Valuation'!C74</f>
        <v>-7082.9425580510087</v>
      </c>
      <c r="AV42" s="873">
        <f>+'Summary Valuation'!C76</f>
        <v>-16101.627951668575</v>
      </c>
      <c r="AZ42" s="882">
        <f>+'Summary Valuation'!C78</f>
        <v>-76595.666666666628</v>
      </c>
      <c r="BD42" s="873">
        <f>+'Summary Valuation'!C80</f>
        <v>0</v>
      </c>
      <c r="BH42" s="873">
        <f>+'Summary Valuation'!C82</f>
        <v>0</v>
      </c>
      <c r="BL42" s="873">
        <f>+'Summary Valuation'!C84</f>
        <v>-276977.97953651223</v>
      </c>
      <c r="BP42" s="873">
        <f>+'Summary Valuation'!C96</f>
        <v>-341954.72858772718</v>
      </c>
      <c r="BT42" s="873">
        <f>+'Summary Valuation'!C98</f>
        <v>-425786.55243999965</v>
      </c>
      <c r="BX42" s="873">
        <f>+'Summary Valuation'!G98</f>
        <v>0</v>
      </c>
      <c r="CB42" s="873">
        <f>+'Summary Valuation'!K98</f>
        <v>0</v>
      </c>
      <c r="DP42" s="1648">
        <f>SUM(B42:BP42)</f>
        <v>-726254.86791669857</v>
      </c>
    </row>
    <row r="43" spans="1:120">
      <c r="D43" s="873">
        <f>+D42+D27+D15</f>
        <v>0</v>
      </c>
      <c r="H43" s="873">
        <f>+H42+H27+H15</f>
        <v>0</v>
      </c>
      <c r="L43" s="873">
        <f>+L42+L27+L15</f>
        <v>0</v>
      </c>
      <c r="P43" s="873">
        <f>+P42+P27+P15</f>
        <v>0</v>
      </c>
      <c r="T43" s="873">
        <f>+T42+T27+T15</f>
        <v>0</v>
      </c>
      <c r="X43" s="873">
        <f>+X42+X27+X15</f>
        <v>0</v>
      </c>
      <c r="AB43" s="873">
        <f>+AB42+AB27+AB15</f>
        <v>0</v>
      </c>
      <c r="AF43" s="873">
        <f>+AF42+AF27+AF15</f>
        <v>0</v>
      </c>
      <c r="AJ43" s="873">
        <f>+AJ27+AJ15+AJ42</f>
        <v>0</v>
      </c>
      <c r="AN43" s="873">
        <f>+AN42+AN15</f>
        <v>0</v>
      </c>
      <c r="AR43" s="873">
        <f>+AR42+AR27+AR15</f>
        <v>0</v>
      </c>
      <c r="AV43" s="873">
        <f>+AV42+AV27+AV15</f>
        <v>0</v>
      </c>
      <c r="AZ43" s="882">
        <f>+AZ42+AZ27+AZ15</f>
        <v>0</v>
      </c>
      <c r="BD43" s="873">
        <f>+BD27+BD15+BD42</f>
        <v>0</v>
      </c>
      <c r="BH43" s="873">
        <f>+BH42+BH27+BH15</f>
        <v>0</v>
      </c>
      <c r="BL43" s="873">
        <f>+BL27+BL15+BL42</f>
        <v>0</v>
      </c>
      <c r="BP43" s="873">
        <f>+BP42+BP27+BP15</f>
        <v>0</v>
      </c>
      <c r="DP43" s="1648">
        <f>SUM(DP41:DP42)</f>
        <v>71524884.250324011</v>
      </c>
    </row>
    <row r="51" spans="120:120">
      <c r="DP51" s="882">
        <f>'Mult Imported Valuation Summary'!DR9+'Grasmere Imported Valuation'!DN23+'Porta Imported Valuation'!Z8</f>
        <v>1082</v>
      </c>
    </row>
  </sheetData>
  <pageMargins left="0.70866141732283472" right="0.70866141732283472" top="0.74803149606299213" bottom="0.74803149606299213" header="0.31496062992125984" footer="0.31496062992125984"/>
  <pageSetup paperSize="9" scale="11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>
    <tabColor theme="9" tint="-0.249977111117893"/>
  </sheetPr>
  <dimension ref="A1:AW57"/>
  <sheetViews>
    <sheetView view="pageBreakPreview" zoomScale="60" zoomScaleNormal="100" workbookViewId="0">
      <pane xSplit="1" ySplit="5" topLeftCell="AN6" activePane="bottomRight" state="frozen"/>
      <selection pane="bottomRight" activeCell="AZ56" sqref="AZ56"/>
      <selection pane="bottomLeft" activeCell="AT31" sqref="AT31"/>
      <selection pane="topRight" activeCell="AT31" sqref="AT31"/>
    </sheetView>
  </sheetViews>
  <sheetFormatPr defaultColWidth="9.140625" defaultRowHeight="13.15"/>
  <cols>
    <col min="1" max="1" width="31.5703125" style="904" bestFit="1" customWidth="1"/>
    <col min="2" max="2" width="18.28515625" style="300" bestFit="1" customWidth="1"/>
    <col min="3" max="3" width="15.42578125" style="300" bestFit="1" customWidth="1"/>
    <col min="4" max="4" width="17.28515625" style="739" bestFit="1" customWidth="1"/>
    <col min="5" max="5" width="0.5703125" style="300" customWidth="1"/>
    <col min="6" max="6" width="16.140625" style="300" bestFit="1" customWidth="1"/>
    <col min="7" max="7" width="14.42578125" style="300" bestFit="1" customWidth="1"/>
    <col min="8" max="8" width="15.42578125" style="739" bestFit="1" customWidth="1"/>
    <col min="9" max="9" width="0.7109375" style="300" customWidth="1"/>
    <col min="10" max="10" width="16.140625" style="300" bestFit="1" customWidth="1"/>
    <col min="11" max="11" width="14.42578125" style="300" bestFit="1" customWidth="1"/>
    <col min="12" max="12" width="15.42578125" style="739" bestFit="1" customWidth="1"/>
    <col min="13" max="13" width="0.5703125" style="300" customWidth="1"/>
    <col min="14" max="14" width="16.140625" style="300" bestFit="1" customWidth="1"/>
    <col min="15" max="15" width="14.42578125" style="300" bestFit="1" customWidth="1"/>
    <col min="16" max="16" width="16.5703125" style="739" bestFit="1" customWidth="1"/>
    <col min="17" max="17" width="0.7109375" style="300" customWidth="1"/>
    <col min="18" max="18" width="16.140625" style="300" bestFit="1" customWidth="1"/>
    <col min="19" max="19" width="14.85546875" style="300" bestFit="1" customWidth="1"/>
    <col min="20" max="20" width="16.5703125" style="300" bestFit="1" customWidth="1"/>
    <col min="21" max="21" width="0.7109375" style="300" customWidth="1"/>
    <col min="22" max="22" width="16.140625" style="300" bestFit="1" customWidth="1"/>
    <col min="23" max="24" width="14.42578125" style="300" bestFit="1" customWidth="1"/>
    <col min="25" max="25" width="0.5703125" style="300" customWidth="1"/>
    <col min="26" max="26" width="16.140625" style="300" bestFit="1" customWidth="1"/>
    <col min="27" max="27" width="14" style="300" bestFit="1" customWidth="1"/>
    <col min="28" max="28" width="17" style="300" bestFit="1" customWidth="1"/>
    <col min="29" max="29" width="0.7109375" style="300" customWidth="1"/>
    <col min="30" max="30" width="16.140625" style="300" bestFit="1" customWidth="1"/>
    <col min="31" max="31" width="14" style="300" bestFit="1" customWidth="1"/>
    <col min="32" max="32" width="15.42578125" style="300" bestFit="1" customWidth="1"/>
    <col min="33" max="33" width="0.42578125" style="300" customWidth="1"/>
    <col min="34" max="34" width="16.140625" style="300" bestFit="1" customWidth="1"/>
    <col min="35" max="35" width="16.5703125" style="300" bestFit="1" customWidth="1"/>
    <col min="36" max="36" width="18.7109375" style="300" bestFit="1" customWidth="1"/>
    <col min="37" max="37" width="0.5703125" style="300" customWidth="1"/>
    <col min="38" max="38" width="16.140625" style="300" bestFit="1" customWidth="1"/>
    <col min="39" max="39" width="16.5703125" style="300" bestFit="1" customWidth="1"/>
    <col min="40" max="40" width="18.7109375" style="300" bestFit="1" customWidth="1"/>
    <col min="41" max="41" width="0.85546875" style="300" customWidth="1"/>
    <col min="42" max="42" width="12" style="300" bestFit="1" customWidth="1"/>
    <col min="43" max="43" width="16.5703125" style="300" bestFit="1" customWidth="1"/>
    <col min="44" max="44" width="20.140625" style="300" bestFit="1" customWidth="1"/>
    <col min="45" max="45" width="15.28515625" style="300" customWidth="1"/>
    <col min="46" max="47" width="14.5703125" style="300" bestFit="1" customWidth="1"/>
    <col min="48" max="48" width="13.5703125" style="300" bestFit="1" customWidth="1"/>
    <col min="49" max="49" width="14" style="300" bestFit="1" customWidth="1"/>
    <col min="50" max="51" width="9.140625" style="300"/>
    <col min="52" max="52" width="9.42578125" style="300" bestFit="1" customWidth="1"/>
    <col min="53" max="16384" width="9.140625" style="300"/>
  </cols>
  <sheetData>
    <row r="1" spans="1:49" ht="13.9">
      <c r="A1" s="901">
        <f>+'Summary Total Pigs'!C3</f>
        <v>46226</v>
      </c>
    </row>
    <row r="2" spans="1:49" ht="13.9">
      <c r="A2" s="902" t="str">
        <f>+'[55]Grasmere valuation '!A2</f>
        <v>IMPORTED PIGS MOVEMENT</v>
      </c>
      <c r="AT2" s="903"/>
      <c r="AU2" s="903"/>
    </row>
    <row r="3" spans="1:49" ht="13.9">
      <c r="B3" s="905" t="s">
        <v>1579</v>
      </c>
      <c r="C3" s="906">
        <f>36-C4</f>
        <v>0</v>
      </c>
      <c r="D3" s="907" t="s">
        <v>1580</v>
      </c>
      <c r="F3" s="905" t="str">
        <f>+B3</f>
        <v>Avail. For Amort</v>
      </c>
      <c r="G3" s="909">
        <f>36-G4</f>
        <v>0</v>
      </c>
      <c r="H3" s="908" t="str">
        <f>+D3</f>
        <v>Months</v>
      </c>
      <c r="J3" s="905" t="str">
        <f>+F3</f>
        <v>Avail. For Amort</v>
      </c>
      <c r="K3" s="909">
        <f>36-K4</f>
        <v>0</v>
      </c>
      <c r="L3" s="908" t="str">
        <f>+H3</f>
        <v>Months</v>
      </c>
      <c r="N3" s="905" t="str">
        <f>+J3</f>
        <v>Avail. For Amort</v>
      </c>
      <c r="O3" s="909">
        <f>36-O4</f>
        <v>0</v>
      </c>
      <c r="P3" s="909" t="str">
        <f>+L3</f>
        <v>Months</v>
      </c>
      <c r="R3" s="905" t="str">
        <f>+N3</f>
        <v>Avail. For Amort</v>
      </c>
      <c r="S3" s="909">
        <f>36-S4</f>
        <v>0</v>
      </c>
      <c r="T3" s="910" t="str">
        <f>+P3</f>
        <v>Months</v>
      </c>
      <c r="V3" s="905" t="str">
        <f>+R3</f>
        <v>Avail. For Amort</v>
      </c>
      <c r="W3" s="909">
        <f>36-W4</f>
        <v>0</v>
      </c>
      <c r="X3" s="910" t="str">
        <f>+T3</f>
        <v>Months</v>
      </c>
      <c r="Z3" s="905" t="str">
        <f>+V3</f>
        <v>Avail. For Amort</v>
      </c>
      <c r="AA3" s="909">
        <f>36-AA4</f>
        <v>0</v>
      </c>
      <c r="AB3" s="910" t="str">
        <f>+X3</f>
        <v>Months</v>
      </c>
      <c r="AD3" s="905" t="str">
        <f>+Z3</f>
        <v>Avail. For Amort</v>
      </c>
      <c r="AE3" s="909">
        <f>36-AE4</f>
        <v>0</v>
      </c>
      <c r="AF3" s="910" t="str">
        <f>+AB3</f>
        <v>Months</v>
      </c>
      <c r="AH3" s="905" t="str">
        <f>+AD3</f>
        <v>Avail. For Amort</v>
      </c>
      <c r="AI3" s="905">
        <f>36-AI4</f>
        <v>0</v>
      </c>
      <c r="AJ3" s="910" t="str">
        <f>+AF3</f>
        <v>Months</v>
      </c>
      <c r="AL3" s="905" t="str">
        <f>+AH3</f>
        <v>Avail. For Amort</v>
      </c>
      <c r="AM3" s="905">
        <f>36-AM4</f>
        <v>0</v>
      </c>
      <c r="AN3" s="910" t="str">
        <f>+AJ3</f>
        <v>Months</v>
      </c>
      <c r="AP3" s="905"/>
      <c r="AQ3" s="905"/>
      <c r="AR3" s="910"/>
    </row>
    <row r="4" spans="1:49" s="884" customFormat="1" ht="13.9">
      <c r="A4" s="911" t="s">
        <v>1597</v>
      </c>
      <c r="B4" s="912">
        <v>42979</v>
      </c>
      <c r="C4" s="913">
        <v>36</v>
      </c>
      <c r="D4" s="914" t="s">
        <v>1580</v>
      </c>
      <c r="E4" s="915"/>
      <c r="F4" s="1048">
        <v>43009</v>
      </c>
      <c r="G4" s="916">
        <v>36</v>
      </c>
      <c r="H4" s="917" t="str">
        <f>+D4</f>
        <v>Months</v>
      </c>
      <c r="I4" s="915"/>
      <c r="J4" s="1803" t="e">
        <f>+'Richlands A LINE'!#REF!</f>
        <v>#REF!</v>
      </c>
      <c r="K4" s="916">
        <v>36</v>
      </c>
      <c r="L4" s="917" t="str">
        <f>+H4</f>
        <v>Months</v>
      </c>
      <c r="M4" s="915"/>
      <c r="N4" s="1048">
        <v>43040</v>
      </c>
      <c r="O4" s="916">
        <v>36</v>
      </c>
      <c r="P4" s="918" t="str">
        <f>+L4</f>
        <v>Months</v>
      </c>
      <c r="Q4" s="915"/>
      <c r="R4" s="1048">
        <v>43070</v>
      </c>
      <c r="S4" s="916">
        <v>36</v>
      </c>
      <c r="T4" s="918" t="str">
        <f>+P4</f>
        <v>Months</v>
      </c>
      <c r="U4" s="915"/>
      <c r="V4" s="1048">
        <v>43160</v>
      </c>
      <c r="W4" s="916">
        <v>36</v>
      </c>
      <c r="X4" s="918" t="s">
        <v>1580</v>
      </c>
      <c r="Y4" s="915"/>
      <c r="Z4" s="1048">
        <v>43374</v>
      </c>
      <c r="AA4" s="916">
        <v>36</v>
      </c>
      <c r="AB4" s="918" t="s">
        <v>1580</v>
      </c>
      <c r="AC4" s="915"/>
      <c r="AD4" s="1048">
        <v>43282</v>
      </c>
      <c r="AE4" s="916">
        <v>36</v>
      </c>
      <c r="AF4" s="918" t="s">
        <v>1580</v>
      </c>
      <c r="AG4" s="915"/>
      <c r="AH4" s="1048">
        <f>'Richlands A LINE'!E4</f>
        <v>0</v>
      </c>
      <c r="AI4" s="916">
        <v>36</v>
      </c>
      <c r="AJ4" s="918" t="s">
        <v>1580</v>
      </c>
      <c r="AK4" s="915"/>
      <c r="AL4" s="1048" t="e">
        <f>'Richlands A LINE'!#REF!</f>
        <v>#REF!</v>
      </c>
      <c r="AM4" s="916">
        <v>36</v>
      </c>
      <c r="AN4" s="918" t="s">
        <v>1580</v>
      </c>
      <c r="AO4" s="915"/>
      <c r="AP4" s="1048" t="s">
        <v>115</v>
      </c>
      <c r="AQ4" s="916"/>
      <c r="AR4" s="918"/>
      <c r="AS4" s="919"/>
    </row>
    <row r="5" spans="1:49" s="884" customFormat="1" ht="13.9">
      <c r="A5" s="920"/>
      <c r="B5" s="921" t="s">
        <v>1581</v>
      </c>
      <c r="C5" s="922" t="s">
        <v>1590</v>
      </c>
      <c r="D5" s="923" t="s">
        <v>1583</v>
      </c>
      <c r="E5" s="915"/>
      <c r="F5" s="921" t="s">
        <v>1581</v>
      </c>
      <c r="G5" s="922" t="s">
        <v>1582</v>
      </c>
      <c r="H5" s="923" t="s">
        <v>71</v>
      </c>
      <c r="I5" s="915"/>
      <c r="J5" s="921" t="s">
        <v>1581</v>
      </c>
      <c r="K5" s="922" t="s">
        <v>1582</v>
      </c>
      <c r="L5" s="923" t="s">
        <v>71</v>
      </c>
      <c r="M5" s="915"/>
      <c r="N5" s="921" t="s">
        <v>1581</v>
      </c>
      <c r="O5" s="922" t="s">
        <v>1582</v>
      </c>
      <c r="P5" s="923" t="s">
        <v>71</v>
      </c>
      <c r="Q5" s="915"/>
      <c r="R5" s="921" t="s">
        <v>1581</v>
      </c>
      <c r="S5" s="922" t="s">
        <v>1582</v>
      </c>
      <c r="T5" s="924" t="s">
        <v>71</v>
      </c>
      <c r="U5" s="915"/>
      <c r="V5" s="921" t="s">
        <v>1581</v>
      </c>
      <c r="W5" s="922" t="s">
        <v>1582</v>
      </c>
      <c r="X5" s="924" t="s">
        <v>71</v>
      </c>
      <c r="Y5" s="915"/>
      <c r="Z5" s="921" t="s">
        <v>1581</v>
      </c>
      <c r="AA5" s="922" t="s">
        <v>1582</v>
      </c>
      <c r="AB5" s="924" t="s">
        <v>71</v>
      </c>
      <c r="AC5" s="915"/>
      <c r="AD5" s="921" t="s">
        <v>1581</v>
      </c>
      <c r="AE5" s="922" t="s">
        <v>1582</v>
      </c>
      <c r="AF5" s="924" t="s">
        <v>71</v>
      </c>
      <c r="AG5" s="915"/>
      <c r="AH5" s="921" t="s">
        <v>1581</v>
      </c>
      <c r="AI5" s="922" t="s">
        <v>1582</v>
      </c>
      <c r="AJ5" s="924" t="s">
        <v>71</v>
      </c>
      <c r="AK5" s="915"/>
      <c r="AL5" s="921" t="s">
        <v>1581</v>
      </c>
      <c r="AM5" s="922" t="s">
        <v>1582</v>
      </c>
      <c r="AN5" s="924" t="s">
        <v>71</v>
      </c>
      <c r="AO5" s="915"/>
      <c r="AP5" s="921" t="s">
        <v>1581</v>
      </c>
      <c r="AQ5" s="922" t="s">
        <v>1582</v>
      </c>
      <c r="AR5" s="924" t="s">
        <v>71</v>
      </c>
    </row>
    <row r="6" spans="1:49" s="739" customFormat="1">
      <c r="A6" s="925" t="str">
        <f>+'[55]Grasmere valuation '!A7</f>
        <v>Purchases</v>
      </c>
      <c r="B6" s="926"/>
      <c r="C6" s="927"/>
      <c r="D6" s="928"/>
      <c r="F6" s="926"/>
      <c r="G6" s="927"/>
      <c r="H6" s="928"/>
      <c r="J6" s="926"/>
      <c r="K6" s="927"/>
      <c r="L6" s="928"/>
      <c r="N6" s="926"/>
      <c r="O6" s="927"/>
      <c r="P6" s="928"/>
      <c r="R6" s="926"/>
      <c r="S6" s="927"/>
      <c r="T6" s="928"/>
      <c r="V6" s="926"/>
      <c r="W6" s="927"/>
      <c r="X6" s="928"/>
      <c r="Z6" s="926"/>
      <c r="AA6" s="927"/>
      <c r="AB6" s="928"/>
      <c r="AD6" s="926"/>
      <c r="AE6" s="927"/>
      <c r="AF6" s="928"/>
      <c r="AH6" s="926"/>
      <c r="AI6" s="927"/>
      <c r="AJ6" s="928"/>
      <c r="AL6" s="926"/>
      <c r="AM6" s="927"/>
      <c r="AN6" s="928"/>
      <c r="AP6" s="926">
        <f>+B6+F6+J6+N6+R6+V6+Z6+AD6+AH6+AL6</f>
        <v>0</v>
      </c>
      <c r="AQ6" s="927" t="e">
        <f>+AR6/AP6</f>
        <v>#DIV/0!</v>
      </c>
      <c r="AR6" s="928">
        <f>+D6+H6+L6+P6+T6+X6+AB6+AF6+AJ6+AN6</f>
        <v>0</v>
      </c>
      <c r="AS6" s="308"/>
    </row>
    <row r="7" spans="1:49" s="739" customFormat="1">
      <c r="A7" s="925" t="str">
        <f>+'[55]Grasmere valuation '!A8</f>
        <v>Mortality</v>
      </c>
      <c r="B7" s="926"/>
      <c r="C7" s="927"/>
      <c r="D7" s="928"/>
      <c r="F7" s="926"/>
      <c r="G7" s="927"/>
      <c r="H7" s="928"/>
      <c r="J7" s="926"/>
      <c r="K7" s="927"/>
      <c r="L7" s="928"/>
      <c r="N7" s="926"/>
      <c r="O7" s="927"/>
      <c r="P7" s="928"/>
      <c r="R7" s="926"/>
      <c r="S7" s="927"/>
      <c r="T7" s="928"/>
      <c r="V7" s="926"/>
      <c r="W7" s="927"/>
      <c r="X7" s="928"/>
      <c r="Z7" s="926"/>
      <c r="AA7" s="927"/>
      <c r="AB7" s="928"/>
      <c r="AD7" s="926"/>
      <c r="AE7" s="927"/>
      <c r="AF7" s="928"/>
      <c r="AH7" s="926"/>
      <c r="AI7" s="927"/>
      <c r="AJ7" s="928"/>
      <c r="AL7" s="926"/>
      <c r="AM7" s="927"/>
      <c r="AN7" s="928"/>
      <c r="AP7" s="926">
        <f>+B7+F7+J7+N7+R7+V7+Z7+AD7+AH7+AL7</f>
        <v>0</v>
      </c>
      <c r="AQ7" s="927" t="e">
        <f>+AQ6</f>
        <v>#DIV/0!</v>
      </c>
      <c r="AR7" s="928">
        <f>+D7+H7+L7+P7+T7+X7+AB7+AF7+AJ7+AN7</f>
        <v>0</v>
      </c>
      <c r="AS7" s="308"/>
    </row>
    <row r="8" spans="1:49" s="872" customFormat="1" ht="13.9">
      <c r="A8" s="929" t="str">
        <f>+'[55]Grasmere valuation '!A9</f>
        <v>Sows Available for Amortisation</v>
      </c>
      <c r="B8" s="930"/>
      <c r="C8" s="931"/>
      <c r="D8" s="932"/>
      <c r="F8" s="930"/>
      <c r="G8" s="931"/>
      <c r="H8" s="932"/>
      <c r="J8" s="930"/>
      <c r="K8" s="931"/>
      <c r="L8" s="932"/>
      <c r="N8" s="930"/>
      <c r="O8" s="931"/>
      <c r="P8" s="932"/>
      <c r="R8" s="930"/>
      <c r="S8" s="931"/>
      <c r="T8" s="932"/>
      <c r="V8" s="930"/>
      <c r="W8" s="931"/>
      <c r="X8" s="932"/>
      <c r="Z8" s="930"/>
      <c r="AA8" s="931"/>
      <c r="AB8" s="932"/>
      <c r="AD8" s="930"/>
      <c r="AE8" s="931"/>
      <c r="AF8" s="932"/>
      <c r="AH8" s="930"/>
      <c r="AI8" s="931"/>
      <c r="AJ8" s="932"/>
      <c r="AL8" s="930"/>
      <c r="AM8" s="931"/>
      <c r="AN8" s="932"/>
      <c r="AP8" s="930">
        <f>+AP6+AP7</f>
        <v>0</v>
      </c>
      <c r="AQ8" s="931" t="e">
        <f>+AR8/AP8</f>
        <v>#DIV/0!</v>
      </c>
      <c r="AR8" s="932">
        <f>+AR6+AR7</f>
        <v>0</v>
      </c>
      <c r="AS8" s="934"/>
    </row>
    <row r="9" spans="1:49" s="739" customFormat="1">
      <c r="A9" s="935" t="str">
        <f>+'[55]Grasmere valuation '!A10</f>
        <v>Residual Value KGs</v>
      </c>
      <c r="B9" s="926"/>
      <c r="C9" s="927"/>
      <c r="D9" s="928"/>
      <c r="F9" s="926"/>
      <c r="G9" s="927"/>
      <c r="H9" s="928"/>
      <c r="J9" s="926"/>
      <c r="K9" s="927"/>
      <c r="L9" s="928"/>
      <c r="N9" s="926"/>
      <c r="O9" s="927"/>
      <c r="P9" s="928"/>
      <c r="R9" s="926"/>
      <c r="S9" s="927"/>
      <c r="T9" s="928"/>
      <c r="V9" s="926"/>
      <c r="W9" s="927"/>
      <c r="X9" s="928"/>
      <c r="Z9" s="926"/>
      <c r="AA9" s="927"/>
      <c r="AB9" s="928"/>
      <c r="AD9" s="926"/>
      <c r="AE9" s="927"/>
      <c r="AF9" s="928"/>
      <c r="AH9" s="926"/>
      <c r="AI9" s="927"/>
      <c r="AJ9" s="928"/>
      <c r="AL9" s="926"/>
      <c r="AM9" s="927"/>
      <c r="AN9" s="928"/>
      <c r="AP9" s="926">
        <f>+V9</f>
        <v>0</v>
      </c>
      <c r="AQ9" s="927">
        <f>+AP9</f>
        <v>0</v>
      </c>
      <c r="AR9" s="928">
        <f>+D9+H9+L9+P9+T9+X9+AB9+AF9+AJ9+AN9</f>
        <v>0</v>
      </c>
      <c r="AS9" s="308"/>
    </row>
    <row r="10" spans="1:49" s="739" customFormat="1" ht="13.9">
      <c r="A10" s="935" t="str">
        <f>+'[55]Grasmere valuation '!A11</f>
        <v>Depreciable Amount</v>
      </c>
      <c r="B10" s="930"/>
      <c r="C10" s="927"/>
      <c r="D10" s="932"/>
      <c r="F10" s="930"/>
      <c r="G10" s="927"/>
      <c r="H10" s="928"/>
      <c r="J10" s="930"/>
      <c r="K10" s="927"/>
      <c r="L10" s="928"/>
      <c r="N10" s="930"/>
      <c r="O10" s="927"/>
      <c r="P10" s="928"/>
      <c r="R10" s="930"/>
      <c r="S10" s="927"/>
      <c r="T10" s="928"/>
      <c r="V10" s="930"/>
      <c r="W10" s="927"/>
      <c r="X10" s="928"/>
      <c r="Z10" s="930"/>
      <c r="AA10" s="927"/>
      <c r="AB10" s="928"/>
      <c r="AD10" s="930"/>
      <c r="AE10" s="927"/>
      <c r="AF10" s="928"/>
      <c r="AH10" s="930"/>
      <c r="AI10" s="927"/>
      <c r="AJ10" s="928"/>
      <c r="AL10" s="930"/>
      <c r="AM10" s="927"/>
      <c r="AN10" s="928"/>
      <c r="AP10" s="930">
        <f>+B10+F10+J10+N10+R10+V10+Z10+AD10+AH10+AL10</f>
        <v>0</v>
      </c>
      <c r="AQ10" s="927"/>
      <c r="AR10" s="928">
        <f>+AR8+AR9</f>
        <v>0</v>
      </c>
      <c r="AS10" s="308"/>
    </row>
    <row r="11" spans="1:49" s="739" customFormat="1">
      <c r="A11" s="935"/>
      <c r="B11" s="926"/>
      <c r="C11" s="927"/>
      <c r="D11" s="928"/>
      <c r="F11" s="926"/>
      <c r="G11" s="927"/>
      <c r="H11" s="928"/>
      <c r="J11" s="926"/>
      <c r="K11" s="927"/>
      <c r="L11" s="928"/>
      <c r="N11" s="926"/>
      <c r="O11" s="927"/>
      <c r="P11" s="928"/>
      <c r="R11" s="926"/>
      <c r="S11" s="927"/>
      <c r="T11" s="928"/>
      <c r="V11" s="926"/>
      <c r="W11" s="927"/>
      <c r="X11" s="928"/>
      <c r="Z11" s="926"/>
      <c r="AA11" s="927"/>
      <c r="AB11" s="928"/>
      <c r="AD11" s="926"/>
      <c r="AE11" s="927"/>
      <c r="AF11" s="928"/>
      <c r="AH11" s="926"/>
      <c r="AI11" s="927"/>
      <c r="AJ11" s="928"/>
      <c r="AL11" s="926"/>
      <c r="AM11" s="927"/>
      <c r="AN11" s="928"/>
      <c r="AP11" s="926"/>
      <c r="AQ11" s="927"/>
      <c r="AR11" s="928">
        <f>+D11+H11+L11+P11+T11+X11+AB11+AF11+AJ11+AN11</f>
        <v>0</v>
      </c>
      <c r="AS11" s="308"/>
    </row>
    <row r="12" spans="1:49" s="739" customFormat="1">
      <c r="A12" s="935" t="str">
        <f>+'[55]Grasmere valuation '!A13</f>
        <v>Monthly Amortisation</v>
      </c>
      <c r="B12" s="926"/>
      <c r="C12" s="927"/>
      <c r="D12" s="928"/>
      <c r="F12" s="926"/>
      <c r="G12" s="927"/>
      <c r="H12" s="928"/>
      <c r="J12" s="926"/>
      <c r="K12" s="927"/>
      <c r="L12" s="928"/>
      <c r="N12" s="926"/>
      <c r="O12" s="927"/>
      <c r="P12" s="928"/>
      <c r="R12" s="926"/>
      <c r="S12" s="927"/>
      <c r="T12" s="928"/>
      <c r="V12" s="926"/>
      <c r="W12" s="927"/>
      <c r="X12" s="928"/>
      <c r="Z12" s="926"/>
      <c r="AA12" s="927"/>
      <c r="AB12" s="928"/>
      <c r="AD12" s="926"/>
      <c r="AE12" s="927"/>
      <c r="AF12" s="928"/>
      <c r="AH12" s="926"/>
      <c r="AI12" s="927"/>
      <c r="AJ12" s="928"/>
      <c r="AL12" s="926"/>
      <c r="AM12" s="927"/>
      <c r="AN12" s="928"/>
      <c r="AP12" s="926"/>
      <c r="AQ12" s="927"/>
      <c r="AR12" s="928">
        <f>+D12+H12+L12+P12+T12+X12+AB12+AF12+AJ12+AN12</f>
        <v>0</v>
      </c>
      <c r="AS12" s="308"/>
    </row>
    <row r="13" spans="1:49" s="872" customFormat="1" ht="13.9">
      <c r="A13" s="935"/>
      <c r="B13" s="933"/>
      <c r="C13" s="931"/>
      <c r="D13" s="932"/>
      <c r="F13" s="933"/>
      <c r="G13" s="931"/>
      <c r="H13" s="932"/>
      <c r="J13" s="933"/>
      <c r="K13" s="931"/>
      <c r="L13" s="932"/>
      <c r="N13" s="933"/>
      <c r="O13" s="931"/>
      <c r="P13" s="932"/>
      <c r="R13" s="933"/>
      <c r="S13" s="931"/>
      <c r="T13" s="932"/>
      <c r="V13" s="933"/>
      <c r="W13" s="931"/>
      <c r="X13" s="932"/>
      <c r="Z13" s="933"/>
      <c r="AA13" s="931"/>
      <c r="AB13" s="932"/>
      <c r="AD13" s="933"/>
      <c r="AE13" s="931"/>
      <c r="AF13" s="932"/>
      <c r="AH13" s="933"/>
      <c r="AI13" s="931"/>
      <c r="AJ13" s="932"/>
      <c r="AL13" s="933"/>
      <c r="AM13" s="931"/>
      <c r="AN13" s="932"/>
      <c r="AP13" s="933"/>
      <c r="AQ13" s="931"/>
      <c r="AR13" s="928">
        <f>+D13+H13+L13+P13+T13+X13+AB13+AF13+AJ13+AN13</f>
        <v>0</v>
      </c>
      <c r="AS13" s="308"/>
    </row>
    <row r="14" spans="1:49" s="739" customFormat="1" ht="13.9">
      <c r="A14" s="935" t="str">
        <f>+'[55]Grasmere valuation '!A15</f>
        <v xml:space="preserve">Cummulative Amortisation </v>
      </c>
      <c r="B14" s="926"/>
      <c r="C14" s="927"/>
      <c r="D14" s="928"/>
      <c r="F14" s="926"/>
      <c r="G14" s="927"/>
      <c r="H14" s="928"/>
      <c r="J14" s="926"/>
      <c r="K14" s="927"/>
      <c r="L14" s="928"/>
      <c r="N14" s="926"/>
      <c r="O14" s="927"/>
      <c r="P14" s="936"/>
      <c r="R14" s="926"/>
      <c r="S14" s="927"/>
      <c r="T14" s="936"/>
      <c r="V14" s="926"/>
      <c r="W14" s="927"/>
      <c r="X14" s="936"/>
      <c r="Z14" s="926"/>
      <c r="AA14" s="927"/>
      <c r="AB14" s="927"/>
      <c r="AD14" s="926"/>
      <c r="AE14" s="927"/>
      <c r="AF14" s="936"/>
      <c r="AH14" s="926"/>
      <c r="AI14" s="927"/>
      <c r="AJ14" s="936"/>
      <c r="AL14" s="926"/>
      <c r="AM14" s="927"/>
      <c r="AN14" s="936"/>
      <c r="AP14" s="926"/>
      <c r="AQ14" s="927"/>
      <c r="AR14" s="928">
        <f>+D14+H14+L14+P14+T14+X14+AB14+AF14+AJ14+AN14</f>
        <v>0</v>
      </c>
      <c r="AS14" s="308"/>
    </row>
    <row r="15" spans="1:49">
      <c r="B15" s="937"/>
      <c r="D15" s="751"/>
      <c r="F15" s="937"/>
      <c r="H15" s="751"/>
      <c r="J15" s="937"/>
      <c r="L15" s="751"/>
      <c r="N15" s="937"/>
      <c r="P15" s="751"/>
      <c r="R15" s="937"/>
      <c r="T15" s="751"/>
      <c r="V15" s="937"/>
      <c r="X15" s="751"/>
      <c r="Z15" s="937"/>
      <c r="AB15" s="751"/>
      <c r="AD15" s="937"/>
      <c r="AF15" s="751"/>
      <c r="AH15" s="937"/>
      <c r="AJ15" s="938"/>
      <c r="AL15" s="937"/>
      <c r="AN15" s="938"/>
      <c r="AP15" s="937"/>
      <c r="AR15" s="751"/>
      <c r="AV15" s="739"/>
      <c r="AW15" s="944"/>
    </row>
    <row r="16" spans="1:49" ht="13.9">
      <c r="B16" s="939"/>
      <c r="C16" s="927"/>
      <c r="D16" s="941"/>
      <c r="F16" s="942"/>
      <c r="G16" s="927"/>
      <c r="H16" s="943"/>
      <c r="J16" s="942"/>
      <c r="K16" s="927"/>
      <c r="L16" s="943"/>
      <c r="N16" s="942"/>
      <c r="O16" s="927"/>
      <c r="P16" s="943"/>
      <c r="R16" s="942"/>
      <c r="S16" s="927"/>
      <c r="T16" s="943"/>
      <c r="V16" s="942"/>
      <c r="W16" s="927"/>
      <c r="X16" s="943"/>
      <c r="Z16" s="942"/>
      <c r="AA16" s="927"/>
      <c r="AB16" s="943"/>
      <c r="AD16" s="942"/>
      <c r="AE16" s="927"/>
      <c r="AF16" s="943"/>
      <c r="AH16" s="947"/>
      <c r="AI16" s="905"/>
      <c r="AJ16" s="949"/>
      <c r="AL16" s="947"/>
      <c r="AM16" s="905"/>
      <c r="AN16" s="949"/>
      <c r="AP16" s="947"/>
      <c r="AQ16" s="905"/>
      <c r="AR16" s="1270"/>
      <c r="AV16" s="944"/>
      <c r="AW16" s="944"/>
    </row>
    <row r="17" spans="1:48" s="884" customFormat="1" ht="13.9">
      <c r="A17" s="902" t="s">
        <v>1598</v>
      </c>
      <c r="B17" s="945"/>
      <c r="C17" s="940"/>
      <c r="D17" s="946"/>
      <c r="F17" s="945"/>
      <c r="G17" s="940"/>
      <c r="H17" s="946"/>
      <c r="J17" s="945"/>
      <c r="K17" s="940"/>
      <c r="L17" s="946"/>
      <c r="N17" s="945"/>
      <c r="O17" s="940"/>
      <c r="P17" s="946"/>
      <c r="R17" s="945"/>
      <c r="S17" s="940"/>
      <c r="T17" s="946"/>
      <c r="V17" s="945"/>
      <c r="W17" s="940"/>
      <c r="X17" s="946"/>
      <c r="Z17" s="945"/>
      <c r="AA17" s="940"/>
      <c r="AB17" s="946"/>
      <c r="AD17" s="945"/>
      <c r="AE17" s="940"/>
      <c r="AF17" s="946"/>
      <c r="AH17" s="2162"/>
      <c r="AI17" s="2163"/>
      <c r="AJ17" s="2164"/>
      <c r="AL17" s="2162"/>
      <c r="AM17" s="2163"/>
      <c r="AN17" s="2164"/>
      <c r="AP17" s="2162" t="s">
        <v>115</v>
      </c>
      <c r="AQ17" s="2165"/>
      <c r="AR17" s="2166"/>
      <c r="AS17" s="919"/>
    </row>
    <row r="18" spans="1:48">
      <c r="A18" s="904" t="str">
        <f>+A6</f>
        <v>Purchases</v>
      </c>
      <c r="B18" s="947"/>
      <c r="C18" s="948"/>
      <c r="D18" s="928"/>
      <c r="F18" s="947"/>
      <c r="G18" s="948"/>
      <c r="H18" s="928"/>
      <c r="J18" s="947"/>
      <c r="K18" s="948"/>
      <c r="L18" s="928"/>
      <c r="N18" s="947"/>
      <c r="O18" s="948"/>
      <c r="P18" s="928"/>
      <c r="R18" s="947"/>
      <c r="S18" s="948"/>
      <c r="T18" s="928"/>
      <c r="V18" s="947"/>
      <c r="W18" s="948"/>
      <c r="X18" s="928"/>
      <c r="Z18" s="947"/>
      <c r="AA18" s="948"/>
      <c r="AB18" s="928"/>
      <c r="AD18" s="947"/>
      <c r="AE18" s="948"/>
      <c r="AF18" s="928"/>
      <c r="AH18" s="947"/>
      <c r="AI18" s="905"/>
      <c r="AJ18" s="949"/>
      <c r="AL18" s="947"/>
      <c r="AM18" s="905"/>
      <c r="AN18" s="949"/>
      <c r="AP18" s="926">
        <f>+B18+F18+J18+N18+R18+V18+Z18+AD18</f>
        <v>0</v>
      </c>
      <c r="AQ18" s="927" t="e">
        <f>+AR18/AP18</f>
        <v>#DIV/0!</v>
      </c>
      <c r="AR18" s="928">
        <f>+D18+H18+L18+P18+T18+X18+AB18+AF18+AJ18+AN18</f>
        <v>0</v>
      </c>
      <c r="AS18" s="308"/>
      <c r="AT18" s="944"/>
      <c r="AU18" s="944"/>
    </row>
    <row r="19" spans="1:48">
      <c r="A19" s="904" t="str">
        <f>+A7</f>
        <v>Mortality</v>
      </c>
      <c r="B19" s="947"/>
      <c r="C19" s="948"/>
      <c r="D19" s="928"/>
      <c r="F19" s="947"/>
      <c r="G19" s="948"/>
      <c r="H19" s="928"/>
      <c r="J19" s="947"/>
      <c r="K19" s="948"/>
      <c r="L19" s="928"/>
      <c r="N19" s="947"/>
      <c r="O19" s="948"/>
      <c r="P19" s="928"/>
      <c r="R19" s="947"/>
      <c r="S19" s="948"/>
      <c r="T19" s="928"/>
      <c r="V19" s="947"/>
      <c r="W19" s="948"/>
      <c r="X19" s="928"/>
      <c r="Z19" s="947"/>
      <c r="AA19" s="948"/>
      <c r="AB19" s="928"/>
      <c r="AD19" s="947"/>
      <c r="AE19" s="948"/>
      <c r="AF19" s="928"/>
      <c r="AH19" s="947"/>
      <c r="AI19" s="905"/>
      <c r="AJ19" s="949"/>
      <c r="AL19" s="947"/>
      <c r="AM19" s="905"/>
      <c r="AN19" s="949"/>
      <c r="AP19" s="926">
        <f>+B19+F19+J19+N19+R19+V19+Z19+AD19</f>
        <v>0</v>
      </c>
      <c r="AQ19" s="927" t="e">
        <f>+AR19/AP19</f>
        <v>#DIV/0!</v>
      </c>
      <c r="AR19" s="928">
        <f>+D19+H19+L19+P19+T19+X19+AB19+AF19+AJ19+AN19</f>
        <v>0</v>
      </c>
      <c r="AS19" s="308"/>
      <c r="AU19" s="1736"/>
    </row>
    <row r="20" spans="1:48" s="884" customFormat="1" ht="13.9">
      <c r="A20" s="950" t="str">
        <f>+A8</f>
        <v>Sows Available for Amortisation</v>
      </c>
      <c r="B20" s="951"/>
      <c r="C20" s="952"/>
      <c r="D20" s="932"/>
      <c r="F20" s="951"/>
      <c r="G20" s="952"/>
      <c r="H20" s="932"/>
      <c r="J20" s="951"/>
      <c r="K20" s="952"/>
      <c r="L20" s="932"/>
      <c r="N20" s="951"/>
      <c r="O20" s="952"/>
      <c r="P20" s="932"/>
      <c r="R20" s="951"/>
      <c r="S20" s="952"/>
      <c r="T20" s="932"/>
      <c r="V20" s="951"/>
      <c r="W20" s="952"/>
      <c r="X20" s="932"/>
      <c r="Z20" s="951"/>
      <c r="AA20" s="952"/>
      <c r="AB20" s="932"/>
      <c r="AD20" s="951"/>
      <c r="AE20" s="952"/>
      <c r="AF20" s="932"/>
      <c r="AH20" s="953"/>
      <c r="AI20" s="954"/>
      <c r="AJ20" s="955"/>
      <c r="AL20" s="953"/>
      <c r="AM20" s="954"/>
      <c r="AN20" s="955"/>
      <c r="AP20" s="930">
        <f>+AP18+AP19</f>
        <v>0</v>
      </c>
      <c r="AQ20" s="931">
        <f>+IFERROR(AR20/AP20,0)</f>
        <v>0</v>
      </c>
      <c r="AR20" s="932">
        <f>+AR18+AR19</f>
        <v>0</v>
      </c>
      <c r="AS20" s="934"/>
      <c r="AT20" s="300"/>
      <c r="AU20" s="1736"/>
    </row>
    <row r="21" spans="1:48" s="739" customFormat="1">
      <c r="A21" s="925" t="str">
        <f>+A9</f>
        <v>Residual Value KGs</v>
      </c>
      <c r="B21" s="926"/>
      <c r="C21" s="927"/>
      <c r="D21" s="928"/>
      <c r="F21" s="926"/>
      <c r="G21" s="927"/>
      <c r="H21" s="928"/>
      <c r="J21" s="926"/>
      <c r="K21" s="927"/>
      <c r="L21" s="928"/>
      <c r="N21" s="926"/>
      <c r="O21" s="927"/>
      <c r="P21" s="928"/>
      <c r="R21" s="926"/>
      <c r="S21" s="927"/>
      <c r="T21" s="928"/>
      <c r="V21" s="926"/>
      <c r="W21" s="927"/>
      <c r="X21" s="928"/>
      <c r="Z21" s="926"/>
      <c r="AA21" s="927"/>
      <c r="AB21" s="928"/>
      <c r="AD21" s="926"/>
      <c r="AE21" s="927"/>
      <c r="AF21" s="928"/>
      <c r="AH21" s="926"/>
      <c r="AI21" s="927"/>
      <c r="AJ21" s="928"/>
      <c r="AL21" s="926"/>
      <c r="AM21" s="927"/>
      <c r="AN21" s="928"/>
      <c r="AP21" s="926">
        <f>+V21</f>
        <v>0</v>
      </c>
      <c r="AQ21" s="927">
        <f>+AP21</f>
        <v>0</v>
      </c>
      <c r="AR21" s="928">
        <f>+D21+H21+L21+P21+T21+X21+AB21+AF21+AJ21+AN21</f>
        <v>0</v>
      </c>
      <c r="AS21" s="308"/>
      <c r="AT21" s="300"/>
      <c r="AU21" s="1736"/>
    </row>
    <row r="22" spans="1:48" ht="13.9">
      <c r="A22" s="956" t="str">
        <f>+A10</f>
        <v>Depreciable Amount</v>
      </c>
      <c r="B22" s="951"/>
      <c r="C22" s="905"/>
      <c r="D22" s="928"/>
      <c r="F22" s="951"/>
      <c r="G22" s="905"/>
      <c r="H22" s="928"/>
      <c r="J22" s="951"/>
      <c r="K22" s="905"/>
      <c r="L22" s="928"/>
      <c r="N22" s="951"/>
      <c r="O22" s="905"/>
      <c r="P22" s="928"/>
      <c r="R22" s="951"/>
      <c r="S22" s="905"/>
      <c r="T22" s="957"/>
      <c r="V22" s="951"/>
      <c r="W22" s="905"/>
      <c r="X22" s="928"/>
      <c r="Z22" s="951"/>
      <c r="AA22" s="905"/>
      <c r="AB22" s="928"/>
      <c r="AD22" s="951"/>
      <c r="AE22" s="905"/>
      <c r="AF22" s="928"/>
      <c r="AH22" s="947"/>
      <c r="AI22" s="905"/>
      <c r="AJ22" s="949"/>
      <c r="AL22" s="947"/>
      <c r="AM22" s="905"/>
      <c r="AN22" s="949"/>
      <c r="AP22" s="926"/>
      <c r="AQ22" s="927"/>
      <c r="AR22" s="928">
        <f>+D22+H22+L22+P22+T22+X22+AB22+AF22+AJ22+AN22</f>
        <v>0</v>
      </c>
      <c r="AS22" s="308"/>
      <c r="AU22" s="1736"/>
    </row>
    <row r="23" spans="1:48">
      <c r="A23" s="956"/>
      <c r="B23" s="947"/>
      <c r="C23" s="905"/>
      <c r="D23" s="928"/>
      <c r="F23" s="947"/>
      <c r="G23" s="905"/>
      <c r="H23" s="928"/>
      <c r="J23" s="947"/>
      <c r="K23" s="905"/>
      <c r="L23" s="928"/>
      <c r="N23" s="947"/>
      <c r="O23" s="905"/>
      <c r="P23" s="928"/>
      <c r="R23" s="947"/>
      <c r="S23" s="905"/>
      <c r="T23" s="957"/>
      <c r="V23" s="947"/>
      <c r="W23" s="905"/>
      <c r="X23" s="928"/>
      <c r="Z23" s="947"/>
      <c r="AA23" s="905"/>
      <c r="AB23" s="928"/>
      <c r="AD23" s="947"/>
      <c r="AE23" s="905"/>
      <c r="AF23" s="928"/>
      <c r="AH23" s="947"/>
      <c r="AI23" s="905"/>
      <c r="AJ23" s="949"/>
      <c r="AL23" s="947"/>
      <c r="AM23" s="905"/>
      <c r="AN23" s="949"/>
      <c r="AP23" s="926"/>
      <c r="AQ23" s="927"/>
      <c r="AR23" s="928"/>
      <c r="AS23" s="308"/>
      <c r="AU23" s="1736"/>
    </row>
    <row r="24" spans="1:48">
      <c r="A24" s="956" t="str">
        <f>+A12</f>
        <v>Monthly Amortisation</v>
      </c>
      <c r="B24" s="947"/>
      <c r="C24" s="905"/>
      <c r="D24" s="928"/>
      <c r="F24" s="947"/>
      <c r="G24" s="905"/>
      <c r="H24" s="928"/>
      <c r="J24" s="947"/>
      <c r="K24" s="905"/>
      <c r="L24" s="928"/>
      <c r="N24" s="947"/>
      <c r="O24" s="905"/>
      <c r="P24" s="928"/>
      <c r="R24" s="947"/>
      <c r="S24" s="905"/>
      <c r="T24" s="949"/>
      <c r="V24" s="947"/>
      <c r="W24" s="905"/>
      <c r="X24" s="928"/>
      <c r="Z24" s="947"/>
      <c r="AA24" s="905"/>
      <c r="AB24" s="928"/>
      <c r="AD24" s="947"/>
      <c r="AE24" s="905"/>
      <c r="AF24" s="928"/>
      <c r="AH24" s="947"/>
      <c r="AI24" s="905"/>
      <c r="AJ24" s="949"/>
      <c r="AL24" s="947"/>
      <c r="AM24" s="905"/>
      <c r="AN24" s="949"/>
      <c r="AP24" s="926"/>
      <c r="AQ24" s="927"/>
      <c r="AR24" s="928">
        <f>+D24+H24+L24+P24+T24+X24+AB24+AF24+AJ24+AN24</f>
        <v>0</v>
      </c>
      <c r="AS24" s="308"/>
      <c r="AU24" s="1736"/>
    </row>
    <row r="25" spans="1:48">
      <c r="B25" s="947"/>
      <c r="C25" s="905"/>
      <c r="D25" s="928"/>
      <c r="F25" s="1324"/>
      <c r="G25" s="905"/>
      <c r="H25" s="928"/>
      <c r="J25" s="947"/>
      <c r="K25" s="905"/>
      <c r="L25" s="928"/>
      <c r="N25" s="947"/>
      <c r="O25" s="905"/>
      <c r="P25" s="928"/>
      <c r="R25" s="947"/>
      <c r="S25" s="905"/>
      <c r="T25" s="949"/>
      <c r="V25" s="947"/>
      <c r="W25" s="905"/>
      <c r="X25" s="949"/>
      <c r="Z25" s="947"/>
      <c r="AA25" s="905"/>
      <c r="AB25" s="949"/>
      <c r="AD25" s="947"/>
      <c r="AE25" s="905"/>
      <c r="AF25" s="949"/>
      <c r="AH25" s="947"/>
      <c r="AI25" s="905"/>
      <c r="AJ25" s="949"/>
      <c r="AL25" s="947"/>
      <c r="AM25" s="905"/>
      <c r="AN25" s="949"/>
      <c r="AP25" s="926"/>
      <c r="AQ25" s="927"/>
      <c r="AR25" s="928"/>
      <c r="AS25" s="308"/>
      <c r="AU25" s="1736"/>
      <c r="AV25" s="944"/>
    </row>
    <row r="26" spans="1:48" s="872" customFormat="1" ht="13.9">
      <c r="A26" s="958" t="str">
        <f>+'[55]Grasmere valuation '!A27</f>
        <v xml:space="preserve">Cummulative Amortisation </v>
      </c>
      <c r="B26" s="933"/>
      <c r="C26" s="959"/>
      <c r="D26" s="936"/>
      <c r="E26" s="873"/>
      <c r="F26" s="960"/>
      <c r="G26" s="959"/>
      <c r="H26" s="936"/>
      <c r="I26" s="873"/>
      <c r="J26" s="960"/>
      <c r="K26" s="959"/>
      <c r="L26" s="936"/>
      <c r="M26" s="873"/>
      <c r="N26" s="960"/>
      <c r="O26" s="959"/>
      <c r="P26" s="936"/>
      <c r="Q26" s="873"/>
      <c r="R26" s="960"/>
      <c r="S26" s="959"/>
      <c r="T26" s="936"/>
      <c r="U26" s="873"/>
      <c r="V26" s="960"/>
      <c r="W26" s="959"/>
      <c r="X26" s="936"/>
      <c r="Y26" s="873"/>
      <c r="Z26" s="960"/>
      <c r="AA26" s="959"/>
      <c r="AB26" s="959"/>
      <c r="AC26" s="873"/>
      <c r="AD26" s="960"/>
      <c r="AE26" s="959"/>
      <c r="AF26" s="936"/>
      <c r="AG26" s="873"/>
      <c r="AH26" s="960"/>
      <c r="AI26" s="959"/>
      <c r="AJ26" s="936"/>
      <c r="AL26" s="960"/>
      <c r="AM26" s="959"/>
      <c r="AN26" s="936"/>
      <c r="AP26" s="933"/>
      <c r="AQ26" s="931"/>
      <c r="AR26" s="928">
        <f>+D26+H26+L26+P26+T26+X26+AB26+AF26+AJ26+AN26</f>
        <v>0</v>
      </c>
      <c r="AS26" s="308"/>
      <c r="AT26" s="300"/>
      <c r="AU26" s="1736"/>
    </row>
    <row r="27" spans="1:48" s="934" customFormat="1" ht="13.9">
      <c r="A27" s="961"/>
      <c r="B27" s="962"/>
      <c r="C27" s="963"/>
      <c r="D27" s="964"/>
      <c r="E27" s="882"/>
      <c r="F27" s="965"/>
      <c r="G27" s="963"/>
      <c r="H27" s="964"/>
      <c r="I27" s="882"/>
      <c r="J27" s="965"/>
      <c r="K27" s="963"/>
      <c r="L27" s="964"/>
      <c r="M27" s="882"/>
      <c r="N27" s="966"/>
      <c r="O27" s="889"/>
      <c r="P27" s="967"/>
      <c r="Q27" s="882"/>
      <c r="R27" s="966"/>
      <c r="S27" s="889"/>
      <c r="T27" s="967"/>
      <c r="U27" s="882"/>
      <c r="V27" s="966"/>
      <c r="W27" s="889"/>
      <c r="X27" s="967"/>
      <c r="Y27" s="882"/>
      <c r="Z27" s="966"/>
      <c r="AA27" s="889"/>
      <c r="AB27" s="967"/>
      <c r="AC27" s="882"/>
      <c r="AD27" s="965"/>
      <c r="AE27" s="963"/>
      <c r="AF27" s="964"/>
      <c r="AG27" s="882"/>
      <c r="AH27" s="965"/>
      <c r="AI27" s="963"/>
      <c r="AJ27" s="964"/>
      <c r="AL27" s="965"/>
      <c r="AM27" s="963"/>
      <c r="AN27" s="964"/>
      <c r="AP27" s="962"/>
      <c r="AQ27" s="968"/>
      <c r="AR27" s="969"/>
      <c r="AS27" s="308"/>
      <c r="AT27" s="300"/>
      <c r="AU27" s="1736"/>
    </row>
    <row r="28" spans="1:48">
      <c r="A28" s="904" t="s">
        <v>1599</v>
      </c>
      <c r="B28" s="970"/>
      <c r="C28" s="971"/>
      <c r="D28" s="747"/>
      <c r="F28" s="970"/>
      <c r="G28" s="971"/>
      <c r="H28" s="747"/>
      <c r="J28" s="970"/>
      <c r="K28" s="971"/>
      <c r="L28" s="747"/>
      <c r="N28" s="970"/>
      <c r="O28" s="971"/>
      <c r="P28" s="747"/>
      <c r="R28" s="970"/>
      <c r="S28" s="971"/>
      <c r="T28" s="747"/>
      <c r="V28" s="970"/>
      <c r="W28" s="971"/>
      <c r="X28" s="747"/>
      <c r="Z28" s="970"/>
      <c r="AA28" s="971"/>
      <c r="AB28" s="747"/>
      <c r="AD28" s="970"/>
      <c r="AE28" s="971"/>
      <c r="AF28" s="747"/>
      <c r="AH28" s="970"/>
      <c r="AI28" s="971"/>
      <c r="AJ28" s="747"/>
      <c r="AL28" s="970"/>
      <c r="AM28" s="971"/>
      <c r="AN28" s="747"/>
      <c r="AP28" s="970"/>
      <c r="AQ28" s="971"/>
      <c r="AR28" s="747">
        <f>+AR6+AR18</f>
        <v>0</v>
      </c>
      <c r="AU28" s="1736"/>
    </row>
    <row r="29" spans="1:48" s="974" customFormat="1">
      <c r="A29" s="972" t="s">
        <v>1589</v>
      </c>
      <c r="B29" s="973"/>
      <c r="D29" s="975"/>
      <c r="F29" s="973"/>
      <c r="H29" s="975"/>
      <c r="J29" s="973"/>
      <c r="L29" s="975"/>
      <c r="N29" s="973"/>
      <c r="P29" s="975"/>
      <c r="R29" s="973"/>
      <c r="T29" s="975"/>
      <c r="V29" s="973"/>
      <c r="X29" s="975"/>
      <c r="Z29" s="973"/>
      <c r="AB29" s="975"/>
      <c r="AD29" s="973"/>
      <c r="AF29" s="975"/>
      <c r="AH29" s="973"/>
      <c r="AJ29" s="975"/>
      <c r="AL29" s="973"/>
      <c r="AN29" s="975"/>
      <c r="AP29" s="973"/>
      <c r="AR29" s="975">
        <f>-AR14-AR26</f>
        <v>0</v>
      </c>
      <c r="AS29" s="1637"/>
      <c r="AT29" s="300"/>
      <c r="AU29" s="1736"/>
    </row>
    <row r="30" spans="1:48">
      <c r="A30" s="904" t="s">
        <v>1594</v>
      </c>
      <c r="B30" s="937"/>
      <c r="D30" s="751"/>
      <c r="F30" s="937"/>
      <c r="H30" s="751"/>
      <c r="J30" s="937"/>
      <c r="L30" s="751"/>
      <c r="N30" s="937"/>
      <c r="P30" s="751"/>
      <c r="R30" s="937"/>
      <c r="T30" s="751"/>
      <c r="V30" s="937"/>
      <c r="X30" s="751"/>
      <c r="Z30" s="937"/>
      <c r="AB30" s="751"/>
      <c r="AD30" s="937"/>
      <c r="AF30" s="751"/>
      <c r="AH30" s="937"/>
      <c r="AJ30" s="751"/>
      <c r="AL30" s="937"/>
      <c r="AN30" s="751"/>
      <c r="AP30" s="937"/>
      <c r="AR30" s="751">
        <f>+AR7+AR19</f>
        <v>0</v>
      </c>
      <c r="AS30" s="944"/>
      <c r="AU30" s="1736"/>
    </row>
    <row r="31" spans="1:48" s="884" customFormat="1" ht="13.9">
      <c r="A31" s="920" t="s">
        <v>636</v>
      </c>
      <c r="B31" s="976"/>
      <c r="C31" s="977"/>
      <c r="D31" s="978"/>
      <c r="F31" s="976"/>
      <c r="G31" s="977"/>
      <c r="H31" s="978"/>
      <c r="J31" s="976"/>
      <c r="K31" s="977"/>
      <c r="L31" s="978"/>
      <c r="N31" s="976"/>
      <c r="O31" s="977"/>
      <c r="P31" s="978"/>
      <c r="R31" s="976"/>
      <c r="S31" s="977"/>
      <c r="T31" s="978"/>
      <c r="V31" s="976"/>
      <c r="W31" s="977"/>
      <c r="X31" s="978"/>
      <c r="Z31" s="976"/>
      <c r="AA31" s="977"/>
      <c r="AB31" s="978"/>
      <c r="AD31" s="976"/>
      <c r="AE31" s="977"/>
      <c r="AF31" s="978"/>
      <c r="AH31" s="976"/>
      <c r="AI31" s="977"/>
      <c r="AJ31" s="978"/>
      <c r="AL31" s="976"/>
      <c r="AM31" s="977"/>
      <c r="AN31" s="978"/>
      <c r="AP31" s="976"/>
      <c r="AQ31" s="977"/>
      <c r="AR31" s="978">
        <f>SUM(AR28:AR30)</f>
        <v>0</v>
      </c>
      <c r="AS31" s="979"/>
      <c r="AT31" s="300"/>
      <c r="AU31" s="1736"/>
    </row>
    <row r="32" spans="1:48">
      <c r="B32" s="937"/>
      <c r="D32" s="751"/>
      <c r="F32" s="937"/>
      <c r="H32" s="751"/>
      <c r="J32" s="937"/>
      <c r="L32" s="751"/>
      <c r="N32" s="937"/>
      <c r="P32" s="751"/>
      <c r="R32" s="937"/>
      <c r="T32" s="938"/>
      <c r="V32" s="937"/>
      <c r="X32" s="938"/>
      <c r="Z32" s="937"/>
      <c r="AB32" s="938"/>
      <c r="AD32" s="937"/>
      <c r="AF32" s="938"/>
      <c r="AH32" s="937"/>
      <c r="AJ32" s="938"/>
      <c r="AL32" s="937"/>
      <c r="AN32" s="938"/>
      <c r="AP32" s="937"/>
      <c r="AR32" s="938"/>
      <c r="AU32" s="1736"/>
    </row>
    <row r="33" spans="1:47" s="884" customFormat="1" ht="13.9">
      <c r="A33" s="902" t="s">
        <v>113</v>
      </c>
      <c r="B33" s="1049"/>
      <c r="C33" s="954"/>
      <c r="D33" s="955"/>
      <c r="F33" s="2162"/>
      <c r="G33" s="2163"/>
      <c r="H33" s="2164"/>
      <c r="J33" s="2162"/>
      <c r="K33" s="2163"/>
      <c r="L33" s="2164"/>
      <c r="N33" s="2162"/>
      <c r="O33" s="2163"/>
      <c r="P33" s="2164"/>
      <c r="R33" s="2162"/>
      <c r="S33" s="2163"/>
      <c r="T33" s="2164"/>
      <c r="V33" s="2162"/>
      <c r="W33" s="2163"/>
      <c r="X33" s="2164"/>
      <c r="Z33" s="2162"/>
      <c r="AA33" s="2163"/>
      <c r="AB33" s="2164"/>
      <c r="AD33" s="2162"/>
      <c r="AE33" s="2163"/>
      <c r="AF33" s="2164"/>
      <c r="AH33" s="953"/>
      <c r="AI33" s="954"/>
      <c r="AJ33" s="955"/>
      <c r="AL33" s="953"/>
      <c r="AM33" s="954"/>
      <c r="AN33" s="955"/>
      <c r="AP33" s="2162" t="s">
        <v>115</v>
      </c>
      <c r="AQ33" s="2165"/>
      <c r="AR33" s="2166"/>
      <c r="AS33" s="919"/>
      <c r="AT33" s="300"/>
      <c r="AU33" s="1736"/>
    </row>
    <row r="34" spans="1:47">
      <c r="B34" s="947"/>
      <c r="C34" s="905"/>
      <c r="D34" s="928"/>
      <c r="F34" s="947"/>
      <c r="G34" s="905"/>
      <c r="H34" s="928"/>
      <c r="J34" s="947"/>
      <c r="K34" s="905"/>
      <c r="L34" s="928"/>
      <c r="N34" s="947"/>
      <c r="O34" s="905"/>
      <c r="P34" s="928"/>
      <c r="R34" s="947"/>
      <c r="S34" s="905"/>
      <c r="T34" s="949"/>
      <c r="V34" s="947"/>
      <c r="W34" s="905"/>
      <c r="X34" s="949"/>
      <c r="Z34" s="947"/>
      <c r="AA34" s="905"/>
      <c r="AB34" s="949"/>
      <c r="AD34" s="947"/>
      <c r="AE34" s="905"/>
      <c r="AF34" s="949"/>
      <c r="AH34" s="947"/>
      <c r="AI34" s="905"/>
      <c r="AJ34" s="949"/>
      <c r="AL34" s="947"/>
      <c r="AM34" s="905"/>
      <c r="AN34" s="949"/>
      <c r="AP34" s="947" t="s">
        <v>1581</v>
      </c>
      <c r="AQ34" s="905" t="s">
        <v>1582</v>
      </c>
      <c r="AR34" s="949" t="s">
        <v>71</v>
      </c>
      <c r="AU34" s="1736"/>
    </row>
    <row r="35" spans="1:47">
      <c r="A35" s="904" t="str">
        <f>+'[55]Grasmere valuation '!A19</f>
        <v>Purchases</v>
      </c>
      <c r="B35" s="947"/>
      <c r="C35" s="948"/>
      <c r="D35" s="928"/>
      <c r="F35" s="947"/>
      <c r="G35" s="948"/>
      <c r="H35" s="928"/>
      <c r="J35" s="947"/>
      <c r="K35" s="948"/>
      <c r="L35" s="928"/>
      <c r="N35" s="947"/>
      <c r="O35" s="948"/>
      <c r="P35" s="928"/>
      <c r="R35" s="947"/>
      <c r="S35" s="948"/>
      <c r="T35" s="928"/>
      <c r="V35" s="947"/>
      <c r="W35" s="948"/>
      <c r="X35" s="928"/>
      <c r="Z35" s="947"/>
      <c r="AA35" s="948"/>
      <c r="AB35" s="928"/>
      <c r="AD35" s="947"/>
      <c r="AE35" s="948"/>
      <c r="AF35" s="928"/>
      <c r="AH35" s="947"/>
      <c r="AI35" s="905"/>
      <c r="AJ35" s="949"/>
      <c r="AL35" s="947"/>
      <c r="AM35" s="905"/>
      <c r="AN35" s="949"/>
      <c r="AP35" s="926">
        <f>+B35+F35+J35+N35+R35+V35+Z35+AD35</f>
        <v>0</v>
      </c>
      <c r="AQ35" s="927" t="e">
        <f>+AR35/AP35</f>
        <v>#DIV/0!</v>
      </c>
      <c r="AR35" s="928">
        <f>+D35+H35+L35+P35+T35+X35+AB35+AF35+AJ35+AN35</f>
        <v>0</v>
      </c>
      <c r="AS35" s="308"/>
      <c r="AU35" s="1736"/>
    </row>
    <row r="36" spans="1:47">
      <c r="A36" s="904" t="str">
        <f>+'[55]Grasmere valuation '!A20</f>
        <v>Mortality</v>
      </c>
      <c r="B36" s="947"/>
      <c r="C36" s="948"/>
      <c r="D36" s="928"/>
      <c r="F36" s="947"/>
      <c r="G36" s="948"/>
      <c r="H36" s="928"/>
      <c r="J36" s="947"/>
      <c r="K36" s="948"/>
      <c r="L36" s="928"/>
      <c r="N36" s="947"/>
      <c r="O36" s="948"/>
      <c r="P36" s="928"/>
      <c r="R36" s="947"/>
      <c r="S36" s="948"/>
      <c r="T36" s="928"/>
      <c r="V36" s="947"/>
      <c r="W36" s="948"/>
      <c r="X36" s="928"/>
      <c r="Z36" s="947"/>
      <c r="AA36" s="948"/>
      <c r="AB36" s="928"/>
      <c r="AD36" s="947"/>
      <c r="AE36" s="948"/>
      <c r="AF36" s="928"/>
      <c r="AH36" s="947"/>
      <c r="AI36" s="905"/>
      <c r="AJ36" s="949"/>
      <c r="AL36" s="947"/>
      <c r="AM36" s="905"/>
      <c r="AN36" s="949"/>
      <c r="AP36" s="926">
        <f>+B36+F36+J36+N36+R36+V36+Z36+AD36</f>
        <v>0</v>
      </c>
      <c r="AQ36" s="927" t="e">
        <f>+AR36/AP36</f>
        <v>#DIV/0!</v>
      </c>
      <c r="AR36" s="928">
        <f>+D36+H36+L36+P36+T36+X36+AB36+AF36+AJ36+AN36</f>
        <v>0</v>
      </c>
      <c r="AS36" s="308"/>
      <c r="AU36" s="1736"/>
    </row>
    <row r="37" spans="1:47" s="884" customFormat="1" ht="13.9">
      <c r="A37" s="904" t="str">
        <f>+'[55]Grasmere valuation '!A21</f>
        <v>Boars Available for Amortisation</v>
      </c>
      <c r="B37" s="951"/>
      <c r="C37" s="952"/>
      <c r="D37" s="932"/>
      <c r="F37" s="953"/>
      <c r="G37" s="952"/>
      <c r="H37" s="932"/>
      <c r="J37" s="953"/>
      <c r="K37" s="952"/>
      <c r="L37" s="932"/>
      <c r="N37" s="953"/>
      <c r="O37" s="952"/>
      <c r="P37" s="932"/>
      <c r="R37" s="953"/>
      <c r="S37" s="952"/>
      <c r="T37" s="932"/>
      <c r="V37" s="953"/>
      <c r="W37" s="952"/>
      <c r="X37" s="932"/>
      <c r="Z37" s="953"/>
      <c r="AA37" s="952"/>
      <c r="AB37" s="932"/>
      <c r="AD37" s="953"/>
      <c r="AE37" s="952"/>
      <c r="AF37" s="932"/>
      <c r="AH37" s="953"/>
      <c r="AI37" s="954"/>
      <c r="AJ37" s="955"/>
      <c r="AL37" s="953"/>
      <c r="AM37" s="954"/>
      <c r="AN37" s="955"/>
      <c r="AP37" s="933">
        <f>+AP35+AP36</f>
        <v>0</v>
      </c>
      <c r="AQ37" s="931">
        <f>+IFERROR(AR37/AP37,0)</f>
        <v>0</v>
      </c>
      <c r="AR37" s="932">
        <f>+AR35+AR36</f>
        <v>0</v>
      </c>
      <c r="AS37" s="934"/>
      <c r="AT37" s="300"/>
      <c r="AU37" s="1736"/>
    </row>
    <row r="38" spans="1:47" s="739" customFormat="1">
      <c r="A38" s="904" t="str">
        <f>+'[55]Grasmere valuation '!A22</f>
        <v>Residual Value KGs</v>
      </c>
      <c r="B38" s="926"/>
      <c r="C38" s="927"/>
      <c r="D38" s="928"/>
      <c r="F38" s="926"/>
      <c r="G38" s="927"/>
      <c r="H38" s="928"/>
      <c r="J38" s="926"/>
      <c r="K38" s="927"/>
      <c r="L38" s="928"/>
      <c r="N38" s="926"/>
      <c r="O38" s="927"/>
      <c r="P38" s="928"/>
      <c r="R38" s="926"/>
      <c r="S38" s="927"/>
      <c r="T38" s="928"/>
      <c r="V38" s="926"/>
      <c r="W38" s="927"/>
      <c r="X38" s="928"/>
      <c r="Z38" s="926"/>
      <c r="AA38" s="927"/>
      <c r="AB38" s="928"/>
      <c r="AD38" s="926"/>
      <c r="AE38" s="927"/>
      <c r="AF38" s="928"/>
      <c r="AH38" s="926"/>
      <c r="AI38" s="927"/>
      <c r="AJ38" s="928"/>
      <c r="AL38" s="926"/>
      <c r="AM38" s="927"/>
      <c r="AN38" s="928"/>
      <c r="AP38" s="926">
        <f>+V38</f>
        <v>0</v>
      </c>
      <c r="AQ38" s="927">
        <f>+AP38</f>
        <v>0</v>
      </c>
      <c r="AR38" s="928">
        <f>+D38+H38+L38+P38+T38+X38+AB38+AF38+AJ38+AN38</f>
        <v>0</v>
      </c>
      <c r="AS38" s="308"/>
      <c r="AT38" s="300"/>
      <c r="AU38" s="1736"/>
    </row>
    <row r="39" spans="1:47" ht="13.9">
      <c r="A39" s="904" t="str">
        <f>+'[55]Grasmere valuation '!A23</f>
        <v>Depreciable Amount</v>
      </c>
      <c r="B39" s="951"/>
      <c r="C39" s="905"/>
      <c r="D39" s="928"/>
      <c r="F39" s="947"/>
      <c r="G39" s="905"/>
      <c r="H39" s="928"/>
      <c r="J39" s="947"/>
      <c r="K39" s="905"/>
      <c r="L39" s="928"/>
      <c r="N39" s="947"/>
      <c r="O39" s="905"/>
      <c r="P39" s="928"/>
      <c r="R39" s="947"/>
      <c r="S39" s="905"/>
      <c r="T39" s="957"/>
      <c r="V39" s="947"/>
      <c r="W39" s="905"/>
      <c r="X39" s="928"/>
      <c r="Z39" s="947"/>
      <c r="AA39" s="905"/>
      <c r="AB39" s="928"/>
      <c r="AD39" s="947"/>
      <c r="AE39" s="905"/>
      <c r="AF39" s="928"/>
      <c r="AH39" s="947"/>
      <c r="AI39" s="905"/>
      <c r="AJ39" s="949"/>
      <c r="AL39" s="947"/>
      <c r="AM39" s="905"/>
      <c r="AN39" s="949"/>
      <c r="AP39" s="926"/>
      <c r="AQ39" s="927"/>
      <c r="AR39" s="928">
        <f>+AR37+AR38</f>
        <v>0</v>
      </c>
      <c r="AS39" s="308"/>
      <c r="AU39" s="1736"/>
    </row>
    <row r="40" spans="1:47">
      <c r="B40" s="947"/>
      <c r="C40" s="905"/>
      <c r="D40" s="928"/>
      <c r="F40" s="947"/>
      <c r="G40" s="905"/>
      <c r="H40" s="928"/>
      <c r="J40" s="947"/>
      <c r="K40" s="905"/>
      <c r="L40" s="928"/>
      <c r="N40" s="947"/>
      <c r="O40" s="905"/>
      <c r="P40" s="928"/>
      <c r="R40" s="947"/>
      <c r="S40" s="905"/>
      <c r="T40" s="957"/>
      <c r="V40" s="947"/>
      <c r="W40" s="905"/>
      <c r="X40" s="928"/>
      <c r="Z40" s="947"/>
      <c r="AA40" s="905"/>
      <c r="AB40" s="928"/>
      <c r="AD40" s="947"/>
      <c r="AE40" s="905"/>
      <c r="AF40" s="928"/>
      <c r="AH40" s="947"/>
      <c r="AI40" s="905"/>
      <c r="AJ40" s="949"/>
      <c r="AL40" s="947"/>
      <c r="AM40" s="905"/>
      <c r="AN40" s="949"/>
      <c r="AP40" s="926"/>
      <c r="AQ40" s="927"/>
      <c r="AR40" s="928"/>
      <c r="AS40" s="308"/>
      <c r="AU40" s="1736"/>
    </row>
    <row r="41" spans="1:47">
      <c r="A41" s="904" t="str">
        <f>+'[55]Grasmere valuation '!A25</f>
        <v>Monthly Amortisation</v>
      </c>
      <c r="B41" s="947"/>
      <c r="C41" s="905"/>
      <c r="D41" s="928"/>
      <c r="F41" s="947"/>
      <c r="G41" s="905"/>
      <c r="H41" s="928"/>
      <c r="J41" s="947"/>
      <c r="K41" s="905"/>
      <c r="L41" s="928"/>
      <c r="N41" s="947"/>
      <c r="O41" s="905"/>
      <c r="P41" s="928"/>
      <c r="R41" s="947"/>
      <c r="S41" s="905"/>
      <c r="T41" s="949"/>
      <c r="V41" s="947"/>
      <c r="W41" s="905"/>
      <c r="X41" s="928"/>
      <c r="Z41" s="947"/>
      <c r="AA41" s="905"/>
      <c r="AB41" s="928"/>
      <c r="AD41" s="947"/>
      <c r="AE41" s="905"/>
      <c r="AF41" s="928"/>
      <c r="AH41" s="947"/>
      <c r="AI41" s="905"/>
      <c r="AJ41" s="949"/>
      <c r="AL41" s="947"/>
      <c r="AM41" s="905"/>
      <c r="AN41" s="949"/>
      <c r="AP41" s="926"/>
      <c r="AQ41" s="927"/>
      <c r="AR41" s="928">
        <f>+D41+H41+L41+P41+T41+X41+AB41+AF41+AJ41+AN41</f>
        <v>0</v>
      </c>
      <c r="AS41" s="308"/>
      <c r="AU41" s="1736"/>
    </row>
    <row r="42" spans="1:47">
      <c r="B42" s="947"/>
      <c r="C42" s="905"/>
      <c r="D42" s="928"/>
      <c r="F42" s="947"/>
      <c r="G42" s="905"/>
      <c r="H42" s="928"/>
      <c r="J42" s="947"/>
      <c r="K42" s="905"/>
      <c r="L42" s="928"/>
      <c r="N42" s="947"/>
      <c r="O42" s="905"/>
      <c r="P42" s="928"/>
      <c r="R42" s="947"/>
      <c r="S42" s="905"/>
      <c r="T42" s="949"/>
      <c r="V42" s="947"/>
      <c r="W42" s="905"/>
      <c r="X42" s="949"/>
      <c r="Z42" s="947"/>
      <c r="AA42" s="905"/>
      <c r="AB42" s="949"/>
      <c r="AD42" s="947"/>
      <c r="AE42" s="905"/>
      <c r="AF42" s="949"/>
      <c r="AH42" s="947"/>
      <c r="AI42" s="905"/>
      <c r="AJ42" s="949"/>
      <c r="AL42" s="947"/>
      <c r="AM42" s="905"/>
      <c r="AN42" s="949"/>
      <c r="AP42" s="926"/>
      <c r="AQ42" s="927"/>
      <c r="AR42" s="928"/>
      <c r="AS42" s="308"/>
      <c r="AU42" s="1736"/>
    </row>
    <row r="43" spans="1:47" s="872" customFormat="1" ht="13.9">
      <c r="A43" s="958" t="str">
        <f>+'[55]Grasmere valuation '!A27</f>
        <v xml:space="preserve">Cummulative Amortisation </v>
      </c>
      <c r="B43" s="933"/>
      <c r="C43" s="931"/>
      <c r="D43" s="936"/>
      <c r="F43" s="933"/>
      <c r="G43" s="931"/>
      <c r="H43" s="932"/>
      <c r="J43" s="933"/>
      <c r="K43" s="931"/>
      <c r="L43" s="932"/>
      <c r="N43" s="933"/>
      <c r="O43" s="931"/>
      <c r="P43" s="932"/>
      <c r="R43" s="933"/>
      <c r="S43" s="931"/>
      <c r="T43" s="932"/>
      <c r="V43" s="933"/>
      <c r="W43" s="931"/>
      <c r="X43" s="932"/>
      <c r="Z43" s="933"/>
      <c r="AA43" s="931"/>
      <c r="AB43" s="932"/>
      <c r="AD43" s="933"/>
      <c r="AE43" s="931"/>
      <c r="AF43" s="932"/>
      <c r="AH43" s="933"/>
      <c r="AI43" s="931"/>
      <c r="AJ43" s="932"/>
      <c r="AL43" s="933"/>
      <c r="AM43" s="931"/>
      <c r="AN43" s="932"/>
      <c r="AP43" s="933"/>
      <c r="AQ43" s="931"/>
      <c r="AR43" s="928">
        <f>+D43+H43+L43+P43+T43+X43+AB43+AF43+AJ43+AN43</f>
        <v>0</v>
      </c>
      <c r="AS43" s="308"/>
      <c r="AT43" s="300"/>
      <c r="AU43" s="1736"/>
    </row>
    <row r="44" spans="1:47">
      <c r="AU44" s="1736"/>
    </row>
    <row r="45" spans="1:47">
      <c r="A45" s="1649" t="s">
        <v>1600</v>
      </c>
      <c r="B45" s="970"/>
      <c r="C45" s="971"/>
      <c r="D45" s="1653"/>
      <c r="F45" s="970"/>
      <c r="G45" s="971"/>
      <c r="H45" s="1653"/>
      <c r="J45" s="970"/>
      <c r="K45" s="971"/>
      <c r="L45" s="1653"/>
      <c r="N45" s="970"/>
      <c r="O45" s="971"/>
      <c r="P45" s="1653"/>
      <c r="R45" s="970"/>
      <c r="S45" s="971"/>
      <c r="T45" s="747"/>
      <c r="V45" s="970"/>
      <c r="W45" s="971"/>
      <c r="X45" s="747"/>
      <c r="Z45" s="970"/>
      <c r="AA45" s="971"/>
      <c r="AB45" s="747"/>
      <c r="AD45" s="970"/>
      <c r="AE45" s="971"/>
      <c r="AF45" s="747"/>
      <c r="AH45" s="970"/>
      <c r="AI45" s="971"/>
      <c r="AJ45" s="747"/>
      <c r="AL45" s="970"/>
      <c r="AM45" s="971"/>
      <c r="AN45" s="747"/>
      <c r="AP45" s="970"/>
      <c r="AQ45" s="971"/>
      <c r="AR45" s="747">
        <f>+AR35</f>
        <v>0</v>
      </c>
      <c r="AU45" s="1736"/>
    </row>
    <row r="46" spans="1:47">
      <c r="A46" s="1650" t="str">
        <f>+'[55]Grasmere valuation '!A31:A31</f>
        <v>Cummulative Amortisation</v>
      </c>
      <c r="B46" s="973"/>
      <c r="C46" s="974"/>
      <c r="D46" s="1654"/>
      <c r="E46" s="974"/>
      <c r="F46" s="973"/>
      <c r="G46" s="974"/>
      <c r="H46" s="1654"/>
      <c r="I46" s="974"/>
      <c r="J46" s="973"/>
      <c r="K46" s="974"/>
      <c r="L46" s="1654"/>
      <c r="M46" s="974"/>
      <c r="N46" s="973"/>
      <c r="O46" s="974"/>
      <c r="P46" s="1654"/>
      <c r="Q46" s="974"/>
      <c r="R46" s="973"/>
      <c r="S46" s="974"/>
      <c r="T46" s="975"/>
      <c r="U46" s="974"/>
      <c r="V46" s="973"/>
      <c r="W46" s="974"/>
      <c r="X46" s="975"/>
      <c r="Y46" s="974"/>
      <c r="Z46" s="973"/>
      <c r="AA46" s="974"/>
      <c r="AB46" s="975"/>
      <c r="AC46" s="974"/>
      <c r="AD46" s="973"/>
      <c r="AE46" s="974"/>
      <c r="AF46" s="975"/>
      <c r="AG46" s="974"/>
      <c r="AH46" s="973"/>
      <c r="AI46" s="974"/>
      <c r="AJ46" s="975"/>
      <c r="AK46" s="974"/>
      <c r="AL46" s="973"/>
      <c r="AM46" s="974"/>
      <c r="AN46" s="975"/>
      <c r="AO46" s="974"/>
      <c r="AP46" s="973"/>
      <c r="AQ46" s="974"/>
      <c r="AR46" s="975">
        <f>-AR43</f>
        <v>0</v>
      </c>
      <c r="AS46" s="944"/>
    </row>
    <row r="47" spans="1:47">
      <c r="A47" s="1651" t="str">
        <f>+'[55]Grasmere valuation '!A32:A32</f>
        <v>Death Cost</v>
      </c>
      <c r="B47" s="937"/>
      <c r="D47" s="1655"/>
      <c r="F47" s="937"/>
      <c r="H47" s="1655"/>
      <c r="J47" s="937"/>
      <c r="L47" s="1655"/>
      <c r="N47" s="937"/>
      <c r="P47" s="1655"/>
      <c r="R47" s="937"/>
      <c r="T47" s="751"/>
      <c r="V47" s="937"/>
      <c r="X47" s="751"/>
      <c r="Z47" s="937"/>
      <c r="AB47" s="751"/>
      <c r="AD47" s="937"/>
      <c r="AF47" s="751"/>
      <c r="AH47" s="937"/>
      <c r="AJ47" s="751"/>
      <c r="AL47" s="937"/>
      <c r="AN47" s="751"/>
      <c r="AP47" s="937"/>
      <c r="AR47" s="751">
        <f>+AR36</f>
        <v>0</v>
      </c>
      <c r="AS47" s="944"/>
    </row>
    <row r="48" spans="1:47" s="884" customFormat="1" ht="13.9">
      <c r="A48" s="1652" t="str">
        <f>+'[55]Grasmere valuation '!A33:A33</f>
        <v>NBV</v>
      </c>
      <c r="B48" s="976"/>
      <c r="C48" s="977"/>
      <c r="D48" s="1645"/>
      <c r="F48" s="976"/>
      <c r="G48" s="977"/>
      <c r="H48" s="1645"/>
      <c r="J48" s="976"/>
      <c r="K48" s="977"/>
      <c r="L48" s="1645"/>
      <c r="N48" s="976"/>
      <c r="O48" s="977"/>
      <c r="P48" s="1645"/>
      <c r="R48" s="976"/>
      <c r="S48" s="977"/>
      <c r="T48" s="978"/>
      <c r="V48" s="976"/>
      <c r="W48" s="977"/>
      <c r="X48" s="978"/>
      <c r="Z48" s="976"/>
      <c r="AA48" s="977"/>
      <c r="AB48" s="978"/>
      <c r="AD48" s="976"/>
      <c r="AE48" s="977"/>
      <c r="AF48" s="978"/>
      <c r="AH48" s="976"/>
      <c r="AI48" s="977"/>
      <c r="AJ48" s="978"/>
      <c r="AL48" s="976"/>
      <c r="AM48" s="977"/>
      <c r="AN48" s="978"/>
      <c r="AP48" s="976"/>
      <c r="AQ48" s="977"/>
      <c r="AR48" s="978">
        <f>SUM(AR45:AR47)</f>
        <v>0</v>
      </c>
      <c r="AS48" s="979"/>
    </row>
    <row r="49" spans="1:44">
      <c r="D49" s="1277"/>
      <c r="H49" s="1277"/>
      <c r="L49" s="1277"/>
      <c r="P49" s="1277"/>
    </row>
    <row r="50" spans="1:44">
      <c r="D50" s="1277"/>
      <c r="H50" s="1277"/>
      <c r="L50" s="1277"/>
      <c r="P50" s="1277"/>
      <c r="T50" s="1277"/>
      <c r="X50" s="1277"/>
      <c r="AB50" s="1277"/>
      <c r="AF50" s="1277"/>
      <c r="AJ50" s="1277"/>
      <c r="AN50" s="1277"/>
    </row>
    <row r="51" spans="1:44" ht="13.9">
      <c r="A51" s="1033" t="s">
        <v>1595</v>
      </c>
      <c r="B51" s="970"/>
      <c r="C51" s="971"/>
      <c r="D51" s="1653"/>
      <c r="F51" s="970"/>
      <c r="G51" s="971"/>
      <c r="H51" s="1653"/>
      <c r="J51" s="970"/>
      <c r="K51" s="971"/>
      <c r="L51" s="1653"/>
      <c r="N51" s="970"/>
      <c r="O51" s="971"/>
      <c r="P51" s="1653"/>
      <c r="R51" s="970"/>
      <c r="S51" s="971"/>
      <c r="T51" s="1653"/>
      <c r="V51" s="970"/>
      <c r="W51" s="971"/>
      <c r="X51" s="1653"/>
      <c r="Z51" s="970"/>
      <c r="AA51" s="971"/>
      <c r="AB51" s="1653"/>
      <c r="AD51" s="970"/>
      <c r="AE51" s="971"/>
      <c r="AF51" s="1653"/>
      <c r="AH51" s="970"/>
      <c r="AI51" s="971"/>
      <c r="AJ51" s="1653"/>
      <c r="AL51" s="970"/>
      <c r="AM51" s="971"/>
      <c r="AN51" s="1653"/>
      <c r="AP51" s="970"/>
      <c r="AQ51" s="971"/>
      <c r="AR51" s="1659"/>
    </row>
    <row r="52" spans="1:44" ht="13.9">
      <c r="A52" s="1023" t="s">
        <v>639</v>
      </c>
      <c r="B52" s="937"/>
      <c r="D52" s="1655"/>
      <c r="F52" s="937"/>
      <c r="H52" s="1655"/>
      <c r="J52" s="937"/>
      <c r="L52" s="1655"/>
      <c r="N52" s="937"/>
      <c r="P52" s="1655"/>
      <c r="R52" s="937"/>
      <c r="T52" s="1655"/>
      <c r="V52" s="937"/>
      <c r="X52" s="1655"/>
      <c r="Z52" s="937"/>
      <c r="AB52" s="1655"/>
      <c r="AD52" s="937"/>
      <c r="AF52" s="1655"/>
      <c r="AH52" s="937"/>
      <c r="AJ52" s="1655"/>
      <c r="AL52" s="937"/>
      <c r="AN52" s="1655"/>
      <c r="AP52" s="937"/>
      <c r="AR52" s="938"/>
    </row>
    <row r="53" spans="1:44" ht="13.9">
      <c r="A53" s="1023" t="s">
        <v>636</v>
      </c>
      <c r="B53" s="937"/>
      <c r="D53" s="1655"/>
      <c r="F53" s="937"/>
      <c r="H53" s="1655"/>
      <c r="J53" s="937"/>
      <c r="L53" s="1655"/>
      <c r="N53" s="937"/>
      <c r="P53" s="1655"/>
      <c r="R53" s="937"/>
      <c r="T53" s="1655"/>
      <c r="V53" s="937"/>
      <c r="X53" s="1655"/>
      <c r="Z53" s="937"/>
      <c r="AB53" s="1655"/>
      <c r="AD53" s="937"/>
      <c r="AF53" s="1655"/>
      <c r="AH53" s="937"/>
      <c r="AJ53" s="1655"/>
      <c r="AL53" s="937"/>
      <c r="AN53" s="1655"/>
      <c r="AP53" s="937"/>
      <c r="AR53" s="938"/>
    </row>
    <row r="54" spans="1:44" ht="13.9">
      <c r="A54" s="1040" t="s">
        <v>1596</v>
      </c>
      <c r="B54" s="1656"/>
      <c r="C54" s="1657"/>
      <c r="D54" s="1658"/>
      <c r="F54" s="1656"/>
      <c r="G54" s="1657"/>
      <c r="H54" s="1658"/>
      <c r="J54" s="1656"/>
      <c r="K54" s="1657"/>
      <c r="L54" s="1658"/>
      <c r="N54" s="1656"/>
      <c r="O54" s="1657"/>
      <c r="P54" s="1658"/>
      <c r="R54" s="1656"/>
      <c r="S54" s="1657"/>
      <c r="T54" s="1658"/>
      <c r="V54" s="1656"/>
      <c r="W54" s="1657"/>
      <c r="X54" s="1658"/>
      <c r="Z54" s="1656"/>
      <c r="AA54" s="1657"/>
      <c r="AB54" s="1658"/>
      <c r="AD54" s="1656"/>
      <c r="AE54" s="1657"/>
      <c r="AF54" s="1658"/>
      <c r="AH54" s="1656"/>
      <c r="AI54" s="1657"/>
      <c r="AJ54" s="1658"/>
      <c r="AL54" s="1656"/>
      <c r="AM54" s="1657"/>
      <c r="AN54" s="1658"/>
      <c r="AP54" s="1656"/>
      <c r="AQ54" s="1657"/>
      <c r="AR54" s="1660"/>
    </row>
    <row r="56" spans="1:44">
      <c r="T56" s="739"/>
      <c r="X56" s="739"/>
      <c r="AB56" s="739"/>
      <c r="AF56" s="739"/>
      <c r="AJ56" s="739"/>
      <c r="AN56" s="739"/>
    </row>
    <row r="57" spans="1:44">
      <c r="T57" s="739"/>
      <c r="X57" s="739"/>
      <c r="AB57" s="739"/>
      <c r="AF57" s="739"/>
      <c r="AJ57" s="739"/>
      <c r="AN57" s="739"/>
    </row>
  </sheetData>
  <mergeCells count="11">
    <mergeCell ref="V33:X33"/>
    <mergeCell ref="Z33:AB33"/>
    <mergeCell ref="F33:H33"/>
    <mergeCell ref="J33:L33"/>
    <mergeCell ref="N33:P33"/>
    <mergeCell ref="R33:T33"/>
    <mergeCell ref="AD33:AF33"/>
    <mergeCell ref="AP33:AR33"/>
    <mergeCell ref="AH17:AJ17"/>
    <mergeCell ref="AP17:AR17"/>
    <mergeCell ref="AL17:AN17"/>
  </mergeCells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5">
    <tabColor theme="3" tint="0.39997558519241921"/>
  </sheetPr>
  <dimension ref="B2:V52"/>
  <sheetViews>
    <sheetView view="pageBreakPreview" topLeftCell="H31" zoomScaleNormal="100" zoomScaleSheetLayoutView="100" workbookViewId="0">
      <selection activeCell="D28" sqref="D28"/>
    </sheetView>
  </sheetViews>
  <sheetFormatPr defaultRowHeight="13.15"/>
  <cols>
    <col min="2" max="2" width="22" customWidth="1"/>
    <col min="3" max="3" width="10.140625" bestFit="1" customWidth="1"/>
    <col min="4" max="4" width="14" bestFit="1" customWidth="1"/>
    <col min="5" max="5" width="13.5703125" bestFit="1" customWidth="1"/>
    <col min="6" max="6" width="15" bestFit="1" customWidth="1"/>
    <col min="7" max="7" width="10.140625" bestFit="1" customWidth="1"/>
    <col min="8" max="8" width="17.140625" customWidth="1"/>
    <col min="9" max="9" width="14" bestFit="1" customWidth="1"/>
    <col min="10" max="10" width="15" bestFit="1" customWidth="1"/>
    <col min="11" max="11" width="10.140625" bestFit="1" customWidth="1"/>
    <col min="12" max="12" width="13.85546875" customWidth="1"/>
    <col min="13" max="13" width="11.85546875" customWidth="1"/>
    <col min="14" max="14" width="13.7109375" bestFit="1" customWidth="1"/>
    <col min="16" max="16" width="11.28515625" bestFit="1" customWidth="1"/>
    <col min="19" max="19" width="15" bestFit="1" customWidth="1"/>
    <col min="20" max="20" width="10.28515625" bestFit="1" customWidth="1"/>
    <col min="21" max="21" width="15" bestFit="1" customWidth="1"/>
    <col min="22" max="22" width="10.28515625" bestFit="1" customWidth="1"/>
  </cols>
  <sheetData>
    <row r="2" spans="2:22">
      <c r="B2" s="17" t="s">
        <v>1601</v>
      </c>
      <c r="I2" t="s">
        <v>138</v>
      </c>
      <c r="J2" t="s">
        <v>138</v>
      </c>
    </row>
    <row r="3" spans="2:22" ht="13.9" thickBot="1">
      <c r="B3" s="17"/>
    </row>
    <row r="4" spans="2:22" ht="13.9" thickBot="1">
      <c r="B4" s="55"/>
      <c r="C4" s="601">
        <f>+[56]Summary!C5</f>
        <v>44136</v>
      </c>
      <c r="D4" s="52"/>
      <c r="E4" s="52"/>
      <c r="F4" s="602"/>
      <c r="G4" s="601">
        <v>44136</v>
      </c>
      <c r="H4" s="52"/>
      <c r="I4" s="52"/>
      <c r="J4" s="52"/>
      <c r="K4" s="55" t="s">
        <v>1602</v>
      </c>
      <c r="L4" s="52"/>
      <c r="M4" s="52"/>
      <c r="N4" s="602"/>
      <c r="O4" s="1"/>
      <c r="P4" s="1"/>
      <c r="Q4" s="1"/>
      <c r="R4" s="1"/>
    </row>
    <row r="5" spans="2:22">
      <c r="B5" s="603" t="s">
        <v>1603</v>
      </c>
      <c r="C5" s="413" t="s">
        <v>382</v>
      </c>
      <c r="D5" s="411" t="s">
        <v>183</v>
      </c>
      <c r="E5" s="411" t="s">
        <v>639</v>
      </c>
      <c r="F5" s="604" t="s">
        <v>1604</v>
      </c>
      <c r="G5" s="411" t="str">
        <f>+C5</f>
        <v>No. of Pigs</v>
      </c>
      <c r="H5" s="411" t="s">
        <v>183</v>
      </c>
      <c r="I5" s="411" t="s">
        <v>639</v>
      </c>
      <c r="J5" s="410" t="s">
        <v>1604</v>
      </c>
      <c r="K5" s="605" t="str">
        <f>+G5</f>
        <v>No. of Pigs</v>
      </c>
      <c r="L5" s="606" t="str">
        <f>+H5</f>
        <v>Value</v>
      </c>
      <c r="M5" s="606" t="str">
        <f>+I5</f>
        <v>Amortisation</v>
      </c>
      <c r="N5" s="607" t="str">
        <f>+J5</f>
        <v>Closing Value</v>
      </c>
      <c r="O5" s="1"/>
      <c r="P5" s="1"/>
      <c r="Q5" s="1"/>
      <c r="R5" s="1"/>
    </row>
    <row r="6" spans="2:22">
      <c r="B6" s="608"/>
      <c r="C6" s="609"/>
      <c r="D6" s="610"/>
      <c r="E6" s="610"/>
      <c r="F6" s="611"/>
      <c r="G6" s="610"/>
      <c r="H6" s="610"/>
      <c r="I6" s="610"/>
      <c r="K6" s="612"/>
      <c r="L6" s="610"/>
      <c r="M6" s="610"/>
      <c r="N6" s="611"/>
    </row>
    <row r="7" spans="2:22">
      <c r="B7" s="603" t="s">
        <v>127</v>
      </c>
      <c r="C7" s="7">
        <f>SUM([56]Grasmere!E118-[56]Grasmere!E42)</f>
        <v>2914</v>
      </c>
      <c r="D7" s="6">
        <f>+[56]Grasmere!H118-[56]Grasmere!H42</f>
        <v>78921941.654131666</v>
      </c>
      <c r="E7" s="613">
        <f>SUM([56]Summary!C28:C58,[56]Summary!C77:C90)</f>
        <v>-4738087.7108991686</v>
      </c>
      <c r="F7" s="614">
        <f>+D7+E7</f>
        <v>74183853.943232492</v>
      </c>
      <c r="G7" s="6">
        <f>+[56]Grasmere!I118-[56]Grasmere!I42</f>
        <v>3002</v>
      </c>
      <c r="H7" s="615">
        <f>+[56]Grasmere!L118-[56]Grasmere!L42</f>
        <v>80196556.979275301</v>
      </c>
      <c r="I7" s="616">
        <f>SUM([56]Summary!B29:B57,[56]Summary!B77:B90)</f>
        <v>-4250173.653381316</v>
      </c>
      <c r="J7" s="617">
        <f>+H7+I7</f>
        <v>75946383.325893983</v>
      </c>
      <c r="K7" s="618">
        <f>+C7-G7</f>
        <v>-88</v>
      </c>
      <c r="L7" s="619">
        <f t="shared" ref="L7:N17" si="0">+D7-H7</f>
        <v>-1274615.3251436353</v>
      </c>
      <c r="M7" s="619">
        <f t="shared" si="0"/>
        <v>-487914.05751785263</v>
      </c>
      <c r="N7" s="620">
        <f t="shared" si="0"/>
        <v>-1762529.3826614916</v>
      </c>
      <c r="P7" s="22">
        <f>SUM([56]Grasmere!L48:L76,[56]Grasmere!L94:L117)</f>
        <v>20448318.07927531</v>
      </c>
      <c r="S7" s="621">
        <f>+J7+J28</f>
        <v>201216090.98620784</v>
      </c>
      <c r="U7" s="23">
        <f>+'[57]Summaries split'!$F7</f>
        <v>84886146.456498772</v>
      </c>
      <c r="V7" s="23">
        <f>+J7-U7</f>
        <v>-8939763.1306047887</v>
      </c>
    </row>
    <row r="8" spans="2:22">
      <c r="B8" s="608"/>
      <c r="C8" s="622"/>
      <c r="D8" s="623"/>
      <c r="E8" s="623"/>
      <c r="F8" s="624"/>
      <c r="G8" s="623"/>
      <c r="H8" s="625"/>
      <c r="I8" s="625"/>
      <c r="J8" s="42"/>
      <c r="K8" s="626">
        <f t="shared" ref="K8:K17" si="1">+C8-G8</f>
        <v>0</v>
      </c>
      <c r="L8" s="627">
        <f t="shared" si="0"/>
        <v>0</v>
      </c>
      <c r="M8" s="627">
        <f t="shared" si="0"/>
        <v>0</v>
      </c>
      <c r="N8" s="628">
        <f t="shared" si="0"/>
        <v>0</v>
      </c>
      <c r="U8" s="23">
        <f>+'[57]Summaries split'!$F8</f>
        <v>0</v>
      </c>
      <c r="V8" s="23">
        <f t="shared" ref="V8:V17" si="2">+J8-U8</f>
        <v>0</v>
      </c>
    </row>
    <row r="9" spans="2:22">
      <c r="B9" s="603" t="s">
        <v>186</v>
      </c>
      <c r="C9" s="7">
        <f>+'[56]Villa Franca'!E50-'[56]Villa Franca'!E42</f>
        <v>649</v>
      </c>
      <c r="D9" s="6">
        <f>+'[56]Villa Franca'!H50-'[56]Villa Franca'!H42</f>
        <v>14404199.87080688</v>
      </c>
      <c r="E9" s="6">
        <v>0</v>
      </c>
      <c r="F9" s="629">
        <f>+D9</f>
        <v>14404199.87080688</v>
      </c>
      <c r="G9" s="6">
        <f>+'[56]Villa Franca'!I50-'[56]Villa Franca'!I42</f>
        <v>651</v>
      </c>
      <c r="H9" s="615">
        <f>+'[56]Villa Franca'!L50-'[56]Villa Franca'!L42</f>
        <v>12798353.325000003</v>
      </c>
      <c r="I9" s="615">
        <v>0</v>
      </c>
      <c r="J9" s="630">
        <f>+H9</f>
        <v>12798353.325000003</v>
      </c>
      <c r="K9" s="618">
        <f t="shared" si="1"/>
        <v>-2</v>
      </c>
      <c r="L9" s="619">
        <f t="shared" si="0"/>
        <v>1605846.5458068773</v>
      </c>
      <c r="M9" s="619">
        <f t="shared" si="0"/>
        <v>0</v>
      </c>
      <c r="N9" s="620">
        <f t="shared" si="0"/>
        <v>1605846.5458068773</v>
      </c>
      <c r="S9" s="621">
        <f>+J9+J30</f>
        <v>31717027.9438136</v>
      </c>
      <c r="U9" s="23">
        <f>+'[57]Summaries split'!$F9</f>
        <v>13708913.269454703</v>
      </c>
      <c r="V9" s="23">
        <f t="shared" si="2"/>
        <v>-910559.94445469975</v>
      </c>
    </row>
    <row r="10" spans="2:22">
      <c r="B10" s="608"/>
      <c r="C10" s="622"/>
      <c r="D10" s="623"/>
      <c r="E10" s="623"/>
      <c r="F10" s="624"/>
      <c r="G10" s="623"/>
      <c r="H10" s="625"/>
      <c r="I10" s="625"/>
      <c r="J10" s="42"/>
      <c r="K10" s="626">
        <f t="shared" si="1"/>
        <v>0</v>
      </c>
      <c r="L10" s="627">
        <f t="shared" si="0"/>
        <v>0</v>
      </c>
      <c r="M10" s="627">
        <f t="shared" si="0"/>
        <v>0</v>
      </c>
      <c r="N10" s="628">
        <f t="shared" si="0"/>
        <v>0</v>
      </c>
      <c r="U10" s="23">
        <f>+'[57]Summaries split'!$F10</f>
        <v>0</v>
      </c>
      <c r="V10" s="23">
        <f t="shared" si="2"/>
        <v>0</v>
      </c>
    </row>
    <row r="11" spans="2:22">
      <c r="B11" s="603" t="s">
        <v>187</v>
      </c>
      <c r="C11" s="7">
        <f>+'[56] Lion Head'!E50-'[56] Lion Head'!E42</f>
        <v>1323</v>
      </c>
      <c r="D11" s="6">
        <f>+'[56] Lion Head'!H50-'[56] Lion Head'!H42</f>
        <v>30867959.90814542</v>
      </c>
      <c r="E11" s="6">
        <v>0</v>
      </c>
      <c r="F11" s="629">
        <f>+D11</f>
        <v>30867959.90814542</v>
      </c>
      <c r="G11" s="6">
        <f>+'[56] Lion Head'!I50-'[56] Lion Head'!I42</f>
        <v>1372</v>
      </c>
      <c r="H11" s="615">
        <f>+'[56] Lion Head'!L50-'[56] Lion Head'!L42</f>
        <v>31517757.039999999</v>
      </c>
      <c r="I11" s="615">
        <v>0</v>
      </c>
      <c r="J11" s="630">
        <f>+H11</f>
        <v>31517757.039999999</v>
      </c>
      <c r="K11" s="618">
        <f t="shared" si="1"/>
        <v>-49</v>
      </c>
      <c r="L11" s="619">
        <f t="shared" si="0"/>
        <v>-649797.13185457885</v>
      </c>
      <c r="M11" s="619">
        <f t="shared" si="0"/>
        <v>0</v>
      </c>
      <c r="N11" s="620">
        <f t="shared" si="0"/>
        <v>-649797.13185457885</v>
      </c>
      <c r="S11" s="621">
        <f>+J11+J34</f>
        <v>53068276.103919998</v>
      </c>
      <c r="U11" s="23">
        <f>+'[57]Summaries split'!$F11</f>
        <v>29838488.9156828</v>
      </c>
      <c r="V11" s="23">
        <f t="shared" si="2"/>
        <v>1679268.124317199</v>
      </c>
    </row>
    <row r="12" spans="2:22">
      <c r="B12" s="608"/>
      <c r="C12" s="622"/>
      <c r="D12" s="623"/>
      <c r="E12" s="623"/>
      <c r="F12" s="624"/>
      <c r="G12" s="623"/>
      <c r="H12" s="625"/>
      <c r="I12" s="625"/>
      <c r="J12" s="42"/>
      <c r="K12" s="626">
        <f t="shared" si="1"/>
        <v>0</v>
      </c>
      <c r="L12" s="627">
        <f t="shared" si="0"/>
        <v>0</v>
      </c>
      <c r="M12" s="627">
        <f t="shared" si="0"/>
        <v>0</v>
      </c>
      <c r="N12" s="628">
        <f t="shared" si="0"/>
        <v>0</v>
      </c>
      <c r="U12" s="23">
        <f>+'[57]Summaries split'!$F12</f>
        <v>0</v>
      </c>
      <c r="V12" s="23">
        <f t="shared" si="2"/>
        <v>0</v>
      </c>
    </row>
    <row r="13" spans="2:22">
      <c r="B13" s="603" t="s">
        <v>1605</v>
      </c>
      <c r="C13" s="7">
        <v>0</v>
      </c>
      <c r="D13" s="6">
        <v>0</v>
      </c>
      <c r="E13" s="6">
        <v>0</v>
      </c>
      <c r="F13" s="629">
        <v>0</v>
      </c>
      <c r="G13" s="6">
        <v>0</v>
      </c>
      <c r="H13" s="615">
        <v>0</v>
      </c>
      <c r="I13" s="615">
        <v>0</v>
      </c>
      <c r="J13" s="630">
        <v>0</v>
      </c>
      <c r="K13" s="618">
        <f t="shared" si="1"/>
        <v>0</v>
      </c>
      <c r="L13" s="619">
        <f t="shared" si="0"/>
        <v>0</v>
      </c>
      <c r="M13" s="619">
        <f t="shared" si="0"/>
        <v>0</v>
      </c>
      <c r="N13" s="620">
        <f t="shared" si="0"/>
        <v>0</v>
      </c>
      <c r="S13" s="621">
        <f>+J13+J34</f>
        <v>21550519.063920002</v>
      </c>
      <c r="U13" s="23">
        <f>+'[57]Summaries split'!$F13</f>
        <v>0</v>
      </c>
      <c r="V13" s="23">
        <f t="shared" si="2"/>
        <v>0</v>
      </c>
    </row>
    <row r="14" spans="2:22">
      <c r="B14" s="608"/>
      <c r="C14" s="622"/>
      <c r="D14" s="623"/>
      <c r="E14" s="623"/>
      <c r="F14" s="624"/>
      <c r="G14" s="623"/>
      <c r="H14" s="625"/>
      <c r="I14" s="625"/>
      <c r="J14" s="42"/>
      <c r="K14" s="626">
        <f t="shared" si="1"/>
        <v>0</v>
      </c>
      <c r="L14" s="627">
        <f t="shared" si="0"/>
        <v>0</v>
      </c>
      <c r="M14" s="627">
        <f t="shared" si="0"/>
        <v>0</v>
      </c>
      <c r="N14" s="628">
        <f t="shared" si="0"/>
        <v>0</v>
      </c>
      <c r="U14" s="23">
        <f>+'[57]Summaries split'!$F14</f>
        <v>0</v>
      </c>
      <c r="V14" s="23">
        <f t="shared" si="2"/>
        <v>0</v>
      </c>
    </row>
    <row r="15" spans="2:22">
      <c r="B15" s="603" t="s">
        <v>189</v>
      </c>
      <c r="C15" s="7">
        <f>+[56]Richlands!E86-[56]Richlands!E42</f>
        <v>1382</v>
      </c>
      <c r="D15" s="6">
        <f>+[56]Richlands!H86-[56]Richlands!H42</f>
        <v>24559018.220442563</v>
      </c>
      <c r="E15" s="6">
        <f>SUM([56]Summary!C59:C75)</f>
        <v>-2413816.9049187046</v>
      </c>
      <c r="F15" s="629">
        <f>+D15+E15</f>
        <v>22145201.315523859</v>
      </c>
      <c r="G15" s="6">
        <f>+[56]Richlands!I86-[56]Richlands!I42</f>
        <v>1392</v>
      </c>
      <c r="H15" s="615">
        <f>+[56]Richlands!L86-[56]Richlands!L42</f>
        <v>24785095.844544664</v>
      </c>
      <c r="I15" s="615">
        <f>SUM([56]Summary!B59:B75)</f>
        <v>-2190791.5838059629</v>
      </c>
      <c r="J15" s="630">
        <f>+H15+I15</f>
        <v>22594304.260738701</v>
      </c>
      <c r="K15" s="618">
        <f t="shared" si="1"/>
        <v>-10</v>
      </c>
      <c r="L15" s="619">
        <f t="shared" si="0"/>
        <v>-226077.62410210073</v>
      </c>
      <c r="M15" s="619">
        <f t="shared" si="0"/>
        <v>-223025.32111274172</v>
      </c>
      <c r="N15" s="620">
        <f t="shared" si="0"/>
        <v>-449102.94521484151</v>
      </c>
      <c r="S15" s="621">
        <f>+J15+J36</f>
        <v>89725623.151937038</v>
      </c>
      <c r="U15" s="23">
        <f>+'[57]Summaries split'!$F15</f>
        <v>13987510.529816533</v>
      </c>
      <c r="V15" s="23">
        <f t="shared" si="2"/>
        <v>8606793.7309221681</v>
      </c>
    </row>
    <row r="16" spans="2:22">
      <c r="B16" s="631"/>
      <c r="C16" s="416"/>
      <c r="D16" s="632"/>
      <c r="E16" s="632"/>
      <c r="F16" s="633"/>
      <c r="G16" s="634"/>
      <c r="H16" s="635"/>
      <c r="I16" s="635"/>
      <c r="J16" s="636"/>
      <c r="K16" s="637">
        <f t="shared" si="1"/>
        <v>0</v>
      </c>
      <c r="L16" s="638">
        <f t="shared" si="0"/>
        <v>0</v>
      </c>
      <c r="M16" s="638">
        <f t="shared" si="0"/>
        <v>0</v>
      </c>
      <c r="N16" s="639">
        <f t="shared" si="0"/>
        <v>0</v>
      </c>
      <c r="U16" s="23">
        <f>+'[57]Summaries split'!$F16</f>
        <v>0</v>
      </c>
      <c r="V16" s="23">
        <f t="shared" si="2"/>
        <v>0</v>
      </c>
    </row>
    <row r="17" spans="2:22" ht="13.9" thickBot="1">
      <c r="B17" s="640" t="s">
        <v>1606</v>
      </c>
      <c r="C17" s="641">
        <f t="shared" ref="C17:J17" si="3">SUM(C7:C16)</f>
        <v>6268</v>
      </c>
      <c r="D17" s="642">
        <f t="shared" si="3"/>
        <v>148753119.65352654</v>
      </c>
      <c r="E17" s="642">
        <f t="shared" si="3"/>
        <v>-7151904.6158178728</v>
      </c>
      <c r="F17" s="643">
        <f t="shared" si="3"/>
        <v>141601215.03770867</v>
      </c>
      <c r="G17" s="642">
        <f t="shared" si="3"/>
        <v>6417</v>
      </c>
      <c r="H17" s="644">
        <f t="shared" si="3"/>
        <v>149297763.18881994</v>
      </c>
      <c r="I17" s="644">
        <f t="shared" si="3"/>
        <v>-6440965.2371872794</v>
      </c>
      <c r="J17" s="645">
        <f t="shared" si="3"/>
        <v>142856797.95163268</v>
      </c>
      <c r="K17" s="646">
        <f t="shared" si="1"/>
        <v>-149</v>
      </c>
      <c r="L17" s="642">
        <f t="shared" si="0"/>
        <v>-544643.53529340029</v>
      </c>
      <c r="M17" s="642">
        <f t="shared" si="0"/>
        <v>-710939.37863059342</v>
      </c>
      <c r="N17" s="643">
        <f t="shared" si="0"/>
        <v>-1255582.9139240086</v>
      </c>
      <c r="S17" s="22">
        <f>+J41</f>
        <v>6227945.0500000007</v>
      </c>
      <c r="U17" s="23">
        <f>+'[57]Summaries split'!$F17</f>
        <v>142421059.17145282</v>
      </c>
      <c r="V17" s="23">
        <f t="shared" si="2"/>
        <v>435738.78017985821</v>
      </c>
    </row>
    <row r="18" spans="2:22" ht="14.45" thickTop="1" thickBot="1">
      <c r="B18" s="647"/>
      <c r="C18" s="648"/>
      <c r="D18" s="649"/>
      <c r="E18" s="649"/>
      <c r="F18" s="650"/>
      <c r="G18" s="649"/>
      <c r="H18" s="649"/>
      <c r="I18" s="649"/>
      <c r="J18" s="651"/>
      <c r="K18" s="652"/>
      <c r="L18" s="649"/>
      <c r="M18" s="649"/>
      <c r="N18" s="650"/>
      <c r="S18" s="621">
        <f>SUM(S7:S17)</f>
        <v>403505482.29979855</v>
      </c>
    </row>
    <row r="19" spans="2:22">
      <c r="I19" t="s">
        <v>138</v>
      </c>
      <c r="S19">
        <f>+[56]Summary!B91</f>
        <v>437158822.30615896</v>
      </c>
    </row>
    <row r="20" spans="2:22">
      <c r="B20" t="s">
        <v>1607</v>
      </c>
      <c r="C20" t="e">
        <f>+'[58]April journals'!$J$33</f>
        <v>#REF!</v>
      </c>
      <c r="F20" s="87" t="e">
        <f>+'[58]April journals'!$D$26</f>
        <v>#REF!</v>
      </c>
      <c r="G20">
        <f>+'[59]Bio Assets non-current29B '!$J$33</f>
        <v>6407</v>
      </c>
      <c r="I20" s="621" t="s">
        <v>138</v>
      </c>
      <c r="J20" s="87" t="e">
        <f>+'[58]April journals'!$E$26</f>
        <v>#REF!</v>
      </c>
      <c r="S20" s="621">
        <f>+S18-S19</f>
        <v>-33653340.006360412</v>
      </c>
    </row>
    <row r="21" spans="2:22">
      <c r="C21" s="22" t="e">
        <f>+C17-C20</f>
        <v>#REF!</v>
      </c>
      <c r="F21" s="22" t="e">
        <f>+F17-F20</f>
        <v>#REF!</v>
      </c>
      <c r="G21" s="22">
        <f>+G17-G20</f>
        <v>10</v>
      </c>
      <c r="J21" s="22" t="e">
        <f>+J17-J20</f>
        <v>#REF!</v>
      </c>
    </row>
    <row r="22" spans="2:22">
      <c r="J22" s="22" t="s">
        <v>138</v>
      </c>
    </row>
    <row r="23" spans="2:22">
      <c r="B23" s="17" t="s">
        <v>1608</v>
      </c>
    </row>
    <row r="24" spans="2:22" ht="13.9" thickBot="1">
      <c r="B24" s="17"/>
    </row>
    <row r="25" spans="2:22" ht="13.9" thickBot="1">
      <c r="B25" s="55"/>
      <c r="C25" s="601">
        <f>+C4</f>
        <v>44136</v>
      </c>
      <c r="D25" s="52"/>
      <c r="E25" s="52"/>
      <c r="F25" s="602"/>
      <c r="G25" s="601">
        <f>+G4</f>
        <v>44136</v>
      </c>
      <c r="H25" s="52"/>
      <c r="I25" s="52"/>
      <c r="J25" s="52"/>
      <c r="K25" s="55" t="s">
        <v>1602</v>
      </c>
      <c r="L25" s="52"/>
      <c r="M25" s="52"/>
      <c r="N25" s="602"/>
    </row>
    <row r="26" spans="2:22">
      <c r="B26" s="603" t="s">
        <v>1603</v>
      </c>
      <c r="C26" s="413" t="s">
        <v>382</v>
      </c>
      <c r="D26" s="411" t="s">
        <v>183</v>
      </c>
      <c r="E26" s="411" t="s">
        <v>1609</v>
      </c>
      <c r="F26" s="604" t="s">
        <v>1604</v>
      </c>
      <c r="G26" s="411" t="str">
        <f>+C26</f>
        <v>No. of Pigs</v>
      </c>
      <c r="H26" s="411" t="s">
        <v>183</v>
      </c>
      <c r="I26" s="411" t="s">
        <v>1609</v>
      </c>
      <c r="J26" s="410" t="s">
        <v>1604</v>
      </c>
      <c r="K26" s="605" t="str">
        <f>+G26</f>
        <v>No. of Pigs</v>
      </c>
      <c r="L26" s="606" t="str">
        <f>+H26</f>
        <v>Value</v>
      </c>
      <c r="M26" s="606" t="str">
        <f>+I26</f>
        <v>Adjustment</v>
      </c>
      <c r="N26" s="607" t="str">
        <f>+J26</f>
        <v>Closing Value</v>
      </c>
    </row>
    <row r="27" spans="2:22">
      <c r="B27" s="608"/>
      <c r="C27" s="609"/>
      <c r="D27" s="610"/>
      <c r="E27" s="610"/>
      <c r="F27" s="611"/>
      <c r="G27" s="610"/>
      <c r="H27" s="610"/>
      <c r="I27" s="610"/>
      <c r="K27" s="612"/>
      <c r="L27" s="610"/>
      <c r="M27" s="610"/>
      <c r="N27" s="611"/>
    </row>
    <row r="28" spans="2:22">
      <c r="B28" s="603" t="s">
        <v>127</v>
      </c>
      <c r="C28" s="7">
        <f>+[56]Grasmere!E42</f>
        <v>22355</v>
      </c>
      <c r="D28" s="6">
        <f>+[56]Grasmere!H42</f>
        <v>129290242.56473188</v>
      </c>
      <c r="E28" s="613">
        <v>1230000</v>
      </c>
      <c r="F28" s="614">
        <f>+D28+E28</f>
        <v>130520242.56473188</v>
      </c>
      <c r="G28" s="6">
        <f>+[56]Grasmere!I42</f>
        <v>22264</v>
      </c>
      <c r="H28" s="6">
        <f>+[56]Grasmere!L42</f>
        <v>125269707.66031386</v>
      </c>
      <c r="I28" s="613">
        <v>0</v>
      </c>
      <c r="J28" s="653">
        <f>+H28+I28</f>
        <v>125269707.66031386</v>
      </c>
      <c r="K28" s="618">
        <f>+C28-G28</f>
        <v>91</v>
      </c>
      <c r="L28" s="619">
        <f t="shared" ref="L28:N38" si="4">+D28-H28</f>
        <v>4020534.9044180214</v>
      </c>
      <c r="M28" s="619">
        <f t="shared" si="4"/>
        <v>1230000</v>
      </c>
      <c r="N28" s="620">
        <f t="shared" si="4"/>
        <v>5250534.9044180214</v>
      </c>
      <c r="S28" s="22">
        <f>+'[57]Summaries split'!$F28</f>
        <v>145888487.7846269</v>
      </c>
      <c r="T28" s="22">
        <f>+J28-S28</f>
        <v>-20618780.124313042</v>
      </c>
    </row>
    <row r="29" spans="2:22">
      <c r="B29" s="608"/>
      <c r="C29" s="622"/>
      <c r="D29" s="623"/>
      <c r="E29" s="623"/>
      <c r="F29" s="624"/>
      <c r="G29" s="623"/>
      <c r="H29" s="623"/>
      <c r="I29" s="623"/>
      <c r="J29" s="654"/>
      <c r="K29" s="626">
        <f t="shared" ref="K29:K38" si="5">+C29-G29</f>
        <v>0</v>
      </c>
      <c r="L29" s="627">
        <f t="shared" si="4"/>
        <v>0</v>
      </c>
      <c r="M29" s="627">
        <f t="shared" si="4"/>
        <v>0</v>
      </c>
      <c r="N29" s="628">
        <f t="shared" si="4"/>
        <v>0</v>
      </c>
      <c r="S29" s="22">
        <f>+'[57]Summaries split'!$F29</f>
        <v>0</v>
      </c>
      <c r="T29" s="22">
        <f t="shared" ref="T29:T37" si="6">+H29-S29</f>
        <v>0</v>
      </c>
    </row>
    <row r="30" spans="2:22">
      <c r="B30" s="603" t="s">
        <v>186</v>
      </c>
      <c r="C30" s="7">
        <f>+'[56]Villa Franca'!E42</f>
        <v>4427</v>
      </c>
      <c r="D30" s="6">
        <f>+'[56]Villa Franca'!H42</f>
        <v>23827501.509311967</v>
      </c>
      <c r="E30" s="6">
        <v>0</v>
      </c>
      <c r="F30" s="629">
        <f>+D30</f>
        <v>23827501.509311967</v>
      </c>
      <c r="G30" s="6">
        <f>+'[56]Villa Franca'!I42</f>
        <v>4139</v>
      </c>
      <c r="H30" s="6">
        <f>+'[56]Villa Franca'!L42</f>
        <v>18918674.618813597</v>
      </c>
      <c r="I30" s="6">
        <v>0</v>
      </c>
      <c r="J30" s="655">
        <f>+H30</f>
        <v>18918674.618813597</v>
      </c>
      <c r="K30" s="618">
        <f t="shared" si="5"/>
        <v>288</v>
      </c>
      <c r="L30" s="619">
        <f t="shared" si="4"/>
        <v>4908826.8904983699</v>
      </c>
      <c r="M30" s="619">
        <f t="shared" si="4"/>
        <v>0</v>
      </c>
      <c r="N30" s="620">
        <f t="shared" si="4"/>
        <v>4908826.8904983699</v>
      </c>
      <c r="S30" s="22">
        <f>+'[57]Summaries split'!$F30</f>
        <v>29351432.507621162</v>
      </c>
      <c r="T30" s="22">
        <f t="shared" si="6"/>
        <v>-10432757.888807565</v>
      </c>
    </row>
    <row r="31" spans="2:22">
      <c r="B31" s="608"/>
      <c r="C31" s="622"/>
      <c r="D31" s="623"/>
      <c r="E31" s="623"/>
      <c r="F31" s="624"/>
      <c r="G31" s="623"/>
      <c r="H31" s="623"/>
      <c r="I31" s="623"/>
      <c r="J31" s="654"/>
      <c r="K31" s="626">
        <f t="shared" si="5"/>
        <v>0</v>
      </c>
      <c r="L31" s="627">
        <f t="shared" si="4"/>
        <v>0</v>
      </c>
      <c r="M31" s="627">
        <f t="shared" si="4"/>
        <v>0</v>
      </c>
      <c r="N31" s="628">
        <f t="shared" si="4"/>
        <v>0</v>
      </c>
      <c r="S31" s="22">
        <f>+'[57]Summaries split'!$F31</f>
        <v>0</v>
      </c>
      <c r="T31" s="22">
        <f t="shared" si="6"/>
        <v>0</v>
      </c>
    </row>
    <row r="32" spans="2:22">
      <c r="B32" s="603" t="s">
        <v>187</v>
      </c>
      <c r="C32" s="7">
        <f>+'[56] Lion Head'!E42</f>
        <v>11287</v>
      </c>
      <c r="D32" s="6">
        <f>+'[56] Lion Head'!H42</f>
        <v>65360412.791398935</v>
      </c>
      <c r="E32" s="6">
        <v>0</v>
      </c>
      <c r="F32" s="629">
        <f>+D32</f>
        <v>65360412.791398935</v>
      </c>
      <c r="G32" s="6">
        <f>+'[56] Lion Head'!I42</f>
        <v>10660</v>
      </c>
      <c r="H32" s="6">
        <f>+'[56] Lion Head'!L42</f>
        <v>55648394.807419531</v>
      </c>
      <c r="I32" s="6">
        <v>0</v>
      </c>
      <c r="J32" s="655">
        <f>+H32</f>
        <v>55648394.807419531</v>
      </c>
      <c r="K32" s="618">
        <f t="shared" si="5"/>
        <v>627</v>
      </c>
      <c r="L32" s="619">
        <f t="shared" si="4"/>
        <v>9712017.983979404</v>
      </c>
      <c r="M32" s="619">
        <f t="shared" si="4"/>
        <v>0</v>
      </c>
      <c r="N32" s="620">
        <f t="shared" si="4"/>
        <v>9712017.983979404</v>
      </c>
      <c r="S32" s="22">
        <f>+'[57]Summaries split'!$F32</f>
        <v>65591127.927433185</v>
      </c>
      <c r="T32" s="22">
        <f t="shared" si="6"/>
        <v>-9942733.1200136542</v>
      </c>
    </row>
    <row r="33" spans="2:20">
      <c r="B33" s="608"/>
      <c r="C33" s="622"/>
      <c r="D33" s="623"/>
      <c r="E33" s="623"/>
      <c r="F33" s="624"/>
      <c r="G33" s="623"/>
      <c r="H33" s="623"/>
      <c r="I33" s="623"/>
      <c r="J33" s="654"/>
      <c r="K33" s="626">
        <f t="shared" si="5"/>
        <v>0</v>
      </c>
      <c r="L33" s="627">
        <f t="shared" si="4"/>
        <v>0</v>
      </c>
      <c r="M33" s="627">
        <f t="shared" si="4"/>
        <v>0</v>
      </c>
      <c r="N33" s="628">
        <f t="shared" si="4"/>
        <v>0</v>
      </c>
      <c r="S33" s="22">
        <f>+'[57]Summaries split'!$F33</f>
        <v>0</v>
      </c>
      <c r="T33" s="22">
        <f t="shared" si="6"/>
        <v>0</v>
      </c>
    </row>
    <row r="34" spans="2:20">
      <c r="B34" s="603" t="s">
        <v>1605</v>
      </c>
      <c r="C34" s="7">
        <f>+'[56]Lionshead Extension'!E42</f>
        <v>3811</v>
      </c>
      <c r="D34" s="6">
        <f>+'[56]Lionshead Extension'!H42</f>
        <v>25721578.982938007</v>
      </c>
      <c r="E34" s="6">
        <v>0</v>
      </c>
      <c r="F34" s="629">
        <f>+D34</f>
        <v>25721578.982938007</v>
      </c>
      <c r="G34" s="6">
        <f>+'[56]Lionshead Extension'!I42</f>
        <v>3509</v>
      </c>
      <c r="H34" s="6">
        <f>+'[56]Lionshead Extension'!L42</f>
        <v>21550519.063920002</v>
      </c>
      <c r="I34" s="6">
        <v>0</v>
      </c>
      <c r="J34" s="655">
        <f>+H34</f>
        <v>21550519.063920002</v>
      </c>
      <c r="K34" s="618">
        <f t="shared" si="5"/>
        <v>302</v>
      </c>
      <c r="L34" s="619">
        <f t="shared" si="4"/>
        <v>4171059.9190180041</v>
      </c>
      <c r="M34" s="619">
        <f t="shared" si="4"/>
        <v>0</v>
      </c>
      <c r="N34" s="620">
        <f t="shared" si="4"/>
        <v>4171059.9190180041</v>
      </c>
      <c r="S34" s="22">
        <f>+'[57]Summaries split'!$F34</f>
        <v>29051083.682123587</v>
      </c>
      <c r="T34" s="22">
        <f t="shared" si="6"/>
        <v>-7500564.6182035841</v>
      </c>
    </row>
    <row r="35" spans="2:20">
      <c r="B35" s="608"/>
      <c r="C35" s="622"/>
      <c r="D35" s="623"/>
      <c r="E35" s="623"/>
      <c r="F35" s="624"/>
      <c r="G35" s="623"/>
      <c r="H35" s="623"/>
      <c r="I35" s="623"/>
      <c r="J35" s="654"/>
      <c r="K35" s="626">
        <f t="shared" si="5"/>
        <v>0</v>
      </c>
      <c r="L35" s="627">
        <f t="shared" si="4"/>
        <v>0</v>
      </c>
      <c r="M35" s="627">
        <f t="shared" si="4"/>
        <v>0</v>
      </c>
      <c r="N35" s="628">
        <f t="shared" si="4"/>
        <v>0</v>
      </c>
      <c r="S35" s="22">
        <f>+'[57]Summaries split'!$F35</f>
        <v>0</v>
      </c>
      <c r="T35" s="22">
        <f t="shared" si="6"/>
        <v>0</v>
      </c>
    </row>
    <row r="36" spans="2:20">
      <c r="B36" s="603" t="s">
        <v>189</v>
      </c>
      <c r="C36" s="7">
        <f>+[56]Richlands!E42</f>
        <v>11555</v>
      </c>
      <c r="D36" s="6">
        <f>+[56]Richlands!H42</f>
        <v>65686849.735772073</v>
      </c>
      <c r="E36" s="6">
        <v>0</v>
      </c>
      <c r="F36" s="629">
        <f>+D36+E36</f>
        <v>65686849.735772073</v>
      </c>
      <c r="G36" s="6">
        <f>+[56]Richlands!I42</f>
        <v>11580</v>
      </c>
      <c r="H36" s="6">
        <f>+[56]Richlands!L42</f>
        <v>67131318.891198337</v>
      </c>
      <c r="I36" s="6">
        <v>0</v>
      </c>
      <c r="J36" s="655">
        <f>+H36+I36</f>
        <v>67131318.891198337</v>
      </c>
      <c r="K36" s="618">
        <f t="shared" si="5"/>
        <v>-25</v>
      </c>
      <c r="L36" s="619">
        <f t="shared" si="4"/>
        <v>-1444469.1554262638</v>
      </c>
      <c r="M36" s="619">
        <f t="shared" si="4"/>
        <v>0</v>
      </c>
      <c r="N36" s="620">
        <f t="shared" si="4"/>
        <v>-1444469.1554262638</v>
      </c>
      <c r="S36" s="22">
        <f>+'[57]Summaries split'!$F36</f>
        <v>84292912.464359283</v>
      </c>
      <c r="T36" s="22">
        <f t="shared" si="6"/>
        <v>-17161593.573160946</v>
      </c>
    </row>
    <row r="37" spans="2:20">
      <c r="B37" s="631"/>
      <c r="C37" s="416"/>
      <c r="D37" s="632"/>
      <c r="E37" s="632"/>
      <c r="F37" s="633"/>
      <c r="G37" s="634"/>
      <c r="H37" s="632"/>
      <c r="I37" s="632"/>
      <c r="J37" s="656"/>
      <c r="K37" s="637">
        <f t="shared" si="5"/>
        <v>0</v>
      </c>
      <c r="L37" s="638">
        <f t="shared" si="4"/>
        <v>0</v>
      </c>
      <c r="M37" s="638">
        <f t="shared" si="4"/>
        <v>0</v>
      </c>
      <c r="N37" s="639">
        <f t="shared" si="4"/>
        <v>0</v>
      </c>
      <c r="S37" s="22">
        <f>+'[57]Summaries split'!$F37</f>
        <v>0</v>
      </c>
      <c r="T37" s="22">
        <f t="shared" si="6"/>
        <v>0</v>
      </c>
    </row>
    <row r="38" spans="2:20">
      <c r="B38" s="603" t="s">
        <v>1606</v>
      </c>
      <c r="C38" s="419">
        <f t="shared" ref="C38:J38" si="7">SUM(C28:C37)</f>
        <v>53435</v>
      </c>
      <c r="D38" s="657">
        <f t="shared" si="7"/>
        <v>309886585.58415288</v>
      </c>
      <c r="E38" s="657">
        <f t="shared" si="7"/>
        <v>1230000</v>
      </c>
      <c r="F38" s="658">
        <f t="shared" si="7"/>
        <v>311116585.58415288</v>
      </c>
      <c r="G38" s="657">
        <f>SUM(G28:G37)</f>
        <v>52152</v>
      </c>
      <c r="H38" s="659">
        <f t="shared" si="7"/>
        <v>288518615.04166532</v>
      </c>
      <c r="I38" s="659">
        <f t="shared" si="7"/>
        <v>0</v>
      </c>
      <c r="J38" s="418">
        <f t="shared" si="7"/>
        <v>288518615.04166532</v>
      </c>
      <c r="K38" s="660">
        <f t="shared" si="5"/>
        <v>1283</v>
      </c>
      <c r="L38" s="657">
        <f t="shared" si="4"/>
        <v>21367970.542487562</v>
      </c>
      <c r="M38" s="657">
        <f t="shared" si="4"/>
        <v>1230000</v>
      </c>
      <c r="N38" s="658">
        <f t="shared" si="4"/>
        <v>22597970.542487562</v>
      </c>
      <c r="S38" s="22">
        <f>+'[57]Summaries split'!$F38</f>
        <v>354175044.36616415</v>
      </c>
      <c r="T38" s="22" t="s">
        <v>138</v>
      </c>
    </row>
    <row r="39" spans="2:20" ht="13.9" thickBot="1">
      <c r="B39" s="661"/>
      <c r="C39" s="609"/>
      <c r="D39" s="610"/>
      <c r="E39" s="610"/>
      <c r="F39" s="611"/>
      <c r="G39" s="610"/>
      <c r="H39" s="623"/>
      <c r="I39" s="623"/>
      <c r="J39" s="654"/>
      <c r="K39" s="612"/>
      <c r="L39" s="610"/>
      <c r="M39" s="610"/>
      <c r="N39" s="611"/>
      <c r="S39" s="22">
        <f>+'[57]Summaries split'!$F39</f>
        <v>0</v>
      </c>
      <c r="T39" s="22">
        <f>+H39-S39</f>
        <v>0</v>
      </c>
    </row>
    <row r="40" spans="2:20">
      <c r="B40" s="662"/>
      <c r="C40" s="663"/>
      <c r="D40" s="664"/>
      <c r="E40" s="664"/>
      <c r="F40" s="664"/>
      <c r="G40" s="664"/>
      <c r="H40" s="665"/>
      <c r="I40" s="665"/>
      <c r="J40" s="665"/>
      <c r="K40" s="664"/>
      <c r="L40" s="664"/>
      <c r="M40" s="664"/>
      <c r="N40" s="666"/>
      <c r="S40" s="22">
        <f>+'[57]Summaries split'!$F40</f>
        <v>0</v>
      </c>
      <c r="T40" s="22">
        <f>+H40-S40</f>
        <v>0</v>
      </c>
    </row>
    <row r="41" spans="2:20" ht="13.9" thickBot="1">
      <c r="B41" s="647" t="s">
        <v>202</v>
      </c>
      <c r="C41" s="667">
        <f>+[56]Cattle!D20</f>
        <v>204</v>
      </c>
      <c r="D41" s="668">
        <f>+[56]Cattle!G20</f>
        <v>6788256.4200000009</v>
      </c>
      <c r="E41" s="668"/>
      <c r="F41" s="668">
        <f>+D41</f>
        <v>6788256.4200000009</v>
      </c>
      <c r="G41" s="668">
        <f>+'[59]Bio Assets - current29D'!$F$33</f>
        <v>187</v>
      </c>
      <c r="H41" s="668">
        <f>+[56]Summary!B15</f>
        <v>6227945.0500000007</v>
      </c>
      <c r="I41" s="668"/>
      <c r="J41" s="668">
        <f>+H41</f>
        <v>6227945.0500000007</v>
      </c>
      <c r="K41" s="669">
        <f>+C41-G41</f>
        <v>17</v>
      </c>
      <c r="L41" s="669">
        <f>+D41-H41</f>
        <v>560311.37000000011</v>
      </c>
      <c r="M41" s="669">
        <f>+E41-I41</f>
        <v>0</v>
      </c>
      <c r="N41" s="670">
        <f>+F41-J41</f>
        <v>560311.37000000011</v>
      </c>
      <c r="S41" s="22">
        <f>+'[57]Summaries split'!$F41</f>
        <v>4633224.68</v>
      </c>
      <c r="T41" s="22">
        <f>+H41-S41</f>
        <v>1594720.370000001</v>
      </c>
    </row>
    <row r="42" spans="2:20">
      <c r="B42" s="661"/>
      <c r="N42" s="611"/>
    </row>
    <row r="43" spans="2:20" ht="13.9" thickBot="1">
      <c r="B43" s="640" t="s">
        <v>1610</v>
      </c>
      <c r="C43" s="671"/>
      <c r="D43" s="672">
        <f>+D41+D38</f>
        <v>316674842.00415289</v>
      </c>
      <c r="E43" s="671"/>
      <c r="F43" s="672">
        <f>+F41+F38</f>
        <v>317904842.00415289</v>
      </c>
      <c r="G43" s="671"/>
      <c r="H43" s="672">
        <f>+H41+H38</f>
        <v>294746560.09166533</v>
      </c>
      <c r="I43" s="672">
        <f>+I41+I38</f>
        <v>0</v>
      </c>
      <c r="J43" s="672">
        <f>+J38+J41</f>
        <v>294746560.09166533</v>
      </c>
      <c r="K43" s="671"/>
      <c r="L43" s="672">
        <f>+L41+L38</f>
        <v>21928281.912487563</v>
      </c>
      <c r="M43" s="671"/>
      <c r="N43" s="643">
        <f>+N41+N38</f>
        <v>23158281.912487563</v>
      </c>
    </row>
    <row r="44" spans="2:20" ht="14.45" thickTop="1" thickBot="1">
      <c r="B44" s="647"/>
      <c r="C44" s="651"/>
      <c r="D44" s="651"/>
      <c r="E44" s="651"/>
      <c r="F44" s="651"/>
      <c r="G44" s="651"/>
      <c r="H44" s="651"/>
      <c r="I44" s="651"/>
      <c r="J44" s="651"/>
      <c r="K44" s="651"/>
      <c r="L44" s="651"/>
      <c r="M44" s="651"/>
      <c r="N44" s="650"/>
    </row>
    <row r="46" spans="2:20">
      <c r="B46" t="s">
        <v>1607</v>
      </c>
      <c r="C46" t="e">
        <f>+'[58]April journals'!$J$33</f>
        <v>#REF!</v>
      </c>
      <c r="F46" s="87">
        <f>+'[60]Statement of Financial Position'!$D$20</f>
        <v>318393592.55651587</v>
      </c>
      <c r="G46">
        <f>+'[59]Bio Assets - current29D'!$J$33</f>
        <v>47937</v>
      </c>
      <c r="J46" s="87">
        <f>+'[59]Balance Sheet2'!$D$29</f>
        <v>354379928.46400028</v>
      </c>
    </row>
    <row r="47" spans="2:20">
      <c r="C47" s="22" t="e">
        <f>+C38-C46</f>
        <v>#REF!</v>
      </c>
      <c r="F47" s="22">
        <f>+F43-F46</f>
        <v>-488750.55236297846</v>
      </c>
      <c r="G47" s="22">
        <f>+G46-G38</f>
        <v>-4215</v>
      </c>
      <c r="J47" s="22">
        <f>+J43-J46</f>
        <v>-59633368.372334957</v>
      </c>
    </row>
    <row r="48" spans="2:20">
      <c r="J48" s="621" t="s">
        <v>138</v>
      </c>
    </row>
    <row r="49" spans="6:10">
      <c r="F49" s="22" t="e">
        <f>+F46+F20</f>
        <v>#REF!</v>
      </c>
      <c r="J49" s="621"/>
    </row>
    <row r="50" spans="6:10">
      <c r="J50" s="621"/>
    </row>
    <row r="51" spans="6:10">
      <c r="J51" s="621"/>
    </row>
    <row r="52" spans="6:10">
      <c r="F52" s="22"/>
    </row>
  </sheetData>
  <pageMargins left="0.7" right="0.7" top="0.75" bottom="0.75" header="0.3" footer="0.3"/>
  <pageSetup paperSize="9" scale="47" orientation="portrait" r:id="rId1"/>
  <colBreaks count="1" manualBreakCount="1">
    <brk id="1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6">
    <tabColor theme="9" tint="-0.249977111117893"/>
    <pageSetUpPr fitToPage="1"/>
  </sheetPr>
  <dimension ref="A1:X30"/>
  <sheetViews>
    <sheetView view="pageBreakPreview" zoomScale="60" zoomScaleNormal="100" workbookViewId="0">
      <pane xSplit="1" ySplit="3" topLeftCell="B4" activePane="bottomRight" state="frozen"/>
      <selection pane="bottomRight" activeCell="A7" sqref="A7:XFD7"/>
      <selection pane="bottomLeft" activeCell="A4" sqref="A4"/>
      <selection pane="topRight" activeCell="B1" sqref="B1"/>
    </sheetView>
  </sheetViews>
  <sheetFormatPr defaultRowHeight="13.15"/>
  <cols>
    <col min="1" max="1" width="35" bestFit="1" customWidth="1"/>
    <col min="2" max="2" width="14.42578125" bestFit="1" customWidth="1"/>
    <col min="3" max="3" width="13.42578125" bestFit="1" customWidth="1"/>
    <col min="4" max="4" width="14.42578125" bestFit="1" customWidth="1"/>
    <col min="5" max="5" width="0.7109375" customWidth="1"/>
    <col min="6" max="6" width="14.42578125" bestFit="1" customWidth="1"/>
    <col min="7" max="7" width="14" bestFit="1" customWidth="1"/>
    <col min="8" max="8" width="15.42578125" bestFit="1" customWidth="1"/>
    <col min="9" max="9" width="1" customWidth="1"/>
    <col min="10" max="10" width="12.7109375" customWidth="1"/>
    <col min="11" max="11" width="14.42578125" bestFit="1" customWidth="1"/>
    <col min="12" max="12" width="14.85546875" bestFit="1" customWidth="1"/>
    <col min="13" max="13" width="1" customWidth="1"/>
    <col min="14" max="14" width="14.42578125" bestFit="1" customWidth="1"/>
    <col min="15" max="15" width="11.85546875" bestFit="1" customWidth="1"/>
    <col min="16" max="16" width="12.7109375" customWidth="1"/>
    <col min="17" max="17" width="0.85546875" customWidth="1"/>
    <col min="18" max="18" width="14.42578125" bestFit="1" customWidth="1"/>
    <col min="19" max="19" width="11.28515625" bestFit="1" customWidth="1"/>
    <col min="20" max="20" width="13.42578125" bestFit="1" customWidth="1"/>
    <col min="21" max="21" width="0.7109375" customWidth="1"/>
    <col min="22" max="22" width="11.28515625" customWidth="1"/>
    <col min="23" max="23" width="14" bestFit="1" customWidth="1"/>
    <col min="24" max="24" width="16.5703125" bestFit="1" customWidth="1"/>
  </cols>
  <sheetData>
    <row r="1" spans="1:24" ht="13.9">
      <c r="A1" s="901">
        <f>+'Richlands Imported Valuation'!A1</f>
        <v>46226</v>
      </c>
    </row>
    <row r="2" spans="1:24" ht="13.9">
      <c r="A2" s="902" t="str">
        <f>+'Richlands Imported Valuation'!A2</f>
        <v>IMPORTED PIGS MOVEMENT</v>
      </c>
    </row>
    <row r="3" spans="1:24" ht="27.6">
      <c r="B3" s="1474" t="s">
        <v>1579</v>
      </c>
      <c r="C3" s="1475">
        <f>36-C4</f>
        <v>0</v>
      </c>
      <c r="D3" s="1476" t="s">
        <v>1580</v>
      </c>
      <c r="E3" s="300"/>
      <c r="F3" s="1474" t="s">
        <v>1579</v>
      </c>
      <c r="G3" s="1475">
        <f>36-G4</f>
        <v>0</v>
      </c>
      <c r="H3" s="1476" t="s">
        <v>1580</v>
      </c>
      <c r="I3" s="300"/>
      <c r="J3" s="1474" t="s">
        <v>1579</v>
      </c>
      <c r="K3" s="1475">
        <f>36-K4</f>
        <v>0</v>
      </c>
      <c r="L3" s="1476" t="s">
        <v>1580</v>
      </c>
      <c r="M3" s="1506"/>
      <c r="N3" s="1474" t="s">
        <v>1579</v>
      </c>
      <c r="O3" s="1475">
        <f>36-O4</f>
        <v>0</v>
      </c>
      <c r="P3" s="1476" t="s">
        <v>1580</v>
      </c>
      <c r="Q3" s="300"/>
      <c r="R3" s="1474" t="s">
        <v>1579</v>
      </c>
      <c r="S3" s="1475">
        <f>36-S4</f>
        <v>0</v>
      </c>
      <c r="T3" s="1476" t="s">
        <v>1580</v>
      </c>
      <c r="U3" s="300"/>
      <c r="V3" s="2167" t="s">
        <v>115</v>
      </c>
      <c r="W3" s="2168"/>
      <c r="X3" s="2169"/>
    </row>
    <row r="4" spans="1:24" ht="13.9">
      <c r="A4" s="902" t="s">
        <v>1598</v>
      </c>
      <c r="B4" s="945">
        <v>43009</v>
      </c>
      <c r="C4" s="940">
        <v>36</v>
      </c>
      <c r="D4" s="946" t="s">
        <v>1580</v>
      </c>
      <c r="F4" s="945">
        <v>43040</v>
      </c>
      <c r="G4" s="940">
        <v>36</v>
      </c>
      <c r="H4" s="946" t="str">
        <f>+D4</f>
        <v>Months</v>
      </c>
      <c r="J4" s="945">
        <v>43282</v>
      </c>
      <c r="K4" s="940">
        <v>36</v>
      </c>
      <c r="L4" s="946" t="str">
        <f>+A4</f>
        <v>TN60</v>
      </c>
      <c r="M4" s="1507"/>
      <c r="N4" s="945">
        <v>43160</v>
      </c>
      <c r="O4" s="940">
        <v>36</v>
      </c>
      <c r="P4" s="946" t="str">
        <f>+H4</f>
        <v>Months</v>
      </c>
      <c r="R4" s="945">
        <v>43191</v>
      </c>
      <c r="S4" s="940">
        <v>36</v>
      </c>
      <c r="T4" s="946" t="str">
        <f>+P4</f>
        <v>Months</v>
      </c>
      <c r="V4" s="921" t="s">
        <v>1581</v>
      </c>
      <c r="W4" s="922" t="s">
        <v>1582</v>
      </c>
      <c r="X4" s="924" t="s">
        <v>71</v>
      </c>
    </row>
    <row r="5" spans="1:24">
      <c r="A5" s="904" t="s">
        <v>1584</v>
      </c>
      <c r="B5" s="947">
        <v>149</v>
      </c>
      <c r="C5" s="948">
        <f>+'Richlands Imported Valuation'!G18</f>
        <v>0</v>
      </c>
      <c r="D5" s="928">
        <f>+'Richlands Imported Valuation'!H18</f>
        <v>0</v>
      </c>
      <c r="F5" s="947">
        <v>149</v>
      </c>
      <c r="G5" s="948">
        <f>+'Richlands Imported Valuation'!O18</f>
        <v>0</v>
      </c>
      <c r="H5" s="928">
        <f>+F5*G5</f>
        <v>0</v>
      </c>
      <c r="J5" s="947">
        <v>27</v>
      </c>
      <c r="K5" s="948">
        <f>+'Richlands Imported Valuation'!W6</f>
        <v>0</v>
      </c>
      <c r="L5" s="928">
        <f>+J5*K5</f>
        <v>0</v>
      </c>
      <c r="M5" s="385"/>
      <c r="N5" s="947">
        <v>149</v>
      </c>
      <c r="O5" s="948">
        <f>+'Richlands Imported Valuation'!AE18</f>
        <v>0</v>
      </c>
      <c r="P5" s="928">
        <f>+N5*O5</f>
        <v>0</v>
      </c>
      <c r="R5" s="947">
        <v>149</v>
      </c>
      <c r="S5" s="948">
        <f>+'Richlands Imported Valuation'!AA18</f>
        <v>0</v>
      </c>
      <c r="T5" s="928">
        <f>+R5*S5</f>
        <v>0</v>
      </c>
      <c r="V5" s="947">
        <f>+B5+F5+J5+N5+R5</f>
        <v>623</v>
      </c>
      <c r="W5" s="948">
        <f>+X5/V5</f>
        <v>0</v>
      </c>
      <c r="X5" s="948">
        <f>+D5+H5+L5+P5+T5</f>
        <v>0</v>
      </c>
    </row>
    <row r="6" spans="1:24">
      <c r="A6" s="904" t="s">
        <v>169</v>
      </c>
      <c r="B6" s="947">
        <f>+B7-B5</f>
        <v>-149</v>
      </c>
      <c r="C6" s="948">
        <f>+C5</f>
        <v>0</v>
      </c>
      <c r="D6" s="928">
        <f>+B6*C6</f>
        <v>0</v>
      </c>
      <c r="F6" s="947">
        <f>+F7-F5</f>
        <v>-149</v>
      </c>
      <c r="G6" s="948">
        <f>+G5</f>
        <v>0</v>
      </c>
      <c r="H6" s="928">
        <f>+F6*G6</f>
        <v>0</v>
      </c>
      <c r="J6" s="947">
        <f>+J7-J5</f>
        <v>-27</v>
      </c>
      <c r="K6" s="948">
        <f>+K5</f>
        <v>0</v>
      </c>
      <c r="L6" s="928">
        <f>+J6*K6</f>
        <v>0</v>
      </c>
      <c r="M6" s="385"/>
      <c r="N6" s="947">
        <f>+N7-N5</f>
        <v>-149</v>
      </c>
      <c r="O6" s="948">
        <f>+O5</f>
        <v>0</v>
      </c>
      <c r="P6" s="928">
        <f>+N6*O6</f>
        <v>0</v>
      </c>
      <c r="R6" s="947">
        <f>+R7-R5</f>
        <v>-149</v>
      </c>
      <c r="S6" s="948">
        <f>+S5</f>
        <v>0</v>
      </c>
      <c r="T6" s="928">
        <f>+R6*S6</f>
        <v>0</v>
      </c>
      <c r="V6" s="947">
        <f>+B6+F6+J6+N6+R6</f>
        <v>-623</v>
      </c>
      <c r="W6" s="948">
        <f>+X6/V6</f>
        <v>0</v>
      </c>
      <c r="X6" s="948">
        <f>+D6+H6+L6+P6+T6</f>
        <v>0</v>
      </c>
    </row>
    <row r="7" spans="1:24" ht="13.9">
      <c r="A7" s="950" t="s">
        <v>1585</v>
      </c>
      <c r="B7" s="951">
        <v>0</v>
      </c>
      <c r="C7" s="952">
        <f>+C5</f>
        <v>0</v>
      </c>
      <c r="D7" s="932">
        <f>+B7*C7</f>
        <v>0</v>
      </c>
      <c r="F7" s="1773">
        <f>+'Lionhead TN 60'!B4</f>
        <v>0</v>
      </c>
      <c r="G7" s="952">
        <f>+G5</f>
        <v>0</v>
      </c>
      <c r="H7" s="932">
        <f>+F7*G7</f>
        <v>0</v>
      </c>
      <c r="J7" s="951">
        <v>0</v>
      </c>
      <c r="K7" s="952">
        <f>+K5</f>
        <v>0</v>
      </c>
      <c r="L7" s="932">
        <f>+J7*K7</f>
        <v>0</v>
      </c>
      <c r="M7" s="999"/>
      <c r="N7" s="951">
        <v>0</v>
      </c>
      <c r="O7" s="952">
        <f>+O5</f>
        <v>0</v>
      </c>
      <c r="P7" s="932">
        <f>+N7*O7</f>
        <v>0</v>
      </c>
      <c r="R7" s="951">
        <v>0</v>
      </c>
      <c r="S7" s="952">
        <f>+S5</f>
        <v>0</v>
      </c>
      <c r="T7" s="932">
        <f>+R7*S7</f>
        <v>0</v>
      </c>
      <c r="V7" s="1505">
        <f>+V5+V6</f>
        <v>0</v>
      </c>
      <c r="W7" s="952">
        <f>+IFERROR(X7/V7,0)</f>
        <v>0</v>
      </c>
      <c r="X7" s="931">
        <f>+X5+X6</f>
        <v>0</v>
      </c>
    </row>
    <row r="8" spans="1:24">
      <c r="A8" s="925" t="s">
        <v>1586</v>
      </c>
      <c r="B8" s="926">
        <f>+'Richlands Imported Valuation'!F21</f>
        <v>0</v>
      </c>
      <c r="C8" s="927">
        <f>+'Richlands Imported Valuation'!G21</f>
        <v>0</v>
      </c>
      <c r="D8" s="928">
        <f>+B7*B8*C8</f>
        <v>0</v>
      </c>
      <c r="F8" s="926">
        <f>+'Richlands Imported Valuation'!N21</f>
        <v>0</v>
      </c>
      <c r="G8" s="927">
        <f>+'Richlands Imported Valuation'!O21</f>
        <v>0</v>
      </c>
      <c r="H8" s="928">
        <f>+F7*F8*G8</f>
        <v>0</v>
      </c>
      <c r="J8" s="926">
        <f>+'Richlands Imported Valuation'!V21</f>
        <v>0</v>
      </c>
      <c r="K8" s="927">
        <f>+'Richlands Imported Valuation'!W9</f>
        <v>0</v>
      </c>
      <c r="L8" s="928">
        <f>+J7*J8*K8</f>
        <v>0</v>
      </c>
      <c r="M8" s="385"/>
      <c r="N8" s="926">
        <f>+'Richlands Imported Valuation'!AD21</f>
        <v>0</v>
      </c>
      <c r="O8" s="927">
        <f>+'Richlands Imported Valuation'!AE21</f>
        <v>0</v>
      </c>
      <c r="P8" s="928">
        <f>+N7*N8*O8</f>
        <v>0</v>
      </c>
      <c r="R8" s="926">
        <f>+'Richlands Imported Valuation'!Z21</f>
        <v>0</v>
      </c>
      <c r="S8" s="927">
        <f>+'Richlands Imported Valuation'!AA21</f>
        <v>0</v>
      </c>
      <c r="T8" s="928">
        <f>+R7*R8*S8</f>
        <v>0</v>
      </c>
      <c r="V8" s="947">
        <f>+B8+F8+J8+N8+R8</f>
        <v>0</v>
      </c>
      <c r="W8" s="927" t="e">
        <f>+X8:X9/V8</f>
        <v>#DIV/0!</v>
      </c>
      <c r="X8" s="948">
        <f>+D8+H8+L8+P8+T8</f>
        <v>0</v>
      </c>
    </row>
    <row r="9" spans="1:24" ht="13.9">
      <c r="A9" s="956" t="s">
        <v>1587</v>
      </c>
      <c r="B9" s="951">
        <f>+B7</f>
        <v>0</v>
      </c>
      <c r="C9" s="905"/>
      <c r="D9" s="928">
        <f>+D7+D8</f>
        <v>0</v>
      </c>
      <c r="F9" s="951">
        <f>+F7</f>
        <v>0</v>
      </c>
      <c r="G9" s="905"/>
      <c r="H9" s="928">
        <f>+H7+H8</f>
        <v>0</v>
      </c>
      <c r="J9" s="951">
        <f>+J7</f>
        <v>0</v>
      </c>
      <c r="K9" s="905"/>
      <c r="L9" s="928">
        <f>+L7+L8</f>
        <v>0</v>
      </c>
      <c r="M9" s="385"/>
      <c r="N9" s="951">
        <f>+N7</f>
        <v>0</v>
      </c>
      <c r="O9" s="905"/>
      <c r="P9" s="928">
        <f>+P7+P8</f>
        <v>0</v>
      </c>
      <c r="R9" s="951">
        <f>+R7</f>
        <v>0</v>
      </c>
      <c r="S9" s="905"/>
      <c r="T9" s="928">
        <f>+T7+T8</f>
        <v>0</v>
      </c>
      <c r="V9" s="1505">
        <f>+B9+F9+J9+N9+R9</f>
        <v>0</v>
      </c>
      <c r="W9" s="905"/>
      <c r="X9" s="948">
        <f>+D9+H9+L9+P9+T9</f>
        <v>0</v>
      </c>
    </row>
    <row r="10" spans="1:24">
      <c r="A10" s="956"/>
      <c r="B10" s="947"/>
      <c r="C10" s="905"/>
      <c r="D10" s="928"/>
      <c r="F10" s="947"/>
      <c r="G10" s="905"/>
      <c r="H10" s="928"/>
      <c r="J10" s="947"/>
      <c r="K10" s="905"/>
      <c r="L10" s="928"/>
      <c r="M10" s="385"/>
      <c r="N10" s="947"/>
      <c r="O10" s="905"/>
      <c r="P10" s="928"/>
      <c r="R10" s="947"/>
      <c r="S10" s="905"/>
      <c r="T10" s="928"/>
      <c r="V10" s="947"/>
      <c r="W10" s="905"/>
      <c r="X10" s="927"/>
    </row>
    <row r="11" spans="1:24">
      <c r="A11" s="956" t="s">
        <v>1588</v>
      </c>
      <c r="B11" s="947"/>
      <c r="C11" s="905"/>
      <c r="D11" s="928">
        <f>+D9/36</f>
        <v>0</v>
      </c>
      <c r="F11" s="947"/>
      <c r="G11" s="905"/>
      <c r="H11" s="1815">
        <f>+H9/36</f>
        <v>0</v>
      </c>
      <c r="J11" s="947"/>
      <c r="K11" s="905"/>
      <c r="L11" s="928">
        <f>+L9/36</f>
        <v>0</v>
      </c>
      <c r="M11" s="385"/>
      <c r="N11" s="947"/>
      <c r="O11" s="905"/>
      <c r="P11" s="928">
        <f>+P9/36</f>
        <v>0</v>
      </c>
      <c r="R11" s="947"/>
      <c r="S11" s="905"/>
      <c r="T11" s="928">
        <f>+T9/36</f>
        <v>0</v>
      </c>
      <c r="V11" s="947"/>
      <c r="W11" s="905"/>
      <c r="X11" s="1816">
        <f>+D11+H11+L11+P11+T11</f>
        <v>0</v>
      </c>
    </row>
    <row r="12" spans="1:24">
      <c r="A12" s="904"/>
      <c r="B12" s="947"/>
      <c r="C12" s="905"/>
      <c r="D12" s="928"/>
      <c r="F12" s="947"/>
      <c r="G12" s="905"/>
      <c r="H12" s="928"/>
      <c r="J12" s="947"/>
      <c r="K12" s="905"/>
      <c r="L12" s="928"/>
      <c r="M12" s="385"/>
      <c r="N12" s="947"/>
      <c r="O12" s="905"/>
      <c r="P12" s="928"/>
      <c r="R12" s="947"/>
      <c r="S12" s="905"/>
      <c r="T12" s="928"/>
      <c r="V12" s="947"/>
      <c r="W12" s="905"/>
      <c r="X12" s="927"/>
    </row>
    <row r="13" spans="1:24" ht="13.9">
      <c r="A13" s="958" t="s">
        <v>1589</v>
      </c>
      <c r="B13" s="933"/>
      <c r="C13" s="959"/>
      <c r="D13" s="936">
        <f>+D11*C4</f>
        <v>0</v>
      </c>
      <c r="F13" s="933"/>
      <c r="G13" s="959"/>
      <c r="H13" s="936">
        <f>+G4*H11</f>
        <v>0</v>
      </c>
      <c r="J13" s="933"/>
      <c r="K13" s="959"/>
      <c r="L13" s="936">
        <f>+K4*L11</f>
        <v>0</v>
      </c>
      <c r="M13" s="889"/>
      <c r="N13" s="933"/>
      <c r="O13" s="959"/>
      <c r="P13" s="936">
        <f>+O4*P11</f>
        <v>0</v>
      </c>
      <c r="R13" s="933"/>
      <c r="S13" s="959"/>
      <c r="T13" s="936">
        <f>+S4*T11</f>
        <v>0</v>
      </c>
      <c r="V13" s="933"/>
      <c r="W13" s="959"/>
      <c r="X13" s="948">
        <f>+D13+H13+L13+P13+T13</f>
        <v>0</v>
      </c>
    </row>
    <row r="14" spans="1:24" ht="13.9">
      <c r="A14" s="961"/>
    </row>
    <row r="15" spans="1:24">
      <c r="A15" s="904" t="s">
        <v>1599</v>
      </c>
      <c r="D15" s="24">
        <f>+D5</f>
        <v>0</v>
      </c>
      <c r="H15" s="24">
        <f>+H5</f>
        <v>0</v>
      </c>
      <c r="L15" s="24">
        <f>+L5</f>
        <v>0</v>
      </c>
      <c r="P15" s="24">
        <f>+P5</f>
        <v>0</v>
      </c>
      <c r="T15" s="24">
        <f>+T5</f>
        <v>0</v>
      </c>
      <c r="X15" s="24">
        <f>+X5</f>
        <v>0</v>
      </c>
    </row>
    <row r="16" spans="1:24">
      <c r="A16" s="972" t="s">
        <v>1589</v>
      </c>
      <c r="B16" s="1327"/>
      <c r="C16" s="1327"/>
      <c r="D16" s="1328">
        <f>-D13</f>
        <v>0</v>
      </c>
      <c r="E16" s="1327"/>
      <c r="F16" s="1327"/>
      <c r="G16" s="1327"/>
      <c r="H16" s="1328">
        <f>-H13</f>
        <v>0</v>
      </c>
      <c r="I16" s="1327"/>
      <c r="J16" s="1327"/>
      <c r="K16" s="1327"/>
      <c r="L16" s="1328">
        <f>-L13</f>
        <v>0</v>
      </c>
      <c r="N16" s="1327"/>
      <c r="O16" s="1327"/>
      <c r="P16" s="1328">
        <f>-P13</f>
        <v>0</v>
      </c>
      <c r="Q16" s="1327"/>
      <c r="R16" s="1327"/>
      <c r="S16" s="1327"/>
      <c r="T16" s="1328">
        <f>-T13</f>
        <v>0</v>
      </c>
      <c r="U16" s="1327"/>
      <c r="V16" s="1327"/>
      <c r="W16" s="1327"/>
      <c r="X16" s="1328">
        <f>-X13</f>
        <v>0</v>
      </c>
    </row>
    <row r="17" spans="1:24">
      <c r="A17" s="904" t="s">
        <v>1594</v>
      </c>
      <c r="D17" s="24">
        <f>+D6</f>
        <v>0</v>
      </c>
      <c r="H17" s="24">
        <f>+H6</f>
        <v>0</v>
      </c>
      <c r="L17" s="24">
        <f>+L6</f>
        <v>0</v>
      </c>
      <c r="P17" s="24">
        <f>+P6</f>
        <v>0</v>
      </c>
      <c r="T17" s="24">
        <f>+T6</f>
        <v>0</v>
      </c>
      <c r="X17" s="24">
        <f>+X6</f>
        <v>0</v>
      </c>
    </row>
    <row r="18" spans="1:24" s="1" customFormat="1" ht="13.9">
      <c r="A18" s="920" t="s">
        <v>636</v>
      </c>
      <c r="D18" s="1299">
        <f>SUM(D15:D17)</f>
        <v>0</v>
      </c>
      <c r="H18" s="1299">
        <f>SUM(H15:H17)</f>
        <v>0</v>
      </c>
      <c r="L18" s="1299">
        <f>SUM(L15:L17)</f>
        <v>0</v>
      </c>
      <c r="P18" s="1299">
        <f>SUM(P15:P17)</f>
        <v>0</v>
      </c>
      <c r="T18" s="1299">
        <f>SUM(T15:T17)</f>
        <v>0</v>
      </c>
      <c r="X18" s="1299">
        <f>SUM(X15:X17)</f>
        <v>0</v>
      </c>
    </row>
    <row r="22" spans="1:24">
      <c r="B22" s="23"/>
      <c r="C22" s="23"/>
      <c r="D22" s="23"/>
    </row>
    <row r="23" spans="1:24">
      <c r="B23" s="23"/>
      <c r="C23" s="23"/>
      <c r="D23" s="23"/>
    </row>
    <row r="24" spans="1:24">
      <c r="B24" s="23"/>
      <c r="C24" s="23"/>
      <c r="D24" s="23"/>
    </row>
    <row r="25" spans="1:24">
      <c r="B25" s="23"/>
      <c r="C25" s="23"/>
      <c r="D25" s="23"/>
    </row>
    <row r="26" spans="1:24">
      <c r="B26" s="23"/>
      <c r="C26" s="23"/>
      <c r="D26" s="23">
        <f>+D24/36</f>
        <v>0</v>
      </c>
    </row>
    <row r="27" spans="1:24">
      <c r="B27" s="23"/>
      <c r="C27" s="23"/>
      <c r="D27" s="23"/>
    </row>
    <row r="28" spans="1:24">
      <c r="B28" s="23"/>
      <c r="C28" s="23"/>
      <c r="D28" s="23">
        <f>+D26*36</f>
        <v>0</v>
      </c>
    </row>
    <row r="29" spans="1:24">
      <c r="B29" s="23"/>
      <c r="C29" s="23"/>
      <c r="D29" s="23">
        <f>+D13+'Richlands Imported Valuation'!H26</f>
        <v>0</v>
      </c>
    </row>
    <row r="30" spans="1:24">
      <c r="B30" s="23"/>
      <c r="C30" s="23"/>
      <c r="D30" s="23"/>
    </row>
  </sheetData>
  <mergeCells count="1">
    <mergeCell ref="V3:X3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E1C8-49EA-4522-9D4A-A9A71B700674}">
  <sheetPr codeName="Sheet37">
    <tabColor theme="9" tint="-0.249977111117893"/>
  </sheetPr>
  <dimension ref="A1:AG57"/>
  <sheetViews>
    <sheetView view="pageBreakPreview" zoomScale="60" zoomScaleNormal="100" workbookViewId="0">
      <pane xSplit="1" ySplit="5" topLeftCell="J6" activePane="bottomRight" state="frozen"/>
      <selection pane="bottomRight" activeCell="Z8" sqref="Z8"/>
      <selection pane="bottomLeft" activeCell="AT31" sqref="AT31"/>
      <selection pane="topRight" activeCell="AT31" sqref="AT31"/>
    </sheetView>
  </sheetViews>
  <sheetFormatPr defaultColWidth="9.140625" defaultRowHeight="13.15"/>
  <cols>
    <col min="1" max="1" width="31.5703125" style="904" bestFit="1" customWidth="1"/>
    <col min="2" max="2" width="16.140625" style="300" hidden="1" customWidth="1"/>
    <col min="3" max="3" width="16.5703125" style="300" hidden="1" customWidth="1"/>
    <col min="4" max="4" width="18.7109375" style="300" hidden="1" customWidth="1"/>
    <col min="5" max="5" width="0.5703125" style="300" customWidth="1"/>
    <col min="6" max="6" width="16.140625" style="300" bestFit="1" customWidth="1"/>
    <col min="7" max="7" width="16.5703125" style="300" bestFit="1" customWidth="1"/>
    <col min="8" max="8" width="18.7109375" style="300" bestFit="1" customWidth="1"/>
    <col min="9" max="9" width="2.42578125" style="300" customWidth="1"/>
    <col min="10" max="11" width="12.85546875" style="300" customWidth="1"/>
    <col min="12" max="16" width="17.7109375" style="300" customWidth="1"/>
    <col min="17" max="17" width="2.140625" style="300" customWidth="1"/>
    <col min="18" max="24" width="17.7109375" style="300" customWidth="1"/>
    <col min="25" max="25" width="2.28515625" style="300" customWidth="1"/>
    <col min="26" max="26" width="14" style="300" customWidth="1"/>
    <col min="27" max="27" width="16.5703125" style="300" bestFit="1" customWidth="1"/>
    <col min="28" max="28" width="20.140625" style="300" bestFit="1" customWidth="1"/>
    <col min="29" max="29" width="15.28515625" style="300" customWidth="1"/>
    <col min="30" max="31" width="14.5703125" style="300" bestFit="1" customWidth="1"/>
    <col min="32" max="32" width="13.5703125" style="300" bestFit="1" customWidth="1"/>
    <col min="33" max="33" width="14" style="300" bestFit="1" customWidth="1"/>
    <col min="34" max="35" width="9.140625" style="300"/>
    <col min="36" max="36" width="9.42578125" style="300" bestFit="1" customWidth="1"/>
    <col min="37" max="16384" width="9.140625" style="300"/>
  </cols>
  <sheetData>
    <row r="1" spans="1:33" ht="13.9">
      <c r="A1" s="901">
        <f>+'Summary Total Pigs'!C3</f>
        <v>46226</v>
      </c>
    </row>
    <row r="2" spans="1:33" ht="13.9">
      <c r="A2" s="902" t="str">
        <f>+'[55]Grasmere valuation '!A2</f>
        <v>IMPORTED PIGS MOVEMENT</v>
      </c>
      <c r="AD2" s="903"/>
      <c r="AE2" s="903"/>
    </row>
    <row r="3" spans="1:33">
      <c r="B3" s="905"/>
      <c r="C3" s="905"/>
      <c r="D3" s="910"/>
      <c r="F3" s="905">
        <f>+B3</f>
        <v>0</v>
      </c>
      <c r="G3" s="905">
        <f>36-G4</f>
        <v>0</v>
      </c>
      <c r="H3" s="910">
        <f>+D3</f>
        <v>0</v>
      </c>
      <c r="J3" s="905">
        <f>+F3</f>
        <v>0</v>
      </c>
      <c r="K3" s="905">
        <f>36-K4</f>
        <v>0</v>
      </c>
      <c r="L3" s="910">
        <f>+H3</f>
        <v>0</v>
      </c>
      <c r="M3" s="903"/>
      <c r="N3" s="905">
        <f>+J3</f>
        <v>0</v>
      </c>
      <c r="O3" s="905">
        <f>36-O4</f>
        <v>0</v>
      </c>
      <c r="P3" s="910">
        <f>+L3</f>
        <v>0</v>
      </c>
      <c r="R3" s="905">
        <f>+N3</f>
        <v>0</v>
      </c>
      <c r="S3" s="905">
        <f>36-S4</f>
        <v>0</v>
      </c>
      <c r="T3" s="910">
        <f>+P3</f>
        <v>0</v>
      </c>
      <c r="U3" s="910"/>
      <c r="V3" s="905">
        <f>+R3</f>
        <v>0</v>
      </c>
      <c r="W3" s="905">
        <f>36-W4</f>
        <v>0</v>
      </c>
      <c r="X3" s="910">
        <f>+T3</f>
        <v>0</v>
      </c>
      <c r="Z3" s="905"/>
      <c r="AA3" s="905"/>
      <c r="AB3" s="910"/>
    </row>
    <row r="4" spans="1:33" s="884" customFormat="1" ht="13.9">
      <c r="A4" s="911" t="s">
        <v>1597</v>
      </c>
      <c r="B4" s="1048"/>
      <c r="C4" s="916"/>
      <c r="D4" s="918"/>
      <c r="E4" s="915"/>
      <c r="F4" s="1048">
        <f>+'Porta TN70'!E110</f>
        <v>45433</v>
      </c>
      <c r="G4" s="916">
        <v>36</v>
      </c>
      <c r="H4" s="918" t="s">
        <v>1580</v>
      </c>
      <c r="I4" s="915"/>
      <c r="J4" s="1048">
        <f>+'Porta TN70'!E248</f>
        <v>45468</v>
      </c>
      <c r="K4" s="916">
        <v>36</v>
      </c>
      <c r="L4" s="918" t="s">
        <v>1580</v>
      </c>
      <c r="M4" s="1952"/>
      <c r="N4" s="1048">
        <f>'Porta TN70'!E279</f>
        <v>45498</v>
      </c>
      <c r="O4" s="916">
        <v>36</v>
      </c>
      <c r="P4" s="918" t="s">
        <v>1580</v>
      </c>
      <c r="Q4" s="300"/>
      <c r="R4" s="1048">
        <f>+'Porta TN70'!E410</f>
        <v>45510</v>
      </c>
      <c r="S4" s="916">
        <v>36</v>
      </c>
      <c r="T4" s="918" t="s">
        <v>1580</v>
      </c>
      <c r="U4" s="940"/>
      <c r="V4" s="1048">
        <f>'Porta TN70'!E548</f>
        <v>45541</v>
      </c>
      <c r="W4" s="916">
        <v>36</v>
      </c>
      <c r="X4" s="918" t="s">
        <v>1580</v>
      </c>
      <c r="Y4" s="915"/>
      <c r="Z4" s="1048" t="s">
        <v>115</v>
      </c>
      <c r="AA4" s="916"/>
      <c r="AB4" s="918"/>
      <c r="AC4" s="919"/>
    </row>
    <row r="5" spans="1:33" s="884" customFormat="1" ht="13.9">
      <c r="A5" s="920"/>
      <c r="B5" s="921"/>
      <c r="C5" s="922"/>
      <c r="D5" s="924"/>
      <c r="E5" s="915"/>
      <c r="F5" s="921" t="s">
        <v>1581</v>
      </c>
      <c r="G5" s="922" t="s">
        <v>1582</v>
      </c>
      <c r="H5" s="924" t="s">
        <v>71</v>
      </c>
      <c r="I5" s="915"/>
      <c r="J5" s="921" t="s">
        <v>1581</v>
      </c>
      <c r="K5" s="922" t="s">
        <v>1582</v>
      </c>
      <c r="L5" s="924" t="s">
        <v>71</v>
      </c>
      <c r="M5" s="915"/>
      <c r="N5" s="921" t="s">
        <v>1581</v>
      </c>
      <c r="O5" s="922" t="s">
        <v>1582</v>
      </c>
      <c r="P5" s="924" t="s">
        <v>71</v>
      </c>
      <c r="Q5" s="300"/>
      <c r="R5" s="921" t="s">
        <v>1581</v>
      </c>
      <c r="S5" s="922" t="s">
        <v>1582</v>
      </c>
      <c r="T5" s="924" t="s">
        <v>71</v>
      </c>
      <c r="U5" s="922"/>
      <c r="V5" s="921" t="s">
        <v>1581</v>
      </c>
      <c r="W5" s="922" t="s">
        <v>1582</v>
      </c>
      <c r="X5" s="924" t="s">
        <v>71</v>
      </c>
      <c r="Y5" s="915"/>
      <c r="Z5" s="921" t="s">
        <v>1581</v>
      </c>
      <c r="AA5" s="922" t="s">
        <v>1582</v>
      </c>
      <c r="AB5" s="924" t="s">
        <v>71</v>
      </c>
    </row>
    <row r="6" spans="1:33" s="739" customFormat="1">
      <c r="A6" s="925" t="str">
        <f>+'[55]Grasmere valuation '!A7</f>
        <v>Purchases</v>
      </c>
      <c r="B6" s="926"/>
      <c r="C6" s="927"/>
      <c r="D6" s="928"/>
      <c r="F6" s="926">
        <v>260</v>
      </c>
      <c r="G6" s="927">
        <f>'[61]May 2024'!$L$46</f>
        <v>242.9395143962183</v>
      </c>
      <c r="H6" s="928">
        <f>+F6*G6</f>
        <v>63164.273743016754</v>
      </c>
      <c r="J6" s="926">
        <v>260</v>
      </c>
      <c r="K6" s="1935">
        <f>'[61]June 2024 '!$L$46</f>
        <v>248.69529283953821</v>
      </c>
      <c r="L6" s="928">
        <f>+J6*K6</f>
        <v>64660.776138279936</v>
      </c>
      <c r="M6" s="385"/>
      <c r="N6" s="926">
        <v>52</v>
      </c>
      <c r="O6" s="1935">
        <f>'[48]July 2024'!$L$39</f>
        <v>226.45078034100072</v>
      </c>
      <c r="P6" s="928">
        <f>+N6*O6</f>
        <v>11775.440577732037</v>
      </c>
      <c r="Q6" s="300"/>
      <c r="R6" s="926">
        <v>260</v>
      </c>
      <c r="S6" s="1935">
        <f>'[62]August 2024'!$L$38</f>
        <v>252.33301260188813</v>
      </c>
      <c r="T6" s="928">
        <f>+R6*S6</f>
        <v>65606.583276490914</v>
      </c>
      <c r="U6" s="927"/>
      <c r="V6" s="926">
        <v>259</v>
      </c>
      <c r="W6" s="1935">
        <f>'[62]August 2024'!$L$38</f>
        <v>252.33301260188813</v>
      </c>
      <c r="X6" s="928">
        <f>+V6*W6</f>
        <v>65354.250263889022</v>
      </c>
      <c r="Z6" s="926">
        <f>B6+F6+J6+N6+R6+V6</f>
        <v>1091</v>
      </c>
      <c r="AA6" s="927">
        <f>+AB6/Z6</f>
        <v>117.16319879128936</v>
      </c>
      <c r="AB6" s="928">
        <f>+D6+H6+L6</f>
        <v>127825.0498812967</v>
      </c>
      <c r="AC6" s="308"/>
    </row>
    <row r="7" spans="1:33" s="739" customFormat="1">
      <c r="A7" s="925" t="str">
        <f>+'[55]Grasmere valuation '!A8</f>
        <v>Mortality</v>
      </c>
      <c r="B7" s="926"/>
      <c r="C7" s="927"/>
      <c r="D7" s="928"/>
      <c r="F7" s="926">
        <f>+F8-F6</f>
        <v>-128</v>
      </c>
      <c r="G7" s="927">
        <f>+G6</f>
        <v>242.9395143962183</v>
      </c>
      <c r="H7" s="928">
        <f>+G7*F7</f>
        <v>-31096.257842715942</v>
      </c>
      <c r="J7" s="926">
        <f>+J8-J6</f>
        <v>-140</v>
      </c>
      <c r="K7" s="927">
        <f>+K6</f>
        <v>248.69529283953821</v>
      </c>
      <c r="L7" s="928">
        <f>+K7*J7</f>
        <v>-34817.34099753535</v>
      </c>
      <c r="M7" s="385"/>
      <c r="N7" s="926">
        <f>+N8-N6</f>
        <v>-16</v>
      </c>
      <c r="O7" s="927">
        <f>+O6</f>
        <v>226.45078034100072</v>
      </c>
      <c r="P7" s="928">
        <f>+O7*N7</f>
        <v>-3623.2124854560116</v>
      </c>
      <c r="Q7" s="300"/>
      <c r="R7" s="926">
        <f>+R8-R6</f>
        <v>-124</v>
      </c>
      <c r="S7" s="927">
        <f>+S6</f>
        <v>252.33301260188813</v>
      </c>
      <c r="T7" s="928">
        <f>+S7*R7</f>
        <v>-31289.293562634128</v>
      </c>
      <c r="U7" s="927"/>
      <c r="V7" s="926">
        <f>+V8-V6</f>
        <v>-121</v>
      </c>
      <c r="W7" s="927">
        <f>+W6</f>
        <v>252.33301260188813</v>
      </c>
      <c r="X7" s="928">
        <f>+W7*V7</f>
        <v>-30532.294524828463</v>
      </c>
      <c r="Z7" s="926">
        <f>B7+F7+J7+N7+R7+V7</f>
        <v>-529</v>
      </c>
      <c r="AA7" s="927">
        <f>+AA6</f>
        <v>117.16319879128936</v>
      </c>
      <c r="AB7" s="928">
        <f>D7+H7</f>
        <v>-31096.257842715942</v>
      </c>
      <c r="AC7" s="308"/>
    </row>
    <row r="8" spans="1:33" s="872" customFormat="1" ht="13.9">
      <c r="A8" s="929" t="str">
        <f>+'[55]Grasmere valuation '!A9</f>
        <v>Sows Available for Amortisation</v>
      </c>
      <c r="B8" s="930"/>
      <c r="C8" s="931"/>
      <c r="D8" s="932"/>
      <c r="F8" s="930">
        <f>'Porta TN70'!B133+'Richlands A LINE'!B5+'Richlands A LINE'!B8</f>
        <v>132</v>
      </c>
      <c r="G8" s="931">
        <f>+G6</f>
        <v>242.9395143962183</v>
      </c>
      <c r="H8" s="932">
        <f>+G8*F8</f>
        <v>32068.015900300816</v>
      </c>
      <c r="J8" s="930">
        <f>'Porta TN70'!B252+'Richlands A LINE'!B6</f>
        <v>120</v>
      </c>
      <c r="K8" s="931">
        <f>+K6</f>
        <v>248.69529283953821</v>
      </c>
      <c r="L8" s="932">
        <f>+K8*J8</f>
        <v>29843.435140744587</v>
      </c>
      <c r="M8" s="999"/>
      <c r="N8" s="930">
        <f>'Porta TN70'!B288</f>
        <v>36</v>
      </c>
      <c r="O8" s="931">
        <f>+O6</f>
        <v>226.45078034100072</v>
      </c>
      <c r="P8" s="932">
        <f>+O8*N8</f>
        <v>8152.2280922760256</v>
      </c>
      <c r="Q8" s="300"/>
      <c r="R8" s="930">
        <f>'Porta TN70'!B423+'Richlands A LINE'!B7</f>
        <v>136</v>
      </c>
      <c r="S8" s="931">
        <f>+S6</f>
        <v>252.33301260188813</v>
      </c>
      <c r="T8" s="932">
        <f>+S8*R8</f>
        <v>34317.289713856786</v>
      </c>
      <c r="U8" s="931"/>
      <c r="V8" s="930">
        <f>'Porta TN70'!B559+'Richlands A LINE'!B10</f>
        <v>138</v>
      </c>
      <c r="W8" s="931">
        <f>+W6</f>
        <v>252.33301260188813</v>
      </c>
      <c r="X8" s="932">
        <f>+W8*V8</f>
        <v>34821.955739060562</v>
      </c>
      <c r="Z8" s="930">
        <f>+Z6+Z7</f>
        <v>562</v>
      </c>
      <c r="AA8" s="931">
        <f>+AB8/Z8</f>
        <v>172.11528832487679</v>
      </c>
      <c r="AB8" s="932">
        <f>+AB6+AB7</f>
        <v>96728.792038580752</v>
      </c>
      <c r="AC8" s="934"/>
    </row>
    <row r="9" spans="1:33" s="739" customFormat="1">
      <c r="A9" s="935" t="str">
        <f>+'[55]Grasmere valuation '!A10</f>
        <v>Residual Value KGs</v>
      </c>
      <c r="B9" s="926"/>
      <c r="C9" s="927"/>
      <c r="D9" s="928"/>
      <c r="F9" s="926">
        <v>150</v>
      </c>
      <c r="G9" s="927">
        <v>-1.81</v>
      </c>
      <c r="H9" s="928">
        <f>+G9*F9*F8</f>
        <v>-35838</v>
      </c>
      <c r="J9" s="926">
        <v>150</v>
      </c>
      <c r="K9" s="927">
        <v>-1.81</v>
      </c>
      <c r="L9" s="928">
        <f>+K9*J9*J8</f>
        <v>-32580</v>
      </c>
      <c r="M9" s="385"/>
      <c r="N9" s="926">
        <v>150</v>
      </c>
      <c r="O9" s="927">
        <v>-1.81</v>
      </c>
      <c r="P9" s="928">
        <f>+O9*N9*N8</f>
        <v>-9774</v>
      </c>
      <c r="Q9" s="300"/>
      <c r="R9" s="926">
        <v>150</v>
      </c>
      <c r="S9" s="927">
        <v>-1.81</v>
      </c>
      <c r="T9" s="928">
        <f>+S9*R9*R8</f>
        <v>-36924</v>
      </c>
      <c r="U9" s="927"/>
      <c r="V9" s="926">
        <v>150</v>
      </c>
      <c r="W9" s="927">
        <v>-1.81</v>
      </c>
      <c r="X9" s="928">
        <f>+W9*V9*V8</f>
        <v>-37467</v>
      </c>
      <c r="Z9" s="926">
        <f>F9</f>
        <v>150</v>
      </c>
      <c r="AA9" s="927">
        <f>+Z9</f>
        <v>150</v>
      </c>
      <c r="AB9" s="928">
        <f>+D9+H9+L9</f>
        <v>-68418</v>
      </c>
      <c r="AC9" s="308"/>
    </row>
    <row r="10" spans="1:33" s="739" customFormat="1" ht="13.9">
      <c r="A10" s="935" t="str">
        <f>+'[55]Grasmere valuation '!A11</f>
        <v>Depreciable Amount</v>
      </c>
      <c r="B10" s="930"/>
      <c r="C10" s="927"/>
      <c r="D10" s="928"/>
      <c r="F10" s="930">
        <f>+F8</f>
        <v>132</v>
      </c>
      <c r="G10" s="927"/>
      <c r="H10" s="928">
        <f>+H8+H9</f>
        <v>-3769.9840996991843</v>
      </c>
      <c r="J10" s="930">
        <f>+J8</f>
        <v>120</v>
      </c>
      <c r="K10" s="927"/>
      <c r="L10" s="928">
        <f>+L8+L9</f>
        <v>-2736.5648592554135</v>
      </c>
      <c r="M10" s="385"/>
      <c r="N10" s="930">
        <f>+N8</f>
        <v>36</v>
      </c>
      <c r="O10" s="927"/>
      <c r="P10" s="928">
        <f>+P8+P9</f>
        <v>-1621.7719077239744</v>
      </c>
      <c r="Q10" s="300"/>
      <c r="R10" s="930">
        <f>+R8</f>
        <v>136</v>
      </c>
      <c r="S10" s="927"/>
      <c r="T10" s="928">
        <f>+T8+T9</f>
        <v>-2606.710286143214</v>
      </c>
      <c r="U10" s="927"/>
      <c r="V10" s="930">
        <f>+V8</f>
        <v>138</v>
      </c>
      <c r="W10" s="927"/>
      <c r="X10" s="928">
        <f>+X8+X9</f>
        <v>-2645.0442609394377</v>
      </c>
      <c r="Z10" s="930">
        <f>B10+F10+J10+N10+R10+V10</f>
        <v>562</v>
      </c>
      <c r="AA10" s="927"/>
      <c r="AB10" s="928">
        <f>+AB8+AB9</f>
        <v>28310.792038580752</v>
      </c>
      <c r="AC10" s="308"/>
    </row>
    <row r="11" spans="1:33" s="739" customFormat="1">
      <c r="A11" s="935"/>
      <c r="B11" s="926"/>
      <c r="C11" s="927"/>
      <c r="D11" s="928"/>
      <c r="F11" s="926"/>
      <c r="G11" s="927"/>
      <c r="H11" s="928">
        <v>0</v>
      </c>
      <c r="J11" s="926"/>
      <c r="K11" s="927"/>
      <c r="L11" s="928">
        <v>0</v>
      </c>
      <c r="M11" s="385"/>
      <c r="N11" s="926"/>
      <c r="O11" s="927"/>
      <c r="P11" s="928">
        <v>0</v>
      </c>
      <c r="Q11" s="300"/>
      <c r="R11" s="926"/>
      <c r="S11" s="927"/>
      <c r="T11" s="928">
        <v>0</v>
      </c>
      <c r="U11" s="927"/>
      <c r="V11" s="926"/>
      <c r="W11" s="927"/>
      <c r="X11" s="928">
        <v>0</v>
      </c>
      <c r="Z11" s="926"/>
      <c r="AA11" s="927"/>
      <c r="AB11" s="928">
        <f>D11+H11</f>
        <v>0</v>
      </c>
      <c r="AC11" s="308"/>
    </row>
    <row r="12" spans="1:33" s="739" customFormat="1">
      <c r="A12" s="935" t="str">
        <f>+'[55]Grasmere valuation '!A13</f>
        <v>Monthly Amortisation</v>
      </c>
      <c r="B12" s="926"/>
      <c r="C12" s="927"/>
      <c r="D12" s="928"/>
      <c r="F12" s="926"/>
      <c r="G12" s="927"/>
      <c r="H12" s="928">
        <f>+H10/36</f>
        <v>-104.72178054719956</v>
      </c>
      <c r="J12" s="926"/>
      <c r="K12" s="927"/>
      <c r="L12" s="928">
        <f>+L10/36</f>
        <v>-76.01569053487259</v>
      </c>
      <c r="M12" s="385"/>
      <c r="N12" s="926"/>
      <c r="O12" s="927"/>
      <c r="P12" s="928">
        <f>+P10/36</f>
        <v>-45.049219658999291</v>
      </c>
      <c r="Q12" s="300"/>
      <c r="R12" s="926"/>
      <c r="S12" s="927"/>
      <c r="T12" s="928">
        <f>+T10/36</f>
        <v>-72.40861905953372</v>
      </c>
      <c r="U12" s="927"/>
      <c r="V12" s="926"/>
      <c r="W12" s="927"/>
      <c r="X12" s="928">
        <f>+X10/36</f>
        <v>-73.473451692762154</v>
      </c>
      <c r="Z12" s="926"/>
      <c r="AA12" s="927"/>
      <c r="AB12" s="928">
        <f>D12+H12</f>
        <v>-104.72178054719956</v>
      </c>
      <c r="AC12" s="308"/>
    </row>
    <row r="13" spans="1:33" s="872" customFormat="1" ht="13.9">
      <c r="A13" s="935"/>
      <c r="B13" s="933"/>
      <c r="C13" s="931"/>
      <c r="D13" s="932"/>
      <c r="F13" s="933"/>
      <c r="G13" s="931"/>
      <c r="H13" s="932">
        <f>+H11*5</f>
        <v>0</v>
      </c>
      <c r="J13" s="933"/>
      <c r="K13" s="931"/>
      <c r="L13" s="932">
        <f>+L11*5</f>
        <v>0</v>
      </c>
      <c r="M13" s="999"/>
      <c r="N13" s="933"/>
      <c r="O13" s="931"/>
      <c r="P13" s="932">
        <f>+P11*5</f>
        <v>0</v>
      </c>
      <c r="Q13" s="300"/>
      <c r="R13" s="933"/>
      <c r="S13" s="931"/>
      <c r="T13" s="932">
        <f>+T11*5</f>
        <v>0</v>
      </c>
      <c r="U13" s="931"/>
      <c r="V13" s="933"/>
      <c r="W13" s="931"/>
      <c r="X13" s="932">
        <f>+X11*5</f>
        <v>0</v>
      </c>
      <c r="Z13" s="933"/>
      <c r="AA13" s="931"/>
      <c r="AB13" s="928">
        <f>D13+H13</f>
        <v>0</v>
      </c>
      <c r="AC13" s="308"/>
    </row>
    <row r="14" spans="1:33" s="739" customFormat="1" ht="13.9">
      <c r="A14" s="935" t="str">
        <f>+'[55]Grasmere valuation '!A15</f>
        <v xml:space="preserve">Cummulative Amortisation </v>
      </c>
      <c r="B14" s="926"/>
      <c r="C14" s="927"/>
      <c r="D14" s="936"/>
      <c r="F14" s="926"/>
      <c r="G14" s="927"/>
      <c r="H14" s="936">
        <f>+H12*G4</f>
        <v>-3769.9840996991843</v>
      </c>
      <c r="J14" s="926"/>
      <c r="K14" s="927"/>
      <c r="L14" s="936">
        <f>+L12*K4</f>
        <v>-2736.5648592554135</v>
      </c>
      <c r="M14" s="889"/>
      <c r="N14" s="926"/>
      <c r="O14" s="927"/>
      <c r="P14" s="936">
        <f>+P12*O4</f>
        <v>-1621.7719077239744</v>
      </c>
      <c r="Q14" s="300"/>
      <c r="R14" s="926"/>
      <c r="S14" s="927"/>
      <c r="T14" s="936">
        <f>+T12*S4</f>
        <v>-2606.710286143214</v>
      </c>
      <c r="U14" s="959"/>
      <c r="V14" s="926"/>
      <c r="W14" s="927"/>
      <c r="X14" s="936">
        <f>+X12*W4</f>
        <v>-2645.0442609394377</v>
      </c>
      <c r="Z14" s="926"/>
      <c r="AA14" s="927"/>
      <c r="AB14" s="928">
        <f>D14+H14</f>
        <v>-3769.9840996991843</v>
      </c>
      <c r="AC14" s="308"/>
    </row>
    <row r="15" spans="1:33">
      <c r="B15" s="937"/>
      <c r="D15" s="938"/>
      <c r="F15" s="937"/>
      <c r="H15" s="938"/>
      <c r="J15" s="937"/>
      <c r="L15" s="938"/>
      <c r="N15" s="937"/>
      <c r="P15" s="938"/>
      <c r="R15" s="937"/>
      <c r="T15" s="938"/>
      <c r="V15" s="937"/>
      <c r="X15" s="938"/>
      <c r="Z15" s="937"/>
      <c r="AB15" s="751"/>
      <c r="AF15" s="739"/>
      <c r="AG15" s="944"/>
    </row>
    <row r="16" spans="1:33">
      <c r="B16" s="947"/>
      <c r="C16" s="905"/>
      <c r="D16" s="949"/>
      <c r="F16" s="947"/>
      <c r="G16" s="905"/>
      <c r="H16" s="949"/>
      <c r="J16" s="947"/>
      <c r="K16" s="905"/>
      <c r="L16" s="949"/>
      <c r="N16" s="947"/>
      <c r="O16" s="905"/>
      <c r="P16" s="949"/>
      <c r="R16" s="947"/>
      <c r="S16" s="905"/>
      <c r="T16" s="949"/>
      <c r="U16" s="905"/>
      <c r="V16" s="947"/>
      <c r="W16" s="905"/>
      <c r="X16" s="949"/>
      <c r="Z16" s="947"/>
      <c r="AA16" s="905"/>
      <c r="AB16" s="1270"/>
      <c r="AF16" s="944"/>
      <c r="AG16" s="944"/>
    </row>
    <row r="17" spans="1:32" s="884" customFormat="1" ht="13.9">
      <c r="A17" s="902" t="s">
        <v>1598</v>
      </c>
      <c r="B17" s="2162"/>
      <c r="C17" s="2165"/>
      <c r="D17" s="2166"/>
      <c r="F17" s="2162">
        <f>+F4</f>
        <v>45433</v>
      </c>
      <c r="G17" s="2163"/>
      <c r="H17" s="2164"/>
      <c r="J17" s="2162">
        <f>+J4</f>
        <v>45468</v>
      </c>
      <c r="K17" s="2163"/>
      <c r="L17" s="2164"/>
      <c r="M17" s="1507"/>
      <c r="N17" s="2162">
        <f>+N4</f>
        <v>45498</v>
      </c>
      <c r="O17" s="2163"/>
      <c r="P17" s="2164"/>
      <c r="Q17" s="300"/>
      <c r="R17" s="2162">
        <f>+R4</f>
        <v>45510</v>
      </c>
      <c r="S17" s="2163"/>
      <c r="T17" s="2164"/>
      <c r="U17" s="1993"/>
      <c r="V17" s="2162">
        <f>+V4</f>
        <v>45541</v>
      </c>
      <c r="W17" s="2163"/>
      <c r="X17" s="2164"/>
      <c r="Z17" s="2162" t="s">
        <v>115</v>
      </c>
      <c r="AA17" s="2165"/>
      <c r="AB17" s="2166"/>
      <c r="AC17" s="919"/>
    </row>
    <row r="18" spans="1:32">
      <c r="A18" s="904" t="str">
        <f>+A6</f>
        <v>Purchases</v>
      </c>
      <c r="B18" s="947"/>
      <c r="C18" s="905"/>
      <c r="D18" s="949"/>
      <c r="F18" s="947"/>
      <c r="G18" s="905"/>
      <c r="H18" s="949"/>
      <c r="Z18" s="926">
        <f>B18+F18</f>
        <v>0</v>
      </c>
      <c r="AA18" s="927">
        <f>+IFERROR(AB18/Z18,0)</f>
        <v>0</v>
      </c>
      <c r="AB18" s="926">
        <f>D18+H18</f>
        <v>0</v>
      </c>
      <c r="AC18" s="308"/>
      <c r="AD18" s="944"/>
      <c r="AE18" s="944"/>
    </row>
    <row r="19" spans="1:32">
      <c r="A19" s="904" t="str">
        <f>+A7</f>
        <v>Mortality</v>
      </c>
      <c r="B19" s="947"/>
      <c r="C19" s="905"/>
      <c r="D19" s="949"/>
      <c r="F19" s="947"/>
      <c r="G19" s="905"/>
      <c r="H19" s="949"/>
      <c r="Z19" s="926">
        <f>B19+F19</f>
        <v>0</v>
      </c>
      <c r="AA19" s="927">
        <f t="shared" ref="AA19:AA21" si="0">+IFERROR(AB19/Z19,0)</f>
        <v>0</v>
      </c>
      <c r="AB19" s="926">
        <f>D19+H19</f>
        <v>0</v>
      </c>
      <c r="AC19" s="308"/>
      <c r="AE19" s="1736"/>
    </row>
    <row r="20" spans="1:32" s="884" customFormat="1" ht="13.9">
      <c r="A20" s="950" t="str">
        <f>+A8</f>
        <v>Sows Available for Amortisation</v>
      </c>
      <c r="B20" s="953"/>
      <c r="C20" s="954"/>
      <c r="D20" s="955"/>
      <c r="F20" s="953"/>
      <c r="G20" s="954"/>
      <c r="H20" s="955"/>
      <c r="Z20" s="926">
        <f>B20+F20</f>
        <v>0</v>
      </c>
      <c r="AA20" s="927">
        <f t="shared" si="0"/>
        <v>0</v>
      </c>
      <c r="AB20" s="926">
        <f>D20+H20</f>
        <v>0</v>
      </c>
      <c r="AC20" s="934"/>
      <c r="AD20" s="300"/>
      <c r="AE20" s="1736"/>
    </row>
    <row r="21" spans="1:32" s="739" customFormat="1">
      <c r="A21" s="925" t="str">
        <f>+A9</f>
        <v>Residual Value KGs</v>
      </c>
      <c r="B21" s="926"/>
      <c r="C21" s="927"/>
      <c r="D21" s="928"/>
      <c r="F21" s="926"/>
      <c r="G21" s="927"/>
      <c r="H21" s="928"/>
      <c r="M21" s="308"/>
      <c r="Z21" s="926">
        <f>B21+F21</f>
        <v>0</v>
      </c>
      <c r="AA21" s="927">
        <f t="shared" si="0"/>
        <v>0</v>
      </c>
      <c r="AB21" s="926">
        <f>D21+H21</f>
        <v>0</v>
      </c>
      <c r="AC21" s="308"/>
      <c r="AD21" s="300"/>
      <c r="AE21" s="1736"/>
    </row>
    <row r="22" spans="1:32">
      <c r="A22" s="956" t="str">
        <f>+A10</f>
        <v>Depreciable Amount</v>
      </c>
      <c r="B22" s="947"/>
      <c r="C22" s="905"/>
      <c r="D22" s="949"/>
      <c r="F22" s="947"/>
      <c r="G22" s="905"/>
      <c r="H22" s="949"/>
      <c r="L22" s="944">
        <f>+F10+J10+N10+R10+V10</f>
        <v>562</v>
      </c>
      <c r="Z22" s="926"/>
      <c r="AA22" s="927"/>
      <c r="AB22" s="926">
        <f>D22+H22</f>
        <v>0</v>
      </c>
      <c r="AC22" s="308"/>
      <c r="AE22" s="1736"/>
    </row>
    <row r="23" spans="1:32">
      <c r="A23" s="956"/>
      <c r="B23" s="947"/>
      <c r="C23" s="905"/>
      <c r="D23" s="949"/>
      <c r="F23" s="947"/>
      <c r="G23" s="905"/>
      <c r="H23" s="949"/>
      <c r="Z23" s="926"/>
      <c r="AA23" s="927"/>
      <c r="AB23" s="928"/>
      <c r="AC23" s="308"/>
      <c r="AE23" s="1736"/>
    </row>
    <row r="24" spans="1:32">
      <c r="A24" s="956" t="str">
        <f>+A12</f>
        <v>Monthly Amortisation</v>
      </c>
      <c r="B24" s="947"/>
      <c r="C24" s="905"/>
      <c r="D24" s="949"/>
      <c r="F24" s="947"/>
      <c r="G24" s="905"/>
      <c r="H24" s="949"/>
      <c r="Z24" s="926"/>
      <c r="AA24" s="927"/>
      <c r="AB24" s="928">
        <f>+D24+H24</f>
        <v>0</v>
      </c>
      <c r="AC24" s="308"/>
      <c r="AE24" s="1736"/>
    </row>
    <row r="25" spans="1:32">
      <c r="B25" s="947"/>
      <c r="C25" s="905"/>
      <c r="D25" s="949"/>
      <c r="F25" s="947"/>
      <c r="G25" s="905"/>
      <c r="H25" s="949"/>
      <c r="Z25" s="926"/>
      <c r="AA25" s="927"/>
      <c r="AB25" s="928"/>
      <c r="AC25" s="308"/>
      <c r="AE25" s="1736"/>
      <c r="AF25" s="944"/>
    </row>
    <row r="26" spans="1:32" s="872" customFormat="1" ht="13.9">
      <c r="A26" s="958" t="str">
        <f>+'[55]Grasmere valuation '!A27</f>
        <v xml:space="preserve">Cummulative Amortisation </v>
      </c>
      <c r="B26" s="960"/>
      <c r="C26" s="959"/>
      <c r="D26" s="936"/>
      <c r="F26" s="960"/>
      <c r="G26" s="959"/>
      <c r="H26" s="936"/>
      <c r="M26" s="934"/>
      <c r="Z26" s="933"/>
      <c r="AA26" s="931"/>
      <c r="AB26" s="928">
        <f>D26+H26</f>
        <v>0</v>
      </c>
      <c r="AC26" s="308"/>
      <c r="AD26" s="300"/>
      <c r="AE26" s="1736"/>
    </row>
    <row r="27" spans="1:32" s="934" customFormat="1" ht="13.9">
      <c r="A27" s="961"/>
      <c r="B27" s="965"/>
      <c r="C27" s="963"/>
      <c r="D27" s="964"/>
      <c r="F27" s="965"/>
      <c r="G27" s="963"/>
      <c r="H27" s="964"/>
      <c r="Z27" s="962"/>
      <c r="AA27" s="968"/>
      <c r="AB27" s="969"/>
      <c r="AC27" s="308"/>
      <c r="AD27" s="300"/>
      <c r="AE27" s="1736"/>
    </row>
    <row r="28" spans="1:32">
      <c r="A28" s="904" t="s">
        <v>1599</v>
      </c>
      <c r="B28" s="970"/>
      <c r="C28" s="971"/>
      <c r="D28" s="747"/>
      <c r="F28" s="970"/>
      <c r="G28" s="971"/>
      <c r="H28" s="747">
        <f>+H6+H18</f>
        <v>63164.273743016754</v>
      </c>
      <c r="Z28" s="970"/>
      <c r="AA28" s="971"/>
      <c r="AB28" s="747">
        <f>+AB6+AB18</f>
        <v>127825.0498812967</v>
      </c>
      <c r="AE28" s="1736"/>
    </row>
    <row r="29" spans="1:32" s="974" customFormat="1">
      <c r="A29" s="972" t="s">
        <v>1589</v>
      </c>
      <c r="B29" s="973"/>
      <c r="D29" s="975"/>
      <c r="F29" s="973"/>
      <c r="H29" s="975">
        <f>-H14-H26</f>
        <v>3769.9840996991843</v>
      </c>
      <c r="M29" s="300"/>
      <c r="Z29" s="973"/>
      <c r="AB29" s="975">
        <f>-AB14-AB26</f>
        <v>3769.9840996991843</v>
      </c>
      <c r="AC29" s="1637"/>
      <c r="AD29" s="300"/>
      <c r="AE29" s="1736"/>
    </row>
    <row r="30" spans="1:32">
      <c r="A30" s="904" t="s">
        <v>1594</v>
      </c>
      <c r="B30" s="937"/>
      <c r="D30" s="751"/>
      <c r="F30" s="937"/>
      <c r="H30" s="751">
        <f>+H7+H19</f>
        <v>-31096.257842715942</v>
      </c>
      <c r="Z30" s="937"/>
      <c r="AB30" s="751">
        <f>+AB7+AB19</f>
        <v>-31096.257842715942</v>
      </c>
      <c r="AC30" s="944"/>
      <c r="AE30" s="1736"/>
    </row>
    <row r="31" spans="1:32" s="884" customFormat="1" ht="13.9">
      <c r="A31" s="920" t="s">
        <v>636</v>
      </c>
      <c r="B31" s="976"/>
      <c r="C31" s="977"/>
      <c r="D31" s="978"/>
      <c r="F31" s="976"/>
      <c r="G31" s="977"/>
      <c r="H31" s="978">
        <f>SUM(H28:H30)</f>
        <v>35838</v>
      </c>
      <c r="Z31" s="976"/>
      <c r="AA31" s="977"/>
      <c r="AB31" s="978">
        <f>SUM(AB28:AB30)</f>
        <v>100498.77613827994</v>
      </c>
      <c r="AC31" s="979"/>
      <c r="AD31" s="300"/>
      <c r="AE31" s="1736"/>
    </row>
    <row r="32" spans="1:32">
      <c r="B32" s="937"/>
      <c r="D32" s="938"/>
      <c r="F32" s="937"/>
      <c r="H32" s="938"/>
      <c r="Z32" s="937"/>
      <c r="AB32" s="938"/>
      <c r="AE32" s="1736"/>
    </row>
    <row r="33" spans="1:31" s="884" customFormat="1" ht="13.9">
      <c r="A33" s="902" t="s">
        <v>113</v>
      </c>
      <c r="B33" s="953"/>
      <c r="C33" s="954"/>
      <c r="D33" s="955"/>
      <c r="F33" s="953"/>
      <c r="G33" s="954"/>
      <c r="H33" s="955"/>
      <c r="Z33" s="2162" t="s">
        <v>115</v>
      </c>
      <c r="AA33" s="2165"/>
      <c r="AB33" s="2166"/>
      <c r="AC33" s="919"/>
      <c r="AD33" s="300"/>
      <c r="AE33" s="1736"/>
    </row>
    <row r="34" spans="1:31">
      <c r="B34" s="947"/>
      <c r="C34" s="905"/>
      <c r="D34" s="949"/>
      <c r="F34" s="947"/>
      <c r="G34" s="905"/>
      <c r="H34" s="949"/>
      <c r="Z34" s="947" t="s">
        <v>1581</v>
      </c>
      <c r="AA34" s="905" t="s">
        <v>1582</v>
      </c>
      <c r="AB34" s="949" t="s">
        <v>71</v>
      </c>
      <c r="AE34" s="1736"/>
    </row>
    <row r="35" spans="1:31">
      <c r="A35" s="904" t="str">
        <f>+'[55]Grasmere valuation '!A19</f>
        <v>Purchases</v>
      </c>
      <c r="B35" s="947"/>
      <c r="C35" s="905"/>
      <c r="D35" s="949"/>
      <c r="F35" s="947"/>
      <c r="G35" s="905"/>
      <c r="H35" s="949"/>
      <c r="Z35" s="926">
        <f>B35+F35</f>
        <v>0</v>
      </c>
      <c r="AA35" s="927">
        <f>+IFERROR(AB35/Z35,0)</f>
        <v>0</v>
      </c>
      <c r="AB35" s="926">
        <f>D35+H35</f>
        <v>0</v>
      </c>
      <c r="AC35" s="308"/>
      <c r="AE35" s="1736"/>
    </row>
    <row r="36" spans="1:31">
      <c r="A36" s="904" t="str">
        <f>+'[55]Grasmere valuation '!A20</f>
        <v>Mortality</v>
      </c>
      <c r="B36" s="947"/>
      <c r="C36" s="905"/>
      <c r="D36" s="949"/>
      <c r="F36" s="947"/>
      <c r="G36" s="905"/>
      <c r="H36" s="949"/>
      <c r="Z36" s="926">
        <f>B36+F36</f>
        <v>0</v>
      </c>
      <c r="AA36" s="927">
        <f t="shared" ref="AA36:AA38" si="1">+IFERROR(AB36/Z36,0)</f>
        <v>0</v>
      </c>
      <c r="AB36" s="926">
        <f>D36+H36</f>
        <v>0</v>
      </c>
      <c r="AC36" s="308"/>
      <c r="AE36" s="1736"/>
    </row>
    <row r="37" spans="1:31" s="884" customFormat="1" ht="13.9">
      <c r="A37" s="904" t="str">
        <f>+'[55]Grasmere valuation '!A21</f>
        <v>Boars Available for Amortisation</v>
      </c>
      <c r="B37" s="953"/>
      <c r="C37" s="954"/>
      <c r="D37" s="955"/>
      <c r="F37" s="953"/>
      <c r="G37" s="954"/>
      <c r="H37" s="955"/>
      <c r="Z37" s="933">
        <f>+Z35+Z36</f>
        <v>0</v>
      </c>
      <c r="AA37" s="927">
        <f t="shared" si="1"/>
        <v>0</v>
      </c>
      <c r="AB37" s="932">
        <f>+AB35+AB36</f>
        <v>0</v>
      </c>
      <c r="AC37" s="934"/>
      <c r="AD37" s="300"/>
      <c r="AE37" s="1736"/>
    </row>
    <row r="38" spans="1:31" s="739" customFormat="1">
      <c r="A38" s="904" t="str">
        <f>+'[55]Grasmere valuation '!A22</f>
        <v>Residual Value KGs</v>
      </c>
      <c r="B38" s="926"/>
      <c r="C38" s="927"/>
      <c r="D38" s="928"/>
      <c r="F38" s="926"/>
      <c r="G38" s="927"/>
      <c r="H38" s="928"/>
      <c r="M38" s="308"/>
      <c r="Z38" s="926">
        <v>150</v>
      </c>
      <c r="AA38" s="927">
        <f t="shared" si="1"/>
        <v>0</v>
      </c>
      <c r="AB38" s="928">
        <f>++D38+H38</f>
        <v>0</v>
      </c>
      <c r="AC38" s="308"/>
      <c r="AD38" s="300"/>
      <c r="AE38" s="1736"/>
    </row>
    <row r="39" spans="1:31">
      <c r="A39" s="904" t="str">
        <f>+'[55]Grasmere valuation '!A23</f>
        <v>Depreciable Amount</v>
      </c>
      <c r="B39" s="947"/>
      <c r="C39" s="905"/>
      <c r="D39" s="949"/>
      <c r="F39" s="947"/>
      <c r="G39" s="905"/>
      <c r="H39" s="949"/>
      <c r="Z39" s="926"/>
      <c r="AA39" s="927"/>
      <c r="AB39" s="928">
        <f>+AB37+AB38</f>
        <v>0</v>
      </c>
      <c r="AC39" s="308"/>
      <c r="AE39" s="1736"/>
    </row>
    <row r="40" spans="1:31">
      <c r="B40" s="947"/>
      <c r="C40" s="905"/>
      <c r="D40" s="949"/>
      <c r="F40" s="947"/>
      <c r="G40" s="905"/>
      <c r="H40" s="949"/>
      <c r="Z40" s="926"/>
      <c r="AA40" s="927"/>
      <c r="AB40" s="928"/>
      <c r="AC40" s="308"/>
      <c r="AE40" s="1736"/>
    </row>
    <row r="41" spans="1:31">
      <c r="A41" s="904" t="str">
        <f>+'[55]Grasmere valuation '!A25</f>
        <v>Monthly Amortisation</v>
      </c>
      <c r="B41" s="947"/>
      <c r="C41" s="905"/>
      <c r="D41" s="949"/>
      <c r="F41" s="947"/>
      <c r="G41" s="905"/>
      <c r="H41" s="949"/>
      <c r="Z41" s="926"/>
      <c r="AA41" s="927"/>
      <c r="AB41" s="928">
        <f>+D41+H41</f>
        <v>0</v>
      </c>
      <c r="AC41" s="308"/>
      <c r="AE41" s="1736"/>
    </row>
    <row r="42" spans="1:31">
      <c r="B42" s="947"/>
      <c r="C42" s="905"/>
      <c r="D42" s="949"/>
      <c r="F42" s="947"/>
      <c r="G42" s="905"/>
      <c r="H42" s="949"/>
      <c r="Z42" s="926"/>
      <c r="AA42" s="927"/>
      <c r="AB42" s="928"/>
      <c r="AC42" s="308"/>
      <c r="AE42" s="1736"/>
    </row>
    <row r="43" spans="1:31" s="872" customFormat="1" ht="13.9">
      <c r="A43" s="958" t="str">
        <f>+'[55]Grasmere valuation '!A27</f>
        <v xml:space="preserve">Cummulative Amortisation </v>
      </c>
      <c r="B43" s="933"/>
      <c r="C43" s="931"/>
      <c r="D43" s="932"/>
      <c r="F43" s="933"/>
      <c r="G43" s="931"/>
      <c r="H43" s="932"/>
      <c r="M43" s="934"/>
      <c r="Z43" s="933"/>
      <c r="AA43" s="931"/>
      <c r="AB43" s="928">
        <f>D43+H43</f>
        <v>0</v>
      </c>
      <c r="AC43" s="308"/>
      <c r="AD43" s="300"/>
      <c r="AE43" s="1736"/>
    </row>
    <row r="44" spans="1:31">
      <c r="AE44" s="1736"/>
    </row>
    <row r="45" spans="1:31">
      <c r="A45" s="1649" t="s">
        <v>1600</v>
      </c>
      <c r="B45" s="970"/>
      <c r="C45" s="971"/>
      <c r="D45" s="747"/>
      <c r="F45" s="970"/>
      <c r="G45" s="971"/>
      <c r="H45" s="747">
        <f>+H35</f>
        <v>0</v>
      </c>
      <c r="Z45" s="970"/>
      <c r="AA45" s="971"/>
      <c r="AB45" s="747">
        <f>+AB35</f>
        <v>0</v>
      </c>
      <c r="AE45" s="1736"/>
    </row>
    <row r="46" spans="1:31">
      <c r="A46" s="1650" t="str">
        <f>+'[55]Grasmere valuation '!A31:A31</f>
        <v>Cummulative Amortisation</v>
      </c>
      <c r="B46" s="973"/>
      <c r="C46" s="974"/>
      <c r="D46" s="975"/>
      <c r="E46" s="974"/>
      <c r="F46" s="973"/>
      <c r="G46" s="974"/>
      <c r="H46" s="975">
        <f>-H43</f>
        <v>0</v>
      </c>
      <c r="I46" s="974"/>
      <c r="J46" s="974"/>
      <c r="K46" s="974"/>
      <c r="L46" s="974"/>
      <c r="N46" s="974"/>
      <c r="O46" s="974"/>
      <c r="P46" s="974"/>
      <c r="Q46" s="974"/>
      <c r="R46" s="974"/>
      <c r="S46" s="974"/>
      <c r="T46" s="974"/>
      <c r="U46" s="974"/>
      <c r="V46" s="974"/>
      <c r="W46" s="974"/>
      <c r="X46" s="974"/>
      <c r="Y46" s="974"/>
      <c r="Z46" s="973"/>
      <c r="AA46" s="974"/>
      <c r="AB46" s="975">
        <f>-AB43</f>
        <v>0</v>
      </c>
      <c r="AC46" s="944"/>
    </row>
    <row r="47" spans="1:31">
      <c r="A47" s="1651" t="str">
        <f>+'[55]Grasmere valuation '!A32:A32</f>
        <v>Death Cost</v>
      </c>
      <c r="B47" s="937"/>
      <c r="D47" s="751"/>
      <c r="F47" s="937"/>
      <c r="H47" s="751">
        <f>+H36</f>
        <v>0</v>
      </c>
      <c r="Z47" s="937"/>
      <c r="AB47" s="751">
        <f>+AB36</f>
        <v>0</v>
      </c>
      <c r="AC47" s="944"/>
    </row>
    <row r="48" spans="1:31" s="884" customFormat="1" ht="13.9">
      <c r="A48" s="1652" t="str">
        <f>+'[55]Grasmere valuation '!A33:A33</f>
        <v>NBV</v>
      </c>
      <c r="B48" s="976"/>
      <c r="C48" s="977"/>
      <c r="D48" s="978"/>
      <c r="F48" s="976"/>
      <c r="G48" s="977"/>
      <c r="H48" s="978">
        <f>SUM(H45:H47)</f>
        <v>0</v>
      </c>
      <c r="Z48" s="976"/>
      <c r="AA48" s="977"/>
      <c r="AB48" s="978">
        <f>SUM(AB45:AB47)</f>
        <v>0</v>
      </c>
      <c r="AC48" s="979"/>
    </row>
    <row r="50" spans="1:28">
      <c r="D50" s="1277"/>
      <c r="H50" s="1277">
        <f>-(H21+H9)</f>
        <v>35838</v>
      </c>
    </row>
    <row r="51" spans="1:28" ht="13.9">
      <c r="A51" s="1033" t="s">
        <v>1595</v>
      </c>
      <c r="B51" s="970"/>
      <c r="C51" s="971"/>
      <c r="D51" s="1653"/>
      <c r="F51" s="970"/>
      <c r="G51" s="971"/>
      <c r="H51" s="1653">
        <f>+H12*G3</f>
        <v>0</v>
      </c>
      <c r="Z51" s="970"/>
      <c r="AA51" s="971"/>
      <c r="AB51" s="1659"/>
    </row>
    <row r="52" spans="1:28" ht="13.9">
      <c r="A52" s="1023" t="s">
        <v>639</v>
      </c>
      <c r="B52" s="937"/>
      <c r="D52" s="1655"/>
      <c r="F52" s="937"/>
      <c r="H52" s="1655">
        <f>+H24*G16</f>
        <v>0</v>
      </c>
      <c r="Z52" s="937"/>
      <c r="AB52" s="938"/>
    </row>
    <row r="53" spans="1:28" ht="13.9">
      <c r="A53" s="1023" t="s">
        <v>636</v>
      </c>
      <c r="B53" s="937"/>
      <c r="D53" s="1655"/>
      <c r="F53" s="937"/>
      <c r="H53" s="1655">
        <f>SUM(H50:H52)</f>
        <v>35838</v>
      </c>
      <c r="Z53" s="937"/>
      <c r="AB53" s="938"/>
    </row>
    <row r="54" spans="1:28" ht="13.9">
      <c r="A54" s="1040" t="s">
        <v>1596</v>
      </c>
      <c r="B54" s="1656"/>
      <c r="C54" s="1657"/>
      <c r="D54" s="1658"/>
      <c r="F54" s="1656"/>
      <c r="G54" s="1657"/>
      <c r="H54" s="1658">
        <f>+H31-H53</f>
        <v>0</v>
      </c>
      <c r="Z54" s="1656"/>
      <c r="AA54" s="1657"/>
      <c r="AB54" s="1660"/>
    </row>
    <row r="56" spans="1:28">
      <c r="D56" s="739"/>
      <c r="H56" s="739">
        <f>+'Summary Valuation'!C66</f>
        <v>0</v>
      </c>
    </row>
    <row r="57" spans="1:28">
      <c r="D57" s="739"/>
      <c r="H57" s="739">
        <f>+H14+H26+H56</f>
        <v>-3769.9840996991843</v>
      </c>
    </row>
  </sheetData>
  <mergeCells count="8">
    <mergeCell ref="Z33:AB33"/>
    <mergeCell ref="B17:D17"/>
    <mergeCell ref="F17:H17"/>
    <mergeCell ref="Z17:AB17"/>
    <mergeCell ref="J17:L17"/>
    <mergeCell ref="N17:P17"/>
    <mergeCell ref="R17:T17"/>
    <mergeCell ref="V17:X17"/>
  </mergeCells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DA44-1230-4BC8-BFCF-2872C5307833}">
  <sheetPr>
    <tabColor theme="9" tint="-0.249977111117893"/>
  </sheetPr>
  <dimension ref="A1:CF56"/>
  <sheetViews>
    <sheetView view="pageBreakPreview" zoomScale="63" zoomScaleNormal="100" zoomScaleSheetLayoutView="63" workbookViewId="0">
      <pane xSplit="1" ySplit="6" topLeftCell="BG7" activePane="bottomRight" state="frozen"/>
      <selection pane="bottomRight" activeCell="BO9" sqref="BO9"/>
      <selection pane="bottomLeft" activeCell="AT31" sqref="AT31"/>
      <selection pane="topRight" activeCell="AT31" sqref="AT31"/>
    </sheetView>
  </sheetViews>
  <sheetFormatPr defaultColWidth="9.140625" defaultRowHeight="13.9"/>
  <cols>
    <col min="1" max="1" width="31.140625" style="317" customWidth="1"/>
    <col min="2" max="2" width="1.28515625" style="882" customWidth="1"/>
    <col min="3" max="3" width="17.85546875" style="873" bestFit="1" customWidth="1"/>
    <col min="4" max="4" width="16.7109375" style="873" bestFit="1" customWidth="1"/>
    <col min="5" max="5" width="20.7109375" style="873" bestFit="1" customWidth="1"/>
    <col min="6" max="6" width="0.5703125" style="882" customWidth="1"/>
    <col min="7" max="7" width="17.85546875" style="873" bestFit="1" customWidth="1"/>
    <col min="8" max="8" width="16.7109375" style="873" bestFit="1" customWidth="1"/>
    <col min="9" max="9" width="19.28515625" style="873" bestFit="1" customWidth="1"/>
    <col min="10" max="10" width="1" style="1483" customWidth="1"/>
    <col min="11" max="11" width="17.85546875" style="873" bestFit="1" customWidth="1"/>
    <col min="12" max="12" width="17.140625" style="873" bestFit="1" customWidth="1"/>
    <col min="13" max="13" width="20.28515625" style="873" bestFit="1" customWidth="1"/>
    <col min="14" max="14" width="0.7109375" style="1483" customWidth="1"/>
    <col min="15" max="15" width="17.85546875" style="873" bestFit="1" customWidth="1"/>
    <col min="16" max="16" width="17.140625" style="873" bestFit="1" customWidth="1"/>
    <col min="17" max="17" width="20.28515625" style="873" customWidth="1"/>
    <col min="18" max="18" width="0.7109375" style="882" customWidth="1"/>
    <col min="19" max="21" width="20.28515625" style="873" customWidth="1"/>
    <col min="22" max="22" width="0.7109375" style="882" customWidth="1"/>
    <col min="23" max="25" width="20.28515625" style="873" customWidth="1"/>
    <col min="26" max="26" width="0.7109375" style="882" customWidth="1"/>
    <col min="27" max="29" width="20.28515625" style="873" customWidth="1"/>
    <col min="30" max="30" width="1" style="1483" customWidth="1"/>
    <col min="31" max="33" width="20.28515625" style="873" customWidth="1"/>
    <col min="34" max="34" width="0.85546875" style="1483" customWidth="1"/>
    <col min="35" max="35" width="20.28515625" style="1483" customWidth="1"/>
    <col min="36" max="37" width="18.85546875" style="1483" customWidth="1"/>
    <col min="38" max="38" width="1" style="1483" customWidth="1"/>
    <col min="39" max="39" width="19.42578125" style="1483" customWidth="1"/>
    <col min="40" max="40" width="18.42578125" style="1483" customWidth="1"/>
    <col min="41" max="41" width="22.140625" style="1483" customWidth="1"/>
    <col min="42" max="42" width="1" style="1483" customWidth="1"/>
    <col min="43" max="45" width="22.140625" style="1483" customWidth="1"/>
    <col min="46" max="46" width="1.140625" style="1483" customWidth="1"/>
    <col min="47" max="48" width="11.7109375" style="1483" customWidth="1"/>
    <col min="49" max="49" width="17.28515625" style="1483" customWidth="1"/>
    <col min="50" max="50" width="0.5703125" style="882" customWidth="1"/>
    <col min="51" max="52" width="11.7109375" style="1483" customWidth="1"/>
    <col min="53" max="53" width="17.28515625" style="1483" customWidth="1"/>
    <col min="54" max="54" width="0.28515625" style="882" customWidth="1"/>
    <col min="55" max="56" width="15.7109375" style="882" customWidth="1"/>
    <col min="57" max="57" width="17.42578125" style="882" bestFit="1" customWidth="1"/>
    <col min="58" max="58" width="0.5703125" style="882" customWidth="1"/>
    <col min="59" max="65" width="17.42578125" style="882" customWidth="1"/>
    <col min="66" max="66" width="9.28515625" style="882" customWidth="1"/>
    <col min="67" max="67" width="15.42578125" style="317" bestFit="1" customWidth="1"/>
    <col min="68" max="68" width="17.5703125" style="882" bestFit="1" customWidth="1"/>
    <col min="69" max="69" width="21.140625" style="882" bestFit="1" customWidth="1"/>
    <col min="70" max="70" width="20.7109375" style="1021" customWidth="1"/>
    <col min="71" max="71" width="19.140625" style="1021" bestFit="1" customWidth="1"/>
    <col min="72" max="72" width="20.5703125" style="1021" bestFit="1" customWidth="1"/>
    <col min="73" max="73" width="17.5703125" style="1021" bestFit="1" customWidth="1"/>
    <col min="74" max="74" width="16.85546875" style="1021" bestFit="1" customWidth="1"/>
    <col min="75" max="75" width="16.140625" style="1021" bestFit="1" customWidth="1"/>
    <col min="76" max="76" width="13" style="1021" bestFit="1" customWidth="1"/>
    <col min="77" max="77" width="14.7109375" style="1021" bestFit="1" customWidth="1"/>
    <col min="78" max="80" width="9.140625" style="317"/>
    <col min="81" max="81" width="9.7109375" style="317" bestFit="1" customWidth="1"/>
    <col min="82" max="82" width="9.5703125" style="317" bestFit="1" customWidth="1"/>
    <col min="83" max="16384" width="9.140625" style="317"/>
  </cols>
  <sheetData>
    <row r="1" spans="1:81">
      <c r="A1" s="980">
        <f>+'Summary Total Pigs'!C3</f>
        <v>46226</v>
      </c>
    </row>
    <row r="2" spans="1:81" ht="14.25" customHeight="1">
      <c r="A2" s="915" t="s">
        <v>1578</v>
      </c>
      <c r="I2" s="1021"/>
      <c r="J2" s="1484"/>
      <c r="K2" s="1021"/>
      <c r="L2" s="1021"/>
      <c r="M2" s="1021"/>
      <c r="N2" s="1484"/>
      <c r="O2" s="1021"/>
      <c r="P2" s="1021"/>
      <c r="Q2" s="1021"/>
      <c r="R2" s="380"/>
      <c r="S2" s="1021"/>
      <c r="T2" s="1021"/>
      <c r="U2" s="1021"/>
      <c r="V2" s="380"/>
      <c r="W2" s="1021"/>
      <c r="X2" s="1021"/>
      <c r="Y2" s="1021"/>
      <c r="Z2" s="380"/>
      <c r="AA2" s="1021"/>
      <c r="AB2" s="1021"/>
      <c r="AC2" s="1021"/>
      <c r="AD2" s="1484"/>
      <c r="AE2" s="1021"/>
      <c r="AF2" s="1021"/>
      <c r="AG2" s="1021"/>
      <c r="AH2" s="1484"/>
      <c r="AI2" s="1484"/>
      <c r="AJ2" s="1484"/>
      <c r="AK2" s="1484"/>
      <c r="AL2" s="1484"/>
      <c r="AM2" s="1484"/>
      <c r="AN2" s="1484"/>
      <c r="AO2" s="1484"/>
      <c r="AP2" s="1484"/>
      <c r="AQ2" s="1484"/>
      <c r="AR2" s="1484"/>
      <c r="AS2" s="1484"/>
      <c r="AT2" s="1484"/>
      <c r="AU2" s="1484"/>
      <c r="AV2" s="1484"/>
      <c r="AW2" s="1484"/>
      <c r="AX2" s="380"/>
      <c r="AY2" s="1484"/>
      <c r="AZ2" s="1484"/>
      <c r="BA2" s="1484"/>
      <c r="BB2" s="380"/>
      <c r="BC2" s="380"/>
      <c r="BD2" s="380"/>
      <c r="BE2" s="380"/>
      <c r="BF2" s="380"/>
      <c r="BG2" s="380"/>
      <c r="BH2" s="380"/>
      <c r="BI2" s="380"/>
      <c r="BJ2" s="380"/>
      <c r="BK2" s="380"/>
      <c r="BL2" s="380"/>
      <c r="BM2" s="380"/>
      <c r="BN2" s="380"/>
    </row>
    <row r="3" spans="1:81">
      <c r="C3" s="882"/>
      <c r="D3" s="882"/>
      <c r="E3" s="882"/>
      <c r="G3" s="882"/>
      <c r="H3" s="882"/>
      <c r="I3" s="882"/>
      <c r="K3" s="882"/>
      <c r="L3" s="882"/>
      <c r="M3" s="882"/>
      <c r="O3" s="882"/>
      <c r="P3" s="882"/>
      <c r="Q3" s="882"/>
      <c r="S3" s="882"/>
      <c r="T3" s="882"/>
      <c r="U3" s="882"/>
      <c r="W3" s="882"/>
      <c r="X3" s="882"/>
      <c r="Y3" s="882"/>
      <c r="AA3" s="882"/>
      <c r="AB3" s="882"/>
      <c r="AC3" s="882"/>
      <c r="AE3" s="882"/>
      <c r="AF3" s="882"/>
      <c r="AG3" s="882"/>
      <c r="BR3" s="380"/>
      <c r="BS3" s="380"/>
      <c r="BT3" s="380"/>
      <c r="BU3" s="380"/>
      <c r="BV3" s="380"/>
      <c r="BW3" s="380"/>
      <c r="BX3" s="380"/>
      <c r="BY3" s="380"/>
    </row>
    <row r="4" spans="1:81">
      <c r="C4" s="981" t="s">
        <v>1579</v>
      </c>
      <c r="D4" s="982">
        <v>0</v>
      </c>
      <c r="E4" s="981" t="s">
        <v>1580</v>
      </c>
      <c r="G4" s="981" t="s">
        <v>1579</v>
      </c>
      <c r="H4" s="982">
        <v>0</v>
      </c>
      <c r="I4" s="981" t="s">
        <v>1580</v>
      </c>
      <c r="K4" s="981" t="s">
        <v>1579</v>
      </c>
      <c r="L4" s="982">
        <v>1</v>
      </c>
      <c r="M4" s="981" t="s">
        <v>1580</v>
      </c>
      <c r="O4" s="981" t="s">
        <v>1579</v>
      </c>
      <c r="P4" s="982">
        <v>7</v>
      </c>
      <c r="Q4" s="981" t="s">
        <v>1580</v>
      </c>
      <c r="S4" s="981" t="s">
        <v>1579</v>
      </c>
      <c r="T4" s="982">
        <v>12</v>
      </c>
      <c r="U4" s="981" t="s">
        <v>1580</v>
      </c>
      <c r="W4" s="981" t="s">
        <v>1579</v>
      </c>
      <c r="X4" s="982">
        <v>16</v>
      </c>
      <c r="Y4" s="981" t="s">
        <v>1580</v>
      </c>
      <c r="AA4" s="981" t="s">
        <v>1579</v>
      </c>
      <c r="AB4" s="982">
        <v>36</v>
      </c>
      <c r="AC4" s="981" t="s">
        <v>1580</v>
      </c>
      <c r="AE4" s="981" t="s">
        <v>1579</v>
      </c>
      <c r="AF4" s="982">
        <v>20</v>
      </c>
      <c r="AG4" s="981"/>
      <c r="AI4" s="981" t="s">
        <v>1579</v>
      </c>
      <c r="AJ4" s="982">
        <v>25</v>
      </c>
      <c r="AK4" s="981"/>
      <c r="AM4" s="981" t="s">
        <v>1579</v>
      </c>
      <c r="AN4" s="982">
        <v>30</v>
      </c>
      <c r="AO4" s="981"/>
      <c r="AP4" s="882"/>
      <c r="AQ4" s="981" t="s">
        <v>1579</v>
      </c>
      <c r="AR4" s="982">
        <v>35</v>
      </c>
      <c r="AS4" s="981"/>
      <c r="AU4" s="981" t="s">
        <v>1579</v>
      </c>
      <c r="AV4" s="982">
        <v>35</v>
      </c>
      <c r="AW4" s="981"/>
      <c r="AY4" s="981" t="s">
        <v>1579</v>
      </c>
      <c r="AZ4" s="982">
        <v>35</v>
      </c>
      <c r="BA4" s="981"/>
      <c r="BC4" s="981" t="s">
        <v>1579</v>
      </c>
      <c r="BD4" s="982">
        <v>35</v>
      </c>
      <c r="BE4" s="981"/>
      <c r="BG4" s="981" t="s">
        <v>1579</v>
      </c>
      <c r="BH4" s="982">
        <v>35</v>
      </c>
      <c r="BI4" s="981"/>
      <c r="BK4" s="981" t="s">
        <v>1579</v>
      </c>
      <c r="BL4" s="982">
        <v>35</v>
      </c>
      <c r="BM4" s="981"/>
      <c r="BO4" s="1022"/>
      <c r="BP4" s="981"/>
      <c r="BQ4" s="981"/>
    </row>
    <row r="5" spans="1:81" s="884" customFormat="1">
      <c r="A5" s="983"/>
      <c r="B5" s="987"/>
      <c r="C5" s="988">
        <v>44013</v>
      </c>
      <c r="D5" s="986">
        <v>36</v>
      </c>
      <c r="E5" s="984" t="s">
        <v>1580</v>
      </c>
      <c r="F5" s="987"/>
      <c r="G5" s="988">
        <v>44166</v>
      </c>
      <c r="H5" s="986">
        <v>36</v>
      </c>
      <c r="I5" s="984" t="s">
        <v>1580</v>
      </c>
      <c r="J5" s="1485"/>
      <c r="K5" s="988">
        <f>+'Multiplier Imported Sows'!E6</f>
        <v>44013</v>
      </c>
      <c r="L5" s="986">
        <v>35</v>
      </c>
      <c r="M5" s="984" t="s">
        <v>1580</v>
      </c>
      <c r="N5" s="1485"/>
      <c r="O5" s="988">
        <v>44470</v>
      </c>
      <c r="P5" s="986">
        <v>29</v>
      </c>
      <c r="Q5" s="984" t="s">
        <v>1580</v>
      </c>
      <c r="R5" s="987"/>
      <c r="S5" s="988" t="e">
        <f>'Multiplier Imported Sows'!#REF!</f>
        <v>#REF!</v>
      </c>
      <c r="T5" s="986">
        <v>24</v>
      </c>
      <c r="U5" s="984" t="s">
        <v>1580</v>
      </c>
      <c r="V5" s="987"/>
      <c r="W5" s="988">
        <v>44768</v>
      </c>
      <c r="X5" s="986">
        <v>20</v>
      </c>
      <c r="Y5" s="984" t="s">
        <v>1580</v>
      </c>
      <c r="Z5" s="987"/>
      <c r="AA5" s="988">
        <v>44818</v>
      </c>
      <c r="AB5" s="986">
        <v>0</v>
      </c>
      <c r="AC5" s="984" t="s">
        <v>1580</v>
      </c>
      <c r="AD5" s="1485"/>
      <c r="AE5" s="1759">
        <v>44887</v>
      </c>
      <c r="AF5" s="986">
        <v>16</v>
      </c>
      <c r="AG5" s="984" t="s">
        <v>1580</v>
      </c>
      <c r="AH5" s="1485"/>
      <c r="AI5" s="1759">
        <v>45017</v>
      </c>
      <c r="AJ5" s="986">
        <v>11</v>
      </c>
      <c r="AK5" s="984" t="s">
        <v>1580</v>
      </c>
      <c r="AL5" s="1485"/>
      <c r="AM5" s="1759">
        <v>45170</v>
      </c>
      <c r="AN5" s="1002">
        <v>6</v>
      </c>
      <c r="AO5" s="984" t="s">
        <v>1580</v>
      </c>
      <c r="AP5" s="987"/>
      <c r="AQ5" s="1759">
        <v>45328</v>
      </c>
      <c r="AR5" s="1002">
        <v>1</v>
      </c>
      <c r="AS5" s="984" t="s">
        <v>1580</v>
      </c>
      <c r="AT5" s="1485"/>
      <c r="AU5" s="1759">
        <f>'Multiplier Imported Sows'!E77</f>
        <v>45474</v>
      </c>
      <c r="AV5" s="1002">
        <v>1</v>
      </c>
      <c r="AW5" s="984" t="s">
        <v>1580</v>
      </c>
      <c r="AX5" s="987"/>
      <c r="AY5" s="1759">
        <f>'Multiplier Imported Sows'!E107</f>
        <v>45627</v>
      </c>
      <c r="AZ5" s="1002">
        <v>1</v>
      </c>
      <c r="BA5" s="984" t="s">
        <v>1580</v>
      </c>
      <c r="BB5" s="987"/>
      <c r="BC5" s="1759">
        <v>45748</v>
      </c>
      <c r="BD5" s="1002">
        <v>1</v>
      </c>
      <c r="BE5" s="984" t="s">
        <v>1580</v>
      </c>
      <c r="BF5" s="987"/>
      <c r="BG5" s="1759">
        <v>45901</v>
      </c>
      <c r="BH5" s="1002">
        <v>1</v>
      </c>
      <c r="BI5" s="984" t="s">
        <v>1580</v>
      </c>
      <c r="BJ5" s="987"/>
      <c r="BK5" s="1759">
        <f>'Multiplier Imported Sows'!E272</f>
        <v>46054</v>
      </c>
      <c r="BL5" s="1002">
        <v>1</v>
      </c>
      <c r="BM5" s="984" t="s">
        <v>1580</v>
      </c>
      <c r="BN5" s="987"/>
      <c r="BO5" s="1612"/>
      <c r="BP5" s="2060" t="s">
        <v>71</v>
      </c>
      <c r="BQ5" s="1613"/>
      <c r="BR5" s="872"/>
      <c r="BS5" s="872"/>
      <c r="BT5" s="872"/>
      <c r="BU5" s="872"/>
      <c r="BV5" s="872"/>
      <c r="BW5" s="872"/>
      <c r="BX5" s="872"/>
      <c r="BY5" s="872"/>
    </row>
    <row r="6" spans="1:81" s="884" customFormat="1">
      <c r="A6" s="989" t="s">
        <v>112</v>
      </c>
      <c r="B6" s="968"/>
      <c r="C6" s="995" t="s">
        <v>1581</v>
      </c>
      <c r="D6" s="996" t="s">
        <v>1582</v>
      </c>
      <c r="E6" s="997" t="s">
        <v>1583</v>
      </c>
      <c r="F6" s="968"/>
      <c r="G6" s="995" t="s">
        <v>1581</v>
      </c>
      <c r="H6" s="996" t="s">
        <v>1582</v>
      </c>
      <c r="I6" s="997" t="s">
        <v>1583</v>
      </c>
      <c r="J6" s="1486"/>
      <c r="K6" s="995" t="s">
        <v>1581</v>
      </c>
      <c r="L6" s="996" t="s">
        <v>1582</v>
      </c>
      <c r="M6" s="997" t="s">
        <v>1583</v>
      </c>
      <c r="N6" s="1486"/>
      <c r="O6" s="995" t="s">
        <v>1581</v>
      </c>
      <c r="P6" s="996" t="s">
        <v>1582</v>
      </c>
      <c r="Q6" s="997" t="s">
        <v>1583</v>
      </c>
      <c r="R6" s="968"/>
      <c r="S6" s="996" t="s">
        <v>1581</v>
      </c>
      <c r="T6" s="996" t="s">
        <v>1582</v>
      </c>
      <c r="U6" s="996" t="s">
        <v>1583</v>
      </c>
      <c r="V6" s="968"/>
      <c r="W6" s="996" t="s">
        <v>1581</v>
      </c>
      <c r="X6" s="996" t="s">
        <v>1582</v>
      </c>
      <c r="Y6" s="996" t="s">
        <v>1583</v>
      </c>
      <c r="Z6" s="968"/>
      <c r="AA6" s="996" t="s">
        <v>1581</v>
      </c>
      <c r="AB6" s="996" t="s">
        <v>1582</v>
      </c>
      <c r="AC6" s="996" t="s">
        <v>1583</v>
      </c>
      <c r="AD6" s="1486"/>
      <c r="AE6" s="996" t="s">
        <v>1581</v>
      </c>
      <c r="AF6" s="996" t="s">
        <v>1582</v>
      </c>
      <c r="AG6" s="996" t="s">
        <v>1583</v>
      </c>
      <c r="AH6" s="1486"/>
      <c r="AI6" s="996" t="s">
        <v>1581</v>
      </c>
      <c r="AJ6" s="996" t="s">
        <v>1582</v>
      </c>
      <c r="AK6" s="996" t="s">
        <v>1583</v>
      </c>
      <c r="AL6" s="1486"/>
      <c r="AM6" s="996" t="s">
        <v>1581</v>
      </c>
      <c r="AN6" s="996" t="s">
        <v>1582</v>
      </c>
      <c r="AO6" s="996" t="s">
        <v>1583</v>
      </c>
      <c r="AP6" s="968"/>
      <c r="AQ6" s="996" t="s">
        <v>1581</v>
      </c>
      <c r="AR6" s="996" t="s">
        <v>1582</v>
      </c>
      <c r="AS6" s="996" t="s">
        <v>1583</v>
      </c>
      <c r="AT6" s="1486"/>
      <c r="AU6" s="996" t="s">
        <v>1581</v>
      </c>
      <c r="AV6" s="996" t="s">
        <v>1582</v>
      </c>
      <c r="AW6" s="996" t="s">
        <v>1583</v>
      </c>
      <c r="AX6" s="968"/>
      <c r="AY6" s="996" t="s">
        <v>1581</v>
      </c>
      <c r="AZ6" s="996" t="s">
        <v>1582</v>
      </c>
      <c r="BA6" s="996" t="s">
        <v>1583</v>
      </c>
      <c r="BB6" s="968"/>
      <c r="BC6" s="996" t="s">
        <v>1581</v>
      </c>
      <c r="BD6" s="996" t="s">
        <v>1582</v>
      </c>
      <c r="BE6" s="996" t="s">
        <v>1583</v>
      </c>
      <c r="BF6" s="968"/>
      <c r="BG6" s="996" t="s">
        <v>1581</v>
      </c>
      <c r="BH6" s="996" t="s">
        <v>1582</v>
      </c>
      <c r="BI6" s="996" t="s">
        <v>1583</v>
      </c>
      <c r="BJ6" s="968"/>
      <c r="BK6" s="996" t="s">
        <v>1581</v>
      </c>
      <c r="BL6" s="996" t="s">
        <v>1582</v>
      </c>
      <c r="BM6" s="996" t="s">
        <v>1583</v>
      </c>
      <c r="BN6" s="968"/>
      <c r="BO6" s="1614" t="str">
        <f>+O6</f>
        <v>Quantity</v>
      </c>
      <c r="BP6" s="1615" t="str">
        <f>+P6</f>
        <v>Unit Cost</v>
      </c>
      <c r="BQ6" s="1616" t="str">
        <f>+Q6</f>
        <v>Total Cost</v>
      </c>
      <c r="BR6" s="872"/>
      <c r="BS6" s="872"/>
      <c r="BT6" s="872"/>
      <c r="BU6" s="872"/>
      <c r="BV6" s="872"/>
      <c r="BW6" s="872"/>
      <c r="BX6" s="872"/>
      <c r="BY6" s="872"/>
    </row>
    <row r="7" spans="1:81" s="1021" customFormat="1">
      <c r="A7" s="1023" t="s">
        <v>1584</v>
      </c>
      <c r="B7" s="889"/>
      <c r="C7" s="960">
        <v>1</v>
      </c>
      <c r="D7" s="959">
        <f>+E7/C7</f>
        <v>16195814.684447095</v>
      </c>
      <c r="E7" s="936">
        <v>16195814.684447095</v>
      </c>
      <c r="F7" s="889"/>
      <c r="G7" s="960">
        <v>3</v>
      </c>
      <c r="H7" s="959">
        <f>+[41]Sheet1!$L$45</f>
        <v>234317.26664502168</v>
      </c>
      <c r="I7" s="936">
        <f>+G7*H7</f>
        <v>702951.79993506498</v>
      </c>
      <c r="J7" s="1487"/>
      <c r="K7" s="960">
        <v>0</v>
      </c>
      <c r="L7" s="959">
        <f>+'[42]May 2021'!$K$29</f>
        <v>300760.73609469831</v>
      </c>
      <c r="M7" s="936">
        <f>+K7*L7</f>
        <v>0</v>
      </c>
      <c r="N7" s="1487"/>
      <c r="O7" s="960">
        <v>4</v>
      </c>
      <c r="P7" s="959">
        <f>+'[42]October 21'!$L$32</f>
        <v>454374.45382046868</v>
      </c>
      <c r="Q7" s="936">
        <f>+O7*P7</f>
        <v>1817497.8152818747</v>
      </c>
      <c r="R7" s="889"/>
      <c r="S7" s="960">
        <v>0</v>
      </c>
      <c r="T7" s="959">
        <f>+'[43]March 22'!$L$26</f>
        <v>678679.52865999355</v>
      </c>
      <c r="U7" s="936">
        <f>+S7*T7</f>
        <v>0</v>
      </c>
      <c r="V7" s="889"/>
      <c r="W7" s="960">
        <v>3</v>
      </c>
      <c r="X7" s="959">
        <f>+'[44]July 22'!$L$31</f>
        <v>1928201.8379708324</v>
      </c>
      <c r="Y7" s="936">
        <f>+W7*X7</f>
        <v>5784605.5139124971</v>
      </c>
      <c r="Z7" s="889"/>
      <c r="AA7" s="959"/>
      <c r="AB7" s="959"/>
      <c r="AC7" s="959"/>
      <c r="AD7" s="1487"/>
      <c r="AE7" s="959">
        <v>1</v>
      </c>
      <c r="AF7" s="959">
        <f>+'[45]Nov 2022'!$L$31</f>
        <v>1718030.6987312208</v>
      </c>
      <c r="AG7" s="936">
        <f>+AE7*AF7</f>
        <v>1718030.6987312208</v>
      </c>
      <c r="AH7" s="1487"/>
      <c r="AI7" s="959">
        <v>6</v>
      </c>
      <c r="AJ7" s="1818">
        <f>'[46]April 2023'!$L$35</f>
        <v>4481824.7167510167</v>
      </c>
      <c r="AK7" s="936">
        <f>+AI7*AJ7</f>
        <v>26890948.3005061</v>
      </c>
      <c r="AL7" s="1487"/>
      <c r="AM7" s="959">
        <v>5</v>
      </c>
      <c r="AN7" s="1818">
        <f>'[47]September 2023'!$L$35</f>
        <v>2400.2507468139415</v>
      </c>
      <c r="AO7" s="936">
        <f>+AM7*AN7</f>
        <v>12001.253734069707</v>
      </c>
      <c r="AP7" s="889"/>
      <c r="AQ7" s="959">
        <v>6</v>
      </c>
      <c r="AR7" s="1818">
        <f>'[47]February 2024'!$L$38</f>
        <v>2636.1338769012727</v>
      </c>
      <c r="AS7" s="936">
        <f>+AQ7*AR7</f>
        <v>15816.803261407636</v>
      </c>
      <c r="AT7" s="1487"/>
      <c r="AU7" s="959">
        <v>11</v>
      </c>
      <c r="AV7" s="1818">
        <f>'[48]July 2024'!$L$38</f>
        <v>2712.5979856433833</v>
      </c>
      <c r="AW7" s="936">
        <f>+AU7*AV7</f>
        <v>29838.577842077215</v>
      </c>
      <c r="AX7" s="889"/>
      <c r="AY7" s="959">
        <v>12</v>
      </c>
      <c r="AZ7" s="1818">
        <f>'[48]July 2024'!$L$38</f>
        <v>2712.5979856433833</v>
      </c>
      <c r="BA7" s="936">
        <f>+AY7*AZ7</f>
        <v>32551.175827720599</v>
      </c>
      <c r="BB7" s="889"/>
      <c r="BC7" s="959">
        <v>21</v>
      </c>
      <c r="BD7" s="1818">
        <f>'[48]July 2024'!$L$38</f>
        <v>2712.5979856433833</v>
      </c>
      <c r="BE7" s="936">
        <f>+BC7*BD7</f>
        <v>56964.557698511046</v>
      </c>
      <c r="BF7" s="889"/>
      <c r="BG7" s="959">
        <v>84</v>
      </c>
      <c r="BH7" s="1818">
        <f>'[48]July 2024'!$L$38</f>
        <v>2712.5979856433833</v>
      </c>
      <c r="BI7" s="936">
        <f>+BG7*BH7</f>
        <v>227858.23079404418</v>
      </c>
      <c r="BJ7" s="889"/>
      <c r="BK7" s="959">
        <v>63</v>
      </c>
      <c r="BL7" s="1818">
        <f>'[48]July 2024'!$L$38</f>
        <v>2712.5979856433833</v>
      </c>
      <c r="BM7" s="936">
        <f>+BK7*BL7</f>
        <v>170893.67309553316</v>
      </c>
      <c r="BN7" s="889"/>
      <c r="BO7" s="1608">
        <f>BO9</f>
        <v>290</v>
      </c>
      <c r="BP7" s="1611">
        <f>+BQ7/BO7</f>
        <v>183644.90062475047</v>
      </c>
      <c r="BQ7" s="1606">
        <f>E7+I7+M7+Q7+U7+Y7+AC7+AG7+AK7+AO7+AS7+AW7+BA7+BE7</f>
        <v>53257021.181177638</v>
      </c>
    </row>
    <row r="8" spans="1:81" s="1021" customFormat="1">
      <c r="A8" s="1023" t="s">
        <v>169</v>
      </c>
      <c r="B8" s="889"/>
      <c r="C8" s="960">
        <f>+C9-C7</f>
        <v>0</v>
      </c>
      <c r="D8" s="959">
        <f>+D7</f>
        <v>16195814.684447095</v>
      </c>
      <c r="E8" s="936">
        <f>+C8*D8</f>
        <v>0</v>
      </c>
      <c r="F8" s="889"/>
      <c r="G8" s="960">
        <f>+G9-G7</f>
        <v>-3</v>
      </c>
      <c r="H8" s="959">
        <f>+H7</f>
        <v>234317.26664502168</v>
      </c>
      <c r="I8" s="936">
        <f>+G8*H8</f>
        <v>-702951.79993506498</v>
      </c>
      <c r="J8" s="1487"/>
      <c r="K8" s="960">
        <f>+K9-K7</f>
        <v>0</v>
      </c>
      <c r="L8" s="959">
        <f>+L7</f>
        <v>300760.73609469831</v>
      </c>
      <c r="M8" s="936">
        <f>+K8*L8</f>
        <v>0</v>
      </c>
      <c r="N8" s="1487"/>
      <c r="O8" s="960">
        <f>+O9-O7</f>
        <v>-2</v>
      </c>
      <c r="P8" s="959">
        <f>+P7</f>
        <v>454374.45382046868</v>
      </c>
      <c r="Q8" s="936">
        <f>+O8*P8</f>
        <v>-908748.90764093737</v>
      </c>
      <c r="R8" s="889"/>
      <c r="S8" s="960">
        <f>+S9-S7</f>
        <v>2</v>
      </c>
      <c r="T8" s="959">
        <f>+T7</f>
        <v>678679.52865999355</v>
      </c>
      <c r="U8" s="936">
        <f>+S8*T8</f>
        <v>1357359.0573199871</v>
      </c>
      <c r="V8" s="889"/>
      <c r="W8" s="960">
        <f>+W9-W7</f>
        <v>0</v>
      </c>
      <c r="X8" s="959">
        <f>+X7</f>
        <v>1928201.8379708324</v>
      </c>
      <c r="Y8" s="936">
        <f>+W8*X8</f>
        <v>0</v>
      </c>
      <c r="Z8" s="889"/>
      <c r="AA8" s="959"/>
      <c r="AB8" s="959"/>
      <c r="AC8" s="959"/>
      <c r="AD8" s="1487"/>
      <c r="AE8" s="960">
        <f>+AE9-AE7</f>
        <v>10</v>
      </c>
      <c r="AF8" s="959">
        <f>+AF7</f>
        <v>1718030.6987312208</v>
      </c>
      <c r="AG8" s="936">
        <f>+AE8*AF8</f>
        <v>17180306.987312209</v>
      </c>
      <c r="AH8" s="1487"/>
      <c r="AI8" s="960">
        <f>+AI9-AI7</f>
        <v>6</v>
      </c>
      <c r="AJ8" s="959">
        <f>+AJ7</f>
        <v>4481824.7167510167</v>
      </c>
      <c r="AK8" s="936">
        <f>+AI8*AJ8</f>
        <v>26890948.3005061</v>
      </c>
      <c r="AL8" s="1487"/>
      <c r="AM8" s="960">
        <f>+AM9-AM7</f>
        <v>12</v>
      </c>
      <c r="AN8" s="959">
        <f>+AN7</f>
        <v>2400.2507468139415</v>
      </c>
      <c r="AO8" s="936">
        <f>+AM8*AN8</f>
        <v>28803.0089617673</v>
      </c>
      <c r="AP8" s="889"/>
      <c r="AQ8" s="960">
        <f>+AQ9-AQ7</f>
        <v>11</v>
      </c>
      <c r="AR8" s="959">
        <f>+AR7</f>
        <v>2636.1338769012727</v>
      </c>
      <c r="AS8" s="936">
        <f>+AQ8*AR8</f>
        <v>28997.472645914</v>
      </c>
      <c r="AT8" s="1487"/>
      <c r="AU8" s="960">
        <f>+AU9-AU7</f>
        <v>11</v>
      </c>
      <c r="AV8" s="959">
        <f>+AV7</f>
        <v>2712.5979856433833</v>
      </c>
      <c r="AW8" s="936">
        <f>+AU8*AV8</f>
        <v>29838.577842077215</v>
      </c>
      <c r="AX8" s="889"/>
      <c r="AY8" s="960">
        <f>+AY9-AY7</f>
        <v>12</v>
      </c>
      <c r="AZ8" s="959">
        <f>+AZ7</f>
        <v>2712.5979856433833</v>
      </c>
      <c r="BA8" s="936">
        <f>+AY8*AZ8</f>
        <v>32551.175827720599</v>
      </c>
      <c r="BB8" s="889"/>
      <c r="BC8" s="960">
        <f>+BC9-BC7</f>
        <v>23</v>
      </c>
      <c r="BD8" s="959">
        <f>+BD7</f>
        <v>2712.5979856433833</v>
      </c>
      <c r="BE8" s="936">
        <f>+BC8*BD8</f>
        <v>62389.753669797814</v>
      </c>
      <c r="BF8" s="889"/>
      <c r="BG8" s="960">
        <f>+BG9-BG7</f>
        <v>-11</v>
      </c>
      <c r="BH8" s="959">
        <f>+BH7</f>
        <v>2712.5979856433833</v>
      </c>
      <c r="BI8" s="936">
        <f>+BG8*BH8</f>
        <v>-29838.577842077215</v>
      </c>
      <c r="BJ8" s="889"/>
      <c r="BK8" s="960">
        <f>+BK9-BK7</f>
        <v>-1</v>
      </c>
      <c r="BL8" s="959">
        <f>+BL7</f>
        <v>2712.5979856433833</v>
      </c>
      <c r="BM8" s="936">
        <f>+BK8*BL8</f>
        <v>-2712.5979856433833</v>
      </c>
      <c r="BN8" s="889"/>
      <c r="BO8" s="1606">
        <f>C8+G8+K8+O8+S8+W8+AA8+AE8+AI8+AM8+AQ8+AU8+AY8+BC8+BG8+BK8</f>
        <v>70</v>
      </c>
      <c r="BP8" s="1611">
        <f>+IFERROR(BQ8/BO8,0)</f>
        <v>628564.19466442242</v>
      </c>
      <c r="BQ8" s="1606">
        <f>E8+I8+M8+Q8+U8+Y8+AC8+AG8+AK8+AO8+AS8+AW8+BA8+BE8</f>
        <v>43999493.62650957</v>
      </c>
    </row>
    <row r="9" spans="1:81" s="872" customFormat="1">
      <c r="A9" s="998" t="s">
        <v>1585</v>
      </c>
      <c r="B9" s="999"/>
      <c r="C9" s="930">
        <f>+'Multiplier Imported Sows'!B6</f>
        <v>1</v>
      </c>
      <c r="D9" s="931">
        <f>+D8</f>
        <v>16195814.684447095</v>
      </c>
      <c r="E9" s="932">
        <f>SUM(E7:E8)</f>
        <v>16195814.684447095</v>
      </c>
      <c r="F9" s="999"/>
      <c r="G9" s="930">
        <v>0</v>
      </c>
      <c r="H9" s="931">
        <f>+H8</f>
        <v>234317.26664502168</v>
      </c>
      <c r="I9" s="932">
        <f>SUM(I7:I8)</f>
        <v>0</v>
      </c>
      <c r="J9" s="1488"/>
      <c r="K9" s="930">
        <v>0</v>
      </c>
      <c r="L9" s="931">
        <f>+L8</f>
        <v>300760.73609469831</v>
      </c>
      <c r="M9" s="932">
        <f>SUM(M7:M8)</f>
        <v>0</v>
      </c>
      <c r="N9" s="1488"/>
      <c r="O9" s="930">
        <f>'Multiplier Imported Sows'!B8</f>
        <v>2</v>
      </c>
      <c r="P9" s="931">
        <f>+P8</f>
        <v>454374.45382046868</v>
      </c>
      <c r="Q9" s="932">
        <f>SUM(Q7:Q8)</f>
        <v>908748.90764093737</v>
      </c>
      <c r="R9" s="999"/>
      <c r="S9" s="930">
        <f>'Multiplier Imported Sows'!B10</f>
        <v>2</v>
      </c>
      <c r="T9" s="931">
        <f>+T8</f>
        <v>678679.52865999355</v>
      </c>
      <c r="U9" s="932">
        <f>SUM(U7:U8)</f>
        <v>1357359.0573199871</v>
      </c>
      <c r="V9" s="999"/>
      <c r="W9" s="930">
        <f>+'Multiplier Imported Sows'!B13</f>
        <v>3</v>
      </c>
      <c r="X9" s="931">
        <f>+X8</f>
        <v>1928201.8379708324</v>
      </c>
      <c r="Y9" s="932">
        <f>SUM(Y7:Y8)</f>
        <v>5784605.5139124971</v>
      </c>
      <c r="Z9" s="999"/>
      <c r="AA9" s="931"/>
      <c r="AB9" s="931"/>
      <c r="AC9" s="931"/>
      <c r="AD9" s="1488"/>
      <c r="AE9" s="1758">
        <f>'Multiplier Imported Sows'!B24</f>
        <v>11</v>
      </c>
      <c r="AF9" s="931">
        <f>+AF8</f>
        <v>1718030.6987312208</v>
      </c>
      <c r="AG9" s="932">
        <f>SUM(AG7:AG8)</f>
        <v>18898337.68604343</v>
      </c>
      <c r="AH9" s="1488"/>
      <c r="AI9" s="1758">
        <f>'Multiplier Imported Sows'!B36</f>
        <v>12</v>
      </c>
      <c r="AJ9" s="1819">
        <f>+AJ8</f>
        <v>4481824.7167510167</v>
      </c>
      <c r="AK9" s="932">
        <f>SUM(AK7:AK8)</f>
        <v>53781896.6010122</v>
      </c>
      <c r="AL9" s="1488"/>
      <c r="AM9" s="1758">
        <f>'Multiplier Imported Sows'!B53</f>
        <v>17</v>
      </c>
      <c r="AN9" s="1819">
        <f>+AN8</f>
        <v>2400.2507468139415</v>
      </c>
      <c r="AO9" s="932">
        <f>SUM(AO7:AO8)</f>
        <v>40804.262695837009</v>
      </c>
      <c r="AP9" s="999"/>
      <c r="AQ9" s="1758">
        <f>'Multiplier Imported Sows'!B70</f>
        <v>17</v>
      </c>
      <c r="AR9" s="1819">
        <f>+AR8</f>
        <v>2636.1338769012727</v>
      </c>
      <c r="AS9" s="932">
        <f>SUM(AS7:AS8)</f>
        <v>44814.275907321637</v>
      </c>
      <c r="AT9" s="1488"/>
      <c r="AU9" s="1758">
        <f>'Multiplier Imported Sows'!B92</f>
        <v>22</v>
      </c>
      <c r="AV9" s="1819">
        <f>+AV8</f>
        <v>2712.5979856433833</v>
      </c>
      <c r="AW9" s="932">
        <f>SUM(AW7:AW8)</f>
        <v>59677.15568415443</v>
      </c>
      <c r="AX9" s="999"/>
      <c r="AY9" s="1758">
        <f>'Multiplier Imported Sows'!B116</f>
        <v>24</v>
      </c>
      <c r="AZ9" s="1819">
        <f>+AZ8</f>
        <v>2712.5979856433833</v>
      </c>
      <c r="BA9" s="932">
        <f>SUM(BA7:BA8)</f>
        <v>65102.351655441198</v>
      </c>
      <c r="BB9" s="999"/>
      <c r="BC9" s="1758">
        <f>+'Multiplier Imported Sows'!B160</f>
        <v>44</v>
      </c>
      <c r="BD9" s="1819">
        <f>+BD8</f>
        <v>2712.5979856433833</v>
      </c>
      <c r="BE9" s="932">
        <f>SUM(BE7:BE8)</f>
        <v>119354.31136830886</v>
      </c>
      <c r="BF9" s="999"/>
      <c r="BG9" s="1758">
        <f>'Multiplier Imported Sows'!B233</f>
        <v>73</v>
      </c>
      <c r="BH9" s="1819">
        <f>+BH8</f>
        <v>2712.5979856433833</v>
      </c>
      <c r="BI9" s="932">
        <f>SUM(BI7:BI8)</f>
        <v>198019.65295196697</v>
      </c>
      <c r="BJ9" s="999"/>
      <c r="BK9" s="1758">
        <f>'Multiplier Imported Sows'!B295</f>
        <v>62</v>
      </c>
      <c r="BL9" s="1819">
        <f>+BL8</f>
        <v>2712.5979856433833</v>
      </c>
      <c r="BM9" s="932">
        <f>SUM(BM7:BM8)</f>
        <v>168181.07510988979</v>
      </c>
      <c r="BN9" s="999"/>
      <c r="BO9" s="1608">
        <f>C9+G9+K9+O9+S9+W9+AA9+AE9+AI9+AM9+AQ9+AU9+AY9+BC9+BG9+BK9</f>
        <v>290</v>
      </c>
      <c r="BP9" s="1822">
        <f>+BQ9/BO9</f>
        <v>335367.29244030069</v>
      </c>
      <c r="BQ9" s="1609">
        <f t="shared" ref="BQ9:BQ15" si="0">SUM(BQ7:BQ8)</f>
        <v>97256514.807687208</v>
      </c>
      <c r="BR9" s="872">
        <f>+'Grasmere Valuation '!H94</f>
        <v>67709114.827818424</v>
      </c>
      <c r="BS9" s="872">
        <f>+BQ9-BR9</f>
        <v>29547399.979868785</v>
      </c>
    </row>
    <row r="10" spans="1:81" s="1021" customFormat="1">
      <c r="A10" s="1023" t="s">
        <v>1586</v>
      </c>
      <c r="B10" s="889"/>
      <c r="C10" s="960">
        <v>-130</v>
      </c>
      <c r="D10" s="959">
        <v>122.07000000000008</v>
      </c>
      <c r="E10" s="936">
        <f>+C9*C10*D10</f>
        <v>-15869.100000000009</v>
      </c>
      <c r="F10" s="889"/>
      <c r="G10" s="960">
        <v>-130</v>
      </c>
      <c r="H10" s="959">
        <v>122.07</v>
      </c>
      <c r="I10" s="936">
        <f>+G9*G10*H10</f>
        <v>0</v>
      </c>
      <c r="J10" s="1487"/>
      <c r="K10" s="960">
        <v>-130</v>
      </c>
      <c r="L10" s="959">
        <v>122.07000000000008</v>
      </c>
      <c r="M10" s="936">
        <f>+K9*K10*L10</f>
        <v>0</v>
      </c>
      <c r="N10" s="1487"/>
      <c r="O10" s="960">
        <v>-130</v>
      </c>
      <c r="P10" s="959">
        <f>+[49]CCC!$G$16</f>
        <v>229.83791290065597</v>
      </c>
      <c r="Q10" s="936">
        <f>+O9*O10*P10</f>
        <v>-59757.857354170548</v>
      </c>
      <c r="R10" s="889"/>
      <c r="S10" s="960">
        <v>-130</v>
      </c>
      <c r="T10" s="959">
        <f>+[50]CCC!$G$23</f>
        <v>307.69</v>
      </c>
      <c r="U10" s="936">
        <f>+S9*S10*T10</f>
        <v>-79999.399999999994</v>
      </c>
      <c r="V10" s="889"/>
      <c r="W10" s="960">
        <v>-130</v>
      </c>
      <c r="X10" s="959">
        <f>+[50]CCC!$G$23</f>
        <v>307.69</v>
      </c>
      <c r="Y10" s="936">
        <f>+W9*W10*X10</f>
        <v>-119999.1</v>
      </c>
      <c r="Z10" s="889"/>
      <c r="AA10" s="959"/>
      <c r="AB10" s="959"/>
      <c r="AC10" s="959"/>
      <c r="AD10" s="1487"/>
      <c r="AE10" s="959">
        <v>-130</v>
      </c>
      <c r="AF10" s="959">
        <f>+[51]Summary!$G$16</f>
        <v>1306.7267352627152</v>
      </c>
      <c r="AG10" s="936">
        <f>+AE9*AE10*AF10</f>
        <v>-1868619.2314256828</v>
      </c>
      <c r="AH10" s="1487"/>
      <c r="AI10" s="959">
        <v>-130</v>
      </c>
      <c r="AJ10" s="1820">
        <f>[52]Summary!$G$18</f>
        <v>3020.6555657372742</v>
      </c>
      <c r="AK10" s="936">
        <f>+AI9*AI10*AJ10</f>
        <v>-4712222.6825501481</v>
      </c>
      <c r="AL10" s="1487"/>
      <c r="AM10" s="959">
        <v>-130</v>
      </c>
      <c r="AN10" s="1876">
        <f>[52]Summary!$G$18</f>
        <v>3020.6555657372742</v>
      </c>
      <c r="AO10" s="936">
        <f>+AM9*AM10*AN10</f>
        <v>-6675648.8002793761</v>
      </c>
      <c r="AP10" s="889"/>
      <c r="AQ10" s="959">
        <v>-130</v>
      </c>
      <c r="AR10" s="1876">
        <f>[52]Summary!$G$18</f>
        <v>3020.6555657372742</v>
      </c>
      <c r="AS10" s="936">
        <f>+AQ9*AQ10*AR10</f>
        <v>-6675648.8002793761</v>
      </c>
      <c r="AT10" s="1487"/>
      <c r="AU10" s="959">
        <v>-130</v>
      </c>
      <c r="AV10" s="1876">
        <f>[52]Summary!$G$18</f>
        <v>3020.6555657372742</v>
      </c>
      <c r="AW10" s="936">
        <f>+AU9*AU10*AV10</f>
        <v>-8639074.918008605</v>
      </c>
      <c r="AX10" s="889"/>
      <c r="AY10" s="959">
        <v>-130</v>
      </c>
      <c r="AZ10" s="1876">
        <f>[52]Summary!$G$18</f>
        <v>3020.6555657372742</v>
      </c>
      <c r="BA10" s="936">
        <f>+AY9*AY10*AZ10</f>
        <v>-9424445.3651002962</v>
      </c>
      <c r="BB10" s="889"/>
      <c r="BC10" s="959">
        <v>-130</v>
      </c>
      <c r="BD10" s="1876">
        <f>[52]Summary!$G$18</f>
        <v>3020.6555657372742</v>
      </c>
      <c r="BE10" s="936">
        <f>+BC9*BC10*BD10</f>
        <v>-17278149.83601721</v>
      </c>
      <c r="BF10" s="889"/>
      <c r="BG10" s="959">
        <v>-130</v>
      </c>
      <c r="BH10" s="1876">
        <f>[52]Summary!$G$18</f>
        <v>3020.6555657372742</v>
      </c>
      <c r="BI10" s="936">
        <f>+BG9*BG10*BH10</f>
        <v>-28666021.318846732</v>
      </c>
      <c r="BJ10" s="889"/>
      <c r="BK10" s="959">
        <v>-130</v>
      </c>
      <c r="BL10" s="1876">
        <f>[52]Summary!$G$18</f>
        <v>3020.6555657372742</v>
      </c>
      <c r="BM10" s="936">
        <f>+BK9*BK10*BL10</f>
        <v>-24346483.859842431</v>
      </c>
      <c r="BN10" s="889"/>
      <c r="BO10" s="1606">
        <f t="shared" ref="BO10:BO11" si="1">C10+G10+K10+O10+S10+W10+AA10+AE10+AI10+AM10+AQ10+AU10+AY10+BC10</f>
        <v>-1690</v>
      </c>
      <c r="BP10" s="1611">
        <f>+BQ10/BO10</f>
        <v>-83583.436943311695</v>
      </c>
      <c r="BQ10" s="1609">
        <f t="shared" si="0"/>
        <v>141256008.43419677</v>
      </c>
      <c r="CC10" s="1021">
        <f>205+44</f>
        <v>249</v>
      </c>
    </row>
    <row r="11" spans="1:81" s="1021" customFormat="1">
      <c r="A11" s="1023" t="s">
        <v>1587</v>
      </c>
      <c r="B11" s="889"/>
      <c r="C11" s="930">
        <f>+C9</f>
        <v>1</v>
      </c>
      <c r="D11" s="959"/>
      <c r="E11" s="936">
        <f>+E9+E10</f>
        <v>16179945.584447095</v>
      </c>
      <c r="F11" s="889"/>
      <c r="G11" s="930">
        <f>+G9</f>
        <v>0</v>
      </c>
      <c r="H11" s="959"/>
      <c r="I11" s="936">
        <f>+I9+I10</f>
        <v>0</v>
      </c>
      <c r="J11" s="1487"/>
      <c r="K11" s="930">
        <f>+K9</f>
        <v>0</v>
      </c>
      <c r="L11" s="959"/>
      <c r="M11" s="936">
        <f>+M9+M10</f>
        <v>0</v>
      </c>
      <c r="N11" s="1487"/>
      <c r="O11" s="930">
        <f>+O9</f>
        <v>2</v>
      </c>
      <c r="P11" s="959"/>
      <c r="Q11" s="936">
        <f>+Q9+Q10</f>
        <v>848991.05028676684</v>
      </c>
      <c r="R11" s="889"/>
      <c r="S11" s="930">
        <f>+S9</f>
        <v>2</v>
      </c>
      <c r="T11" s="959"/>
      <c r="U11" s="936">
        <f>+U9+U10</f>
        <v>1277359.6573199872</v>
      </c>
      <c r="V11" s="889"/>
      <c r="W11" s="930">
        <f>+W9</f>
        <v>3</v>
      </c>
      <c r="X11" s="959"/>
      <c r="Y11" s="936">
        <f>+Y9+Y10</f>
        <v>5664606.4139124975</v>
      </c>
      <c r="Z11" s="889"/>
      <c r="AA11" s="959"/>
      <c r="AB11" s="959"/>
      <c r="AC11" s="959"/>
      <c r="AD11" s="1487"/>
      <c r="AE11" s="930">
        <f>+AE9</f>
        <v>11</v>
      </c>
      <c r="AF11" s="959"/>
      <c r="AG11" s="936">
        <f>+AG9+AG10</f>
        <v>17029718.454617746</v>
      </c>
      <c r="AH11" s="1487"/>
      <c r="AI11" s="930">
        <f>+AI9</f>
        <v>12</v>
      </c>
      <c r="AJ11" s="959"/>
      <c r="AK11" s="936">
        <f>+AK9+AK10</f>
        <v>49069673.918462053</v>
      </c>
      <c r="AL11" s="1487"/>
      <c r="AM11" s="930">
        <f>+AM9</f>
        <v>17</v>
      </c>
      <c r="AN11" s="959"/>
      <c r="AO11" s="936">
        <f>+AO9+AO10</f>
        <v>-6634844.5375835393</v>
      </c>
      <c r="AP11" s="889"/>
      <c r="AQ11" s="930">
        <f>+AQ9</f>
        <v>17</v>
      </c>
      <c r="AR11" s="959"/>
      <c r="AS11" s="936">
        <f>+AS9+AS10</f>
        <v>-6630834.5243720543</v>
      </c>
      <c r="AT11" s="1487"/>
      <c r="AU11" s="930">
        <f>+AU9</f>
        <v>22</v>
      </c>
      <c r="AV11" s="959"/>
      <c r="AW11" s="936">
        <f>+AW9+AW10</f>
        <v>-8579397.7623244505</v>
      </c>
      <c r="AX11" s="889"/>
      <c r="AY11" s="930">
        <f>+AY9</f>
        <v>24</v>
      </c>
      <c r="AZ11" s="959"/>
      <c r="BA11" s="936">
        <f>+BA9+BA10</f>
        <v>-9359343.0134448558</v>
      </c>
      <c r="BB11" s="889"/>
      <c r="BC11" s="930">
        <f>+BC9</f>
        <v>44</v>
      </c>
      <c r="BD11" s="959"/>
      <c r="BE11" s="936">
        <f>+BE9+BE10</f>
        <v>-17158795.524648901</v>
      </c>
      <c r="BF11" s="889"/>
      <c r="BG11" s="930">
        <f>+BG9</f>
        <v>73</v>
      </c>
      <c r="BH11" s="959"/>
      <c r="BI11" s="936">
        <f>+BI9+BI10</f>
        <v>-28468001.665894765</v>
      </c>
      <c r="BJ11" s="889"/>
      <c r="BK11" s="930">
        <f>+BK9</f>
        <v>62</v>
      </c>
      <c r="BL11" s="959"/>
      <c r="BM11" s="936">
        <f>+BM9+BM10</f>
        <v>-24178302.784732539</v>
      </c>
      <c r="BN11" s="889"/>
      <c r="BO11" s="1606">
        <f t="shared" si="1"/>
        <v>155</v>
      </c>
      <c r="BP11" s="1611">
        <f>+BQ11/BO11</f>
        <v>1538790.4725282837</v>
      </c>
      <c r="BQ11" s="1609">
        <f t="shared" si="0"/>
        <v>238512523.24188399</v>
      </c>
      <c r="BT11" s="872"/>
    </row>
    <row r="12" spans="1:81" s="1021" customFormat="1">
      <c r="A12" s="1023"/>
      <c r="B12" s="889"/>
      <c r="C12" s="960"/>
      <c r="D12" s="959"/>
      <c r="E12" s="936"/>
      <c r="F12" s="889"/>
      <c r="G12" s="960"/>
      <c r="H12" s="959"/>
      <c r="I12" s="936"/>
      <c r="J12" s="1487"/>
      <c r="K12" s="960"/>
      <c r="L12" s="959"/>
      <c r="M12" s="936"/>
      <c r="N12" s="1487"/>
      <c r="O12" s="960"/>
      <c r="P12" s="959"/>
      <c r="Q12" s="936"/>
      <c r="R12" s="889"/>
      <c r="S12" s="960"/>
      <c r="T12" s="959"/>
      <c r="U12" s="936"/>
      <c r="V12" s="889"/>
      <c r="W12" s="960"/>
      <c r="X12" s="959"/>
      <c r="Y12" s="936"/>
      <c r="Z12" s="889"/>
      <c r="AA12" s="959"/>
      <c r="AB12" s="959"/>
      <c r="AC12" s="959"/>
      <c r="AD12" s="1487"/>
      <c r="AE12" s="959"/>
      <c r="AF12" s="959"/>
      <c r="AG12" s="936"/>
      <c r="AH12" s="1487"/>
      <c r="AI12" s="959"/>
      <c r="AJ12" s="959"/>
      <c r="AK12" s="936"/>
      <c r="AL12" s="1487"/>
      <c r="AM12" s="959"/>
      <c r="AN12" s="959"/>
      <c r="AO12" s="936"/>
      <c r="AP12" s="889"/>
      <c r="AQ12" s="959"/>
      <c r="AR12" s="959"/>
      <c r="AS12" s="936"/>
      <c r="AT12" s="1487"/>
      <c r="AU12" s="959"/>
      <c r="AV12" s="959"/>
      <c r="AW12" s="936"/>
      <c r="AX12" s="889"/>
      <c r="AY12" s="959"/>
      <c r="AZ12" s="959"/>
      <c r="BA12" s="936"/>
      <c r="BB12" s="889"/>
      <c r="BC12" s="959"/>
      <c r="BD12" s="959"/>
      <c r="BE12" s="936"/>
      <c r="BF12" s="889"/>
      <c r="BG12" s="959"/>
      <c r="BH12" s="959"/>
      <c r="BI12" s="936"/>
      <c r="BJ12" s="889"/>
      <c r="BK12" s="959"/>
      <c r="BL12" s="959"/>
      <c r="BM12" s="936"/>
      <c r="BN12" s="889"/>
      <c r="BO12" s="1606"/>
      <c r="BP12" s="1611"/>
      <c r="BQ12" s="1609">
        <f t="shared" si="0"/>
        <v>379768531.67608076</v>
      </c>
    </row>
    <row r="13" spans="1:81" s="1021" customFormat="1">
      <c r="A13" s="1023" t="s">
        <v>1588</v>
      </c>
      <c r="B13" s="889"/>
      <c r="C13" s="960"/>
      <c r="D13" s="959"/>
      <c r="E13" s="936">
        <f>+E11/36</f>
        <v>449442.93290130817</v>
      </c>
      <c r="F13" s="889"/>
      <c r="G13" s="960"/>
      <c r="H13" s="959"/>
      <c r="I13" s="936">
        <f>+I11/36</f>
        <v>0</v>
      </c>
      <c r="J13" s="1487"/>
      <c r="K13" s="960"/>
      <c r="L13" s="959"/>
      <c r="M13" s="936">
        <f>+M11/36</f>
        <v>0</v>
      </c>
      <c r="N13" s="1487"/>
      <c r="O13" s="960"/>
      <c r="P13" s="959"/>
      <c r="Q13" s="936">
        <f>+Q11/36</f>
        <v>23583.084730187969</v>
      </c>
      <c r="R13" s="889"/>
      <c r="S13" s="960"/>
      <c r="T13" s="959"/>
      <c r="U13" s="936">
        <f>+U11/36</f>
        <v>35482.212703332974</v>
      </c>
      <c r="V13" s="889"/>
      <c r="W13" s="960"/>
      <c r="X13" s="959"/>
      <c r="Y13" s="936">
        <f>+Y11/36</f>
        <v>157350.17816423604</v>
      </c>
      <c r="Z13" s="889"/>
      <c r="AA13" s="959"/>
      <c r="AB13" s="959"/>
      <c r="AC13" s="959"/>
      <c r="AD13" s="1487"/>
      <c r="AE13" s="959"/>
      <c r="AF13" s="959"/>
      <c r="AG13" s="936">
        <f>+AG11/36</f>
        <v>473047.73485049297</v>
      </c>
      <c r="AH13" s="1487"/>
      <c r="AI13" s="959"/>
      <c r="AJ13" s="959"/>
      <c r="AK13" s="936">
        <f>+AK11/36</f>
        <v>1363046.497735057</v>
      </c>
      <c r="AL13" s="1487"/>
      <c r="AM13" s="959"/>
      <c r="AN13" s="959"/>
      <c r="AO13" s="936">
        <f>+AO11/36</f>
        <v>-184301.23715509832</v>
      </c>
      <c r="AP13" s="889"/>
      <c r="AQ13" s="959"/>
      <c r="AR13" s="959"/>
      <c r="AS13" s="936">
        <f>+AS11/36</f>
        <v>-184189.84789922374</v>
      </c>
      <c r="AT13" s="1487"/>
      <c r="AU13" s="959"/>
      <c r="AV13" s="959"/>
      <c r="AW13" s="936">
        <f>+AW11/36</f>
        <v>-238316.60450901251</v>
      </c>
      <c r="AX13" s="889"/>
      <c r="AY13" s="959"/>
      <c r="AZ13" s="959"/>
      <c r="BA13" s="936">
        <f>+BA11/36</f>
        <v>-259981.75037346821</v>
      </c>
      <c r="BB13" s="889"/>
      <c r="BC13" s="959"/>
      <c r="BD13" s="959"/>
      <c r="BE13" s="936">
        <f>+BE11/36</f>
        <v>-476633.20901802502</v>
      </c>
      <c r="BF13" s="889"/>
      <c r="BG13" s="959"/>
      <c r="BH13" s="959"/>
      <c r="BI13" s="936">
        <f>+BI11/36</f>
        <v>-790777.82405263232</v>
      </c>
      <c r="BJ13" s="889"/>
      <c r="BK13" s="959"/>
      <c r="BL13" s="959"/>
      <c r="BM13" s="936">
        <f>+BM11/36</f>
        <v>-671619.52179812605</v>
      </c>
      <c r="BN13" s="889"/>
      <c r="BO13" s="1606"/>
      <c r="BP13" s="1611"/>
      <c r="BQ13" s="1609">
        <f t="shared" si="0"/>
        <v>618281054.9179647</v>
      </c>
    </row>
    <row r="14" spans="1:81" s="1021" customFormat="1">
      <c r="A14" s="1023"/>
      <c r="B14" s="889"/>
      <c r="C14" s="960"/>
      <c r="D14" s="959">
        <f>+C14/C7</f>
        <v>0</v>
      </c>
      <c r="E14" s="936"/>
      <c r="F14" s="889"/>
      <c r="G14" s="960"/>
      <c r="H14" s="959"/>
      <c r="I14" s="936"/>
      <c r="J14" s="1487"/>
      <c r="K14" s="960"/>
      <c r="L14" s="959"/>
      <c r="M14" s="936"/>
      <c r="N14" s="1487"/>
      <c r="O14" s="960"/>
      <c r="P14" s="959"/>
      <c r="Q14" s="936"/>
      <c r="R14" s="889"/>
      <c r="S14" s="960"/>
      <c r="T14" s="959"/>
      <c r="U14" s="936"/>
      <c r="V14" s="889"/>
      <c r="W14" s="960"/>
      <c r="X14" s="959"/>
      <c r="Y14" s="936"/>
      <c r="Z14" s="889"/>
      <c r="AA14" s="959"/>
      <c r="AB14" s="959"/>
      <c r="AC14" s="959"/>
      <c r="AD14" s="1487"/>
      <c r="AE14" s="959"/>
      <c r="AF14" s="959"/>
      <c r="AG14" s="936"/>
      <c r="AH14" s="1487"/>
      <c r="AI14" s="959"/>
      <c r="AJ14" s="959"/>
      <c r="AK14" s="936"/>
      <c r="AL14" s="1487"/>
      <c r="AM14" s="959"/>
      <c r="AN14" s="959"/>
      <c r="AO14" s="936"/>
      <c r="AP14" s="889"/>
      <c r="AQ14" s="959"/>
      <c r="AR14" s="959"/>
      <c r="AS14" s="936"/>
      <c r="AT14" s="1487"/>
      <c r="AU14" s="959"/>
      <c r="AV14" s="959"/>
      <c r="AW14" s="936"/>
      <c r="AX14" s="889"/>
      <c r="AY14" s="959"/>
      <c r="AZ14" s="959"/>
      <c r="BA14" s="936"/>
      <c r="BB14" s="889"/>
      <c r="BC14" s="959"/>
      <c r="BD14" s="959"/>
      <c r="BE14" s="936"/>
      <c r="BF14" s="889"/>
      <c r="BG14" s="959"/>
      <c r="BH14" s="959"/>
      <c r="BI14" s="936"/>
      <c r="BJ14" s="889"/>
      <c r="BK14" s="959"/>
      <c r="BL14" s="959"/>
      <c r="BM14" s="936"/>
      <c r="BN14" s="889"/>
      <c r="BO14" s="1606"/>
      <c r="BP14" s="1611"/>
      <c r="BQ14" s="1609">
        <f t="shared" si="0"/>
        <v>998049586.5940454</v>
      </c>
    </row>
    <row r="15" spans="1:81" s="1021" customFormat="1">
      <c r="A15" s="1023" t="s">
        <v>1589</v>
      </c>
      <c r="B15" s="889"/>
      <c r="C15" s="960"/>
      <c r="D15" s="959"/>
      <c r="E15" s="936">
        <f>+E13*D5</f>
        <v>16179945.584447093</v>
      </c>
      <c r="F15" s="889"/>
      <c r="G15" s="960"/>
      <c r="H15" s="959"/>
      <c r="I15" s="936">
        <f>+I13*H5</f>
        <v>0</v>
      </c>
      <c r="J15" s="1487"/>
      <c r="K15" s="960"/>
      <c r="L15" s="959"/>
      <c r="M15" s="936">
        <f>+M13*L5</f>
        <v>0</v>
      </c>
      <c r="N15" s="1487"/>
      <c r="O15" s="960"/>
      <c r="P15" s="959"/>
      <c r="Q15" s="936">
        <f>+Q13*P5</f>
        <v>683909.4571754511</v>
      </c>
      <c r="R15" s="889"/>
      <c r="S15" s="960"/>
      <c r="T15" s="959"/>
      <c r="U15" s="936">
        <f>+U13*T5</f>
        <v>851573.10487999138</v>
      </c>
      <c r="V15" s="889"/>
      <c r="W15" s="960"/>
      <c r="X15" s="959"/>
      <c r="Y15" s="936">
        <f>+Y13*X5</f>
        <v>3147003.5632847208</v>
      </c>
      <c r="Z15" s="889"/>
      <c r="AA15" s="959"/>
      <c r="AB15" s="959"/>
      <c r="AC15" s="959"/>
      <c r="AD15" s="1487"/>
      <c r="AE15" s="959"/>
      <c r="AF15" s="959"/>
      <c r="AG15" s="936">
        <f>+AG13*AF5</f>
        <v>7568763.7576078875</v>
      </c>
      <c r="AH15" s="1487"/>
      <c r="AI15" s="959"/>
      <c r="AJ15" s="959"/>
      <c r="AK15" s="936">
        <f>+AK13*AJ5</f>
        <v>14993511.475085627</v>
      </c>
      <c r="AL15" s="1487"/>
      <c r="AM15" s="959"/>
      <c r="AN15" s="959"/>
      <c r="AO15" s="936">
        <f>+AO13*AN5</f>
        <v>-1105807.4229305899</v>
      </c>
      <c r="AP15" s="889"/>
      <c r="AQ15" s="959"/>
      <c r="AR15" s="959"/>
      <c r="AS15" s="936">
        <f>+AS13*AR5</f>
        <v>-184189.84789922374</v>
      </c>
      <c r="AT15" s="1487"/>
      <c r="AU15" s="959"/>
      <c r="AV15" s="959"/>
      <c r="AW15" s="936">
        <f>+AW13*AV5</f>
        <v>-238316.60450901251</v>
      </c>
      <c r="AX15" s="889"/>
      <c r="AY15" s="959"/>
      <c r="AZ15" s="959"/>
      <c r="BA15" s="936">
        <f>+BA13*AZ5</f>
        <v>-259981.75037346821</v>
      </c>
      <c r="BB15" s="889"/>
      <c r="BC15" s="959"/>
      <c r="BD15" s="959"/>
      <c r="BE15" s="936">
        <f>+BE13*BD5</f>
        <v>-476633.20901802502</v>
      </c>
      <c r="BF15" s="889"/>
      <c r="BG15" s="959"/>
      <c r="BH15" s="959"/>
      <c r="BI15" s="936">
        <f>+BI13*BH5</f>
        <v>-790777.82405263232</v>
      </c>
      <c r="BJ15" s="889"/>
      <c r="BK15" s="959"/>
      <c r="BL15" s="959"/>
      <c r="BM15" s="936">
        <f>+BM13*BL5</f>
        <v>-671619.52179812605</v>
      </c>
      <c r="BN15" s="889"/>
      <c r="BO15" s="1606"/>
      <c r="BP15" s="1611"/>
      <c r="BQ15" s="1609">
        <f t="shared" si="0"/>
        <v>1616330641.5120101</v>
      </c>
    </row>
    <row r="16" spans="1:81">
      <c r="A16" s="1027"/>
      <c r="B16" s="889"/>
      <c r="C16" s="1001"/>
      <c r="D16" s="890"/>
      <c r="E16" s="1000"/>
      <c r="F16" s="889"/>
      <c r="G16" s="1001"/>
      <c r="H16" s="890"/>
      <c r="I16" s="1000"/>
      <c r="J16" s="1487"/>
      <c r="K16" s="1001"/>
      <c r="L16" s="890"/>
      <c r="M16" s="1000"/>
      <c r="N16" s="1487"/>
      <c r="O16" s="1001"/>
      <c r="P16" s="890"/>
      <c r="Q16" s="1000"/>
      <c r="R16" s="889"/>
      <c r="S16" s="1001"/>
      <c r="T16" s="890"/>
      <c r="U16" s="890"/>
      <c r="V16" s="889"/>
      <c r="W16" s="1001"/>
      <c r="X16" s="890"/>
      <c r="Y16" s="890"/>
      <c r="Z16" s="889"/>
      <c r="AA16" s="890"/>
      <c r="AB16" s="890"/>
      <c r="AC16" s="890"/>
      <c r="AD16" s="1487"/>
      <c r="AE16" s="890"/>
      <c r="AF16" s="890"/>
      <c r="AG16" s="890"/>
      <c r="AH16" s="1487"/>
      <c r="AI16" s="1487"/>
      <c r="AJ16" s="1487"/>
      <c r="AK16" s="1487"/>
      <c r="AL16" s="1487"/>
      <c r="AM16" s="1487"/>
      <c r="AN16" s="1487"/>
      <c r="AO16" s="1487"/>
      <c r="AP16" s="889"/>
      <c r="AQ16" s="1487"/>
      <c r="AR16" s="1487"/>
      <c r="AS16" s="1487"/>
      <c r="AT16" s="1487"/>
      <c r="AU16" s="1487"/>
      <c r="AV16" s="1487"/>
      <c r="AW16" s="1487"/>
      <c r="AX16" s="889"/>
      <c r="AY16" s="1487"/>
      <c r="AZ16" s="1487"/>
      <c r="BA16" s="1487"/>
      <c r="BB16" s="889"/>
      <c r="BC16" s="1487"/>
      <c r="BD16" s="1487"/>
      <c r="BE16" s="1487"/>
      <c r="BF16" s="889"/>
      <c r="BG16" s="1487"/>
      <c r="BH16" s="1487"/>
      <c r="BI16" s="1487"/>
      <c r="BJ16" s="889"/>
      <c r="BK16" s="1487"/>
      <c r="BL16" s="1487"/>
      <c r="BM16" s="1487"/>
      <c r="BN16" s="889"/>
      <c r="BO16" s="1617"/>
      <c r="BP16" s="1618"/>
      <c r="BQ16" s="1619" t="s">
        <v>138</v>
      </c>
    </row>
    <row r="17" spans="1:84">
      <c r="A17" s="1027"/>
      <c r="B17" s="889"/>
      <c r="C17" s="960"/>
      <c r="D17" s="1002"/>
      <c r="E17" s="936"/>
      <c r="F17" s="889"/>
      <c r="G17" s="960"/>
      <c r="H17" s="1002"/>
      <c r="I17" s="936"/>
      <c r="J17" s="1487"/>
      <c r="K17" s="960"/>
      <c r="L17" s="1002"/>
      <c r="M17" s="936"/>
      <c r="N17" s="1487"/>
      <c r="O17" s="960"/>
      <c r="P17" s="1002"/>
      <c r="Q17" s="936"/>
      <c r="R17" s="889"/>
      <c r="S17" s="960"/>
      <c r="T17" s="1002"/>
      <c r="U17" s="936"/>
      <c r="V17" s="889"/>
      <c r="W17" s="960"/>
      <c r="X17" s="1002"/>
      <c r="Y17" s="936"/>
      <c r="Z17" s="889"/>
      <c r="AA17" s="960"/>
      <c r="AB17" s="1002"/>
      <c r="AC17" s="936"/>
      <c r="AD17" s="1487"/>
      <c r="AE17" s="960"/>
      <c r="AF17" s="1002"/>
      <c r="AG17" s="936"/>
      <c r="AH17" s="1487"/>
      <c r="AI17" s="960"/>
      <c r="AJ17" s="1002"/>
      <c r="AK17" s="936"/>
      <c r="AL17" s="1487"/>
      <c r="AM17" s="960"/>
      <c r="AN17" s="1002"/>
      <c r="AO17" s="936"/>
      <c r="AP17" s="889"/>
      <c r="AQ17" s="960"/>
      <c r="AR17" s="1002"/>
      <c r="AS17" s="936"/>
      <c r="AT17" s="1487"/>
      <c r="AU17" s="960"/>
      <c r="AV17" s="1002"/>
      <c r="AW17" s="936"/>
      <c r="AX17" s="889"/>
      <c r="AY17" s="960"/>
      <c r="AZ17" s="1002"/>
      <c r="BA17" s="936"/>
      <c r="BB17" s="889"/>
      <c r="BC17" s="960"/>
      <c r="BD17" s="1002"/>
      <c r="BE17" s="936"/>
      <c r="BF17" s="889"/>
      <c r="BG17" s="960"/>
      <c r="BH17" s="1002"/>
      <c r="BI17" s="936"/>
      <c r="BJ17" s="889"/>
      <c r="BK17" s="959"/>
      <c r="BL17" s="959"/>
      <c r="BM17" s="959"/>
      <c r="BN17" s="889"/>
      <c r="BO17" s="1606"/>
      <c r="BP17" s="1611"/>
      <c r="BQ17" s="1610"/>
    </row>
    <row r="18" spans="1:84" s="884" customFormat="1">
      <c r="A18" s="1003" t="s">
        <v>113</v>
      </c>
      <c r="B18" s="889"/>
      <c r="C18" s="1041"/>
      <c r="D18" s="1004"/>
      <c r="E18" s="932"/>
      <c r="F18" s="889"/>
      <c r="G18" s="1041"/>
      <c r="H18" s="1004"/>
      <c r="I18" s="932"/>
      <c r="J18" s="1487"/>
      <c r="K18" s="1041"/>
      <c r="L18" s="1004"/>
      <c r="M18" s="932"/>
      <c r="N18" s="1487"/>
      <c r="O18" s="1041"/>
      <c r="P18" s="1004"/>
      <c r="Q18" s="932"/>
      <c r="R18" s="999"/>
      <c r="S18" s="1041"/>
      <c r="T18" s="1004"/>
      <c r="U18" s="932"/>
      <c r="V18" s="999"/>
      <c r="W18" s="1041"/>
      <c r="X18" s="1004"/>
      <c r="Y18" s="932"/>
      <c r="Z18" s="999"/>
      <c r="AA18" s="1041"/>
      <c r="AB18" s="1004"/>
      <c r="AC18" s="932"/>
      <c r="AD18" s="1487"/>
      <c r="AE18" s="1759"/>
      <c r="AF18" s="1004"/>
      <c r="AG18" s="932"/>
      <c r="AH18" s="1487"/>
      <c r="AI18" s="1759"/>
      <c r="AJ18" s="1004"/>
      <c r="AK18" s="932"/>
      <c r="AL18" s="1487"/>
      <c r="AM18" s="1759"/>
      <c r="AN18" s="1002"/>
      <c r="AO18" s="932"/>
      <c r="AP18" s="999"/>
      <c r="AQ18" s="1759"/>
      <c r="AR18" s="1002"/>
      <c r="AS18" s="932"/>
      <c r="AT18" s="1487"/>
      <c r="AU18" s="1759"/>
      <c r="AV18" s="1002"/>
      <c r="AW18" s="932"/>
      <c r="AX18" s="999"/>
      <c r="AY18" s="1759"/>
      <c r="AZ18" s="1002"/>
      <c r="BA18" s="932"/>
      <c r="BB18" s="999"/>
      <c r="BC18" s="1759"/>
      <c r="BD18" s="1002"/>
      <c r="BE18" s="932"/>
      <c r="BF18" s="999"/>
      <c r="BG18" s="1759"/>
      <c r="BH18" s="1002"/>
      <c r="BI18" s="932"/>
      <c r="BJ18" s="999"/>
      <c r="BK18" s="931"/>
      <c r="BL18" s="931"/>
      <c r="BM18" s="931"/>
      <c r="BN18" s="999"/>
      <c r="BO18" s="1614" t="s">
        <v>1581</v>
      </c>
      <c r="BP18" s="1615" t="s">
        <v>1581</v>
      </c>
      <c r="BQ18" s="1616" t="s">
        <v>1590</v>
      </c>
      <c r="BR18" s="872"/>
      <c r="BS18" s="872"/>
      <c r="BT18" s="872"/>
      <c r="BU18" s="872"/>
      <c r="BV18" s="872"/>
      <c r="BW18" s="872"/>
      <c r="BX18" s="872"/>
      <c r="BY18" s="872"/>
    </row>
    <row r="19" spans="1:84" s="1021" customFormat="1">
      <c r="A19" s="1023" t="str">
        <f>+A7</f>
        <v>Purchases</v>
      </c>
      <c r="B19" s="889"/>
      <c r="C19" s="960"/>
      <c r="D19" s="959"/>
      <c r="E19" s="936"/>
      <c r="F19" s="889"/>
      <c r="G19" s="960"/>
      <c r="H19" s="959"/>
      <c r="I19" s="936"/>
      <c r="J19" s="1487"/>
      <c r="K19" s="960"/>
      <c r="L19" s="959"/>
      <c r="M19" s="936"/>
      <c r="N19" s="1487"/>
      <c r="O19" s="960"/>
      <c r="P19" s="959"/>
      <c r="Q19" s="936"/>
      <c r="R19" s="889"/>
      <c r="S19" s="960"/>
      <c r="T19" s="959"/>
      <c r="U19" s="936"/>
      <c r="V19" s="889"/>
      <c r="W19" s="960"/>
      <c r="X19" s="959"/>
      <c r="Y19" s="936"/>
      <c r="Z19" s="889"/>
      <c r="AA19" s="959"/>
      <c r="AB19" s="959"/>
      <c r="AC19" s="936"/>
      <c r="AD19" s="1487"/>
      <c r="AE19" s="959"/>
      <c r="AF19" s="959"/>
      <c r="AG19" s="936"/>
      <c r="AH19" s="1487"/>
      <c r="AI19" s="959"/>
      <c r="AJ19" s="1821"/>
      <c r="AK19" s="936"/>
      <c r="AL19" s="1487"/>
      <c r="AM19" s="959"/>
      <c r="AN19" s="1818"/>
      <c r="AO19" s="936"/>
      <c r="AP19" s="889"/>
      <c r="AQ19" s="959"/>
      <c r="AR19" s="1818"/>
      <c r="AS19" s="936"/>
      <c r="AT19" s="1487"/>
      <c r="AU19" s="959"/>
      <c r="AV19" s="1818"/>
      <c r="AW19" s="936"/>
      <c r="AX19" s="889"/>
      <c r="AY19" s="959"/>
      <c r="AZ19" s="1818"/>
      <c r="BA19" s="936"/>
      <c r="BB19" s="889"/>
      <c r="BC19" s="959"/>
      <c r="BD19" s="1818"/>
      <c r="BE19" s="936"/>
      <c r="BF19" s="889"/>
      <c r="BG19" s="959"/>
      <c r="BH19" s="1818"/>
      <c r="BI19" s="936"/>
      <c r="BJ19" s="889"/>
      <c r="BK19" s="959"/>
      <c r="BL19" s="959"/>
      <c r="BM19" s="959"/>
      <c r="BN19" s="889"/>
      <c r="BO19" s="1608">
        <f>C19+G19+K19+O19+S19+W19+AA19+AE19+AI19+AM19+AQ19+AU19+AY19+BC19</f>
        <v>0</v>
      </c>
      <c r="BP19" s="1611" t="e">
        <f>+BQ19/BO19</f>
        <v>#REF!</v>
      </c>
      <c r="BQ19" s="1607" t="e">
        <f>+#REF!+#REF!+#REF!+#REF!+#REF!+#REF!+#REF!+#REF!+#REF!+#REF!+#REF!+#REF!+#REF!+E19+I19+M19+Q19+U19+Y19+AC19+AG19+AK19+AO19+AS19</f>
        <v>#REF!</v>
      </c>
    </row>
    <row r="20" spans="1:84" s="1021" customFormat="1">
      <c r="A20" s="1023" t="str">
        <f>+A8</f>
        <v>Mortality</v>
      </c>
      <c r="B20" s="889"/>
      <c r="C20" s="960"/>
      <c r="D20" s="959"/>
      <c r="E20" s="936"/>
      <c r="F20" s="889"/>
      <c r="G20" s="960"/>
      <c r="H20" s="959"/>
      <c r="I20" s="936"/>
      <c r="J20" s="1487"/>
      <c r="K20" s="960"/>
      <c r="L20" s="959"/>
      <c r="M20" s="936"/>
      <c r="N20" s="1487"/>
      <c r="O20" s="960"/>
      <c r="P20" s="959"/>
      <c r="Q20" s="936"/>
      <c r="R20" s="889"/>
      <c r="S20" s="960"/>
      <c r="T20" s="959"/>
      <c r="U20" s="936"/>
      <c r="V20" s="889"/>
      <c r="W20" s="960"/>
      <c r="X20" s="959"/>
      <c r="Y20" s="936"/>
      <c r="Z20" s="889"/>
      <c r="AA20" s="960"/>
      <c r="AB20" s="959"/>
      <c r="AC20" s="936"/>
      <c r="AD20" s="1487"/>
      <c r="AE20" s="960"/>
      <c r="AF20" s="959"/>
      <c r="AG20" s="936"/>
      <c r="AH20" s="1487"/>
      <c r="AI20" s="960"/>
      <c r="AJ20" s="1821"/>
      <c r="AK20" s="936"/>
      <c r="AL20" s="1487"/>
      <c r="AM20" s="960"/>
      <c r="AN20" s="1821"/>
      <c r="AO20" s="936"/>
      <c r="AP20" s="889"/>
      <c r="AQ20" s="960"/>
      <c r="AR20" s="1821"/>
      <c r="AS20" s="936"/>
      <c r="AT20" s="1487"/>
      <c r="AU20" s="960"/>
      <c r="AV20" s="1821"/>
      <c r="AW20" s="936"/>
      <c r="AX20" s="889"/>
      <c r="AY20" s="960"/>
      <c r="AZ20" s="1821"/>
      <c r="BA20" s="936"/>
      <c r="BB20" s="889"/>
      <c r="BC20" s="960"/>
      <c r="BD20" s="1821"/>
      <c r="BE20" s="936"/>
      <c r="BF20" s="889"/>
      <c r="BG20" s="960"/>
      <c r="BH20" s="1821"/>
      <c r="BI20" s="936"/>
      <c r="BJ20" s="889"/>
      <c r="BK20" s="959"/>
      <c r="BL20" s="959"/>
      <c r="BM20" s="959"/>
      <c r="BN20" s="889"/>
      <c r="BO20" s="1606"/>
      <c r="BP20" s="1611"/>
      <c r="BQ20" s="1607"/>
      <c r="CD20" s="1021">
        <f>26+8+4</f>
        <v>38</v>
      </c>
    </row>
    <row r="21" spans="1:84" s="872" customFormat="1">
      <c r="A21" s="998" t="s">
        <v>1591</v>
      </c>
      <c r="B21" s="999"/>
      <c r="C21" s="930"/>
      <c r="D21" s="931"/>
      <c r="E21" s="932"/>
      <c r="F21" s="999"/>
      <c r="G21" s="930"/>
      <c r="H21" s="931"/>
      <c r="I21" s="932"/>
      <c r="J21" s="1488"/>
      <c r="K21" s="930"/>
      <c r="L21" s="931"/>
      <c r="M21" s="932"/>
      <c r="N21" s="1488"/>
      <c r="O21" s="930"/>
      <c r="P21" s="931"/>
      <c r="Q21" s="932"/>
      <c r="R21" s="999"/>
      <c r="S21" s="930"/>
      <c r="T21" s="931"/>
      <c r="U21" s="932"/>
      <c r="V21" s="999"/>
      <c r="W21" s="930"/>
      <c r="X21" s="931"/>
      <c r="Y21" s="932"/>
      <c r="Z21" s="999"/>
      <c r="AA21" s="930"/>
      <c r="AB21" s="931"/>
      <c r="AC21" s="932"/>
      <c r="AD21" s="1488"/>
      <c r="AE21" s="930"/>
      <c r="AF21" s="931"/>
      <c r="AG21" s="932"/>
      <c r="AH21" s="1488"/>
      <c r="AI21" s="930"/>
      <c r="AJ21" s="931"/>
      <c r="AK21" s="932"/>
      <c r="AL21" s="1488"/>
      <c r="AM21" s="930"/>
      <c r="AN21" s="931"/>
      <c r="AO21" s="932"/>
      <c r="AP21" s="999"/>
      <c r="AQ21" s="930"/>
      <c r="AR21" s="931"/>
      <c r="AS21" s="932"/>
      <c r="AT21" s="1488"/>
      <c r="AU21" s="930"/>
      <c r="AV21" s="931"/>
      <c r="AW21" s="932"/>
      <c r="AX21" s="999"/>
      <c r="AY21" s="930"/>
      <c r="AZ21" s="931"/>
      <c r="BA21" s="932"/>
      <c r="BB21" s="999"/>
      <c r="BC21" s="930"/>
      <c r="BD21" s="931"/>
      <c r="BE21" s="932"/>
      <c r="BF21" s="999"/>
      <c r="BG21" s="930"/>
      <c r="BH21" s="931"/>
      <c r="BI21" s="932"/>
      <c r="BJ21" s="999"/>
      <c r="BK21" s="931"/>
      <c r="BL21" s="931"/>
      <c r="BM21" s="931"/>
      <c r="BN21" s="999"/>
      <c r="BO21" s="1608"/>
      <c r="BP21" s="1609"/>
      <c r="BQ21" s="1620"/>
      <c r="BR21" s="872">
        <f>+'Grasmere Valuation '!H143</f>
        <v>4552754.2594503444</v>
      </c>
      <c r="BS21" s="872">
        <f>+BR21-BQ21</f>
        <v>4552754.2594503444</v>
      </c>
      <c r="BT21" s="1021"/>
    </row>
    <row r="22" spans="1:84" s="1021" customFormat="1">
      <c r="A22" s="1023" t="str">
        <f>+A10</f>
        <v>Residual Value KGs</v>
      </c>
      <c r="B22" s="889"/>
      <c r="C22" s="960"/>
      <c r="D22" s="959"/>
      <c r="E22" s="936"/>
      <c r="F22" s="889"/>
      <c r="G22" s="960"/>
      <c r="H22" s="959"/>
      <c r="I22" s="936"/>
      <c r="J22" s="1487"/>
      <c r="K22" s="960"/>
      <c r="L22" s="959"/>
      <c r="M22" s="936"/>
      <c r="N22" s="1487"/>
      <c r="O22" s="960"/>
      <c r="P22" s="959"/>
      <c r="Q22" s="936"/>
      <c r="R22" s="889"/>
      <c r="S22" s="960"/>
      <c r="T22" s="959"/>
      <c r="U22" s="936"/>
      <c r="V22" s="889"/>
      <c r="W22" s="960"/>
      <c r="X22" s="959"/>
      <c r="Y22" s="936"/>
      <c r="Z22" s="889"/>
      <c r="AA22" s="960"/>
      <c r="AB22" s="959"/>
      <c r="AC22" s="936"/>
      <c r="AD22" s="1487"/>
      <c r="AE22" s="960"/>
      <c r="AF22" s="959"/>
      <c r="AG22" s="936"/>
      <c r="AH22" s="1487"/>
      <c r="AI22" s="960"/>
      <c r="AJ22" s="1820"/>
      <c r="AK22" s="936"/>
      <c r="AL22" s="1487"/>
      <c r="AM22" s="960"/>
      <c r="AN22" s="1876"/>
      <c r="AO22" s="936"/>
      <c r="AP22" s="889"/>
      <c r="AQ22" s="960"/>
      <c r="AR22" s="1876"/>
      <c r="AS22" s="936"/>
      <c r="AT22" s="1487"/>
      <c r="AU22" s="960"/>
      <c r="AV22" s="1876"/>
      <c r="AW22" s="936"/>
      <c r="AX22" s="889"/>
      <c r="AY22" s="960"/>
      <c r="AZ22" s="1876"/>
      <c r="BA22" s="936"/>
      <c r="BB22" s="889"/>
      <c r="BC22" s="960"/>
      <c r="BD22" s="1876"/>
      <c r="BE22" s="936"/>
      <c r="BF22" s="889"/>
      <c r="BG22" s="960"/>
      <c r="BH22" s="1876"/>
      <c r="BI22" s="936"/>
      <c r="BJ22" s="889"/>
      <c r="BK22" s="959"/>
      <c r="BL22" s="959"/>
      <c r="BM22" s="959"/>
      <c r="BN22" s="889"/>
      <c r="BO22" s="1606"/>
      <c r="BP22" s="1611"/>
      <c r="BQ22" s="1607"/>
    </row>
    <row r="23" spans="1:84" s="1021" customFormat="1">
      <c r="A23" s="1023" t="str">
        <f>+A11</f>
        <v>Depreciable Amount</v>
      </c>
      <c r="B23" s="889"/>
      <c r="C23" s="930"/>
      <c r="D23" s="959"/>
      <c r="E23" s="936"/>
      <c r="F23" s="889"/>
      <c r="G23" s="930"/>
      <c r="H23" s="959"/>
      <c r="I23" s="936"/>
      <c r="J23" s="1487"/>
      <c r="K23" s="930"/>
      <c r="L23" s="959"/>
      <c r="M23" s="936"/>
      <c r="N23" s="1487"/>
      <c r="O23" s="930"/>
      <c r="P23" s="959"/>
      <c r="Q23" s="936"/>
      <c r="R23" s="889"/>
      <c r="S23" s="930"/>
      <c r="T23" s="959"/>
      <c r="U23" s="936"/>
      <c r="V23" s="889"/>
      <c r="W23" s="930"/>
      <c r="X23" s="959"/>
      <c r="Y23" s="936"/>
      <c r="Z23" s="889"/>
      <c r="AA23" s="930"/>
      <c r="AB23" s="959"/>
      <c r="AC23" s="936"/>
      <c r="AD23" s="1487"/>
      <c r="AE23" s="930"/>
      <c r="AF23" s="959"/>
      <c r="AG23" s="936"/>
      <c r="AH23" s="1487"/>
      <c r="AI23" s="930"/>
      <c r="AJ23" s="959"/>
      <c r="AK23" s="936"/>
      <c r="AL23" s="1487"/>
      <c r="AM23" s="930"/>
      <c r="AN23" s="959"/>
      <c r="AO23" s="936"/>
      <c r="AP23" s="889"/>
      <c r="AQ23" s="930"/>
      <c r="AR23" s="959"/>
      <c r="AS23" s="936"/>
      <c r="AT23" s="1487"/>
      <c r="AU23" s="930"/>
      <c r="AV23" s="959"/>
      <c r="AW23" s="936"/>
      <c r="AX23" s="889"/>
      <c r="AY23" s="930"/>
      <c r="AZ23" s="959"/>
      <c r="BA23" s="936"/>
      <c r="BB23" s="889"/>
      <c r="BC23" s="930"/>
      <c r="BD23" s="959"/>
      <c r="BE23" s="936"/>
      <c r="BF23" s="889"/>
      <c r="BG23" s="930"/>
      <c r="BH23" s="959"/>
      <c r="BI23" s="936"/>
      <c r="BJ23" s="889"/>
      <c r="BK23" s="959"/>
      <c r="BL23" s="959"/>
      <c r="BM23" s="959"/>
      <c r="BN23" s="889"/>
      <c r="BO23" s="1608"/>
      <c r="BP23" s="1611"/>
      <c r="BQ23" s="1607"/>
      <c r="BT23" s="872"/>
    </row>
    <row r="24" spans="1:84" s="1021" customFormat="1">
      <c r="A24" s="1023"/>
      <c r="B24" s="889"/>
      <c r="C24" s="960"/>
      <c r="D24" s="959"/>
      <c r="E24" s="936"/>
      <c r="F24" s="889"/>
      <c r="G24" s="960"/>
      <c r="H24" s="959"/>
      <c r="I24" s="936"/>
      <c r="J24" s="1487"/>
      <c r="K24" s="960"/>
      <c r="L24" s="959"/>
      <c r="M24" s="936"/>
      <c r="N24" s="1487"/>
      <c r="O24" s="960"/>
      <c r="P24" s="959"/>
      <c r="Q24" s="936"/>
      <c r="R24" s="889"/>
      <c r="S24" s="960"/>
      <c r="T24" s="959"/>
      <c r="U24" s="936"/>
      <c r="V24" s="889"/>
      <c r="W24" s="960"/>
      <c r="X24" s="959"/>
      <c r="Y24" s="936"/>
      <c r="Z24" s="889"/>
      <c r="AA24" s="959"/>
      <c r="AB24" s="959"/>
      <c r="AC24" s="936"/>
      <c r="AD24" s="1487"/>
      <c r="AE24" s="959"/>
      <c r="AF24" s="959"/>
      <c r="AG24" s="936"/>
      <c r="AH24" s="1487"/>
      <c r="AI24" s="959"/>
      <c r="AJ24" s="959"/>
      <c r="AK24" s="936"/>
      <c r="AL24" s="1487"/>
      <c r="AM24" s="959"/>
      <c r="AN24" s="959"/>
      <c r="AO24" s="936"/>
      <c r="AP24" s="889"/>
      <c r="AQ24" s="959"/>
      <c r="AR24" s="959"/>
      <c r="AS24" s="936"/>
      <c r="AT24" s="1487"/>
      <c r="AU24" s="959"/>
      <c r="AV24" s="959"/>
      <c r="AW24" s="936"/>
      <c r="AX24" s="889"/>
      <c r="AY24" s="959"/>
      <c r="AZ24" s="959"/>
      <c r="BA24" s="936"/>
      <c r="BB24" s="889"/>
      <c r="BC24" s="959"/>
      <c r="BD24" s="959"/>
      <c r="BE24" s="936"/>
      <c r="BF24" s="889"/>
      <c r="BG24" s="959"/>
      <c r="BH24" s="959"/>
      <c r="BI24" s="936"/>
      <c r="BJ24" s="889"/>
      <c r="BK24" s="959"/>
      <c r="BL24" s="959"/>
      <c r="BM24" s="959"/>
      <c r="BN24" s="889"/>
      <c r="BO24" s="1606"/>
      <c r="BP24" s="1611"/>
      <c r="BQ24" s="1607"/>
    </row>
    <row r="25" spans="1:84" s="1021" customFormat="1">
      <c r="A25" s="1023" t="str">
        <f>+A13</f>
        <v>Monthly Amortisation</v>
      </c>
      <c r="B25" s="889"/>
      <c r="C25" s="960"/>
      <c r="D25" s="959"/>
      <c r="E25" s="936"/>
      <c r="F25" s="889"/>
      <c r="G25" s="960"/>
      <c r="H25" s="959"/>
      <c r="I25" s="936"/>
      <c r="J25" s="1487"/>
      <c r="K25" s="960"/>
      <c r="L25" s="959"/>
      <c r="M25" s="936"/>
      <c r="N25" s="1487"/>
      <c r="O25" s="960"/>
      <c r="P25" s="959"/>
      <c r="Q25" s="936"/>
      <c r="R25" s="889"/>
      <c r="S25" s="960"/>
      <c r="T25" s="959"/>
      <c r="U25" s="936"/>
      <c r="V25" s="889"/>
      <c r="W25" s="960"/>
      <c r="X25" s="959"/>
      <c r="Y25" s="936"/>
      <c r="Z25" s="889"/>
      <c r="AA25" s="959"/>
      <c r="AB25" s="959"/>
      <c r="AC25" s="936"/>
      <c r="AD25" s="1487"/>
      <c r="AE25" s="959"/>
      <c r="AF25" s="959"/>
      <c r="AG25" s="936"/>
      <c r="AH25" s="1487"/>
      <c r="AI25" s="959"/>
      <c r="AJ25" s="959"/>
      <c r="AK25" s="936"/>
      <c r="AL25" s="1487"/>
      <c r="AM25" s="959"/>
      <c r="AN25" s="959"/>
      <c r="AO25" s="936"/>
      <c r="AP25" s="889"/>
      <c r="AQ25" s="959"/>
      <c r="AR25" s="959"/>
      <c r="AS25" s="936"/>
      <c r="AT25" s="1487"/>
      <c r="AU25" s="959"/>
      <c r="AV25" s="959"/>
      <c r="AW25" s="936"/>
      <c r="AX25" s="889"/>
      <c r="AY25" s="959"/>
      <c r="AZ25" s="959"/>
      <c r="BA25" s="936"/>
      <c r="BB25" s="889"/>
      <c r="BC25" s="959"/>
      <c r="BD25" s="959"/>
      <c r="BE25" s="936"/>
      <c r="BF25" s="889"/>
      <c r="BG25" s="959"/>
      <c r="BH25" s="959"/>
      <c r="BI25" s="936"/>
      <c r="BJ25" s="889"/>
      <c r="BK25" s="959"/>
      <c r="BL25" s="959"/>
      <c r="BM25" s="959"/>
      <c r="BN25" s="889"/>
      <c r="BO25" s="1606"/>
      <c r="BP25" s="1611"/>
      <c r="BQ25" s="1607"/>
    </row>
    <row r="26" spans="1:84" s="1021" customFormat="1">
      <c r="A26" s="1023"/>
      <c r="B26" s="889"/>
      <c r="C26" s="960"/>
      <c r="D26" s="959"/>
      <c r="E26" s="936"/>
      <c r="F26" s="889"/>
      <c r="G26" s="960"/>
      <c r="H26" s="959"/>
      <c r="I26" s="936"/>
      <c r="J26" s="1487"/>
      <c r="K26" s="960"/>
      <c r="L26" s="959"/>
      <c r="M26" s="936"/>
      <c r="N26" s="1487"/>
      <c r="O26" s="960"/>
      <c r="P26" s="959"/>
      <c r="Q26" s="936"/>
      <c r="R26" s="889"/>
      <c r="S26" s="960"/>
      <c r="T26" s="959"/>
      <c r="U26" s="936"/>
      <c r="V26" s="889"/>
      <c r="W26" s="960"/>
      <c r="X26" s="959"/>
      <c r="Y26" s="936"/>
      <c r="Z26" s="889"/>
      <c r="AA26" s="959"/>
      <c r="AB26" s="959"/>
      <c r="AC26" s="936"/>
      <c r="AD26" s="1487"/>
      <c r="AE26" s="959"/>
      <c r="AF26" s="959"/>
      <c r="AG26" s="936"/>
      <c r="AH26" s="1487"/>
      <c r="AI26" s="959"/>
      <c r="AJ26" s="959"/>
      <c r="AK26" s="936"/>
      <c r="AL26" s="1487"/>
      <c r="AM26" s="959"/>
      <c r="AN26" s="959"/>
      <c r="AO26" s="936"/>
      <c r="AP26" s="889"/>
      <c r="AQ26" s="959"/>
      <c r="AR26" s="959"/>
      <c r="AS26" s="936"/>
      <c r="AT26" s="1487"/>
      <c r="AU26" s="959"/>
      <c r="AV26" s="959"/>
      <c r="AW26" s="936"/>
      <c r="AX26" s="889"/>
      <c r="AY26" s="959"/>
      <c r="AZ26" s="959"/>
      <c r="BA26" s="936"/>
      <c r="BB26" s="889"/>
      <c r="BC26" s="959"/>
      <c r="BD26" s="959"/>
      <c r="BE26" s="936"/>
      <c r="BF26" s="889"/>
      <c r="BG26" s="959"/>
      <c r="BH26" s="959"/>
      <c r="BI26" s="936"/>
      <c r="BJ26" s="889"/>
      <c r="BK26" s="959"/>
      <c r="BL26" s="959"/>
      <c r="BM26" s="959"/>
      <c r="BN26" s="889"/>
      <c r="BO26" s="1606"/>
      <c r="BP26" s="1611"/>
      <c r="BQ26" s="1607"/>
    </row>
    <row r="27" spans="1:84" s="1021" customFormat="1">
      <c r="A27" s="1023" t="str">
        <f>+A15</f>
        <v xml:space="preserve">Cummulative Amortisation </v>
      </c>
      <c r="B27" s="889"/>
      <c r="C27" s="960"/>
      <c r="D27" s="959"/>
      <c r="E27" s="936"/>
      <c r="F27" s="889"/>
      <c r="G27" s="960"/>
      <c r="H27" s="959"/>
      <c r="I27" s="936"/>
      <c r="J27" s="1487"/>
      <c r="K27" s="960"/>
      <c r="L27" s="959"/>
      <c r="M27" s="936"/>
      <c r="N27" s="1487"/>
      <c r="O27" s="960"/>
      <c r="P27" s="959"/>
      <c r="Q27" s="936"/>
      <c r="R27" s="889"/>
      <c r="S27" s="960"/>
      <c r="T27" s="959"/>
      <c r="U27" s="936"/>
      <c r="V27" s="889"/>
      <c r="W27" s="960"/>
      <c r="X27" s="959"/>
      <c r="Y27" s="936"/>
      <c r="Z27" s="889"/>
      <c r="AA27" s="959"/>
      <c r="AB27" s="959"/>
      <c r="AC27" s="936"/>
      <c r="AD27" s="1487"/>
      <c r="AE27" s="959"/>
      <c r="AF27" s="959"/>
      <c r="AG27" s="936"/>
      <c r="AH27" s="1487"/>
      <c r="AI27" s="959"/>
      <c r="AJ27" s="959"/>
      <c r="AK27" s="936"/>
      <c r="AL27" s="1487"/>
      <c r="AM27" s="959"/>
      <c r="AN27" s="959"/>
      <c r="AO27" s="936"/>
      <c r="AP27" s="889"/>
      <c r="AQ27" s="959"/>
      <c r="AR27" s="959"/>
      <c r="AS27" s="936"/>
      <c r="AT27" s="1487"/>
      <c r="AU27" s="959"/>
      <c r="AV27" s="959"/>
      <c r="AW27" s="936"/>
      <c r="AX27" s="889"/>
      <c r="AY27" s="959"/>
      <c r="AZ27" s="959"/>
      <c r="BA27" s="936"/>
      <c r="BB27" s="889"/>
      <c r="BC27" s="959"/>
      <c r="BD27" s="959"/>
      <c r="BE27" s="936"/>
      <c r="BF27" s="889"/>
      <c r="BG27" s="959"/>
      <c r="BH27" s="959"/>
      <c r="BI27" s="936"/>
      <c r="BJ27" s="889"/>
      <c r="BK27" s="959"/>
      <c r="BL27" s="959"/>
      <c r="BM27" s="959"/>
      <c r="BN27" s="889"/>
      <c r="BO27" s="1606"/>
      <c r="BP27" s="1611"/>
      <c r="BQ27" s="1607"/>
    </row>
    <row r="28" spans="1:84" s="1021" customFormat="1">
      <c r="A28" s="1023"/>
      <c r="B28" s="889"/>
      <c r="C28" s="965"/>
      <c r="D28" s="963"/>
      <c r="E28" s="964"/>
      <c r="F28" s="889"/>
      <c r="G28" s="966"/>
      <c r="H28" s="889"/>
      <c r="I28" s="967"/>
      <c r="J28" s="1487"/>
      <c r="K28" s="966"/>
      <c r="L28" s="889"/>
      <c r="M28" s="967"/>
      <c r="N28" s="1487"/>
      <c r="O28" s="966"/>
      <c r="P28" s="889"/>
      <c r="Q28" s="967"/>
      <c r="R28" s="889"/>
      <c r="S28" s="889"/>
      <c r="T28" s="889"/>
      <c r="U28" s="889"/>
      <c r="V28" s="889"/>
      <c r="W28" s="889"/>
      <c r="X28" s="889"/>
      <c r="Y28" s="889"/>
      <c r="Z28" s="889"/>
      <c r="AA28" s="889"/>
      <c r="AB28" s="889"/>
      <c r="AC28" s="889"/>
      <c r="AD28" s="1487"/>
      <c r="AE28" s="889"/>
      <c r="AF28" s="889"/>
      <c r="AG28" s="889"/>
      <c r="AH28" s="1487"/>
      <c r="AI28" s="1487"/>
      <c r="AJ28" s="1487"/>
      <c r="AK28" s="1487"/>
      <c r="AL28" s="1487"/>
      <c r="AM28" s="1487"/>
      <c r="AN28" s="1487"/>
      <c r="AO28" s="1487"/>
      <c r="AP28" s="1487"/>
      <c r="AQ28" s="1487"/>
      <c r="AR28" s="1487"/>
      <c r="AS28" s="1487"/>
      <c r="AT28" s="1487"/>
      <c r="AU28" s="1487"/>
      <c r="AV28" s="1487"/>
      <c r="AW28" s="1487"/>
      <c r="AX28" s="889"/>
      <c r="AY28" s="1487"/>
      <c r="AZ28" s="1487"/>
      <c r="BA28" s="1487"/>
      <c r="BB28" s="889"/>
      <c r="BC28" s="1487"/>
      <c r="BD28" s="1487"/>
      <c r="BE28" s="1487"/>
      <c r="BF28" s="889"/>
      <c r="BG28" s="1487"/>
      <c r="BH28" s="1487"/>
      <c r="BI28" s="1487"/>
      <c r="BJ28" s="889"/>
      <c r="BK28" s="1487"/>
      <c r="BL28" s="1487"/>
      <c r="BM28" s="1487"/>
      <c r="BN28" s="889"/>
      <c r="BO28" s="1617"/>
      <c r="BP28" s="1618"/>
      <c r="BQ28" s="1733"/>
      <c r="CC28" s="1021" t="s">
        <v>138</v>
      </c>
      <c r="CE28" s="1021" t="s">
        <v>138</v>
      </c>
      <c r="CF28" s="1021" t="s">
        <v>138</v>
      </c>
    </row>
    <row r="29" spans="1:84" s="1021" customFormat="1">
      <c r="A29" s="1033"/>
      <c r="B29" s="1010"/>
      <c r="C29" s="1008"/>
      <c r="D29" s="1009"/>
      <c r="E29" s="1006"/>
      <c r="F29" s="1010"/>
      <c r="G29" s="1008"/>
      <c r="H29" s="1009"/>
      <c r="I29" s="1006"/>
      <c r="J29" s="1489"/>
      <c r="K29" s="1008"/>
      <c r="L29" s="1009"/>
      <c r="M29" s="1006"/>
      <c r="N29" s="1489"/>
      <c r="O29" s="1008"/>
      <c r="P29" s="1009"/>
      <c r="Q29" s="1006"/>
      <c r="R29" s="1010"/>
      <c r="S29" s="1009"/>
      <c r="T29" s="1009"/>
      <c r="U29" s="1006"/>
      <c r="V29" s="1010"/>
      <c r="W29" s="1009"/>
      <c r="X29" s="1009"/>
      <c r="Y29" s="1006"/>
      <c r="Z29" s="1010"/>
      <c r="AA29" s="1009"/>
      <c r="AB29" s="1009"/>
      <c r="AC29" s="1009"/>
      <c r="AD29" s="1489"/>
      <c r="AE29" s="1009"/>
      <c r="AF29" s="1009"/>
      <c r="AG29" s="1009"/>
      <c r="AH29" s="1489"/>
      <c r="AI29" s="1489"/>
      <c r="AJ29" s="1489"/>
      <c r="AK29" s="1489"/>
      <c r="AL29" s="1489"/>
      <c r="AM29" s="1489"/>
      <c r="AN29" s="1489"/>
      <c r="AO29" s="1489"/>
      <c r="AP29" s="1489"/>
      <c r="AQ29" s="1489"/>
      <c r="AR29" s="1489"/>
      <c r="AS29" s="1489"/>
      <c r="AT29" s="1489"/>
      <c r="AU29" s="1489"/>
      <c r="AV29" s="1489"/>
      <c r="AW29" s="1489"/>
      <c r="AX29" s="1010"/>
      <c r="AY29" s="1489"/>
      <c r="AZ29" s="1489"/>
      <c r="BA29" s="1489"/>
      <c r="BB29" s="1010"/>
      <c r="BC29" s="1489"/>
      <c r="BD29" s="1489"/>
      <c r="BE29" s="1489"/>
      <c r="BF29" s="1010"/>
      <c r="BG29" s="1489"/>
      <c r="BH29" s="1489"/>
      <c r="BI29" s="1489"/>
      <c r="BJ29" s="1010"/>
      <c r="BK29" s="1489"/>
      <c r="BL29" s="1489"/>
      <c r="BM29" s="1489"/>
      <c r="BN29" s="1010"/>
      <c r="BO29" s="1621"/>
      <c r="BP29" s="1622"/>
      <c r="BQ29" s="1623"/>
    </row>
    <row r="30" spans="1:84" s="1021" customFormat="1">
      <c r="A30" s="1023" t="s">
        <v>1592</v>
      </c>
      <c r="B30" s="889"/>
      <c r="C30" s="1001"/>
      <c r="D30" s="890"/>
      <c r="E30" s="1643">
        <f>+E7+E19</f>
        <v>16195814.684447095</v>
      </c>
      <c r="F30" s="889"/>
      <c r="G30" s="1001"/>
      <c r="H30" s="890"/>
      <c r="I30" s="1643">
        <f>+I7+I19</f>
        <v>702951.79993506498</v>
      </c>
      <c r="J30" s="1487"/>
      <c r="K30" s="1001"/>
      <c r="L30" s="890"/>
      <c r="M30" s="1643">
        <f>+M7+M19</f>
        <v>0</v>
      </c>
      <c r="N30" s="1487"/>
      <c r="O30" s="1001"/>
      <c r="P30" s="890"/>
      <c r="Q30" s="1643">
        <f>+Q7+Q19</f>
        <v>1817497.8152818747</v>
      </c>
      <c r="R30" s="1667"/>
      <c r="S30" s="1662"/>
      <c r="T30" s="1662"/>
      <c r="U30" s="1643">
        <f>+U7+U19</f>
        <v>0</v>
      </c>
      <c r="V30" s="1667"/>
      <c r="W30" s="1662"/>
      <c r="X30" s="1662"/>
      <c r="Y30" s="1643">
        <f>+Y7+Y19</f>
        <v>5784605.5139124971</v>
      </c>
      <c r="Z30" s="1667"/>
      <c r="AA30" s="1662"/>
      <c r="AB30" s="1662"/>
      <c r="AC30" s="1643">
        <f>+AC7+AC19</f>
        <v>0</v>
      </c>
      <c r="AD30" s="1487"/>
      <c r="AE30" s="1662"/>
      <c r="AF30" s="1662"/>
      <c r="AG30" s="1662">
        <f>+AG7+AG19</f>
        <v>1718030.6987312208</v>
      </c>
      <c r="AH30" s="1662"/>
      <c r="AI30" s="1662"/>
      <c r="AJ30" s="1662"/>
      <c r="AK30" s="1662">
        <f>+AK7+AK19</f>
        <v>26890948.3005061</v>
      </c>
      <c r="AL30" s="1487"/>
      <c r="AM30" s="1662"/>
      <c r="AN30" s="1662"/>
      <c r="AO30" s="1662">
        <f>+AO7+AO19</f>
        <v>12001.253734069707</v>
      </c>
      <c r="AP30" s="1662"/>
      <c r="AQ30" s="1662"/>
      <c r="AR30" s="1662"/>
      <c r="AS30" s="1662">
        <f>+AS7+AS19</f>
        <v>15816.803261407636</v>
      </c>
      <c r="AT30" s="1487"/>
      <c r="AU30" s="1662"/>
      <c r="AV30" s="1662"/>
      <c r="AW30" s="1662">
        <f>+AW7+AW19</f>
        <v>29838.577842077215</v>
      </c>
      <c r="AX30" s="1667"/>
      <c r="AY30" s="1662"/>
      <c r="AZ30" s="1662"/>
      <c r="BA30" s="1662">
        <f>+BA7+BA19</f>
        <v>32551.175827720599</v>
      </c>
      <c r="BB30" s="1667"/>
      <c r="BC30" s="1662"/>
      <c r="BD30" s="1662"/>
      <c r="BE30" s="1662">
        <f>+BE7+BE19</f>
        <v>56964.557698511046</v>
      </c>
      <c r="BF30" s="1667"/>
      <c r="BG30" s="1662"/>
      <c r="BH30" s="1662"/>
      <c r="BI30" s="1662"/>
      <c r="BJ30" s="1667"/>
      <c r="BK30" s="1662"/>
      <c r="BL30" s="1662"/>
      <c r="BM30" s="1662"/>
      <c r="BN30" s="1667"/>
      <c r="BO30" s="1624"/>
      <c r="BP30" s="1624"/>
      <c r="BQ30" s="1625"/>
    </row>
    <row r="31" spans="1:84" s="1037" customFormat="1">
      <c r="A31" s="1036" t="s">
        <v>1593</v>
      </c>
      <c r="B31" s="889"/>
      <c r="C31" s="1011"/>
      <c r="D31" s="1012"/>
      <c r="E31" s="1644">
        <f>-E15-E27</f>
        <v>-16179945.584447093</v>
      </c>
      <c r="F31" s="889"/>
      <c r="G31" s="1011"/>
      <c r="H31" s="1012"/>
      <c r="I31" s="1644">
        <f>-I15-I27</f>
        <v>0</v>
      </c>
      <c r="J31" s="1487"/>
      <c r="K31" s="1011"/>
      <c r="L31" s="1012"/>
      <c r="M31" s="1644">
        <f>-M15-M27</f>
        <v>0</v>
      </c>
      <c r="N31" s="1487"/>
      <c r="O31" s="1011"/>
      <c r="P31" s="1012"/>
      <c r="Q31" s="1644">
        <f>-Q15-Q27</f>
        <v>-683909.4571754511</v>
      </c>
      <c r="R31" s="1667"/>
      <c r="S31" s="1663"/>
      <c r="T31" s="1663"/>
      <c r="U31" s="1644">
        <f>-U15-U27</f>
        <v>-851573.10487999138</v>
      </c>
      <c r="V31" s="1667"/>
      <c r="W31" s="1663"/>
      <c r="X31" s="1663"/>
      <c r="Y31" s="1644">
        <f>-Y15-Y27</f>
        <v>-3147003.5632847208</v>
      </c>
      <c r="Z31" s="1667"/>
      <c r="AA31" s="1663"/>
      <c r="AB31" s="1663"/>
      <c r="AC31" s="1644">
        <f>-AC15-AC27</f>
        <v>0</v>
      </c>
      <c r="AD31" s="1487"/>
      <c r="AE31" s="1663"/>
      <c r="AF31" s="1663"/>
      <c r="AG31" s="1663">
        <f>-AG15-AG27</f>
        <v>-7568763.7576078875</v>
      </c>
      <c r="AH31" s="1663"/>
      <c r="AI31" s="1663"/>
      <c r="AJ31" s="1663"/>
      <c r="AK31" s="1663">
        <f>-AK15-AK27</f>
        <v>-14993511.475085627</v>
      </c>
      <c r="AL31" s="1487"/>
      <c r="AM31" s="1663"/>
      <c r="AN31" s="1663"/>
      <c r="AO31" s="1663">
        <f>-AO15-AO27</f>
        <v>1105807.4229305899</v>
      </c>
      <c r="AP31" s="1663"/>
      <c r="AQ31" s="1663"/>
      <c r="AR31" s="1663"/>
      <c r="AS31" s="1663">
        <f>-AS15-AS27</f>
        <v>184189.84789922374</v>
      </c>
      <c r="AT31" s="1487"/>
      <c r="AU31" s="1663"/>
      <c r="AV31" s="1663"/>
      <c r="AW31" s="1663">
        <f>-AW15-AW27</f>
        <v>238316.60450901251</v>
      </c>
      <c r="AX31" s="1667"/>
      <c r="AY31" s="1663"/>
      <c r="AZ31" s="1663"/>
      <c r="BA31" s="1663">
        <f>-BA15-BA27</f>
        <v>259981.75037346821</v>
      </c>
      <c r="BB31" s="1667"/>
      <c r="BC31" s="1663"/>
      <c r="BD31" s="1663"/>
      <c r="BE31" s="1663">
        <f>-BE15-BE27</f>
        <v>476633.20901802502</v>
      </c>
      <c r="BF31" s="1667"/>
      <c r="BG31" s="1663"/>
      <c r="BH31" s="1663"/>
      <c r="BI31" s="1663"/>
      <c r="BJ31" s="1667"/>
      <c r="BK31" s="1663"/>
      <c r="BL31" s="1663"/>
      <c r="BM31" s="1663"/>
      <c r="BN31" s="1667"/>
      <c r="BO31" s="1626"/>
      <c r="BP31" s="1626"/>
      <c r="BQ31" s="1626"/>
    </row>
    <row r="32" spans="1:84" s="1021" customFormat="1">
      <c r="A32" s="1023" t="s">
        <v>1594</v>
      </c>
      <c r="B32" s="889"/>
      <c r="C32" s="1001"/>
      <c r="D32" s="890"/>
      <c r="E32" s="1643">
        <f>+E8+E20</f>
        <v>0</v>
      </c>
      <c r="F32" s="889"/>
      <c r="G32" s="1001"/>
      <c r="H32" s="890"/>
      <c r="I32" s="1643">
        <f>+I8+I20</f>
        <v>-702951.79993506498</v>
      </c>
      <c r="J32" s="1487"/>
      <c r="K32" s="1001"/>
      <c r="L32" s="890"/>
      <c r="M32" s="1643">
        <f>+M8+M20</f>
        <v>0</v>
      </c>
      <c r="N32" s="1487"/>
      <c r="O32" s="1001"/>
      <c r="P32" s="890"/>
      <c r="Q32" s="1643">
        <f>+Q8+Q20</f>
        <v>-908748.90764093737</v>
      </c>
      <c r="R32" s="1667"/>
      <c r="S32" s="1662"/>
      <c r="T32" s="1662"/>
      <c r="U32" s="1643">
        <f>+U8+U20</f>
        <v>1357359.0573199871</v>
      </c>
      <c r="V32" s="1667"/>
      <c r="W32" s="1662"/>
      <c r="X32" s="1662"/>
      <c r="Y32" s="1643">
        <f>+Y8+Y20</f>
        <v>0</v>
      </c>
      <c r="Z32" s="1667"/>
      <c r="AA32" s="1662"/>
      <c r="AB32" s="1662"/>
      <c r="AC32" s="1643">
        <f>+AC8+AC20</f>
        <v>0</v>
      </c>
      <c r="AD32" s="1487"/>
      <c r="AE32" s="1662"/>
      <c r="AF32" s="1662"/>
      <c r="AG32" s="1662">
        <f>+AG8+AG20</f>
        <v>17180306.987312209</v>
      </c>
      <c r="AH32" s="1662"/>
      <c r="AI32" s="1662"/>
      <c r="AJ32" s="1662"/>
      <c r="AK32" s="1662">
        <f>+AK8+AK20</f>
        <v>26890948.3005061</v>
      </c>
      <c r="AL32" s="1487"/>
      <c r="AM32" s="1662"/>
      <c r="AN32" s="1662"/>
      <c r="AO32" s="1662">
        <f>+AO8+AO20</f>
        <v>28803.0089617673</v>
      </c>
      <c r="AP32" s="1662"/>
      <c r="AQ32" s="1662"/>
      <c r="AR32" s="1662"/>
      <c r="AS32" s="1662">
        <f>+AS8+AS20</f>
        <v>28997.472645914</v>
      </c>
      <c r="AT32" s="1487"/>
      <c r="AU32" s="1662"/>
      <c r="AV32" s="1662"/>
      <c r="AW32" s="1662">
        <f>+AW8+AW20</f>
        <v>29838.577842077215</v>
      </c>
      <c r="AX32" s="1667"/>
      <c r="AY32" s="1662"/>
      <c r="AZ32" s="1662"/>
      <c r="BA32" s="1662">
        <f>+BA8+BA20</f>
        <v>32551.175827720599</v>
      </c>
      <c r="BB32" s="1667"/>
      <c r="BC32" s="1662"/>
      <c r="BD32" s="1662"/>
      <c r="BE32" s="1662">
        <f>+BE8+BE20</f>
        <v>62389.753669797814</v>
      </c>
      <c r="BF32" s="1667"/>
      <c r="BG32" s="1662"/>
      <c r="BH32" s="1662"/>
      <c r="BI32" s="1662"/>
      <c r="BJ32" s="1667"/>
      <c r="BK32" s="1662"/>
      <c r="BL32" s="1662"/>
      <c r="BM32" s="1662"/>
      <c r="BN32" s="1667"/>
      <c r="BO32" s="1624"/>
      <c r="BP32" s="1624"/>
      <c r="BQ32" s="1625"/>
      <c r="BT32" s="1021">
        <f>138+298</f>
        <v>436</v>
      </c>
    </row>
    <row r="33" spans="1:69" s="872" customFormat="1">
      <c r="A33" s="1013" t="s">
        <v>636</v>
      </c>
      <c r="B33" s="968"/>
      <c r="C33" s="1014"/>
      <c r="D33" s="876"/>
      <c r="E33" s="1645">
        <f>SUM(E30:E32)</f>
        <v>15869.10000000149</v>
      </c>
      <c r="F33" s="968"/>
      <c r="G33" s="1014"/>
      <c r="H33" s="876"/>
      <c r="I33" s="1645">
        <f>SUM(I30:I32)</f>
        <v>0</v>
      </c>
      <c r="J33" s="1486"/>
      <c r="K33" s="1014"/>
      <c r="L33" s="876"/>
      <c r="M33" s="1645">
        <f>SUM(M30:M32)</f>
        <v>0</v>
      </c>
      <c r="N33" s="1486"/>
      <c r="O33" s="1014"/>
      <c r="P33" s="876"/>
      <c r="Q33" s="1645">
        <f>SUM(Q30:Q32)</f>
        <v>224839.45046548627</v>
      </c>
      <c r="R33" s="1668"/>
      <c r="S33" s="1664"/>
      <c r="T33" s="1664"/>
      <c r="U33" s="1645">
        <f>SUM(U30:U32)</f>
        <v>505785.95243999572</v>
      </c>
      <c r="V33" s="1668"/>
      <c r="W33" s="1664"/>
      <c r="X33" s="1664"/>
      <c r="Y33" s="1645">
        <f>SUM(Y30:Y32)</f>
        <v>2637601.9506277763</v>
      </c>
      <c r="Z33" s="1668"/>
      <c r="AA33" s="1664"/>
      <c r="AB33" s="1664"/>
      <c r="AC33" s="1645">
        <f>SUM(AC30:AC32)</f>
        <v>0</v>
      </c>
      <c r="AD33" s="1486"/>
      <c r="AE33" s="1664"/>
      <c r="AF33" s="1664"/>
      <c r="AG33" s="1823">
        <f>SUM(AG30:AG32)</f>
        <v>11329573.928435542</v>
      </c>
      <c r="AH33" s="1664"/>
      <c r="AI33" s="1664"/>
      <c r="AJ33" s="1664"/>
      <c r="AK33" s="1823">
        <f>SUM(AK30:AK32)</f>
        <v>38788385.125926569</v>
      </c>
      <c r="AL33" s="1488"/>
      <c r="AM33" s="1664"/>
      <c r="AN33" s="1664"/>
      <c r="AO33" s="1823">
        <f>SUM(AO30:AO32)</f>
        <v>1146611.6856264267</v>
      </c>
      <c r="AP33" s="1823"/>
      <c r="AQ33" s="1664"/>
      <c r="AR33" s="1664"/>
      <c r="AS33" s="1823">
        <f>SUM(AS30:AS32)</f>
        <v>229004.12380654539</v>
      </c>
      <c r="AT33" s="1488"/>
      <c r="AU33" s="1664"/>
      <c r="AV33" s="1664"/>
      <c r="AW33" s="1823">
        <f>SUM(AW30:AW32)</f>
        <v>297993.76019316696</v>
      </c>
      <c r="AX33" s="1951"/>
      <c r="AY33" s="1664"/>
      <c r="AZ33" s="1664"/>
      <c r="BA33" s="1823">
        <f>SUM(BA30:BA32)</f>
        <v>325084.10202890943</v>
      </c>
      <c r="BB33" s="1951"/>
      <c r="BC33" s="1664"/>
      <c r="BD33" s="1664"/>
      <c r="BE33" s="1823">
        <f>SUM(BE30:BE32)</f>
        <v>595987.52038633381</v>
      </c>
      <c r="BF33" s="1951"/>
      <c r="BG33" s="1823"/>
      <c r="BH33" s="1823"/>
      <c r="BI33" s="1823"/>
      <c r="BJ33" s="1951"/>
      <c r="BK33" s="1823"/>
      <c r="BL33" s="1823"/>
      <c r="BM33" s="1823"/>
      <c r="BN33" s="1951"/>
      <c r="BO33" s="1824"/>
      <c r="BP33" s="1824"/>
      <c r="BQ33" s="1627"/>
    </row>
    <row r="34" spans="1:69" s="1021" customFormat="1">
      <c r="A34" s="1023"/>
      <c r="B34" s="889"/>
      <c r="C34" s="1001"/>
      <c r="D34" s="890"/>
      <c r="E34" s="1643"/>
      <c r="F34" s="889"/>
      <c r="G34" s="1001"/>
      <c r="H34" s="890"/>
      <c r="I34" s="1643"/>
      <c r="J34" s="1487"/>
      <c r="K34" s="1001"/>
      <c r="L34" s="890"/>
      <c r="M34" s="1643"/>
      <c r="N34" s="1487"/>
      <c r="O34" s="1001"/>
      <c r="P34" s="890"/>
      <c r="Q34" s="1643"/>
      <c r="R34" s="1667"/>
      <c r="S34" s="1662"/>
      <c r="T34" s="1662"/>
      <c r="U34" s="1643"/>
      <c r="V34" s="1667"/>
      <c r="W34" s="1662"/>
      <c r="X34" s="1662"/>
      <c r="Y34" s="1643"/>
      <c r="Z34" s="1667"/>
      <c r="AA34" s="1662"/>
      <c r="AB34" s="1662"/>
      <c r="AC34" s="1643"/>
      <c r="AD34" s="1487"/>
      <c r="AE34" s="1662"/>
      <c r="AF34" s="1662"/>
      <c r="AG34" s="1662"/>
      <c r="AH34" s="1662"/>
      <c r="AI34" s="1662"/>
      <c r="AJ34" s="1662"/>
      <c r="AK34" s="1662"/>
      <c r="AL34" s="1487"/>
      <c r="AM34" s="1662"/>
      <c r="AN34" s="1662"/>
      <c r="AO34" s="1662"/>
      <c r="AP34" s="1662"/>
      <c r="AQ34" s="1662"/>
      <c r="AR34" s="1662"/>
      <c r="AS34" s="1662"/>
      <c r="AT34" s="1487"/>
      <c r="AU34" s="1662"/>
      <c r="AV34" s="1662"/>
      <c r="AW34" s="1662"/>
      <c r="AX34" s="1667"/>
      <c r="AY34" s="1662"/>
      <c r="AZ34" s="1662"/>
      <c r="BA34" s="1662"/>
      <c r="BB34" s="1667"/>
      <c r="BC34" s="1662"/>
      <c r="BD34" s="1662"/>
      <c r="BE34" s="1662"/>
      <c r="BF34" s="1667"/>
      <c r="BG34" s="1662"/>
      <c r="BH34" s="1662"/>
      <c r="BI34" s="1662"/>
      <c r="BJ34" s="1667"/>
      <c r="BK34" s="1662"/>
      <c r="BL34" s="1662"/>
      <c r="BM34" s="1662"/>
      <c r="BN34" s="1667"/>
      <c r="BO34" s="1733"/>
      <c r="BP34" s="1618"/>
      <c r="BQ34" s="1619"/>
    </row>
    <row r="35" spans="1:69" s="1021" customFormat="1">
      <c r="A35" s="1023"/>
      <c r="B35" s="963"/>
      <c r="C35" s="1015"/>
      <c r="D35" s="1016"/>
      <c r="E35" s="1646">
        <f>-(E10+E22)</f>
        <v>15869.100000000009</v>
      </c>
      <c r="F35" s="963"/>
      <c r="G35" s="1015"/>
      <c r="H35" s="1016"/>
      <c r="I35" s="1646">
        <f>-(I10+I22)</f>
        <v>0</v>
      </c>
      <c r="J35" s="1490"/>
      <c r="K35" s="1015"/>
      <c r="L35" s="1016"/>
      <c r="M35" s="1646">
        <f>-(M10+M22)</f>
        <v>0</v>
      </c>
      <c r="N35" s="1490"/>
      <c r="O35" s="1015"/>
      <c r="P35" s="1016"/>
      <c r="Q35" s="1646">
        <f>-(Q10+Q22)</f>
        <v>59757.857354170548</v>
      </c>
      <c r="R35" s="1669"/>
      <c r="S35" s="1665"/>
      <c r="T35" s="1665"/>
      <c r="U35" s="1646">
        <f>-(U10+U22)</f>
        <v>79999.399999999994</v>
      </c>
      <c r="V35" s="1669"/>
      <c r="W35" s="1665"/>
      <c r="X35" s="1665"/>
      <c r="Y35" s="1646">
        <f>-(Y10+Y22)</f>
        <v>119999.1</v>
      </c>
      <c r="Z35" s="1669"/>
      <c r="AA35" s="1665"/>
      <c r="AB35" s="1665"/>
      <c r="AC35" s="1646">
        <f>-(AC10+AC22)</f>
        <v>0</v>
      </c>
      <c r="AD35" s="1490"/>
      <c r="AE35" s="1665"/>
      <c r="AF35" s="1665"/>
      <c r="AG35" s="1662">
        <f>-(AG10+AG22)</f>
        <v>1868619.2314256828</v>
      </c>
      <c r="AH35" s="1665"/>
      <c r="AI35" s="1665"/>
      <c r="AJ35" s="1665"/>
      <c r="AK35" s="1662">
        <f>-(AK10+AK22)</f>
        <v>4712222.6825501481</v>
      </c>
      <c r="AL35" s="1487"/>
      <c r="AM35" s="1665"/>
      <c r="AN35" s="1665"/>
      <c r="AO35" s="1662">
        <f>-(AO10+AO22)</f>
        <v>6675648.8002793761</v>
      </c>
      <c r="AP35" s="1662"/>
      <c r="AQ35" s="1665"/>
      <c r="AR35" s="1665"/>
      <c r="AS35" s="1662">
        <f>-(AS10+AS22)</f>
        <v>6675648.8002793761</v>
      </c>
      <c r="AT35" s="1487"/>
      <c r="AU35" s="1665"/>
      <c r="AV35" s="1665"/>
      <c r="AW35" s="1662">
        <f>-(AW10+AW22)</f>
        <v>8639074.918008605</v>
      </c>
      <c r="AX35" s="1667"/>
      <c r="AY35" s="1665"/>
      <c r="AZ35" s="1665"/>
      <c r="BA35" s="1662">
        <f>-(BA10+BA22)</f>
        <v>9424445.3651002962</v>
      </c>
      <c r="BB35" s="1667"/>
      <c r="BC35" s="1665"/>
      <c r="BD35" s="1665"/>
      <c r="BE35" s="1662">
        <f>-(BE10+BE22)</f>
        <v>17278149.83601721</v>
      </c>
      <c r="BF35" s="1667"/>
      <c r="BG35" s="1662"/>
      <c r="BH35" s="1662"/>
      <c r="BI35" s="1662"/>
      <c r="BJ35" s="1667"/>
      <c r="BK35" s="1662"/>
      <c r="BL35" s="1662"/>
      <c r="BM35" s="1662"/>
      <c r="BN35" s="1667"/>
      <c r="BO35" s="1733"/>
      <c r="BP35" s="1618"/>
      <c r="BQ35" s="1628"/>
    </row>
    <row r="36" spans="1:69" s="1021" customFormat="1">
      <c r="A36" s="1033" t="s">
        <v>1595</v>
      </c>
      <c r="B36" s="1010"/>
      <c r="C36" s="1008"/>
      <c r="D36" s="1009"/>
      <c r="E36" s="1647">
        <f>E13*D4</f>
        <v>0</v>
      </c>
      <c r="F36" s="1010"/>
      <c r="G36" s="1008"/>
      <c r="H36" s="1009"/>
      <c r="I36" s="1647">
        <f>I13*H4</f>
        <v>0</v>
      </c>
      <c r="J36" s="1489"/>
      <c r="K36" s="1008"/>
      <c r="L36" s="1009"/>
      <c r="M36" s="1647">
        <f>M13*L4</f>
        <v>0</v>
      </c>
      <c r="N36" s="1489"/>
      <c r="O36" s="1008"/>
      <c r="P36" s="1009"/>
      <c r="Q36" s="1647">
        <f>Q13*P4</f>
        <v>165081.5931113158</v>
      </c>
      <c r="R36" s="1670"/>
      <c r="S36" s="1666"/>
      <c r="T36" s="1666"/>
      <c r="U36" s="1647">
        <f>U13*T4</f>
        <v>425786.55243999569</v>
      </c>
      <c r="V36" s="1670"/>
      <c r="W36" s="1666"/>
      <c r="X36" s="1666"/>
      <c r="Y36" s="1647">
        <f>Y13*X4</f>
        <v>2517602.8506277767</v>
      </c>
      <c r="Z36" s="1670"/>
      <c r="AA36" s="1666"/>
      <c r="AB36" s="1666"/>
      <c r="AC36" s="1647">
        <f>AC13*AB4</f>
        <v>0</v>
      </c>
      <c r="AD36" s="1489"/>
      <c r="AE36" s="1666"/>
      <c r="AF36" s="1666"/>
      <c r="AG36" s="1662">
        <f>AG13*AF4</f>
        <v>9460954.6970098596</v>
      </c>
      <c r="AH36" s="1666"/>
      <c r="AI36" s="1666"/>
      <c r="AJ36" s="1666"/>
      <c r="AK36" s="1662">
        <f>AK13*AJ4</f>
        <v>34076162.443376422</v>
      </c>
      <c r="AL36" s="1487"/>
      <c r="AM36" s="1666"/>
      <c r="AN36" s="1666"/>
      <c r="AO36" s="1662">
        <f>AO13*AN4</f>
        <v>-5529037.1146529494</v>
      </c>
      <c r="AP36" s="1662"/>
      <c r="AQ36" s="1666"/>
      <c r="AR36" s="1666"/>
      <c r="AS36" s="1662">
        <f>AS13*AR4</f>
        <v>-6446644.6764728306</v>
      </c>
      <c r="AT36" s="1487"/>
      <c r="AU36" s="1666"/>
      <c r="AV36" s="1666"/>
      <c r="AW36" s="1662">
        <f>AW13*AV4</f>
        <v>-8341081.1578154378</v>
      </c>
      <c r="AX36" s="1667"/>
      <c r="AY36" s="1666"/>
      <c r="AZ36" s="1666"/>
      <c r="BA36" s="1662">
        <f>BA13*AZ4</f>
        <v>-9099361.263071388</v>
      </c>
      <c r="BB36" s="1667"/>
      <c r="BC36" s="1666"/>
      <c r="BD36" s="1666"/>
      <c r="BE36" s="1662">
        <f>BE13*BD4</f>
        <v>-16682162.315630876</v>
      </c>
      <c r="BF36" s="1667"/>
      <c r="BG36" s="1662"/>
      <c r="BH36" s="1662"/>
      <c r="BI36" s="1662"/>
      <c r="BJ36" s="1667"/>
      <c r="BK36" s="1662"/>
      <c r="BL36" s="1662"/>
      <c r="BM36" s="1662"/>
      <c r="BN36" s="1667"/>
      <c r="BO36" s="897"/>
      <c r="BP36" s="889"/>
      <c r="BQ36" s="1007"/>
    </row>
    <row r="37" spans="1:69" s="1021" customFormat="1">
      <c r="A37" s="1023" t="s">
        <v>639</v>
      </c>
      <c r="B37" s="889"/>
      <c r="C37" s="1001"/>
      <c r="D37" s="890"/>
      <c r="E37" s="1643">
        <f>+E25*D17</f>
        <v>0</v>
      </c>
      <c r="F37" s="889"/>
      <c r="G37" s="1001"/>
      <c r="H37" s="890"/>
      <c r="I37" s="1643">
        <f>+I25*H17</f>
        <v>0</v>
      </c>
      <c r="J37" s="1487"/>
      <c r="K37" s="1001"/>
      <c r="L37" s="890"/>
      <c r="M37" s="1643">
        <f>+M25*L17</f>
        <v>0</v>
      </c>
      <c r="N37" s="1487"/>
      <c r="O37" s="1001"/>
      <c r="P37" s="890"/>
      <c r="Q37" s="1643">
        <f>+Q25*P17</f>
        <v>0</v>
      </c>
      <c r="R37" s="1667"/>
      <c r="S37" s="1662"/>
      <c r="T37" s="1662"/>
      <c r="U37" s="1643">
        <f>+U25*T17</f>
        <v>0</v>
      </c>
      <c r="V37" s="1667"/>
      <c r="W37" s="1662"/>
      <c r="X37" s="1662"/>
      <c r="Y37" s="1643">
        <f>+Y25*X17</f>
        <v>0</v>
      </c>
      <c r="Z37" s="1667"/>
      <c r="AA37" s="1662"/>
      <c r="AB37" s="1662"/>
      <c r="AC37" s="1643">
        <f>+AC25*AB17</f>
        <v>0</v>
      </c>
      <c r="AD37" s="1487"/>
      <c r="AE37" s="1662"/>
      <c r="AF37" s="1662"/>
      <c r="AG37" s="1662">
        <f>+AG25*AF17</f>
        <v>0</v>
      </c>
      <c r="AH37" s="1662"/>
      <c r="AI37" s="1662"/>
      <c r="AJ37" s="1662"/>
      <c r="AK37" s="1662">
        <f>+AK25*AJ17</f>
        <v>0</v>
      </c>
      <c r="AL37" s="1487"/>
      <c r="AM37" s="1662"/>
      <c r="AN37" s="1662"/>
      <c r="AO37" s="1662">
        <f>+AO25*AN17</f>
        <v>0</v>
      </c>
      <c r="AP37" s="1662"/>
      <c r="AQ37" s="1662"/>
      <c r="AR37" s="1662"/>
      <c r="AS37" s="1662">
        <f>+AS25*AR17</f>
        <v>0</v>
      </c>
      <c r="AT37" s="1487"/>
      <c r="AU37" s="1662"/>
      <c r="AV37" s="1662"/>
      <c r="AW37" s="1662">
        <f>+AW25*AV17</f>
        <v>0</v>
      </c>
      <c r="AX37" s="1667"/>
      <c r="AY37" s="1662"/>
      <c r="AZ37" s="1662"/>
      <c r="BA37" s="1662">
        <f>+BA25*AZ17</f>
        <v>0</v>
      </c>
      <c r="BB37" s="1667"/>
      <c r="BC37" s="1662"/>
      <c r="BD37" s="1662"/>
      <c r="BE37" s="1662">
        <f>+BE25*BD17</f>
        <v>0</v>
      </c>
      <c r="BF37" s="1667"/>
      <c r="BG37" s="1662"/>
      <c r="BH37" s="1662"/>
      <c r="BI37" s="1662"/>
      <c r="BJ37" s="1667"/>
      <c r="BK37" s="1662"/>
      <c r="BL37" s="1662"/>
      <c r="BM37" s="1662"/>
      <c r="BN37" s="1667"/>
      <c r="BO37" s="897"/>
      <c r="BP37" s="889"/>
      <c r="BQ37" s="889"/>
    </row>
    <row r="38" spans="1:69" s="1021" customFormat="1">
      <c r="A38" s="1023" t="s">
        <v>636</v>
      </c>
      <c r="B38" s="889"/>
      <c r="C38" s="1001"/>
      <c r="D38" s="890"/>
      <c r="E38" s="1643">
        <f>SUM(E35:E37)</f>
        <v>15869.100000000009</v>
      </c>
      <c r="F38" s="889"/>
      <c r="G38" s="1001"/>
      <c r="H38" s="890"/>
      <c r="I38" s="1643">
        <f>SUM(I35:I37)</f>
        <v>0</v>
      </c>
      <c r="J38" s="1487"/>
      <c r="K38" s="1001"/>
      <c r="L38" s="890"/>
      <c r="M38" s="1643">
        <f>SUM(M35:M37)</f>
        <v>0</v>
      </c>
      <c r="N38" s="1487"/>
      <c r="O38" s="1001"/>
      <c r="P38" s="890"/>
      <c r="Q38" s="1643">
        <f>SUM(Q35:Q37)</f>
        <v>224839.45046548636</v>
      </c>
      <c r="R38" s="1667"/>
      <c r="S38" s="1662"/>
      <c r="T38" s="1662"/>
      <c r="U38" s="1643">
        <f>SUM(U35:U37)</f>
        <v>505785.95243999572</v>
      </c>
      <c r="V38" s="1667"/>
      <c r="W38" s="1662"/>
      <c r="X38" s="1662"/>
      <c r="Y38" s="1643">
        <f>SUM(Y35:Y37)</f>
        <v>2637601.9506277768</v>
      </c>
      <c r="Z38" s="1667"/>
      <c r="AA38" s="1662"/>
      <c r="AB38" s="1662"/>
      <c r="AC38" s="1643">
        <f>SUM(AC35:AC37)</f>
        <v>0</v>
      </c>
      <c r="AD38" s="1487"/>
      <c r="AE38" s="1662"/>
      <c r="AF38" s="1662"/>
      <c r="AG38" s="1662">
        <f>SUM(AG35:AG37)</f>
        <v>11329573.928435542</v>
      </c>
      <c r="AH38" s="1662"/>
      <c r="AI38" s="1662"/>
      <c r="AJ38" s="1662"/>
      <c r="AK38" s="1662">
        <f>SUM(AK35:AK37)</f>
        <v>38788385.125926569</v>
      </c>
      <c r="AL38" s="1487"/>
      <c r="AM38" s="1662"/>
      <c r="AN38" s="1662"/>
      <c r="AO38" s="1662">
        <f>SUM(AO35:AO37)</f>
        <v>1146611.6856264267</v>
      </c>
      <c r="AP38" s="1662"/>
      <c r="AQ38" s="1662"/>
      <c r="AR38" s="1662"/>
      <c r="AS38" s="1662">
        <f>SUM(AS35:AS37)</f>
        <v>229004.12380654551</v>
      </c>
      <c r="AT38" s="1487"/>
      <c r="AU38" s="1662"/>
      <c r="AV38" s="1662"/>
      <c r="AW38" s="1662">
        <f>SUM(AW35:AW37)</f>
        <v>297993.76019316725</v>
      </c>
      <c r="AX38" s="1667"/>
      <c r="AY38" s="1662"/>
      <c r="AZ38" s="1662"/>
      <c r="BA38" s="1662">
        <f>SUM(BA35:BA37)</f>
        <v>325084.10202890821</v>
      </c>
      <c r="BB38" s="1667"/>
      <c r="BC38" s="1662"/>
      <c r="BD38" s="1662"/>
      <c r="BE38" s="1662">
        <f>SUM(BE35:BE37)</f>
        <v>595987.52038633451</v>
      </c>
      <c r="BF38" s="1667"/>
      <c r="BG38" s="1662"/>
      <c r="BH38" s="1662"/>
      <c r="BI38" s="1662"/>
      <c r="BJ38" s="1667"/>
      <c r="BK38" s="1662"/>
      <c r="BL38" s="1662"/>
      <c r="BM38" s="1662"/>
      <c r="BN38" s="1667"/>
      <c r="BO38" s="897"/>
      <c r="BP38" s="889"/>
      <c r="BQ38" s="967">
        <f>+BQ30+BQ32</f>
        <v>0</v>
      </c>
    </row>
    <row r="39" spans="1:69" s="1021" customFormat="1">
      <c r="A39" s="1040" t="s">
        <v>1596</v>
      </c>
      <c r="B39" s="963"/>
      <c r="C39" s="1015"/>
      <c r="D39" s="1016"/>
      <c r="E39" s="1646">
        <f>+E33-E38</f>
        <v>1.4806573744863272E-9</v>
      </c>
      <c r="F39" s="963"/>
      <c r="G39" s="1015"/>
      <c r="H39" s="1016"/>
      <c r="I39" s="1646">
        <f>+I33-I38</f>
        <v>0</v>
      </c>
      <c r="J39" s="1490"/>
      <c r="K39" s="1015"/>
      <c r="L39" s="1016"/>
      <c r="M39" s="1646">
        <f>+M33-M38</f>
        <v>0</v>
      </c>
      <c r="N39" s="1490"/>
      <c r="O39" s="1015"/>
      <c r="P39" s="1016"/>
      <c r="Q39" s="1646">
        <f>+Q33-Q38</f>
        <v>0</v>
      </c>
      <c r="R39" s="1669"/>
      <c r="S39" s="1665"/>
      <c r="T39" s="1665"/>
      <c r="U39" s="1646">
        <f>+U33-U38</f>
        <v>0</v>
      </c>
      <c r="V39" s="1669"/>
      <c r="W39" s="1665"/>
      <c r="X39" s="1665"/>
      <c r="Y39" s="1646">
        <f>+Y33-Y38</f>
        <v>0</v>
      </c>
      <c r="Z39" s="1669"/>
      <c r="AA39" s="1665"/>
      <c r="AB39" s="1665"/>
      <c r="AC39" s="1646">
        <f>+AC33-AC38</f>
        <v>0</v>
      </c>
      <c r="AD39" s="1490"/>
      <c r="AE39" s="1665"/>
      <c r="AF39" s="1665"/>
      <c r="AG39" s="1662">
        <f>+AG33-AG38</f>
        <v>0</v>
      </c>
      <c r="AH39" s="1487"/>
      <c r="AI39" s="1487"/>
      <c r="AJ39" s="1487"/>
      <c r="AK39" s="1662">
        <f>+AK33-AK38</f>
        <v>0</v>
      </c>
      <c r="AL39" s="1487"/>
      <c r="AM39" s="1487"/>
      <c r="AN39" s="1487"/>
      <c r="AO39" s="1662">
        <f>+AO33-AO38</f>
        <v>0</v>
      </c>
      <c r="AP39" s="1662"/>
      <c r="AQ39" s="1487"/>
      <c r="AR39" s="1487"/>
      <c r="AS39" s="1662">
        <f>+AS33-AS38</f>
        <v>0</v>
      </c>
      <c r="AT39" s="1487"/>
      <c r="AU39" s="1487"/>
      <c r="AV39" s="1487"/>
      <c r="AW39" s="1662">
        <f>+AW33-AW38</f>
        <v>0</v>
      </c>
      <c r="AX39" s="1667"/>
      <c r="AY39" s="1487"/>
      <c r="AZ39" s="1487"/>
      <c r="BA39" s="1662">
        <f>+BA33-BA38</f>
        <v>1.2223608791828156E-9</v>
      </c>
      <c r="BB39" s="1667"/>
      <c r="BC39" s="1487"/>
      <c r="BD39" s="1487"/>
      <c r="BE39" s="1662">
        <f>+BE33-BE38</f>
        <v>0</v>
      </c>
      <c r="BF39" s="1667"/>
      <c r="BG39" s="1662"/>
      <c r="BH39" s="1662"/>
      <c r="BI39" s="1662"/>
      <c r="BJ39" s="1667"/>
      <c r="BK39" s="1662"/>
      <c r="BL39" s="1662"/>
      <c r="BM39" s="1662"/>
      <c r="BN39" s="1667"/>
      <c r="BO39" s="897"/>
      <c r="BP39" s="889"/>
      <c r="BQ39" s="964"/>
    </row>
    <row r="40" spans="1:69">
      <c r="B40" s="889"/>
      <c r="C40" s="890"/>
      <c r="D40" s="890"/>
      <c r="E40" s="890"/>
      <c r="F40" s="889"/>
      <c r="G40" s="890"/>
      <c r="H40" s="890"/>
      <c r="I40" s="890"/>
      <c r="J40" s="1487"/>
      <c r="K40" s="890"/>
      <c r="L40" s="890"/>
      <c r="M40" s="890"/>
      <c r="N40" s="1487"/>
      <c r="O40" s="890"/>
      <c r="P40" s="890"/>
      <c r="Q40" s="890"/>
      <c r="R40" s="889"/>
      <c r="S40" s="890"/>
      <c r="T40" s="890"/>
      <c r="U40" s="890"/>
      <c r="V40" s="889"/>
      <c r="W40" s="890"/>
      <c r="X40" s="890"/>
      <c r="Y40" s="890"/>
      <c r="Z40" s="889"/>
      <c r="AA40" s="890"/>
      <c r="AB40" s="890"/>
      <c r="AC40" s="890"/>
      <c r="AD40" s="1487"/>
      <c r="AE40" s="890"/>
      <c r="AF40" s="890"/>
      <c r="AG40" s="890"/>
      <c r="AH40" s="1487"/>
      <c r="AI40" s="1487"/>
      <c r="AJ40" s="1487"/>
      <c r="AK40" s="1487"/>
      <c r="AL40" s="1487"/>
      <c r="AM40" s="1487"/>
      <c r="AN40" s="1487"/>
      <c r="AO40" s="1487"/>
      <c r="AP40" s="1487"/>
      <c r="AQ40" s="1487"/>
      <c r="AR40" s="1487"/>
      <c r="AS40" s="1487"/>
      <c r="AT40" s="1487"/>
      <c r="AU40" s="1487"/>
      <c r="AV40" s="1487"/>
      <c r="AW40" s="1487"/>
      <c r="AX40" s="889"/>
      <c r="AY40" s="1487"/>
      <c r="AZ40" s="1487"/>
      <c r="BA40" s="1487"/>
      <c r="BB40" s="889"/>
      <c r="BC40" s="889"/>
      <c r="BD40" s="889"/>
      <c r="BE40" s="889"/>
      <c r="BF40" s="889"/>
      <c r="BG40" s="889"/>
      <c r="BH40" s="889"/>
      <c r="BI40" s="889"/>
      <c r="BJ40" s="889"/>
      <c r="BK40" s="889"/>
      <c r="BL40" s="889"/>
      <c r="BM40" s="889"/>
      <c r="BN40" s="889"/>
      <c r="BQ40" s="1648"/>
    </row>
    <row r="41" spans="1:69">
      <c r="BQ41" s="1648">
        <f>+BQ30+BQ32</f>
        <v>0</v>
      </c>
    </row>
    <row r="42" spans="1:69">
      <c r="E42" s="873">
        <f>+'Summary Valuation'!C80</f>
        <v>0</v>
      </c>
      <c r="I42" s="873">
        <f>+'Summary Valuation'!C82</f>
        <v>0</v>
      </c>
      <c r="M42" s="873">
        <f>+'Summary Valuation'!C84</f>
        <v>-276977.97953651223</v>
      </c>
      <c r="Q42" s="873">
        <f>+'Summary Valuation'!C96</f>
        <v>-341954.72858772718</v>
      </c>
      <c r="U42" s="873">
        <f>+'Summary Valuation'!C98</f>
        <v>-425786.55243999965</v>
      </c>
      <c r="Y42" s="873">
        <f>+'Summary Valuation'!G98</f>
        <v>0</v>
      </c>
      <c r="AC42" s="873">
        <f>+'Summary Valuation'!K98</f>
        <v>0</v>
      </c>
      <c r="BQ42" s="1648">
        <f>SUM(B42:Q42)</f>
        <v>-618932.70812423946</v>
      </c>
    </row>
    <row r="43" spans="1:69">
      <c r="E43" s="873">
        <f>+E27+E15+E42</f>
        <v>16179945.584447093</v>
      </c>
      <c r="I43" s="873">
        <f>+I42+I27+I15</f>
        <v>0</v>
      </c>
      <c r="M43" s="873">
        <f>+M27+M15+M42</f>
        <v>-276977.97953651223</v>
      </c>
      <c r="Q43" s="873">
        <f>+Q42+Q27+Q15</f>
        <v>341954.72858772392</v>
      </c>
      <c r="BQ43" s="1648">
        <f>SUM(BQ41:BQ42)</f>
        <v>-618932.70812423946</v>
      </c>
    </row>
    <row r="56" spans="67:67">
      <c r="BO56" s="316">
        <f>+BO9+'Grasmere Imported Valuation'!DN11</f>
        <v>408</v>
      </c>
    </row>
  </sheetData>
  <pageMargins left="0.70866141732283472" right="0.70866141732283472" top="0.74803149606299213" bottom="0.74803149606299213" header="0.31496062992125984" footer="0.31496062992125984"/>
  <pageSetup paperSize="9" scale="11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06C1-0557-459C-AEFC-C12D66104A84}">
  <sheetPr>
    <tabColor theme="9" tint="-0.249977111117893"/>
  </sheetPr>
  <dimension ref="A1:EI56"/>
  <sheetViews>
    <sheetView view="pageBreakPreview" zoomScale="63" zoomScaleNormal="100" zoomScaleSheetLayoutView="63" workbookViewId="0">
      <pane xSplit="1" ySplit="6" topLeftCell="BZ7" activePane="bottomRight" state="frozen"/>
      <selection pane="bottomRight" activeCell="DW13" sqref="DW13"/>
      <selection pane="bottomLeft" activeCell="AT31" sqref="AT31"/>
      <selection pane="topRight" activeCell="AT31" sqref="AT31"/>
    </sheetView>
  </sheetViews>
  <sheetFormatPr defaultColWidth="9.140625" defaultRowHeight="13.9"/>
  <cols>
    <col min="1" max="1" width="31.140625" style="317" customWidth="1"/>
    <col min="2" max="2" width="17.85546875" style="317" bestFit="1" customWidth="1"/>
    <col min="3" max="3" width="14.85546875" style="317" bestFit="1" customWidth="1"/>
    <col min="4" max="4" width="15.85546875" style="873" bestFit="1" customWidth="1"/>
    <col min="5" max="5" width="0.5703125" style="882" customWidth="1"/>
    <col min="6" max="6" width="13.140625" style="882" customWidth="1"/>
    <col min="7" max="8" width="14.85546875" style="882" bestFit="1" customWidth="1"/>
    <col min="9" max="9" width="1.28515625" style="882" customWidth="1"/>
    <col min="10" max="10" width="17.85546875" style="317" bestFit="1" customWidth="1"/>
    <col min="11" max="11" width="13.5703125" style="317" bestFit="1" customWidth="1"/>
    <col min="12" max="12" width="15.85546875" style="873" bestFit="1" customWidth="1"/>
    <col min="13" max="13" width="0.85546875" style="882" customWidth="1"/>
    <col min="14" max="14" width="17.85546875" style="882" bestFit="1" customWidth="1"/>
    <col min="15" max="15" width="14" style="882" bestFit="1" customWidth="1"/>
    <col min="16" max="16" width="14.85546875" style="882" bestFit="1" customWidth="1"/>
    <col min="17" max="17" width="1" style="882" customWidth="1"/>
    <col min="18" max="18" width="17.85546875" style="873" bestFit="1" customWidth="1"/>
    <col min="19" max="19" width="14" style="873" bestFit="1" customWidth="1"/>
    <col min="20" max="20" width="15.85546875" style="873" bestFit="1" customWidth="1"/>
    <col min="21" max="21" width="0.7109375" style="882" customWidth="1"/>
    <col min="22" max="22" width="17.85546875" style="873" bestFit="1" customWidth="1"/>
    <col min="23" max="23" width="15.28515625" style="873" bestFit="1" customWidth="1"/>
    <col min="24" max="24" width="15.85546875" style="873" bestFit="1" customWidth="1"/>
    <col min="25" max="25" width="0.5703125" style="882" customWidth="1"/>
    <col min="26" max="26" width="17.85546875" style="873" bestFit="1" customWidth="1"/>
    <col min="27" max="27" width="14" style="873" bestFit="1" customWidth="1"/>
    <col min="28" max="28" width="14.85546875" style="873" bestFit="1" customWidth="1"/>
    <col min="29" max="29" width="0.7109375" style="882" customWidth="1"/>
    <col min="30" max="30" width="17.85546875" style="873" bestFit="1" customWidth="1"/>
    <col min="31" max="31" width="15.28515625" style="873" bestFit="1" customWidth="1"/>
    <col min="32" max="32" width="15.7109375" style="873" bestFit="1" customWidth="1"/>
    <col min="33" max="33" width="1.5703125" style="882" customWidth="1"/>
    <col min="34" max="34" width="17.85546875" style="873" bestFit="1" customWidth="1"/>
    <col min="35" max="35" width="15.28515625" style="873" bestFit="1" customWidth="1"/>
    <col min="36" max="36" width="16.7109375" style="873" bestFit="1" customWidth="1"/>
    <col min="37" max="37" width="0.85546875" style="882" customWidth="1"/>
    <col min="38" max="38" width="17.85546875" style="873" bestFit="1" customWidth="1"/>
    <col min="39" max="39" width="16.7109375" style="873" bestFit="1" customWidth="1"/>
    <col min="40" max="40" width="19.28515625" style="873" bestFit="1" customWidth="1"/>
    <col min="41" max="41" width="0.7109375" style="882" customWidth="1"/>
    <col min="42" max="42" width="17.85546875" style="873" bestFit="1" customWidth="1"/>
    <col min="43" max="43" width="16.28515625" style="873" bestFit="1" customWidth="1"/>
    <col min="44" max="44" width="17.140625" style="873" bestFit="1" customWidth="1"/>
    <col min="45" max="45" width="0.5703125" style="882" customWidth="1"/>
    <col min="46" max="46" width="28.5703125" style="873" bestFit="1" customWidth="1"/>
    <col min="47" max="47" width="16.28515625" style="873" bestFit="1" customWidth="1"/>
    <col min="48" max="48" width="19.28515625" style="873" bestFit="1" customWidth="1"/>
    <col min="49" max="49" width="0.7109375" style="882" customWidth="1"/>
    <col min="50" max="51" width="16.42578125" style="882" customWidth="1"/>
    <col min="52" max="52" width="16.7109375" style="882" bestFit="1" customWidth="1"/>
    <col min="53" max="53" width="1.28515625" style="882" customWidth="1"/>
    <col min="54" max="54" width="17.85546875" style="873" bestFit="1" customWidth="1"/>
    <col min="55" max="55" width="16.7109375" style="873" bestFit="1" customWidth="1"/>
    <col min="56" max="56" width="20.7109375" style="873" bestFit="1" customWidth="1"/>
    <col min="57" max="57" width="0.5703125" style="882" customWidth="1"/>
    <col min="58" max="58" width="17.85546875" style="873" bestFit="1" customWidth="1"/>
    <col min="59" max="59" width="16.7109375" style="873" bestFit="1" customWidth="1"/>
    <col min="60" max="60" width="19.28515625" style="873" bestFit="1" customWidth="1"/>
    <col min="61" max="61" width="1" style="1483" customWidth="1"/>
    <col min="62" max="62" width="17.85546875" style="873" bestFit="1" customWidth="1"/>
    <col min="63" max="63" width="17.140625" style="873" bestFit="1" customWidth="1"/>
    <col min="64" max="64" width="20.28515625" style="873" bestFit="1" customWidth="1"/>
    <col min="65" max="65" width="0.7109375" style="1483" customWidth="1"/>
    <col min="66" max="66" width="17.85546875" style="873" bestFit="1" customWidth="1"/>
    <col min="67" max="67" width="17.140625" style="873" bestFit="1" customWidth="1"/>
    <col min="68" max="68" width="20.28515625" style="873" customWidth="1"/>
    <col min="69" max="69" width="0.7109375" style="882" customWidth="1"/>
    <col min="70" max="72" width="20.28515625" style="873" customWidth="1"/>
    <col min="73" max="73" width="0.7109375" style="882" customWidth="1"/>
    <col min="74" max="76" width="20.28515625" style="873" customWidth="1"/>
    <col min="77" max="77" width="0.7109375" style="882" customWidth="1"/>
    <col min="78" max="80" width="20.28515625" style="873" customWidth="1"/>
    <col min="81" max="81" width="1" style="1483" customWidth="1"/>
    <col min="82" max="84" width="20.28515625" style="873" customWidth="1"/>
    <col min="85" max="85" width="0.85546875" style="1483" customWidth="1"/>
    <col min="86" max="86" width="20.28515625" style="1483" customWidth="1"/>
    <col min="87" max="88" width="18.85546875" style="1483" customWidth="1"/>
    <col min="89" max="89" width="1" style="1483" customWidth="1"/>
    <col min="90" max="90" width="19.42578125" style="1483" customWidth="1"/>
    <col min="91" max="91" width="18.42578125" style="1483" customWidth="1"/>
    <col min="92" max="92" width="22.140625" style="1483" customWidth="1"/>
    <col min="93" max="93" width="1" style="1483" customWidth="1"/>
    <col min="94" max="96" width="22.140625" style="1483" customWidth="1"/>
    <col min="97" max="97" width="1.140625" style="1483" customWidth="1"/>
    <col min="98" max="99" width="11.7109375" style="1483" customWidth="1"/>
    <col min="100" max="100" width="17.28515625" style="1483" customWidth="1"/>
    <col min="101" max="101" width="0.5703125" style="882" customWidth="1"/>
    <col min="102" max="103" width="11.7109375" style="1483" customWidth="1"/>
    <col min="104" max="104" width="17.28515625" style="1483" customWidth="1"/>
    <col min="105" max="105" width="0.28515625" style="882" customWidth="1"/>
    <col min="106" max="107" width="15.7109375" style="882" customWidth="1"/>
    <col min="108" max="108" width="17.42578125" style="882" bestFit="1" customWidth="1"/>
    <col min="109" max="116" width="17.42578125" style="882" customWidth="1"/>
    <col min="117" max="117" width="12.85546875" style="882" customWidth="1"/>
    <col min="118" max="120" width="17.42578125" style="882" customWidth="1"/>
    <col min="121" max="121" width="12.85546875" style="882" customWidth="1"/>
    <col min="122" max="122" width="15.42578125" style="317" bestFit="1" customWidth="1"/>
    <col min="123" max="123" width="17.5703125" style="882" bestFit="1" customWidth="1"/>
    <col min="124" max="124" width="21.140625" style="882" bestFit="1" customWidth="1"/>
    <col min="125" max="125" width="20.7109375" style="1021" customWidth="1"/>
    <col min="126" max="126" width="19.140625" style="1021" bestFit="1" customWidth="1"/>
    <col min="127" max="127" width="20.5703125" style="1021" bestFit="1" customWidth="1"/>
    <col min="128" max="128" width="17.5703125" style="1021" bestFit="1" customWidth="1"/>
    <col min="129" max="129" width="16.85546875" style="1021" bestFit="1" customWidth="1"/>
    <col min="130" max="130" width="16.140625" style="1021" bestFit="1" customWidth="1"/>
    <col min="131" max="131" width="13" style="1021" bestFit="1" customWidth="1"/>
    <col min="132" max="132" width="14.7109375" style="1021" bestFit="1" customWidth="1"/>
    <col min="133" max="135" width="9.140625" style="317"/>
    <col min="136" max="136" width="9.7109375" style="317" bestFit="1" customWidth="1"/>
    <col min="137" max="137" width="9.5703125" style="317" bestFit="1" customWidth="1"/>
    <col min="138" max="16384" width="9.140625" style="317"/>
  </cols>
  <sheetData>
    <row r="1" spans="1:136">
      <c r="A1" s="980">
        <f>+'Summary Total Pigs'!C3</f>
        <v>46226</v>
      </c>
      <c r="C1" s="316"/>
      <c r="K1" s="873" t="s">
        <v>138</v>
      </c>
    </row>
    <row r="2" spans="1:136" ht="14.25" customHeight="1">
      <c r="A2" s="915" t="s">
        <v>1578</v>
      </c>
      <c r="K2" s="873" t="s">
        <v>138</v>
      </c>
      <c r="BH2" s="1021"/>
      <c r="BI2" s="1484"/>
      <c r="BJ2" s="1021"/>
      <c r="BK2" s="1021"/>
      <c r="BL2" s="1021"/>
      <c r="BM2" s="1484"/>
      <c r="BN2" s="1021"/>
      <c r="BO2" s="1021"/>
      <c r="BP2" s="1021"/>
      <c r="BQ2" s="380"/>
      <c r="BR2" s="1021"/>
      <c r="BS2" s="1021"/>
      <c r="BT2" s="1021"/>
      <c r="BU2" s="380"/>
      <c r="BV2" s="1021"/>
      <c r="BW2" s="1021"/>
      <c r="BX2" s="1021"/>
      <c r="BY2" s="380"/>
      <c r="BZ2" s="1021"/>
      <c r="CA2" s="1021"/>
      <c r="CB2" s="1021"/>
      <c r="CC2" s="1484"/>
      <c r="CD2" s="1021"/>
      <c r="CE2" s="1021"/>
      <c r="CF2" s="1021"/>
      <c r="CG2" s="1484"/>
      <c r="CH2" s="1484"/>
      <c r="CI2" s="1484"/>
      <c r="CJ2" s="1484"/>
      <c r="CK2" s="1484"/>
      <c r="CL2" s="1484"/>
      <c r="CM2" s="1484"/>
      <c r="CN2" s="1484"/>
      <c r="CO2" s="1484"/>
      <c r="CP2" s="1484"/>
      <c r="CQ2" s="1484"/>
      <c r="CR2" s="1484"/>
      <c r="CS2" s="1484"/>
      <c r="CT2" s="1484"/>
      <c r="CU2" s="1484"/>
      <c r="CV2" s="1484"/>
      <c r="CW2" s="380"/>
      <c r="CX2" s="1484"/>
      <c r="CY2" s="1484"/>
      <c r="CZ2" s="1484"/>
      <c r="DA2" s="380"/>
      <c r="DB2" s="380"/>
      <c r="DC2" s="380"/>
      <c r="DD2" s="380"/>
      <c r="DE2" s="380"/>
      <c r="DF2" s="380"/>
      <c r="DG2" s="380"/>
      <c r="DH2" s="380"/>
      <c r="DI2" s="380"/>
      <c r="DJ2" s="380"/>
      <c r="DK2" s="380"/>
      <c r="DL2" s="380"/>
      <c r="DM2" s="380"/>
      <c r="DN2" s="380"/>
      <c r="DO2" s="380"/>
      <c r="DP2" s="380"/>
      <c r="DQ2" s="380"/>
    </row>
    <row r="3" spans="1:136">
      <c r="C3" s="1046"/>
      <c r="D3" s="882"/>
      <c r="L3" s="882"/>
      <c r="R3" s="882"/>
      <c r="S3" s="882"/>
      <c r="T3" s="882"/>
      <c r="V3" s="882"/>
      <c r="W3" s="882"/>
      <c r="X3" s="882"/>
      <c r="Z3" s="882"/>
      <c r="AA3" s="882"/>
      <c r="AB3" s="882"/>
      <c r="AD3" s="882"/>
      <c r="AE3" s="882"/>
      <c r="AF3" s="882"/>
      <c r="AH3" s="882"/>
      <c r="AI3" s="882"/>
      <c r="AJ3" s="882"/>
      <c r="AL3" s="882"/>
      <c r="AM3" s="882"/>
      <c r="AN3" s="882"/>
      <c r="AP3" s="882"/>
      <c r="AQ3" s="882"/>
      <c r="AR3" s="882"/>
      <c r="AT3" s="882"/>
      <c r="AU3" s="882"/>
      <c r="AV3" s="882"/>
      <c r="BB3" s="882"/>
      <c r="BC3" s="882"/>
      <c r="BD3" s="882"/>
      <c r="BF3" s="882"/>
      <c r="BG3" s="882"/>
      <c r="BH3" s="882"/>
      <c r="BJ3" s="882"/>
      <c r="BK3" s="882"/>
      <c r="BL3" s="882"/>
      <c r="BN3" s="882"/>
      <c r="BO3" s="882"/>
      <c r="BP3" s="882"/>
      <c r="BR3" s="882"/>
      <c r="BS3" s="882"/>
      <c r="BT3" s="882"/>
      <c r="BV3" s="882"/>
      <c r="BW3" s="882"/>
      <c r="BX3" s="882"/>
      <c r="BZ3" s="882"/>
      <c r="CA3" s="882"/>
      <c r="CB3" s="882"/>
      <c r="CD3" s="882"/>
      <c r="CE3" s="882"/>
      <c r="CF3" s="882"/>
      <c r="DU3" s="380"/>
      <c r="DV3" s="380"/>
      <c r="DW3" s="380"/>
      <c r="DX3" s="380"/>
      <c r="DY3" s="380"/>
      <c r="DZ3" s="380"/>
      <c r="EA3" s="380"/>
      <c r="EB3" s="380"/>
    </row>
    <row r="4" spans="1:136">
      <c r="B4" s="981" t="s">
        <v>1579</v>
      </c>
      <c r="C4" s="981">
        <f>36-C5</f>
        <v>0</v>
      </c>
      <c r="D4" s="981" t="s">
        <v>1580</v>
      </c>
      <c r="F4" s="981" t="str">
        <f>+B4</f>
        <v>Avail. For Amort</v>
      </c>
      <c r="G4" s="981"/>
      <c r="H4" s="981" t="str">
        <f>+D4</f>
        <v>Months</v>
      </c>
      <c r="J4" s="981" t="str">
        <f>+B4</f>
        <v>Avail. For Amort</v>
      </c>
      <c r="K4" s="982">
        <f>36-K5</f>
        <v>0</v>
      </c>
      <c r="L4" s="981" t="s">
        <v>1580</v>
      </c>
      <c r="N4" s="981" t="str">
        <f>+F4</f>
        <v>Avail. For Amort</v>
      </c>
      <c r="O4" s="982">
        <f>36-O5</f>
        <v>0</v>
      </c>
      <c r="P4" s="981" t="s">
        <v>1580</v>
      </c>
      <c r="R4" s="981" t="str">
        <f>+J4</f>
        <v>Avail. For Amort</v>
      </c>
      <c r="S4" s="981">
        <f>36-S5</f>
        <v>0</v>
      </c>
      <c r="T4" s="981" t="s">
        <v>1580</v>
      </c>
      <c r="V4" s="981" t="str">
        <f>+R4</f>
        <v>Avail. For Amort</v>
      </c>
      <c r="W4" s="982">
        <f>36-W5</f>
        <v>0</v>
      </c>
      <c r="X4" s="981" t="s">
        <v>1580</v>
      </c>
      <c r="Z4" s="981" t="str">
        <f>+V4</f>
        <v>Avail. For Amort</v>
      </c>
      <c r="AA4" s="982">
        <f>36-AA5</f>
        <v>0</v>
      </c>
      <c r="AB4" s="981" t="str">
        <f>+X4</f>
        <v>Months</v>
      </c>
      <c r="AD4" s="981" t="str">
        <f>+Z4</f>
        <v>Avail. For Amort</v>
      </c>
      <c r="AE4" s="982">
        <f>36-AE5</f>
        <v>0</v>
      </c>
      <c r="AF4" s="981" t="str">
        <f>+AB4</f>
        <v>Months</v>
      </c>
      <c r="AH4" s="981" t="str">
        <f>+AD4</f>
        <v>Avail. For Amort</v>
      </c>
      <c r="AI4" s="982">
        <f>36-AI5</f>
        <v>0</v>
      </c>
      <c r="AJ4" s="981" t="str">
        <f>+AF4</f>
        <v>Months</v>
      </c>
      <c r="AL4" s="981" t="str">
        <f>+AH4</f>
        <v>Avail. For Amort</v>
      </c>
      <c r="AM4" s="982">
        <f>36-AM5</f>
        <v>0</v>
      </c>
      <c r="AN4" s="981" t="str">
        <f>+AJ4</f>
        <v>Months</v>
      </c>
      <c r="AP4" s="981" t="str">
        <f>+AL4</f>
        <v>Avail. For Amort</v>
      </c>
      <c r="AQ4" s="982">
        <f>36-AQ5</f>
        <v>0</v>
      </c>
      <c r="AR4" s="981" t="str">
        <f>+AN4</f>
        <v>Months</v>
      </c>
      <c r="AT4" s="981" t="str">
        <f>+AP4</f>
        <v>Avail. For Amort</v>
      </c>
      <c r="AU4" s="982">
        <f>36-AU5</f>
        <v>0</v>
      </c>
      <c r="AV4" s="981" t="str">
        <f>+AR4</f>
        <v>Months</v>
      </c>
      <c r="AX4" s="981" t="str">
        <f>+AT4</f>
        <v>Avail. For Amort</v>
      </c>
      <c r="AY4" s="982"/>
      <c r="AZ4" s="981" t="str">
        <f>+AV4</f>
        <v>Months</v>
      </c>
      <c r="BB4" s="981" t="str">
        <f>+AT4</f>
        <v>Avail. For Amort</v>
      </c>
      <c r="BC4" s="982">
        <f>36-BC5</f>
        <v>0</v>
      </c>
      <c r="BD4" s="981" t="str">
        <f>+AV4</f>
        <v>Months</v>
      </c>
      <c r="BF4" s="981" t="str">
        <f>+BB4</f>
        <v>Avail. For Amort</v>
      </c>
      <c r="BG4" s="982">
        <f>36-BG5</f>
        <v>0</v>
      </c>
      <c r="BH4" s="981" t="str">
        <f>+AV4</f>
        <v>Months</v>
      </c>
      <c r="BJ4" s="981" t="str">
        <f>+BF4</f>
        <v>Avail. For Amort</v>
      </c>
      <c r="BK4" s="982">
        <f>36-BK5</f>
        <v>1</v>
      </c>
      <c r="BL4" s="981" t="str">
        <f>+BD4</f>
        <v>Months</v>
      </c>
      <c r="BN4" s="981" t="str">
        <f>+BJ4</f>
        <v>Avail. For Amort</v>
      </c>
      <c r="BO4" s="982">
        <f>36-BO5</f>
        <v>7</v>
      </c>
      <c r="BP4" s="981" t="str">
        <f>+BH4</f>
        <v>Months</v>
      </c>
      <c r="BR4" s="981" t="str">
        <f>+BN4</f>
        <v>Avail. For Amort</v>
      </c>
      <c r="BS4" s="982">
        <f>36-BS5</f>
        <v>12</v>
      </c>
      <c r="BT4" s="981" t="str">
        <f>+BL4</f>
        <v>Months</v>
      </c>
      <c r="BV4" s="981" t="str">
        <f>+BR4</f>
        <v>Avail. For Amort</v>
      </c>
      <c r="BW4" s="982">
        <f>36-BW5</f>
        <v>16</v>
      </c>
      <c r="BX4" s="981" t="str">
        <f>+BT4</f>
        <v>Months</v>
      </c>
      <c r="BZ4" s="981" t="str">
        <f>+BV4</f>
        <v>Avail. For Amort</v>
      </c>
      <c r="CA4" s="982">
        <f>36-CA5</f>
        <v>36</v>
      </c>
      <c r="CB4" s="981" t="str">
        <f>+BX4</f>
        <v>Months</v>
      </c>
      <c r="CD4" s="981" t="str">
        <f>+BZ4</f>
        <v>Avail. For Amort</v>
      </c>
      <c r="CE4" s="982">
        <f>36-CE5</f>
        <v>20</v>
      </c>
      <c r="CF4" s="981"/>
      <c r="CH4" s="981" t="str">
        <f>+CD4</f>
        <v>Avail. For Amort</v>
      </c>
      <c r="CI4" s="982">
        <f>36-CI5</f>
        <v>25</v>
      </c>
      <c r="CJ4" s="981"/>
      <c r="CL4" s="981" t="str">
        <f>+CH4</f>
        <v>Avail. For Amort</v>
      </c>
      <c r="CM4" s="982">
        <f>36-CM5</f>
        <v>30</v>
      </c>
      <c r="CN4" s="981"/>
      <c r="CO4" s="882"/>
      <c r="CP4" s="981" t="str">
        <f>+CL4</f>
        <v>Avail. For Amort</v>
      </c>
      <c r="CQ4" s="982">
        <f>36-CQ5</f>
        <v>35</v>
      </c>
      <c r="CR4" s="981"/>
      <c r="CT4" s="981" t="str">
        <f>+CP4</f>
        <v>Avail. For Amort</v>
      </c>
      <c r="CU4" s="982">
        <f>36-CU5</f>
        <v>35</v>
      </c>
      <c r="CV4" s="981"/>
      <c r="CX4" s="981" t="str">
        <f>+CT4</f>
        <v>Avail. For Amort</v>
      </c>
      <c r="CY4" s="982">
        <f>36-CY5</f>
        <v>35</v>
      </c>
      <c r="CZ4" s="981"/>
      <c r="DB4" s="981" t="str">
        <f>+CX4</f>
        <v>Avail. For Amort</v>
      </c>
      <c r="DC4" s="982">
        <f>36-DC5</f>
        <v>35</v>
      </c>
      <c r="DD4" s="981"/>
      <c r="DF4" s="981"/>
      <c r="DG4" s="981"/>
      <c r="DH4" s="981"/>
      <c r="DJ4" s="981"/>
      <c r="DK4" s="981"/>
      <c r="DL4" s="981"/>
      <c r="DN4" s="981"/>
      <c r="DO4" s="981"/>
      <c r="DP4" s="981"/>
      <c r="DR4" s="1022"/>
      <c r="DS4" s="981"/>
      <c r="DT4" s="981"/>
    </row>
    <row r="5" spans="1:136" s="884" customFormat="1">
      <c r="A5" s="983"/>
      <c r="B5" s="912">
        <v>41791</v>
      </c>
      <c r="C5" s="986">
        <v>36</v>
      </c>
      <c r="D5" s="984" t="s">
        <v>1580</v>
      </c>
      <c r="E5" s="987"/>
      <c r="F5" s="912"/>
      <c r="G5" s="985"/>
      <c r="H5" s="984" t="str">
        <f>+D5</f>
        <v>Months</v>
      </c>
      <c r="I5" s="987"/>
      <c r="J5" s="912">
        <v>42125</v>
      </c>
      <c r="K5" s="986">
        <v>36</v>
      </c>
      <c r="L5" s="984" t="s">
        <v>1580</v>
      </c>
      <c r="M5" s="987"/>
      <c r="N5" s="912">
        <v>42156</v>
      </c>
      <c r="O5" s="986">
        <v>36</v>
      </c>
      <c r="P5" s="984" t="s">
        <v>1580</v>
      </c>
      <c r="Q5" s="987"/>
      <c r="R5" s="912">
        <v>42522</v>
      </c>
      <c r="S5" s="986">
        <v>36</v>
      </c>
      <c r="T5" s="984" t="s">
        <v>1580</v>
      </c>
      <c r="U5" s="987"/>
      <c r="V5" s="912"/>
      <c r="W5" s="986">
        <v>36</v>
      </c>
      <c r="X5" s="984" t="s">
        <v>1580</v>
      </c>
      <c r="Y5" s="987"/>
      <c r="Z5" s="912">
        <v>42675</v>
      </c>
      <c r="AA5" s="986">
        <v>36</v>
      </c>
      <c r="AB5" s="984" t="s">
        <v>1580</v>
      </c>
      <c r="AC5" s="987"/>
      <c r="AD5" s="988">
        <v>42826</v>
      </c>
      <c r="AE5" s="986">
        <v>36</v>
      </c>
      <c r="AF5" s="984" t="s">
        <v>1580</v>
      </c>
      <c r="AG5" s="987"/>
      <c r="AH5" s="988">
        <v>43160</v>
      </c>
      <c r="AI5" s="986">
        <v>36</v>
      </c>
      <c r="AJ5" s="984" t="str">
        <f>+AF5</f>
        <v>Months</v>
      </c>
      <c r="AK5" s="987"/>
      <c r="AL5" s="988">
        <v>43282</v>
      </c>
      <c r="AM5" s="986">
        <v>36</v>
      </c>
      <c r="AN5" s="984" t="str">
        <f>+AJ5</f>
        <v>Months</v>
      </c>
      <c r="AO5" s="987"/>
      <c r="AP5" s="988">
        <v>43374</v>
      </c>
      <c r="AQ5" s="986">
        <v>36</v>
      </c>
      <c r="AR5" s="984" t="str">
        <f>+AN5</f>
        <v>Months</v>
      </c>
      <c r="AS5" s="987"/>
      <c r="AT5" s="988">
        <v>43586</v>
      </c>
      <c r="AU5" s="986">
        <v>36</v>
      </c>
      <c r="AV5" s="984" t="str">
        <f>+AR5</f>
        <v>Months</v>
      </c>
      <c r="AW5" s="987"/>
      <c r="AX5" s="988">
        <v>43739</v>
      </c>
      <c r="AY5" s="986"/>
      <c r="AZ5" s="984" t="str">
        <f>+AV5</f>
        <v>Months</v>
      </c>
      <c r="BA5" s="987"/>
      <c r="BB5" s="988" t="e">
        <f>'Grasmere Imported Sows'!#REF!</f>
        <v>#REF!</v>
      </c>
      <c r="BC5" s="986">
        <v>36</v>
      </c>
      <c r="BD5" s="984" t="str">
        <f>+AV5</f>
        <v>Months</v>
      </c>
      <c r="BE5" s="987"/>
      <c r="BF5" s="988">
        <v>44173</v>
      </c>
      <c r="BG5" s="986">
        <v>36</v>
      </c>
      <c r="BH5" s="984" t="str">
        <f>+BD5</f>
        <v>Months</v>
      </c>
      <c r="BI5" s="1485"/>
      <c r="BJ5" s="988" t="e">
        <f>'Grasmere Imported Sows'!#REF!</f>
        <v>#REF!</v>
      </c>
      <c r="BK5" s="986">
        <v>35</v>
      </c>
      <c r="BL5" s="984" t="str">
        <f>+BH5</f>
        <v>Months</v>
      </c>
      <c r="BM5" s="1485"/>
      <c r="BN5" s="988">
        <v>44470</v>
      </c>
      <c r="BO5" s="986">
        <v>29</v>
      </c>
      <c r="BP5" s="984" t="str">
        <f>+BL5</f>
        <v>Months</v>
      </c>
      <c r="BQ5" s="987"/>
      <c r="BR5" s="988" t="e">
        <f>+'Grasmere Imported Sows'!#REF!</f>
        <v>#REF!</v>
      </c>
      <c r="BS5" s="986">
        <v>24</v>
      </c>
      <c r="BT5" s="984" t="str">
        <f>+BP5</f>
        <v>Months</v>
      </c>
      <c r="BU5" s="987"/>
      <c r="BV5" s="988">
        <v>44768</v>
      </c>
      <c r="BW5" s="986">
        <v>20</v>
      </c>
      <c r="BX5" s="984" t="str">
        <f>+BT5</f>
        <v>Months</v>
      </c>
      <c r="BY5" s="987"/>
      <c r="BZ5" s="988" t="e">
        <f>'Grasmere Imported Boars'!#REF!</f>
        <v>#REF!</v>
      </c>
      <c r="CA5" s="986">
        <v>0</v>
      </c>
      <c r="CB5" s="984" t="str">
        <f>+BX5</f>
        <v>Months</v>
      </c>
      <c r="CC5" s="1485"/>
      <c r="CD5" s="1759">
        <v>44887</v>
      </c>
      <c r="CE5" s="986">
        <v>16</v>
      </c>
      <c r="CF5" s="984" t="str">
        <f>+CB5</f>
        <v>Months</v>
      </c>
      <c r="CG5" s="1485"/>
      <c r="CH5" s="1759">
        <f>'Grasmere Imported Sows'!E29</f>
        <v>45017</v>
      </c>
      <c r="CI5" s="986">
        <v>11</v>
      </c>
      <c r="CJ5" s="984" t="str">
        <f>+CF5</f>
        <v>Months</v>
      </c>
      <c r="CK5" s="1485"/>
      <c r="CL5" s="1759" t="e">
        <f>'Grasmere Imported Sows'!#REF!</f>
        <v>#REF!</v>
      </c>
      <c r="CM5" s="1002">
        <v>6</v>
      </c>
      <c r="CN5" s="984" t="str">
        <f>+CJ5</f>
        <v>Months</v>
      </c>
      <c r="CO5" s="987"/>
      <c r="CP5" s="1759">
        <f>'Grasmere Imported Sows'!E52</f>
        <v>45328</v>
      </c>
      <c r="CQ5" s="1002">
        <v>1</v>
      </c>
      <c r="CR5" s="984" t="str">
        <f>+CN5</f>
        <v>Months</v>
      </c>
      <c r="CS5" s="1485"/>
      <c r="CT5" s="1759">
        <v>45474</v>
      </c>
      <c r="CU5" s="1002">
        <v>1</v>
      </c>
      <c r="CV5" s="984" t="str">
        <f>+CR5</f>
        <v>Months</v>
      </c>
      <c r="CW5" s="987"/>
      <c r="CX5" s="1759">
        <f>'Grasmere Imported Sows'!E83</f>
        <v>45627</v>
      </c>
      <c r="CY5" s="1002">
        <v>1</v>
      </c>
      <c r="CZ5" s="984" t="str">
        <f>+CV5</f>
        <v>Months</v>
      </c>
      <c r="DA5" s="987"/>
      <c r="DB5" s="1759">
        <v>45748</v>
      </c>
      <c r="DC5" s="1002">
        <v>1</v>
      </c>
      <c r="DD5" s="984" t="str">
        <f>+CZ5</f>
        <v>Months</v>
      </c>
      <c r="DE5" s="987"/>
      <c r="DF5" s="1759">
        <f>'Multiplier Imported Sows'!E227</f>
        <v>45901</v>
      </c>
      <c r="DG5" s="2083"/>
      <c r="DH5" s="2083"/>
      <c r="DI5" s="987"/>
      <c r="DJ5" s="1759">
        <f>'Multiplier Imported Sows'!E287</f>
        <v>46054</v>
      </c>
      <c r="DK5" s="2083"/>
      <c r="DL5" s="2083"/>
      <c r="DM5" s="987"/>
      <c r="DN5" s="1759">
        <f>+'Quarantine Sows'!E6</f>
        <v>46217</v>
      </c>
      <c r="DO5" s="2083"/>
      <c r="DP5" s="2083"/>
      <c r="DQ5" s="987"/>
      <c r="DR5" s="1612"/>
      <c r="DS5" s="986" t="s">
        <v>71</v>
      </c>
      <c r="DT5" s="1613"/>
      <c r="DU5" s="872"/>
      <c r="DV5" s="872"/>
      <c r="DW5" s="872"/>
      <c r="DX5" s="872"/>
      <c r="DY5" s="872"/>
      <c r="DZ5" s="872"/>
      <c r="EA5" s="872"/>
      <c r="EB5" s="872"/>
    </row>
    <row r="6" spans="1:136" s="884" customFormat="1">
      <c r="A6" s="989" t="s">
        <v>112</v>
      </c>
      <c r="B6" s="992" t="s">
        <v>1581</v>
      </c>
      <c r="C6" s="993" t="s">
        <v>1582</v>
      </c>
      <c r="D6" s="990" t="s">
        <v>1583</v>
      </c>
      <c r="E6" s="991"/>
      <c r="F6" s="992" t="str">
        <f>+B6</f>
        <v>Quantity</v>
      </c>
      <c r="G6" s="993" t="str">
        <f>+C6</f>
        <v>Unit Cost</v>
      </c>
      <c r="H6" s="990" t="str">
        <f>+D6</f>
        <v>Total Cost</v>
      </c>
      <c r="I6" s="991"/>
      <c r="J6" s="992" t="str">
        <f>+B6</f>
        <v>Quantity</v>
      </c>
      <c r="K6" s="993" t="str">
        <f>+C6</f>
        <v>Unit Cost</v>
      </c>
      <c r="L6" s="990" t="str">
        <f>+D6</f>
        <v>Total Cost</v>
      </c>
      <c r="M6" s="991"/>
      <c r="N6" s="992" t="str">
        <f>+J6</f>
        <v>Quantity</v>
      </c>
      <c r="O6" s="993" t="str">
        <f>+K6</f>
        <v>Unit Cost</v>
      </c>
      <c r="P6" s="990" t="str">
        <f>+L6</f>
        <v>Total Cost</v>
      </c>
      <c r="Q6" s="991"/>
      <c r="R6" s="992" t="str">
        <f>+F6</f>
        <v>Quantity</v>
      </c>
      <c r="S6" s="993" t="str">
        <f>+G6</f>
        <v>Unit Cost</v>
      </c>
      <c r="T6" s="990" t="str">
        <f>+H6</f>
        <v>Total Cost</v>
      </c>
      <c r="U6" s="991"/>
      <c r="V6" s="992" t="str">
        <f>+J6</f>
        <v>Quantity</v>
      </c>
      <c r="W6" s="993" t="str">
        <f>+K6</f>
        <v>Unit Cost</v>
      </c>
      <c r="X6" s="990" t="str">
        <f>+L6</f>
        <v>Total Cost</v>
      </c>
      <c r="Y6" s="991"/>
      <c r="Z6" s="992" t="str">
        <f>+V6</f>
        <v>Quantity</v>
      </c>
      <c r="AA6" s="993" t="str">
        <f>+W6</f>
        <v>Unit Cost</v>
      </c>
      <c r="AB6" s="990" t="str">
        <f>+X6</f>
        <v>Total Cost</v>
      </c>
      <c r="AC6" s="991"/>
      <c r="AD6" s="992" t="str">
        <f>+Z6</f>
        <v>Quantity</v>
      </c>
      <c r="AE6" s="993" t="str">
        <f>+AA6</f>
        <v>Unit Cost</v>
      </c>
      <c r="AF6" s="990" t="str">
        <f>+AB6</f>
        <v>Total Cost</v>
      </c>
      <c r="AG6" s="991"/>
      <c r="AH6" s="994" t="str">
        <f>+AD6</f>
        <v>Quantity</v>
      </c>
      <c r="AI6" s="993" t="str">
        <f>+AE6</f>
        <v>Unit Cost</v>
      </c>
      <c r="AJ6" s="990" t="str">
        <f>+AF6</f>
        <v>Total Cost</v>
      </c>
      <c r="AK6" s="991"/>
      <c r="AL6" s="994" t="str">
        <f>+AH6</f>
        <v>Quantity</v>
      </c>
      <c r="AM6" s="993" t="str">
        <f>+AI6</f>
        <v>Unit Cost</v>
      </c>
      <c r="AN6" s="990" t="str">
        <f>+AJ6</f>
        <v>Total Cost</v>
      </c>
      <c r="AO6" s="991"/>
      <c r="AP6" s="992" t="str">
        <f>+AL6</f>
        <v>Quantity</v>
      </c>
      <c r="AQ6" s="993" t="str">
        <f>+AM6</f>
        <v>Unit Cost</v>
      </c>
      <c r="AR6" s="990" t="str">
        <f>+AN6</f>
        <v>Total Cost</v>
      </c>
      <c r="AS6" s="991"/>
      <c r="AT6" s="995" t="str">
        <f>+AP6</f>
        <v>Quantity</v>
      </c>
      <c r="AU6" s="996" t="str">
        <f>+AQ6</f>
        <v>Unit Cost</v>
      </c>
      <c r="AV6" s="997" t="str">
        <f>+AR6</f>
        <v>Total Cost</v>
      </c>
      <c r="AW6" s="968"/>
      <c r="AX6" s="995" t="str">
        <f>+AT6</f>
        <v>Quantity</v>
      </c>
      <c r="AY6" s="996" t="str">
        <f>+AU6</f>
        <v>Unit Cost</v>
      </c>
      <c r="AZ6" s="997" t="str">
        <f>+AV6</f>
        <v>Total Cost</v>
      </c>
      <c r="BA6" s="968"/>
      <c r="BB6" s="995" t="str">
        <f>+AX6</f>
        <v>Quantity</v>
      </c>
      <c r="BC6" s="996" t="str">
        <f>+AY6</f>
        <v>Unit Cost</v>
      </c>
      <c r="BD6" s="997" t="str">
        <f>+AZ6</f>
        <v>Total Cost</v>
      </c>
      <c r="BE6" s="968"/>
      <c r="BF6" s="995" t="str">
        <f>+BB6</f>
        <v>Quantity</v>
      </c>
      <c r="BG6" s="996" t="str">
        <f>+BC6</f>
        <v>Unit Cost</v>
      </c>
      <c r="BH6" s="997" t="str">
        <f>+BD6</f>
        <v>Total Cost</v>
      </c>
      <c r="BI6" s="1486"/>
      <c r="BJ6" s="995" t="str">
        <f>+BF6</f>
        <v>Quantity</v>
      </c>
      <c r="BK6" s="996" t="str">
        <f>+BG6</f>
        <v>Unit Cost</v>
      </c>
      <c r="BL6" s="997" t="str">
        <f>+BH6</f>
        <v>Total Cost</v>
      </c>
      <c r="BM6" s="1486"/>
      <c r="BN6" s="995" t="str">
        <f>+BJ6</f>
        <v>Quantity</v>
      </c>
      <c r="BO6" s="996" t="str">
        <f>+BK6</f>
        <v>Unit Cost</v>
      </c>
      <c r="BP6" s="997" t="str">
        <f>+BL6</f>
        <v>Total Cost</v>
      </c>
      <c r="BQ6" s="968"/>
      <c r="BR6" s="996" t="str">
        <f>+BN6</f>
        <v>Quantity</v>
      </c>
      <c r="BS6" s="996" t="str">
        <f>+BO6</f>
        <v>Unit Cost</v>
      </c>
      <c r="BT6" s="996" t="str">
        <f>+BP6</f>
        <v>Total Cost</v>
      </c>
      <c r="BU6" s="968"/>
      <c r="BV6" s="996" t="str">
        <f>+BR6</f>
        <v>Quantity</v>
      </c>
      <c r="BW6" s="996" t="str">
        <f t="shared" ref="BW6:BX6" si="0">+BS6</f>
        <v>Unit Cost</v>
      </c>
      <c r="BX6" s="996" t="str">
        <f t="shared" si="0"/>
        <v>Total Cost</v>
      </c>
      <c r="BY6" s="968"/>
      <c r="BZ6" s="996" t="str">
        <f>+BV6</f>
        <v>Quantity</v>
      </c>
      <c r="CA6" s="996" t="str">
        <f t="shared" ref="CA6:CB6" si="1">+BW6</f>
        <v>Unit Cost</v>
      </c>
      <c r="CB6" s="996" t="str">
        <f t="shared" si="1"/>
        <v>Total Cost</v>
      </c>
      <c r="CC6" s="1486"/>
      <c r="CD6" s="996" t="str">
        <f>+BZ6</f>
        <v>Quantity</v>
      </c>
      <c r="CE6" s="996" t="str">
        <f t="shared" ref="CE6:CF6" si="2">+CA6</f>
        <v>Unit Cost</v>
      </c>
      <c r="CF6" s="996" t="str">
        <f t="shared" si="2"/>
        <v>Total Cost</v>
      </c>
      <c r="CG6" s="1486"/>
      <c r="CH6" s="996" t="str">
        <f>+CD6</f>
        <v>Quantity</v>
      </c>
      <c r="CI6" s="996" t="str">
        <f t="shared" ref="CI6:CJ6" si="3">+CE6</f>
        <v>Unit Cost</v>
      </c>
      <c r="CJ6" s="996" t="str">
        <f t="shared" si="3"/>
        <v>Total Cost</v>
      </c>
      <c r="CK6" s="1486"/>
      <c r="CL6" s="996" t="str">
        <f>+CH6</f>
        <v>Quantity</v>
      </c>
      <c r="CM6" s="996" t="str">
        <f t="shared" ref="CM6:CN6" si="4">+CI6</f>
        <v>Unit Cost</v>
      </c>
      <c r="CN6" s="996" t="str">
        <f t="shared" si="4"/>
        <v>Total Cost</v>
      </c>
      <c r="CO6" s="968"/>
      <c r="CP6" s="996" t="str">
        <f>+CL6</f>
        <v>Quantity</v>
      </c>
      <c r="CQ6" s="996" t="str">
        <f t="shared" ref="CQ6:CR6" si="5">+CM6</f>
        <v>Unit Cost</v>
      </c>
      <c r="CR6" s="996" t="str">
        <f t="shared" si="5"/>
        <v>Total Cost</v>
      </c>
      <c r="CS6" s="1486"/>
      <c r="CT6" s="996" t="str">
        <f>+CP6</f>
        <v>Quantity</v>
      </c>
      <c r="CU6" s="996" t="str">
        <f t="shared" ref="CU6:CV6" si="6">+CQ6</f>
        <v>Unit Cost</v>
      </c>
      <c r="CV6" s="996" t="str">
        <f t="shared" si="6"/>
        <v>Total Cost</v>
      </c>
      <c r="CW6" s="968"/>
      <c r="CX6" s="996" t="str">
        <f>+CT6</f>
        <v>Quantity</v>
      </c>
      <c r="CY6" s="996" t="str">
        <f t="shared" ref="CY6:CZ6" si="7">+CU6</f>
        <v>Unit Cost</v>
      </c>
      <c r="CZ6" s="996" t="str">
        <f t="shared" si="7"/>
        <v>Total Cost</v>
      </c>
      <c r="DA6" s="968"/>
      <c r="DB6" s="996" t="str">
        <f>+CX6</f>
        <v>Quantity</v>
      </c>
      <c r="DC6" s="996" t="str">
        <f t="shared" ref="DC6:DD6" si="8">+CY6</f>
        <v>Unit Cost</v>
      </c>
      <c r="DD6" s="996" t="str">
        <f t="shared" si="8"/>
        <v>Total Cost</v>
      </c>
      <c r="DE6" s="968"/>
      <c r="DF6" s="996"/>
      <c r="DG6" s="996"/>
      <c r="DH6" s="996"/>
      <c r="DI6" s="968"/>
      <c r="DJ6" s="996"/>
      <c r="DK6" s="996"/>
      <c r="DL6" s="996"/>
      <c r="DM6" s="968"/>
      <c r="DN6" s="996"/>
      <c r="DO6" s="996"/>
      <c r="DP6" s="996"/>
      <c r="DQ6" s="968"/>
      <c r="DR6" s="1614" t="str">
        <f>+BN6</f>
        <v>Quantity</v>
      </c>
      <c r="DS6" s="1615" t="str">
        <f>+BO6</f>
        <v>Unit Cost</v>
      </c>
      <c r="DT6" s="1616" t="str">
        <f>+BP6</f>
        <v>Total Cost</v>
      </c>
      <c r="DU6" s="872"/>
      <c r="DV6" s="872"/>
      <c r="DW6" s="872"/>
      <c r="DX6" s="872"/>
      <c r="DY6" s="872"/>
      <c r="DZ6" s="872"/>
      <c r="EA6" s="872"/>
      <c r="EB6" s="872"/>
    </row>
    <row r="7" spans="1:136" s="1021" customFormat="1">
      <c r="A7" s="1023" t="s">
        <v>1584</v>
      </c>
      <c r="B7" s="960">
        <v>33</v>
      </c>
      <c r="C7" s="1025">
        <f>+D7/B7</f>
        <v>9687.7527272727275</v>
      </c>
      <c r="D7" s="936">
        <f>+[37]Grasmere!$H$36*4</f>
        <v>319695.84000000003</v>
      </c>
      <c r="E7" s="889"/>
      <c r="F7" s="960"/>
      <c r="G7" s="1025"/>
      <c r="H7" s="936"/>
      <c r="I7" s="889"/>
      <c r="J7" s="960">
        <v>44</v>
      </c>
      <c r="K7" s="1025">
        <f>+L7/J7</f>
        <v>8391.5645454545465</v>
      </c>
      <c r="L7" s="936">
        <f>(91352.21+955)*4</f>
        <v>369228.84</v>
      </c>
      <c r="M7" s="889"/>
      <c r="N7" s="960">
        <v>40</v>
      </c>
      <c r="O7" s="1025">
        <f>+P7/N7</f>
        <v>8584.0190000000002</v>
      </c>
      <c r="P7" s="936">
        <f>(86247.61-407.42)*4</f>
        <v>343360.76</v>
      </c>
      <c r="Q7" s="889"/>
      <c r="R7" s="960">
        <v>44</v>
      </c>
      <c r="S7" s="1025">
        <f>+[38]Grasmere!$G$54*4</f>
        <v>7053.0254545454545</v>
      </c>
      <c r="T7" s="936">
        <f>+R7*S7</f>
        <v>310333.12</v>
      </c>
      <c r="U7" s="889"/>
      <c r="V7" s="960"/>
      <c r="W7" s="1025"/>
      <c r="X7" s="936"/>
      <c r="Y7" s="889"/>
      <c r="Z7" s="960">
        <v>44</v>
      </c>
      <c r="AA7" s="959">
        <f>+AB7/Z7</f>
        <v>8392.9954366188013</v>
      </c>
      <c r="AB7" s="936">
        <v>369291.79921122722</v>
      </c>
      <c r="AC7" s="889"/>
      <c r="AD7" s="960">
        <v>44</v>
      </c>
      <c r="AE7" s="959">
        <f>114133.28/44*4/1.125</f>
        <v>9222.8913131313129</v>
      </c>
      <c r="AF7" s="936">
        <f>+AD7*AE7</f>
        <v>405807.21777777775</v>
      </c>
      <c r="AG7" s="889"/>
      <c r="AH7" s="960">
        <v>36</v>
      </c>
      <c r="AI7" s="959">
        <f>4006.81/1.6*4</f>
        <v>10017.025</v>
      </c>
      <c r="AJ7" s="936">
        <f>+AH7*AI7</f>
        <v>360612.89999999997</v>
      </c>
      <c r="AK7" s="889"/>
      <c r="AL7" s="960">
        <v>35</v>
      </c>
      <c r="AM7" s="1026">
        <f>4392.69/1.8*4</f>
        <v>9761.5333333333328</v>
      </c>
      <c r="AN7" s="936">
        <f>+AL7*AM7</f>
        <v>341653.66666666663</v>
      </c>
      <c r="AO7" s="889"/>
      <c r="AP7" s="960">
        <v>39</v>
      </c>
      <c r="AQ7" s="959">
        <f>+[39]Sheet1!$H$23/3.7*4</f>
        <v>8399.1235584543974</v>
      </c>
      <c r="AR7" s="936">
        <f>+AP7*AQ7</f>
        <v>327565.81877972151</v>
      </c>
      <c r="AS7" s="889"/>
      <c r="AT7" s="960">
        <f>+'[40]Grasmere valuation '!BL7</f>
        <v>147</v>
      </c>
      <c r="AU7" s="959">
        <f>+'[40]Grasmere valuation '!BM7</f>
        <v>16046.636819943167</v>
      </c>
      <c r="AV7" s="936">
        <f>+'[40]Grasmere valuation '!BN7</f>
        <v>2358855.6125316457</v>
      </c>
      <c r="AW7" s="889"/>
      <c r="AX7" s="960"/>
      <c r="AY7" s="959"/>
      <c r="AZ7" s="936"/>
      <c r="BA7" s="889"/>
      <c r="BB7" s="960">
        <v>81</v>
      </c>
      <c r="BC7" s="959">
        <f>+BD7/BB7</f>
        <v>199948.32943761846</v>
      </c>
      <c r="BD7" s="936">
        <v>16195814.684447095</v>
      </c>
      <c r="BE7" s="889"/>
      <c r="BF7" s="960">
        <v>47</v>
      </c>
      <c r="BG7" s="959">
        <f>+[41]Sheet1!$L$45</f>
        <v>234317.26664502168</v>
      </c>
      <c r="BH7" s="936">
        <f>+BF7*BG7</f>
        <v>11012911.53231602</v>
      </c>
      <c r="BI7" s="1487"/>
      <c r="BJ7" s="960">
        <v>63</v>
      </c>
      <c r="BK7" s="959">
        <f>+'[42]May 2021'!$K$29</f>
        <v>300760.73609469831</v>
      </c>
      <c r="BL7" s="936">
        <f>+BJ7*BK7</f>
        <v>18947926.373965994</v>
      </c>
      <c r="BM7" s="1487"/>
      <c r="BN7" s="960">
        <v>63</v>
      </c>
      <c r="BO7" s="959">
        <f>+'[42]October 21'!$L$32</f>
        <v>454374.45382046868</v>
      </c>
      <c r="BP7" s="936">
        <f>+BN7*BO7</f>
        <v>28625590.590689529</v>
      </c>
      <c r="BQ7" s="889"/>
      <c r="BR7" s="960">
        <v>67</v>
      </c>
      <c r="BS7" s="959">
        <f>+'[43]March 22'!$L$26</f>
        <v>678679.52865999355</v>
      </c>
      <c r="BT7" s="936">
        <f>+BR7*BS7</f>
        <v>45471528.42021957</v>
      </c>
      <c r="BU7" s="889"/>
      <c r="BV7" s="960">
        <v>62</v>
      </c>
      <c r="BW7" s="959">
        <f>+'[44]July 22'!$L$31</f>
        <v>1928201.8379708324</v>
      </c>
      <c r="BX7" s="936">
        <f>+BV7*BW7</f>
        <v>119548513.95419161</v>
      </c>
      <c r="BY7" s="889"/>
      <c r="BZ7" s="959"/>
      <c r="CA7" s="959"/>
      <c r="CB7" s="959"/>
      <c r="CC7" s="1487"/>
      <c r="CD7" s="959">
        <v>57</v>
      </c>
      <c r="CE7" s="959">
        <f>+'[45]Nov 2022'!$L$31</f>
        <v>1718030.6987312208</v>
      </c>
      <c r="CF7" s="936">
        <f>+CD7*CE7</f>
        <v>97927749.827679589</v>
      </c>
      <c r="CG7" s="1487"/>
      <c r="CH7" s="959">
        <v>63</v>
      </c>
      <c r="CI7" s="1818">
        <f>'[46]April 2023'!$L$35</f>
        <v>4481824.7167510167</v>
      </c>
      <c r="CJ7" s="936">
        <f>+CH7*CI7</f>
        <v>282354957.15531403</v>
      </c>
      <c r="CK7" s="1487"/>
      <c r="CL7" s="959">
        <f>'[47]September 2023'!$C$35</f>
        <v>63</v>
      </c>
      <c r="CM7" s="1818">
        <f>'[47]September 2023'!$L$35</f>
        <v>2400.2507468139415</v>
      </c>
      <c r="CN7" s="936">
        <f>+CL7*CM7</f>
        <v>151215.79704927831</v>
      </c>
      <c r="CO7" s="889"/>
      <c r="CP7" s="959">
        <f>'[47]February 2024'!$C$38</f>
        <v>71</v>
      </c>
      <c r="CQ7" s="1818">
        <f>'[47]February 2024'!$L$38</f>
        <v>2636.1338769012727</v>
      </c>
      <c r="CR7" s="936">
        <f>+CP7*CQ7</f>
        <v>187165.50525999037</v>
      </c>
      <c r="CS7" s="1487"/>
      <c r="CT7" s="959">
        <v>63</v>
      </c>
      <c r="CU7" s="1818">
        <f>'[48]July 2024'!$L$38</f>
        <v>2712.5979856433833</v>
      </c>
      <c r="CV7" s="936">
        <f>+CT7*CU7</f>
        <v>170893.67309553316</v>
      </c>
      <c r="CW7" s="889"/>
      <c r="CX7" s="959">
        <v>63</v>
      </c>
      <c r="CY7" s="1818">
        <f>'[48]July 2024'!$L$38</f>
        <v>2712.5979856433833</v>
      </c>
      <c r="CZ7" s="936">
        <f>+CX7*CY7</f>
        <v>170893.67309553316</v>
      </c>
      <c r="DA7" s="889"/>
      <c r="DB7" s="959">
        <v>84</v>
      </c>
      <c r="DC7" s="1818">
        <f>'[48]July 2024'!$L$38</f>
        <v>2712.5979856433833</v>
      </c>
      <c r="DD7" s="936">
        <f>+DB7*DC7</f>
        <v>227858.23079404418</v>
      </c>
      <c r="DE7" s="889"/>
      <c r="DF7" s="959">
        <v>84</v>
      </c>
      <c r="DG7" s="959"/>
      <c r="DH7" s="959"/>
      <c r="DI7" s="889"/>
      <c r="DJ7" s="959">
        <v>63</v>
      </c>
      <c r="DK7" s="959"/>
      <c r="DL7" s="959"/>
      <c r="DM7" s="889"/>
      <c r="DN7" s="959">
        <v>84</v>
      </c>
      <c r="DO7" s="959"/>
      <c r="DP7" s="959"/>
      <c r="DQ7" s="889"/>
      <c r="DR7" s="1606">
        <f>+B7+F7+J7+N7+R7+V7+Z7+AD7+AH7+AL7+AP7+AT7+AX7+BB7+BF7+BJ7+BN7+BR7+BV7+BZ7+CD7+CH7+CL7+CP7+CT7+CX7+DB7+DF7+DJ7+DN7</f>
        <v>1584</v>
      </c>
      <c r="DS7" s="1611">
        <f>+DT7/DR7</f>
        <v>395157.68902531551</v>
      </c>
      <c r="DT7" s="1607">
        <f>+D7+H7+L7+P7+T7+X7+AB7+AF7+AJ7+AN7+AR7+AV7+AZ7+BD7+BH7+BL7+BP7+BT7+BX7+CB7+CF7+CJ7+CN7+CR7</f>
        <v>625929779.41609979</v>
      </c>
    </row>
    <row r="8" spans="1:136" s="1021" customFormat="1">
      <c r="A8" s="1023" t="s">
        <v>169</v>
      </c>
      <c r="B8" s="960">
        <f>+B9-B7</f>
        <v>-33</v>
      </c>
      <c r="C8" s="1025">
        <f>+C7</f>
        <v>9687.7527272727275</v>
      </c>
      <c r="D8" s="936">
        <f>+C8*B8</f>
        <v>-319695.84000000003</v>
      </c>
      <c r="E8" s="889"/>
      <c r="F8" s="960"/>
      <c r="G8" s="1025"/>
      <c r="H8" s="936"/>
      <c r="I8" s="889"/>
      <c r="J8" s="960">
        <f>+J9-J7</f>
        <v>-44</v>
      </c>
      <c r="K8" s="1025">
        <f>+K7</f>
        <v>8391.5645454545465</v>
      </c>
      <c r="L8" s="936">
        <f>+K8*J8</f>
        <v>-369228.84</v>
      </c>
      <c r="M8" s="889"/>
      <c r="N8" s="960">
        <f>+N9-N7</f>
        <v>-40</v>
      </c>
      <c r="O8" s="1025">
        <f>+O7</f>
        <v>8584.0190000000002</v>
      </c>
      <c r="P8" s="936">
        <f>+O8*N8</f>
        <v>-343360.76</v>
      </c>
      <c r="Q8" s="889"/>
      <c r="R8" s="960">
        <f>+R9-R7</f>
        <v>-44</v>
      </c>
      <c r="S8" s="1025">
        <f>+S7</f>
        <v>7053.0254545454545</v>
      </c>
      <c r="T8" s="936">
        <f>+S8*R8</f>
        <v>-310333.12</v>
      </c>
      <c r="U8" s="889"/>
      <c r="V8" s="960"/>
      <c r="W8" s="1025"/>
      <c r="X8" s="936"/>
      <c r="Y8" s="889"/>
      <c r="Z8" s="960">
        <f>+Z9-Z7</f>
        <v>-44</v>
      </c>
      <c r="AA8" s="959">
        <f>+AA7</f>
        <v>8392.9954366188013</v>
      </c>
      <c r="AB8" s="936">
        <f>+Z8*AA8</f>
        <v>-369291.79921122728</v>
      </c>
      <c r="AC8" s="889"/>
      <c r="AD8" s="960">
        <f>+AD9-AD7</f>
        <v>-44</v>
      </c>
      <c r="AE8" s="959">
        <f>+AE7</f>
        <v>9222.8913131313129</v>
      </c>
      <c r="AF8" s="936">
        <f>+AD8*AE8</f>
        <v>-405807.21777777775</v>
      </c>
      <c r="AG8" s="889"/>
      <c r="AH8" s="960">
        <f>+AH9-AH7</f>
        <v>-36</v>
      </c>
      <c r="AI8" s="959">
        <f>+AI7</f>
        <v>10017.025</v>
      </c>
      <c r="AJ8" s="936">
        <f>+AH8*AI8</f>
        <v>-360612.89999999997</v>
      </c>
      <c r="AK8" s="889"/>
      <c r="AL8" s="960">
        <f>+AL9-AL7</f>
        <v>-35</v>
      </c>
      <c r="AM8" s="959">
        <f>+AM7</f>
        <v>9761.5333333333328</v>
      </c>
      <c r="AN8" s="936">
        <f>+AL8*AM8</f>
        <v>-341653.66666666663</v>
      </c>
      <c r="AO8" s="889"/>
      <c r="AP8" s="960">
        <f>+AP9-AP7</f>
        <v>-39</v>
      </c>
      <c r="AQ8" s="959">
        <f>+AQ7</f>
        <v>8399.1235584543974</v>
      </c>
      <c r="AR8" s="936">
        <f>+AP8*AQ8</f>
        <v>-327565.81877972151</v>
      </c>
      <c r="AS8" s="889"/>
      <c r="AT8" s="960">
        <f>+AT9-AT7</f>
        <v>-147</v>
      </c>
      <c r="AU8" s="959">
        <f>+'[40]Grasmere valuation '!BM8</f>
        <v>16046.636819943167</v>
      </c>
      <c r="AV8" s="936">
        <f>+AT8*AU8</f>
        <v>-2358855.6125316457</v>
      </c>
      <c r="AW8" s="889"/>
      <c r="AX8" s="960"/>
      <c r="AY8" s="959"/>
      <c r="AZ8" s="936"/>
      <c r="BA8" s="889"/>
      <c r="BB8" s="960">
        <f>+BB9-BB7</f>
        <v>-80</v>
      </c>
      <c r="BC8" s="959">
        <f>+BC7</f>
        <v>199948.32943761846</v>
      </c>
      <c r="BD8" s="936">
        <f>+BB8*BC8</f>
        <v>-15995866.355009478</v>
      </c>
      <c r="BE8" s="889"/>
      <c r="BF8" s="960">
        <f>+BF9-BF7</f>
        <v>-47</v>
      </c>
      <c r="BG8" s="959">
        <f>+BG7</f>
        <v>234317.26664502168</v>
      </c>
      <c r="BH8" s="936">
        <f>+BF8*BG8</f>
        <v>-11012911.53231602</v>
      </c>
      <c r="BI8" s="1487"/>
      <c r="BJ8" s="960">
        <f>+BJ9-BJ7</f>
        <v>-62</v>
      </c>
      <c r="BK8" s="959">
        <f>+BK7</f>
        <v>300760.73609469831</v>
      </c>
      <c r="BL8" s="936">
        <f>+BJ8*BK8</f>
        <v>-18647165.637871295</v>
      </c>
      <c r="BM8" s="1487"/>
      <c r="BN8" s="960">
        <f>+BN9-BN7</f>
        <v>-60</v>
      </c>
      <c r="BO8" s="959">
        <f>+BO7</f>
        <v>454374.45382046868</v>
      </c>
      <c r="BP8" s="936">
        <f>+BN8*BO8</f>
        <v>-27262467.22922812</v>
      </c>
      <c r="BQ8" s="889"/>
      <c r="BR8" s="960">
        <f>+BR9-BR7</f>
        <v>-64</v>
      </c>
      <c r="BS8" s="959">
        <f>+BS7</f>
        <v>678679.52865999355</v>
      </c>
      <c r="BT8" s="936">
        <f>+BR8*BS8</f>
        <v>-43435489.834239587</v>
      </c>
      <c r="BU8" s="889"/>
      <c r="BV8" s="960">
        <f>+BV9-BV7</f>
        <v>-55</v>
      </c>
      <c r="BW8" s="959">
        <f>+BW7</f>
        <v>1928201.8379708324</v>
      </c>
      <c r="BX8" s="936">
        <f>+BV8*BW8</f>
        <v>-106051101.08839577</v>
      </c>
      <c r="BY8" s="889"/>
      <c r="BZ8" s="959"/>
      <c r="CA8" s="959"/>
      <c r="CB8" s="959"/>
      <c r="CC8" s="1487"/>
      <c r="CD8" s="960">
        <f>+CD9-CD7</f>
        <v>-38</v>
      </c>
      <c r="CE8" s="959">
        <f>+CE7</f>
        <v>1718030.6987312208</v>
      </c>
      <c r="CF8" s="936">
        <f>+CD8*CE8</f>
        <v>-65285166.551786393</v>
      </c>
      <c r="CG8" s="1487"/>
      <c r="CH8" s="960">
        <f>+CH9-CH7</f>
        <v>-41</v>
      </c>
      <c r="CI8" s="959">
        <f>+CI7</f>
        <v>4481824.7167510167</v>
      </c>
      <c r="CJ8" s="936">
        <f>+CH8*CI8</f>
        <v>-183754813.38679168</v>
      </c>
      <c r="CK8" s="1487"/>
      <c r="CL8" s="960">
        <f>+CL9-CL7</f>
        <v>-33</v>
      </c>
      <c r="CM8" s="959">
        <f>+CM7</f>
        <v>2400.2507468139415</v>
      </c>
      <c r="CN8" s="936">
        <f>+CL8*CM8</f>
        <v>-79208.274644860066</v>
      </c>
      <c r="CO8" s="889"/>
      <c r="CP8" s="960">
        <f>+CP9-CP7</f>
        <v>-32</v>
      </c>
      <c r="CQ8" s="959">
        <f>+CQ7</f>
        <v>2636.1338769012727</v>
      </c>
      <c r="CR8" s="936">
        <f>+CP8*CQ8</f>
        <v>-84356.284060840728</v>
      </c>
      <c r="CS8" s="1487"/>
      <c r="CT8" s="960">
        <f>+CT9-CT7</f>
        <v>-27</v>
      </c>
      <c r="CU8" s="959">
        <f>+CU7</f>
        <v>2712.5979856433833</v>
      </c>
      <c r="CV8" s="936">
        <f>+CT8*CU8</f>
        <v>-73240.145612371343</v>
      </c>
      <c r="CW8" s="889"/>
      <c r="CX8" s="960">
        <f>+CX9-CX7</f>
        <v>-18</v>
      </c>
      <c r="CY8" s="959">
        <f>+CY7</f>
        <v>2712.5979856433833</v>
      </c>
      <c r="CZ8" s="936">
        <f>+CX8*CY8</f>
        <v>-48826.7637415809</v>
      </c>
      <c r="DA8" s="889"/>
      <c r="DB8" s="960">
        <f>+DB9-DB7</f>
        <v>-17</v>
      </c>
      <c r="DC8" s="959">
        <f>+DC7</f>
        <v>2712.5979856433833</v>
      </c>
      <c r="DD8" s="936">
        <f>+DB8*DC8</f>
        <v>-46114.165755937516</v>
      </c>
      <c r="DE8" s="889"/>
      <c r="DF8" s="960">
        <f>+DF9-DF7</f>
        <v>-11</v>
      </c>
      <c r="DG8" s="959"/>
      <c r="DH8" s="959"/>
      <c r="DI8" s="889"/>
      <c r="DJ8" s="960">
        <f>+DJ9-DJ7</f>
        <v>-1</v>
      </c>
      <c r="DK8" s="959"/>
      <c r="DL8" s="959"/>
      <c r="DM8" s="889"/>
      <c r="DN8" s="960">
        <f>+DN9-DN7</f>
        <v>0</v>
      </c>
      <c r="DO8" s="959"/>
      <c r="DP8" s="959"/>
      <c r="DQ8" s="889"/>
      <c r="DR8" s="1606">
        <f>+B8+F8+J8+N8+R8+V8+Z8+AD8+AH8+AL8+AP8+AT8+AX8+BB8+BF8+BJ8+BN8+BR8+BV8+BZ8+CD8+CH8+CL8+CP8+CT8+CX8+DB8+DF8</f>
        <v>-1091</v>
      </c>
      <c r="DS8" s="1611">
        <f>+DT8/DR8</f>
        <v>437318.92919276911</v>
      </c>
      <c r="DT8" s="1607">
        <f>+D8+H8+L8+P8+T8+X8+AB8+AF8+AJ8+AN8+AR8+AV8+AZ8+BD8+BH8+BL8+BP8+BT8+BX8+CB8+CF8+CJ8+CN8+CR8</f>
        <v>-477114951.74931109</v>
      </c>
    </row>
    <row r="9" spans="1:136" s="872" customFormat="1">
      <c r="A9" s="998" t="s">
        <v>1585</v>
      </c>
      <c r="B9" s="930">
        <v>0</v>
      </c>
      <c r="C9" s="931">
        <f>+C8</f>
        <v>9687.7527272727275</v>
      </c>
      <c r="D9" s="932">
        <f>SUM(D7:D8)</f>
        <v>0</v>
      </c>
      <c r="E9" s="999"/>
      <c r="F9" s="930"/>
      <c r="G9" s="931"/>
      <c r="H9" s="932"/>
      <c r="I9" s="999"/>
      <c r="J9" s="930">
        <v>0</v>
      </c>
      <c r="K9" s="931">
        <f>+K8</f>
        <v>8391.5645454545465</v>
      </c>
      <c r="L9" s="932">
        <f>SUM(L7:L8)</f>
        <v>0</v>
      </c>
      <c r="M9" s="999"/>
      <c r="N9" s="930">
        <v>0</v>
      </c>
      <c r="O9" s="931">
        <f>+O8</f>
        <v>8584.0190000000002</v>
      </c>
      <c r="P9" s="932">
        <f>SUM(P7:P8)</f>
        <v>0</v>
      </c>
      <c r="Q9" s="999"/>
      <c r="R9" s="930">
        <v>0</v>
      </c>
      <c r="S9" s="931">
        <f>+S8</f>
        <v>7053.0254545454545</v>
      </c>
      <c r="T9" s="932">
        <f>SUM(T7:T8)</f>
        <v>0</v>
      </c>
      <c r="U9" s="999"/>
      <c r="V9" s="930"/>
      <c r="W9" s="931"/>
      <c r="X9" s="932"/>
      <c r="Y9" s="999"/>
      <c r="Z9" s="930">
        <v>0</v>
      </c>
      <c r="AA9" s="931">
        <f>+AA8</f>
        <v>8392.9954366188013</v>
      </c>
      <c r="AB9" s="932">
        <f>SUM(AB7:AB8)</f>
        <v>0</v>
      </c>
      <c r="AC9" s="999"/>
      <c r="AD9" s="930">
        <v>0</v>
      </c>
      <c r="AE9" s="931">
        <f>+AE8</f>
        <v>9222.8913131313129</v>
      </c>
      <c r="AF9" s="932">
        <f>SUM(AF7:AF8)</f>
        <v>0</v>
      </c>
      <c r="AG9" s="999"/>
      <c r="AH9" s="930">
        <v>0</v>
      </c>
      <c r="AI9" s="931">
        <f>+AI8</f>
        <v>10017.025</v>
      </c>
      <c r="AJ9" s="932">
        <f>SUM(AJ7:AJ8)</f>
        <v>0</v>
      </c>
      <c r="AK9" s="999"/>
      <c r="AL9" s="930">
        <v>0</v>
      </c>
      <c r="AM9" s="931">
        <f>+AM8</f>
        <v>9761.5333333333328</v>
      </c>
      <c r="AN9" s="932">
        <f>SUM(AN7:AN8)</f>
        <v>0</v>
      </c>
      <c r="AO9" s="999"/>
      <c r="AP9" s="930">
        <v>0</v>
      </c>
      <c r="AQ9" s="931">
        <f>+AQ8</f>
        <v>8399.1235584543974</v>
      </c>
      <c r="AR9" s="932">
        <f>SUM(AR7:AR8)</f>
        <v>0</v>
      </c>
      <c r="AS9" s="999"/>
      <c r="AT9" s="930">
        <v>0</v>
      </c>
      <c r="AU9" s="931">
        <f>+AU8</f>
        <v>16046.636819943167</v>
      </c>
      <c r="AV9" s="932">
        <f>SUM(AV7:AV8)</f>
        <v>0</v>
      </c>
      <c r="AW9" s="999"/>
      <c r="AX9" s="930"/>
      <c r="AY9" s="931"/>
      <c r="AZ9" s="932"/>
      <c r="BA9" s="999"/>
      <c r="BB9" s="930">
        <f>'Grasmere Imported Valuation'!BB9+'Multiplier Imported Valuation'!C9</f>
        <v>1</v>
      </c>
      <c r="BC9" s="931">
        <f>+BC8</f>
        <v>199948.32943761846</v>
      </c>
      <c r="BD9" s="932">
        <f>SUM(BD7:BD8)</f>
        <v>199948.32943761721</v>
      </c>
      <c r="BE9" s="999"/>
      <c r="BF9" s="930">
        <f>'Grasmere Imported Valuation'!BF9+'Multiplier Imported Valuation'!G9</f>
        <v>0</v>
      </c>
      <c r="BG9" s="931">
        <f>+BG8</f>
        <v>234317.26664502168</v>
      </c>
      <c r="BH9" s="932">
        <f>SUM(BH7:BH8)</f>
        <v>0</v>
      </c>
      <c r="BI9" s="1488"/>
      <c r="BJ9" s="930">
        <f>'Grasmere Imported Valuation'!BJ9+'Multiplier Imported Valuation'!K9</f>
        <v>1</v>
      </c>
      <c r="BK9" s="931">
        <f>+BK8</f>
        <v>300760.73609469831</v>
      </c>
      <c r="BL9" s="932">
        <f>SUM(BL7:BL8)</f>
        <v>300760.73609469831</v>
      </c>
      <c r="BM9" s="1488"/>
      <c r="BN9" s="930">
        <f>'Grasmere Imported Valuation'!BN9+'Multiplier Imported Valuation'!O9</f>
        <v>3</v>
      </c>
      <c r="BO9" s="931">
        <f>+BO8</f>
        <v>454374.45382046868</v>
      </c>
      <c r="BP9" s="932">
        <f>SUM(BP7:BP8)</f>
        <v>1363123.3614614084</v>
      </c>
      <c r="BQ9" s="999"/>
      <c r="BR9" s="930">
        <f>'Grasmere Imported Valuation'!BR9+'Multiplier Imported Valuation'!S9</f>
        <v>3</v>
      </c>
      <c r="BS9" s="931">
        <f>+BS8</f>
        <v>678679.52865999355</v>
      </c>
      <c r="BT9" s="932">
        <f>SUM(BT7:BT8)</f>
        <v>2036038.5859799832</v>
      </c>
      <c r="BU9" s="999"/>
      <c r="BV9" s="930">
        <f>'Grasmere Imported Valuation'!BV9+'Multiplier Imported Valuation'!W9</f>
        <v>7</v>
      </c>
      <c r="BW9" s="931">
        <f>+BW8</f>
        <v>1928201.8379708324</v>
      </c>
      <c r="BX9" s="932">
        <f>SUM(BX7:BX8)</f>
        <v>13497412.865795836</v>
      </c>
      <c r="BY9" s="999"/>
      <c r="BZ9" s="931"/>
      <c r="CA9" s="931"/>
      <c r="CB9" s="931"/>
      <c r="CC9" s="1488"/>
      <c r="CD9" s="930">
        <f>'Grasmere Imported Valuation'!CD9+'Multiplier Imported Valuation'!AE9</f>
        <v>19</v>
      </c>
      <c r="CE9" s="931">
        <f>+CE8</f>
        <v>1718030.6987312208</v>
      </c>
      <c r="CF9" s="932">
        <f>SUM(CF7:CF8)</f>
        <v>32642583.275893196</v>
      </c>
      <c r="CG9" s="1488"/>
      <c r="CH9" s="930">
        <f>'Grasmere Imported Valuation'!CH9+'Multiplier Imported Valuation'!AI9</f>
        <v>22</v>
      </c>
      <c r="CI9" s="1819">
        <f>+CI8</f>
        <v>4481824.7167510167</v>
      </c>
      <c r="CJ9" s="932">
        <f>SUM(CJ7:CJ8)</f>
        <v>98600143.768522352</v>
      </c>
      <c r="CK9" s="1488"/>
      <c r="CL9" s="930">
        <f>'Grasmere Imported Valuation'!CL9+'Multiplier Imported Valuation'!AM9</f>
        <v>30</v>
      </c>
      <c r="CM9" s="1819">
        <f>+CM8</f>
        <v>2400.2507468139415</v>
      </c>
      <c r="CN9" s="932">
        <f>SUM(CN7:CN8)</f>
        <v>72007.52240441824</v>
      </c>
      <c r="CO9" s="999"/>
      <c r="CP9" s="930">
        <f>'Grasmere Imported Valuation'!CP9+'Multiplier Imported Valuation'!AQ9</f>
        <v>39</v>
      </c>
      <c r="CQ9" s="1819">
        <f>+CQ8</f>
        <v>2636.1338769012727</v>
      </c>
      <c r="CR9" s="932">
        <f>SUM(CR7:CR8)</f>
        <v>102809.22119914964</v>
      </c>
      <c r="CS9" s="1488"/>
      <c r="CT9" s="930">
        <f>'Grasmere Imported Valuation'!CT9+'Multiplier Imported Valuation'!AU9</f>
        <v>36</v>
      </c>
      <c r="CU9" s="1819">
        <f>+CU8</f>
        <v>2712.5979856433833</v>
      </c>
      <c r="CV9" s="932">
        <f>SUM(CV7:CV8)</f>
        <v>97653.527483161815</v>
      </c>
      <c r="CW9" s="999"/>
      <c r="CX9" s="930">
        <f>'Grasmere Imported Valuation'!CX9+'Multiplier Imported Valuation'!AY9</f>
        <v>45</v>
      </c>
      <c r="CY9" s="1819">
        <f>+CY8</f>
        <v>2712.5979856433833</v>
      </c>
      <c r="CZ9" s="932">
        <f>SUM(CZ7:CZ8)</f>
        <v>122066.90935395226</v>
      </c>
      <c r="DA9" s="999"/>
      <c r="DB9" s="930">
        <f>'Grasmere Imported Valuation'!DB9+'Multiplier Imported Valuation'!BC9</f>
        <v>67</v>
      </c>
      <c r="DC9" s="1819">
        <f>+DC8</f>
        <v>2712.5979856433833</v>
      </c>
      <c r="DD9" s="932">
        <f>SUM(DD7:DD8)</f>
        <v>181744.06503810667</v>
      </c>
      <c r="DE9" s="999"/>
      <c r="DF9" s="1758">
        <f>'Grasmere Imported Valuation'!DF9+'Multiplier Imported Valuation'!BG9</f>
        <v>73</v>
      </c>
      <c r="DG9" s="931"/>
      <c r="DH9" s="931"/>
      <c r="DI9" s="999"/>
      <c r="DJ9" s="1758">
        <f>'Multiplier Imported Sows'!B295</f>
        <v>62</v>
      </c>
      <c r="DK9" s="931"/>
      <c r="DL9" s="931"/>
      <c r="DM9" s="999"/>
      <c r="DN9" s="1758">
        <f>+'Quarantine Sows'!B89</f>
        <v>84</v>
      </c>
      <c r="DO9" s="931"/>
      <c r="DP9" s="931"/>
      <c r="DQ9" s="999"/>
      <c r="DR9" s="1608">
        <f>+B9+F9+J9+N9+R9+V9+Z9+AD9+AH9+AL9+AP9+AT9+AX9+BB9+BF9+BJ9+BN9+BR9+BV9+BZ9+CD9+CH9+CL9+CP9+CT9+CX9+DB9+DF9+DJ9+DN9</f>
        <v>492</v>
      </c>
      <c r="DS9" s="1822">
        <f>+DT9/DR9</f>
        <v>302469.16192436725</v>
      </c>
      <c r="DT9" s="1609">
        <f>SUM(DT7:DT8)</f>
        <v>148814827.6667887</v>
      </c>
      <c r="DU9" s="872">
        <f>+'Grasmere Valuation '!H94</f>
        <v>67709114.827818424</v>
      </c>
      <c r="DV9" s="872">
        <f>+DT9-DU9</f>
        <v>81105712.838970274</v>
      </c>
    </row>
    <row r="10" spans="1:136" s="1021" customFormat="1">
      <c r="A10" s="1023" t="s">
        <v>1586</v>
      </c>
      <c r="B10" s="1024">
        <v>-130</v>
      </c>
      <c r="C10" s="1025">
        <v>1.62</v>
      </c>
      <c r="D10" s="936">
        <f>+B9*B10*C10</f>
        <v>0</v>
      </c>
      <c r="E10" s="889"/>
      <c r="F10" s="1024"/>
      <c r="G10" s="1025"/>
      <c r="H10" s="936"/>
      <c r="I10" s="889"/>
      <c r="J10" s="1024">
        <v>-130</v>
      </c>
      <c r="K10" s="1025">
        <f>+C10</f>
        <v>1.62</v>
      </c>
      <c r="L10" s="936">
        <f>+J9*J10*K10</f>
        <v>0</v>
      </c>
      <c r="M10" s="889"/>
      <c r="N10" s="1024">
        <v>-130</v>
      </c>
      <c r="O10" s="1025">
        <f>+G10</f>
        <v>0</v>
      </c>
      <c r="P10" s="936">
        <f>+N9*N10*O10</f>
        <v>0</v>
      </c>
      <c r="Q10" s="889"/>
      <c r="R10" s="1024">
        <v>-130</v>
      </c>
      <c r="S10" s="1025">
        <v>1.5</v>
      </c>
      <c r="T10" s="936">
        <f>+R9*R10*S10</f>
        <v>0</v>
      </c>
      <c r="U10" s="889"/>
      <c r="V10" s="1024"/>
      <c r="W10" s="1025"/>
      <c r="X10" s="936"/>
      <c r="Y10" s="889"/>
      <c r="Z10" s="1024">
        <v>-130</v>
      </c>
      <c r="AA10" s="1025">
        <v>1.5</v>
      </c>
      <c r="AB10" s="936">
        <f>+Z9*Z10*AA10</f>
        <v>0</v>
      </c>
      <c r="AC10" s="889"/>
      <c r="AD10" s="1024">
        <v>-130</v>
      </c>
      <c r="AE10" s="1025">
        <v>1.5</v>
      </c>
      <c r="AF10" s="936">
        <f>+AD9*AD10*AE10</f>
        <v>0</v>
      </c>
      <c r="AG10" s="889"/>
      <c r="AH10" s="1024">
        <v>-130</v>
      </c>
      <c r="AI10" s="1025">
        <v>1.5</v>
      </c>
      <c r="AJ10" s="936">
        <f>+AH9*AH10*AI10</f>
        <v>0</v>
      </c>
      <c r="AK10" s="889"/>
      <c r="AL10" s="1024">
        <v>-130</v>
      </c>
      <c r="AM10" s="1025">
        <v>1.5</v>
      </c>
      <c r="AN10" s="936">
        <f>+AL9*AL10*AM10</f>
        <v>0</v>
      </c>
      <c r="AO10" s="889"/>
      <c r="AP10" s="1024">
        <v>-130</v>
      </c>
      <c r="AQ10" s="1025">
        <v>1.5</v>
      </c>
      <c r="AR10" s="936">
        <f>+AP9*AP10*AQ10</f>
        <v>0</v>
      </c>
      <c r="AS10" s="889"/>
      <c r="AT10" s="960">
        <v>-130</v>
      </c>
      <c r="AU10" s="959">
        <f>+'[40]Grasmere valuation '!BM10</f>
        <v>1.5</v>
      </c>
      <c r="AV10" s="936">
        <f>+AT9*AT10*AU10</f>
        <v>0</v>
      </c>
      <c r="AW10" s="889"/>
      <c r="AX10" s="960"/>
      <c r="AY10" s="959"/>
      <c r="AZ10" s="936"/>
      <c r="BA10" s="889"/>
      <c r="BB10" s="960">
        <v>-130</v>
      </c>
      <c r="BC10" s="959">
        <v>122.07000000000008</v>
      </c>
      <c r="BD10" s="936">
        <f>+BB9*BB10*BC10</f>
        <v>-15869.100000000009</v>
      </c>
      <c r="BE10" s="889"/>
      <c r="BF10" s="960">
        <v>-130</v>
      </c>
      <c r="BG10" s="959">
        <v>122.07</v>
      </c>
      <c r="BH10" s="936">
        <f>+BF9*BF10*BG10</f>
        <v>0</v>
      </c>
      <c r="BI10" s="1487"/>
      <c r="BJ10" s="960">
        <v>-130</v>
      </c>
      <c r="BK10" s="959">
        <v>122.07000000000008</v>
      </c>
      <c r="BL10" s="936">
        <f>+BJ9*BJ10*BK10</f>
        <v>-15869.100000000009</v>
      </c>
      <c r="BM10" s="1487"/>
      <c r="BN10" s="960">
        <v>-130</v>
      </c>
      <c r="BO10" s="959">
        <f>+[49]CCC!$G$16</f>
        <v>229.83791290065597</v>
      </c>
      <c r="BP10" s="936">
        <f>+BN9*BN10*BO10</f>
        <v>-89636.786031255833</v>
      </c>
      <c r="BQ10" s="889"/>
      <c r="BR10" s="960">
        <v>-130</v>
      </c>
      <c r="BS10" s="959">
        <f>+[50]CCC!$G$23</f>
        <v>307.69</v>
      </c>
      <c r="BT10" s="936">
        <f>+BR9*BR10*BS10</f>
        <v>-119999.1</v>
      </c>
      <c r="BU10" s="889"/>
      <c r="BV10" s="960">
        <v>-130</v>
      </c>
      <c r="BW10" s="959">
        <f>+[50]CCC!$G$23</f>
        <v>307.69</v>
      </c>
      <c r="BX10" s="936">
        <f>+BV9*BV10*BW10</f>
        <v>-279997.90000000002</v>
      </c>
      <c r="BY10" s="889"/>
      <c r="BZ10" s="959"/>
      <c r="CA10" s="959"/>
      <c r="CB10" s="959"/>
      <c r="CC10" s="1487"/>
      <c r="CD10" s="959">
        <v>-130</v>
      </c>
      <c r="CE10" s="959">
        <f>+[51]Summary!$G$16</f>
        <v>1306.7267352627152</v>
      </c>
      <c r="CF10" s="936">
        <f>+CD9*CD10*CE10</f>
        <v>-3227615.0360989068</v>
      </c>
      <c r="CG10" s="1487"/>
      <c r="CH10" s="959">
        <v>-130</v>
      </c>
      <c r="CI10" s="1820">
        <f>[52]Summary!$G$18</f>
        <v>3020.6555657372742</v>
      </c>
      <c r="CJ10" s="936">
        <f>+CH9*CH10*CI10</f>
        <v>-8639074.918008605</v>
      </c>
      <c r="CK10" s="1487"/>
      <c r="CL10" s="959">
        <v>-130</v>
      </c>
      <c r="CM10" s="1876">
        <f>[52]Summary!$G$18</f>
        <v>3020.6555657372742</v>
      </c>
      <c r="CN10" s="936">
        <f>+CL9*CL10*CM10</f>
        <v>-11780556.70637537</v>
      </c>
      <c r="CO10" s="889"/>
      <c r="CP10" s="959">
        <v>-130</v>
      </c>
      <c r="CQ10" s="1876">
        <f>[52]Summary!$G$18</f>
        <v>3020.6555657372742</v>
      </c>
      <c r="CR10" s="936">
        <f>+CP9*CP10*CQ10</f>
        <v>-15314723.71828798</v>
      </c>
      <c r="CS10" s="1487"/>
      <c r="CT10" s="959">
        <v>-130</v>
      </c>
      <c r="CU10" s="1876">
        <f>[52]Summary!$G$18</f>
        <v>3020.6555657372742</v>
      </c>
      <c r="CV10" s="936">
        <f>+CT9*CT10*CU10</f>
        <v>-14136668.047650443</v>
      </c>
      <c r="CW10" s="889"/>
      <c r="CX10" s="959">
        <v>-130</v>
      </c>
      <c r="CY10" s="1876">
        <f>[52]Summary!$G$18</f>
        <v>3020.6555657372742</v>
      </c>
      <c r="CZ10" s="936">
        <f>+CX9*CX10*CY10</f>
        <v>-17670835.059563056</v>
      </c>
      <c r="DA10" s="889"/>
      <c r="DB10" s="959">
        <v>-130</v>
      </c>
      <c r="DC10" s="1876">
        <f>[52]Summary!$G$18</f>
        <v>3020.6555657372742</v>
      </c>
      <c r="DD10" s="936">
        <f>+DB9*DB10*DC10</f>
        <v>-26309909.977571659</v>
      </c>
      <c r="DE10" s="889"/>
      <c r="DF10" s="959">
        <v>-130</v>
      </c>
      <c r="DG10" s="959"/>
      <c r="DH10" s="959"/>
      <c r="DI10" s="889"/>
      <c r="DJ10" s="959">
        <v>-130</v>
      </c>
      <c r="DK10" s="959"/>
      <c r="DL10" s="959"/>
      <c r="DM10" s="889"/>
      <c r="DN10" s="959">
        <v>-130</v>
      </c>
      <c r="DO10" s="959"/>
      <c r="DP10" s="959"/>
      <c r="DQ10" s="889"/>
      <c r="DR10" s="1606">
        <f>+B10+F10+J10+N10+R10+V10+Z10+AD10+AH10+AL10+AP10+AT10+AX10+BB10+BF10+BJ10+BN10+BR10+BV10+BZ10+CD10+CH10+CL10+CP10+CT10+CX10+DB10</f>
        <v>-2990</v>
      </c>
      <c r="DS10" s="1611">
        <f>+DT10/DR10</f>
        <v>13205.131225686329</v>
      </c>
      <c r="DT10" s="1607">
        <f>+D10+H10+L10+P10+T10+X10+AB10+AF10+AJ10+AN10+AR10+AV10+AZ10+BD10+BH10+BL10+BP10+BT10+BX10+CB10+CF10+CJ10+CN10+CR10</f>
        <v>-39483342.364802122</v>
      </c>
      <c r="EF10" s="1021">
        <f>205+44</f>
        <v>249</v>
      </c>
    </row>
    <row r="11" spans="1:136" s="1021" customFormat="1">
      <c r="A11" s="1023" t="s">
        <v>1587</v>
      </c>
      <c r="B11" s="930">
        <f>+B9</f>
        <v>0</v>
      </c>
      <c r="C11" s="959"/>
      <c r="D11" s="936">
        <f>+D9+D10</f>
        <v>0</v>
      </c>
      <c r="E11" s="889"/>
      <c r="F11" s="930"/>
      <c r="G11" s="959"/>
      <c r="H11" s="936"/>
      <c r="I11" s="889"/>
      <c r="J11" s="930">
        <f>+J9</f>
        <v>0</v>
      </c>
      <c r="K11" s="959"/>
      <c r="L11" s="936">
        <f>+L9+L10</f>
        <v>0</v>
      </c>
      <c r="M11" s="889"/>
      <c r="N11" s="930">
        <f>+N9</f>
        <v>0</v>
      </c>
      <c r="O11" s="959"/>
      <c r="P11" s="936">
        <f>+P9+P10</f>
        <v>0</v>
      </c>
      <c r="Q11" s="889"/>
      <c r="R11" s="930">
        <f>+R9</f>
        <v>0</v>
      </c>
      <c r="S11" s="959"/>
      <c r="T11" s="936">
        <f>+T9+T10</f>
        <v>0</v>
      </c>
      <c r="U11" s="889"/>
      <c r="V11" s="930"/>
      <c r="W11" s="959"/>
      <c r="X11" s="936"/>
      <c r="Y11" s="889"/>
      <c r="Z11" s="930">
        <f>+Z9</f>
        <v>0</v>
      </c>
      <c r="AA11" s="959"/>
      <c r="AB11" s="936">
        <f>+AB9+AB10</f>
        <v>0</v>
      </c>
      <c r="AC11" s="889"/>
      <c r="AD11" s="930">
        <f>+AD9</f>
        <v>0</v>
      </c>
      <c r="AE11" s="959"/>
      <c r="AF11" s="936">
        <f>+AF9+AF10</f>
        <v>0</v>
      </c>
      <c r="AG11" s="889"/>
      <c r="AH11" s="930">
        <f>+AH9</f>
        <v>0</v>
      </c>
      <c r="AI11" s="959"/>
      <c r="AJ11" s="936">
        <v>0</v>
      </c>
      <c r="AK11" s="889"/>
      <c r="AL11" s="930">
        <f>+AL9</f>
        <v>0</v>
      </c>
      <c r="AM11" s="959"/>
      <c r="AN11" s="936">
        <v>0</v>
      </c>
      <c r="AO11" s="889"/>
      <c r="AP11" s="930">
        <f>+AP9</f>
        <v>0</v>
      </c>
      <c r="AQ11" s="959"/>
      <c r="AR11" s="936">
        <v>0</v>
      </c>
      <c r="AS11" s="889"/>
      <c r="AT11" s="930">
        <f>+AT9</f>
        <v>0</v>
      </c>
      <c r="AU11" s="959">
        <v>0</v>
      </c>
      <c r="AV11" s="936">
        <v>0</v>
      </c>
      <c r="AW11" s="889"/>
      <c r="AX11" s="930"/>
      <c r="AY11" s="959"/>
      <c r="AZ11" s="936"/>
      <c r="BA11" s="889"/>
      <c r="BB11" s="930">
        <f>+BB9</f>
        <v>1</v>
      </c>
      <c r="BC11" s="959"/>
      <c r="BD11" s="936">
        <f>+BD9+BD10</f>
        <v>184079.22943761721</v>
      </c>
      <c r="BE11" s="889"/>
      <c r="BF11" s="930">
        <f>+BF9</f>
        <v>0</v>
      </c>
      <c r="BG11" s="959"/>
      <c r="BH11" s="936">
        <f>+BH9+BH10</f>
        <v>0</v>
      </c>
      <c r="BI11" s="1487"/>
      <c r="BJ11" s="930">
        <f>+BJ9</f>
        <v>1</v>
      </c>
      <c r="BK11" s="959"/>
      <c r="BL11" s="936">
        <f>+BL9+BL10</f>
        <v>284891.63609469827</v>
      </c>
      <c r="BM11" s="1487"/>
      <c r="BN11" s="930">
        <f>+BN9</f>
        <v>3</v>
      </c>
      <c r="BO11" s="959"/>
      <c r="BP11" s="936">
        <f>+BP9+BP10</f>
        <v>1273486.5754301527</v>
      </c>
      <c r="BQ11" s="889"/>
      <c r="BR11" s="930">
        <f>+BR9</f>
        <v>3</v>
      </c>
      <c r="BS11" s="959"/>
      <c r="BT11" s="936">
        <f>+BT9+BT10</f>
        <v>1916039.4859799831</v>
      </c>
      <c r="BU11" s="889"/>
      <c r="BV11" s="930">
        <f>+BV9</f>
        <v>7</v>
      </c>
      <c r="BW11" s="959"/>
      <c r="BX11" s="936">
        <f>+BX9+BX10</f>
        <v>13217414.965795835</v>
      </c>
      <c r="BY11" s="889"/>
      <c r="BZ11" s="959"/>
      <c r="CA11" s="959"/>
      <c r="CB11" s="959"/>
      <c r="CC11" s="1487"/>
      <c r="CD11" s="930">
        <f>+CD9</f>
        <v>19</v>
      </c>
      <c r="CE11" s="959"/>
      <c r="CF11" s="936">
        <f>+CF9+CF10</f>
        <v>29414968.239794292</v>
      </c>
      <c r="CG11" s="1487"/>
      <c r="CH11" s="930">
        <f>+CH9</f>
        <v>22</v>
      </c>
      <c r="CI11" s="959"/>
      <c r="CJ11" s="936">
        <f>+CJ9+CJ10</f>
        <v>89961068.850513741</v>
      </c>
      <c r="CK11" s="1487"/>
      <c r="CL11" s="930">
        <f>+CL9</f>
        <v>30</v>
      </c>
      <c r="CM11" s="959"/>
      <c r="CN11" s="936">
        <f>+CN9+CN10</f>
        <v>-11708549.183970952</v>
      </c>
      <c r="CO11" s="889"/>
      <c r="CP11" s="930">
        <f>+CP9</f>
        <v>39</v>
      </c>
      <c r="CQ11" s="959"/>
      <c r="CR11" s="936">
        <f>+CR9+CR10</f>
        <v>-15211914.497088831</v>
      </c>
      <c r="CS11" s="1487"/>
      <c r="CT11" s="930">
        <f>+CT9</f>
        <v>36</v>
      </c>
      <c r="CU11" s="959"/>
      <c r="CV11" s="936">
        <f>+CV9+CV10</f>
        <v>-14039014.520167282</v>
      </c>
      <c r="CW11" s="889"/>
      <c r="CX11" s="930">
        <f>+CX9</f>
        <v>45</v>
      </c>
      <c r="CY11" s="959"/>
      <c r="CZ11" s="936">
        <f>+CZ9+CZ10</f>
        <v>-17548768.150209103</v>
      </c>
      <c r="DA11" s="889"/>
      <c r="DB11" s="930">
        <f>+DB9</f>
        <v>67</v>
      </c>
      <c r="DC11" s="959"/>
      <c r="DD11" s="936">
        <f>+DD9+DD10</f>
        <v>-26128165.912533551</v>
      </c>
      <c r="DE11" s="889"/>
      <c r="DF11" s="930">
        <f>+DF9</f>
        <v>73</v>
      </c>
      <c r="DG11" s="959"/>
      <c r="DH11" s="959"/>
      <c r="DI11" s="889"/>
      <c r="DJ11" s="930">
        <f>+DJ9</f>
        <v>62</v>
      </c>
      <c r="DK11" s="959"/>
      <c r="DL11" s="959"/>
      <c r="DM11" s="889"/>
      <c r="DN11" s="930">
        <f>+DN9</f>
        <v>84</v>
      </c>
      <c r="DO11" s="959"/>
      <c r="DP11" s="959"/>
      <c r="DQ11" s="889"/>
      <c r="DR11" s="1608">
        <f>+DR9</f>
        <v>492</v>
      </c>
      <c r="DS11" s="1611">
        <f>+DT11/DR11</f>
        <v>222218.46606094824</v>
      </c>
      <c r="DT11" s="1607">
        <f>+D11+H11+L11+P11+T11+X11+AB11+AF11+AJ11+AN11+AR11+AV11+AZ11+BD11+BH11+BL11+BP11+BT11+BX11+CB11+CF11+CJ11+CN11+CR11</f>
        <v>109331485.30198653</v>
      </c>
      <c r="DV11" s="1021">
        <f>+DR11+'Porta Imported Valuation'!Z8</f>
        <v>1054</v>
      </c>
      <c r="DW11" s="872">
        <f>+'Multiplier Imported Sows'!E298+'Porta TN70'!F562+'Grasmere Imported Sows'!F124+'Lionshead TN 70'!F13</f>
        <v>997</v>
      </c>
    </row>
    <row r="12" spans="1:136" s="1021" customFormat="1">
      <c r="A12" s="1023"/>
      <c r="B12" s="960"/>
      <c r="C12" s="959"/>
      <c r="D12" s="936"/>
      <c r="E12" s="889"/>
      <c r="F12" s="960"/>
      <c r="G12" s="959"/>
      <c r="H12" s="936"/>
      <c r="I12" s="889"/>
      <c r="J12" s="960"/>
      <c r="K12" s="959"/>
      <c r="L12" s="936"/>
      <c r="M12" s="889"/>
      <c r="N12" s="960"/>
      <c r="O12" s="959"/>
      <c r="P12" s="936"/>
      <c r="Q12" s="889"/>
      <c r="R12" s="960"/>
      <c r="S12" s="959"/>
      <c r="T12" s="936"/>
      <c r="U12" s="889"/>
      <c r="V12" s="960"/>
      <c r="W12" s="959"/>
      <c r="X12" s="936"/>
      <c r="Y12" s="889"/>
      <c r="Z12" s="960"/>
      <c r="AA12" s="959"/>
      <c r="AB12" s="936"/>
      <c r="AC12" s="889"/>
      <c r="AD12" s="960"/>
      <c r="AE12" s="959"/>
      <c r="AF12" s="936"/>
      <c r="AG12" s="889"/>
      <c r="AH12" s="960"/>
      <c r="AI12" s="959"/>
      <c r="AJ12" s="936"/>
      <c r="AK12" s="889"/>
      <c r="AL12" s="960"/>
      <c r="AM12" s="959"/>
      <c r="AN12" s="936"/>
      <c r="AO12" s="889"/>
      <c r="AP12" s="960"/>
      <c r="AQ12" s="959"/>
      <c r="AR12" s="936"/>
      <c r="AS12" s="889"/>
      <c r="AT12" s="960"/>
      <c r="AU12" s="959"/>
      <c r="AV12" s="936"/>
      <c r="AW12" s="889"/>
      <c r="AX12" s="960"/>
      <c r="AY12" s="959"/>
      <c r="AZ12" s="936"/>
      <c r="BA12" s="889"/>
      <c r="BB12" s="960"/>
      <c r="BC12" s="959"/>
      <c r="BD12" s="936"/>
      <c r="BE12" s="889"/>
      <c r="BF12" s="960"/>
      <c r="BG12" s="959"/>
      <c r="BH12" s="936"/>
      <c r="BI12" s="1487"/>
      <c r="BJ12" s="960"/>
      <c r="BK12" s="959"/>
      <c r="BL12" s="936"/>
      <c r="BM12" s="1487"/>
      <c r="BN12" s="960"/>
      <c r="BO12" s="959"/>
      <c r="BP12" s="936"/>
      <c r="BQ12" s="889"/>
      <c r="BR12" s="960"/>
      <c r="BS12" s="959"/>
      <c r="BT12" s="936"/>
      <c r="BU12" s="889"/>
      <c r="BV12" s="960"/>
      <c r="BW12" s="959"/>
      <c r="BX12" s="936"/>
      <c r="BY12" s="889"/>
      <c r="BZ12" s="959"/>
      <c r="CA12" s="959"/>
      <c r="CB12" s="959"/>
      <c r="CC12" s="1487"/>
      <c r="CD12" s="959"/>
      <c r="CE12" s="959"/>
      <c r="CF12" s="936"/>
      <c r="CG12" s="1487"/>
      <c r="CH12" s="959"/>
      <c r="CI12" s="959"/>
      <c r="CJ12" s="936"/>
      <c r="CK12" s="1487"/>
      <c r="CL12" s="959"/>
      <c r="CM12" s="959"/>
      <c r="CN12" s="936"/>
      <c r="CO12" s="889"/>
      <c r="CP12" s="959"/>
      <c r="CQ12" s="959"/>
      <c r="CR12" s="936"/>
      <c r="CS12" s="1487"/>
      <c r="CT12" s="959"/>
      <c r="CU12" s="959"/>
      <c r="CV12" s="936"/>
      <c r="CW12" s="889"/>
      <c r="CX12" s="959"/>
      <c r="CY12" s="959"/>
      <c r="CZ12" s="936"/>
      <c r="DA12" s="889"/>
      <c r="DB12" s="959"/>
      <c r="DC12" s="959"/>
      <c r="DD12" s="936"/>
      <c r="DE12" s="889"/>
      <c r="DF12" s="959"/>
      <c r="DG12" s="959"/>
      <c r="DH12" s="959"/>
      <c r="DI12" s="889"/>
      <c r="DJ12" s="959"/>
      <c r="DK12" s="959"/>
      <c r="DL12" s="959"/>
      <c r="DM12" s="889"/>
      <c r="DN12" s="959"/>
      <c r="DO12" s="959"/>
      <c r="DP12" s="959"/>
      <c r="DQ12" s="889"/>
      <c r="DR12" s="1606"/>
      <c r="DS12" s="1611"/>
      <c r="DT12" s="1607">
        <f>+D12+H12+L12+P12+T12+X12+AB12+AF12+AJ12+AN12+AR12+AV12+AZ12+BD12+BH12+BL12+BP12+BT12+BX12+CB12+CF12+CJ12+CN12+CR12</f>
        <v>0</v>
      </c>
      <c r="DV12" s="1021">
        <f>+'[2]Mult Imported Valuation Summary'!$DS$10</f>
        <v>0</v>
      </c>
    </row>
    <row r="13" spans="1:136" s="1021" customFormat="1">
      <c r="A13" s="1023" t="s">
        <v>1588</v>
      </c>
      <c r="B13" s="960"/>
      <c r="C13" s="959"/>
      <c r="D13" s="936">
        <f>+D11/36</f>
        <v>0</v>
      </c>
      <c r="E13" s="889"/>
      <c r="F13" s="960"/>
      <c r="G13" s="959"/>
      <c r="H13" s="936"/>
      <c r="I13" s="889"/>
      <c r="J13" s="960"/>
      <c r="K13" s="959"/>
      <c r="L13" s="936">
        <f>+L11/36</f>
        <v>0</v>
      </c>
      <c r="M13" s="889"/>
      <c r="N13" s="960"/>
      <c r="O13" s="959"/>
      <c r="P13" s="936">
        <f>+P11/36</f>
        <v>0</v>
      </c>
      <c r="Q13" s="889"/>
      <c r="R13" s="960"/>
      <c r="S13" s="959"/>
      <c r="T13" s="936">
        <f>+T11/36</f>
        <v>0</v>
      </c>
      <c r="U13" s="889"/>
      <c r="V13" s="960"/>
      <c r="W13" s="959"/>
      <c r="X13" s="936"/>
      <c r="Y13" s="889"/>
      <c r="Z13" s="960"/>
      <c r="AA13" s="959"/>
      <c r="AB13" s="936">
        <f>+AB11/36</f>
        <v>0</v>
      </c>
      <c r="AC13" s="889"/>
      <c r="AD13" s="960"/>
      <c r="AE13" s="959"/>
      <c r="AF13" s="936">
        <f>+AF11/36</f>
        <v>0</v>
      </c>
      <c r="AG13" s="889"/>
      <c r="AH13" s="960"/>
      <c r="AI13" s="959"/>
      <c r="AJ13" s="936">
        <v>0</v>
      </c>
      <c r="AK13" s="889"/>
      <c r="AL13" s="960"/>
      <c r="AM13" s="959"/>
      <c r="AN13" s="936">
        <v>0</v>
      </c>
      <c r="AO13" s="889"/>
      <c r="AP13" s="960"/>
      <c r="AQ13" s="959"/>
      <c r="AR13" s="936">
        <v>0</v>
      </c>
      <c r="AS13" s="889"/>
      <c r="AT13" s="960"/>
      <c r="AU13" s="959"/>
      <c r="AV13" s="936">
        <v>0</v>
      </c>
      <c r="AW13" s="889"/>
      <c r="AX13" s="960"/>
      <c r="AY13" s="959"/>
      <c r="AZ13" s="936"/>
      <c r="BA13" s="889"/>
      <c r="BB13" s="960"/>
      <c r="BC13" s="959"/>
      <c r="BD13" s="936">
        <f>+BD11/36</f>
        <v>5113.3119288226999</v>
      </c>
      <c r="BE13" s="889"/>
      <c r="BF13" s="960"/>
      <c r="BG13" s="959"/>
      <c r="BH13" s="936">
        <f>+BH11/36</f>
        <v>0</v>
      </c>
      <c r="BI13" s="1487"/>
      <c r="BJ13" s="960"/>
      <c r="BK13" s="959"/>
      <c r="BL13" s="936">
        <f>+BL11/36</f>
        <v>7913.6565581860632</v>
      </c>
      <c r="BM13" s="1487"/>
      <c r="BN13" s="960"/>
      <c r="BO13" s="959"/>
      <c r="BP13" s="936">
        <f>+BP11/36</f>
        <v>35374.62709528202</v>
      </c>
      <c r="BQ13" s="889"/>
      <c r="BR13" s="960"/>
      <c r="BS13" s="959"/>
      <c r="BT13" s="936">
        <f>+BT11/36</f>
        <v>53223.319054999534</v>
      </c>
      <c r="BU13" s="889"/>
      <c r="BV13" s="960"/>
      <c r="BW13" s="959"/>
      <c r="BX13" s="936">
        <f>+BX11/36</f>
        <v>367150.41571655101</v>
      </c>
      <c r="BY13" s="889"/>
      <c r="BZ13" s="959"/>
      <c r="CA13" s="959"/>
      <c r="CB13" s="959"/>
      <c r="CC13" s="1487"/>
      <c r="CD13" s="959"/>
      <c r="CE13" s="959"/>
      <c r="CF13" s="936">
        <f>+CF11/36</f>
        <v>817082.45110539696</v>
      </c>
      <c r="CG13" s="1487"/>
      <c r="CH13" s="959"/>
      <c r="CI13" s="959"/>
      <c r="CJ13" s="936">
        <f>+CJ11/36</f>
        <v>2498918.5791809373</v>
      </c>
      <c r="CK13" s="1487"/>
      <c r="CL13" s="959"/>
      <c r="CM13" s="959"/>
      <c r="CN13" s="936">
        <f>+CN11/36</f>
        <v>-325237.47733252647</v>
      </c>
      <c r="CO13" s="889"/>
      <c r="CP13" s="959"/>
      <c r="CQ13" s="959"/>
      <c r="CR13" s="936">
        <f>+CR11/36</f>
        <v>-422553.18047468975</v>
      </c>
      <c r="CS13" s="1487"/>
      <c r="CT13" s="959"/>
      <c r="CU13" s="959"/>
      <c r="CV13" s="936">
        <f>+CV11/36</f>
        <v>-389972.62556020229</v>
      </c>
      <c r="CW13" s="889"/>
      <c r="CX13" s="959"/>
      <c r="CY13" s="959"/>
      <c r="CZ13" s="936">
        <f>+CZ11/36</f>
        <v>-487465.78195025283</v>
      </c>
      <c r="DA13" s="889"/>
      <c r="DB13" s="959"/>
      <c r="DC13" s="959"/>
      <c r="DD13" s="936">
        <f>+DD11/36</f>
        <v>-725782.38645926537</v>
      </c>
      <c r="DE13" s="889"/>
      <c r="DF13" s="959"/>
      <c r="DG13" s="959"/>
      <c r="DH13" s="959"/>
      <c r="DI13" s="889"/>
      <c r="DJ13" s="959"/>
      <c r="DK13" s="959"/>
      <c r="DL13" s="959"/>
      <c r="DM13" s="889"/>
      <c r="DN13" s="959"/>
      <c r="DO13" s="959"/>
      <c r="DP13" s="959"/>
      <c r="DQ13" s="889"/>
      <c r="DR13" s="1606"/>
      <c r="DS13" s="1611"/>
      <c r="DT13" s="1607">
        <f>+D13+H13+L13+P13+T13+X13+AB13+AF13+AJ13+AN13+AR13+AV13+AZ13+BD13+BH13+BL13+BP13+BT13+BX13+CB13+CF13+CJ13+CN13+CR13</f>
        <v>3036985.7028329596</v>
      </c>
      <c r="DV13" s="1021">
        <f>+DV12-DV11</f>
        <v>-1054</v>
      </c>
      <c r="DW13" s="1021">
        <f>+'Multiplier Imported Sows'!E300+'Multiplier Imported Sows'!E301+'Porta TN70'!F564+'Porta TN70'!F566+'Grasmere Imported Sows'!F125+'Grasmere Imported Sows'!F126</f>
        <v>41</v>
      </c>
    </row>
    <row r="14" spans="1:136" s="1021" customFormat="1">
      <c r="A14" s="1023"/>
      <c r="B14" s="960"/>
      <c r="C14" s="959"/>
      <c r="D14" s="936"/>
      <c r="E14" s="889"/>
      <c r="F14" s="960"/>
      <c r="G14" s="959"/>
      <c r="H14" s="936"/>
      <c r="I14" s="889"/>
      <c r="J14" s="960"/>
      <c r="K14" s="959"/>
      <c r="L14" s="936"/>
      <c r="M14" s="889"/>
      <c r="N14" s="960"/>
      <c r="O14" s="959"/>
      <c r="P14" s="936"/>
      <c r="Q14" s="889"/>
      <c r="R14" s="960"/>
      <c r="S14" s="959"/>
      <c r="T14" s="936"/>
      <c r="U14" s="889"/>
      <c r="V14" s="960"/>
      <c r="W14" s="959"/>
      <c r="X14" s="936"/>
      <c r="Y14" s="889"/>
      <c r="Z14" s="960"/>
      <c r="AA14" s="959"/>
      <c r="AB14" s="936"/>
      <c r="AC14" s="889"/>
      <c r="AD14" s="960"/>
      <c r="AE14" s="959"/>
      <c r="AF14" s="936"/>
      <c r="AG14" s="889"/>
      <c r="AH14" s="960"/>
      <c r="AI14" s="959"/>
      <c r="AJ14" s="936"/>
      <c r="AK14" s="889"/>
      <c r="AL14" s="960"/>
      <c r="AM14" s="959"/>
      <c r="AN14" s="936"/>
      <c r="AO14" s="889"/>
      <c r="AP14" s="960"/>
      <c r="AQ14" s="959"/>
      <c r="AR14" s="936"/>
      <c r="AS14" s="889"/>
      <c r="AT14" s="960"/>
      <c r="AU14" s="959"/>
      <c r="AV14" s="936"/>
      <c r="AW14" s="889"/>
      <c r="AX14" s="960"/>
      <c r="AY14" s="959"/>
      <c r="AZ14" s="936"/>
      <c r="BA14" s="889"/>
      <c r="BB14" s="960"/>
      <c r="BC14" s="959">
        <f>+BB14/BB7</f>
        <v>0</v>
      </c>
      <c r="BD14" s="936"/>
      <c r="BE14" s="889"/>
      <c r="BF14" s="960"/>
      <c r="BG14" s="959"/>
      <c r="BH14" s="936"/>
      <c r="BI14" s="1487"/>
      <c r="BJ14" s="960"/>
      <c r="BK14" s="959"/>
      <c r="BL14" s="936"/>
      <c r="BM14" s="1487"/>
      <c r="BN14" s="960"/>
      <c r="BO14" s="959"/>
      <c r="BP14" s="936"/>
      <c r="BQ14" s="889"/>
      <c r="BR14" s="960"/>
      <c r="BS14" s="959"/>
      <c r="BT14" s="936"/>
      <c r="BU14" s="889"/>
      <c r="BV14" s="960"/>
      <c r="BW14" s="959"/>
      <c r="BX14" s="936"/>
      <c r="BY14" s="889"/>
      <c r="BZ14" s="959"/>
      <c r="CA14" s="959"/>
      <c r="CB14" s="959"/>
      <c r="CC14" s="1487"/>
      <c r="CD14" s="959"/>
      <c r="CE14" s="959"/>
      <c r="CF14" s="936"/>
      <c r="CG14" s="1487"/>
      <c r="CH14" s="959"/>
      <c r="CI14" s="959"/>
      <c r="CJ14" s="936"/>
      <c r="CK14" s="1487"/>
      <c r="CL14" s="959"/>
      <c r="CM14" s="959"/>
      <c r="CN14" s="936"/>
      <c r="CO14" s="889"/>
      <c r="CP14" s="959"/>
      <c r="CQ14" s="959"/>
      <c r="CR14" s="936"/>
      <c r="CS14" s="1487"/>
      <c r="CT14" s="959"/>
      <c r="CU14" s="959"/>
      <c r="CV14" s="936"/>
      <c r="CW14" s="889"/>
      <c r="CX14" s="959"/>
      <c r="CY14" s="959"/>
      <c r="CZ14" s="936"/>
      <c r="DA14" s="889"/>
      <c r="DB14" s="959"/>
      <c r="DC14" s="959"/>
      <c r="DD14" s="936"/>
      <c r="DE14" s="889"/>
      <c r="DF14" s="959"/>
      <c r="DG14" s="959"/>
      <c r="DH14" s="959"/>
      <c r="DI14" s="889"/>
      <c r="DJ14" s="959"/>
      <c r="DK14" s="959"/>
      <c r="DL14" s="959"/>
      <c r="DM14" s="889"/>
      <c r="DN14" s="959"/>
      <c r="DO14" s="959"/>
      <c r="DP14" s="959"/>
      <c r="DQ14" s="889"/>
      <c r="DR14" s="1606"/>
      <c r="DS14" s="1611"/>
      <c r="DT14" s="1607">
        <f>+D14+H14+L14+P14+T14+X14+AB14+AF14+AJ14+AN14+AR14+AV14+AZ14+BD14+BH14+BL14+BP14+BT14+BX14+CB14+CF14+CN14+CR14</f>
        <v>0</v>
      </c>
    </row>
    <row r="15" spans="1:136" s="1021" customFormat="1">
      <c r="A15" s="1023" t="s">
        <v>1589</v>
      </c>
      <c r="B15" s="960"/>
      <c r="C15" s="959"/>
      <c r="D15" s="936">
        <f>+D13*C5</f>
        <v>0</v>
      </c>
      <c r="E15" s="889"/>
      <c r="F15" s="960"/>
      <c r="G15" s="959"/>
      <c r="H15" s="936"/>
      <c r="I15" s="889"/>
      <c r="J15" s="960"/>
      <c r="K15" s="959"/>
      <c r="L15" s="936">
        <f>+L13*K5</f>
        <v>0</v>
      </c>
      <c r="M15" s="889"/>
      <c r="N15" s="960"/>
      <c r="O15" s="959"/>
      <c r="P15" s="936">
        <f>+P13*O5</f>
        <v>0</v>
      </c>
      <c r="Q15" s="889"/>
      <c r="R15" s="960"/>
      <c r="S15" s="959"/>
      <c r="T15" s="936">
        <f>+T13*S5</f>
        <v>0</v>
      </c>
      <c r="U15" s="889"/>
      <c r="V15" s="960"/>
      <c r="W15" s="959"/>
      <c r="X15" s="936"/>
      <c r="Y15" s="889"/>
      <c r="Z15" s="960"/>
      <c r="AA15" s="959"/>
      <c r="AB15" s="936">
        <f>+AB13*AA5</f>
        <v>0</v>
      </c>
      <c r="AC15" s="889"/>
      <c r="AD15" s="960"/>
      <c r="AE15" s="959"/>
      <c r="AF15" s="936">
        <f>+AF13*AE5</f>
        <v>0</v>
      </c>
      <c r="AG15" s="889"/>
      <c r="AH15" s="960"/>
      <c r="AI15" s="959"/>
      <c r="AJ15" s="936">
        <f>SUM(AJ9:AJ10)</f>
        <v>0</v>
      </c>
      <c r="AK15" s="889"/>
      <c r="AL15" s="960"/>
      <c r="AM15" s="959"/>
      <c r="AN15" s="936">
        <f>SUM(AN9:AN10)</f>
        <v>0</v>
      </c>
      <c r="AO15" s="889"/>
      <c r="AP15" s="960"/>
      <c r="AQ15" s="959"/>
      <c r="AR15" s="936">
        <f>SUM(AR9:AR10)</f>
        <v>0</v>
      </c>
      <c r="AS15" s="889"/>
      <c r="AT15" s="960"/>
      <c r="AU15" s="959"/>
      <c r="AV15" s="936">
        <f>SUM(AV9:AV10)</f>
        <v>0</v>
      </c>
      <c r="AW15" s="889"/>
      <c r="AX15" s="960"/>
      <c r="AY15" s="959"/>
      <c r="AZ15" s="936"/>
      <c r="BA15" s="889"/>
      <c r="BB15" s="960"/>
      <c r="BC15" s="959"/>
      <c r="BD15" s="936">
        <f>+BD13*BC5</f>
        <v>184079.22943761721</v>
      </c>
      <c r="BE15" s="889"/>
      <c r="BF15" s="960"/>
      <c r="BG15" s="959"/>
      <c r="BH15" s="936">
        <f>+BH13*BG5</f>
        <v>0</v>
      </c>
      <c r="BI15" s="1487"/>
      <c r="BJ15" s="960"/>
      <c r="BK15" s="959"/>
      <c r="BL15" s="936">
        <f>+BL13*BK5</f>
        <v>276977.97953651223</v>
      </c>
      <c r="BM15" s="1487"/>
      <c r="BN15" s="960"/>
      <c r="BO15" s="959"/>
      <c r="BP15" s="936">
        <f>+BP13*BO5</f>
        <v>1025864.1857631786</v>
      </c>
      <c r="BQ15" s="889"/>
      <c r="BR15" s="960"/>
      <c r="BS15" s="959"/>
      <c r="BT15" s="936">
        <f>+BT13*BS5</f>
        <v>1277359.6573199888</v>
      </c>
      <c r="BU15" s="889"/>
      <c r="BV15" s="960"/>
      <c r="BW15" s="959"/>
      <c r="BX15" s="936">
        <f>+BX13*BW5</f>
        <v>7343008.3143310202</v>
      </c>
      <c r="BY15" s="889"/>
      <c r="BZ15" s="959"/>
      <c r="CA15" s="959"/>
      <c r="CB15" s="959"/>
      <c r="CC15" s="1487"/>
      <c r="CD15" s="959"/>
      <c r="CE15" s="959"/>
      <c r="CF15" s="936">
        <f>+CF13*CE5</f>
        <v>13073319.217686351</v>
      </c>
      <c r="CG15" s="1487"/>
      <c r="CH15" s="959"/>
      <c r="CI15" s="959"/>
      <c r="CJ15" s="936">
        <f>+CJ13*CI5</f>
        <v>27488104.37099031</v>
      </c>
      <c r="CK15" s="1487"/>
      <c r="CL15" s="959"/>
      <c r="CM15" s="959"/>
      <c r="CN15" s="936">
        <f>+CN13*CM5</f>
        <v>-1951424.8639951588</v>
      </c>
      <c r="CO15" s="889"/>
      <c r="CP15" s="959"/>
      <c r="CQ15" s="959"/>
      <c r="CR15" s="936">
        <f>+CR13*CQ5</f>
        <v>-422553.18047468975</v>
      </c>
      <c r="CS15" s="1487"/>
      <c r="CT15" s="959"/>
      <c r="CU15" s="959"/>
      <c r="CV15" s="936">
        <f>+CV13*CU5</f>
        <v>-389972.62556020229</v>
      </c>
      <c r="CW15" s="889"/>
      <c r="CX15" s="959"/>
      <c r="CY15" s="959"/>
      <c r="CZ15" s="936">
        <f>+CZ13*CY5</f>
        <v>-487465.78195025283</v>
      </c>
      <c r="DA15" s="889"/>
      <c r="DB15" s="959"/>
      <c r="DC15" s="959"/>
      <c r="DD15" s="936">
        <f>+DD13*DC5</f>
        <v>-725782.38645926537</v>
      </c>
      <c r="DE15" s="889"/>
      <c r="DF15" s="959"/>
      <c r="DG15" s="959"/>
      <c r="DH15" s="959"/>
      <c r="DI15" s="889"/>
      <c r="DJ15" s="959"/>
      <c r="DK15" s="959"/>
      <c r="DL15" s="959"/>
      <c r="DM15" s="889"/>
      <c r="DN15" s="959"/>
      <c r="DO15" s="959"/>
      <c r="DP15" s="959"/>
      <c r="DQ15" s="889"/>
      <c r="DR15" s="1606"/>
      <c r="DS15" s="1611"/>
      <c r="DT15" s="1607">
        <f>+D15+H15+L15+P15+T15+X15+AB15+AF15+AJ15+AN15+AR15+AV15+AZ15+BD15+BH15+BL15+BP15+BT15+BX15+CB15+CF15+CJ15+CN15+CR15</f>
        <v>48294734.910595134</v>
      </c>
    </row>
    <row r="16" spans="1:136">
      <c r="A16" s="1027"/>
      <c r="B16" s="1001" t="s">
        <v>138</v>
      </c>
      <c r="C16" s="890"/>
      <c r="D16" s="1000"/>
      <c r="E16" s="889"/>
      <c r="F16" s="1001"/>
      <c r="G16" s="890"/>
      <c r="H16" s="1000"/>
      <c r="I16" s="889"/>
      <c r="J16" s="1028"/>
      <c r="K16" s="356">
        <f>+C16</f>
        <v>0</v>
      </c>
      <c r="L16" s="1000" t="s">
        <v>138</v>
      </c>
      <c r="M16" s="889" t="s">
        <v>138</v>
      </c>
      <c r="N16" s="1028"/>
      <c r="O16" s="356" t="s">
        <v>138</v>
      </c>
      <c r="P16" s="1000" t="s">
        <v>138</v>
      </c>
      <c r="Q16" s="889"/>
      <c r="R16" s="1001">
        <f>+K16</f>
        <v>0</v>
      </c>
      <c r="S16" s="890" t="s">
        <v>138</v>
      </c>
      <c r="T16" s="1000" t="s">
        <v>138</v>
      </c>
      <c r="U16" s="889"/>
      <c r="V16" s="1001"/>
      <c r="W16" s="890" t="s">
        <v>138</v>
      </c>
      <c r="X16" s="1000" t="s">
        <v>138</v>
      </c>
      <c r="Y16" s="889"/>
      <c r="Z16" s="1001">
        <f>+R16</f>
        <v>0</v>
      </c>
      <c r="AA16" s="890"/>
      <c r="AB16" s="1000"/>
      <c r="AC16" s="889"/>
      <c r="AD16" s="1001">
        <f>+Z16</f>
        <v>0</v>
      </c>
      <c r="AE16" s="890"/>
      <c r="AF16" s="1000"/>
      <c r="AG16" s="889"/>
      <c r="AH16" s="1001"/>
      <c r="AI16" s="890" t="s">
        <v>138</v>
      </c>
      <c r="AJ16" s="1000"/>
      <c r="AK16" s="889"/>
      <c r="AL16" s="1001"/>
      <c r="AM16" s="890" t="s">
        <v>138</v>
      </c>
      <c r="AN16" s="1000"/>
      <c r="AO16" s="889"/>
      <c r="AP16" s="1001"/>
      <c r="AQ16" s="890"/>
      <c r="AR16" s="1000"/>
      <c r="AS16" s="889"/>
      <c r="AT16" s="1001"/>
      <c r="AU16" s="890"/>
      <c r="AV16" s="1000"/>
      <c r="AW16" s="889"/>
      <c r="AX16" s="1001"/>
      <c r="AY16" s="890"/>
      <c r="AZ16" s="1000"/>
      <c r="BA16" s="889"/>
      <c r="BB16" s="1001"/>
      <c r="BC16" s="890"/>
      <c r="BD16" s="1000"/>
      <c r="BE16" s="889"/>
      <c r="BF16" s="1001"/>
      <c r="BG16" s="890"/>
      <c r="BH16" s="1000"/>
      <c r="BI16" s="1487"/>
      <c r="BJ16" s="1001"/>
      <c r="BK16" s="890"/>
      <c r="BL16" s="1000"/>
      <c r="BM16" s="1487"/>
      <c r="BN16" s="1001"/>
      <c r="BO16" s="890"/>
      <c r="BP16" s="1000"/>
      <c r="BQ16" s="889"/>
      <c r="BR16" s="1001"/>
      <c r="BS16" s="890"/>
      <c r="BT16" s="890"/>
      <c r="BU16" s="889"/>
      <c r="BV16" s="1001"/>
      <c r="BW16" s="890"/>
      <c r="BX16" s="890"/>
      <c r="BY16" s="889"/>
      <c r="BZ16" s="890"/>
      <c r="CA16" s="890"/>
      <c r="CB16" s="890"/>
      <c r="CC16" s="1487"/>
      <c r="CD16" s="890"/>
      <c r="CE16" s="890"/>
      <c r="CF16" s="890"/>
      <c r="CG16" s="1487"/>
      <c r="CH16" s="1487"/>
      <c r="CI16" s="1487"/>
      <c r="CJ16" s="1487"/>
      <c r="CK16" s="1487"/>
      <c r="CL16" s="1487"/>
      <c r="CM16" s="1487"/>
      <c r="CN16" s="1487"/>
      <c r="CO16" s="889"/>
      <c r="CP16" s="1487"/>
      <c r="CQ16" s="1487"/>
      <c r="CR16" s="1487"/>
      <c r="CS16" s="1487"/>
      <c r="CT16" s="1487"/>
      <c r="CU16" s="1487"/>
      <c r="CV16" s="1487"/>
      <c r="CW16" s="889"/>
      <c r="CX16" s="1487"/>
      <c r="CY16" s="1487"/>
      <c r="CZ16" s="1487"/>
      <c r="DA16" s="889"/>
      <c r="DB16" s="1487"/>
      <c r="DC16" s="1487"/>
      <c r="DD16" s="1487"/>
      <c r="DE16" s="889"/>
      <c r="DF16" s="1487"/>
      <c r="DG16" s="1487"/>
      <c r="DH16" s="1487"/>
      <c r="DI16" s="889"/>
      <c r="DJ16" s="1487"/>
      <c r="DK16" s="1487"/>
      <c r="DL16" s="1487"/>
      <c r="DM16" s="889"/>
      <c r="DN16" s="1487"/>
      <c r="DO16" s="1487"/>
      <c r="DP16" s="1487"/>
      <c r="DQ16" s="889"/>
      <c r="DR16" s="1617"/>
      <c r="DS16" s="1618"/>
      <c r="DT16" s="1619" t="s">
        <v>138</v>
      </c>
    </row>
    <row r="17" spans="1:139">
      <c r="A17" s="1027"/>
      <c r="B17" s="960"/>
      <c r="C17" s="959"/>
      <c r="D17" s="936" t="s">
        <v>1580</v>
      </c>
      <c r="E17" s="889"/>
      <c r="F17" s="960"/>
      <c r="G17" s="959"/>
      <c r="H17" s="936"/>
      <c r="I17" s="889"/>
      <c r="J17" s="1029"/>
      <c r="K17" s="1030"/>
      <c r="L17" s="936" t="str">
        <f>+D17</f>
        <v>Months</v>
      </c>
      <c r="M17" s="889"/>
      <c r="N17" s="1029"/>
      <c r="O17" s="1030"/>
      <c r="P17" s="936"/>
      <c r="Q17" s="889"/>
      <c r="R17" s="960"/>
      <c r="S17" s="959"/>
      <c r="T17" s="936" t="str">
        <f>+L17</f>
        <v>Months</v>
      </c>
      <c r="U17" s="889"/>
      <c r="V17" s="960"/>
      <c r="W17" s="959">
        <f>18-W18</f>
        <v>0</v>
      </c>
      <c r="X17" s="936" t="str">
        <f>+T17</f>
        <v>Months</v>
      </c>
      <c r="Y17" s="889"/>
      <c r="Z17" s="1029"/>
      <c r="AA17" s="1030">
        <f>18-AA18</f>
        <v>0</v>
      </c>
      <c r="AB17" s="936" t="str">
        <f>+X17</f>
        <v>Months</v>
      </c>
      <c r="AC17" s="889"/>
      <c r="AD17" s="960"/>
      <c r="AE17" s="959">
        <f>18-AE18</f>
        <v>0</v>
      </c>
      <c r="AF17" s="936" t="str">
        <f>+AB17</f>
        <v>Months</v>
      </c>
      <c r="AG17" s="889"/>
      <c r="AH17" s="1005"/>
      <c r="AI17" s="1002"/>
      <c r="AJ17" s="936" t="str">
        <f>+AF17</f>
        <v>Months</v>
      </c>
      <c r="AK17" s="889"/>
      <c r="AL17" s="960"/>
      <c r="AM17" s="1002"/>
      <c r="AN17" s="936" t="str">
        <f>+AJ17</f>
        <v>Months</v>
      </c>
      <c r="AO17" s="889"/>
      <c r="AP17" s="960"/>
      <c r="AQ17" s="959">
        <f>18-AQ18</f>
        <v>0</v>
      </c>
      <c r="AR17" s="936" t="str">
        <f>+AN17</f>
        <v>Months</v>
      </c>
      <c r="AS17" s="889"/>
      <c r="AT17" s="960"/>
      <c r="AU17" s="1002"/>
      <c r="AV17" s="936" t="str">
        <f>+AR17</f>
        <v>Months</v>
      </c>
      <c r="AW17" s="889"/>
      <c r="AX17" s="960"/>
      <c r="AY17" s="1002">
        <f>18-AY18</f>
        <v>0</v>
      </c>
      <c r="AZ17" s="936" t="str">
        <f>+AV17</f>
        <v>Months</v>
      </c>
      <c r="BA17" s="889"/>
      <c r="BB17" s="960"/>
      <c r="BC17" s="1002">
        <f>18-BC18</f>
        <v>0</v>
      </c>
      <c r="BD17" s="936" t="str">
        <f>+AV17</f>
        <v>Months</v>
      </c>
      <c r="BE17" s="889"/>
      <c r="BF17" s="960"/>
      <c r="BG17" s="1002">
        <f>18-BG18</f>
        <v>0</v>
      </c>
      <c r="BH17" s="936" t="str">
        <f>+BD17</f>
        <v>Months</v>
      </c>
      <c r="BI17" s="1487"/>
      <c r="BJ17" s="960"/>
      <c r="BK17" s="1002">
        <f>18-BK18</f>
        <v>0</v>
      </c>
      <c r="BL17" s="936" t="str">
        <f>+BH17</f>
        <v>Months</v>
      </c>
      <c r="BM17" s="1487"/>
      <c r="BN17" s="960"/>
      <c r="BO17" s="1002">
        <f>18-BO18</f>
        <v>0</v>
      </c>
      <c r="BP17" s="936" t="str">
        <f>+BL17</f>
        <v>Months</v>
      </c>
      <c r="BQ17" s="889"/>
      <c r="BR17" s="960"/>
      <c r="BS17" s="1002">
        <f>18-BS18</f>
        <v>0</v>
      </c>
      <c r="BT17" s="936" t="str">
        <f>+BP17</f>
        <v>Months</v>
      </c>
      <c r="BU17" s="889"/>
      <c r="BV17" s="960"/>
      <c r="BW17" s="1002"/>
      <c r="BX17" s="936"/>
      <c r="BY17" s="889"/>
      <c r="BZ17" s="960"/>
      <c r="CA17" s="1002">
        <f>18-CA18</f>
        <v>0</v>
      </c>
      <c r="CB17" s="936" t="str">
        <f>+BT17</f>
        <v>Months</v>
      </c>
      <c r="CC17" s="1487"/>
      <c r="CD17" s="960"/>
      <c r="CE17" s="1002">
        <f>18-CE18</f>
        <v>2</v>
      </c>
      <c r="CF17" s="936">
        <f>+BX17</f>
        <v>0</v>
      </c>
      <c r="CG17" s="1487"/>
      <c r="CH17" s="960"/>
      <c r="CI17" s="1002">
        <f>18-CI18</f>
        <v>7</v>
      </c>
      <c r="CJ17" s="936" t="str">
        <f>+CB17</f>
        <v>Months</v>
      </c>
      <c r="CK17" s="1487"/>
      <c r="CL17" s="960"/>
      <c r="CM17" s="1002">
        <f>18-CM18</f>
        <v>12</v>
      </c>
      <c r="CN17" s="936">
        <f>+CF17</f>
        <v>0</v>
      </c>
      <c r="CO17" s="889"/>
      <c r="CP17" s="960"/>
      <c r="CQ17" s="1002">
        <f>18-CQ18</f>
        <v>17</v>
      </c>
      <c r="CR17" s="936" t="str">
        <f>+CJ17</f>
        <v>Months</v>
      </c>
      <c r="CS17" s="1487"/>
      <c r="CT17" s="960"/>
      <c r="CU17" s="1002">
        <f>18-CU18</f>
        <v>17</v>
      </c>
      <c r="CV17" s="936">
        <f>+CN17</f>
        <v>0</v>
      </c>
      <c r="CW17" s="889"/>
      <c r="CX17" s="960"/>
      <c r="CY17" s="1002">
        <f>18-CY18</f>
        <v>17</v>
      </c>
      <c r="CZ17" s="936" t="str">
        <f>+CR17</f>
        <v>Months</v>
      </c>
      <c r="DA17" s="889"/>
      <c r="DB17" s="960"/>
      <c r="DC17" s="1002">
        <f>18-DC18</f>
        <v>17</v>
      </c>
      <c r="DD17" s="936">
        <f>+CV17</f>
        <v>0</v>
      </c>
      <c r="DE17" s="889"/>
      <c r="DF17" s="959"/>
      <c r="DG17" s="959"/>
      <c r="DH17" s="959"/>
      <c r="DI17" s="889"/>
      <c r="DJ17" s="959"/>
      <c r="DK17" s="959"/>
      <c r="DL17" s="959"/>
      <c r="DM17" s="889"/>
      <c r="DN17" s="959"/>
      <c r="DO17" s="959"/>
      <c r="DP17" s="959"/>
      <c r="DQ17" s="889"/>
      <c r="DR17" s="1606"/>
      <c r="DS17" s="1611"/>
      <c r="DT17" s="1610"/>
    </row>
    <row r="18" spans="1:139" s="884" customFormat="1">
      <c r="A18" s="1003" t="s">
        <v>113</v>
      </c>
      <c r="B18" s="1017"/>
      <c r="C18" s="1004"/>
      <c r="D18" s="932" t="s">
        <v>1580</v>
      </c>
      <c r="E18" s="999"/>
      <c r="F18" s="1017">
        <v>42309</v>
      </c>
      <c r="G18" s="1004">
        <v>18</v>
      </c>
      <c r="H18" s="932" t="s">
        <v>1580</v>
      </c>
      <c r="I18" s="999"/>
      <c r="J18" s="1017"/>
      <c r="K18" s="954"/>
      <c r="L18" s="932" t="str">
        <f>+D18</f>
        <v>Months</v>
      </c>
      <c r="M18" s="999"/>
      <c r="N18" s="1017"/>
      <c r="O18" s="954"/>
      <c r="P18" s="932"/>
      <c r="Q18" s="999"/>
      <c r="R18" s="1017"/>
      <c r="S18" s="1004"/>
      <c r="T18" s="932" t="str">
        <f>+L18</f>
        <v>Months</v>
      </c>
      <c r="U18" s="999"/>
      <c r="V18" s="1017">
        <v>43191</v>
      </c>
      <c r="W18" s="1004">
        <v>18</v>
      </c>
      <c r="X18" s="932" t="str">
        <f>+T18</f>
        <v>Months</v>
      </c>
      <c r="Y18" s="999"/>
      <c r="Z18" s="1017">
        <f>+Z5</f>
        <v>42675</v>
      </c>
      <c r="AA18" s="954">
        <v>18</v>
      </c>
      <c r="AB18" s="932" t="str">
        <f>+X18</f>
        <v>Months</v>
      </c>
      <c r="AC18" s="999"/>
      <c r="AD18" s="912">
        <v>42826</v>
      </c>
      <c r="AE18" s="1004">
        <v>18</v>
      </c>
      <c r="AF18" s="932" t="str">
        <f>+AB18</f>
        <v>Months</v>
      </c>
      <c r="AG18" s="885"/>
      <c r="AH18" s="1041"/>
      <c r="AI18" s="954"/>
      <c r="AJ18" s="932" t="str">
        <f>+AF18</f>
        <v>Months</v>
      </c>
      <c r="AK18" s="999"/>
      <c r="AL18" s="1041"/>
      <c r="AM18" s="1004"/>
      <c r="AN18" s="932" t="str">
        <f>+AJ18</f>
        <v>Months</v>
      </c>
      <c r="AO18" s="999"/>
      <c r="AP18" s="1017">
        <f>+AP5</f>
        <v>43374</v>
      </c>
      <c r="AQ18" s="1004">
        <v>18</v>
      </c>
      <c r="AR18" s="932" t="str">
        <f>+AN18</f>
        <v>Months</v>
      </c>
      <c r="AS18" s="999"/>
      <c r="AT18" s="1845">
        <v>43586</v>
      </c>
      <c r="AU18" s="954">
        <v>18</v>
      </c>
      <c r="AV18" s="932" t="str">
        <f>+AR18</f>
        <v>Months</v>
      </c>
      <c r="AW18" s="889"/>
      <c r="AX18" s="1041">
        <f>'Richlands Imported Boars'!E11</f>
        <v>43739</v>
      </c>
      <c r="AY18" s="1004">
        <v>18</v>
      </c>
      <c r="AZ18" s="932" t="str">
        <f>+AV18</f>
        <v>Months</v>
      </c>
      <c r="BA18" s="889"/>
      <c r="BB18" s="1041">
        <v>44013</v>
      </c>
      <c r="BC18" s="1004">
        <v>18</v>
      </c>
      <c r="BD18" s="932" t="str">
        <f>+AV18</f>
        <v>Months</v>
      </c>
      <c r="BE18" s="889"/>
      <c r="BF18" s="1041">
        <f>BF5</f>
        <v>44173</v>
      </c>
      <c r="BG18" s="1004">
        <v>18</v>
      </c>
      <c r="BH18" s="932" t="str">
        <f>+BD18</f>
        <v>Months</v>
      </c>
      <c r="BI18" s="1487"/>
      <c r="BJ18" s="1041">
        <v>44317</v>
      </c>
      <c r="BK18" s="1004">
        <v>18</v>
      </c>
      <c r="BL18" s="932" t="str">
        <f>+BH18</f>
        <v>Months</v>
      </c>
      <c r="BM18" s="1487"/>
      <c r="BN18" s="1041">
        <f>+BN5</f>
        <v>44470</v>
      </c>
      <c r="BO18" s="1004">
        <v>18</v>
      </c>
      <c r="BP18" s="932" t="str">
        <f>+BL18</f>
        <v>Months</v>
      </c>
      <c r="BQ18" s="999"/>
      <c r="BR18" s="1041" t="e">
        <f>+BR5</f>
        <v>#REF!</v>
      </c>
      <c r="BS18" s="1004">
        <v>18</v>
      </c>
      <c r="BT18" s="932" t="str">
        <f>+BP18</f>
        <v>Months</v>
      </c>
      <c r="BU18" s="999"/>
      <c r="BV18" s="1041"/>
      <c r="BW18" s="1004"/>
      <c r="BX18" s="932"/>
      <c r="BY18" s="999"/>
      <c r="BZ18" s="1041" t="e">
        <f>'Grasmere Imported Boars'!#REF!</f>
        <v>#REF!</v>
      </c>
      <c r="CA18" s="1004">
        <v>18</v>
      </c>
      <c r="CB18" s="932" t="str">
        <f>+BT18</f>
        <v>Months</v>
      </c>
      <c r="CC18" s="1487"/>
      <c r="CD18" s="1759" t="e">
        <f>'Grasmere Imported Boars'!#REF!</f>
        <v>#REF!</v>
      </c>
      <c r="CE18" s="1004">
        <v>16</v>
      </c>
      <c r="CF18" s="932">
        <f>+BX18</f>
        <v>0</v>
      </c>
      <c r="CG18" s="1487"/>
      <c r="CH18" s="1759">
        <f>CH5</f>
        <v>45017</v>
      </c>
      <c r="CI18" s="1004">
        <v>11</v>
      </c>
      <c r="CJ18" s="932" t="str">
        <f>+CB18</f>
        <v>Months</v>
      </c>
      <c r="CK18" s="1487"/>
      <c r="CL18" s="1759" t="e">
        <f>CL5</f>
        <v>#REF!</v>
      </c>
      <c r="CM18" s="1002">
        <v>6</v>
      </c>
      <c r="CN18" s="932">
        <f>+CF18</f>
        <v>0</v>
      </c>
      <c r="CO18" s="999"/>
      <c r="CP18" s="1759">
        <f>CP5</f>
        <v>45328</v>
      </c>
      <c r="CQ18" s="1002">
        <v>1</v>
      </c>
      <c r="CR18" s="932" t="str">
        <f>+CJ18</f>
        <v>Months</v>
      </c>
      <c r="CS18" s="1487"/>
      <c r="CT18" s="1759">
        <f>CT5</f>
        <v>45474</v>
      </c>
      <c r="CU18" s="1002">
        <v>1</v>
      </c>
      <c r="CV18" s="932">
        <f>+CN18</f>
        <v>0</v>
      </c>
      <c r="CW18" s="999"/>
      <c r="CX18" s="1759">
        <f>CX5</f>
        <v>45627</v>
      </c>
      <c r="CY18" s="1002">
        <v>1</v>
      </c>
      <c r="CZ18" s="932" t="str">
        <f>+CR18</f>
        <v>Months</v>
      </c>
      <c r="DA18" s="999"/>
      <c r="DB18" s="1759">
        <f>DB5</f>
        <v>45748</v>
      </c>
      <c r="DC18" s="1002">
        <v>1</v>
      </c>
      <c r="DD18" s="932">
        <f>+CV18</f>
        <v>0</v>
      </c>
      <c r="DE18" s="999"/>
      <c r="DF18" s="931"/>
      <c r="DG18" s="931"/>
      <c r="DH18" s="931"/>
      <c r="DI18" s="999"/>
      <c r="DJ18" s="931"/>
      <c r="DK18" s="931"/>
      <c r="DL18" s="931"/>
      <c r="DM18" s="999"/>
      <c r="DN18" s="931"/>
      <c r="DO18" s="931"/>
      <c r="DP18" s="931"/>
      <c r="DQ18" s="999"/>
      <c r="DR18" s="1614" t="s">
        <v>1581</v>
      </c>
      <c r="DS18" s="1615" t="s">
        <v>1581</v>
      </c>
      <c r="DT18" s="1616" t="s">
        <v>1590</v>
      </c>
      <c r="DU18" s="872"/>
      <c r="DV18" s="872"/>
      <c r="DW18" s="872"/>
      <c r="DX18" s="872"/>
      <c r="DY18" s="872"/>
      <c r="DZ18" s="872"/>
      <c r="EA18" s="872"/>
      <c r="EB18" s="872"/>
    </row>
    <row r="19" spans="1:139" s="1021" customFormat="1">
      <c r="A19" s="1023" t="str">
        <f>+A7</f>
        <v>Purchases</v>
      </c>
      <c r="B19" s="1024"/>
      <c r="C19" s="1025"/>
      <c r="D19" s="936"/>
      <c r="E19" s="889"/>
      <c r="F19" s="1024">
        <v>8</v>
      </c>
      <c r="G19" s="1025">
        <f>(22837.47-737.78)/8*4</f>
        <v>11049.845000000001</v>
      </c>
      <c r="H19" s="936">
        <f>+F19*G19</f>
        <v>88398.760000000009</v>
      </c>
      <c r="I19" s="889"/>
      <c r="J19" s="1024"/>
      <c r="K19" s="1025"/>
      <c r="L19" s="936"/>
      <c r="M19" s="889"/>
      <c r="N19" s="1024"/>
      <c r="O19" s="1025"/>
      <c r="P19" s="936"/>
      <c r="Q19" s="889"/>
      <c r="R19" s="1024"/>
      <c r="S19" s="1025"/>
      <c r="T19" s="936"/>
      <c r="U19" s="889"/>
      <c r="V19" s="1024">
        <v>8</v>
      </c>
      <c r="W19" s="1025">
        <f>4063.26/1.5*4</f>
        <v>10835.36</v>
      </c>
      <c r="X19" s="936">
        <f>+V19*W19</f>
        <v>86682.880000000005</v>
      </c>
      <c r="Y19" s="889"/>
      <c r="Z19" s="1024">
        <v>14</v>
      </c>
      <c r="AA19" s="1025">
        <f>+AB19/Z19</f>
        <v>7817.9226160729513</v>
      </c>
      <c r="AB19" s="936">
        <v>109450.91662502132</v>
      </c>
      <c r="AC19" s="889"/>
      <c r="AD19" s="1024">
        <v>5</v>
      </c>
      <c r="AE19" s="1025">
        <f>13803.57/5*4/1.125</f>
        <v>9815.8719999999994</v>
      </c>
      <c r="AF19" s="936">
        <f>+AD19*AE19</f>
        <v>49079.360000000001</v>
      </c>
      <c r="AG19" s="897"/>
      <c r="AH19" s="1024"/>
      <c r="AI19" s="1025"/>
      <c r="AJ19" s="936"/>
      <c r="AK19" s="889"/>
      <c r="AL19" s="960"/>
      <c r="AM19" s="959"/>
      <c r="AN19" s="936"/>
      <c r="AO19" s="889"/>
      <c r="AP19" s="960">
        <v>4</v>
      </c>
      <c r="AQ19" s="959">
        <f>+[39]Sheet1!$H$22/3.7*4</f>
        <v>7358.9425580510087</v>
      </c>
      <c r="AR19" s="936">
        <f>+AP19*AQ19</f>
        <v>29435.770232204035</v>
      </c>
      <c r="AS19" s="889"/>
      <c r="AT19" s="1024">
        <v>11</v>
      </c>
      <c r="AU19" s="1025">
        <f>+AV19/AT19</f>
        <v>16377.627951668586</v>
      </c>
      <c r="AV19" s="936">
        <v>180153.90746835445</v>
      </c>
      <c r="AW19" s="889"/>
      <c r="AX19" s="960">
        <v>6</v>
      </c>
      <c r="AY19" s="959">
        <f>+AZ19/AX19</f>
        <v>76871.666666666672</v>
      </c>
      <c r="AZ19" s="936">
        <v>461230</v>
      </c>
      <c r="BA19" s="889"/>
      <c r="BB19" s="960">
        <v>10</v>
      </c>
      <c r="BC19" s="959">
        <f>+BD19/BB19</f>
        <v>192558.29391729325</v>
      </c>
      <c r="BD19" s="936">
        <v>1925582.9391729324</v>
      </c>
      <c r="BE19" s="889"/>
      <c r="BF19" s="960">
        <v>3</v>
      </c>
      <c r="BG19" s="959">
        <f>+[41]Sheet1!$L$46</f>
        <v>261154.31712121217</v>
      </c>
      <c r="BH19" s="936">
        <f>+[41]Sheet1!$K$46</f>
        <v>783462.95136363653</v>
      </c>
      <c r="BI19" s="1487"/>
      <c r="BJ19" s="960">
        <v>6</v>
      </c>
      <c r="BK19" s="959">
        <f>+'[42]May 2021'!$K$30</f>
        <v>285116.59484520816</v>
      </c>
      <c r="BL19" s="936">
        <f>+BJ19*BK19</f>
        <v>1710699.5690712491</v>
      </c>
      <c r="BM19" s="1487"/>
      <c r="BN19" s="960">
        <v>4</v>
      </c>
      <c r="BO19" s="959">
        <f>+BP19/BN19</f>
        <v>309484.57765520358</v>
      </c>
      <c r="BP19" s="936">
        <f>+'[42]October 21'!$C$33*'[42]October 21'!$L$33</f>
        <v>1237938.3106208143</v>
      </c>
      <c r="BQ19" s="889"/>
      <c r="BR19" s="960">
        <v>3</v>
      </c>
      <c r="BS19" s="959">
        <f>+'[43]March 22'!$L$27</f>
        <v>708067.95992681163</v>
      </c>
      <c r="BT19" s="936">
        <f>+BR19*BS19</f>
        <v>2124203.879780435</v>
      </c>
      <c r="BU19" s="889"/>
      <c r="BV19" s="960"/>
      <c r="BW19" s="959"/>
      <c r="BX19" s="936"/>
      <c r="BY19" s="889"/>
      <c r="BZ19" s="959">
        <v>3</v>
      </c>
      <c r="CA19" s="959">
        <f>+'[53]September 22'!$L$13</f>
        <v>1945534.0347603799</v>
      </c>
      <c r="CB19" s="936">
        <f>+BZ19*CA19</f>
        <v>5836602.1042811396</v>
      </c>
      <c r="CC19" s="1487"/>
      <c r="CD19" s="959">
        <v>6</v>
      </c>
      <c r="CE19" s="959">
        <f>+'[45]Nov 2022'!$L$32</f>
        <v>1310142.0875361108</v>
      </c>
      <c r="CF19" s="936">
        <f>+CD19*CE19</f>
        <v>7860852.5252166651</v>
      </c>
      <c r="CG19" s="1487"/>
      <c r="CH19" s="959">
        <v>6</v>
      </c>
      <c r="CI19" s="1821">
        <f>'[46]April 2023'!$L$36</f>
        <v>4433598.130629871</v>
      </c>
      <c r="CJ19" s="936">
        <f>+CH19*CI19</f>
        <v>26601588.783779226</v>
      </c>
      <c r="CK19" s="1487"/>
      <c r="CL19" s="959">
        <f>'[47]September 2023'!$C$44</f>
        <v>4</v>
      </c>
      <c r="CM19" s="1818">
        <f>'[47]September 2023'!$L$36</f>
        <v>167.05821019531521</v>
      </c>
      <c r="CN19" s="936">
        <f>+CL19*CM19</f>
        <v>668.23284078126085</v>
      </c>
      <c r="CO19" s="889"/>
      <c r="CP19" s="959">
        <f>'[47]February 2024'!$C$39</f>
        <v>7</v>
      </c>
      <c r="CQ19" s="1818">
        <f>'[47]February 2024'!$L$39</f>
        <v>2640.7277044547914</v>
      </c>
      <c r="CR19" s="936">
        <f>+CP19*CQ19</f>
        <v>18485.093931183539</v>
      </c>
      <c r="CS19" s="1487"/>
      <c r="CT19" s="959">
        <v>3</v>
      </c>
      <c r="CU19" s="1818">
        <f>'[48]July 2024'!$L$40</f>
        <v>3031.3260040427031</v>
      </c>
      <c r="CV19" s="936">
        <f>+CT19*CU19</f>
        <v>9093.9780121281092</v>
      </c>
      <c r="CW19" s="889"/>
      <c r="CX19" s="959">
        <v>1</v>
      </c>
      <c r="CY19" s="1818">
        <f>'[48]July 2024'!$L$40</f>
        <v>3031.3260040427031</v>
      </c>
      <c r="CZ19" s="936">
        <f>+CX19*CY19</f>
        <v>3031.3260040427031</v>
      </c>
      <c r="DA19" s="889"/>
      <c r="DB19" s="959">
        <v>4</v>
      </c>
      <c r="DC19" s="1818">
        <f>'[48]July 2024'!$L$40</f>
        <v>3031.3260040427031</v>
      </c>
      <c r="DD19" s="936">
        <f>+DB19*DC19</f>
        <v>12125.304016170812</v>
      </c>
      <c r="DE19" s="889"/>
      <c r="DF19" s="1818">
        <v>6</v>
      </c>
      <c r="DG19" s="959"/>
      <c r="DH19" s="959"/>
      <c r="DI19" s="889"/>
      <c r="DJ19" s="1818">
        <v>8</v>
      </c>
      <c r="DK19" s="959"/>
      <c r="DL19" s="959"/>
      <c r="DM19" s="889"/>
      <c r="DN19" s="1818">
        <v>6</v>
      </c>
      <c r="DO19" s="959"/>
      <c r="DP19" s="959"/>
      <c r="DQ19" s="889"/>
      <c r="DR19" s="1606">
        <f>+B19+F19+J19+N19+R19+V19+Z19+AD19+AH19+AL19+AP19+AT19+AX19+BB19+BF19+BJ19+BN19+BR19+BV19+BZ19+CD19+CH19+CL19+CP19+CT19+CX19+DB19+DF19+DJ19</f>
        <v>130</v>
      </c>
      <c r="DS19" s="1611">
        <f>+DT19/DR19</f>
        <v>377727.04603372037</v>
      </c>
      <c r="DT19" s="1607">
        <f>+D19+H19+L19+P19+T19+X19+AB19+AF19+AJ19+AN19+AR19+AV19+AZ19+BD19+BH19+BL19+BP19+BT19+BX19+CB19+CF19+CJ19+CN19+CR19</f>
        <v>49104515.98438365</v>
      </c>
    </row>
    <row r="20" spans="1:139" s="1021" customFormat="1">
      <c r="A20" s="1023" t="str">
        <f>+A8</f>
        <v>Mortality</v>
      </c>
      <c r="B20" s="1024"/>
      <c r="C20" s="1025"/>
      <c r="D20" s="936"/>
      <c r="E20" s="889"/>
      <c r="F20" s="1024">
        <f>+F21-F19</f>
        <v>-8</v>
      </c>
      <c r="G20" s="1025">
        <f>+G19</f>
        <v>11049.845000000001</v>
      </c>
      <c r="H20" s="936">
        <f>+F20*G20</f>
        <v>-88398.760000000009</v>
      </c>
      <c r="I20" s="889"/>
      <c r="J20" s="1024"/>
      <c r="K20" s="1025"/>
      <c r="L20" s="936"/>
      <c r="M20" s="889"/>
      <c r="N20" s="1024"/>
      <c r="O20" s="1025"/>
      <c r="P20" s="936"/>
      <c r="Q20" s="889"/>
      <c r="R20" s="1024"/>
      <c r="S20" s="1025"/>
      <c r="T20" s="936"/>
      <c r="U20" s="889"/>
      <c r="V20" s="1024">
        <f>+V21-V19</f>
        <v>-8</v>
      </c>
      <c r="W20" s="1025">
        <f>+W19</f>
        <v>10835.36</v>
      </c>
      <c r="X20" s="936">
        <f>+V20*W20</f>
        <v>-86682.880000000005</v>
      </c>
      <c r="Y20" s="889"/>
      <c r="Z20" s="1024">
        <f>+Z21-Z19</f>
        <v>-13</v>
      </c>
      <c r="AA20" s="1025">
        <f>+AA19</f>
        <v>7817.9226160729513</v>
      </c>
      <c r="AB20" s="936">
        <f>+Z20*AA20</f>
        <v>-101632.99400894837</v>
      </c>
      <c r="AC20" s="889"/>
      <c r="AD20" s="1024">
        <f>+AD21-AD19</f>
        <v>-5</v>
      </c>
      <c r="AE20" s="1025">
        <f>+AE19</f>
        <v>9815.8719999999994</v>
      </c>
      <c r="AF20" s="936">
        <f>+AD20*AE20</f>
        <v>-49079.360000000001</v>
      </c>
      <c r="AG20" s="897"/>
      <c r="AH20" s="1024"/>
      <c r="AI20" s="1025"/>
      <c r="AJ20" s="936"/>
      <c r="AK20" s="889"/>
      <c r="AL20" s="960"/>
      <c r="AM20" s="959"/>
      <c r="AN20" s="936"/>
      <c r="AO20" s="889"/>
      <c r="AP20" s="960">
        <f>+AP21-AP19</f>
        <v>-3</v>
      </c>
      <c r="AQ20" s="959">
        <f>+AQ19</f>
        <v>7358.9425580510087</v>
      </c>
      <c r="AR20" s="936">
        <f>+AP20*AQ20</f>
        <v>-22076.827674153028</v>
      </c>
      <c r="AS20" s="889"/>
      <c r="AT20" s="1024">
        <f>+AT21-AT19</f>
        <v>-10</v>
      </c>
      <c r="AU20" s="1025">
        <f>+AU19</f>
        <v>16377.627951668586</v>
      </c>
      <c r="AV20" s="936">
        <f>+AT20*AU20</f>
        <v>-163776.27951668587</v>
      </c>
      <c r="AW20" s="889"/>
      <c r="AX20" s="960">
        <f>+AX21-AX19</f>
        <v>-5</v>
      </c>
      <c r="AY20" s="959">
        <f>+AY19</f>
        <v>76871.666666666672</v>
      </c>
      <c r="AZ20" s="936">
        <f>+AX20*AY20</f>
        <v>-384358.33333333337</v>
      </c>
      <c r="BA20" s="889"/>
      <c r="BB20" s="960">
        <f>+BB21-BB19</f>
        <v>-10</v>
      </c>
      <c r="BC20" s="959">
        <f>+BC19</f>
        <v>192558.29391729325</v>
      </c>
      <c r="BD20" s="936">
        <f>+BB20*BC20</f>
        <v>-1925582.9391729324</v>
      </c>
      <c r="BE20" s="889"/>
      <c r="BF20" s="960">
        <f>+BF21-BF19</f>
        <v>-3</v>
      </c>
      <c r="BG20" s="959">
        <f>+BG19</f>
        <v>261154.31712121217</v>
      </c>
      <c r="BH20" s="936">
        <f>+BF20*BG20</f>
        <v>-783462.95136363653</v>
      </c>
      <c r="BI20" s="1487"/>
      <c r="BJ20" s="960">
        <f>+BJ21-BJ19</f>
        <v>-6</v>
      </c>
      <c r="BK20" s="959">
        <f>+BK19</f>
        <v>285116.59484520816</v>
      </c>
      <c r="BL20" s="936">
        <f>+BJ20*BK20</f>
        <v>-1710699.5690712491</v>
      </c>
      <c r="BM20" s="1487"/>
      <c r="BN20" s="960">
        <f>+BN21-BN19</f>
        <v>-4</v>
      </c>
      <c r="BO20" s="959">
        <f>+BO19</f>
        <v>309484.57765520358</v>
      </c>
      <c r="BP20" s="936">
        <f>+BN20*BO20</f>
        <v>-1237938.3106208143</v>
      </c>
      <c r="BQ20" s="889"/>
      <c r="BR20" s="960">
        <f>+BR21-BR19</f>
        <v>-3</v>
      </c>
      <c r="BS20" s="959">
        <f>+BS19</f>
        <v>708067.95992681163</v>
      </c>
      <c r="BT20" s="936">
        <f>+BR20*BS20</f>
        <v>-2124203.879780435</v>
      </c>
      <c r="BU20" s="889"/>
      <c r="BV20" s="960"/>
      <c r="BW20" s="959"/>
      <c r="BX20" s="936"/>
      <c r="BY20" s="889"/>
      <c r="BZ20" s="960">
        <f>+BZ21-BZ19</f>
        <v>-3</v>
      </c>
      <c r="CA20" s="959">
        <f>+CA19</f>
        <v>1945534.0347603799</v>
      </c>
      <c r="CB20" s="936">
        <f>+BZ20*CA20</f>
        <v>-5836602.1042811396</v>
      </c>
      <c r="CC20" s="1487"/>
      <c r="CD20" s="960">
        <f>+CD21-CD19</f>
        <v>-6</v>
      </c>
      <c r="CE20" s="959">
        <f>+CE19</f>
        <v>1310142.0875361108</v>
      </c>
      <c r="CF20" s="936">
        <f>+CD20*CE20</f>
        <v>-7860852.5252166651</v>
      </c>
      <c r="CG20" s="1487"/>
      <c r="CH20" s="960">
        <f>+CH21-CH19</f>
        <v>-6</v>
      </c>
      <c r="CI20" s="1821">
        <f>+CI19</f>
        <v>4433598.130629871</v>
      </c>
      <c r="CJ20" s="936">
        <f>+CH20*CI20</f>
        <v>-26601588.783779226</v>
      </c>
      <c r="CK20" s="1487"/>
      <c r="CL20" s="960">
        <f>+CL21-CL19</f>
        <v>-4</v>
      </c>
      <c r="CM20" s="1821">
        <f>+CM19</f>
        <v>167.05821019531521</v>
      </c>
      <c r="CN20" s="936">
        <f>+CL20*CM20</f>
        <v>-668.23284078126085</v>
      </c>
      <c r="CO20" s="889"/>
      <c r="CP20" s="960">
        <f>+CP21-CP19</f>
        <v>-3</v>
      </c>
      <c r="CQ20" s="1821">
        <f>+CQ19</f>
        <v>2640.7277044547914</v>
      </c>
      <c r="CR20" s="936">
        <f>+CP20*CQ20</f>
        <v>-7922.1831133643736</v>
      </c>
      <c r="CS20" s="1487"/>
      <c r="CT20" s="960">
        <f>+CT21-CT19</f>
        <v>-3</v>
      </c>
      <c r="CU20" s="1821">
        <f>+CU19</f>
        <v>3031.3260040427031</v>
      </c>
      <c r="CV20" s="936">
        <f>+CT20*CU20</f>
        <v>-9093.9780121281092</v>
      </c>
      <c r="CW20" s="889"/>
      <c r="CX20" s="960">
        <f>+CX21-CX19</f>
        <v>1</v>
      </c>
      <c r="CY20" s="1821">
        <f>+CY19</f>
        <v>3031.3260040427031</v>
      </c>
      <c r="CZ20" s="936">
        <f>+CX20*CY20</f>
        <v>3031.3260040427031</v>
      </c>
      <c r="DA20" s="889"/>
      <c r="DB20" s="960">
        <f>+DB21-DB19</f>
        <v>0</v>
      </c>
      <c r="DC20" s="1821">
        <f>+DC19</f>
        <v>3031.3260040427031</v>
      </c>
      <c r="DD20" s="936">
        <f>+DB20*DC20</f>
        <v>0</v>
      </c>
      <c r="DE20" s="889"/>
      <c r="DF20" s="960">
        <f>+DF21-DF19</f>
        <v>-2</v>
      </c>
      <c r="DG20" s="959"/>
      <c r="DH20" s="959"/>
      <c r="DI20" s="889"/>
      <c r="DJ20" s="960">
        <f>+DJ21-DJ19</f>
        <v>0</v>
      </c>
      <c r="DK20" s="959"/>
      <c r="DL20" s="959"/>
      <c r="DM20" s="889"/>
      <c r="DN20" s="960">
        <f>+DN21-DN19</f>
        <v>0</v>
      </c>
      <c r="DO20" s="959"/>
      <c r="DP20" s="959"/>
      <c r="DQ20" s="889"/>
      <c r="DR20" s="1606">
        <f>+B20+F20+J20+N20+R20+V20+Z20+AD20+AH20+AL20+AP20+AT20+AX20+BB20+BF20+BJ20+BN20+BR20+BV20+BZ20+CD20+CH20+CL20+CP20+CT20+CX20+DB20+DF20</f>
        <v>-104</v>
      </c>
      <c r="DS20" s="1611">
        <f>+DT20/DR20</f>
        <v>471014.68186320545</v>
      </c>
      <c r="DT20" s="1607">
        <f>+D20+H20+L20+P20+T20+X20+AB20+AF20+AJ20+AN20+AR20+AV20+AZ20+BD20+BH20+BL20+BP20+BT20+BX20+CB20+CF20+CJ20+CN20+CR20</f>
        <v>-48985526.913773365</v>
      </c>
      <c r="EG20" s="1021">
        <f>26+8+4</f>
        <v>38</v>
      </c>
    </row>
    <row r="21" spans="1:139" s="872" customFormat="1">
      <c r="A21" s="998" t="s">
        <v>1591</v>
      </c>
      <c r="B21" s="930"/>
      <c r="C21" s="931"/>
      <c r="D21" s="932"/>
      <c r="E21" s="999"/>
      <c r="F21" s="930">
        <v>0</v>
      </c>
      <c r="G21" s="931">
        <f>+G19</f>
        <v>11049.845000000001</v>
      </c>
      <c r="H21" s="932">
        <f>+F21*G21</f>
        <v>0</v>
      </c>
      <c r="I21" s="999"/>
      <c r="J21" s="930"/>
      <c r="K21" s="931"/>
      <c r="L21" s="932"/>
      <c r="M21" s="999"/>
      <c r="N21" s="930"/>
      <c r="O21" s="931"/>
      <c r="P21" s="932"/>
      <c r="Q21" s="999"/>
      <c r="R21" s="930"/>
      <c r="S21" s="931"/>
      <c r="T21" s="932"/>
      <c r="U21" s="889"/>
      <c r="V21" s="930">
        <v>0</v>
      </c>
      <c r="W21" s="931">
        <f>+W19</f>
        <v>10835.36</v>
      </c>
      <c r="X21" s="932">
        <f>+V21*W21</f>
        <v>0</v>
      </c>
      <c r="Y21" s="889"/>
      <c r="Z21" s="930">
        <f>+'Richlands Imported Boars'!B8+'Villa Imported Boars'!B14</f>
        <v>1</v>
      </c>
      <c r="AA21" s="931">
        <f>+AA19</f>
        <v>7817.9226160729513</v>
      </c>
      <c r="AB21" s="932">
        <f>+Z21*AA21</f>
        <v>7817.9226160729513</v>
      </c>
      <c r="AC21" s="999"/>
      <c r="AD21" s="930">
        <v>0</v>
      </c>
      <c r="AE21" s="931">
        <f>+AE19</f>
        <v>9815.8719999999994</v>
      </c>
      <c r="AF21" s="932">
        <f>+AD21*AE21</f>
        <v>0</v>
      </c>
      <c r="AG21" s="999"/>
      <c r="AH21" s="930"/>
      <c r="AI21" s="931"/>
      <c r="AJ21" s="932"/>
      <c r="AK21" s="999"/>
      <c r="AL21" s="930"/>
      <c r="AM21" s="931"/>
      <c r="AN21" s="932"/>
      <c r="AO21" s="999"/>
      <c r="AP21" s="930">
        <f>+'Richlands Imported Boars'!B9</f>
        <v>1</v>
      </c>
      <c r="AQ21" s="931">
        <f>+AQ19</f>
        <v>7358.9425580510087</v>
      </c>
      <c r="AR21" s="932">
        <f>+AP21*AQ21</f>
        <v>7358.9425580510087</v>
      </c>
      <c r="AS21" s="999"/>
      <c r="AT21" s="930">
        <f>+'Richlands Imported Boars'!B10</f>
        <v>1</v>
      </c>
      <c r="AU21" s="931">
        <f>+AU19</f>
        <v>16377.627951668586</v>
      </c>
      <c r="AV21" s="932">
        <f>SUM(AV19:AV20)</f>
        <v>16377.627951668575</v>
      </c>
      <c r="AW21" s="999"/>
      <c r="AX21" s="930">
        <f>+'Richlands Imported Boars'!B11</f>
        <v>1</v>
      </c>
      <c r="AY21" s="931">
        <f>+AY19</f>
        <v>76871.666666666672</v>
      </c>
      <c r="AZ21" s="932">
        <f>SUM(AZ19:AZ20)</f>
        <v>76871.666666666628</v>
      </c>
      <c r="BA21" s="999"/>
      <c r="BB21" s="930">
        <v>0</v>
      </c>
      <c r="BC21" s="931">
        <f>+BC19</f>
        <v>192558.29391729325</v>
      </c>
      <c r="BD21" s="932">
        <f>SUM(BD19:BD20)</f>
        <v>0</v>
      </c>
      <c r="BE21" s="999"/>
      <c r="BF21" s="930">
        <v>0</v>
      </c>
      <c r="BG21" s="931">
        <f>+BG19</f>
        <v>261154.31712121217</v>
      </c>
      <c r="BH21" s="932">
        <f>SUM(BH19:BH20)</f>
        <v>0</v>
      </c>
      <c r="BI21" s="1488"/>
      <c r="BJ21" s="930">
        <v>0</v>
      </c>
      <c r="BK21" s="931">
        <f>+BK19</f>
        <v>285116.59484520816</v>
      </c>
      <c r="BL21" s="932">
        <f>SUM(BL19:BL20)</f>
        <v>0</v>
      </c>
      <c r="BM21" s="1488"/>
      <c r="BN21" s="930">
        <v>0</v>
      </c>
      <c r="BO21" s="931">
        <f>+BO19</f>
        <v>309484.57765520358</v>
      </c>
      <c r="BP21" s="932">
        <f>SUM(BP19:BP20)</f>
        <v>0</v>
      </c>
      <c r="BQ21" s="999"/>
      <c r="BR21" s="930">
        <f>0+'Multiplier Imported Boars '!B6</f>
        <v>0</v>
      </c>
      <c r="BS21" s="931">
        <f>+BS19</f>
        <v>708067.95992681163</v>
      </c>
      <c r="BT21" s="932">
        <f>SUM(BT19:BT20)</f>
        <v>0</v>
      </c>
      <c r="BU21" s="999"/>
      <c r="BV21" s="930"/>
      <c r="BW21" s="931"/>
      <c r="BX21" s="932"/>
      <c r="BY21" s="999"/>
      <c r="BZ21" s="930">
        <v>0</v>
      </c>
      <c r="CA21" s="931">
        <f>+CA19</f>
        <v>1945534.0347603799</v>
      </c>
      <c r="CB21" s="932">
        <f>SUM(CB19:CB20)</f>
        <v>0</v>
      </c>
      <c r="CC21" s="1488"/>
      <c r="CD21" s="930">
        <v>0</v>
      </c>
      <c r="CE21" s="931">
        <f>+CE19</f>
        <v>1310142.0875361108</v>
      </c>
      <c r="CF21" s="932">
        <f>SUM(CF19:CF20)</f>
        <v>0</v>
      </c>
      <c r="CG21" s="1488"/>
      <c r="CH21" s="930">
        <v>0</v>
      </c>
      <c r="CI21" s="931">
        <f>+CI19</f>
        <v>4433598.130629871</v>
      </c>
      <c r="CJ21" s="932">
        <f>SUM(CJ19:CJ20)</f>
        <v>0</v>
      </c>
      <c r="CK21" s="1488"/>
      <c r="CL21" s="930">
        <v>0</v>
      </c>
      <c r="CM21" s="931">
        <f>+CM19</f>
        <v>167.05821019531521</v>
      </c>
      <c r="CN21" s="932">
        <f>SUM(CN19:CN20)</f>
        <v>0</v>
      </c>
      <c r="CO21" s="999"/>
      <c r="CP21" s="930">
        <f>'Grasmere Imported Boars'!B10</f>
        <v>4</v>
      </c>
      <c r="CQ21" s="931">
        <f>+CQ19</f>
        <v>2640.7277044547914</v>
      </c>
      <c r="CR21" s="932">
        <f>SUM(CR19:CR20)</f>
        <v>10562.910817819165</v>
      </c>
      <c r="CS21" s="1488"/>
      <c r="CT21" s="930">
        <v>0</v>
      </c>
      <c r="CU21" s="931">
        <f>+CU19</f>
        <v>3031.3260040427031</v>
      </c>
      <c r="CV21" s="932">
        <f>SUM(CV19:CV20)</f>
        <v>0</v>
      </c>
      <c r="CW21" s="999"/>
      <c r="CX21" s="930">
        <f>'Grasmere Imported Boars'!B12</f>
        <v>2</v>
      </c>
      <c r="CY21" s="931">
        <f>+CY19</f>
        <v>3031.3260040427031</v>
      </c>
      <c r="CZ21" s="932">
        <f>SUM(CZ19:CZ20)</f>
        <v>6062.6520080854061</v>
      </c>
      <c r="DA21" s="999"/>
      <c r="DB21" s="930">
        <f>'Grasmere Imported Boars'!B16</f>
        <v>4</v>
      </c>
      <c r="DC21" s="931">
        <f>+DC19</f>
        <v>3031.3260040427031</v>
      </c>
      <c r="DD21" s="932">
        <f>SUM(DD19:DD20)</f>
        <v>12125.304016170812</v>
      </c>
      <c r="DE21" s="999"/>
      <c r="DF21" s="1758">
        <f>'Grasmere Imported Valuation'!DF21</f>
        <v>4</v>
      </c>
      <c r="DG21" s="931"/>
      <c r="DH21" s="931"/>
      <c r="DI21" s="999"/>
      <c r="DJ21" s="1758">
        <f>'Grasmere Imported Boars'!B28</f>
        <v>8</v>
      </c>
      <c r="DK21" s="931"/>
      <c r="DL21" s="931"/>
      <c r="DM21" s="999"/>
      <c r="DN21" s="1758">
        <f>+'Quarantine Boars'!B11</f>
        <v>6</v>
      </c>
      <c r="DO21" s="931"/>
      <c r="DP21" s="931"/>
      <c r="DQ21" s="999"/>
      <c r="DR21" s="1608">
        <f>SUM(DR19:DR20)</f>
        <v>26</v>
      </c>
      <c r="DS21" s="1609">
        <f>+DT21/DR21</f>
        <v>4576.5027157801851</v>
      </c>
      <c r="DT21" s="1620">
        <f>SUM(DT19:DT20)</f>
        <v>118989.07061028481</v>
      </c>
      <c r="DU21" s="872">
        <f>+'Grasmere Valuation '!H143</f>
        <v>4552754.2594503444</v>
      </c>
      <c r="DV21" s="872">
        <f>+DU21-DT21</f>
        <v>4433765.1888400596</v>
      </c>
      <c r="DW21" s="1021"/>
    </row>
    <row r="22" spans="1:139" s="1021" customFormat="1">
      <c r="A22" s="1023" t="str">
        <f>+A10</f>
        <v>Residual Value KGs</v>
      </c>
      <c r="B22" s="1024"/>
      <c r="C22" s="1025"/>
      <c r="D22" s="936"/>
      <c r="E22" s="889"/>
      <c r="F22" s="1024">
        <v>-150</v>
      </c>
      <c r="G22" s="1025">
        <v>1.84</v>
      </c>
      <c r="H22" s="936">
        <f>+F21*F22*G22</f>
        <v>0</v>
      </c>
      <c r="I22" s="889"/>
      <c r="J22" s="1024"/>
      <c r="K22" s="1025"/>
      <c r="L22" s="936"/>
      <c r="M22" s="889"/>
      <c r="N22" s="1024"/>
      <c r="O22" s="1025"/>
      <c r="P22" s="936"/>
      <c r="Q22" s="889"/>
      <c r="R22" s="1024"/>
      <c r="S22" s="1025"/>
      <c r="T22" s="936"/>
      <c r="U22" s="889"/>
      <c r="V22" s="1024">
        <v>-150</v>
      </c>
      <c r="W22" s="1025">
        <v>1.84</v>
      </c>
      <c r="X22" s="936">
        <f>+V21*V22*W22</f>
        <v>0</v>
      </c>
      <c r="Y22" s="889"/>
      <c r="Z22" s="1024">
        <v>-150</v>
      </c>
      <c r="AA22" s="1025">
        <v>1.84</v>
      </c>
      <c r="AB22" s="936">
        <f>+Z21*Z22*AA22</f>
        <v>-276</v>
      </c>
      <c r="AC22" s="889"/>
      <c r="AD22" s="1024">
        <v>-150</v>
      </c>
      <c r="AE22" s="1025">
        <v>1.84</v>
      </c>
      <c r="AF22" s="936">
        <f>+AD21*AD22*AE22</f>
        <v>0</v>
      </c>
      <c r="AG22" s="897"/>
      <c r="AH22" s="1024"/>
      <c r="AI22" s="1025"/>
      <c r="AJ22" s="936"/>
      <c r="AK22" s="889"/>
      <c r="AL22" s="960"/>
      <c r="AM22" s="959"/>
      <c r="AN22" s="936"/>
      <c r="AO22" s="889"/>
      <c r="AP22" s="960">
        <v>-150</v>
      </c>
      <c r="AQ22" s="959">
        <v>1.84</v>
      </c>
      <c r="AR22" s="936">
        <f>+AP21*AP22*AQ22</f>
        <v>-276</v>
      </c>
      <c r="AS22" s="889"/>
      <c r="AT22" s="1024">
        <v>-150</v>
      </c>
      <c r="AU22" s="1025">
        <v>1.84</v>
      </c>
      <c r="AV22" s="936">
        <f>+AT21*AT22*AU22</f>
        <v>-276</v>
      </c>
      <c r="AW22" s="889"/>
      <c r="AX22" s="960">
        <v>-150</v>
      </c>
      <c r="AY22" s="959">
        <v>1.84</v>
      </c>
      <c r="AZ22" s="936">
        <f>+AX21*AX22*AY22</f>
        <v>-276</v>
      </c>
      <c r="BA22" s="889"/>
      <c r="BB22" s="960">
        <v>-150</v>
      </c>
      <c r="BC22" s="959">
        <v>122.07000000000008</v>
      </c>
      <c r="BD22" s="936">
        <f>+BB21*BB22*BC22</f>
        <v>0</v>
      </c>
      <c r="BE22" s="889"/>
      <c r="BF22" s="960">
        <v>-150</v>
      </c>
      <c r="BG22" s="959">
        <v>122.07000000000008</v>
      </c>
      <c r="BH22" s="936">
        <f>+BF21*BF22*BG22</f>
        <v>0</v>
      </c>
      <c r="BI22" s="1487"/>
      <c r="BJ22" s="960">
        <v>-150</v>
      </c>
      <c r="BK22" s="959">
        <v>122.07000000000008</v>
      </c>
      <c r="BL22" s="936">
        <f>+BJ21*BJ22*BK22</f>
        <v>0</v>
      </c>
      <c r="BM22" s="1487"/>
      <c r="BN22" s="960">
        <v>-150</v>
      </c>
      <c r="BO22" s="959">
        <f>+BO10</f>
        <v>229.83791290065597</v>
      </c>
      <c r="BP22" s="936">
        <f>+BN21*BN22*BO22</f>
        <v>0</v>
      </c>
      <c r="BQ22" s="889"/>
      <c r="BR22" s="960">
        <v>-150</v>
      </c>
      <c r="BS22" s="959">
        <f>+BS10</f>
        <v>307.69</v>
      </c>
      <c r="BT22" s="936">
        <f>+BR21*BR22*BS22</f>
        <v>0</v>
      </c>
      <c r="BU22" s="889"/>
      <c r="BV22" s="960"/>
      <c r="BW22" s="959"/>
      <c r="BX22" s="936"/>
      <c r="BY22" s="889"/>
      <c r="BZ22" s="960">
        <v>-150</v>
      </c>
      <c r="CA22" s="959">
        <f>+[54]Summary!$G$16</f>
        <v>1281.8490695430385</v>
      </c>
      <c r="CB22" s="936">
        <f>+BZ21*BZ22*CA22</f>
        <v>0</v>
      </c>
      <c r="CC22" s="1487"/>
      <c r="CD22" s="960">
        <v>-150</v>
      </c>
      <c r="CE22" s="959">
        <f>+[51]Summary!$G$16</f>
        <v>1306.7267352627152</v>
      </c>
      <c r="CF22" s="936">
        <f>+CD21*CD22*CE22</f>
        <v>0</v>
      </c>
      <c r="CG22" s="1487"/>
      <c r="CH22" s="960">
        <v>-150</v>
      </c>
      <c r="CI22" s="1820">
        <f>[52]Summary!$G$18</f>
        <v>3020.6555657372742</v>
      </c>
      <c r="CJ22" s="936">
        <f>+CH21*CH22*CI22</f>
        <v>0</v>
      </c>
      <c r="CK22" s="1487"/>
      <c r="CL22" s="960">
        <v>-150</v>
      </c>
      <c r="CM22" s="1876">
        <f>[52]Summary!$G$18</f>
        <v>3020.6555657372742</v>
      </c>
      <c r="CN22" s="936">
        <f>+CL21*CL22*CM22</f>
        <v>0</v>
      </c>
      <c r="CO22" s="889"/>
      <c r="CP22" s="960">
        <v>-150</v>
      </c>
      <c r="CQ22" s="1876">
        <f>[52]Summary!$G$18</f>
        <v>3020.6555657372742</v>
      </c>
      <c r="CR22" s="936">
        <f>+CP21*CP22*CQ22</f>
        <v>-1812393.3394423644</v>
      </c>
      <c r="CS22" s="1487"/>
      <c r="CT22" s="960">
        <v>-150</v>
      </c>
      <c r="CU22" s="1876">
        <f>[52]Summary!$G$18</f>
        <v>3020.6555657372742</v>
      </c>
      <c r="CV22" s="936">
        <f>+CT21*CT22*CU22</f>
        <v>0</v>
      </c>
      <c r="CW22" s="889"/>
      <c r="CX22" s="960">
        <v>-150</v>
      </c>
      <c r="CY22" s="1876">
        <f>[52]Summary!$G$18</f>
        <v>3020.6555657372742</v>
      </c>
      <c r="CZ22" s="936">
        <f>+CX21*CX22*CY22</f>
        <v>-906196.6697211822</v>
      </c>
      <c r="DA22" s="889"/>
      <c r="DB22" s="960">
        <v>-150</v>
      </c>
      <c r="DC22" s="1876">
        <f>[52]Summary!$G$18</f>
        <v>3020.6555657372742</v>
      </c>
      <c r="DD22" s="936">
        <f>+DB21*DB22*DC22</f>
        <v>-1812393.3394423644</v>
      </c>
      <c r="DE22" s="889"/>
      <c r="DF22" s="959"/>
      <c r="DG22" s="959"/>
      <c r="DH22" s="959"/>
      <c r="DI22" s="889"/>
      <c r="DJ22" s="959"/>
      <c r="DK22" s="959"/>
      <c r="DL22" s="959"/>
      <c r="DM22" s="889"/>
      <c r="DN22" s="959"/>
      <c r="DO22" s="959"/>
      <c r="DP22" s="959"/>
      <c r="DQ22" s="889"/>
      <c r="DR22" s="1606">
        <f>+B22+F22+J22+N22+R22+V22+Z22+AD22+AH22+AL22+AP22+AT22+AX22+BB22+BF22+BJ22+BN22+BR22+BV22+BZ22+CD22+CH22+CL22+CP22+CT22+CX22+DB22</f>
        <v>-3000</v>
      </c>
      <c r="DS22" s="1611">
        <f>+DT22/DR22</f>
        <v>604.49911314745475</v>
      </c>
      <c r="DT22" s="1607">
        <f t="shared" ref="DT22:DT27" si="9">+D22+H22+L22+P22+T22+X22+AB22+AF22+AJ22+AN22+AR22+AV22+AZ22+BD22+BH22+BL22+BP22+BT22+BX22+CB22+CF22+CJ22+CN22+CR22</f>
        <v>-1813497.3394423644</v>
      </c>
    </row>
    <row r="23" spans="1:139" s="1021" customFormat="1">
      <c r="A23" s="1023" t="str">
        <f>+A11</f>
        <v>Depreciable Amount</v>
      </c>
      <c r="B23" s="930"/>
      <c r="C23" s="1025"/>
      <c r="D23" s="936"/>
      <c r="E23" s="889"/>
      <c r="F23" s="930">
        <f>+F21</f>
        <v>0</v>
      </c>
      <c r="G23" s="1025"/>
      <c r="H23" s="936">
        <v>0</v>
      </c>
      <c r="I23" s="889"/>
      <c r="J23" s="930"/>
      <c r="K23" s="1025"/>
      <c r="L23" s="936"/>
      <c r="M23" s="889"/>
      <c r="N23" s="930"/>
      <c r="O23" s="1025"/>
      <c r="P23" s="936"/>
      <c r="Q23" s="889"/>
      <c r="R23" s="930"/>
      <c r="S23" s="1025"/>
      <c r="T23" s="936"/>
      <c r="U23" s="889"/>
      <c r="V23" s="930">
        <f>+V21</f>
        <v>0</v>
      </c>
      <c r="W23" s="1025"/>
      <c r="X23" s="936">
        <f>+X21+X22</f>
        <v>0</v>
      </c>
      <c r="Y23" s="889"/>
      <c r="Z23" s="930">
        <f>+Z21</f>
        <v>1</v>
      </c>
      <c r="AA23" s="1025"/>
      <c r="AB23" s="936">
        <v>0</v>
      </c>
      <c r="AC23" s="889"/>
      <c r="AD23" s="930">
        <f>+AD21</f>
        <v>0</v>
      </c>
      <c r="AE23" s="1025"/>
      <c r="AF23" s="936">
        <v>0</v>
      </c>
      <c r="AG23" s="897"/>
      <c r="AH23" s="930"/>
      <c r="AI23" s="1025"/>
      <c r="AJ23" s="936"/>
      <c r="AK23" s="889"/>
      <c r="AL23" s="930"/>
      <c r="AM23" s="959"/>
      <c r="AN23" s="936"/>
      <c r="AO23" s="889"/>
      <c r="AP23" s="930">
        <f>+AP21</f>
        <v>1</v>
      </c>
      <c r="AQ23" s="959"/>
      <c r="AR23" s="936">
        <v>0</v>
      </c>
      <c r="AS23" s="889"/>
      <c r="AT23" s="930">
        <f>+AT21</f>
        <v>1</v>
      </c>
      <c r="AU23" s="1025"/>
      <c r="AV23" s="936">
        <v>0</v>
      </c>
      <c r="AW23" s="889"/>
      <c r="AX23" s="930">
        <f>+AX21</f>
        <v>1</v>
      </c>
      <c r="AY23" s="959"/>
      <c r="AZ23" s="936">
        <v>0</v>
      </c>
      <c r="BA23" s="889"/>
      <c r="BB23" s="930">
        <f>+BB21</f>
        <v>0</v>
      </c>
      <c r="BC23" s="959"/>
      <c r="BD23" s="936">
        <v>0</v>
      </c>
      <c r="BE23" s="889"/>
      <c r="BF23" s="930">
        <f>+BF21</f>
        <v>0</v>
      </c>
      <c r="BG23" s="959"/>
      <c r="BH23" s="936">
        <v>0</v>
      </c>
      <c r="BI23" s="1487"/>
      <c r="BJ23" s="930">
        <f>+BJ21</f>
        <v>0</v>
      </c>
      <c r="BK23" s="959"/>
      <c r="BL23" s="936">
        <f>+BL21+BL22</f>
        <v>0</v>
      </c>
      <c r="BM23" s="1487"/>
      <c r="BN23" s="930">
        <f>+BN21</f>
        <v>0</v>
      </c>
      <c r="BO23" s="959"/>
      <c r="BP23" s="936">
        <f>+BP21+BP22</f>
        <v>0</v>
      </c>
      <c r="BQ23" s="889"/>
      <c r="BR23" s="930">
        <f>+BR21</f>
        <v>0</v>
      </c>
      <c r="BS23" s="959"/>
      <c r="BT23" s="936">
        <f>+BT21+BT22</f>
        <v>0</v>
      </c>
      <c r="BU23" s="889"/>
      <c r="BV23" s="930"/>
      <c r="BW23" s="959"/>
      <c r="BX23" s="936"/>
      <c r="BY23" s="889"/>
      <c r="BZ23" s="930">
        <f>+BZ21</f>
        <v>0</v>
      </c>
      <c r="CA23" s="959"/>
      <c r="CB23" s="936">
        <f>+CB21+CB22</f>
        <v>0</v>
      </c>
      <c r="CC23" s="1487"/>
      <c r="CD23" s="930">
        <f>+CD21</f>
        <v>0</v>
      </c>
      <c r="CE23" s="959"/>
      <c r="CF23" s="936">
        <f>+CF21+CF22</f>
        <v>0</v>
      </c>
      <c r="CG23" s="1487"/>
      <c r="CH23" s="930">
        <f>+CH21</f>
        <v>0</v>
      </c>
      <c r="CI23" s="959"/>
      <c r="CJ23" s="936">
        <f>+CJ21+CJ22</f>
        <v>0</v>
      </c>
      <c r="CK23" s="1487"/>
      <c r="CL23" s="930">
        <f>+CL21</f>
        <v>0</v>
      </c>
      <c r="CM23" s="959"/>
      <c r="CN23" s="936">
        <f>+CN21+CN22</f>
        <v>0</v>
      </c>
      <c r="CO23" s="889"/>
      <c r="CP23" s="930">
        <f>+CP21</f>
        <v>4</v>
      </c>
      <c r="CQ23" s="959"/>
      <c r="CR23" s="936">
        <f>+CR21+CR22</f>
        <v>-1801830.4286245452</v>
      </c>
      <c r="CS23" s="1487"/>
      <c r="CT23" s="930">
        <f>+CT21</f>
        <v>0</v>
      </c>
      <c r="CU23" s="959"/>
      <c r="CV23" s="936">
        <f>+CV21+CV22</f>
        <v>0</v>
      </c>
      <c r="CW23" s="889"/>
      <c r="CX23" s="930">
        <f>+CX21</f>
        <v>2</v>
      </c>
      <c r="CY23" s="959"/>
      <c r="CZ23" s="936">
        <f>+CZ21+CZ22</f>
        <v>-900134.01771309681</v>
      </c>
      <c r="DA23" s="889"/>
      <c r="DB23" s="930">
        <f>+DB21</f>
        <v>4</v>
      </c>
      <c r="DC23" s="959"/>
      <c r="DD23" s="936">
        <f>+DD21+DD22</f>
        <v>-1800268.0354261936</v>
      </c>
      <c r="DE23" s="889"/>
      <c r="DF23" s="959"/>
      <c r="DG23" s="959"/>
      <c r="DH23" s="959"/>
      <c r="DI23" s="889"/>
      <c r="DJ23" s="959"/>
      <c r="DK23" s="959"/>
      <c r="DL23" s="959"/>
      <c r="DM23" s="889"/>
      <c r="DN23" s="959"/>
      <c r="DO23" s="959"/>
      <c r="DP23" s="959"/>
      <c r="DQ23" s="889"/>
      <c r="DR23" s="1608">
        <f>+DR21</f>
        <v>26</v>
      </c>
      <c r="DS23" s="1611">
        <f>+DT23/DR23</f>
        <v>-69301.170331713278</v>
      </c>
      <c r="DT23" s="1607">
        <f t="shared" si="9"/>
        <v>-1801830.4286245452</v>
      </c>
      <c r="DW23" s="872"/>
    </row>
    <row r="24" spans="1:139" s="1021" customFormat="1">
      <c r="A24" s="1023"/>
      <c r="B24" s="1024"/>
      <c r="C24" s="1025"/>
      <c r="D24" s="936"/>
      <c r="E24" s="889"/>
      <c r="F24" s="1024"/>
      <c r="G24" s="1025"/>
      <c r="H24" s="936"/>
      <c r="I24" s="889"/>
      <c r="J24" s="1024"/>
      <c r="K24" s="1025"/>
      <c r="L24" s="936"/>
      <c r="M24" s="889"/>
      <c r="N24" s="1024"/>
      <c r="O24" s="1025"/>
      <c r="P24" s="936"/>
      <c r="Q24" s="889"/>
      <c r="R24" s="1024"/>
      <c r="S24" s="1025"/>
      <c r="T24" s="936"/>
      <c r="U24" s="889"/>
      <c r="V24" s="1024"/>
      <c r="W24" s="1025"/>
      <c r="X24" s="936"/>
      <c r="Y24" s="889"/>
      <c r="Z24" s="1024"/>
      <c r="AA24" s="1025"/>
      <c r="AB24" s="936"/>
      <c r="AC24" s="889"/>
      <c r="AD24" s="1024"/>
      <c r="AE24" s="1025"/>
      <c r="AF24" s="936"/>
      <c r="AG24" s="897"/>
      <c r="AH24" s="1024"/>
      <c r="AI24" s="1025"/>
      <c r="AJ24" s="936"/>
      <c r="AK24" s="889"/>
      <c r="AL24" s="960"/>
      <c r="AM24" s="959"/>
      <c r="AN24" s="936"/>
      <c r="AO24" s="889"/>
      <c r="AP24" s="960"/>
      <c r="AQ24" s="959"/>
      <c r="AR24" s="936"/>
      <c r="AS24" s="889"/>
      <c r="AT24" s="1024"/>
      <c r="AU24" s="1025"/>
      <c r="AV24" s="936"/>
      <c r="AW24" s="889"/>
      <c r="AX24" s="960"/>
      <c r="AY24" s="959"/>
      <c r="AZ24" s="936"/>
      <c r="BA24" s="889"/>
      <c r="BB24" s="960"/>
      <c r="BC24" s="959"/>
      <c r="BD24" s="936"/>
      <c r="BE24" s="889"/>
      <c r="BF24" s="960"/>
      <c r="BG24" s="959"/>
      <c r="BH24" s="936"/>
      <c r="BI24" s="1487"/>
      <c r="BJ24" s="960"/>
      <c r="BK24" s="959"/>
      <c r="BL24" s="936"/>
      <c r="BM24" s="1487"/>
      <c r="BN24" s="960"/>
      <c r="BO24" s="959"/>
      <c r="BP24" s="936"/>
      <c r="BQ24" s="889"/>
      <c r="BR24" s="960"/>
      <c r="BS24" s="959"/>
      <c r="BT24" s="936"/>
      <c r="BU24" s="889"/>
      <c r="BV24" s="960"/>
      <c r="BW24" s="959"/>
      <c r="BX24" s="936"/>
      <c r="BY24" s="889"/>
      <c r="BZ24" s="959"/>
      <c r="CA24" s="959"/>
      <c r="CB24" s="936"/>
      <c r="CC24" s="1487"/>
      <c r="CD24" s="959"/>
      <c r="CE24" s="959"/>
      <c r="CF24" s="936"/>
      <c r="CG24" s="1487"/>
      <c r="CH24" s="959"/>
      <c r="CI24" s="959"/>
      <c r="CJ24" s="936"/>
      <c r="CK24" s="1487"/>
      <c r="CL24" s="959"/>
      <c r="CM24" s="959"/>
      <c r="CN24" s="936"/>
      <c r="CO24" s="889"/>
      <c r="CP24" s="959"/>
      <c r="CQ24" s="959"/>
      <c r="CR24" s="936"/>
      <c r="CS24" s="1487"/>
      <c r="CT24" s="959"/>
      <c r="CU24" s="959"/>
      <c r="CV24" s="936"/>
      <c r="CW24" s="889"/>
      <c r="CX24" s="959"/>
      <c r="CY24" s="959"/>
      <c r="CZ24" s="936"/>
      <c r="DA24" s="889"/>
      <c r="DB24" s="959"/>
      <c r="DC24" s="959"/>
      <c r="DD24" s="936"/>
      <c r="DE24" s="889"/>
      <c r="DF24" s="959"/>
      <c r="DG24" s="959"/>
      <c r="DH24" s="959"/>
      <c r="DI24" s="889"/>
      <c r="DJ24" s="959"/>
      <c r="DK24" s="959"/>
      <c r="DL24" s="959"/>
      <c r="DM24" s="889"/>
      <c r="DN24" s="959"/>
      <c r="DO24" s="959"/>
      <c r="DP24" s="959"/>
      <c r="DQ24" s="889"/>
      <c r="DR24" s="1606"/>
      <c r="DS24" s="1611"/>
      <c r="DT24" s="1607">
        <f t="shared" si="9"/>
        <v>0</v>
      </c>
    </row>
    <row r="25" spans="1:139" s="1021" customFormat="1">
      <c r="A25" s="1023" t="str">
        <f>+A13</f>
        <v>Monthly Amortisation</v>
      </c>
      <c r="B25" s="1024"/>
      <c r="C25" s="1025"/>
      <c r="D25" s="936"/>
      <c r="E25" s="889"/>
      <c r="F25" s="1024"/>
      <c r="G25" s="1025"/>
      <c r="H25" s="936">
        <v>0</v>
      </c>
      <c r="I25" s="889"/>
      <c r="J25" s="1024"/>
      <c r="K25" s="1025"/>
      <c r="L25" s="936"/>
      <c r="M25" s="889"/>
      <c r="N25" s="1024"/>
      <c r="O25" s="1025"/>
      <c r="P25" s="936"/>
      <c r="Q25" s="889"/>
      <c r="R25" s="1024"/>
      <c r="S25" s="1025"/>
      <c r="T25" s="936"/>
      <c r="U25" s="889"/>
      <c r="V25" s="1024"/>
      <c r="W25" s="1025"/>
      <c r="X25" s="936">
        <f>+X23/18</f>
        <v>0</v>
      </c>
      <c r="Y25" s="889"/>
      <c r="Z25" s="1024"/>
      <c r="AA25" s="1025"/>
      <c r="AB25" s="936">
        <v>0</v>
      </c>
      <c r="AC25" s="889"/>
      <c r="AD25" s="1024"/>
      <c r="AE25" s="1025"/>
      <c r="AF25" s="936">
        <v>0</v>
      </c>
      <c r="AG25" s="897"/>
      <c r="AH25" s="1024"/>
      <c r="AI25" s="1025"/>
      <c r="AJ25" s="936"/>
      <c r="AK25" s="889"/>
      <c r="AL25" s="960"/>
      <c r="AM25" s="959"/>
      <c r="AN25" s="936"/>
      <c r="AO25" s="889"/>
      <c r="AP25" s="960"/>
      <c r="AQ25" s="959"/>
      <c r="AR25" s="936">
        <v>0</v>
      </c>
      <c r="AS25" s="889"/>
      <c r="AT25" s="1024"/>
      <c r="AU25" s="1025"/>
      <c r="AV25" s="936">
        <v>0</v>
      </c>
      <c r="AW25" s="889"/>
      <c r="AX25" s="960"/>
      <c r="AY25" s="959"/>
      <c r="AZ25" s="936">
        <v>0</v>
      </c>
      <c r="BA25" s="889"/>
      <c r="BB25" s="960"/>
      <c r="BC25" s="959"/>
      <c r="BD25" s="936">
        <v>0</v>
      </c>
      <c r="BE25" s="889"/>
      <c r="BF25" s="960"/>
      <c r="BG25" s="959"/>
      <c r="BH25" s="936">
        <v>0</v>
      </c>
      <c r="BI25" s="1487"/>
      <c r="BJ25" s="960"/>
      <c r="BK25" s="959"/>
      <c r="BL25" s="936">
        <f>+BL23/18</f>
        <v>0</v>
      </c>
      <c r="BM25" s="1487"/>
      <c r="BN25" s="960"/>
      <c r="BO25" s="959"/>
      <c r="BP25" s="936">
        <f>+BP23/18</f>
        <v>0</v>
      </c>
      <c r="BQ25" s="889"/>
      <c r="BR25" s="960"/>
      <c r="BS25" s="959"/>
      <c r="BT25" s="936">
        <f>+BT23/18</f>
        <v>0</v>
      </c>
      <c r="BU25" s="889"/>
      <c r="BV25" s="960"/>
      <c r="BW25" s="959"/>
      <c r="BX25" s="936"/>
      <c r="BY25" s="889"/>
      <c r="BZ25" s="959"/>
      <c r="CA25" s="959"/>
      <c r="CB25" s="936">
        <f>+CB23/18</f>
        <v>0</v>
      </c>
      <c r="CC25" s="1487"/>
      <c r="CD25" s="959"/>
      <c r="CE25" s="959"/>
      <c r="CF25" s="936">
        <f>+CF23/18</f>
        <v>0</v>
      </c>
      <c r="CG25" s="1487"/>
      <c r="CH25" s="959"/>
      <c r="CI25" s="959"/>
      <c r="CJ25" s="936">
        <f>+CJ23/18</f>
        <v>0</v>
      </c>
      <c r="CK25" s="1487"/>
      <c r="CL25" s="959"/>
      <c r="CM25" s="959"/>
      <c r="CN25" s="936">
        <f>+CN23/18</f>
        <v>0</v>
      </c>
      <c r="CO25" s="889"/>
      <c r="CP25" s="959"/>
      <c r="CQ25" s="959"/>
      <c r="CR25" s="936">
        <f>+CR23/18</f>
        <v>-100101.6904791414</v>
      </c>
      <c r="CS25" s="1487"/>
      <c r="CT25" s="959"/>
      <c r="CU25" s="959"/>
      <c r="CV25" s="936">
        <f>+CV23/18</f>
        <v>0</v>
      </c>
      <c r="CW25" s="889"/>
      <c r="CX25" s="959"/>
      <c r="CY25" s="959"/>
      <c r="CZ25" s="936">
        <f>+CZ23/18</f>
        <v>-50007.44542850538</v>
      </c>
      <c r="DA25" s="889"/>
      <c r="DB25" s="959"/>
      <c r="DC25" s="959"/>
      <c r="DD25" s="936">
        <f>+DD23/18</f>
        <v>-100014.89085701076</v>
      </c>
      <c r="DE25" s="889"/>
      <c r="DF25" s="959"/>
      <c r="DG25" s="959"/>
      <c r="DH25" s="959"/>
      <c r="DI25" s="889"/>
      <c r="DJ25" s="959"/>
      <c r="DK25" s="959"/>
      <c r="DL25" s="959"/>
      <c r="DM25" s="889"/>
      <c r="DN25" s="959"/>
      <c r="DO25" s="959"/>
      <c r="DP25" s="959"/>
      <c r="DQ25" s="889"/>
      <c r="DR25" s="1606"/>
      <c r="DS25" s="1611"/>
      <c r="DT25" s="1607">
        <f t="shared" si="9"/>
        <v>-100101.6904791414</v>
      </c>
    </row>
    <row r="26" spans="1:139" s="1021" customFormat="1">
      <c r="A26" s="1023"/>
      <c r="B26" s="1024"/>
      <c r="C26" s="1025"/>
      <c r="D26" s="936"/>
      <c r="E26" s="889"/>
      <c r="F26" s="1024"/>
      <c r="G26" s="1025"/>
      <c r="H26" s="936"/>
      <c r="I26" s="889"/>
      <c r="J26" s="1024"/>
      <c r="K26" s="1025"/>
      <c r="L26" s="936"/>
      <c r="M26" s="889"/>
      <c r="N26" s="1024"/>
      <c r="O26" s="1025"/>
      <c r="P26" s="936"/>
      <c r="Q26" s="889"/>
      <c r="R26" s="1024"/>
      <c r="S26" s="1025"/>
      <c r="T26" s="936"/>
      <c r="U26" s="889"/>
      <c r="V26" s="1024"/>
      <c r="W26" s="1025"/>
      <c r="X26" s="936"/>
      <c r="Y26" s="889"/>
      <c r="Z26" s="1024"/>
      <c r="AA26" s="1025"/>
      <c r="AB26" s="936"/>
      <c r="AC26" s="889"/>
      <c r="AD26" s="1024"/>
      <c r="AE26" s="1025"/>
      <c r="AF26" s="936"/>
      <c r="AG26" s="897"/>
      <c r="AH26" s="1024"/>
      <c r="AI26" s="1025"/>
      <c r="AJ26" s="936"/>
      <c r="AK26" s="889"/>
      <c r="AL26" s="960"/>
      <c r="AM26" s="959"/>
      <c r="AN26" s="936"/>
      <c r="AO26" s="889"/>
      <c r="AP26" s="960"/>
      <c r="AQ26" s="959"/>
      <c r="AR26" s="936"/>
      <c r="AS26" s="889"/>
      <c r="AT26" s="1024"/>
      <c r="AU26" s="1025"/>
      <c r="AV26" s="936"/>
      <c r="AW26" s="889"/>
      <c r="AX26" s="960"/>
      <c r="AY26" s="959"/>
      <c r="AZ26" s="936"/>
      <c r="BA26" s="889"/>
      <c r="BB26" s="960"/>
      <c r="BC26" s="959"/>
      <c r="BD26" s="936"/>
      <c r="BE26" s="889"/>
      <c r="BF26" s="960"/>
      <c r="BG26" s="959"/>
      <c r="BH26" s="936"/>
      <c r="BI26" s="1487"/>
      <c r="BJ26" s="960"/>
      <c r="BK26" s="959"/>
      <c r="BL26" s="936"/>
      <c r="BM26" s="1487"/>
      <c r="BN26" s="960"/>
      <c r="BO26" s="959"/>
      <c r="BP26" s="936"/>
      <c r="BQ26" s="889"/>
      <c r="BR26" s="960"/>
      <c r="BS26" s="959"/>
      <c r="BT26" s="936"/>
      <c r="BU26" s="889"/>
      <c r="BV26" s="960"/>
      <c r="BW26" s="959"/>
      <c r="BX26" s="936"/>
      <c r="BY26" s="889"/>
      <c r="BZ26" s="959"/>
      <c r="CA26" s="959"/>
      <c r="CB26" s="936"/>
      <c r="CC26" s="1487"/>
      <c r="CD26" s="959"/>
      <c r="CE26" s="959"/>
      <c r="CF26" s="936"/>
      <c r="CG26" s="1487"/>
      <c r="CH26" s="959"/>
      <c r="CI26" s="959"/>
      <c r="CJ26" s="936"/>
      <c r="CK26" s="1487"/>
      <c r="CL26" s="959"/>
      <c r="CM26" s="959"/>
      <c r="CN26" s="936"/>
      <c r="CO26" s="889"/>
      <c r="CP26" s="959"/>
      <c r="CQ26" s="959"/>
      <c r="CR26" s="936"/>
      <c r="CS26" s="1487"/>
      <c r="CT26" s="959"/>
      <c r="CU26" s="959"/>
      <c r="CV26" s="936"/>
      <c r="CW26" s="889"/>
      <c r="CX26" s="959"/>
      <c r="CY26" s="959"/>
      <c r="CZ26" s="936"/>
      <c r="DA26" s="889"/>
      <c r="DB26" s="959"/>
      <c r="DC26" s="959"/>
      <c r="DD26" s="936"/>
      <c r="DE26" s="889"/>
      <c r="DF26" s="959"/>
      <c r="DG26" s="959"/>
      <c r="DH26" s="959"/>
      <c r="DI26" s="889"/>
      <c r="DJ26" s="959"/>
      <c r="DK26" s="959"/>
      <c r="DL26" s="959"/>
      <c r="DM26" s="889"/>
      <c r="DN26" s="959"/>
      <c r="DO26" s="959"/>
      <c r="DP26" s="959"/>
      <c r="DQ26" s="889"/>
      <c r="DR26" s="1606"/>
      <c r="DS26" s="1611"/>
      <c r="DT26" s="1607">
        <f t="shared" si="9"/>
        <v>0</v>
      </c>
    </row>
    <row r="27" spans="1:139" s="1021" customFormat="1">
      <c r="A27" s="1023" t="str">
        <f>+A15</f>
        <v xml:space="preserve">Cummulative Amortisation </v>
      </c>
      <c r="B27" s="1024"/>
      <c r="C27" s="1025"/>
      <c r="D27" s="936"/>
      <c r="E27" s="889"/>
      <c r="F27" s="1024"/>
      <c r="G27" s="1025"/>
      <c r="H27" s="936">
        <f>SUM(H21:H22)</f>
        <v>0</v>
      </c>
      <c r="I27" s="889"/>
      <c r="J27" s="1024"/>
      <c r="K27" s="1025"/>
      <c r="L27" s="936"/>
      <c r="M27" s="889"/>
      <c r="N27" s="1024"/>
      <c r="O27" s="1025"/>
      <c r="P27" s="936"/>
      <c r="Q27" s="889"/>
      <c r="R27" s="1024"/>
      <c r="S27" s="1025"/>
      <c r="T27" s="936"/>
      <c r="U27" s="889"/>
      <c r="V27" s="1024"/>
      <c r="W27" s="1025"/>
      <c r="X27" s="936">
        <f>+X25*W18</f>
        <v>0</v>
      </c>
      <c r="Y27" s="889"/>
      <c r="Z27" s="1024"/>
      <c r="AA27" s="1025"/>
      <c r="AB27" s="936">
        <f>SUM(AB21:AB22)</f>
        <v>7541.9226160729513</v>
      </c>
      <c r="AC27" s="889"/>
      <c r="AD27" s="1024"/>
      <c r="AE27" s="1025"/>
      <c r="AF27" s="936">
        <f>SUM(AF21:AF22)</f>
        <v>0</v>
      </c>
      <c r="AG27" s="897"/>
      <c r="AH27" s="1024"/>
      <c r="AI27" s="1025"/>
      <c r="AJ27" s="936"/>
      <c r="AK27" s="889"/>
      <c r="AL27" s="960"/>
      <c r="AM27" s="959"/>
      <c r="AN27" s="936"/>
      <c r="AO27" s="889"/>
      <c r="AP27" s="960"/>
      <c r="AQ27" s="959"/>
      <c r="AR27" s="936">
        <f>SUM(AR21:AR22)</f>
        <v>7082.9425580510087</v>
      </c>
      <c r="AS27" s="889"/>
      <c r="AT27" s="1024"/>
      <c r="AU27" s="1025"/>
      <c r="AV27" s="936">
        <f>SUM(AV21:AV22)</f>
        <v>16101.627951668575</v>
      </c>
      <c r="AW27" s="889"/>
      <c r="AX27" s="960"/>
      <c r="AY27" s="959"/>
      <c r="AZ27" s="936">
        <f>SUM(AZ21:AZ22)</f>
        <v>76595.666666666628</v>
      </c>
      <c r="BA27" s="889"/>
      <c r="BB27" s="960"/>
      <c r="BC27" s="959"/>
      <c r="BD27" s="936">
        <f>SUM(BD21:BD22)</f>
        <v>0</v>
      </c>
      <c r="BE27" s="889"/>
      <c r="BF27" s="960"/>
      <c r="BG27" s="959"/>
      <c r="BH27" s="936">
        <f>SUM(BH21:BH22)</f>
        <v>0</v>
      </c>
      <c r="BI27" s="1487"/>
      <c r="BJ27" s="960"/>
      <c r="BK27" s="959"/>
      <c r="BL27" s="936">
        <f>+BL25*BK18</f>
        <v>0</v>
      </c>
      <c r="BM27" s="1487"/>
      <c r="BN27" s="960"/>
      <c r="BO27" s="959"/>
      <c r="BP27" s="936">
        <f>+BP25*BO18</f>
        <v>0</v>
      </c>
      <c r="BQ27" s="889"/>
      <c r="BR27" s="960"/>
      <c r="BS27" s="959"/>
      <c r="BT27" s="936">
        <f>+BT25*BS18</f>
        <v>0</v>
      </c>
      <c r="BU27" s="889"/>
      <c r="BV27" s="960"/>
      <c r="BW27" s="959"/>
      <c r="BX27" s="936"/>
      <c r="BY27" s="889"/>
      <c r="BZ27" s="959"/>
      <c r="CA27" s="959"/>
      <c r="CB27" s="936">
        <f>+CB25*CA18</f>
        <v>0</v>
      </c>
      <c r="CC27" s="1487"/>
      <c r="CD27" s="959"/>
      <c r="CE27" s="959"/>
      <c r="CF27" s="936">
        <f>+CF25*CE18</f>
        <v>0</v>
      </c>
      <c r="CG27" s="1487"/>
      <c r="CH27" s="959"/>
      <c r="CI27" s="959"/>
      <c r="CJ27" s="936">
        <f>+CJ25*CI18</f>
        <v>0</v>
      </c>
      <c r="CK27" s="1487"/>
      <c r="CL27" s="959"/>
      <c r="CM27" s="959"/>
      <c r="CN27" s="936">
        <f>+CN25*CM18</f>
        <v>0</v>
      </c>
      <c r="CO27" s="889"/>
      <c r="CP27" s="959"/>
      <c r="CQ27" s="959"/>
      <c r="CR27" s="936">
        <f>+CR25*CQ18</f>
        <v>-100101.6904791414</v>
      </c>
      <c r="CS27" s="1487"/>
      <c r="CT27" s="959"/>
      <c r="CU27" s="959"/>
      <c r="CV27" s="936">
        <f>+CV25*CU18</f>
        <v>0</v>
      </c>
      <c r="CW27" s="889"/>
      <c r="CX27" s="959"/>
      <c r="CY27" s="959"/>
      <c r="CZ27" s="936">
        <f>+CZ25*CY18</f>
        <v>-50007.44542850538</v>
      </c>
      <c r="DA27" s="889"/>
      <c r="DB27" s="959"/>
      <c r="DC27" s="959"/>
      <c r="DD27" s="936">
        <f>+DD25*DC18</f>
        <v>-100014.89085701076</v>
      </c>
      <c r="DE27" s="889"/>
      <c r="DF27" s="959"/>
      <c r="DG27" s="959"/>
      <c r="DH27" s="959"/>
      <c r="DI27" s="889"/>
      <c r="DJ27" s="959"/>
      <c r="DK27" s="959"/>
      <c r="DL27" s="959"/>
      <c r="DM27" s="889"/>
      <c r="DN27" s="959"/>
      <c r="DO27" s="959"/>
      <c r="DP27" s="959"/>
      <c r="DQ27" s="889"/>
      <c r="DR27" s="1606"/>
      <c r="DS27" s="1611"/>
      <c r="DT27" s="1607">
        <f t="shared" si="9"/>
        <v>7220.4693133177643</v>
      </c>
    </row>
    <row r="28" spans="1:139" s="1021" customFormat="1">
      <c r="A28" s="1023"/>
      <c r="B28" s="1001"/>
      <c r="C28" s="890"/>
      <c r="D28" s="967"/>
      <c r="E28" s="889"/>
      <c r="F28" s="1001"/>
      <c r="G28" s="890"/>
      <c r="H28" s="967"/>
      <c r="I28" s="889"/>
      <c r="J28" s="1031"/>
      <c r="K28" s="1032"/>
      <c r="L28" s="1000"/>
      <c r="M28" s="889"/>
      <c r="N28" s="1031"/>
      <c r="O28" s="1032"/>
      <c r="P28" s="1000"/>
      <c r="Q28" s="889"/>
      <c r="R28" s="1001"/>
      <c r="S28" s="890"/>
      <c r="T28" s="967"/>
      <c r="U28" s="889"/>
      <c r="V28" s="966"/>
      <c r="W28" s="889"/>
      <c r="X28" s="967"/>
      <c r="Y28" s="889"/>
      <c r="Z28" s="966"/>
      <c r="AA28" s="889"/>
      <c r="AB28" s="967"/>
      <c r="AC28" s="889"/>
      <c r="AD28" s="966"/>
      <c r="AE28" s="889"/>
      <c r="AF28" s="967"/>
      <c r="AG28" s="889"/>
      <c r="AH28" s="965"/>
      <c r="AI28" s="963"/>
      <c r="AJ28" s="964"/>
      <c r="AK28" s="889"/>
      <c r="AL28" s="965"/>
      <c r="AM28" s="963"/>
      <c r="AN28" s="964"/>
      <c r="AO28" s="889"/>
      <c r="AP28" s="966"/>
      <c r="AQ28" s="889"/>
      <c r="AR28" s="967"/>
      <c r="AS28" s="889"/>
      <c r="AT28" s="966"/>
      <c r="AU28" s="889"/>
      <c r="AV28" s="967"/>
      <c r="AW28" s="889"/>
      <c r="AX28" s="965"/>
      <c r="AY28" s="963"/>
      <c r="AZ28" s="964"/>
      <c r="BA28" s="889"/>
      <c r="BB28" s="965"/>
      <c r="BC28" s="963"/>
      <c r="BD28" s="964"/>
      <c r="BE28" s="889"/>
      <c r="BF28" s="966"/>
      <c r="BG28" s="889"/>
      <c r="BH28" s="967"/>
      <c r="BI28" s="1487"/>
      <c r="BJ28" s="966"/>
      <c r="BK28" s="889"/>
      <c r="BL28" s="967"/>
      <c r="BM28" s="1487"/>
      <c r="BN28" s="966"/>
      <c r="BO28" s="889"/>
      <c r="BP28" s="967"/>
      <c r="BQ28" s="889"/>
      <c r="BR28" s="889"/>
      <c r="BS28" s="889"/>
      <c r="BT28" s="889"/>
      <c r="BU28" s="889"/>
      <c r="BV28" s="889"/>
      <c r="BW28" s="889"/>
      <c r="BX28" s="889"/>
      <c r="BY28" s="889"/>
      <c r="BZ28" s="889"/>
      <c r="CA28" s="889"/>
      <c r="CB28" s="889"/>
      <c r="CC28" s="1487"/>
      <c r="CD28" s="889"/>
      <c r="CE28" s="889"/>
      <c r="CF28" s="889"/>
      <c r="CG28" s="1487"/>
      <c r="CH28" s="1487"/>
      <c r="CI28" s="1487"/>
      <c r="CJ28" s="1487"/>
      <c r="CK28" s="1487"/>
      <c r="CL28" s="1487"/>
      <c r="CM28" s="1487"/>
      <c r="CN28" s="1487"/>
      <c r="CO28" s="1487"/>
      <c r="CP28" s="1487"/>
      <c r="CQ28" s="1487"/>
      <c r="CR28" s="1487"/>
      <c r="CS28" s="1487"/>
      <c r="CT28" s="1487"/>
      <c r="CU28" s="1487"/>
      <c r="CV28" s="1487"/>
      <c r="CW28" s="889"/>
      <c r="CX28" s="1487"/>
      <c r="CY28" s="1487"/>
      <c r="CZ28" s="1487"/>
      <c r="DA28" s="889"/>
      <c r="DB28" s="1487"/>
      <c r="DC28" s="1487"/>
      <c r="DD28" s="1487"/>
      <c r="DE28" s="889"/>
      <c r="DF28" s="1487"/>
      <c r="DG28" s="1487"/>
      <c r="DH28" s="1487"/>
      <c r="DI28" s="889"/>
      <c r="DJ28" s="1487"/>
      <c r="DK28" s="1487"/>
      <c r="DL28" s="1487"/>
      <c r="DM28" s="889"/>
      <c r="DN28" s="1487"/>
      <c r="DO28" s="1487"/>
      <c r="DP28" s="1487"/>
      <c r="DQ28" s="889"/>
      <c r="DR28" s="1617"/>
      <c r="DS28" s="1618"/>
      <c r="DT28" s="1733">
        <f t="shared" ref="DT28" si="10">+D28+H28+L28+P28+T28+X28+AB28+AF28+AJ28+AN28+AR28+AV28+AZ28+BD28+BH28+BL28+BP28+BT28+BX28+CB28+CF28+CJ28</f>
        <v>0</v>
      </c>
      <c r="EF28" s="1021" t="s">
        <v>138</v>
      </c>
      <c r="EH28" s="1021" t="s">
        <v>138</v>
      </c>
      <c r="EI28" s="1021" t="s">
        <v>138</v>
      </c>
    </row>
    <row r="29" spans="1:139" s="1021" customFormat="1">
      <c r="A29" s="1033"/>
      <c r="B29" s="1034"/>
      <c r="C29" s="1035"/>
      <c r="D29" s="1006"/>
      <c r="E29" s="1010"/>
      <c r="F29" s="1034"/>
      <c r="G29" s="1035"/>
      <c r="H29" s="1006"/>
      <c r="I29" s="1010"/>
      <c r="J29" s="1034"/>
      <c r="K29" s="1035"/>
      <c r="L29" s="1006"/>
      <c r="M29" s="1010"/>
      <c r="N29" s="1034"/>
      <c r="O29" s="1035"/>
      <c r="P29" s="1006"/>
      <c r="Q29" s="1010"/>
      <c r="R29" s="1008"/>
      <c r="S29" s="1009"/>
      <c r="T29" s="1006"/>
      <c r="U29" s="1010"/>
      <c r="V29" s="1008"/>
      <c r="W29" s="1009"/>
      <c r="X29" s="1006"/>
      <c r="Y29" s="1010"/>
      <c r="Z29" s="1008"/>
      <c r="AA29" s="1009"/>
      <c r="AB29" s="1006"/>
      <c r="AC29" s="1010"/>
      <c r="AD29" s="1008"/>
      <c r="AE29" s="1009"/>
      <c r="AF29" s="1006"/>
      <c r="AG29" s="1010"/>
      <c r="AH29" s="1008"/>
      <c r="AI29" s="1009"/>
      <c r="AJ29" s="1006"/>
      <c r="AK29" s="1010"/>
      <c r="AL29" s="1008"/>
      <c r="AM29" s="1009"/>
      <c r="AN29" s="1006"/>
      <c r="AO29" s="1010"/>
      <c r="AP29" s="1008"/>
      <c r="AQ29" s="1009"/>
      <c r="AR29" s="1006"/>
      <c r="AS29" s="1010"/>
      <c r="AT29" s="1008"/>
      <c r="AU29" s="1009"/>
      <c r="AV29" s="1006"/>
      <c r="AW29" s="1010"/>
      <c r="AX29" s="1008"/>
      <c r="AY29" s="1009"/>
      <c r="AZ29" s="1006"/>
      <c r="BA29" s="1010"/>
      <c r="BB29" s="1008"/>
      <c r="BC29" s="1009"/>
      <c r="BD29" s="1006"/>
      <c r="BE29" s="1010"/>
      <c r="BF29" s="1008"/>
      <c r="BG29" s="1009"/>
      <c r="BH29" s="1006"/>
      <c r="BI29" s="1489"/>
      <c r="BJ29" s="1008"/>
      <c r="BK29" s="1009"/>
      <c r="BL29" s="1006"/>
      <c r="BM29" s="1489"/>
      <c r="BN29" s="1008"/>
      <c r="BO29" s="1009"/>
      <c r="BP29" s="1006"/>
      <c r="BQ29" s="1010"/>
      <c r="BR29" s="1009"/>
      <c r="BS29" s="1009"/>
      <c r="BT29" s="1006"/>
      <c r="BU29" s="1010"/>
      <c r="BV29" s="1009"/>
      <c r="BW29" s="1009"/>
      <c r="BX29" s="1006"/>
      <c r="BY29" s="1010"/>
      <c r="BZ29" s="1009"/>
      <c r="CA29" s="1009"/>
      <c r="CB29" s="1009"/>
      <c r="CC29" s="1489"/>
      <c r="CD29" s="1009"/>
      <c r="CE29" s="1009"/>
      <c r="CF29" s="1009"/>
      <c r="CG29" s="1489"/>
      <c r="CH29" s="1489"/>
      <c r="CI29" s="1489"/>
      <c r="CJ29" s="1489"/>
      <c r="CK29" s="1489"/>
      <c r="CL29" s="1489"/>
      <c r="CM29" s="1489"/>
      <c r="CN29" s="1489"/>
      <c r="CO29" s="1489"/>
      <c r="CP29" s="1489"/>
      <c r="CQ29" s="1489"/>
      <c r="CR29" s="1489"/>
      <c r="CS29" s="1489"/>
      <c r="CT29" s="1489"/>
      <c r="CU29" s="1489"/>
      <c r="CV29" s="1489"/>
      <c r="CW29" s="1010"/>
      <c r="CX29" s="1489"/>
      <c r="CY29" s="1489"/>
      <c r="CZ29" s="1489"/>
      <c r="DA29" s="1010"/>
      <c r="DB29" s="1489"/>
      <c r="DC29" s="1489"/>
      <c r="DD29" s="1489"/>
      <c r="DE29" s="1010"/>
      <c r="DF29" s="1489"/>
      <c r="DG29" s="1489"/>
      <c r="DH29" s="1489"/>
      <c r="DI29" s="1010"/>
      <c r="DJ29" s="1489"/>
      <c r="DK29" s="1489"/>
      <c r="DL29" s="1489"/>
      <c r="DM29" s="1010"/>
      <c r="DN29" s="1489"/>
      <c r="DO29" s="1489"/>
      <c r="DP29" s="1489"/>
      <c r="DQ29" s="1010"/>
      <c r="DR29" s="1621"/>
      <c r="DS29" s="1622"/>
      <c r="DT29" s="1623"/>
    </row>
    <row r="30" spans="1:139" s="1021" customFormat="1">
      <c r="A30" s="1023" t="s">
        <v>1592</v>
      </c>
      <c r="B30" s="1031"/>
      <c r="C30" s="1032"/>
      <c r="D30" s="1643">
        <f>+D7+D19</f>
        <v>319695.84000000003</v>
      </c>
      <c r="E30" s="889"/>
      <c r="F30" s="1031"/>
      <c r="G30" s="1032"/>
      <c r="H30" s="1643">
        <f>+H7+H19</f>
        <v>88398.760000000009</v>
      </c>
      <c r="I30" s="889"/>
      <c r="J30" s="1031"/>
      <c r="K30" s="1032"/>
      <c r="L30" s="1643">
        <f>+L7+L19</f>
        <v>369228.84</v>
      </c>
      <c r="M30" s="889"/>
      <c r="N30" s="1031"/>
      <c r="O30" s="1032"/>
      <c r="P30" s="1643">
        <f>+P7+P19</f>
        <v>343360.76</v>
      </c>
      <c r="Q30" s="889"/>
      <c r="R30" s="1001"/>
      <c r="S30" s="890"/>
      <c r="T30" s="1643">
        <f>+T7+T19</f>
        <v>310333.12</v>
      </c>
      <c r="U30" s="889"/>
      <c r="V30" s="1001"/>
      <c r="W30" s="890"/>
      <c r="X30" s="1643">
        <f>+X7+X19</f>
        <v>86682.880000000005</v>
      </c>
      <c r="Y30" s="889"/>
      <c r="Z30" s="1001"/>
      <c r="AA30" s="890"/>
      <c r="AB30" s="1643">
        <f>+AB7+AB19</f>
        <v>478742.71583624854</v>
      </c>
      <c r="AC30" s="889"/>
      <c r="AD30" s="1001"/>
      <c r="AE30" s="890"/>
      <c r="AF30" s="1643">
        <f>+AF7+AF19</f>
        <v>454886.57777777774</v>
      </c>
      <c r="AG30" s="889"/>
      <c r="AH30" s="1001"/>
      <c r="AI30" s="890"/>
      <c r="AJ30" s="1643">
        <f>+AJ7+AJ19</f>
        <v>360612.89999999997</v>
      </c>
      <c r="AK30" s="889"/>
      <c r="AL30" s="1001"/>
      <c r="AM30" s="890"/>
      <c r="AN30" s="1643">
        <f>+AN7+AN19</f>
        <v>341653.66666666663</v>
      </c>
      <c r="AO30" s="889"/>
      <c r="AP30" s="1001"/>
      <c r="AQ30" s="890"/>
      <c r="AR30" s="1643">
        <f>+AR7+AR19</f>
        <v>357001.58901192556</v>
      </c>
      <c r="AS30" s="889"/>
      <c r="AT30" s="1001"/>
      <c r="AU30" s="890"/>
      <c r="AV30" s="1643">
        <f>+AV7+AV19</f>
        <v>2539009.52</v>
      </c>
      <c r="AW30" s="889"/>
      <c r="AX30" s="1001"/>
      <c r="AY30" s="890"/>
      <c r="AZ30" s="1643">
        <f>+AZ7+AZ19</f>
        <v>461230</v>
      </c>
      <c r="BA30" s="889"/>
      <c r="BB30" s="1001"/>
      <c r="BC30" s="890"/>
      <c r="BD30" s="1643">
        <f>+BD7+BD19</f>
        <v>18121397.623620026</v>
      </c>
      <c r="BE30" s="889"/>
      <c r="BF30" s="1001"/>
      <c r="BG30" s="890"/>
      <c r="BH30" s="1643">
        <f>+BH7+BH19</f>
        <v>11796374.483679656</v>
      </c>
      <c r="BI30" s="1487"/>
      <c r="BJ30" s="1001"/>
      <c r="BK30" s="890"/>
      <c r="BL30" s="1643">
        <f>+BL7+BL19</f>
        <v>20658625.943037242</v>
      </c>
      <c r="BM30" s="1487"/>
      <c r="BN30" s="1001"/>
      <c r="BO30" s="890"/>
      <c r="BP30" s="1643">
        <f>+BP7+BP19</f>
        <v>29863528.901310343</v>
      </c>
      <c r="BQ30" s="1667"/>
      <c r="BR30" s="1662"/>
      <c r="BS30" s="1662"/>
      <c r="BT30" s="1643">
        <f>+BT7+BT19</f>
        <v>47595732.300000004</v>
      </c>
      <c r="BU30" s="1667"/>
      <c r="BV30" s="1662"/>
      <c r="BW30" s="1662"/>
      <c r="BX30" s="1643">
        <f>+BX7+BX19</f>
        <v>119548513.95419161</v>
      </c>
      <c r="BY30" s="1667"/>
      <c r="BZ30" s="1662"/>
      <c r="CA30" s="1662"/>
      <c r="CB30" s="1643">
        <f>+CB7+CB19</f>
        <v>5836602.1042811396</v>
      </c>
      <c r="CC30" s="1487"/>
      <c r="CD30" s="1662"/>
      <c r="CE30" s="1662"/>
      <c r="CF30" s="1662">
        <f>+CF7+CF19</f>
        <v>105788602.35289626</v>
      </c>
      <c r="CG30" s="1662"/>
      <c r="CH30" s="1662"/>
      <c r="CI30" s="1662"/>
      <c r="CJ30" s="1662">
        <f>+CJ7+CJ19</f>
        <v>308956545.93909323</v>
      </c>
      <c r="CK30" s="1487"/>
      <c r="CL30" s="1662"/>
      <c r="CM30" s="1662"/>
      <c r="CN30" s="1662">
        <f>+CN7+CN19</f>
        <v>151884.02989005958</v>
      </c>
      <c r="CO30" s="1662"/>
      <c r="CP30" s="1662"/>
      <c r="CQ30" s="1662"/>
      <c r="CR30" s="1662">
        <f>+CR7+CR19</f>
        <v>205650.59919117391</v>
      </c>
      <c r="CS30" s="1487"/>
      <c r="CT30" s="1662"/>
      <c r="CU30" s="1662"/>
      <c r="CV30" s="1662">
        <f>+CV7+CV19</f>
        <v>179987.65110766128</v>
      </c>
      <c r="CW30" s="1667"/>
      <c r="CX30" s="1662"/>
      <c r="CY30" s="1662"/>
      <c r="CZ30" s="1662">
        <f>+CZ7+CZ19</f>
        <v>173924.99909957586</v>
      </c>
      <c r="DA30" s="1667"/>
      <c r="DB30" s="1662"/>
      <c r="DC30" s="1662"/>
      <c r="DD30" s="1662">
        <f>+DD7+DD19</f>
        <v>239983.534810215</v>
      </c>
      <c r="DE30" s="1667"/>
      <c r="DF30" s="1662"/>
      <c r="DG30" s="1662"/>
      <c r="DH30" s="1662"/>
      <c r="DI30" s="1667"/>
      <c r="DJ30" s="1662"/>
      <c r="DK30" s="1662"/>
      <c r="DL30" s="1662"/>
      <c r="DM30" s="1667"/>
      <c r="DN30" s="1662"/>
      <c r="DO30" s="1662"/>
      <c r="DP30" s="1662"/>
      <c r="DQ30" s="1667"/>
      <c r="DR30" s="1624">
        <v>0</v>
      </c>
      <c r="DS30" s="1624"/>
      <c r="DT30" s="1625">
        <f>+D30+H30+L30+P30+T30+X30+AB30+AF30+AJ30+AN30+AR30+AV30+AZ30+BD30+BH30+BL30+BP30+BT30+BX30+CB30+CF30+CJ30</f>
        <v>674676760.77140212</v>
      </c>
    </row>
    <row r="31" spans="1:139" s="1037" customFormat="1">
      <c r="A31" s="1036" t="s">
        <v>1593</v>
      </c>
      <c r="B31" s="1011">
        <f>-B15-B27</f>
        <v>0</v>
      </c>
      <c r="C31" s="1012">
        <f>-C15-C27</f>
        <v>0</v>
      </c>
      <c r="D31" s="1644">
        <f>-D15-D27</f>
        <v>0</v>
      </c>
      <c r="E31" s="889"/>
      <c r="F31" s="1011"/>
      <c r="G31" s="1012"/>
      <c r="H31" s="1644">
        <f>-H15-H27</f>
        <v>0</v>
      </c>
      <c r="I31" s="889"/>
      <c r="J31" s="1011">
        <f>-J15-J27</f>
        <v>0</v>
      </c>
      <c r="K31" s="1012">
        <f>-K15-K27</f>
        <v>0</v>
      </c>
      <c r="L31" s="1644">
        <f>-L15-L27</f>
        <v>0</v>
      </c>
      <c r="M31" s="889">
        <f>-M15-M27</f>
        <v>0</v>
      </c>
      <c r="N31" s="1011"/>
      <c r="O31" s="1012"/>
      <c r="P31" s="1644">
        <f>-P15-P27</f>
        <v>0</v>
      </c>
      <c r="Q31" s="889"/>
      <c r="R31" s="1011"/>
      <c r="S31" s="1012"/>
      <c r="T31" s="1644">
        <f>-T15-T27</f>
        <v>0</v>
      </c>
      <c r="U31" s="889"/>
      <c r="V31" s="1011"/>
      <c r="W31" s="1012"/>
      <c r="X31" s="1644">
        <f>-X15-X27</f>
        <v>0</v>
      </c>
      <c r="Y31" s="889"/>
      <c r="Z31" s="1011"/>
      <c r="AA31" s="1012"/>
      <c r="AB31" s="1644">
        <f>-AB15-AB27</f>
        <v>-7541.9226160729513</v>
      </c>
      <c r="AC31" s="889"/>
      <c r="AD31" s="1011"/>
      <c r="AE31" s="1012"/>
      <c r="AF31" s="1644">
        <f>-AF15-AF27</f>
        <v>0</v>
      </c>
      <c r="AG31" s="889"/>
      <c r="AH31" s="1011"/>
      <c r="AI31" s="1012"/>
      <c r="AJ31" s="1644">
        <f>-AJ15-AJ27</f>
        <v>0</v>
      </c>
      <c r="AK31" s="889"/>
      <c r="AL31" s="1011"/>
      <c r="AM31" s="1012"/>
      <c r="AN31" s="1644">
        <f>-AN15-AN27</f>
        <v>0</v>
      </c>
      <c r="AO31" s="889"/>
      <c r="AP31" s="1011"/>
      <c r="AQ31" s="1012"/>
      <c r="AR31" s="1644">
        <f>-AR15-AR27</f>
        <v>-7082.9425580510087</v>
      </c>
      <c r="AS31" s="889"/>
      <c r="AT31" s="1011"/>
      <c r="AU31" s="1012"/>
      <c r="AV31" s="1644">
        <f>-AV15-AV27</f>
        <v>-16101.627951668575</v>
      </c>
      <c r="AW31" s="889"/>
      <c r="AX31" s="1011"/>
      <c r="AY31" s="1012"/>
      <c r="AZ31" s="1644">
        <f>-AZ15-AZ27</f>
        <v>-76595.666666666628</v>
      </c>
      <c r="BA31" s="889"/>
      <c r="BB31" s="1011"/>
      <c r="BC31" s="1012"/>
      <c r="BD31" s="1644">
        <f>-BD15-BD27</f>
        <v>-184079.22943761721</v>
      </c>
      <c r="BE31" s="889"/>
      <c r="BF31" s="1011"/>
      <c r="BG31" s="1012"/>
      <c r="BH31" s="1644">
        <f>-BH15-BH27</f>
        <v>0</v>
      </c>
      <c r="BI31" s="1487"/>
      <c r="BJ31" s="1011"/>
      <c r="BK31" s="1012"/>
      <c r="BL31" s="1644">
        <f>-BL15-BL27</f>
        <v>-276977.97953651223</v>
      </c>
      <c r="BM31" s="1487"/>
      <c r="BN31" s="1011"/>
      <c r="BO31" s="1012"/>
      <c r="BP31" s="1644">
        <f>-BP15-BP27</f>
        <v>-1025864.1857631786</v>
      </c>
      <c r="BQ31" s="1667"/>
      <c r="BR31" s="1663"/>
      <c r="BS31" s="1663"/>
      <c r="BT31" s="1644">
        <f>-BT15-BT27</f>
        <v>-1277359.6573199888</v>
      </c>
      <c r="BU31" s="1667"/>
      <c r="BV31" s="1663"/>
      <c r="BW31" s="1663"/>
      <c r="BX31" s="1644">
        <f>-BX15-BX27</f>
        <v>-7343008.3143310202</v>
      </c>
      <c r="BY31" s="1667"/>
      <c r="BZ31" s="1663"/>
      <c r="CA31" s="1663"/>
      <c r="CB31" s="1644">
        <f>-CB15-CB27</f>
        <v>0</v>
      </c>
      <c r="CC31" s="1487"/>
      <c r="CD31" s="1663"/>
      <c r="CE31" s="1663"/>
      <c r="CF31" s="1663">
        <f>-CF15-CF27</f>
        <v>-13073319.217686351</v>
      </c>
      <c r="CG31" s="1663"/>
      <c r="CH31" s="1663"/>
      <c r="CI31" s="1663"/>
      <c r="CJ31" s="1663">
        <f>-CJ15-CJ27</f>
        <v>-27488104.37099031</v>
      </c>
      <c r="CK31" s="1487"/>
      <c r="CL31" s="1663"/>
      <c r="CM31" s="1663"/>
      <c r="CN31" s="1663">
        <f>-CN15-CN27</f>
        <v>1951424.8639951588</v>
      </c>
      <c r="CO31" s="1663"/>
      <c r="CP31" s="1663"/>
      <c r="CQ31" s="1663"/>
      <c r="CR31" s="1663">
        <f>-CR15-CR27</f>
        <v>522654.87095383112</v>
      </c>
      <c r="CS31" s="1487"/>
      <c r="CT31" s="1663"/>
      <c r="CU31" s="1663"/>
      <c r="CV31" s="1663">
        <f>-CV15-CV27</f>
        <v>389972.62556020229</v>
      </c>
      <c r="CW31" s="1667"/>
      <c r="CX31" s="1663"/>
      <c r="CY31" s="1663"/>
      <c r="CZ31" s="1663">
        <f>-CZ15-CZ27</f>
        <v>537473.22737875825</v>
      </c>
      <c r="DA31" s="1667"/>
      <c r="DB31" s="1663"/>
      <c r="DC31" s="1663"/>
      <c r="DD31" s="1663">
        <f>-DD15-DD27</f>
        <v>825797.2773162761</v>
      </c>
      <c r="DE31" s="1667"/>
      <c r="DF31" s="1663"/>
      <c r="DG31" s="1663"/>
      <c r="DH31" s="1663"/>
      <c r="DI31" s="1667"/>
      <c r="DJ31" s="1663"/>
      <c r="DK31" s="1663"/>
      <c r="DL31" s="1663"/>
      <c r="DM31" s="1667"/>
      <c r="DN31" s="1663"/>
      <c r="DO31" s="1663"/>
      <c r="DP31" s="1663"/>
      <c r="DQ31" s="1667"/>
      <c r="DR31" s="1626"/>
      <c r="DS31" s="1626"/>
      <c r="DT31" s="1626">
        <f>+D31+H31+L31+P31+T31+X31+AB31+AF31+AJ31+AN31+AR31+AV31+AZ31+BD31+BH31+BL31+BP31+BT31+BX31+CB31+CF31+CJ31</f>
        <v>-50776035.114857435</v>
      </c>
    </row>
    <row r="32" spans="1:139" s="1021" customFormat="1">
      <c r="A32" s="1023" t="s">
        <v>1594</v>
      </c>
      <c r="B32" s="1031"/>
      <c r="C32" s="1032"/>
      <c r="D32" s="1643">
        <f>+D8+D20</f>
        <v>-319695.84000000003</v>
      </c>
      <c r="E32" s="889"/>
      <c r="F32" s="1031"/>
      <c r="G32" s="1032"/>
      <c r="H32" s="1643">
        <f>+H8+H20</f>
        <v>-88398.760000000009</v>
      </c>
      <c r="I32" s="889"/>
      <c r="J32" s="1031"/>
      <c r="K32" s="1032"/>
      <c r="L32" s="1643">
        <f>+L8+L20</f>
        <v>-369228.84</v>
      </c>
      <c r="M32" s="889"/>
      <c r="N32" s="1031"/>
      <c r="O32" s="1032"/>
      <c r="P32" s="1643">
        <f>+P8+P20</f>
        <v>-343360.76</v>
      </c>
      <c r="Q32" s="889"/>
      <c r="R32" s="1001"/>
      <c r="S32" s="890"/>
      <c r="T32" s="1643">
        <f>+T8+T20</f>
        <v>-310333.12</v>
      </c>
      <c r="U32" s="889"/>
      <c r="V32" s="1001"/>
      <c r="W32" s="890"/>
      <c r="X32" s="1643">
        <f>+X8+X20</f>
        <v>-86682.880000000005</v>
      </c>
      <c r="Y32" s="889"/>
      <c r="Z32" s="1001"/>
      <c r="AA32" s="890"/>
      <c r="AB32" s="1643">
        <f>+AB8+AB20</f>
        <v>-470924.79322017566</v>
      </c>
      <c r="AC32" s="889"/>
      <c r="AD32" s="1001"/>
      <c r="AE32" s="890"/>
      <c r="AF32" s="1643">
        <f>+AF8+AF20</f>
        <v>-454886.57777777774</v>
      </c>
      <c r="AG32" s="889"/>
      <c r="AH32" s="1001"/>
      <c r="AI32" s="890"/>
      <c r="AJ32" s="1643">
        <f>+AJ8+AJ20</f>
        <v>-360612.89999999997</v>
      </c>
      <c r="AK32" s="889"/>
      <c r="AL32" s="1001"/>
      <c r="AM32" s="890"/>
      <c r="AN32" s="1643">
        <f>+AN8+AN20</f>
        <v>-341653.66666666663</v>
      </c>
      <c r="AO32" s="889"/>
      <c r="AP32" s="1001"/>
      <c r="AQ32" s="890"/>
      <c r="AR32" s="1643">
        <f>+AR8+AR20</f>
        <v>-349642.64645387453</v>
      </c>
      <c r="AS32" s="889"/>
      <c r="AT32" s="1001"/>
      <c r="AU32" s="890"/>
      <c r="AV32" s="1643">
        <f>+AV8+AV20</f>
        <v>-2522631.8920483314</v>
      </c>
      <c r="AW32" s="889"/>
      <c r="AX32" s="1001"/>
      <c r="AY32" s="890"/>
      <c r="AZ32" s="1643">
        <f>+AZ8+AZ20</f>
        <v>-384358.33333333337</v>
      </c>
      <c r="BA32" s="889"/>
      <c r="BB32" s="1001"/>
      <c r="BC32" s="890"/>
      <c r="BD32" s="1643">
        <f>+BD8+BD20</f>
        <v>-17921449.294182409</v>
      </c>
      <c r="BE32" s="889"/>
      <c r="BF32" s="1001"/>
      <c r="BG32" s="890"/>
      <c r="BH32" s="1643">
        <f>+BH8+BH20</f>
        <v>-11796374.483679656</v>
      </c>
      <c r="BI32" s="1487"/>
      <c r="BJ32" s="1001"/>
      <c r="BK32" s="890"/>
      <c r="BL32" s="1643">
        <f>+BL8+BL20</f>
        <v>-20357865.206942543</v>
      </c>
      <c r="BM32" s="1487"/>
      <c r="BN32" s="1001"/>
      <c r="BO32" s="890"/>
      <c r="BP32" s="1643">
        <f>+BP8+BP20</f>
        <v>-28500405.539848935</v>
      </c>
      <c r="BQ32" s="1667"/>
      <c r="BR32" s="1662"/>
      <c r="BS32" s="1662"/>
      <c r="BT32" s="1643">
        <f>+BT8+BT20</f>
        <v>-45559693.714020021</v>
      </c>
      <c r="BU32" s="1667"/>
      <c r="BV32" s="1662"/>
      <c r="BW32" s="1662"/>
      <c r="BX32" s="1643">
        <f>+BX8+BX20</f>
        <v>-106051101.08839577</v>
      </c>
      <c r="BY32" s="1667"/>
      <c r="BZ32" s="1662"/>
      <c r="CA32" s="1662"/>
      <c r="CB32" s="1643">
        <f>+CB8+CB20</f>
        <v>-5836602.1042811396</v>
      </c>
      <c r="CC32" s="1487"/>
      <c r="CD32" s="1662"/>
      <c r="CE32" s="1662"/>
      <c r="CF32" s="1662">
        <f>+CF8+CF20</f>
        <v>-73146019.077003062</v>
      </c>
      <c r="CG32" s="1662"/>
      <c r="CH32" s="1662"/>
      <c r="CI32" s="1662"/>
      <c r="CJ32" s="1662">
        <f>+CJ8+CJ20</f>
        <v>-210356402.17057091</v>
      </c>
      <c r="CK32" s="1487"/>
      <c r="CL32" s="1662"/>
      <c r="CM32" s="1662"/>
      <c r="CN32" s="1662">
        <f>+CN8+CN20</f>
        <v>-79876.507485641327</v>
      </c>
      <c r="CO32" s="1662"/>
      <c r="CP32" s="1662"/>
      <c r="CQ32" s="1662"/>
      <c r="CR32" s="1662">
        <f>+CR8+CR20</f>
        <v>-92278.4671742051</v>
      </c>
      <c r="CS32" s="1487"/>
      <c r="CT32" s="1662"/>
      <c r="CU32" s="1662"/>
      <c r="CV32" s="1662">
        <f>+CV8+CV20</f>
        <v>-82334.123624499451</v>
      </c>
      <c r="CW32" s="1667"/>
      <c r="CX32" s="1662"/>
      <c r="CY32" s="1662"/>
      <c r="CZ32" s="1662">
        <f>+CZ8+CZ20</f>
        <v>-45795.437737538196</v>
      </c>
      <c r="DA32" s="1667"/>
      <c r="DB32" s="1662"/>
      <c r="DC32" s="1662"/>
      <c r="DD32" s="1662">
        <f>+DD8+DD20</f>
        <v>-46114.165755937516</v>
      </c>
      <c r="DE32" s="1667"/>
      <c r="DF32" s="1662"/>
      <c r="DG32" s="1662"/>
      <c r="DH32" s="1662"/>
      <c r="DI32" s="1667"/>
      <c r="DJ32" s="1662"/>
      <c r="DK32" s="1662"/>
      <c r="DL32" s="1662"/>
      <c r="DM32" s="1667"/>
      <c r="DN32" s="1662"/>
      <c r="DO32" s="1662"/>
      <c r="DP32" s="1662"/>
      <c r="DQ32" s="1667"/>
      <c r="DR32" s="1624"/>
      <c r="DS32" s="1624"/>
      <c r="DT32" s="1625">
        <f>+D32+H32+L32+P32+T32+X32+AB32+AF32+AJ32+AN32+AR32+AV32+AZ32+BD32+BH32+BL32+BP32+BT32+BX32+CB32+CF32+CJ32</f>
        <v>-525928323.68842459</v>
      </c>
    </row>
    <row r="33" spans="1:127" s="872" customFormat="1">
      <c r="A33" s="1013" t="s">
        <v>636</v>
      </c>
      <c r="B33" s="1014"/>
      <c r="C33" s="876"/>
      <c r="D33" s="1645">
        <f>SUM(D30:D32)</f>
        <v>0</v>
      </c>
      <c r="E33" s="968"/>
      <c r="F33" s="1014"/>
      <c r="G33" s="876"/>
      <c r="H33" s="1645">
        <f>SUM(H30:H32)</f>
        <v>0</v>
      </c>
      <c r="I33" s="968"/>
      <c r="J33" s="1014"/>
      <c r="K33" s="876"/>
      <c r="L33" s="1645">
        <f>SUM(L30:L32)</f>
        <v>0</v>
      </c>
      <c r="M33" s="968"/>
      <c r="N33" s="1014"/>
      <c r="O33" s="876"/>
      <c r="P33" s="1645">
        <f>SUM(P30:P32)</f>
        <v>0</v>
      </c>
      <c r="Q33" s="968"/>
      <c r="R33" s="1014"/>
      <c r="S33" s="876"/>
      <c r="T33" s="1645">
        <f>SUM(T30:T32)</f>
        <v>0</v>
      </c>
      <c r="U33" s="968"/>
      <c r="V33" s="1014"/>
      <c r="W33" s="876"/>
      <c r="X33" s="1645">
        <f>SUM(X30:X32)</f>
        <v>0</v>
      </c>
      <c r="Y33" s="968"/>
      <c r="Z33" s="1014"/>
      <c r="AA33" s="876"/>
      <c r="AB33" s="1645">
        <f>SUM(AB30:AB32)</f>
        <v>275.99999999994179</v>
      </c>
      <c r="AC33" s="968"/>
      <c r="AD33" s="1014"/>
      <c r="AE33" s="876"/>
      <c r="AF33" s="1645">
        <f>SUM(AF30:AF32)</f>
        <v>0</v>
      </c>
      <c r="AG33" s="968"/>
      <c r="AH33" s="1014"/>
      <c r="AI33" s="876"/>
      <c r="AJ33" s="1645">
        <f>SUM(AJ30:AJ32)</f>
        <v>0</v>
      </c>
      <c r="AK33" s="968"/>
      <c r="AL33" s="1014"/>
      <c r="AM33" s="876"/>
      <c r="AN33" s="1645">
        <f>SUM(AN30:AN32)</f>
        <v>0</v>
      </c>
      <c r="AO33" s="968"/>
      <c r="AP33" s="1014"/>
      <c r="AQ33" s="876"/>
      <c r="AR33" s="1645">
        <f>SUM(AR30:AR32)</f>
        <v>276</v>
      </c>
      <c r="AS33" s="968"/>
      <c r="AT33" s="1014"/>
      <c r="AU33" s="876"/>
      <c r="AV33" s="1645">
        <f>SUM(AV30:AV32)</f>
        <v>276</v>
      </c>
      <c r="AW33" s="968"/>
      <c r="AX33" s="1014"/>
      <c r="AY33" s="876"/>
      <c r="AZ33" s="1645">
        <f>SUM(AZ30:AZ32)</f>
        <v>276</v>
      </c>
      <c r="BA33" s="968"/>
      <c r="BB33" s="1014"/>
      <c r="BC33" s="876"/>
      <c r="BD33" s="1645">
        <f>SUM(BD30:BD32)</f>
        <v>15869.10000000149</v>
      </c>
      <c r="BE33" s="968"/>
      <c r="BF33" s="1014"/>
      <c r="BG33" s="876"/>
      <c r="BH33" s="1645">
        <f>SUM(BH30:BH32)</f>
        <v>0</v>
      </c>
      <c r="BI33" s="1486"/>
      <c r="BJ33" s="1014"/>
      <c r="BK33" s="876"/>
      <c r="BL33" s="1645">
        <f>SUM(BL30:BL32)</f>
        <v>23782.756558187306</v>
      </c>
      <c r="BM33" s="1486"/>
      <c r="BN33" s="1014"/>
      <c r="BO33" s="876"/>
      <c r="BP33" s="1645">
        <f>SUM(BP30:BP32)</f>
        <v>337259.17569822818</v>
      </c>
      <c r="BQ33" s="1668"/>
      <c r="BR33" s="1664"/>
      <c r="BS33" s="1664"/>
      <c r="BT33" s="1645">
        <f>SUM(BT30:BT32)</f>
        <v>758678.92865999788</v>
      </c>
      <c r="BU33" s="1668"/>
      <c r="BV33" s="1664"/>
      <c r="BW33" s="1664"/>
      <c r="BX33" s="1645">
        <f>SUM(BX30:BX32)</f>
        <v>6154404.551464811</v>
      </c>
      <c r="BY33" s="1668"/>
      <c r="BZ33" s="1664"/>
      <c r="CA33" s="1664"/>
      <c r="CB33" s="1645">
        <f>SUM(CB30:CB32)</f>
        <v>0</v>
      </c>
      <c r="CC33" s="1486"/>
      <c r="CD33" s="1664"/>
      <c r="CE33" s="1664"/>
      <c r="CF33" s="1823">
        <f>SUM(CF30:CF32)</f>
        <v>19569264.058206841</v>
      </c>
      <c r="CG33" s="1664"/>
      <c r="CH33" s="1664"/>
      <c r="CI33" s="1664"/>
      <c r="CJ33" s="1823">
        <f>SUM(CJ30:CJ32)</f>
        <v>71112039.397531986</v>
      </c>
      <c r="CK33" s="1488"/>
      <c r="CL33" s="1664"/>
      <c r="CM33" s="1664"/>
      <c r="CN33" s="1823">
        <f>SUM(CN30:CN32)</f>
        <v>2023432.3863995771</v>
      </c>
      <c r="CO33" s="1823"/>
      <c r="CP33" s="1664"/>
      <c r="CQ33" s="1664"/>
      <c r="CR33" s="1823">
        <f>SUM(CR30:CR32)</f>
        <v>636027.00297079992</v>
      </c>
      <c r="CS33" s="1488"/>
      <c r="CT33" s="1664"/>
      <c r="CU33" s="1664"/>
      <c r="CV33" s="1823">
        <f>SUM(CV30:CV32)</f>
        <v>487626.15304336417</v>
      </c>
      <c r="CW33" s="1951"/>
      <c r="CX33" s="1664"/>
      <c r="CY33" s="1664"/>
      <c r="CZ33" s="1823">
        <f>SUM(CZ30:CZ32)</f>
        <v>665602.7887407958</v>
      </c>
      <c r="DA33" s="1951"/>
      <c r="DB33" s="1664"/>
      <c r="DC33" s="1664"/>
      <c r="DD33" s="1823">
        <f>SUM(DD30:DD32)</f>
        <v>1019666.6463705536</v>
      </c>
      <c r="DE33" s="1951"/>
      <c r="DF33" s="1823"/>
      <c r="DG33" s="1823"/>
      <c r="DH33" s="1823"/>
      <c r="DI33" s="1951"/>
      <c r="DJ33" s="1823"/>
      <c r="DK33" s="1823"/>
      <c r="DL33" s="1823"/>
      <c r="DM33" s="1951"/>
      <c r="DN33" s="1823"/>
      <c r="DO33" s="1823"/>
      <c r="DP33" s="1823"/>
      <c r="DQ33" s="1951"/>
      <c r="DR33" s="1824"/>
      <c r="DS33" s="1824"/>
      <c r="DT33" s="1627">
        <f>+D33+H33+L33+P33+T33+X33+AB33+AF33+AJ33+AN33+AR33+AV33+AZ33+BD33+BH33+BL33+BP33+BT33+BX33+CB33+CF33+CJ33</f>
        <v>97972401.968120053</v>
      </c>
    </row>
    <row r="34" spans="1:127" s="1021" customFormat="1">
      <c r="A34" s="1023"/>
      <c r="B34" s="1031"/>
      <c r="C34" s="1032"/>
      <c r="D34" s="1643"/>
      <c r="E34" s="889"/>
      <c r="F34" s="1031"/>
      <c r="G34" s="1032"/>
      <c r="H34" s="1643"/>
      <c r="I34" s="889"/>
      <c r="J34" s="1031"/>
      <c r="K34" s="1032"/>
      <c r="L34" s="1643"/>
      <c r="M34" s="889"/>
      <c r="N34" s="1031"/>
      <c r="O34" s="1032"/>
      <c r="P34" s="1643"/>
      <c r="Q34" s="889"/>
      <c r="R34" s="1001"/>
      <c r="S34" s="890"/>
      <c r="T34" s="1643"/>
      <c r="U34" s="889"/>
      <c r="V34" s="1001"/>
      <c r="W34" s="890"/>
      <c r="X34" s="1643"/>
      <c r="Y34" s="889"/>
      <c r="Z34" s="1001"/>
      <c r="AA34" s="890"/>
      <c r="AB34" s="1643"/>
      <c r="AC34" s="889"/>
      <c r="AD34" s="1001"/>
      <c r="AE34" s="890"/>
      <c r="AF34" s="1643"/>
      <c r="AG34" s="889"/>
      <c r="AH34" s="1008"/>
      <c r="AI34" s="1009"/>
      <c r="AJ34" s="1643"/>
      <c r="AK34" s="889"/>
      <c r="AL34" s="1008"/>
      <c r="AM34" s="1009"/>
      <c r="AN34" s="1643"/>
      <c r="AO34" s="889"/>
      <c r="AP34" s="1001"/>
      <c r="AQ34" s="890"/>
      <c r="AR34" s="1643"/>
      <c r="AS34" s="889"/>
      <c r="AT34" s="1001"/>
      <c r="AU34" s="890"/>
      <c r="AV34" s="1643"/>
      <c r="AW34" s="889"/>
      <c r="AX34" s="889"/>
      <c r="AY34" s="889"/>
      <c r="AZ34" s="1643"/>
      <c r="BA34" s="889"/>
      <c r="BB34" s="1001"/>
      <c r="BC34" s="890"/>
      <c r="BD34" s="1643"/>
      <c r="BE34" s="889"/>
      <c r="BF34" s="1001"/>
      <c r="BG34" s="890"/>
      <c r="BH34" s="1643"/>
      <c r="BI34" s="1487"/>
      <c r="BJ34" s="1001"/>
      <c r="BK34" s="890"/>
      <c r="BL34" s="1643"/>
      <c r="BM34" s="1487"/>
      <c r="BN34" s="1001"/>
      <c r="BO34" s="890"/>
      <c r="BP34" s="1643"/>
      <c r="BQ34" s="1667"/>
      <c r="BR34" s="1662"/>
      <c r="BS34" s="1662"/>
      <c r="BT34" s="1643"/>
      <c r="BU34" s="1667"/>
      <c r="BV34" s="1662"/>
      <c r="BW34" s="1662"/>
      <c r="BX34" s="1643"/>
      <c r="BY34" s="1667"/>
      <c r="BZ34" s="1662"/>
      <c r="CA34" s="1662"/>
      <c r="CB34" s="1643"/>
      <c r="CC34" s="1487"/>
      <c r="CD34" s="1662"/>
      <c r="CE34" s="1662"/>
      <c r="CF34" s="1662"/>
      <c r="CG34" s="1662"/>
      <c r="CH34" s="1662"/>
      <c r="CI34" s="1662"/>
      <c r="CJ34" s="1662"/>
      <c r="CK34" s="1487"/>
      <c r="CL34" s="1662"/>
      <c r="CM34" s="1662"/>
      <c r="CN34" s="1662"/>
      <c r="CO34" s="1662"/>
      <c r="CP34" s="1662"/>
      <c r="CQ34" s="1662"/>
      <c r="CR34" s="1662"/>
      <c r="CS34" s="1487"/>
      <c r="CT34" s="1662"/>
      <c r="CU34" s="1662"/>
      <c r="CV34" s="1662"/>
      <c r="CW34" s="1667"/>
      <c r="CX34" s="1662"/>
      <c r="CY34" s="1662"/>
      <c r="CZ34" s="1662"/>
      <c r="DA34" s="1667"/>
      <c r="DB34" s="1662"/>
      <c r="DC34" s="1662"/>
      <c r="DD34" s="1662"/>
      <c r="DE34" s="1667"/>
      <c r="DF34" s="1662"/>
      <c r="DG34" s="1662"/>
      <c r="DH34" s="1662"/>
      <c r="DI34" s="1667"/>
      <c r="DJ34" s="1662"/>
      <c r="DK34" s="1662"/>
      <c r="DL34" s="1662"/>
      <c r="DM34" s="1667"/>
      <c r="DN34" s="1662"/>
      <c r="DO34" s="1662"/>
      <c r="DP34" s="1662"/>
      <c r="DQ34" s="1667"/>
      <c r="DR34" s="1733"/>
      <c r="DS34" s="1618"/>
      <c r="DT34" s="1619"/>
      <c r="DV34" s="1021">
        <f>327+159</f>
        <v>486</v>
      </c>
    </row>
    <row r="35" spans="1:127" s="1021" customFormat="1">
      <c r="A35" s="1023"/>
      <c r="B35" s="1038"/>
      <c r="C35" s="1039"/>
      <c r="D35" s="1646"/>
      <c r="E35" s="963"/>
      <c r="F35" s="1038"/>
      <c r="G35" s="1039"/>
      <c r="H35" s="1646">
        <f>-(H10+H22)</f>
        <v>0</v>
      </c>
      <c r="I35" s="963"/>
      <c r="J35" s="1038"/>
      <c r="K35" s="1039"/>
      <c r="L35" s="1646">
        <f>-(L10+L22)</f>
        <v>0</v>
      </c>
      <c r="M35" s="963"/>
      <c r="N35" s="1038"/>
      <c r="O35" s="1039"/>
      <c r="P35" s="1646">
        <f>-(P10+P22)</f>
        <v>0</v>
      </c>
      <c r="Q35" s="963"/>
      <c r="R35" s="1015"/>
      <c r="S35" s="1016"/>
      <c r="T35" s="1646">
        <f>-(T10+T22)</f>
        <v>0</v>
      </c>
      <c r="U35" s="963"/>
      <c r="V35" s="1015"/>
      <c r="W35" s="1016"/>
      <c r="X35" s="1646">
        <f>-(X10+X22)</f>
        <v>0</v>
      </c>
      <c r="Y35" s="963"/>
      <c r="Z35" s="1015"/>
      <c r="AA35" s="1016"/>
      <c r="AB35" s="1646">
        <f>-(AB10+AB22)</f>
        <v>276</v>
      </c>
      <c r="AC35" s="963"/>
      <c r="AD35" s="1015"/>
      <c r="AE35" s="1016"/>
      <c r="AF35" s="1646">
        <f>-(AF10+AF22)</f>
        <v>0</v>
      </c>
      <c r="AG35" s="963"/>
      <c r="AH35" s="1015"/>
      <c r="AI35" s="1016"/>
      <c r="AJ35" s="1646">
        <f>-(AJ10+AJ22)</f>
        <v>0</v>
      </c>
      <c r="AK35" s="963"/>
      <c r="AL35" s="1015"/>
      <c r="AM35" s="1016"/>
      <c r="AN35" s="1646">
        <f>-(AN10+AN22)</f>
        <v>0</v>
      </c>
      <c r="AO35" s="963"/>
      <c r="AP35" s="1015"/>
      <c r="AQ35" s="1016"/>
      <c r="AR35" s="1646">
        <f>-(AR10+AR22)</f>
        <v>276</v>
      </c>
      <c r="AS35" s="963"/>
      <c r="AT35" s="1015"/>
      <c r="AU35" s="1016"/>
      <c r="AV35" s="1646">
        <f>-(AV10+AV22)</f>
        <v>276</v>
      </c>
      <c r="AW35" s="963"/>
      <c r="AX35" s="963"/>
      <c r="AY35" s="963"/>
      <c r="AZ35" s="1646">
        <f>-(AZ10+AZ22)</f>
        <v>276</v>
      </c>
      <c r="BA35" s="963"/>
      <c r="BB35" s="1015"/>
      <c r="BC35" s="1016"/>
      <c r="BD35" s="1646">
        <f>-(BD10+BD22)</f>
        <v>15869.100000000009</v>
      </c>
      <c r="BE35" s="963"/>
      <c r="BF35" s="1015"/>
      <c r="BG35" s="1016"/>
      <c r="BH35" s="1646">
        <f>-(BH10+BH22)</f>
        <v>0</v>
      </c>
      <c r="BI35" s="1490"/>
      <c r="BJ35" s="1015"/>
      <c r="BK35" s="1016"/>
      <c r="BL35" s="1646">
        <f>-(BL10+BL22)</f>
        <v>15869.100000000009</v>
      </c>
      <c r="BM35" s="1490"/>
      <c r="BN35" s="1015"/>
      <c r="BO35" s="1016"/>
      <c r="BP35" s="1646">
        <f>-(BP10+BP22)</f>
        <v>89636.786031255833</v>
      </c>
      <c r="BQ35" s="1669"/>
      <c r="BR35" s="1665"/>
      <c r="BS35" s="1665"/>
      <c r="BT35" s="1646">
        <f>-(BT10+BT22)</f>
        <v>119999.1</v>
      </c>
      <c r="BU35" s="1669"/>
      <c r="BV35" s="1665"/>
      <c r="BW35" s="1665"/>
      <c r="BX35" s="1646">
        <f>-(BX10+BX22)</f>
        <v>279997.90000000002</v>
      </c>
      <c r="BY35" s="1669"/>
      <c r="BZ35" s="1665"/>
      <c r="CA35" s="1665"/>
      <c r="CB35" s="1646">
        <f>-(CB10+CB22)</f>
        <v>0</v>
      </c>
      <c r="CC35" s="1490"/>
      <c r="CD35" s="1665"/>
      <c r="CE35" s="1665"/>
      <c r="CF35" s="1662">
        <f>-(CF10+CF22)</f>
        <v>3227615.0360989068</v>
      </c>
      <c r="CG35" s="1665"/>
      <c r="CH35" s="1665"/>
      <c r="CI35" s="1665"/>
      <c r="CJ35" s="1662">
        <f>-(CJ10+CJ22)</f>
        <v>8639074.918008605</v>
      </c>
      <c r="CK35" s="1487"/>
      <c r="CL35" s="1665"/>
      <c r="CM35" s="1665"/>
      <c r="CN35" s="1662">
        <f>-(CN10+CN22)</f>
        <v>11780556.70637537</v>
      </c>
      <c r="CO35" s="1662"/>
      <c r="CP35" s="1665"/>
      <c r="CQ35" s="1665"/>
      <c r="CR35" s="1662">
        <f>-(CR10+CR22)</f>
        <v>17127117.057730343</v>
      </c>
      <c r="CS35" s="1487"/>
      <c r="CT35" s="1665"/>
      <c r="CU35" s="1665"/>
      <c r="CV35" s="1662">
        <f>-(CV10+CV22)</f>
        <v>14136668.047650443</v>
      </c>
      <c r="CW35" s="1667"/>
      <c r="CX35" s="1665"/>
      <c r="CY35" s="1665"/>
      <c r="CZ35" s="1662">
        <f>-(CZ10+CZ22)</f>
        <v>18577031.729284238</v>
      </c>
      <c r="DA35" s="1667"/>
      <c r="DB35" s="1665"/>
      <c r="DC35" s="1665"/>
      <c r="DD35" s="1662">
        <f>-(DD10+DD22)</f>
        <v>28122303.317014024</v>
      </c>
      <c r="DE35" s="1667"/>
      <c r="DF35" s="1662"/>
      <c r="DG35" s="1662"/>
      <c r="DH35" s="1662"/>
      <c r="DI35" s="1667"/>
      <c r="DJ35" s="1662"/>
      <c r="DK35" s="1662"/>
      <c r="DL35" s="1662"/>
      <c r="DM35" s="1667"/>
      <c r="DN35" s="1662"/>
      <c r="DO35" s="1662"/>
      <c r="DP35" s="1662"/>
      <c r="DQ35" s="1667"/>
      <c r="DR35" s="1733"/>
      <c r="DS35" s="1618"/>
      <c r="DT35" s="1628"/>
      <c r="DW35" s="1021">
        <f>124-6-4+5-119</f>
        <v>0</v>
      </c>
    </row>
    <row r="36" spans="1:127" s="1021" customFormat="1">
      <c r="A36" s="1033" t="s">
        <v>1595</v>
      </c>
      <c r="B36" s="1034"/>
      <c r="C36" s="1035"/>
      <c r="D36" s="1647"/>
      <c r="E36" s="1010"/>
      <c r="F36" s="1010"/>
      <c r="G36" s="1010"/>
      <c r="H36" s="1647">
        <f>H13*G4</f>
        <v>0</v>
      </c>
      <c r="I36" s="1010"/>
      <c r="J36" s="1034"/>
      <c r="K36" s="1035"/>
      <c r="L36" s="1647">
        <f>L13*K4</f>
        <v>0</v>
      </c>
      <c r="M36" s="1010"/>
      <c r="N36" s="1010"/>
      <c r="O36" s="1010"/>
      <c r="P36" s="1647">
        <f>P13*O4</f>
        <v>0</v>
      </c>
      <c r="Q36" s="1010"/>
      <c r="R36" s="1008"/>
      <c r="S36" s="1009"/>
      <c r="T36" s="1647">
        <f>T13*S4</f>
        <v>0</v>
      </c>
      <c r="U36" s="1010"/>
      <c r="V36" s="1008"/>
      <c r="W36" s="1009"/>
      <c r="X36" s="1647">
        <f>X13*W4</f>
        <v>0</v>
      </c>
      <c r="Y36" s="1010"/>
      <c r="Z36" s="1008"/>
      <c r="AA36" s="1009"/>
      <c r="AB36" s="1647">
        <f>AB13*AA4</f>
        <v>0</v>
      </c>
      <c r="AC36" s="1010"/>
      <c r="AD36" s="1008"/>
      <c r="AE36" s="1009"/>
      <c r="AF36" s="1647">
        <f>AF13*AE4</f>
        <v>0</v>
      </c>
      <c r="AG36" s="1010"/>
      <c r="AH36" s="1001"/>
      <c r="AI36" s="890"/>
      <c r="AJ36" s="1647">
        <f>AJ13*AI4</f>
        <v>0</v>
      </c>
      <c r="AK36" s="1010"/>
      <c r="AL36" s="1008"/>
      <c r="AM36" s="1009"/>
      <c r="AN36" s="1647">
        <f>AN13*AM4</f>
        <v>0</v>
      </c>
      <c r="AO36" s="1010"/>
      <c r="AP36" s="1008"/>
      <c r="AQ36" s="1009"/>
      <c r="AR36" s="1647">
        <f>AR13*AQ4</f>
        <v>0</v>
      </c>
      <c r="AS36" s="1010"/>
      <c r="AT36" s="1008"/>
      <c r="AU36" s="1009"/>
      <c r="AV36" s="1647">
        <f>AV13*AU4</f>
        <v>0</v>
      </c>
      <c r="AW36" s="1010"/>
      <c r="AX36" s="1010"/>
      <c r="AY36" s="1010"/>
      <c r="AZ36" s="1647">
        <f>AZ13*AY4</f>
        <v>0</v>
      </c>
      <c r="BA36" s="1010"/>
      <c r="BB36" s="1008"/>
      <c r="BC36" s="1009"/>
      <c r="BD36" s="1647">
        <f>BD13*BC4</f>
        <v>0</v>
      </c>
      <c r="BE36" s="1010"/>
      <c r="BF36" s="1008"/>
      <c r="BG36" s="1009"/>
      <c r="BH36" s="1647">
        <f>BH13*BG4</f>
        <v>0</v>
      </c>
      <c r="BI36" s="1489"/>
      <c r="BJ36" s="1008"/>
      <c r="BK36" s="1009"/>
      <c r="BL36" s="1647">
        <f>BL13*BK4</f>
        <v>7913.6565581860632</v>
      </c>
      <c r="BM36" s="1489"/>
      <c r="BN36" s="1008"/>
      <c r="BO36" s="1009"/>
      <c r="BP36" s="1647">
        <f>BP13*BO4</f>
        <v>247622.38966697414</v>
      </c>
      <c r="BQ36" s="1670"/>
      <c r="BR36" s="1666"/>
      <c r="BS36" s="1666"/>
      <c r="BT36" s="1647">
        <f>BT13*BS4</f>
        <v>638679.82865999441</v>
      </c>
      <c r="BU36" s="1670"/>
      <c r="BV36" s="1666"/>
      <c r="BW36" s="1666"/>
      <c r="BX36" s="1647">
        <f>BX13*BW4</f>
        <v>5874406.6514648162</v>
      </c>
      <c r="BY36" s="1670"/>
      <c r="BZ36" s="1666"/>
      <c r="CA36" s="1666"/>
      <c r="CB36" s="1647">
        <f>CB13*CA4</f>
        <v>0</v>
      </c>
      <c r="CC36" s="1489"/>
      <c r="CD36" s="1666"/>
      <c r="CE36" s="1666"/>
      <c r="CF36" s="1662">
        <f>CF13*CE4</f>
        <v>16341649.02210794</v>
      </c>
      <c r="CG36" s="1666"/>
      <c r="CH36" s="1666"/>
      <c r="CI36" s="1666"/>
      <c r="CJ36" s="1662">
        <f>CJ13*CI4</f>
        <v>62472964.479523435</v>
      </c>
      <c r="CK36" s="1487"/>
      <c r="CL36" s="1666"/>
      <c r="CM36" s="1666"/>
      <c r="CN36" s="1662">
        <f>CN13*CM4</f>
        <v>-9757124.3199757934</v>
      </c>
      <c r="CO36" s="1662"/>
      <c r="CP36" s="1666"/>
      <c r="CQ36" s="1666"/>
      <c r="CR36" s="1662">
        <f>CR13*CQ4</f>
        <v>-14789361.316614142</v>
      </c>
      <c r="CS36" s="1487"/>
      <c r="CT36" s="1666"/>
      <c r="CU36" s="1666"/>
      <c r="CV36" s="1662">
        <f>CV13*CU4</f>
        <v>-13649041.89460708</v>
      </c>
      <c r="CW36" s="1667"/>
      <c r="CX36" s="1666"/>
      <c r="CY36" s="1666"/>
      <c r="CZ36" s="1662">
        <f>CZ13*CY4</f>
        <v>-17061302.368258849</v>
      </c>
      <c r="DA36" s="1667"/>
      <c r="DB36" s="1666"/>
      <c r="DC36" s="1666"/>
      <c r="DD36" s="1662">
        <f>DD13*DC4</f>
        <v>-25402383.526074287</v>
      </c>
      <c r="DE36" s="1667"/>
      <c r="DF36" s="1662"/>
      <c r="DG36" s="1662"/>
      <c r="DH36" s="1662"/>
      <c r="DI36" s="1667"/>
      <c r="DJ36" s="1662"/>
      <c r="DK36" s="1662"/>
      <c r="DL36" s="1662"/>
      <c r="DM36" s="1667"/>
      <c r="DN36" s="1662"/>
      <c r="DO36" s="1662"/>
      <c r="DP36" s="1662"/>
      <c r="DQ36" s="1667"/>
      <c r="DR36" s="897"/>
      <c r="DS36" s="889"/>
      <c r="DT36" s="1007"/>
    </row>
    <row r="37" spans="1:127" s="1021" customFormat="1">
      <c r="A37" s="1023" t="s">
        <v>639</v>
      </c>
      <c r="B37" s="1031"/>
      <c r="C37" s="1032"/>
      <c r="D37" s="1643"/>
      <c r="E37" s="889"/>
      <c r="F37" s="889"/>
      <c r="G37" s="889"/>
      <c r="H37" s="1643">
        <f>+H25*G17</f>
        <v>0</v>
      </c>
      <c r="I37" s="889"/>
      <c r="J37" s="1031"/>
      <c r="K37" s="1032"/>
      <c r="L37" s="1643">
        <f>+L25*K17</f>
        <v>0</v>
      </c>
      <c r="M37" s="889"/>
      <c r="N37" s="889"/>
      <c r="O37" s="889"/>
      <c r="P37" s="1643">
        <f>+P25*O17</f>
        <v>0</v>
      </c>
      <c r="Q37" s="889"/>
      <c r="R37" s="1001"/>
      <c r="S37" s="890"/>
      <c r="T37" s="1643">
        <f>+T25*S17</f>
        <v>0</v>
      </c>
      <c r="U37" s="889"/>
      <c r="V37" s="1001"/>
      <c r="W37" s="890"/>
      <c r="X37" s="1643">
        <f>+X25*W17</f>
        <v>0</v>
      </c>
      <c r="Y37" s="889"/>
      <c r="Z37" s="1001"/>
      <c r="AA37" s="890"/>
      <c r="AB37" s="1643">
        <f>+AB25*AA17</f>
        <v>0</v>
      </c>
      <c r="AC37" s="889"/>
      <c r="AD37" s="1001"/>
      <c r="AE37" s="890"/>
      <c r="AF37" s="1643">
        <f>+AF25*AE17</f>
        <v>0</v>
      </c>
      <c r="AG37" s="889"/>
      <c r="AH37" s="1001"/>
      <c r="AI37" s="890"/>
      <c r="AJ37" s="1643">
        <f>+AJ25*AI17</f>
        <v>0</v>
      </c>
      <c r="AK37" s="889"/>
      <c r="AL37" s="1001"/>
      <c r="AM37" s="890"/>
      <c r="AN37" s="1643">
        <f>+AN25*AM17</f>
        <v>0</v>
      </c>
      <c r="AO37" s="889"/>
      <c r="AP37" s="1001"/>
      <c r="AQ37" s="890"/>
      <c r="AR37" s="1643">
        <f>+AR25*AQ17</f>
        <v>0</v>
      </c>
      <c r="AS37" s="889"/>
      <c r="AT37" s="1001"/>
      <c r="AU37" s="890"/>
      <c r="AV37" s="1643">
        <f>+AV25*AU17</f>
        <v>0</v>
      </c>
      <c r="AW37" s="889"/>
      <c r="AX37" s="889"/>
      <c r="AY37" s="889"/>
      <c r="AZ37" s="1643">
        <f>+AZ25*AY17</f>
        <v>0</v>
      </c>
      <c r="BA37" s="889"/>
      <c r="BB37" s="1001"/>
      <c r="BC37" s="890"/>
      <c r="BD37" s="1643">
        <f>+BD25*BC17</f>
        <v>0</v>
      </c>
      <c r="BE37" s="889"/>
      <c r="BF37" s="1001"/>
      <c r="BG37" s="890"/>
      <c r="BH37" s="1643">
        <f>+BH25*BG17</f>
        <v>0</v>
      </c>
      <c r="BI37" s="1487"/>
      <c r="BJ37" s="1001"/>
      <c r="BK37" s="890"/>
      <c r="BL37" s="1643">
        <f>+BL25*BK17</f>
        <v>0</v>
      </c>
      <c r="BM37" s="1487"/>
      <c r="BN37" s="1001"/>
      <c r="BO37" s="890"/>
      <c r="BP37" s="1643">
        <f>+BP25*BO17</f>
        <v>0</v>
      </c>
      <c r="BQ37" s="1667"/>
      <c r="BR37" s="1662"/>
      <c r="BS37" s="1662"/>
      <c r="BT37" s="1643">
        <f>+BT25*BS17</f>
        <v>0</v>
      </c>
      <c r="BU37" s="1667"/>
      <c r="BV37" s="1662"/>
      <c r="BW37" s="1662"/>
      <c r="BX37" s="1643">
        <f>+BX25*BW17</f>
        <v>0</v>
      </c>
      <c r="BY37" s="1667"/>
      <c r="BZ37" s="1662"/>
      <c r="CA37" s="1662"/>
      <c r="CB37" s="1643">
        <f>+CB25*CA17</f>
        <v>0</v>
      </c>
      <c r="CC37" s="1487"/>
      <c r="CD37" s="1662"/>
      <c r="CE37" s="1662"/>
      <c r="CF37" s="1662">
        <f>+CF25*CE17</f>
        <v>0</v>
      </c>
      <c r="CG37" s="1662"/>
      <c r="CH37" s="1662"/>
      <c r="CI37" s="1662"/>
      <c r="CJ37" s="1662">
        <f>+CJ25*CI17</f>
        <v>0</v>
      </c>
      <c r="CK37" s="1487"/>
      <c r="CL37" s="1662"/>
      <c r="CM37" s="1662"/>
      <c r="CN37" s="1662">
        <f>+CN25*CM17</f>
        <v>0</v>
      </c>
      <c r="CO37" s="1662"/>
      <c r="CP37" s="1662"/>
      <c r="CQ37" s="1662"/>
      <c r="CR37" s="1662">
        <f>+CR25*CQ17</f>
        <v>-1701728.7381454038</v>
      </c>
      <c r="CS37" s="1487"/>
      <c r="CT37" s="1662"/>
      <c r="CU37" s="1662"/>
      <c r="CV37" s="1662">
        <f>+CV25*CU17</f>
        <v>0</v>
      </c>
      <c r="CW37" s="1667"/>
      <c r="CX37" s="1662"/>
      <c r="CY37" s="1662"/>
      <c r="CZ37" s="1662">
        <f>+CZ25*CY17</f>
        <v>-850126.5722845915</v>
      </c>
      <c r="DA37" s="1667"/>
      <c r="DB37" s="1662"/>
      <c r="DC37" s="1662"/>
      <c r="DD37" s="1662">
        <f>+DD25*DC17</f>
        <v>-1700253.144569183</v>
      </c>
      <c r="DE37" s="1667"/>
      <c r="DF37" s="1662"/>
      <c r="DG37" s="1662"/>
      <c r="DH37" s="1662"/>
      <c r="DI37" s="1667"/>
      <c r="DJ37" s="1662"/>
      <c r="DK37" s="1662"/>
      <c r="DL37" s="1662"/>
      <c r="DM37" s="1667"/>
      <c r="DN37" s="1662"/>
      <c r="DO37" s="1662"/>
      <c r="DP37" s="1662"/>
      <c r="DQ37" s="1667"/>
      <c r="DR37" s="897"/>
      <c r="DS37" s="889"/>
      <c r="DT37" s="889"/>
    </row>
    <row r="38" spans="1:127" s="1021" customFormat="1">
      <c r="A38" s="1023" t="s">
        <v>636</v>
      </c>
      <c r="B38" s="1031"/>
      <c r="C38" s="1032"/>
      <c r="D38" s="1643"/>
      <c r="E38" s="889"/>
      <c r="F38" s="889"/>
      <c r="G38" s="889"/>
      <c r="H38" s="1643">
        <f>SUM(H35:H37)</f>
        <v>0</v>
      </c>
      <c r="I38" s="889"/>
      <c r="J38" s="1031"/>
      <c r="K38" s="1032"/>
      <c r="L38" s="1643">
        <f>SUM(L35:L37)</f>
        <v>0</v>
      </c>
      <c r="M38" s="889"/>
      <c r="N38" s="889"/>
      <c r="O38" s="889"/>
      <c r="P38" s="1643">
        <f>SUM(P35:P37)</f>
        <v>0</v>
      </c>
      <c r="Q38" s="889"/>
      <c r="R38" s="1001"/>
      <c r="S38" s="890"/>
      <c r="T38" s="1643">
        <f>SUM(T35:T37)</f>
        <v>0</v>
      </c>
      <c r="U38" s="889"/>
      <c r="V38" s="1001"/>
      <c r="W38" s="890"/>
      <c r="X38" s="1643">
        <f>SUM(X35:X37)</f>
        <v>0</v>
      </c>
      <c r="Y38" s="889"/>
      <c r="Z38" s="1001"/>
      <c r="AA38" s="890"/>
      <c r="AB38" s="1643">
        <f>SUM(AB35:AB37)</f>
        <v>276</v>
      </c>
      <c r="AC38" s="889"/>
      <c r="AD38" s="1001"/>
      <c r="AE38" s="890"/>
      <c r="AF38" s="1643">
        <f>SUM(AF35:AF37)</f>
        <v>0</v>
      </c>
      <c r="AG38" s="889"/>
      <c r="AH38" s="1001"/>
      <c r="AI38" s="890"/>
      <c r="AJ38" s="1643">
        <f>SUM(AJ35:AJ37)</f>
        <v>0</v>
      </c>
      <c r="AK38" s="889"/>
      <c r="AL38" s="1001"/>
      <c r="AM38" s="890"/>
      <c r="AN38" s="1643">
        <f>SUM(AN35:AN37)</f>
        <v>0</v>
      </c>
      <c r="AO38" s="889"/>
      <c r="AP38" s="1001"/>
      <c r="AQ38" s="890"/>
      <c r="AR38" s="1643">
        <f>SUM(AR35:AR37)</f>
        <v>276</v>
      </c>
      <c r="AS38" s="889"/>
      <c r="AT38" s="1001"/>
      <c r="AU38" s="890"/>
      <c r="AV38" s="1643">
        <f>SUM(AV35:AV37)</f>
        <v>276</v>
      </c>
      <c r="AW38" s="889"/>
      <c r="AX38" s="889"/>
      <c r="AY38" s="889"/>
      <c r="AZ38" s="1643">
        <f>SUM(AZ35:AZ37)</f>
        <v>276</v>
      </c>
      <c r="BA38" s="889"/>
      <c r="BB38" s="1001"/>
      <c r="BC38" s="890"/>
      <c r="BD38" s="1643">
        <f>SUM(BD35:BD37)</f>
        <v>15869.100000000009</v>
      </c>
      <c r="BE38" s="889"/>
      <c r="BF38" s="1001"/>
      <c r="BG38" s="890"/>
      <c r="BH38" s="1643">
        <f>SUM(BH35:BH37)</f>
        <v>0</v>
      </c>
      <c r="BI38" s="1487"/>
      <c r="BJ38" s="1001"/>
      <c r="BK38" s="890"/>
      <c r="BL38" s="1643">
        <f>SUM(BL35:BL37)</f>
        <v>23782.756558186073</v>
      </c>
      <c r="BM38" s="1487"/>
      <c r="BN38" s="1001"/>
      <c r="BO38" s="890"/>
      <c r="BP38" s="1643">
        <f>SUM(BP35:BP37)</f>
        <v>337259.17569822998</v>
      </c>
      <c r="BQ38" s="1667"/>
      <c r="BR38" s="1662"/>
      <c r="BS38" s="1662"/>
      <c r="BT38" s="1643">
        <f>SUM(BT35:BT37)</f>
        <v>758678.92865999439</v>
      </c>
      <c r="BU38" s="1667"/>
      <c r="BV38" s="1662"/>
      <c r="BW38" s="1662"/>
      <c r="BX38" s="1643">
        <f>SUM(BX35:BX37)</f>
        <v>6154404.5514648166</v>
      </c>
      <c r="BY38" s="1667"/>
      <c r="BZ38" s="1662"/>
      <c r="CA38" s="1662"/>
      <c r="CB38" s="1643">
        <f>SUM(CB35:CB37)</f>
        <v>0</v>
      </c>
      <c r="CC38" s="1487"/>
      <c r="CD38" s="1662"/>
      <c r="CE38" s="1662"/>
      <c r="CF38" s="1662">
        <f>SUM(CF35:CF37)</f>
        <v>19569264.058206849</v>
      </c>
      <c r="CG38" s="1662"/>
      <c r="CH38" s="1662"/>
      <c r="CI38" s="1662"/>
      <c r="CJ38" s="1662">
        <f>SUM(CJ35:CJ37)</f>
        <v>71112039.397532046</v>
      </c>
      <c r="CK38" s="1487"/>
      <c r="CL38" s="1662"/>
      <c r="CM38" s="1662"/>
      <c r="CN38" s="1662">
        <f>SUM(CN35:CN37)</f>
        <v>2023432.3863995764</v>
      </c>
      <c r="CO38" s="1662"/>
      <c r="CP38" s="1662"/>
      <c r="CQ38" s="1662"/>
      <c r="CR38" s="1662">
        <f>SUM(CR35:CR37)</f>
        <v>636027.00297079771</v>
      </c>
      <c r="CS38" s="1487"/>
      <c r="CT38" s="1662"/>
      <c r="CU38" s="1662"/>
      <c r="CV38" s="1662">
        <f>SUM(CV35:CV37)</f>
        <v>487626.15304336324</v>
      </c>
      <c r="CW38" s="1667"/>
      <c r="CX38" s="1662"/>
      <c r="CY38" s="1662"/>
      <c r="CZ38" s="1662">
        <f>SUM(CZ35:CZ37)</f>
        <v>665602.78874079778</v>
      </c>
      <c r="DA38" s="1667"/>
      <c r="DB38" s="1662"/>
      <c r="DC38" s="1662"/>
      <c r="DD38" s="1662">
        <f>SUM(DD35:DD37)</f>
        <v>1019666.6463705541</v>
      </c>
      <c r="DE38" s="1667"/>
      <c r="DF38" s="1662"/>
      <c r="DG38" s="1662"/>
      <c r="DH38" s="1662"/>
      <c r="DI38" s="1667"/>
      <c r="DJ38" s="1662"/>
      <c r="DK38" s="1662"/>
      <c r="DL38" s="1662"/>
      <c r="DM38" s="1667"/>
      <c r="DN38" s="1662"/>
      <c r="DO38" s="1662"/>
      <c r="DP38" s="1662"/>
      <c r="DQ38" s="1667"/>
      <c r="DR38" s="897"/>
      <c r="DS38" s="889"/>
      <c r="DT38" s="967">
        <f>+DT30+DT32</f>
        <v>148748437.08297753</v>
      </c>
    </row>
    <row r="39" spans="1:127" s="1021" customFormat="1">
      <c r="A39" s="1040" t="s">
        <v>1596</v>
      </c>
      <c r="B39" s="1038"/>
      <c r="C39" s="1039"/>
      <c r="D39" s="1646"/>
      <c r="E39" s="963"/>
      <c r="F39" s="963"/>
      <c r="G39" s="963"/>
      <c r="H39" s="1646">
        <f>+H33-H38</f>
        <v>0</v>
      </c>
      <c r="I39" s="963"/>
      <c r="J39" s="1038"/>
      <c r="K39" s="1039"/>
      <c r="L39" s="1646">
        <f>+L33-L38</f>
        <v>0</v>
      </c>
      <c r="M39" s="963"/>
      <c r="N39" s="963"/>
      <c r="O39" s="963"/>
      <c r="P39" s="1646">
        <f>+P33-P38</f>
        <v>0</v>
      </c>
      <c r="Q39" s="963"/>
      <c r="R39" s="1015"/>
      <c r="S39" s="1016"/>
      <c r="T39" s="1646">
        <f>+T33-T38</f>
        <v>0</v>
      </c>
      <c r="U39" s="963"/>
      <c r="V39" s="1015"/>
      <c r="W39" s="1016"/>
      <c r="X39" s="1646">
        <f>+X33-X38</f>
        <v>0</v>
      </c>
      <c r="Y39" s="963"/>
      <c r="Z39" s="1015"/>
      <c r="AA39" s="1016"/>
      <c r="AB39" s="1646">
        <f>+AB33-AB38</f>
        <v>-5.8207660913467407E-11</v>
      </c>
      <c r="AC39" s="963"/>
      <c r="AD39" s="1015"/>
      <c r="AE39" s="1016"/>
      <c r="AF39" s="1646">
        <f>+AF33-AF38</f>
        <v>0</v>
      </c>
      <c r="AG39" s="963"/>
      <c r="AH39" s="1015"/>
      <c r="AI39" s="1016"/>
      <c r="AJ39" s="1646">
        <f>+AJ33-AJ38</f>
        <v>0</v>
      </c>
      <c r="AK39" s="963"/>
      <c r="AL39" s="1015"/>
      <c r="AM39" s="1016"/>
      <c r="AN39" s="1646">
        <f>+AN33-AN38</f>
        <v>0</v>
      </c>
      <c r="AO39" s="963"/>
      <c r="AP39" s="1015"/>
      <c r="AQ39" s="1016"/>
      <c r="AR39" s="1646">
        <f>+AR33-AR38</f>
        <v>0</v>
      </c>
      <c r="AS39" s="963"/>
      <c r="AT39" s="1015"/>
      <c r="AU39" s="1016"/>
      <c r="AV39" s="1646">
        <f>+AV33-AV38</f>
        <v>0</v>
      </c>
      <c r="AW39" s="963"/>
      <c r="AX39" s="963"/>
      <c r="AY39" s="963"/>
      <c r="AZ39" s="1646">
        <f>+AZ33-AZ38</f>
        <v>0</v>
      </c>
      <c r="BA39" s="963"/>
      <c r="BB39" s="1015"/>
      <c r="BC39" s="1016"/>
      <c r="BD39" s="1646">
        <f>+BD33-BD38</f>
        <v>1.4806573744863272E-9</v>
      </c>
      <c r="BE39" s="963"/>
      <c r="BF39" s="1015"/>
      <c r="BG39" s="1016"/>
      <c r="BH39" s="1646">
        <f>+BH33-BH38</f>
        <v>0</v>
      </c>
      <c r="BI39" s="1490"/>
      <c r="BJ39" s="1015"/>
      <c r="BK39" s="1016"/>
      <c r="BL39" s="1646">
        <f>+BL33-BL38</f>
        <v>1.2332748156040907E-9</v>
      </c>
      <c r="BM39" s="1490"/>
      <c r="BN39" s="1015"/>
      <c r="BO39" s="1016"/>
      <c r="BP39" s="1646">
        <f>+BP33-BP38</f>
        <v>-1.8044374883174896E-9</v>
      </c>
      <c r="BQ39" s="1669"/>
      <c r="BR39" s="1665"/>
      <c r="BS39" s="1665"/>
      <c r="BT39" s="1646">
        <f>+BT33-BT38</f>
        <v>3.4924596548080444E-9</v>
      </c>
      <c r="BU39" s="1669"/>
      <c r="BV39" s="1665"/>
      <c r="BW39" s="1665"/>
      <c r="BX39" s="1646">
        <f>+BX33-BX38</f>
        <v>0</v>
      </c>
      <c r="BY39" s="1669"/>
      <c r="BZ39" s="1665"/>
      <c r="CA39" s="1665"/>
      <c r="CB39" s="1646">
        <f>+CB33-CB38</f>
        <v>0</v>
      </c>
      <c r="CC39" s="1490"/>
      <c r="CD39" s="1665"/>
      <c r="CE39" s="1665"/>
      <c r="CF39" s="1662">
        <f>+CF33-CF38</f>
        <v>0</v>
      </c>
      <c r="CG39" s="1487"/>
      <c r="CH39" s="1487"/>
      <c r="CI39" s="1487"/>
      <c r="CJ39" s="1662">
        <f>+CJ33-CJ38</f>
        <v>0</v>
      </c>
      <c r="CK39" s="1487"/>
      <c r="CL39" s="1487"/>
      <c r="CM39" s="1487"/>
      <c r="CN39" s="1662">
        <f>+CN33-CN38</f>
        <v>0</v>
      </c>
      <c r="CO39" s="1662"/>
      <c r="CP39" s="1487"/>
      <c r="CQ39" s="1487"/>
      <c r="CR39" s="1662">
        <f>+CR33-CR38</f>
        <v>2.2118911147117615E-9</v>
      </c>
      <c r="CS39" s="1487"/>
      <c r="CT39" s="1487"/>
      <c r="CU39" s="1487"/>
      <c r="CV39" s="1662">
        <f>+CV33-CV38</f>
        <v>9.3132257461547852E-10</v>
      </c>
      <c r="CW39" s="1667"/>
      <c r="CX39" s="1487"/>
      <c r="CY39" s="1487"/>
      <c r="CZ39" s="1662">
        <f>+CZ33-CZ38</f>
        <v>-1.9790604710578918E-9</v>
      </c>
      <c r="DA39" s="1667"/>
      <c r="DB39" s="1487"/>
      <c r="DC39" s="1487"/>
      <c r="DD39" s="1662">
        <f>+DD33-DD38</f>
        <v>0</v>
      </c>
      <c r="DE39" s="1667"/>
      <c r="DF39" s="1662"/>
      <c r="DG39" s="1662"/>
      <c r="DH39" s="1662"/>
      <c r="DI39" s="1667"/>
      <c r="DJ39" s="1662"/>
      <c r="DK39" s="1662"/>
      <c r="DL39" s="1662"/>
      <c r="DM39" s="1667"/>
      <c r="DN39" s="1662"/>
      <c r="DO39" s="1662"/>
      <c r="DP39" s="1662"/>
      <c r="DQ39" s="1667"/>
      <c r="DR39" s="897"/>
      <c r="DS39" s="889"/>
      <c r="DT39" s="964"/>
    </row>
    <row r="40" spans="1:127">
      <c r="AH40" s="890"/>
      <c r="AI40" s="890"/>
      <c r="AJ40" s="890"/>
      <c r="AK40" s="889"/>
      <c r="AL40" s="890"/>
      <c r="AM40" s="890"/>
      <c r="AN40" s="890"/>
      <c r="AO40" s="889"/>
      <c r="AP40" s="890"/>
      <c r="AQ40" s="890"/>
      <c r="AR40" s="890"/>
      <c r="AS40" s="889"/>
      <c r="AT40" s="890"/>
      <c r="AU40" s="890"/>
      <c r="AV40" s="890"/>
      <c r="AW40" s="889"/>
      <c r="AX40" s="889"/>
      <c r="AY40" s="889"/>
      <c r="AZ40" s="889"/>
      <c r="BA40" s="889"/>
      <c r="BB40" s="890"/>
      <c r="BC40" s="890"/>
      <c r="BD40" s="890"/>
      <c r="BE40" s="889"/>
      <c r="BF40" s="890"/>
      <c r="BG40" s="890"/>
      <c r="BH40" s="890"/>
      <c r="BI40" s="1487"/>
      <c r="BJ40" s="890"/>
      <c r="BK40" s="890"/>
      <c r="BL40" s="890"/>
      <c r="BM40" s="1487"/>
      <c r="BN40" s="890"/>
      <c r="BO40" s="890"/>
      <c r="BP40" s="890"/>
      <c r="BQ40" s="889"/>
      <c r="BR40" s="890"/>
      <c r="BS40" s="890"/>
      <c r="BT40" s="890"/>
      <c r="BU40" s="889"/>
      <c r="BV40" s="890"/>
      <c r="BW40" s="890"/>
      <c r="BX40" s="890"/>
      <c r="BY40" s="889"/>
      <c r="BZ40" s="890"/>
      <c r="CA40" s="890"/>
      <c r="CB40" s="890"/>
      <c r="CC40" s="1487"/>
      <c r="CD40" s="890"/>
      <c r="CE40" s="890"/>
      <c r="CF40" s="890"/>
      <c r="CG40" s="1487"/>
      <c r="CH40" s="1487"/>
      <c r="CI40" s="1487"/>
      <c r="CJ40" s="1487"/>
      <c r="CK40" s="1487"/>
      <c r="CL40" s="1487"/>
      <c r="CM40" s="1487"/>
      <c r="CN40" s="1487"/>
      <c r="CO40" s="1487"/>
      <c r="CP40" s="1487"/>
      <c r="CQ40" s="1487"/>
      <c r="CR40" s="1487"/>
      <c r="CS40" s="1487"/>
      <c r="CT40" s="1487"/>
      <c r="CU40" s="1487"/>
      <c r="CV40" s="1487"/>
      <c r="CW40" s="889"/>
      <c r="CX40" s="1487"/>
      <c r="CY40" s="1487"/>
      <c r="CZ40" s="1487"/>
      <c r="DA40" s="889"/>
      <c r="DB40" s="889"/>
      <c r="DC40" s="889"/>
      <c r="DD40" s="889"/>
      <c r="DE40" s="889"/>
      <c r="DF40" s="889"/>
      <c r="DG40" s="889"/>
      <c r="DH40" s="889"/>
      <c r="DI40" s="889"/>
      <c r="DJ40" s="889"/>
      <c r="DK40" s="889"/>
      <c r="DL40" s="889"/>
      <c r="DM40" s="889"/>
      <c r="DN40" s="889"/>
      <c r="DO40" s="889"/>
      <c r="DP40" s="889"/>
      <c r="DQ40" s="889"/>
      <c r="DT40" s="1648"/>
    </row>
    <row r="41" spans="1:127">
      <c r="AH41" s="890"/>
      <c r="AI41" s="890"/>
      <c r="AJ41" s="890"/>
      <c r="AK41" s="889"/>
      <c r="DT41" s="1648">
        <f>+DT30+DT32</f>
        <v>148748437.08297753</v>
      </c>
    </row>
    <row r="42" spans="1:127">
      <c r="D42" s="873">
        <f>+'Summary Valuation'!C30</f>
        <v>0</v>
      </c>
      <c r="H42" s="882">
        <f>+'Summary Valuation'!C38</f>
        <v>0</v>
      </c>
      <c r="L42" s="873">
        <f>+'Summary Valuation'!C34</f>
        <v>0</v>
      </c>
      <c r="P42" s="882">
        <f>+'Summary Valuation'!C36</f>
        <v>0</v>
      </c>
      <c r="T42" s="873">
        <f>+'Summary Valuation'!C40</f>
        <v>0</v>
      </c>
      <c r="X42" s="873">
        <f>+'Summary Valuation'!C32</f>
        <v>0</v>
      </c>
      <c r="AB42" s="873">
        <f>+'Summary Valuation'!C42</f>
        <v>-7541.9226160729513</v>
      </c>
      <c r="AF42" s="873">
        <f>+'Summary Valuation'!C44</f>
        <v>0</v>
      </c>
      <c r="AH42" s="890"/>
      <c r="AI42" s="890"/>
      <c r="AJ42" s="890">
        <f>+'Summary Valuation'!C68</f>
        <v>0</v>
      </c>
      <c r="AK42" s="889"/>
      <c r="AN42" s="873">
        <f>+'Summary Valuation'!C72</f>
        <v>0</v>
      </c>
      <c r="AR42" s="873">
        <f>+'Summary Valuation'!C74</f>
        <v>-7082.9425580510087</v>
      </c>
      <c r="AV42" s="873">
        <f>+'Summary Valuation'!C76</f>
        <v>-16101.627951668575</v>
      </c>
      <c r="AZ42" s="882">
        <f>+'Summary Valuation'!C78</f>
        <v>-76595.666666666628</v>
      </c>
      <c r="BD42" s="873">
        <f>+'Summary Valuation'!C80</f>
        <v>0</v>
      </c>
      <c r="BH42" s="873">
        <f>+'Summary Valuation'!C82</f>
        <v>0</v>
      </c>
      <c r="BL42" s="873">
        <f>+'Summary Valuation'!C84</f>
        <v>-276977.97953651223</v>
      </c>
      <c r="BP42" s="873">
        <f>+'Summary Valuation'!C96</f>
        <v>-341954.72858772718</v>
      </c>
      <c r="BT42" s="873">
        <f>+'Summary Valuation'!C98</f>
        <v>-425786.55243999965</v>
      </c>
      <c r="BX42" s="873">
        <f>+'Summary Valuation'!G98</f>
        <v>0</v>
      </c>
      <c r="CB42" s="873">
        <f>+'Summary Valuation'!K98</f>
        <v>0</v>
      </c>
      <c r="DT42" s="1648">
        <f>SUM(B42:BP42)</f>
        <v>-726254.86791669857</v>
      </c>
    </row>
    <row r="43" spans="1:127">
      <c r="D43" s="873">
        <f>+D42+D27+D15</f>
        <v>0</v>
      </c>
      <c r="H43" s="873">
        <f>+H42+H27+H15</f>
        <v>0</v>
      </c>
      <c r="L43" s="873">
        <f>+L42+L27+L15</f>
        <v>0</v>
      </c>
      <c r="P43" s="873">
        <f>+P42+P27+P15</f>
        <v>0</v>
      </c>
      <c r="T43" s="873">
        <f>+T42+T27+T15</f>
        <v>0</v>
      </c>
      <c r="X43" s="873">
        <f>+X42+X27+X15</f>
        <v>0</v>
      </c>
      <c r="AB43" s="873">
        <f>+AB42+AB27+AB15</f>
        <v>0</v>
      </c>
      <c r="AF43" s="873">
        <f>+AF42+AF27+AF15</f>
        <v>0</v>
      </c>
      <c r="AJ43" s="873">
        <f>+AJ27+AJ15+AJ42</f>
        <v>0</v>
      </c>
      <c r="AN43" s="873">
        <f>+AN42+AN15</f>
        <v>0</v>
      </c>
      <c r="AR43" s="873">
        <f>+AR42+AR27+AR15</f>
        <v>0</v>
      </c>
      <c r="AV43" s="873">
        <f>+AV42+AV27+AV15</f>
        <v>0</v>
      </c>
      <c r="AZ43" s="882">
        <f>+AZ42+AZ27+AZ15</f>
        <v>0</v>
      </c>
      <c r="BD43" s="873">
        <f>+BD27+BD15+BD42</f>
        <v>184079.22943761721</v>
      </c>
      <c r="BH43" s="873">
        <f>+BH42+BH27+BH15</f>
        <v>0</v>
      </c>
      <c r="BL43" s="873">
        <f>+BL27+BL15+BL42</f>
        <v>0</v>
      </c>
      <c r="BP43" s="873">
        <f>+BP42+BP27+BP15</f>
        <v>683909.45717545145</v>
      </c>
      <c r="DT43" s="1648">
        <f>SUM(DT41:DT42)</f>
        <v>148022182.21506083</v>
      </c>
    </row>
    <row r="56" spans="122:122">
      <c r="DR56" s="316">
        <f>+DR11-408</f>
        <v>84</v>
      </c>
    </row>
  </sheetData>
  <pageMargins left="0.70866141732283472" right="0.70866141732283472" top="0.74803149606299213" bottom="0.74803149606299213" header="0.31496062992125984" footer="0.31496062992125984"/>
  <pageSetup paperSize="9" scale="11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>
    <tabColor rgb="FF00B0F0"/>
    <pageSetUpPr fitToPage="1"/>
  </sheetPr>
  <dimension ref="A1:T170"/>
  <sheetViews>
    <sheetView view="pageBreakPreview" topLeftCell="A19" zoomScaleNormal="100" zoomScaleSheetLayoutView="100" workbookViewId="0">
      <selection activeCell="E30" sqref="E30"/>
    </sheetView>
  </sheetViews>
  <sheetFormatPr defaultRowHeight="13.15"/>
  <cols>
    <col min="1" max="1" width="42.7109375" bestFit="1" customWidth="1"/>
    <col min="2" max="2" width="23" style="24" bestFit="1" customWidth="1"/>
    <col min="3" max="3" width="19.5703125" style="24" customWidth="1"/>
    <col min="4" max="4" width="22" style="79" customWidth="1"/>
    <col min="5" max="6" width="16.85546875" style="79" customWidth="1"/>
    <col min="7" max="7" width="14" bestFit="1" customWidth="1"/>
    <col min="8" max="8" width="16.28515625" customWidth="1"/>
    <col min="9" max="9" width="17.5703125" customWidth="1"/>
    <col min="10" max="10" width="16.28515625" customWidth="1"/>
    <col min="11" max="11" width="18.28515625" customWidth="1"/>
    <col min="12" max="12" width="15.85546875" customWidth="1"/>
    <col min="13" max="13" width="15.5703125" customWidth="1"/>
    <col min="14" max="14" width="16.140625" customWidth="1"/>
    <col min="15" max="15" width="15" bestFit="1" customWidth="1"/>
    <col min="16" max="18" width="12.85546875" bestFit="1" customWidth="1"/>
  </cols>
  <sheetData>
    <row r="1" spans="1:19" ht="15.75" customHeight="1">
      <c r="A1" s="1" t="s">
        <v>56</v>
      </c>
    </row>
    <row r="2" spans="1:19" ht="15.75" customHeight="1">
      <c r="A2" t="s">
        <v>1611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ht="15.75" customHeight="1">
      <c r="A3" s="1501">
        <f>+'Summary Total Pigs'!C3</f>
        <v>46226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ht="15.75" customHeight="1">
      <c r="B4" s="673" t="s">
        <v>1612</v>
      </c>
      <c r="C4" s="673" t="s">
        <v>1612</v>
      </c>
      <c r="D4" s="674" t="s">
        <v>1613</v>
      </c>
      <c r="E4" s="674"/>
      <c r="F4" s="674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ht="15.75" customHeight="1">
      <c r="B5" s="675">
        <v>45047</v>
      </c>
      <c r="C5" s="675">
        <f>+'Summary Total Pigs'!C3</f>
        <v>46226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</row>
    <row r="6" spans="1:19" ht="15.75" customHeight="1">
      <c r="A6" t="s">
        <v>127</v>
      </c>
      <c r="B6" s="1798">
        <f>'[35]Summary Valuation'!C6</f>
        <v>8370710609.4519997</v>
      </c>
      <c r="C6" s="308">
        <f>+'Grasmere Valuation '!H144-C7</f>
        <v>76879976.279434115</v>
      </c>
      <c r="D6" s="79">
        <f>B6-C6</f>
        <v>8293830633.1725655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</row>
    <row r="7" spans="1:19" ht="15.75" customHeight="1">
      <c r="A7" t="s">
        <v>1584</v>
      </c>
      <c r="B7" s="1798">
        <f>'[35]Summary Valuation'!C7</f>
        <v>0</v>
      </c>
      <c r="C7" s="1798">
        <v>0</v>
      </c>
      <c r="D7" s="79">
        <f t="shared" ref="D7:D12" si="0">B7-C7</f>
        <v>0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</row>
    <row r="8" spans="1:19" ht="15.75" customHeight="1">
      <c r="A8" t="s">
        <v>186</v>
      </c>
      <c r="B8" s="1798">
        <f>'[35]Summary Valuation'!C8</f>
        <v>1712204018.4749081</v>
      </c>
      <c r="C8" s="308">
        <f>+'Villa Valuation'!H50</f>
        <v>786664.00097004033</v>
      </c>
      <c r="D8" s="79">
        <f>B8-C8</f>
        <v>1711417354.473938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</row>
    <row r="9" spans="1:19" ht="15.75" customHeight="1">
      <c r="A9" t="s">
        <v>1614</v>
      </c>
      <c r="B9" s="1798">
        <f>'[35]Summary Valuation'!C9</f>
        <v>3656165300.1040859</v>
      </c>
      <c r="C9" s="74">
        <f>+'Lionhead Valuation'!H61</f>
        <v>2495555.9883716023</v>
      </c>
      <c r="D9" s="79">
        <f>B9-C9</f>
        <v>3653669744.1157146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</row>
    <row r="10" spans="1:19" ht="15.75" customHeight="1">
      <c r="A10" t="s">
        <v>189</v>
      </c>
      <c r="B10" s="1798">
        <f>'[35]Summary Valuation'!C10</f>
        <v>3547579778.8078666</v>
      </c>
      <c r="C10" s="74">
        <f>+'Richlands Valuation'!H88</f>
        <v>2176650.8566190144</v>
      </c>
      <c r="D10" s="79">
        <f t="shared" si="0"/>
        <v>3545403127.9512477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 spans="1:19" ht="15.75" customHeight="1">
      <c r="A11" t="s">
        <v>1605</v>
      </c>
      <c r="B11" s="1798">
        <f>'[35]Summary Valuation'!C11</f>
        <v>1077034705.4428394</v>
      </c>
      <c r="C11" s="74">
        <f>+'Lionhead Ext. Valuation'!H50</f>
        <v>525927.86524550256</v>
      </c>
      <c r="D11" s="79">
        <f t="shared" si="0"/>
        <v>1076508777.5775938</v>
      </c>
      <c r="G11" s="23"/>
      <c r="H11" s="23"/>
      <c r="I11" s="23"/>
      <c r="J11" s="23"/>
      <c r="K11" s="23"/>
      <c r="M11" s="23"/>
      <c r="N11" s="23"/>
      <c r="O11" s="23"/>
      <c r="P11" s="23"/>
      <c r="Q11" s="23"/>
      <c r="R11" s="23"/>
      <c r="S11" s="23"/>
    </row>
    <row r="12" spans="1:19" ht="15.75" customHeight="1">
      <c r="A12" t="s">
        <v>1615</v>
      </c>
      <c r="B12" s="1798">
        <f>'[35]Summary Valuation'!C12</f>
        <v>1495867130.231271</v>
      </c>
      <c r="C12" s="617">
        <f>+'Learig Valuation'!H45</f>
        <v>1197268.7653196421</v>
      </c>
      <c r="D12" s="79">
        <f t="shared" si="0"/>
        <v>1494669861.4659514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 spans="1:19" ht="15.75" customHeight="1">
      <c r="B13" s="636">
        <f>SUM(B6:B12)</f>
        <v>19859561542.51297</v>
      </c>
      <c r="C13" s="31">
        <f>SUM(C6:C12)</f>
        <v>84062043.755959913</v>
      </c>
      <c r="D13" s="636">
        <f>SUM(D6:D12)</f>
        <v>19775499498.757011</v>
      </c>
      <c r="E13" s="31"/>
      <c r="F13" s="31"/>
      <c r="G13" s="31"/>
      <c r="H13" s="31"/>
      <c r="I13" s="31"/>
      <c r="J13" s="31"/>
      <c r="K13" s="31"/>
      <c r="L13" s="31"/>
      <c r="M13" s="23"/>
      <c r="N13" s="23"/>
      <c r="O13" s="23"/>
      <c r="P13" s="23"/>
      <c r="Q13" s="23"/>
      <c r="R13" s="23"/>
      <c r="S13" s="23"/>
    </row>
    <row r="14" spans="1:19" ht="15.75" customHeight="1">
      <c r="B14" s="23" t="s">
        <v>138</v>
      </c>
      <c r="C14" s="74" t="s">
        <v>138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 spans="1:19" ht="15.75" customHeight="1">
      <c r="A15" t="s">
        <v>202</v>
      </c>
      <c r="B15" s="308">
        <f>'[63]Fair Value'!$BL$11</f>
        <v>55906.759560465121</v>
      </c>
      <c r="C15" s="308">
        <f>+'Cattle Valuation'!G21</f>
        <v>48511.464</v>
      </c>
      <c r="D15" s="79">
        <f>B15-C15</f>
        <v>7395.2955604651215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</row>
    <row r="16" spans="1:19" ht="15.75" customHeight="1">
      <c r="B16" s="23"/>
      <c r="C16" s="74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</row>
    <row r="17" spans="1:20" ht="15.75" customHeight="1" thickBot="1">
      <c r="B17" s="676">
        <f>B13+B15</f>
        <v>19859617449.27253</v>
      </c>
      <c r="C17" s="676">
        <f>C13+C15</f>
        <v>84110555.219959915</v>
      </c>
      <c r="D17" s="282">
        <f>D13+D15</f>
        <v>19775506894.05257</v>
      </c>
      <c r="E17" s="677"/>
      <c r="F17" s="677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 spans="1:20" ht="15.75" customHeight="1" thickTop="1"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spans="1:20" ht="15.75" customHeight="1">
      <c r="A19" t="s">
        <v>1616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</row>
    <row r="20" spans="1:20" ht="15.75" customHeight="1"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 spans="1:20" ht="15.75" customHeight="1">
      <c r="A21" t="s">
        <v>127</v>
      </c>
      <c r="B21" s="308">
        <f>'[35]Summary Valuation'!C21</f>
        <v>8566384267.9136276</v>
      </c>
      <c r="C21" s="74">
        <f>+C6+C7+C15</f>
        <v>76928487.743434116</v>
      </c>
      <c r="D21" s="79">
        <f t="shared" ref="D21:D26" si="1">B21-C21</f>
        <v>8489455780.1701937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  <row r="22" spans="1:20" ht="15.75" customHeight="1">
      <c r="A22" t="s">
        <v>214</v>
      </c>
      <c r="B22" s="308">
        <f>'[35]Summary Valuation'!C22</f>
        <v>1712204018.4749081</v>
      </c>
      <c r="C22" s="74">
        <f>C8</f>
        <v>786664.00097004033</v>
      </c>
      <c r="D22" s="79">
        <f t="shared" si="1"/>
        <v>1711417354.473938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 spans="1:20" ht="15.75" customHeight="1">
      <c r="A23" t="str">
        <f>+A9</f>
        <v>Lion Head</v>
      </c>
      <c r="B23" s="308">
        <f>'[35]Summary Valuation'!C23</f>
        <v>3656165300.1040859</v>
      </c>
      <c r="C23" s="74">
        <f>+C9</f>
        <v>2495555.9883716023</v>
      </c>
      <c r="D23" s="79">
        <f t="shared" si="1"/>
        <v>3653669744.1157146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 spans="1:20" ht="15.75" customHeight="1">
      <c r="A24" t="str">
        <f>+A10</f>
        <v>Richlands</v>
      </c>
      <c r="B24" s="308">
        <f>'[35]Summary Valuation'!C24</f>
        <v>3547579778.8078666</v>
      </c>
      <c r="C24" s="74">
        <f>+C10</f>
        <v>2176650.8566190144</v>
      </c>
      <c r="D24" s="79">
        <f t="shared" si="1"/>
        <v>3545403127.9512477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spans="1:20" ht="15.75" customHeight="1">
      <c r="A25" t="str">
        <f>+A11</f>
        <v>Lionshead Extension</v>
      </c>
      <c r="B25" s="308">
        <f>'[35]Summary Valuation'!C25</f>
        <v>1077034705.4428394</v>
      </c>
      <c r="C25" s="74">
        <f>+C11</f>
        <v>525927.86524550256</v>
      </c>
      <c r="D25" s="79">
        <f t="shared" si="1"/>
        <v>1076508777.5775938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  <row r="26" spans="1:20" ht="15.75" customHeight="1">
      <c r="A26" t="s">
        <v>1615</v>
      </c>
      <c r="B26" s="308">
        <f>'[35]Summary Valuation'!C26</f>
        <v>1495867130.231271</v>
      </c>
      <c r="C26" s="24">
        <f>+C12</f>
        <v>1197268.7653196421</v>
      </c>
      <c r="D26" s="79">
        <f t="shared" si="1"/>
        <v>1494669861.4659514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 spans="1:20" ht="15.75" customHeight="1" thickBot="1">
      <c r="A27" t="s">
        <v>71</v>
      </c>
      <c r="B27" s="678">
        <f>SUM(B21:B26)</f>
        <v>20055235200.974598</v>
      </c>
      <c r="C27" s="678">
        <f>SUM(C21:C26)</f>
        <v>84110555.219959915</v>
      </c>
      <c r="D27" s="679">
        <f>SUM(D21:D26)</f>
        <v>19971124645.754639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spans="1:20" ht="15.75" customHeight="1" thickTop="1">
      <c r="B28" s="74">
        <f>B17-B27</f>
        <v>-195617751.70206833</v>
      </c>
      <c r="C28" s="74">
        <f>C17-C27</f>
        <v>0</v>
      </c>
      <c r="D28" s="78" t="s">
        <v>138</v>
      </c>
      <c r="E28" s="78"/>
      <c r="F28" s="78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spans="1:20" ht="15.75" customHeight="1">
      <c r="B29" s="24" t="s">
        <v>138</v>
      </c>
      <c r="C29" s="24" t="s">
        <v>138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4"/>
    </row>
    <row r="30" spans="1:20" ht="15.75" customHeight="1">
      <c r="A30" t="s">
        <v>1617</v>
      </c>
      <c r="B30" s="308">
        <f>'[35]Summary Valuation'!C30</f>
        <v>0</v>
      </c>
      <c r="C30" s="24">
        <f>-'Grasmere Imported Valuation'!D15-'Grasmere Imported Valuation'!D27</f>
        <v>0</v>
      </c>
      <c r="D30" s="79">
        <f t="shared" ref="D30:D44" si="2">+B30-C30</f>
        <v>0</v>
      </c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24"/>
    </row>
    <row r="31" spans="1:20" ht="15.75" customHeight="1">
      <c r="B31" s="308" t="e">
        <f>'[35]Summary Valuation'!C31</f>
        <v>#REF!</v>
      </c>
      <c r="D31" s="79" t="s">
        <v>138</v>
      </c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24"/>
    </row>
    <row r="32" spans="1:20" ht="15.75" customHeight="1">
      <c r="A32" t="s">
        <v>1618</v>
      </c>
      <c r="B32" s="308">
        <f>'[35]Summary Valuation'!C32</f>
        <v>0</v>
      </c>
      <c r="C32" s="24">
        <f>-'Grasmere Imported Valuation'!X27-'Grasmere Imported Valuation'!H15</f>
        <v>0</v>
      </c>
      <c r="D32" s="79">
        <f t="shared" si="2"/>
        <v>0</v>
      </c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24"/>
    </row>
    <row r="33" spans="1:20" ht="15.75" customHeight="1">
      <c r="B33" s="308" t="e">
        <f>'[35]Summary Valuation'!C33</f>
        <v>#REF!</v>
      </c>
      <c r="D33" s="79" t="s">
        <v>138</v>
      </c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24"/>
    </row>
    <row r="34" spans="1:20" ht="15.75" customHeight="1">
      <c r="A34" t="s">
        <v>1619</v>
      </c>
      <c r="B34" s="308">
        <f>'[35]Summary Valuation'!C34</f>
        <v>0</v>
      </c>
      <c r="C34" s="24">
        <f>-'Grasmere Imported Valuation'!L15-'Grasmere Imported Valuation'!L27</f>
        <v>0</v>
      </c>
      <c r="D34" s="79">
        <f t="shared" si="2"/>
        <v>0</v>
      </c>
      <c r="G34" s="74"/>
      <c r="H34" s="74"/>
      <c r="I34" s="74"/>
      <c r="J34" s="74"/>
      <c r="K34" s="74"/>
      <c r="L34" s="74"/>
      <c r="N34" s="74"/>
      <c r="O34" s="74"/>
      <c r="P34" s="74"/>
      <c r="R34" s="74"/>
      <c r="S34" s="74"/>
      <c r="T34" s="24"/>
    </row>
    <row r="35" spans="1:20" ht="15.75" customHeight="1">
      <c r="B35" s="308" t="e">
        <f>'[35]Summary Valuation'!C35</f>
        <v>#REF!</v>
      </c>
      <c r="D35" s="79" t="s">
        <v>138</v>
      </c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24"/>
    </row>
    <row r="36" spans="1:20" ht="15.75" customHeight="1">
      <c r="A36" t="s">
        <v>1620</v>
      </c>
      <c r="B36" s="308">
        <f>'[35]Summary Valuation'!C36</f>
        <v>0</v>
      </c>
      <c r="C36" s="24">
        <f>-'Grasmere Imported Valuation'!P15-'Grasmere Imported Valuation'!P27</f>
        <v>0</v>
      </c>
      <c r="D36" s="79">
        <f t="shared" si="2"/>
        <v>0</v>
      </c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24"/>
    </row>
    <row r="37" spans="1:20" ht="15.75" customHeight="1">
      <c r="B37" s="308" t="e">
        <f>'[35]Summary Valuation'!C37</f>
        <v>#REF!</v>
      </c>
      <c r="D37" s="79" t="s">
        <v>138</v>
      </c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24"/>
    </row>
    <row r="38" spans="1:20" ht="15.75" customHeight="1">
      <c r="A38" t="s">
        <v>1621</v>
      </c>
      <c r="B38" s="308">
        <f>'[35]Summary Valuation'!C38</f>
        <v>0</v>
      </c>
      <c r="C38" s="24">
        <f>-'Grasmere Imported Valuation'!H15-'Grasmere Imported Valuation'!H27</f>
        <v>0</v>
      </c>
      <c r="D38" s="79">
        <f t="shared" si="2"/>
        <v>0</v>
      </c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24"/>
    </row>
    <row r="39" spans="1:20" ht="15.75" customHeight="1">
      <c r="B39" s="308" t="e">
        <f>'[35]Summary Valuation'!C39</f>
        <v>#REF!</v>
      </c>
      <c r="D39" s="79" t="s">
        <v>138</v>
      </c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24"/>
    </row>
    <row r="40" spans="1:20" ht="15.75" customHeight="1">
      <c r="A40" t="s">
        <v>1622</v>
      </c>
      <c r="B40" s="308">
        <f>'[35]Summary Valuation'!C40</f>
        <v>0</v>
      </c>
      <c r="C40" s="24">
        <f>-'Grasmere Imported Valuation'!T15-'Grasmere Imported Valuation'!T27</f>
        <v>0</v>
      </c>
      <c r="D40" s="79">
        <f t="shared" si="2"/>
        <v>0</v>
      </c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24"/>
    </row>
    <row r="41" spans="1:20" ht="15.75" customHeight="1">
      <c r="B41" s="308" t="e">
        <f>'[35]Summary Valuation'!C41</f>
        <v>#REF!</v>
      </c>
      <c r="D41" s="79" t="s">
        <v>138</v>
      </c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24"/>
    </row>
    <row r="42" spans="1:20" ht="15.75" customHeight="1">
      <c r="A42" t="s">
        <v>1623</v>
      </c>
      <c r="B42" s="308">
        <f>'[35]Summary Valuation'!C42</f>
        <v>-22625.767848218853</v>
      </c>
      <c r="C42" s="24">
        <f>-'Grasmere Imported Valuation'!AB15-'Grasmere Imported Valuation'!AB27</f>
        <v>-7541.9226160729513</v>
      </c>
      <c r="D42" s="79">
        <f t="shared" si="2"/>
        <v>-15083.845232145901</v>
      </c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24"/>
    </row>
    <row r="43" spans="1:20" ht="15.75" customHeight="1">
      <c r="B43" s="308" t="e">
        <f>'[35]Summary Valuation'!C43</f>
        <v>#REF!</v>
      </c>
      <c r="D43" s="79" t="s">
        <v>138</v>
      </c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24"/>
    </row>
    <row r="44" spans="1:20" ht="15.75" customHeight="1">
      <c r="A44" t="s">
        <v>1624</v>
      </c>
      <c r="B44" s="308">
        <f>'[35]Summary Valuation'!C44</f>
        <v>-9539.8719999999994</v>
      </c>
      <c r="C44" s="24">
        <f>-'Grasmere Imported Valuation'!AF15-'Grasmere Imported Valuation'!AF27</f>
        <v>0</v>
      </c>
      <c r="D44" s="79">
        <f t="shared" si="2"/>
        <v>-9539.8719999999994</v>
      </c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24"/>
    </row>
    <row r="45" spans="1:20" ht="15.75" customHeight="1">
      <c r="B45" s="308" t="e">
        <f>'[35]Summary Valuation'!C45</f>
        <v>#REF!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spans="1:20" s="680" customFormat="1" ht="15.75" customHeight="1">
      <c r="A46" s="680" t="s">
        <v>1625</v>
      </c>
      <c r="B46" s="308">
        <f>'[35]Summary Valuation'!C46</f>
        <v>0</v>
      </c>
      <c r="C46" s="681">
        <f>+'Richlands Imported Valuation'!D29</f>
        <v>0</v>
      </c>
      <c r="D46" s="682">
        <f>+B46-C46</f>
        <v>0</v>
      </c>
      <c r="E46" s="682"/>
      <c r="F46" s="682"/>
      <c r="G46" s="681"/>
      <c r="H46" s="681"/>
      <c r="I46" s="681"/>
      <c r="J46" s="681"/>
      <c r="K46" s="681"/>
      <c r="L46" s="681"/>
      <c r="M46" s="681"/>
      <c r="N46" s="681"/>
      <c r="O46" s="681"/>
      <c r="P46" s="681"/>
      <c r="Q46" s="681"/>
      <c r="R46" s="681"/>
      <c r="S46" s="681"/>
      <c r="T46" s="1276"/>
    </row>
    <row r="47" spans="1:20" ht="15.75" customHeight="1">
      <c r="B47" s="308">
        <f>'[35]Summary Valuation'!C47</f>
        <v>0</v>
      </c>
      <c r="C47" s="74"/>
      <c r="E47" s="682"/>
      <c r="F47" s="682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spans="1:20" s="680" customFormat="1" ht="15.75" customHeight="1">
      <c r="A48" s="680" t="s">
        <v>1626</v>
      </c>
      <c r="B48" s="308">
        <f>'[35]Summary Valuation'!C48</f>
        <v>0</v>
      </c>
      <c r="C48" s="681">
        <f>+'Richlands Imported Valuation'!H29</f>
        <v>0</v>
      </c>
      <c r="D48" s="682">
        <f>+B48-C48</f>
        <v>0</v>
      </c>
      <c r="E48" s="682"/>
      <c r="F48" s="682"/>
      <c r="G48" s="681"/>
      <c r="H48" s="681"/>
      <c r="I48" s="681"/>
      <c r="J48" s="681"/>
      <c r="K48" s="681"/>
      <c r="L48" s="681"/>
      <c r="M48" s="681"/>
      <c r="N48" s="681"/>
      <c r="O48" s="681"/>
      <c r="P48" s="681"/>
      <c r="Q48" s="681"/>
      <c r="R48" s="681"/>
      <c r="S48" s="681"/>
      <c r="T48" s="1276"/>
    </row>
    <row r="49" spans="1:20" ht="15.75" customHeight="1">
      <c r="B49" s="308">
        <f>'[35]Summary Valuation'!C49</f>
        <v>0</v>
      </c>
      <c r="C49" s="74"/>
      <c r="E49" s="682"/>
      <c r="F49" s="682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spans="1:20" s="680" customFormat="1" ht="15.75" customHeight="1">
      <c r="A50" s="680" t="s">
        <v>1627</v>
      </c>
      <c r="B50" s="308">
        <f>'[35]Summary Valuation'!C50</f>
        <v>0</v>
      </c>
      <c r="C50" s="681">
        <f>-'Richlands Imported Valuation'!L14-'Richlands Imported Valuation'!L26</f>
        <v>0</v>
      </c>
      <c r="D50" s="682">
        <f>+B50-C50</f>
        <v>0</v>
      </c>
      <c r="E50" s="682"/>
      <c r="F50" s="682"/>
      <c r="G50" s="681"/>
      <c r="H50" s="681"/>
      <c r="I50" s="681"/>
      <c r="J50" s="681"/>
      <c r="K50" s="681"/>
      <c r="L50" s="681"/>
      <c r="M50" s="681"/>
      <c r="N50" s="681"/>
      <c r="O50" s="681"/>
      <c r="P50" s="681"/>
      <c r="Q50" s="681"/>
      <c r="R50" s="681"/>
      <c r="S50" s="681"/>
    </row>
    <row r="51" spans="1:20" ht="15.75" customHeight="1">
      <c r="B51" s="308">
        <f>'[35]Summary Valuation'!C51</f>
        <v>0</v>
      </c>
      <c r="C51" s="74"/>
      <c r="E51" s="682"/>
      <c r="F51" s="682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</row>
    <row r="52" spans="1:20" s="680" customFormat="1" ht="15.75" customHeight="1">
      <c r="A52" s="680" t="s">
        <v>1627</v>
      </c>
      <c r="B52" s="308">
        <f>'[35]Summary Valuation'!C52</f>
        <v>-16808.303922790688</v>
      </c>
      <c r="C52" s="681">
        <f>-'Richlands Imported Valuation'!P14-'Richlands Imported Valuation'!P26</f>
        <v>0</v>
      </c>
      <c r="D52" s="682">
        <f>+B52-C52</f>
        <v>-16808.303922790688</v>
      </c>
      <c r="E52" s="682"/>
      <c r="F52" s="682"/>
      <c r="G52" s="681"/>
      <c r="H52" s="681"/>
      <c r="I52" s="681"/>
      <c r="J52" s="681"/>
      <c r="K52" s="681"/>
      <c r="L52" s="681"/>
      <c r="M52" s="681"/>
      <c r="N52" s="681"/>
      <c r="O52" s="681"/>
      <c r="P52" s="681"/>
      <c r="Q52" s="681"/>
      <c r="R52" s="681"/>
      <c r="S52" s="681"/>
    </row>
    <row r="53" spans="1:20" ht="15.75" customHeight="1">
      <c r="B53" s="308">
        <f>'[35]Summary Valuation'!C53</f>
        <v>0</v>
      </c>
      <c r="C53" s="74"/>
      <c r="E53" s="682"/>
      <c r="F53" s="682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</row>
    <row r="54" spans="1:20" s="680" customFormat="1" ht="15.75" customHeight="1">
      <c r="A54" s="680" t="s">
        <v>1628</v>
      </c>
      <c r="B54" s="308">
        <f>'[35]Summary Valuation'!C54</f>
        <v>0</v>
      </c>
      <c r="C54" s="681">
        <f>+'Richlands Imported Valuation'!T29</f>
        <v>0</v>
      </c>
      <c r="D54" s="682">
        <f>+B54-C54</f>
        <v>0</v>
      </c>
      <c r="E54" s="682"/>
      <c r="F54" s="682"/>
      <c r="G54" s="681"/>
      <c r="H54" s="681"/>
      <c r="I54" s="681"/>
      <c r="J54" s="681"/>
      <c r="K54" s="681"/>
      <c r="L54" s="681"/>
      <c r="M54" s="681"/>
      <c r="N54" s="681"/>
      <c r="O54" s="681"/>
      <c r="P54" s="681"/>
      <c r="Q54" s="681"/>
      <c r="R54" s="681"/>
      <c r="S54" s="681"/>
    </row>
    <row r="55" spans="1:20" ht="15.75" customHeight="1">
      <c r="B55" s="308">
        <f>'[35]Summary Valuation'!C55</f>
        <v>0</v>
      </c>
      <c r="C55" s="74"/>
      <c r="E55" s="682"/>
      <c r="F55" s="682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r="56" spans="1:20" s="680" customFormat="1" ht="15.75" customHeight="1">
      <c r="A56" s="680" t="s">
        <v>1629</v>
      </c>
      <c r="B56" s="308">
        <f>'[35]Summary Valuation'!C56</f>
        <v>0</v>
      </c>
      <c r="C56" s="681">
        <f>+'Richlands Imported Valuation'!X29</f>
        <v>0</v>
      </c>
      <c r="D56" s="682">
        <f>+B56-C56</f>
        <v>0</v>
      </c>
      <c r="E56" s="682"/>
      <c r="F56" s="682"/>
      <c r="G56" s="681"/>
      <c r="H56" s="681"/>
      <c r="I56" s="681"/>
      <c r="J56" s="681"/>
      <c r="K56" s="681"/>
      <c r="L56" s="681"/>
      <c r="M56" s="681"/>
      <c r="N56" s="681"/>
      <c r="O56" s="681"/>
      <c r="P56" s="681"/>
      <c r="Q56" s="681"/>
      <c r="R56" s="681"/>
      <c r="S56" s="681"/>
    </row>
    <row r="57" spans="1:20" ht="15.75" customHeight="1">
      <c r="B57" s="308">
        <f>'[35]Summary Valuation'!C57</f>
        <v>0</v>
      </c>
      <c r="C57" s="74"/>
      <c r="E57" s="682"/>
      <c r="F57" s="682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</row>
    <row r="58" spans="1:20" s="680" customFormat="1" ht="15.75" customHeight="1">
      <c r="A58" s="680" t="s">
        <v>1630</v>
      </c>
      <c r="B58" s="308">
        <f>'[35]Summary Valuation'!C58</f>
        <v>0</v>
      </c>
      <c r="C58" s="681">
        <f>-'Richlands Imported Valuation'!AB26</f>
        <v>0</v>
      </c>
      <c r="D58" s="682">
        <f>+B58-C58</f>
        <v>0</v>
      </c>
      <c r="E58" s="682"/>
      <c r="F58" s="682"/>
      <c r="G58" s="681"/>
      <c r="H58" s="681"/>
      <c r="I58" s="681"/>
      <c r="J58" s="681"/>
      <c r="K58" s="681"/>
      <c r="L58" s="681"/>
      <c r="M58" s="681"/>
      <c r="N58" s="681"/>
      <c r="O58" s="681"/>
      <c r="P58" s="681"/>
      <c r="Q58" s="681"/>
      <c r="R58" s="681"/>
      <c r="S58" s="681"/>
    </row>
    <row r="59" spans="1:20" ht="15.75" customHeight="1">
      <c r="B59" s="308">
        <f>'[35]Summary Valuation'!C59</f>
        <v>0</v>
      </c>
      <c r="C59" s="74"/>
      <c r="E59" s="682"/>
      <c r="F59" s="682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</row>
    <row r="60" spans="1:20" s="680" customFormat="1" ht="15.75" customHeight="1">
      <c r="A60" s="680" t="s">
        <v>1631</v>
      </c>
      <c r="B60" s="308">
        <f>'[35]Summary Valuation'!C60</f>
        <v>-69315.02390123911</v>
      </c>
      <c r="C60" s="681">
        <f>-'Richlands Imported Valuation'!AB14</f>
        <v>0</v>
      </c>
      <c r="D60" s="682">
        <f>+B60-C60</f>
        <v>-69315.02390123911</v>
      </c>
      <c r="E60" s="682"/>
      <c r="F60" s="682"/>
      <c r="G60" s="681"/>
      <c r="H60" s="681"/>
      <c r="I60" s="681"/>
      <c r="J60" s="681"/>
      <c r="K60" s="681"/>
      <c r="L60" s="681"/>
      <c r="M60" s="681"/>
      <c r="N60" s="681"/>
      <c r="O60" s="681"/>
      <c r="P60" s="681"/>
      <c r="Q60" s="681"/>
      <c r="R60" s="681"/>
      <c r="S60" s="681"/>
    </row>
    <row r="61" spans="1:20" ht="15.75" customHeight="1">
      <c r="B61" s="308">
        <f>'[35]Summary Valuation'!C61</f>
        <v>0</v>
      </c>
      <c r="C61" s="74"/>
      <c r="E61" s="682"/>
      <c r="F61" s="682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</row>
    <row r="62" spans="1:20" s="680" customFormat="1" ht="15.75" customHeight="1">
      <c r="A62" s="680" t="s">
        <v>1632</v>
      </c>
      <c r="B62" s="308">
        <f>'[35]Summary Valuation'!C62</f>
        <v>0</v>
      </c>
      <c r="C62" s="681">
        <f>+'Richlands Imported Valuation'!AF29</f>
        <v>0</v>
      </c>
      <c r="D62" s="682">
        <f>+B62-C62</f>
        <v>0</v>
      </c>
      <c r="E62" s="682"/>
      <c r="F62" s="682"/>
      <c r="G62" s="681"/>
      <c r="H62" s="681"/>
      <c r="I62" s="681"/>
      <c r="J62" s="681"/>
      <c r="K62" s="681"/>
      <c r="L62" s="681"/>
      <c r="M62" s="681"/>
      <c r="N62" s="681"/>
      <c r="O62" s="681"/>
      <c r="P62" s="681"/>
      <c r="Q62" s="681"/>
      <c r="R62" s="681"/>
      <c r="S62" s="681"/>
    </row>
    <row r="63" spans="1:20" ht="15.75" customHeight="1">
      <c r="B63" s="308">
        <f>'[35]Summary Valuation'!C63</f>
        <v>0</v>
      </c>
      <c r="C63" s="74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</row>
    <row r="64" spans="1:20" s="680" customFormat="1" ht="15.75" customHeight="1">
      <c r="A64" s="680" t="str">
        <f>+A80</f>
        <v>Amortisation July 2020</v>
      </c>
      <c r="B64" s="308">
        <f>'[35]Summary Valuation'!C64</f>
        <v>-3937250.1851935065</v>
      </c>
      <c r="C64" s="681">
        <f>+'Richlands Imported Valuation'!AJ29</f>
        <v>0</v>
      </c>
      <c r="D64" s="682">
        <f>+B64-C64</f>
        <v>-3937250.1851935065</v>
      </c>
      <c r="E64" s="682"/>
      <c r="F64" s="682"/>
      <c r="G64" s="681"/>
      <c r="H64" s="681"/>
      <c r="I64" s="681"/>
      <c r="J64" s="681"/>
      <c r="K64" s="681"/>
      <c r="L64" s="681"/>
      <c r="M64" s="681"/>
      <c r="N64" s="681"/>
      <c r="O64" s="681"/>
      <c r="P64" s="681"/>
      <c r="Q64" s="681"/>
      <c r="R64" s="681"/>
      <c r="S64" s="681"/>
    </row>
    <row r="65" spans="1:19" ht="15.75" customHeight="1">
      <c r="B65" s="308" t="e">
        <f>'[35]Summary Valuation'!C65</f>
        <v>#REF!</v>
      </c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</row>
    <row r="66" spans="1:19" s="680" customFormat="1" ht="15.75" customHeight="1">
      <c r="A66" s="680" t="s">
        <v>1633</v>
      </c>
      <c r="B66" s="308">
        <f>'[35]Summary Valuation'!C66</f>
        <v>-1274280.9720959598</v>
      </c>
      <c r="C66" s="1276">
        <f>+'Richlands Imported Valuation'!AN29</f>
        <v>0</v>
      </c>
      <c r="D66" s="682">
        <f>+B66-C66</f>
        <v>-1274280.9720959598</v>
      </c>
      <c r="E66" s="682"/>
      <c r="F66" s="682"/>
      <c r="G66" s="681"/>
      <c r="H66" s="681"/>
      <c r="I66" s="681"/>
      <c r="J66" s="681"/>
      <c r="K66" s="681"/>
      <c r="L66" s="681"/>
      <c r="M66" s="681"/>
      <c r="N66" s="681"/>
      <c r="O66" s="681"/>
      <c r="P66" s="681"/>
      <c r="Q66" s="681"/>
      <c r="R66" s="681"/>
      <c r="S66" s="681"/>
    </row>
    <row r="67" spans="1:19" ht="15.75" customHeight="1">
      <c r="B67" s="308" t="e">
        <f>'[35]Summary Valuation'!C67</f>
        <v>#REF!</v>
      </c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</row>
    <row r="68" spans="1:19" ht="15.75" customHeight="1">
      <c r="A68" t="s">
        <v>1634</v>
      </c>
      <c r="B68" s="308">
        <f>'[35]Summary Valuation'!C68</f>
        <v>-19644.049999999988</v>
      </c>
      <c r="C68" s="24">
        <f>-'Grasmere Imported Valuation'!AJ15-'Grasmere Imported Valuation'!AJ27</f>
        <v>0</v>
      </c>
      <c r="D68" s="79">
        <f>+B68-C68</f>
        <v>-19644.049999999988</v>
      </c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</row>
    <row r="69" spans="1:19" ht="15.75" customHeight="1">
      <c r="B69" s="308" t="e">
        <f>'[35]Summary Valuation'!C69</f>
        <v>#REF!</v>
      </c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</row>
    <row r="70" spans="1:19" ht="15.75" customHeight="1">
      <c r="A70" t="s">
        <v>1635</v>
      </c>
      <c r="B70" s="308">
        <f>'[35]Summary Valuation'!C70</f>
        <v>0</v>
      </c>
      <c r="C70" s="24">
        <f>+'Richlands Imported Valuation'!D46</f>
        <v>0</v>
      </c>
      <c r="D70" s="79">
        <f>+B70-C70</f>
        <v>0</v>
      </c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</row>
    <row r="71" spans="1:19" ht="15.75" customHeight="1">
      <c r="B71" s="308" t="e">
        <f>'[35]Summary Valuation'!C71</f>
        <v>#REF!</v>
      </c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</row>
    <row r="72" spans="1:19" ht="15.75" customHeight="1">
      <c r="A72" t="s">
        <v>1636</v>
      </c>
      <c r="B72" s="308">
        <f>'[35]Summary Valuation'!C72</f>
        <v>0</v>
      </c>
      <c r="C72" s="24">
        <f>-'Grasmere Imported Valuation'!AN15-'Grasmere Imported Valuation'!AN27</f>
        <v>0</v>
      </c>
      <c r="D72" s="79">
        <f>+B72-C72</f>
        <v>0</v>
      </c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</row>
    <row r="73" spans="1:19" ht="15.75" customHeight="1">
      <c r="B73" s="308" t="e">
        <f>'[35]Summary Valuation'!C73</f>
        <v>#REF!</v>
      </c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</row>
    <row r="74" spans="1:19" ht="15.75" customHeight="1">
      <c r="A74" t="s">
        <v>1637</v>
      </c>
      <c r="B74" s="308">
        <f>'[35]Summary Valuation'!C74</f>
        <v>-15287.066116505399</v>
      </c>
      <c r="C74" s="24">
        <f>-'Grasmere Imported Valuation'!AR15-'Grasmere Imported Valuation'!AR27</f>
        <v>-7082.9425580510087</v>
      </c>
      <c r="D74" s="79">
        <f>+B74-C74</f>
        <v>-8204.1235584543901</v>
      </c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</row>
    <row r="75" spans="1:19" ht="15.75" customHeight="1">
      <c r="B75" s="308" t="e">
        <f>'[35]Summary Valuation'!C75</f>
        <v>#REF!</v>
      </c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</row>
    <row r="76" spans="1:19" ht="15.75" customHeight="1">
      <c r="A76" t="s">
        <v>1638</v>
      </c>
      <c r="B76" s="308">
        <f>'[35]Summary Valuation'!C76</f>
        <v>-365337.6202538691</v>
      </c>
      <c r="C76" s="24">
        <f>-'Grasmere Imported Valuation'!AV15-'Grasmere Imported Valuation'!AV27</f>
        <v>-16101.627951668575</v>
      </c>
      <c r="D76" s="79">
        <f>+B76-C76</f>
        <v>-349235.99230220052</v>
      </c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</row>
    <row r="77" spans="1:19" ht="15.75" customHeight="1">
      <c r="B77" s="308" t="e">
        <f>'[35]Summary Valuation'!C77</f>
        <v>#REF!</v>
      </c>
      <c r="D77" s="79" t="s">
        <v>138</v>
      </c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</row>
    <row r="78" spans="1:19" ht="15.75" customHeight="1">
      <c r="A78" t="s">
        <v>1639</v>
      </c>
      <c r="B78" s="308">
        <f>'[35]Summary Valuation'!C78</f>
        <v>-153191.33333333331</v>
      </c>
      <c r="C78" s="24">
        <f>-'Grasmere Imported Valuation'!AZ27</f>
        <v>-76595.666666666628</v>
      </c>
      <c r="D78" s="79">
        <f>+B78-C78</f>
        <v>-76595.666666666686</v>
      </c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</row>
    <row r="79" spans="1:19" ht="15.75" customHeight="1">
      <c r="B79" s="308" t="e">
        <f>'[35]Summary Valuation'!C79</f>
        <v>#REF!</v>
      </c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</row>
    <row r="80" spans="1:19" ht="15.75" customHeight="1">
      <c r="A80" t="s">
        <v>1640</v>
      </c>
      <c r="B80" s="308">
        <f>'[35]Summary Valuation'!C80</f>
        <v>-8011003.1755722845</v>
      </c>
      <c r="C80" s="24">
        <f>-'Grasmere Imported Valuation'!BD15-'Grasmere Imported Valuation'!BD27</f>
        <v>0</v>
      </c>
      <c r="D80" s="79">
        <f>+B80-C80</f>
        <v>-8011003.1755722845</v>
      </c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</row>
    <row r="81" spans="1:19" ht="15.75" customHeight="1">
      <c r="B81" s="308" t="e">
        <f>'[35]Summary Valuation'!C81</f>
        <v>#REF!</v>
      </c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</row>
    <row r="82" spans="1:19" ht="15.75" customHeight="1">
      <c r="A82" t="s">
        <v>1641</v>
      </c>
      <c r="B82" s="308">
        <f>'[35]Summary Valuation'!C82</f>
        <v>-3155486.0390548357</v>
      </c>
      <c r="C82" s="24">
        <f>-'Grasmere Imported Valuation'!BH15-'Grasmere Imported Valuation'!BH27</f>
        <v>0</v>
      </c>
      <c r="D82" s="79">
        <f>+B82-C82</f>
        <v>-3155486.0390548357</v>
      </c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</row>
    <row r="83" spans="1:19" ht="15.75" customHeight="1">
      <c r="B83" s="308" t="e">
        <f>'[35]Summary Valuation'!C83</f>
        <v>#REF!</v>
      </c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</row>
    <row r="84" spans="1:19" ht="15.75" customHeight="1">
      <c r="A84" t="s">
        <v>1642</v>
      </c>
      <c r="B84" s="308">
        <f>'[35]Summary Valuation'!C84</f>
        <v>-7398149.6259296834</v>
      </c>
      <c r="C84" s="24">
        <f>-'Grasmere Imported Valuation'!BL15-'Grasmere Imported Valuation'!BL27</f>
        <v>-276977.97953651223</v>
      </c>
      <c r="D84" s="79">
        <f>+B84-C84</f>
        <v>-7121171.6463931715</v>
      </c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</row>
    <row r="85" spans="1:19" ht="15.75" customHeight="1">
      <c r="B85" s="308" t="e">
        <f>'[35]Summary Valuation'!C85</f>
        <v>#REF!</v>
      </c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</row>
    <row r="86" spans="1:19" ht="15.75" customHeight="1">
      <c r="A86" s="1329" t="s">
        <v>1643</v>
      </c>
      <c r="B86" s="308">
        <f>'[35]Summary Valuation'!C86</f>
        <v>0</v>
      </c>
      <c r="C86" s="1330">
        <v>0</v>
      </c>
      <c r="D86" s="1331">
        <f>+B86-C86</f>
        <v>0</v>
      </c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</row>
    <row r="87" spans="1:19" ht="15.75" customHeight="1">
      <c r="A87" t="s">
        <v>268</v>
      </c>
      <c r="B87" s="308" t="e">
        <f>'[35]Summary Valuation'!C87</f>
        <v>#REF!</v>
      </c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</row>
    <row r="88" spans="1:19" ht="15.75" customHeight="1">
      <c r="A88" s="1329" t="s">
        <v>1644</v>
      </c>
      <c r="B88" s="308">
        <f>'[35]Summary Valuation'!C88</f>
        <v>0</v>
      </c>
      <c r="C88" s="1330">
        <v>0</v>
      </c>
      <c r="D88" s="1331">
        <f>+B88-C88</f>
        <v>0</v>
      </c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</row>
    <row r="89" spans="1:19" ht="15.75" customHeight="1">
      <c r="B89" s="308" t="e">
        <f>'[35]Summary Valuation'!C89</f>
        <v>#REF!</v>
      </c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</row>
    <row r="90" spans="1:19" ht="15.75" customHeight="1">
      <c r="A90" s="1329" t="s">
        <v>1645</v>
      </c>
      <c r="B90" s="308">
        <f>'[35]Summary Valuation'!C90</f>
        <v>0</v>
      </c>
      <c r="C90" s="1330">
        <v>0</v>
      </c>
      <c r="D90" s="1331">
        <f>+B90-C90</f>
        <v>0</v>
      </c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</row>
    <row r="91" spans="1:19" ht="15.75" customHeight="1">
      <c r="B91" s="308" t="e">
        <f>'[35]Summary Valuation'!C91</f>
        <v>#REF!</v>
      </c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</row>
    <row r="92" spans="1:19" ht="15.75" customHeight="1">
      <c r="A92" s="1329" t="s">
        <v>1646</v>
      </c>
      <c r="B92" s="308">
        <f>'[35]Summary Valuation'!C92</f>
        <v>0</v>
      </c>
      <c r="C92" s="1330">
        <v>0</v>
      </c>
      <c r="D92" s="1331">
        <f>+B92-C92</f>
        <v>0</v>
      </c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</row>
    <row r="93" spans="1:19" ht="15.75" customHeight="1">
      <c r="B93" s="308" t="e">
        <f>'[35]Summary Valuation'!C93</f>
        <v>#REF!</v>
      </c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</row>
    <row r="94" spans="1:19" ht="15.75" customHeight="1">
      <c r="A94" s="1329" t="s">
        <v>1647</v>
      </c>
      <c r="B94" s="308">
        <f>'[35]Summary Valuation'!C94</f>
        <v>0</v>
      </c>
      <c r="C94" s="1330">
        <v>0</v>
      </c>
      <c r="D94" s="1331">
        <f>+B94-C94</f>
        <v>0</v>
      </c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</row>
    <row r="95" spans="1:19" ht="15.75" customHeight="1">
      <c r="B95" s="308" t="e">
        <f>'[35]Summary Valuation'!C95</f>
        <v>#REF!</v>
      </c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</row>
    <row r="96" spans="1:19" ht="15.75" customHeight="1">
      <c r="A96" t="s">
        <v>1648</v>
      </c>
      <c r="B96" s="308">
        <f>'[35]Summary Valuation'!C96</f>
        <v>-9589946.0657480899</v>
      </c>
      <c r="C96" s="24">
        <f>-'Grasmere Imported Valuation'!BP15-'Grasmere Imported Valuation'!BP27</f>
        <v>-341954.72858772718</v>
      </c>
      <c r="D96" s="79">
        <f>+B96-C96</f>
        <v>-9247991.3371603619</v>
      </c>
      <c r="F96" s="79">
        <f>SUM(C67:C96,C30:C45)</f>
        <v>-726254.86791669857</v>
      </c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</row>
    <row r="97" spans="1:19" ht="15.75" customHeight="1">
      <c r="B97" s="308" t="e">
        <f>'[35]Summary Valuation'!C97</f>
        <v>#REF!</v>
      </c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</row>
    <row r="98" spans="1:19" ht="15.75" customHeight="1">
      <c r="A98" t="s">
        <v>1649</v>
      </c>
      <c r="B98" s="308">
        <f>'[35]Summary Valuation'!C98</f>
        <v>-16025082.294666884</v>
      </c>
      <c r="C98" s="24">
        <f>-'Grasmere Imported Valuation'!BT15-'Grasmere Imported Valuation'!BT27</f>
        <v>-425786.55243999965</v>
      </c>
      <c r="D98" s="79">
        <f>+B98-C98</f>
        <v>-15599295.742226886</v>
      </c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</row>
    <row r="99" spans="1:19" ht="15.75" customHeight="1">
      <c r="B99" s="308" t="e">
        <f>'[35]Summary Valuation'!C99</f>
        <v>#REF!</v>
      </c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</row>
    <row r="100" spans="1:19" ht="15.75" customHeight="1">
      <c r="A100" t="s">
        <v>1650</v>
      </c>
      <c r="B100" s="308">
        <f>'[35]Summary Valuation'!C100</f>
        <v>-34040088.542863064</v>
      </c>
      <c r="C100" s="24">
        <f>-'Grasmere Imported Valuation'!BX15-'Grasmere Imported Valuation'!BX27</f>
        <v>-4196004.7510462981</v>
      </c>
      <c r="D100" s="79">
        <f>+B100-C100</f>
        <v>-29844083.791816764</v>
      </c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</row>
    <row r="101" spans="1:19" ht="15.75" customHeight="1">
      <c r="B101" s="308" t="e">
        <f>'[35]Summary Valuation'!C101</f>
        <v>#REF!</v>
      </c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</row>
    <row r="102" spans="1:19" ht="15.75" customHeight="1">
      <c r="A102" t="s">
        <v>1651</v>
      </c>
      <c r="B102" s="308">
        <f>'[35]Summary Valuation'!C102</f>
        <v>-1753256.6743289239</v>
      </c>
      <c r="C102" s="24">
        <f>-'Grasmere Imported Valuation'!CB15-'Grasmere Imported Valuation'!CB27</f>
        <v>0</v>
      </c>
      <c r="D102" s="79">
        <f>+B102-C102</f>
        <v>-1753256.6743289239</v>
      </c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</row>
    <row r="103" spans="1:19" ht="15.75" customHeight="1">
      <c r="B103" s="308" t="e">
        <f>'[35]Summary Valuation'!C103</f>
        <v>#REF!</v>
      </c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</row>
    <row r="104" spans="1:19" ht="15.75" customHeight="1">
      <c r="A104" t="s">
        <v>1652</v>
      </c>
      <c r="B104" s="308">
        <f>'[35]Summary Valuation'!C104</f>
        <v>-18422010.215468362</v>
      </c>
      <c r="C104" s="24">
        <f>-'Grasmere Imported Valuation'!CF15-'Grasmere Imported Valuation'!CF27</f>
        <v>-5504555.4600784648</v>
      </c>
      <c r="D104" s="79">
        <f>+B104-C104</f>
        <v>-12917454.755389897</v>
      </c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</row>
    <row r="105" spans="1:19" ht="15.75" customHeight="1">
      <c r="B105" s="308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</row>
    <row r="106" spans="1:19" ht="15.75" customHeight="1">
      <c r="A106" t="s">
        <v>1653</v>
      </c>
      <c r="B106" s="308">
        <v>0</v>
      </c>
      <c r="C106" s="24">
        <f>-'Grasmere Imported Valuation'!CJ15-'Grasmere Imported Valuation'!CJ27</f>
        <v>-14927120.548874799</v>
      </c>
      <c r="D106" s="79">
        <f>+B106-C106</f>
        <v>14927120.548874799</v>
      </c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</row>
    <row r="107" spans="1:19" ht="15.75" customHeight="1" thickBot="1">
      <c r="A107" s="1" t="s">
        <v>71</v>
      </c>
      <c r="B107" s="683" t="e">
        <f>SUM(B27:B106)</f>
        <v>#REF!</v>
      </c>
      <c r="C107" s="683">
        <f>SUM(C27:C106)</f>
        <v>58330833.039603636</v>
      </c>
      <c r="D107" s="679">
        <f>SUM(D29:D106)</f>
        <v>-78498580.647941291</v>
      </c>
      <c r="F107" s="79">
        <f>SUM('Grasmere Valuation '!H47:H73,'Grasmere Valuation '!H96:H118)</f>
        <v>863561.34970762604</v>
      </c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  <row r="108" spans="1:19" ht="15.75" customHeight="1" thickTop="1">
      <c r="A108" s="1" t="s">
        <v>1607</v>
      </c>
      <c r="B108" s="308" t="e">
        <f>'[35]Summary Valuation'!$C$105</f>
        <v>#REF!</v>
      </c>
      <c r="C108" s="1164">
        <f>+'Total Pigs'!D315</f>
        <v>12231125.632974677</v>
      </c>
      <c r="F108" s="79">
        <f>+'Summary Imported Valuation'!E6</f>
        <v>46571345.111912996</v>
      </c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</row>
    <row r="109" spans="1:19" ht="15.75" customHeight="1">
      <c r="B109" s="24" t="e">
        <f>+B107-B108</f>
        <v>#REF!</v>
      </c>
      <c r="C109" s="24">
        <f>+C107-C108</f>
        <v>46099707.406628959</v>
      </c>
      <c r="F109" s="79">
        <f>+F96+F107-F108</f>
        <v>-46434038.630122066</v>
      </c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</row>
    <row r="110" spans="1:19" ht="15.75" customHeight="1"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</row>
    <row r="111" spans="1:19" ht="15.75" customHeight="1"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</row>
    <row r="112" spans="1:19" ht="15.75" customHeight="1">
      <c r="G112" s="94"/>
      <c r="H112" s="94"/>
      <c r="I112" s="94"/>
      <c r="J112" s="94"/>
      <c r="K112" s="94"/>
      <c r="L112" s="684"/>
      <c r="M112" s="94"/>
      <c r="N112" s="94"/>
      <c r="O112" s="94"/>
      <c r="P112" s="94"/>
      <c r="Q112" s="94"/>
      <c r="R112" s="94"/>
    </row>
    <row r="113" spans="7:18" ht="15.75" customHeight="1"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</row>
    <row r="114" spans="7:18" ht="15.75" customHeight="1">
      <c r="G114" s="23"/>
      <c r="H114" s="23"/>
      <c r="I114" s="23"/>
      <c r="J114" s="23"/>
      <c r="K114" s="23"/>
      <c r="L114" s="94"/>
      <c r="M114" s="94"/>
      <c r="N114" s="94"/>
      <c r="O114" s="94"/>
      <c r="P114" s="94"/>
      <c r="Q114" s="94"/>
      <c r="R114" s="94"/>
    </row>
    <row r="115" spans="7:18" ht="15.75" customHeight="1">
      <c r="G115" s="23"/>
      <c r="H115" s="23"/>
      <c r="I115" s="23"/>
      <c r="J115" s="23"/>
      <c r="K115" s="23"/>
      <c r="L115" s="94"/>
      <c r="M115" s="94"/>
      <c r="N115" s="94"/>
      <c r="O115" s="94"/>
      <c r="P115" s="94"/>
      <c r="Q115" s="94"/>
      <c r="R115" s="94"/>
    </row>
    <row r="116" spans="7:18" ht="15.75" customHeight="1">
      <c r="G116" s="23"/>
      <c r="H116" s="23"/>
      <c r="I116" s="23"/>
      <c r="J116" s="23"/>
      <c r="K116" s="23"/>
      <c r="L116" s="94"/>
      <c r="M116" s="94"/>
      <c r="N116" s="94"/>
      <c r="O116" s="94"/>
      <c r="P116" s="94"/>
      <c r="Q116" s="94"/>
      <c r="R116" s="94"/>
    </row>
    <row r="117" spans="7:18" ht="15.75" customHeight="1">
      <c r="G117" s="23"/>
      <c r="H117" s="23"/>
      <c r="I117" s="23"/>
      <c r="J117" s="23"/>
      <c r="K117" s="23"/>
      <c r="L117" s="94"/>
      <c r="M117" s="94"/>
      <c r="N117" s="94"/>
      <c r="O117" s="94"/>
      <c r="P117" s="94"/>
      <c r="Q117" s="94"/>
      <c r="R117" s="94"/>
    </row>
    <row r="118" spans="7:18" ht="15.75" customHeight="1"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</row>
    <row r="119" spans="7:18" ht="15.75" customHeight="1"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</row>
    <row r="120" spans="7:18" ht="15.75" customHeight="1"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</row>
    <row r="121" spans="7:18" ht="15.75" customHeight="1"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</row>
    <row r="122" spans="7:18" ht="15.75" customHeight="1">
      <c r="G122" s="94"/>
      <c r="H122" s="94"/>
      <c r="I122" s="94"/>
      <c r="J122" s="94"/>
      <c r="K122" s="94"/>
      <c r="L122" s="94"/>
      <c r="M122" s="685"/>
      <c r="N122" s="94"/>
      <c r="O122" s="94"/>
      <c r="P122" s="94"/>
      <c r="Q122" s="94"/>
      <c r="R122" s="94"/>
    </row>
    <row r="123" spans="7:18" ht="15.75" customHeight="1">
      <c r="G123" s="94"/>
      <c r="H123" s="94"/>
      <c r="I123" s="94"/>
      <c r="J123" s="94"/>
      <c r="K123" s="94"/>
      <c r="L123" s="23"/>
      <c r="M123" s="94"/>
      <c r="N123" s="94"/>
      <c r="O123" s="94"/>
      <c r="P123" s="94"/>
      <c r="Q123" s="94"/>
      <c r="R123" s="94"/>
    </row>
    <row r="124" spans="7:18" ht="15.75" customHeight="1"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</row>
    <row r="125" spans="7:18" ht="15.75" customHeight="1"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</row>
    <row r="126" spans="7:18" ht="15.75" customHeight="1"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</row>
    <row r="127" spans="7:18" ht="15.75" customHeight="1"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</row>
    <row r="128" spans="7:18" ht="15.75" customHeight="1"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</row>
    <row r="129" spans="7:18" ht="15.75" customHeight="1"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</row>
    <row r="130" spans="7:18" ht="15.75" customHeight="1"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</row>
    <row r="131" spans="7:18" ht="15.75" customHeight="1"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</row>
    <row r="132" spans="7:18" ht="15.75" customHeight="1"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</row>
    <row r="133" spans="7:18" ht="15.75" customHeight="1"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</row>
    <row r="134" spans="7:18" ht="15.75" customHeight="1"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</row>
    <row r="135" spans="7:18" ht="15.75" customHeight="1"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</row>
    <row r="136" spans="7:18" ht="15.75" customHeight="1"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</row>
    <row r="137" spans="7:18" ht="15.75" customHeight="1"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</row>
    <row r="138" spans="7:18" ht="15.75" customHeight="1"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</row>
    <row r="139" spans="7:18" ht="15.75" customHeight="1"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</row>
    <row r="140" spans="7:18" ht="15.75" customHeight="1"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</row>
    <row r="141" spans="7:18" ht="15.75" customHeight="1"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</row>
    <row r="142" spans="7:18" ht="15.75" customHeight="1"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</row>
    <row r="143" spans="7:18" ht="15.75" customHeight="1"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</row>
    <row r="144" spans="7:18" ht="15.75" customHeight="1"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</row>
    <row r="145" spans="7:18" ht="15.75" customHeight="1"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</row>
    <row r="146" spans="7:18" ht="15.75" customHeight="1"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</row>
    <row r="147" spans="7:18" ht="15.75" customHeight="1"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</row>
    <row r="148" spans="7:18" ht="15.75" customHeight="1"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</row>
    <row r="149" spans="7:18" ht="15.75" customHeight="1"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</row>
    <row r="150" spans="7:18" ht="15.75" customHeight="1"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</row>
    <row r="151" spans="7:18" ht="15.75" customHeight="1"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</row>
    <row r="152" spans="7:18" ht="15.75" customHeight="1"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</row>
    <row r="153" spans="7:18" ht="15.75" customHeight="1"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</row>
    <row r="154" spans="7:18" ht="15.75" customHeight="1"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</row>
    <row r="155" spans="7:18" ht="15.75" customHeight="1"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</row>
    <row r="156" spans="7:18" ht="15.75" customHeight="1"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</row>
    <row r="157" spans="7:18" ht="15.75" customHeight="1"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</row>
    <row r="158" spans="7:18" ht="15.75" customHeight="1"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</row>
    <row r="159" spans="7:18" ht="15.75" customHeight="1"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</row>
    <row r="160" spans="7:18" ht="15.75" customHeight="1"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</row>
    <row r="161" spans="7:18" ht="15.75" customHeight="1"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</row>
    <row r="162" spans="7:18" ht="15.75" customHeight="1"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</row>
    <row r="163" spans="7:18" ht="15.75" customHeight="1"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</row>
    <row r="164" spans="7:18" ht="15.75" customHeight="1"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</row>
    <row r="165" spans="7:18" ht="15.75" customHeight="1"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</row>
    <row r="166" spans="7:18" ht="15.75" customHeight="1"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</row>
    <row r="167" spans="7:18" ht="15.75" customHeight="1"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</row>
    <row r="168" spans="7:18" ht="15.75" customHeight="1"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</row>
    <row r="169" spans="7:18" ht="15.75" customHeight="1"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</row>
    <row r="170" spans="7:18" ht="15.75" customHeight="1"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</row>
  </sheetData>
  <pageMargins left="0.70866141732283472" right="0.70866141732283472" top="0.74803149606299213" bottom="0.74803149606299213" header="0.31496062992125984" footer="0.31496062992125984"/>
  <pageSetup paperSize="9" scale="45" orientation="portrait" r:id="rId1"/>
  <colBreaks count="1" manualBreakCount="1">
    <brk id="11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9">
    <tabColor theme="3" tint="0.39997558519241921"/>
    <pageSetUpPr fitToPage="1"/>
  </sheetPr>
  <dimension ref="A1:AA226"/>
  <sheetViews>
    <sheetView view="pageBreakPreview" zoomScaleNormal="100" zoomScaleSheetLayoutView="100" workbookViewId="0">
      <pane xSplit="2" ySplit="8" topLeftCell="D21" activePane="bottomRight" state="frozen"/>
      <selection pane="bottomRight" activeCell="E27" sqref="E27"/>
      <selection pane="bottomLeft" activeCell="A9" sqref="A9"/>
      <selection pane="topRight" activeCell="C1" sqref="C1"/>
    </sheetView>
  </sheetViews>
  <sheetFormatPr defaultColWidth="9.140625" defaultRowHeight="13.15"/>
  <cols>
    <col min="1" max="1" width="12.5703125" style="23" customWidth="1"/>
    <col min="2" max="2" width="12.85546875" style="23" bestFit="1" customWidth="1"/>
    <col min="3" max="3" width="16.5703125" style="90" bestFit="1" customWidth="1"/>
    <col min="4" max="4" width="15" style="23" bestFit="1" customWidth="1"/>
    <col min="5" max="5" width="17.42578125" style="23" customWidth="1"/>
    <col min="6" max="6" width="13.42578125" style="23" bestFit="1" customWidth="1"/>
    <col min="7" max="7" width="15" style="90" bestFit="1" customWidth="1"/>
    <col min="8" max="8" width="20.42578125" style="23" customWidth="1"/>
    <col min="9" max="9" width="17.7109375" style="23" customWidth="1"/>
    <col min="10" max="10" width="16.7109375" style="23" customWidth="1"/>
    <col min="11" max="11" width="15.7109375" style="23" customWidth="1"/>
    <col min="12" max="13" width="16.5703125" style="23" customWidth="1"/>
    <col min="14" max="14" width="15.7109375" style="23" customWidth="1"/>
    <col min="15" max="15" width="14.7109375" style="23" customWidth="1"/>
    <col min="16" max="16" width="16.7109375" style="23" bestFit="1" customWidth="1"/>
    <col min="17" max="17" width="14" style="23" hidden="1" customWidth="1"/>
    <col min="18" max="18" width="11.85546875" style="23" hidden="1" customWidth="1"/>
    <col min="19" max="19" width="14" style="23" bestFit="1" customWidth="1"/>
    <col min="20" max="20" width="10.28515625" style="23" bestFit="1" customWidth="1"/>
    <col min="21" max="21" width="14" style="23" customWidth="1"/>
    <col min="22" max="22" width="10.28515625" style="23" customWidth="1"/>
    <col min="23" max="25" width="14.5703125" style="23" bestFit="1" customWidth="1"/>
    <col min="26" max="28" width="14" style="23" bestFit="1" customWidth="1"/>
    <col min="29" max="29" width="13.5703125" style="23" bestFit="1" customWidth="1"/>
    <col min="30" max="16384" width="9.140625" style="23"/>
  </cols>
  <sheetData>
    <row r="1" spans="1:18">
      <c r="A1" s="31" t="s">
        <v>82</v>
      </c>
    </row>
    <row r="2" spans="1:18">
      <c r="H2" s="675">
        <f>+'Summary Total Pigs'!C3</f>
        <v>46226</v>
      </c>
      <c r="I2" s="23" t="s">
        <v>138</v>
      </c>
    </row>
    <row r="3" spans="1:18">
      <c r="A3" s="31" t="s">
        <v>1654</v>
      </c>
      <c r="H3" s="23" t="s">
        <v>138</v>
      </c>
    </row>
    <row r="4" spans="1:18">
      <c r="H4" s="31" t="s">
        <v>1655</v>
      </c>
    </row>
    <row r="5" spans="1:18">
      <c r="A5" s="686" t="s">
        <v>127</v>
      </c>
      <c r="B5" s="687"/>
      <c r="C5" s="688"/>
      <c r="D5" s="689"/>
      <c r="E5" s="690"/>
      <c r="F5" s="690">
        <f>+'Summary Total Pigs'!C3</f>
        <v>46226</v>
      </c>
      <c r="G5" s="688"/>
      <c r="H5" s="689"/>
      <c r="I5" s="691"/>
      <c r="J5" s="690">
        <v>45870</v>
      </c>
      <c r="K5" s="687"/>
      <c r="L5" s="689"/>
      <c r="M5" s="42"/>
    </row>
    <row r="6" spans="1:18">
      <c r="A6" s="692"/>
      <c r="B6" s="42"/>
      <c r="C6" s="693"/>
      <c r="D6" s="625"/>
      <c r="E6" s="42"/>
      <c r="F6" s="42"/>
      <c r="G6" s="693"/>
      <c r="H6" s="625"/>
      <c r="I6" s="692"/>
      <c r="J6" s="42"/>
      <c r="K6" s="42"/>
      <c r="L6" s="625"/>
      <c r="M6" s="42"/>
    </row>
    <row r="7" spans="1:18">
      <c r="A7" s="694" t="s">
        <v>1656</v>
      </c>
      <c r="B7" s="695" t="s">
        <v>1657</v>
      </c>
      <c r="C7" s="696" t="s">
        <v>1658</v>
      </c>
      <c r="D7" s="697" t="s">
        <v>1659</v>
      </c>
      <c r="E7" s="695" t="s">
        <v>1660</v>
      </c>
      <c r="F7" s="695" t="s">
        <v>1661</v>
      </c>
      <c r="G7" s="696" t="s">
        <v>1662</v>
      </c>
      <c r="H7" s="697" t="s">
        <v>1663</v>
      </c>
      <c r="I7" s="698" t="s">
        <v>1660</v>
      </c>
      <c r="J7" s="695" t="s">
        <v>1661</v>
      </c>
      <c r="K7" s="696" t="s">
        <v>1662</v>
      </c>
      <c r="L7" s="697" t="s">
        <v>1663</v>
      </c>
      <c r="M7" s="695"/>
    </row>
    <row r="8" spans="1:18">
      <c r="A8" s="699"/>
      <c r="B8" s="700" t="s">
        <v>1664</v>
      </c>
      <c r="C8" s="701" t="s">
        <v>1665</v>
      </c>
      <c r="D8" s="702" t="s">
        <v>181</v>
      </c>
      <c r="E8" s="700" t="s">
        <v>1666</v>
      </c>
      <c r="F8" s="700"/>
      <c r="G8" s="701" t="s">
        <v>1667</v>
      </c>
      <c r="H8" s="702"/>
      <c r="I8" s="703" t="s">
        <v>1666</v>
      </c>
      <c r="J8" s="700"/>
      <c r="K8" s="701" t="s">
        <v>1668</v>
      </c>
      <c r="L8" s="702"/>
      <c r="M8" s="695"/>
    </row>
    <row r="9" spans="1:18">
      <c r="A9" s="695" t="s">
        <v>179</v>
      </c>
      <c r="B9" s="42"/>
      <c r="C9" s="693"/>
      <c r="D9" s="689"/>
      <c r="E9" s="691"/>
      <c r="F9" s="687"/>
      <c r="G9" s="688"/>
      <c r="H9" s="1151">
        <f>SUM('Grasmere Pig Cost'!B62:R62)</f>
        <v>435825.55067264562</v>
      </c>
      <c r="I9" s="42"/>
      <c r="J9" s="42"/>
      <c r="K9" s="693"/>
      <c r="L9" s="704">
        <v>160902.86104939246</v>
      </c>
      <c r="M9" s="705">
        <f>+H9-L9</f>
        <v>274922.68962325319</v>
      </c>
      <c r="N9" s="23">
        <f>+H9-L9</f>
        <v>274922.68962325319</v>
      </c>
      <c r="O9" s="23">
        <f>+H9-L9</f>
        <v>274922.68962325319</v>
      </c>
      <c r="Q9" s="23">
        <f>+[64]Grasmere!$H9</f>
        <v>3721830.2386782886</v>
      </c>
      <c r="R9" s="23">
        <f>+L9-Q9</f>
        <v>-3560927.3776288964</v>
      </c>
    </row>
    <row r="10" spans="1:18">
      <c r="A10" s="42"/>
      <c r="B10" s="706">
        <v>1</v>
      </c>
      <c r="C10" s="693">
        <f>VLOOKUP(B10,[65]New!$O$1:$AJ$37,2,0)</f>
        <v>1.3297544706114832</v>
      </c>
      <c r="D10" s="1152">
        <f>VLOOKUP(B10,[65]New!$A$1:$AJ$37,17,0)</f>
        <v>0.82444777177911965</v>
      </c>
      <c r="E10" s="1152">
        <f>+'Grasmere Batch Mvnt'!C117</f>
        <v>992</v>
      </c>
      <c r="F10" s="687">
        <f t="shared" ref="F10:F13" si="0">D10*E10</f>
        <v>817.85218960488669</v>
      </c>
      <c r="G10" s="726">
        <f>H10/F10</f>
        <v>70.998576502770973</v>
      </c>
      <c r="H10" s="704">
        <f>'Grasmere Pig Cost'!$S$62</f>
        <v>58066.341251621299</v>
      </c>
      <c r="I10" s="707">
        <v>1016</v>
      </c>
      <c r="J10" s="42">
        <v>848.00217989503426</v>
      </c>
      <c r="K10" s="726">
        <v>23.964463554607363</v>
      </c>
      <c r="L10" s="625">
        <v>20321.917334322145</v>
      </c>
      <c r="M10" s="705">
        <f t="shared" ref="M10:M64" si="1">+H10-L10</f>
        <v>37744.423917299151</v>
      </c>
      <c r="N10" s="23">
        <f t="shared" ref="N10:N35" si="2">+H10-L10</f>
        <v>37744.423917299151</v>
      </c>
      <c r="O10" s="23">
        <f>+H10-L10</f>
        <v>37744.423917299151</v>
      </c>
      <c r="Q10" s="23">
        <f>+[64]Grasmere!$H10</f>
        <v>369977.63537790842</v>
      </c>
      <c r="R10" s="23">
        <f t="shared" ref="R10:R94" si="3">+L10-Q10</f>
        <v>-349655.7180435863</v>
      </c>
    </row>
    <row r="11" spans="1:18">
      <c r="A11" s="42"/>
      <c r="B11" s="706">
        <v>2</v>
      </c>
      <c r="C11" s="693">
        <f>VLOOKUP(B11,[65]New!$O$1:$AJ$37,2,0)</f>
        <v>2.2605826000395211</v>
      </c>
      <c r="D11" s="1152">
        <f>VLOOKUP(B11,[65]New!$A$1:$AJ$37,17,0)</f>
        <v>1.4015612120245031</v>
      </c>
      <c r="E11" s="1152">
        <f>+'Grasmere Batch Mvnt'!C118</f>
        <v>1448</v>
      </c>
      <c r="F11" s="687">
        <f t="shared" si="0"/>
        <v>2029.4606350114805</v>
      </c>
      <c r="G11" s="726">
        <f t="shared" ref="G11:G26" si="4">H11/F11</f>
        <v>33.635999824180352</v>
      </c>
      <c r="H11" s="704">
        <f>'Grasmere Pig Cost'!$T$62</f>
        <v>68262.937562427105</v>
      </c>
      <c r="I11" s="707">
        <v>1365</v>
      </c>
      <c r="J11" s="42">
        <v>1936.8002543764042</v>
      </c>
      <c r="K11" s="726">
        <v>12.398786591320185</v>
      </c>
      <c r="L11" s="625">
        <v>24013.973024027684</v>
      </c>
      <c r="M11" s="705">
        <f t="shared" si="1"/>
        <v>44248.964538399421</v>
      </c>
      <c r="N11" s="23">
        <f t="shared" si="2"/>
        <v>44248.964538399421</v>
      </c>
      <c r="O11" s="23">
        <f>+H11-L11</f>
        <v>44248.964538399421</v>
      </c>
      <c r="Q11" s="23">
        <f>+[64]Grasmere!$H11</f>
        <v>364632.55563205545</v>
      </c>
      <c r="R11" s="23">
        <f t="shared" si="3"/>
        <v>-340618.58260802773</v>
      </c>
    </row>
    <row r="12" spans="1:18">
      <c r="A12" s="695" t="s">
        <v>384</v>
      </c>
      <c r="B12" s="706">
        <v>3</v>
      </c>
      <c r="C12" s="693">
        <f>VLOOKUP(B12,[65]New!$O$1:$AJ$37,2,0)</f>
        <v>3.6169321600632345</v>
      </c>
      <c r="D12" s="1152">
        <f>VLOOKUP(B12,[65]New!$A$1:$AJ$37,17,0)</f>
        <v>2.2424979392392053</v>
      </c>
      <c r="E12" s="1152">
        <f>+'Grasmere Batch Mvnt'!C119</f>
        <v>1373</v>
      </c>
      <c r="F12" s="687">
        <f t="shared" si="0"/>
        <v>3078.9496705754286</v>
      </c>
      <c r="G12" s="726">
        <f t="shared" si="4"/>
        <v>23.513496884373282</v>
      </c>
      <c r="H12" s="704">
        <f>'Grasmere Pig Cost'!$U$62</f>
        <v>72396.87348621749</v>
      </c>
      <c r="I12" s="707">
        <v>1339</v>
      </c>
      <c r="J12" s="42">
        <v>3039.8541135355376</v>
      </c>
      <c r="K12" s="726">
        <v>8.4850317512339881</v>
      </c>
      <c r="L12" s="625">
        <v>25793.258672468288</v>
      </c>
      <c r="M12" s="705">
        <f t="shared" si="1"/>
        <v>46603.614813749198</v>
      </c>
      <c r="N12" s="23">
        <f t="shared" si="2"/>
        <v>46603.614813749198</v>
      </c>
      <c r="O12" s="23">
        <f>+H12-L12</f>
        <v>46603.614813749198</v>
      </c>
      <c r="Q12" s="23">
        <f>+[64]Grasmere!$H12</f>
        <v>398936.492034583</v>
      </c>
      <c r="R12" s="23">
        <f t="shared" si="3"/>
        <v>-373143.2333621147</v>
      </c>
    </row>
    <row r="13" spans="1:18">
      <c r="A13" s="695"/>
      <c r="B13" s="708">
        <v>4</v>
      </c>
      <c r="C13" s="693">
        <f>VLOOKUP(B13,[65]New!$O$1:$AJ$37,2,0)</f>
        <v>5.4253982400948519</v>
      </c>
      <c r="D13" s="1152">
        <f>VLOOKUP(B13,[65]New!$A$1:$AJ$37,17,0)</f>
        <v>3.3637469088588081</v>
      </c>
      <c r="E13" s="1153">
        <f>+'Grasmere Batch Mvnt'!C120</f>
        <v>1383</v>
      </c>
      <c r="F13" s="687">
        <f t="shared" si="0"/>
        <v>4652.0619749517318</v>
      </c>
      <c r="G13" s="726">
        <f t="shared" si="4"/>
        <v>14.942040579574863</v>
      </c>
      <c r="H13" s="704">
        <f>'Grasmere Pig Cost'!$V$62</f>
        <v>69511.298808425956</v>
      </c>
      <c r="I13" s="707">
        <v>1236</v>
      </c>
      <c r="J13" s="42">
        <v>4209.0287725876678</v>
      </c>
      <c r="K13" s="726">
        <v>6.7514674143987126</v>
      </c>
      <c r="L13" s="625">
        <v>28417.12060439225</v>
      </c>
      <c r="M13" s="705">
        <f t="shared" si="1"/>
        <v>41094.178204033706</v>
      </c>
      <c r="N13" s="23">
        <f t="shared" si="2"/>
        <v>41094.178204033706</v>
      </c>
      <c r="O13" s="23">
        <f>+H13-L13</f>
        <v>41094.178204033706</v>
      </c>
      <c r="Q13" s="23">
        <f>+[64]Grasmere!$H13</f>
        <v>448301.95615957346</v>
      </c>
      <c r="R13" s="23">
        <f t="shared" si="3"/>
        <v>-419884.8355551812</v>
      </c>
    </row>
    <row r="14" spans="1:18">
      <c r="A14" s="695"/>
      <c r="B14" s="706">
        <v>5</v>
      </c>
      <c r="C14" s="693">
        <f>VLOOKUP(B14,[65]New!$O$1:$AJ$37,2,0)</f>
        <v>7.1602163802156786</v>
      </c>
      <c r="D14" s="1315">
        <f>VLOOKUP(B14,[65]New!$A$1:$AJ$37,17,0)</f>
        <v>4.9405493023488178</v>
      </c>
      <c r="E14" s="1315">
        <f>+'Grasmere Batch Mvnt'!C121</f>
        <v>1155</v>
      </c>
      <c r="F14" s="687">
        <f>D14*E14</f>
        <v>5706.3344442128846</v>
      </c>
      <c r="G14" s="726">
        <f t="shared" si="4"/>
        <v>8.2694147985192146</v>
      </c>
      <c r="H14" s="704">
        <f>'Grasmere Pig Cost'!$W$62</f>
        <v>47188.046498273943</v>
      </c>
      <c r="I14" s="1304">
        <v>953</v>
      </c>
      <c r="J14" s="687">
        <v>4766.5949693673474</v>
      </c>
      <c r="K14" s="726">
        <v>4.0410255738838092</v>
      </c>
      <c r="L14" s="625">
        <v>19261.932171559361</v>
      </c>
      <c r="M14" s="705">
        <f>+H14-L14</f>
        <v>27926.114326714582</v>
      </c>
      <c r="N14" s="23">
        <f t="shared" si="2"/>
        <v>27926.114326714582</v>
      </c>
      <c r="O14" s="23">
        <f t="shared" ref="O14:O32" si="5">H14-L14</f>
        <v>27926.114326714582</v>
      </c>
      <c r="Q14" s="23">
        <f>+[64]Grasmere!$H14</f>
        <v>0</v>
      </c>
      <c r="R14" s="23">
        <f t="shared" si="3"/>
        <v>19261.932171559361</v>
      </c>
    </row>
    <row r="15" spans="1:18">
      <c r="A15" s="695"/>
      <c r="B15" s="706">
        <v>6</v>
      </c>
      <c r="C15" s="693">
        <f>VLOOKUP(B15,[65]New!$O$1:$AJ$37,2,0)</f>
        <v>9.7515327844842101</v>
      </c>
      <c r="D15" s="1155">
        <f>VLOOKUP(B15,[65]New!$A$1:$AJ$37,17,0)</f>
        <v>6.7285576212941045</v>
      </c>
      <c r="E15" s="1155">
        <f>+'Grasmere Batch Mvnt'!C122</f>
        <v>1096</v>
      </c>
      <c r="F15" s="42">
        <f t="shared" ref="F15:F21" si="6">D15*E15</f>
        <v>7374.4991529383387</v>
      </c>
      <c r="G15" s="726">
        <f t="shared" si="4"/>
        <v>9.7036636601234214</v>
      </c>
      <c r="H15" s="704">
        <f>'Grasmere Pig Cost'!$X$62</f>
        <v>71559.659441978714</v>
      </c>
      <c r="I15" s="1221">
        <v>968</v>
      </c>
      <c r="J15" s="42">
        <v>6593.8254338650449</v>
      </c>
      <c r="K15" s="726">
        <v>4.740620142727602</v>
      </c>
      <c r="L15" s="625">
        <v>31258.821669410201</v>
      </c>
      <c r="M15" s="705">
        <f t="shared" si="1"/>
        <v>40300.837772568513</v>
      </c>
      <c r="N15" s="23">
        <f t="shared" si="2"/>
        <v>40300.837772568513</v>
      </c>
      <c r="O15" s="23">
        <f t="shared" si="5"/>
        <v>40300.837772568513</v>
      </c>
      <c r="Q15" s="23">
        <f>+[64]Grasmere!$H15</f>
        <v>0</v>
      </c>
      <c r="R15" s="23">
        <f t="shared" si="3"/>
        <v>31258.821669410201</v>
      </c>
    </row>
    <row r="16" spans="1:18">
      <c r="A16" s="695" t="s">
        <v>389</v>
      </c>
      <c r="B16" s="706">
        <v>7</v>
      </c>
      <c r="C16" s="693">
        <f>VLOOKUP(B16,[65]New!$O$1:$AJ$37,2,0)</f>
        <v>12.342849188752741</v>
      </c>
      <c r="D16" s="1155">
        <f>VLOOKUP(B16,[65]New!$A$1:$AJ$37,17,0)</f>
        <v>8.5165659402393903</v>
      </c>
      <c r="E16" s="1155">
        <f>+'Grasmere Batch Mvnt'!C123</f>
        <v>1104</v>
      </c>
      <c r="F16" s="42">
        <f t="shared" si="6"/>
        <v>9402.2887980242867</v>
      </c>
      <c r="G16" s="726">
        <f t="shared" si="4"/>
        <v>8.900229660484257</v>
      </c>
      <c r="H16" s="704">
        <f>'Grasmere Pig Cost'!$Y$62</f>
        <v>83682.529636614636</v>
      </c>
      <c r="I16" s="1221">
        <v>975</v>
      </c>
      <c r="J16" s="42">
        <v>8406.3843223814783</v>
      </c>
      <c r="K16" s="726">
        <v>3.4033000092604371</v>
      </c>
      <c r="L16" s="625">
        <v>28609.447842207679</v>
      </c>
      <c r="M16" s="705">
        <f t="shared" si="1"/>
        <v>55073.081794406957</v>
      </c>
      <c r="N16" s="23">
        <f t="shared" si="2"/>
        <v>55073.081794406957</v>
      </c>
      <c r="O16" s="23">
        <f t="shared" si="5"/>
        <v>55073.081794406957</v>
      </c>
      <c r="Q16" s="23">
        <f>+[64]Grasmere!$H16</f>
        <v>0</v>
      </c>
      <c r="R16" s="23">
        <f t="shared" si="3"/>
        <v>28609.447842207679</v>
      </c>
    </row>
    <row r="17" spans="1:18">
      <c r="A17" s="695"/>
      <c r="B17" s="706">
        <v>8</v>
      </c>
      <c r="C17" s="693">
        <f>VLOOKUP(B17,[65]New!$O$1:$AJ$37,2,0)</f>
        <v>14.934165593021277</v>
      </c>
      <c r="D17" s="1155">
        <f>VLOOKUP(B17,[65]New!$A$1:$AJ$37,17,0)</f>
        <v>10.30457425918468</v>
      </c>
      <c r="E17" s="1155">
        <f>+'Grasmere Batch Mvnt'!C124</f>
        <v>1090</v>
      </c>
      <c r="F17" s="42">
        <f>D17*E17</f>
        <v>11231.985942511301</v>
      </c>
      <c r="G17" s="726">
        <f t="shared" si="4"/>
        <v>8.8260994762757115</v>
      </c>
      <c r="H17" s="704">
        <f>'Grasmere Pig Cost'!$Z$62</f>
        <v>99134.625244735143</v>
      </c>
      <c r="I17" s="1221">
        <v>944</v>
      </c>
      <c r="J17" s="42">
        <v>9847.8666625406295</v>
      </c>
      <c r="K17" s="726">
        <v>4.2624709117223478</v>
      </c>
      <c r="L17" s="625">
        <v>41976.245191599672</v>
      </c>
      <c r="M17" s="705">
        <f t="shared" si="1"/>
        <v>57158.380053135472</v>
      </c>
      <c r="N17" s="23">
        <f t="shared" si="2"/>
        <v>57158.380053135472</v>
      </c>
      <c r="O17" s="23">
        <f t="shared" si="5"/>
        <v>57158.380053135472</v>
      </c>
      <c r="Q17" s="23">
        <f>+[64]Grasmere!$H17</f>
        <v>679206.02369500638</v>
      </c>
      <c r="R17" s="23">
        <f t="shared" si="3"/>
        <v>-637229.77850340668</v>
      </c>
    </row>
    <row r="18" spans="1:18">
      <c r="A18" s="695"/>
      <c r="B18" s="708">
        <v>9</v>
      </c>
      <c r="C18" s="693">
        <f>VLOOKUP(B18,[65]New!$O$1:$AJ$37,2,0)</f>
        <v>19.179151018434851</v>
      </c>
      <c r="D18" s="1155">
        <f>VLOOKUP(B18,[65]New!$A$1:$AJ$37,17,0)</f>
        <v>13.233614202720046</v>
      </c>
      <c r="E18" s="1314">
        <f>+'Grasmere Batch Mvnt'!C125</f>
        <v>1076</v>
      </c>
      <c r="F18" s="630">
        <f>D18*E18</f>
        <v>14239.36888212677</v>
      </c>
      <c r="G18" s="726">
        <f t="shared" si="4"/>
        <v>5.9927606421021489</v>
      </c>
      <c r="H18" s="704">
        <f>'Grasmere Pig Cost'!$AA$62</f>
        <v>85333.129405183383</v>
      </c>
      <c r="I18" s="1221">
        <v>945</v>
      </c>
      <c r="J18" s="42">
        <v>12660.486375877334</v>
      </c>
      <c r="K18" s="726">
        <v>2.9341036368940805</v>
      </c>
      <c r="L18" s="625">
        <v>37147.179120309644</v>
      </c>
      <c r="M18" s="705">
        <f t="shared" si="1"/>
        <v>48185.950284873739</v>
      </c>
      <c r="N18" s="23">
        <f t="shared" si="2"/>
        <v>48185.950284873739</v>
      </c>
      <c r="O18" s="23">
        <f t="shared" si="5"/>
        <v>48185.950284873739</v>
      </c>
      <c r="Q18" s="23">
        <f>+[64]Grasmere!$H18</f>
        <v>903022.33309043769</v>
      </c>
      <c r="R18" s="23">
        <f t="shared" si="3"/>
        <v>-865875.15397012804</v>
      </c>
    </row>
    <row r="19" spans="1:18">
      <c r="A19" s="694"/>
      <c r="B19" s="706">
        <v>10</v>
      </c>
      <c r="C19" s="693">
        <f>VLOOKUP(B19,[65]New!$O$1:$AJ$37,2,0)</f>
        <v>23.424136443848436</v>
      </c>
      <c r="D19" s="1315">
        <f>VLOOKUP(B19,[65]New!$A$1:$AJ$37,17,0)</f>
        <v>16.16265414625542</v>
      </c>
      <c r="E19" s="1155">
        <f>+'Grasmere Batch Mvnt'!C126</f>
        <v>1052</v>
      </c>
      <c r="F19" s="42">
        <f t="shared" si="6"/>
        <v>17003.112161860703</v>
      </c>
      <c r="G19" s="726">
        <f t="shared" si="4"/>
        <v>5.5254566040126019</v>
      </c>
      <c r="H19" s="704">
        <f>'Grasmere Pig Cost'!$AB$62</f>
        <v>93949.958383520207</v>
      </c>
      <c r="I19" s="1304">
        <v>983</v>
      </c>
      <c r="J19" s="687">
        <v>16084.453511757993</v>
      </c>
      <c r="K19" s="726">
        <v>3.2250599964951223</v>
      </c>
      <c r="L19" s="625">
        <v>51873.327586256186</v>
      </c>
      <c r="M19" s="705">
        <f t="shared" si="1"/>
        <v>42076.630797264021</v>
      </c>
      <c r="N19" s="23">
        <f t="shared" si="2"/>
        <v>42076.630797264021</v>
      </c>
      <c r="O19" s="23">
        <f t="shared" si="5"/>
        <v>42076.630797264021</v>
      </c>
      <c r="Q19" s="23">
        <f>+[64]Grasmere!$H19</f>
        <v>1070134.420401847</v>
      </c>
      <c r="R19" s="23">
        <f t="shared" si="3"/>
        <v>-1018261.0928155908</v>
      </c>
    </row>
    <row r="20" spans="1:18">
      <c r="A20" s="694"/>
      <c r="B20" s="706">
        <v>11</v>
      </c>
      <c r="C20" s="693">
        <f>VLOOKUP(B20,[65]New!$O$1:$AJ$37,2,0)</f>
        <v>27.975988285556976</v>
      </c>
      <c r="D20" s="1156">
        <f>VLOOKUP(B20,[65]New!$A$1:$AJ$37,17,0)</f>
        <v>19.303431917034313</v>
      </c>
      <c r="E20" s="1156">
        <f>+'Grasmere Batch Mvnt'!C127</f>
        <v>1122</v>
      </c>
      <c r="F20" s="42">
        <f>D20*E20</f>
        <v>21658.4506109125</v>
      </c>
      <c r="G20" s="726">
        <f t="shared" si="4"/>
        <v>5.67241964664339</v>
      </c>
      <c r="H20" s="704">
        <f>'Grasmere Pig Cost'!$AC$62</f>
        <v>122855.82076119559</v>
      </c>
      <c r="I20" s="1221">
        <v>917</v>
      </c>
      <c r="J20" s="42">
        <v>17920.246365160343</v>
      </c>
      <c r="K20" s="726">
        <v>2.892824978209438</v>
      </c>
      <c r="L20" s="625">
        <v>51840.136300802726</v>
      </c>
      <c r="M20" s="705">
        <f t="shared" si="1"/>
        <v>71015.684460392862</v>
      </c>
      <c r="N20" s="23">
        <f t="shared" si="2"/>
        <v>71015.684460392862</v>
      </c>
      <c r="O20" s="23">
        <f t="shared" si="5"/>
        <v>71015.684460392862</v>
      </c>
      <c r="Q20" s="23">
        <f>+[64]Grasmere!$H20</f>
        <v>1281638.2276040721</v>
      </c>
      <c r="R20" s="23">
        <f t="shared" si="3"/>
        <v>-1229798.0913032694</v>
      </c>
    </row>
    <row r="21" spans="1:18">
      <c r="A21" s="694"/>
      <c r="B21" s="706">
        <v>12</v>
      </c>
      <c r="C21" s="693">
        <f>VLOOKUP(B21,[65]New!$O$1:$AJ$37,2,0)</f>
        <v>32.527840127265527</v>
      </c>
      <c r="D21" s="1156">
        <f>VLOOKUP(B21,[65]New!$A$1:$AJ$37,17,0)</f>
        <v>22.444209687813213</v>
      </c>
      <c r="E21" s="1156">
        <f>+'Grasmere Batch Mvnt'!C128</f>
        <v>1061</v>
      </c>
      <c r="F21" s="42">
        <f t="shared" si="6"/>
        <v>23813.30647876982</v>
      </c>
      <c r="G21" s="726">
        <f t="shared" si="4"/>
        <v>7.5949332225330153</v>
      </c>
      <c r="H21" s="704">
        <f>'Grasmere Pig Cost'!$AD$62</f>
        <v>180860.47251396961</v>
      </c>
      <c r="I21" s="1221">
        <v>934</v>
      </c>
      <c r="J21" s="42">
        <v>21222.24411695002</v>
      </c>
      <c r="K21" s="726">
        <v>3.024190581964679</v>
      </c>
      <c r="L21" s="625">
        <v>64180.110786635567</v>
      </c>
      <c r="M21" s="705">
        <f t="shared" si="1"/>
        <v>116680.36172733404</v>
      </c>
      <c r="N21" s="23">
        <f t="shared" si="2"/>
        <v>116680.36172733404</v>
      </c>
      <c r="O21" s="23">
        <f t="shared" si="5"/>
        <v>116680.36172733404</v>
      </c>
      <c r="Q21" s="23">
        <f>+[64]Grasmere!$H21</f>
        <v>1510257.3137102649</v>
      </c>
      <c r="R21" s="23">
        <f t="shared" si="3"/>
        <v>-1446077.2029236292</v>
      </c>
    </row>
    <row r="22" spans="1:18">
      <c r="A22" s="694"/>
      <c r="B22" s="706">
        <v>13</v>
      </c>
      <c r="C22" s="693">
        <f>VLOOKUP(B22,[65]New!$O$1:$AJ$37,2,0)</f>
        <v>39.585767702049552</v>
      </c>
      <c r="D22" s="1156">
        <f>VLOOKUP(B22,[65]New!$A$1:$AJ$37,17,0)</f>
        <v>27.314179714414188</v>
      </c>
      <c r="E22" s="1156">
        <f>+'Grasmere Batch Mvnt'!C129</f>
        <v>988</v>
      </c>
      <c r="F22" s="42">
        <f>D22*E22</f>
        <v>26986.409557841216</v>
      </c>
      <c r="G22" s="726">
        <f t="shared" si="4"/>
        <v>6.2014336799185035</v>
      </c>
      <c r="H22" s="704">
        <f>'Grasmere Pig Cost'!$AE$62</f>
        <v>167354.42913207112</v>
      </c>
      <c r="I22" s="1221">
        <v>961</v>
      </c>
      <c r="J22" s="42">
        <v>26573.677638622441</v>
      </c>
      <c r="K22" s="726">
        <v>2.1671204362693524</v>
      </c>
      <c r="L22" s="625">
        <v>57588.359877492592</v>
      </c>
      <c r="M22" s="705">
        <f t="shared" si="1"/>
        <v>109766.06925457853</v>
      </c>
      <c r="N22" s="23">
        <f t="shared" si="2"/>
        <v>109766.06925457853</v>
      </c>
      <c r="O22" s="23">
        <f t="shared" si="5"/>
        <v>109766.06925457853</v>
      </c>
      <c r="Q22" s="23">
        <f>+[64]Grasmere!$H22</f>
        <v>1935283.8181322364</v>
      </c>
      <c r="R22" s="23">
        <f t="shared" si="3"/>
        <v>-1877695.4582547438</v>
      </c>
    </row>
    <row r="23" spans="1:18">
      <c r="A23" s="694"/>
      <c r="B23" s="706">
        <v>14</v>
      </c>
      <c r="C23" s="693">
        <f>VLOOKUP(B23,[65]New!$O$1:$AJ$37,2,0)</f>
        <v>46.643695276833583</v>
      </c>
      <c r="D23" s="1156">
        <f>VLOOKUP(B23,[65]New!$A$1:$AJ$37,17,0)</f>
        <v>33.583460599320176</v>
      </c>
      <c r="E23" s="1156">
        <f>+'Grasmere Batch Mvnt'!C130</f>
        <v>1039</v>
      </c>
      <c r="F23" s="42">
        <f t="shared" ref="F23:F33" si="7">D23*E23</f>
        <v>34893.215562693666</v>
      </c>
      <c r="G23" s="726">
        <f t="shared" si="4"/>
        <v>4.9311321055398443</v>
      </c>
      <c r="H23" s="704">
        <f>'Grasmere Pig Cost'!$AF$62</f>
        <v>172063.05552672126</v>
      </c>
      <c r="I23" s="1221">
        <v>947</v>
      </c>
      <c r="J23" s="42">
        <v>32197.009594731382</v>
      </c>
      <c r="K23" s="726">
        <v>1.9535850974976861</v>
      </c>
      <c r="L23" s="625">
        <v>62899.598128257239</v>
      </c>
      <c r="M23" s="705">
        <f t="shared" si="1"/>
        <v>109163.45739846403</v>
      </c>
      <c r="N23" s="23">
        <f t="shared" si="2"/>
        <v>109163.45739846403</v>
      </c>
      <c r="O23" s="23">
        <f t="shared" si="5"/>
        <v>109163.45739846403</v>
      </c>
      <c r="Q23" s="23">
        <f>+[64]Grasmere!$H23</f>
        <v>2141647.3930563722</v>
      </c>
      <c r="R23" s="23">
        <f t="shared" si="3"/>
        <v>-2078747.7949281149</v>
      </c>
    </row>
    <row r="24" spans="1:18">
      <c r="A24" s="694" t="s">
        <v>397</v>
      </c>
      <c r="B24" s="706">
        <v>15</v>
      </c>
      <c r="C24" s="693">
        <f>VLOOKUP(B24,[65]New!$O$1:$AJ$37,2,0)</f>
        <v>55.099569859183511</v>
      </c>
      <c r="D24" s="1156">
        <f>VLOOKUP(B24,[65]New!$A$1:$AJ$37,17,0)</f>
        <v>39.671690298612127</v>
      </c>
      <c r="E24" s="1156">
        <f>+'Grasmere Batch Mvnt'!C131</f>
        <v>1031</v>
      </c>
      <c r="F24" s="42">
        <f t="shared" si="7"/>
        <v>40901.512697869104</v>
      </c>
      <c r="G24" s="726">
        <f t="shared" si="4"/>
        <v>4.7135513606070472</v>
      </c>
      <c r="H24" s="704">
        <f>'Grasmere Pig Cost'!$AG$62</f>
        <v>192791.38082792732</v>
      </c>
      <c r="I24" s="1221">
        <v>947</v>
      </c>
      <c r="J24" s="42">
        <v>38033.894375062795</v>
      </c>
      <c r="K24" s="726">
        <v>1.8369432193776039</v>
      </c>
      <c r="L24" s="625">
        <v>69866.104378795586</v>
      </c>
      <c r="M24" s="705">
        <f t="shared" si="1"/>
        <v>122925.27644913174</v>
      </c>
      <c r="N24" s="23">
        <f t="shared" si="2"/>
        <v>122925.27644913174</v>
      </c>
      <c r="O24" s="23">
        <f t="shared" si="5"/>
        <v>122925.27644913174</v>
      </c>
      <c r="Q24" s="23">
        <f>+[64]Grasmere!$H24</f>
        <v>2508604.7577100201</v>
      </c>
      <c r="R24" s="23">
        <f t="shared" si="3"/>
        <v>-2438738.6533312243</v>
      </c>
    </row>
    <row r="25" spans="1:18">
      <c r="A25" s="694" t="s">
        <v>138</v>
      </c>
      <c r="B25" s="706">
        <v>16</v>
      </c>
      <c r="C25" s="693">
        <f>VLOOKUP(B25,[65]New!$O$1:$AJ$37,2,0)</f>
        <v>63.55544444153346</v>
      </c>
      <c r="D25" s="1156">
        <f>VLOOKUP(B25,[65]New!$A$1:$AJ$37,17,0)</f>
        <v>47.031028886734759</v>
      </c>
      <c r="E25" s="1156">
        <f>+'Grasmere Batch Mvnt'!C132</f>
        <v>990</v>
      </c>
      <c r="F25" s="42">
        <f t="shared" si="7"/>
        <v>46560.71859786741</v>
      </c>
      <c r="G25" s="726">
        <f t="shared" si="4"/>
        <v>5.0906670760578487</v>
      </c>
      <c r="H25" s="704">
        <f>'Grasmere Pig Cost'!$AH$62</f>
        <v>237025.11720375798</v>
      </c>
      <c r="I25" s="1221">
        <v>1005</v>
      </c>
      <c r="J25" s="42">
        <v>47850.959840822885</v>
      </c>
      <c r="K25" s="726">
        <v>2.0746258314917676</v>
      </c>
      <c r="L25" s="625">
        <v>99272.837347446359</v>
      </c>
      <c r="M25" s="705">
        <f t="shared" si="1"/>
        <v>137752.27985631162</v>
      </c>
      <c r="N25" s="23">
        <f t="shared" si="2"/>
        <v>137752.27985631162</v>
      </c>
      <c r="O25" s="23">
        <f t="shared" si="5"/>
        <v>137752.27985631162</v>
      </c>
      <c r="Q25" s="23">
        <f>+[64]Grasmere!$H25</f>
        <v>2704300.7437258475</v>
      </c>
      <c r="R25" s="23">
        <f t="shared" si="3"/>
        <v>-2605027.906378401</v>
      </c>
    </row>
    <row r="26" spans="1:18" s="1836" customFormat="1">
      <c r="A26" s="717"/>
      <c r="B26" s="718">
        <v>17</v>
      </c>
      <c r="C26" s="693">
        <f>VLOOKUP(B26,[65]New!$O$1:$AJ$37,2,0)</f>
        <v>72.011319023883416</v>
      </c>
      <c r="D26" s="1156">
        <f>VLOOKUP(B26,[65]New!$A$1:$AJ$37,17,0)</f>
        <v>53.288376077673725</v>
      </c>
      <c r="E26" s="1834">
        <f>+'Grasmere Batch Mvnt'!C133</f>
        <v>979</v>
      </c>
      <c r="F26" s="1160">
        <f t="shared" si="7"/>
        <v>52169.320180042574</v>
      </c>
      <c r="G26" s="726">
        <f t="shared" si="4"/>
        <v>5.1882337185975205</v>
      </c>
      <c r="H26" s="704">
        <f>'Grasmere Pig Cost'!$AI$62</f>
        <v>270666.62603440695</v>
      </c>
      <c r="I26" s="1835">
        <v>915</v>
      </c>
      <c r="J26" s="1160">
        <v>49362.107313856373</v>
      </c>
      <c r="K26" s="1161">
        <v>1.9019438282416328</v>
      </c>
      <c r="L26" s="1734">
        <v>93883.955354590289</v>
      </c>
      <c r="M26" s="1160">
        <f t="shared" si="1"/>
        <v>176782.67067981666</v>
      </c>
      <c r="N26" s="1836">
        <f t="shared" si="2"/>
        <v>176782.67067981666</v>
      </c>
      <c r="O26" s="1836">
        <f t="shared" si="5"/>
        <v>176782.67067981666</v>
      </c>
      <c r="Q26" s="1836">
        <f>+[64]Grasmere!$H26</f>
        <v>3041424.2119242381</v>
      </c>
      <c r="R26" s="1836">
        <f t="shared" si="3"/>
        <v>-2947540.2565696477</v>
      </c>
    </row>
    <row r="27" spans="1:18">
      <c r="A27" s="694"/>
      <c r="B27" s="706">
        <v>18</v>
      </c>
      <c r="C27" s="693">
        <f>VLOOKUP(B27,[65]New!$O$1:$AJ$37,2,0)</f>
        <v>83.163490626602794</v>
      </c>
      <c r="D27" s="1156">
        <f>VLOOKUP(B27,[65]New!$A$1:$AJ$37,17,0)</f>
        <v>63.204252876218121</v>
      </c>
      <c r="E27" s="1156">
        <f>+'Grasmere Batch Mvnt'!C134</f>
        <v>1009</v>
      </c>
      <c r="F27" s="42">
        <f>D27*E27</f>
        <v>63773.091152104083</v>
      </c>
      <c r="G27" s="1846">
        <f>'[66]Selling Price Working'!$K$14</f>
        <v>2.5156472990380321</v>
      </c>
      <c r="H27" s="704">
        <f>F27*G27</f>
        <v>160430.60450809685</v>
      </c>
      <c r="I27" s="1221">
        <v>970</v>
      </c>
      <c r="J27" s="42">
        <v>62066.627575226601</v>
      </c>
      <c r="K27" s="693">
        <v>2.4861599893409911</v>
      </c>
      <c r="L27" s="704">
        <v>154307.56615085664</v>
      </c>
      <c r="M27" s="705">
        <f t="shared" si="1"/>
        <v>6123.0383572402061</v>
      </c>
      <c r="N27" s="23">
        <f t="shared" si="2"/>
        <v>6123.0383572402061</v>
      </c>
      <c r="O27" s="23">
        <f t="shared" si="5"/>
        <v>6123.0383572402061</v>
      </c>
      <c r="Q27" s="23">
        <f>+[64]Grasmere!$H27</f>
        <v>3490001.5115240719</v>
      </c>
      <c r="R27" s="23">
        <f t="shared" si="3"/>
        <v>-3335693.9453732152</v>
      </c>
    </row>
    <row r="28" spans="1:18">
      <c r="A28" s="694" t="s">
        <v>138</v>
      </c>
      <c r="B28" s="706">
        <v>19</v>
      </c>
      <c r="C28" s="693">
        <f>VLOOKUP(B28,[65]New!$O$1:$AJ$37,2,0)</f>
        <v>96.210696940476979</v>
      </c>
      <c r="D28" s="1156">
        <f>VLOOKUP(B28,[65]New!$A$1:$AJ$37,17,0)</f>
        <v>73.120129674762509</v>
      </c>
      <c r="E28" s="1156">
        <f>+'Grasmere Batch Mvnt'!C135</f>
        <v>979</v>
      </c>
      <c r="F28" s="42">
        <f t="shared" si="7"/>
        <v>71584.60695159249</v>
      </c>
      <c r="G28" s="1826">
        <f t="shared" ref="G28:G30" si="8">G27</f>
        <v>2.5156472990380321</v>
      </c>
      <c r="H28" s="704">
        <f t="shared" ref="H28:H33" si="9">F28*G28</f>
        <v>180081.62313047278</v>
      </c>
      <c r="I28" s="1221">
        <v>932</v>
      </c>
      <c r="J28" s="42">
        <v>68991.085382440157</v>
      </c>
      <c r="K28" s="693">
        <v>2.4861599893409911</v>
      </c>
      <c r="L28" s="704">
        <v>171522.87609903084</v>
      </c>
      <c r="M28" s="705">
        <f t="shared" si="1"/>
        <v>8558.7470314419479</v>
      </c>
      <c r="N28" s="23">
        <f t="shared" si="2"/>
        <v>8558.7470314419479</v>
      </c>
      <c r="O28" s="23">
        <f t="shared" si="5"/>
        <v>8558.7470314419479</v>
      </c>
      <c r="Q28" s="23">
        <f>+[64]Grasmere!$H28</f>
        <v>4540212.7487537721</v>
      </c>
      <c r="R28" s="23">
        <f t="shared" si="3"/>
        <v>-4368689.8726547416</v>
      </c>
    </row>
    <row r="29" spans="1:18">
      <c r="A29" s="694"/>
      <c r="B29" s="706">
        <v>20</v>
      </c>
      <c r="C29" s="693">
        <f>VLOOKUP(B29,[65]New!$O$1:$AJ$37,2,0)</f>
        <v>109.25790325435123</v>
      </c>
      <c r="D29" s="1156">
        <f>VLOOKUP(B29,[65]New!$A$1:$AJ$37,17,0)</f>
        <v>83.036006473306941</v>
      </c>
      <c r="E29" s="1156">
        <f>+'Grasmere Batch Mvnt'!C136</f>
        <v>974</v>
      </c>
      <c r="F29" s="42">
        <f t="shared" si="7"/>
        <v>80877.070305000962</v>
      </c>
      <c r="G29" s="1826">
        <f t="shared" si="8"/>
        <v>2.5156472990380321</v>
      </c>
      <c r="H29" s="704">
        <f t="shared" si="9"/>
        <v>203458.18346688469</v>
      </c>
      <c r="I29" s="1221">
        <v>908</v>
      </c>
      <c r="J29" s="42">
        <v>76329.499510613532</v>
      </c>
      <c r="K29" s="693">
        <v>2.4861599893409911</v>
      </c>
      <c r="L29" s="704">
        <v>189767.34768971012</v>
      </c>
      <c r="M29" s="705">
        <f t="shared" si="1"/>
        <v>13690.835777174565</v>
      </c>
      <c r="N29" s="23">
        <f t="shared" si="2"/>
        <v>13690.835777174565</v>
      </c>
      <c r="O29" s="23">
        <f t="shared" si="5"/>
        <v>13690.835777174565</v>
      </c>
      <c r="Q29" s="23">
        <f>+[64]Grasmere!$H29</f>
        <v>4931006.4962438764</v>
      </c>
      <c r="R29" s="23">
        <f t="shared" si="3"/>
        <v>-4741239.1485541658</v>
      </c>
    </row>
    <row r="30" spans="1:18">
      <c r="A30" s="694"/>
      <c r="B30" s="706">
        <v>21</v>
      </c>
      <c r="C30" s="693">
        <f>VLOOKUP(B30,[65]New!$O$1:$AJ$37,2,0)</f>
        <v>115.23372294009519</v>
      </c>
      <c r="D30" s="1156">
        <f>VLOOKUP(B30,[65]New!$A$1:$AJ$37,17,0)</f>
        <v>87.577629434472342</v>
      </c>
      <c r="E30" s="1156">
        <f>+'Grasmere Batch Mvnt'!C137</f>
        <v>1037</v>
      </c>
      <c r="F30" s="42">
        <f t="shared" si="7"/>
        <v>90818.001723547815</v>
      </c>
      <c r="G30" s="1826">
        <f t="shared" si="8"/>
        <v>2.5156472990380321</v>
      </c>
      <c r="H30" s="704">
        <f t="shared" si="9"/>
        <v>228466.0607398744</v>
      </c>
      <c r="I30" s="1221">
        <v>964</v>
      </c>
      <c r="J30" s="42">
        <v>85469.336295788482</v>
      </c>
      <c r="K30" s="693">
        <v>2.4861599893409911</v>
      </c>
      <c r="L30" s="704">
        <v>212490.44421411908</v>
      </c>
      <c r="M30" s="705">
        <f t="shared" si="1"/>
        <v>15975.616525755322</v>
      </c>
      <c r="N30" s="23">
        <f t="shared" si="2"/>
        <v>15975.616525755322</v>
      </c>
      <c r="O30" s="23">
        <f t="shared" si="5"/>
        <v>15975.616525755322</v>
      </c>
      <c r="Q30" s="23">
        <f>+[64]Grasmere!$H30</f>
        <v>5152252.9408287127</v>
      </c>
      <c r="R30" s="23">
        <f t="shared" si="3"/>
        <v>-4939762.496614594</v>
      </c>
    </row>
    <row r="31" spans="1:18">
      <c r="A31" s="694"/>
      <c r="B31" s="706">
        <v>22</v>
      </c>
      <c r="C31" s="693">
        <f>VLOOKUP(B31,[65]New!$O$1:$AJ$37,2,0)</f>
        <v>122.2205600540908</v>
      </c>
      <c r="D31" s="1156">
        <f>VLOOKUP(B31,[65]New!$A$1:$AJ$37,17,0)</f>
        <v>92.887625641109011</v>
      </c>
      <c r="E31" s="1156">
        <f>+'Grasmere Batch Mvnt'!C138</f>
        <v>962</v>
      </c>
      <c r="F31" s="42">
        <f>D31*E31</f>
        <v>89357.895866746869</v>
      </c>
      <c r="G31" s="1826">
        <f>G30</f>
        <v>2.5156472990380321</v>
      </c>
      <c r="H31" s="704">
        <f t="shared" si="9"/>
        <v>224792.94938490348</v>
      </c>
      <c r="I31" s="1221">
        <v>905</v>
      </c>
      <c r="J31" s="42">
        <v>85103.329843692511</v>
      </c>
      <c r="K31" s="693">
        <v>2.4861599893409911</v>
      </c>
      <c r="L31" s="704">
        <v>211580.49361707742</v>
      </c>
      <c r="M31" s="705">
        <f t="shared" si="1"/>
        <v>13212.455767826061</v>
      </c>
      <c r="N31" s="23">
        <f t="shared" si="2"/>
        <v>13212.455767826061</v>
      </c>
      <c r="O31" s="23">
        <f t="shared" si="5"/>
        <v>13212.455767826061</v>
      </c>
      <c r="Q31" s="23">
        <f>+[64]Grasmere!$H31</f>
        <v>6358609.7683951026</v>
      </c>
      <c r="R31" s="23">
        <f t="shared" si="3"/>
        <v>-6147029.2747780252</v>
      </c>
    </row>
    <row r="32" spans="1:18">
      <c r="A32" s="694"/>
      <c r="B32" s="706">
        <v>23</v>
      </c>
      <c r="C32" s="693">
        <f>VLOOKUP(B32,[65]New!$O$1:$AJ$37,2,0)</f>
        <v>127.18536231158298</v>
      </c>
      <c r="D32" s="1156">
        <f>VLOOKUP(B32,[65]New!$A$1:$AJ$37,17,0)</f>
        <v>96.660875356803061</v>
      </c>
      <c r="E32" s="1156">
        <f>+'Grasmere Batch Mvnt'!C139</f>
        <v>959</v>
      </c>
      <c r="F32" s="42">
        <f t="shared" si="7"/>
        <v>92697.779467174129</v>
      </c>
      <c r="G32" s="1826">
        <f>G31</f>
        <v>2.5156472990380321</v>
      </c>
      <c r="H32" s="704">
        <f>F32*G32</f>
        <v>233194.91854341974</v>
      </c>
      <c r="I32" s="1221">
        <v>929</v>
      </c>
      <c r="J32" s="42">
        <v>90908.93078733419</v>
      </c>
      <c r="K32" s="693">
        <v>2.4861599893409911</v>
      </c>
      <c r="L32" s="704">
        <v>226014.14639723967</v>
      </c>
      <c r="M32" s="705">
        <f t="shared" si="1"/>
        <v>7180.7721461800684</v>
      </c>
      <c r="N32" s="23">
        <f t="shared" si="2"/>
        <v>7180.7721461800684</v>
      </c>
      <c r="O32" s="23">
        <f t="shared" si="5"/>
        <v>7180.7721461800684</v>
      </c>
      <c r="Q32" s="23">
        <f>+[64]Grasmere!$H32</f>
        <v>6543994.3450394263</v>
      </c>
      <c r="R32" s="23">
        <f t="shared" si="3"/>
        <v>-6317980.1986421868</v>
      </c>
    </row>
    <row r="33" spans="1:27">
      <c r="A33" s="694"/>
      <c r="B33" s="706">
        <v>24</v>
      </c>
      <c r="C33" s="693">
        <f>VLOOKUP(B33,[65]New!$O$1:$AJ$37,2,0)</f>
        <v>133.16118199732691</v>
      </c>
      <c r="D33" s="1156">
        <f>VLOOKUP(B33,[65]New!$A$1:$AJ$37,17,0)</f>
        <v>101.20249831796845</v>
      </c>
      <c r="E33" s="1156">
        <f>+'Grasmere Batch Mvnt'!C140</f>
        <v>0</v>
      </c>
      <c r="F33" s="42">
        <f t="shared" si="7"/>
        <v>0</v>
      </c>
      <c r="G33" s="1826">
        <f t="shared" ref="G33:G34" si="10">G32</f>
        <v>2.5156472990380321</v>
      </c>
      <c r="H33" s="704">
        <f t="shared" si="9"/>
        <v>0</v>
      </c>
      <c r="I33" s="1221">
        <v>0</v>
      </c>
      <c r="J33" s="42">
        <v>0</v>
      </c>
      <c r="K33" s="693">
        <v>2.4861599893409911</v>
      </c>
      <c r="L33" s="625">
        <v>0</v>
      </c>
      <c r="M33" s="705">
        <f t="shared" si="1"/>
        <v>0</v>
      </c>
      <c r="N33" s="23">
        <f t="shared" si="2"/>
        <v>0</v>
      </c>
      <c r="Q33" s="23">
        <f>+[64]Grasmere!$H33</f>
        <v>6773356.6879104692</v>
      </c>
      <c r="R33" s="23">
        <f t="shared" si="3"/>
        <v>-6773356.6879104692</v>
      </c>
    </row>
    <row r="34" spans="1:27">
      <c r="A34" s="694"/>
      <c r="B34" s="706">
        <v>25</v>
      </c>
      <c r="C34" s="693">
        <f>VLOOKUP(B34,[65]New!$O$1:$AJ$37,2,0)</f>
        <v>139.13700168307082</v>
      </c>
      <c r="D34" s="1156">
        <f>VLOOKUP(B34,[65]New!$A$1:$AJ$37,17,0)</f>
        <v>105.74412127913382</v>
      </c>
      <c r="E34" s="1156">
        <f>+'Grasmere Batch Mvnt'!C141</f>
        <v>0</v>
      </c>
      <c r="F34" s="42">
        <f t="shared" ref="F34:F40" si="11">D34*E34</f>
        <v>0</v>
      </c>
      <c r="G34" s="1826">
        <f t="shared" si="10"/>
        <v>2.5156472990380321</v>
      </c>
      <c r="H34" s="704">
        <f t="shared" ref="H34:H38" si="12">F34*G34</f>
        <v>0</v>
      </c>
      <c r="I34" s="1221">
        <v>0</v>
      </c>
      <c r="J34" s="42">
        <v>0</v>
      </c>
      <c r="K34" s="693">
        <v>2.4861599893409911</v>
      </c>
      <c r="L34" s="625">
        <v>0</v>
      </c>
      <c r="M34" s="705">
        <f t="shared" si="1"/>
        <v>0</v>
      </c>
      <c r="N34" s="23">
        <f t="shared" si="2"/>
        <v>0</v>
      </c>
      <c r="Q34" s="23">
        <f>+[64]Grasmere!$H34</f>
        <v>0</v>
      </c>
      <c r="R34" s="23">
        <f t="shared" si="3"/>
        <v>0</v>
      </c>
    </row>
    <row r="35" spans="1:27">
      <c r="A35" s="694"/>
      <c r="B35" s="706">
        <v>26</v>
      </c>
      <c r="C35" s="693">
        <f>VLOOKUP(B35,[65]New!$O$1:$AJ$37,2,0)</f>
        <v>145.11282136881471</v>
      </c>
      <c r="D35" s="1156">
        <f>VLOOKUP(B35,[65]New!$A$1:$AJ$37,17,0)</f>
        <v>110.28574424029918</v>
      </c>
      <c r="E35" s="1156">
        <f>+'Grasmere Batch Mvnt'!C142</f>
        <v>0</v>
      </c>
      <c r="F35" s="42">
        <f t="shared" si="11"/>
        <v>0</v>
      </c>
      <c r="G35" s="693">
        <f t="shared" ref="G35:G44" si="13">+G34</f>
        <v>2.5156472990380321</v>
      </c>
      <c r="H35" s="704">
        <f t="shared" si="12"/>
        <v>0</v>
      </c>
      <c r="I35" s="1221">
        <v>0</v>
      </c>
      <c r="J35" s="42">
        <v>0</v>
      </c>
      <c r="K35" s="693">
        <v>2.4861599893409911</v>
      </c>
      <c r="L35" s="625">
        <v>0</v>
      </c>
      <c r="M35" s="705">
        <f t="shared" si="1"/>
        <v>0</v>
      </c>
      <c r="N35" s="23">
        <f t="shared" si="2"/>
        <v>0</v>
      </c>
    </row>
    <row r="36" spans="1:27">
      <c r="A36" s="694" t="s">
        <v>138</v>
      </c>
      <c r="B36" s="706">
        <v>27</v>
      </c>
      <c r="C36" s="693">
        <f>VLOOKUP(B36,[65]New!$O$1:$AJ$37,2,0)</f>
        <v>151.08864105455865</v>
      </c>
      <c r="D36" s="1156">
        <f>VLOOKUP(B36,[65]New!$A$1:$AJ$37,17,0)</f>
        <v>114.82736720146457</v>
      </c>
      <c r="E36" s="1156">
        <f>+'Grasmere Batch Mvnt'!C143</f>
        <v>0</v>
      </c>
      <c r="F36" s="42">
        <f t="shared" si="11"/>
        <v>0</v>
      </c>
      <c r="G36" s="693">
        <f t="shared" si="13"/>
        <v>2.5156472990380321</v>
      </c>
      <c r="H36" s="704">
        <f t="shared" si="12"/>
        <v>0</v>
      </c>
      <c r="I36" s="1221">
        <v>0</v>
      </c>
      <c r="J36" s="42">
        <v>0</v>
      </c>
      <c r="K36" s="693">
        <v>2.4861599893409911</v>
      </c>
      <c r="L36" s="625">
        <v>0</v>
      </c>
      <c r="M36" s="705">
        <f>+H36-L36</f>
        <v>0</v>
      </c>
    </row>
    <row r="37" spans="1:27">
      <c r="A37" s="694"/>
      <c r="B37" s="713">
        <f>+B36+1</f>
        <v>28</v>
      </c>
      <c r="C37" s="693">
        <f>VLOOKUP(B37,[65]New!$O$1:$AJ$37,2,0)</f>
        <v>157.06446074030256</v>
      </c>
      <c r="D37" s="1156">
        <f>VLOOKUP(B37,[65]New!$A$1:$AJ$37,17,0)</f>
        <v>119.36899016262994</v>
      </c>
      <c r="E37" s="1156">
        <f>+'Grasmere Batch Mvnt'!C144</f>
        <v>0</v>
      </c>
      <c r="F37" s="42">
        <f t="shared" si="11"/>
        <v>0</v>
      </c>
      <c r="G37" s="693">
        <f t="shared" si="13"/>
        <v>2.5156472990380321</v>
      </c>
      <c r="H37" s="704">
        <f t="shared" si="12"/>
        <v>0</v>
      </c>
      <c r="I37" s="1221">
        <v>0</v>
      </c>
      <c r="J37" s="42">
        <v>0</v>
      </c>
      <c r="K37" s="693">
        <v>2.4861599893409911</v>
      </c>
      <c r="L37" s="625">
        <v>0</v>
      </c>
      <c r="M37" s="705">
        <f t="shared" si="1"/>
        <v>0</v>
      </c>
    </row>
    <row r="38" spans="1:27">
      <c r="A38" s="694"/>
      <c r="B38" s="713">
        <f>+B37+1</f>
        <v>29</v>
      </c>
      <c r="C38" s="693">
        <f>VLOOKUP(B38,[65]New!$O$1:$AJ$37,2,0)</f>
        <v>163.04028042604648</v>
      </c>
      <c r="D38" s="1156">
        <f>VLOOKUP(B38,[65]New!$A$1:$AJ$37,17,0)</f>
        <v>123.91061312379532</v>
      </c>
      <c r="E38" s="1156">
        <f>+'Grasmere Batch Mvnt'!C145</f>
        <v>0</v>
      </c>
      <c r="F38" s="42">
        <f t="shared" si="11"/>
        <v>0</v>
      </c>
      <c r="G38" s="693">
        <f t="shared" si="13"/>
        <v>2.5156472990380321</v>
      </c>
      <c r="H38" s="704">
        <f t="shared" si="12"/>
        <v>0</v>
      </c>
      <c r="I38" s="1221">
        <v>0</v>
      </c>
      <c r="J38" s="42">
        <v>0</v>
      </c>
      <c r="K38" s="693">
        <v>2.4861599893409911</v>
      </c>
      <c r="L38" s="625">
        <v>0</v>
      </c>
      <c r="M38" s="705">
        <f t="shared" si="1"/>
        <v>0</v>
      </c>
    </row>
    <row r="39" spans="1:27">
      <c r="A39" s="694"/>
      <c r="B39" s="713">
        <f>+B38+1</f>
        <v>30</v>
      </c>
      <c r="C39" s="693">
        <f>VLOOKUP(B39,[65]New!$O$1:$AJ$37,2,0)</f>
        <v>169.01610011179039</v>
      </c>
      <c r="D39" s="1156">
        <f>VLOOKUP(B39,[65]New!$A$1:$AJ$37,17,0)</f>
        <v>128.4522360849607</v>
      </c>
      <c r="E39" s="1156">
        <f>+'Grasmere Batch Mvnt'!BG146</f>
        <v>0</v>
      </c>
      <c r="F39" s="42">
        <f t="shared" si="11"/>
        <v>0</v>
      </c>
      <c r="G39" s="693">
        <f t="shared" si="13"/>
        <v>2.5156472990380321</v>
      </c>
      <c r="H39" s="42">
        <f t="shared" ref="H39:H42" si="14">+F39*G39</f>
        <v>0</v>
      </c>
      <c r="I39" s="1221">
        <v>0</v>
      </c>
      <c r="J39" s="42">
        <v>0</v>
      </c>
      <c r="K39" s="693">
        <v>2.4861599893409911</v>
      </c>
      <c r="L39" s="625">
        <v>0</v>
      </c>
      <c r="M39" s="705">
        <f t="shared" si="1"/>
        <v>0</v>
      </c>
    </row>
    <row r="40" spans="1:27">
      <c r="A40" s="694"/>
      <c r="B40" s="1050">
        <f>+B39+1</f>
        <v>31</v>
      </c>
      <c r="C40" s="693">
        <f>VLOOKUP(B40,[65]New!$O$1:$AJ$37,2,0)</f>
        <v>174.99191979753434</v>
      </c>
      <c r="D40" s="1156">
        <f>VLOOKUP(B40,[65]New!$A$1:$AJ$37,17,0)</f>
        <v>132.99385904612609</v>
      </c>
      <c r="E40" s="1156">
        <f>+'Grasmere Batch Mvnt'!BG147</f>
        <v>0</v>
      </c>
      <c r="F40" s="630">
        <f t="shared" si="11"/>
        <v>0</v>
      </c>
      <c r="G40" s="709">
        <f t="shared" si="13"/>
        <v>2.5156472990380321</v>
      </c>
      <c r="H40" s="630">
        <f t="shared" si="14"/>
        <v>0</v>
      </c>
      <c r="I40" s="1206">
        <v>0</v>
      </c>
      <c r="J40" s="42">
        <v>0</v>
      </c>
      <c r="K40" s="693">
        <v>2.4861599893409911</v>
      </c>
      <c r="L40" s="625">
        <v>0</v>
      </c>
      <c r="M40" s="705">
        <f t="shared" si="1"/>
        <v>0</v>
      </c>
    </row>
    <row r="41" spans="1:27">
      <c r="A41" s="694" t="s">
        <v>50</v>
      </c>
      <c r="B41" s="1051"/>
      <c r="C41" s="1051"/>
      <c r="D41" s="1855">
        <v>150</v>
      </c>
      <c r="E41" s="1055">
        <f>+'Grasmere Batch Mvnt'!J120</f>
        <v>629</v>
      </c>
      <c r="F41" s="34">
        <f>+D41*E41</f>
        <v>94350</v>
      </c>
      <c r="G41" s="1053">
        <f>+[67]Sheet1!$B$13</f>
        <v>2.0499999999999998</v>
      </c>
      <c r="H41" s="630">
        <f>+F41*G41</f>
        <v>193417.49999999997</v>
      </c>
      <c r="I41" s="1206">
        <v>790</v>
      </c>
      <c r="J41" s="1850">
        <v>118500</v>
      </c>
      <c r="K41" s="1851">
        <v>2.04</v>
      </c>
      <c r="L41" s="630">
        <v>241740</v>
      </c>
      <c r="M41" s="705"/>
    </row>
    <row r="42" spans="1:27">
      <c r="A42" s="694" t="s">
        <v>1669</v>
      </c>
      <c r="B42" s="1051"/>
      <c r="C42" s="1051"/>
      <c r="D42" s="1855">
        <f>+D41</f>
        <v>150</v>
      </c>
      <c r="E42" s="1055">
        <v>0</v>
      </c>
      <c r="F42" s="34">
        <f>+D42*E42</f>
        <v>0</v>
      </c>
      <c r="G42" s="1053">
        <f t="shared" si="13"/>
        <v>2.0499999999999998</v>
      </c>
      <c r="H42" s="630">
        <f t="shared" si="14"/>
        <v>0</v>
      </c>
      <c r="I42" s="1306">
        <v>0</v>
      </c>
      <c r="J42" s="1850">
        <v>0</v>
      </c>
      <c r="K42" s="1851">
        <v>2.04</v>
      </c>
      <c r="L42" s="630">
        <v>0</v>
      </c>
      <c r="M42" s="705"/>
    </row>
    <row r="43" spans="1:27">
      <c r="A43" s="694" t="s">
        <v>55</v>
      </c>
      <c r="B43" s="1051"/>
      <c r="C43" s="1051"/>
      <c r="D43" s="1855">
        <v>150</v>
      </c>
      <c r="E43" s="1055">
        <f>+'Grasmere Batch Mvnt'!K119</f>
        <v>2155</v>
      </c>
      <c r="F43" s="34">
        <f>+D43*E43</f>
        <v>323250</v>
      </c>
      <c r="G43" s="1053">
        <f t="shared" si="13"/>
        <v>2.0499999999999998</v>
      </c>
      <c r="H43" s="630">
        <f>+F43*G43</f>
        <v>662662.5</v>
      </c>
      <c r="I43" s="1306">
        <v>1886</v>
      </c>
      <c r="J43" s="1850">
        <v>282900</v>
      </c>
      <c r="K43" s="1851">
        <v>2.04</v>
      </c>
      <c r="L43" s="630">
        <v>577116</v>
      </c>
      <c r="M43" s="705"/>
      <c r="S43" s="23">
        <v>3</v>
      </c>
      <c r="T43" s="23">
        <v>-940.49999999627505</v>
      </c>
      <c r="U43" s="23">
        <f>-S43*150</f>
        <v>-450</v>
      </c>
    </row>
    <row r="44" spans="1:27">
      <c r="A44" s="694" t="s">
        <v>79</v>
      </c>
      <c r="B44" s="713"/>
      <c r="C44" s="713"/>
      <c r="D44" s="1673">
        <v>150</v>
      </c>
      <c r="E44" s="1857">
        <f>+'Grasmere Batch Mvnt'!K118-'Grasmere Imported Boars'!D31-'Grasmere Imported Boars'!D34</f>
        <v>10</v>
      </c>
      <c r="F44" s="42">
        <f>+D44*E44</f>
        <v>1500</v>
      </c>
      <c r="G44" s="693">
        <f t="shared" si="13"/>
        <v>2.0499999999999998</v>
      </c>
      <c r="H44" s="630">
        <f>+F44*G44</f>
        <v>3074.9999999999995</v>
      </c>
      <c r="I44" s="1306">
        <v>10</v>
      </c>
      <c r="J44" s="1850">
        <v>1500</v>
      </c>
      <c r="K44" s="1851">
        <v>2.04</v>
      </c>
      <c r="L44" s="630">
        <v>3060</v>
      </c>
      <c r="M44" s="705"/>
    </row>
    <row r="45" spans="1:27" s="31" customFormat="1">
      <c r="A45" s="824"/>
      <c r="B45" s="823"/>
      <c r="C45" s="1737"/>
      <c r="D45" s="1146"/>
      <c r="E45" s="656">
        <f>SUM(E9:E44)</f>
        <v>27693</v>
      </c>
      <c r="F45" s="636">
        <f>SUM(F9:F44)</f>
        <v>1230727.2930039805</v>
      </c>
      <c r="G45" s="1158">
        <f>+G30</f>
        <v>2.5156472990380321</v>
      </c>
      <c r="H45" s="636">
        <f>SUM(H9:H44)</f>
        <v>4618107.192165345</v>
      </c>
      <c r="I45" s="418">
        <f>SUM(I9:I44)</f>
        <v>25644</v>
      </c>
      <c r="J45" s="700">
        <f>SUM(J9:J44)</f>
        <v>1173322.2452364862</v>
      </c>
      <c r="K45" s="700">
        <f>+K33</f>
        <v>2.4861599893409911</v>
      </c>
      <c r="L45" s="700">
        <f>SUM(L9:L44)</f>
        <v>2956706.0606079996</v>
      </c>
      <c r="M45" s="61">
        <f>+H45-L45</f>
        <v>1661401.1315573454</v>
      </c>
      <c r="N45" s="31">
        <f>SUM(N9:N44)</f>
        <v>1624162.1315573456</v>
      </c>
      <c r="O45" s="31">
        <f>SUM(O9:O32)</f>
        <v>1624162.1315573456</v>
      </c>
      <c r="Q45" s="31">
        <f>+[64]Grasmere!$H35</f>
        <v>60868632.619628184</v>
      </c>
      <c r="R45" s="31">
        <f>+L45-Q45</f>
        <v>-57911926.559020184</v>
      </c>
      <c r="S45" s="31">
        <f>+H45-Q45</f>
        <v>-56250525.427462839</v>
      </c>
      <c r="U45" s="31">
        <f>+'[68]Gras gilts boars and sows'!$O$46</f>
        <v>-14166027.798389792</v>
      </c>
      <c r="V45" s="31">
        <f>+S45-U45</f>
        <v>-42084497.629073046</v>
      </c>
      <c r="W45" s="31">
        <f>+H45-L45</f>
        <v>1661401.1315573454</v>
      </c>
      <c r="X45" s="31">
        <f>-'[68]total pig movement'!$D$8</f>
        <v>-41276710.651861966</v>
      </c>
      <c r="Y45" s="31">
        <f>-'[68]total pig movement'!$B$12-'[68]total pig movement'!$B$13-'[68]total pig movement'!$B$14</f>
        <v>36297583.903082371</v>
      </c>
      <c r="Z45" s="31" t="s">
        <v>138</v>
      </c>
      <c r="AA45" s="31">
        <f>SUM(W45:Z45)</f>
        <v>-3317725.6172222495</v>
      </c>
    </row>
    <row r="46" spans="1:27">
      <c r="A46" s="694"/>
      <c r="B46" s="706"/>
      <c r="C46" s="706"/>
      <c r="D46" s="42"/>
      <c r="E46" s="1218"/>
      <c r="F46" s="687"/>
      <c r="G46" s="688" t="s">
        <v>138</v>
      </c>
      <c r="H46" s="689"/>
      <c r="I46" s="1675">
        <f>'[69]Grasmere Valuation '!$E$45</f>
        <v>25644</v>
      </c>
      <c r="J46" s="687"/>
      <c r="K46" s="688" t="s">
        <v>138</v>
      </c>
      <c r="L46" s="1675">
        <f>'[69]Grasmere Valuation '!$H$45</f>
        <v>2956706.0606079996</v>
      </c>
      <c r="M46" s="705">
        <f>+H46-L46</f>
        <v>-2956706.0606079996</v>
      </c>
      <c r="O46" s="23">
        <f>H46-L46</f>
        <v>-2956706.0606079996</v>
      </c>
      <c r="Q46" s="23">
        <f>+[64]Grasmere!$H38</f>
        <v>0</v>
      </c>
      <c r="R46" s="23">
        <f t="shared" si="3"/>
        <v>2956706.0606079996</v>
      </c>
    </row>
    <row r="47" spans="1:27">
      <c r="A47" s="717" t="s">
        <v>1670</v>
      </c>
      <c r="B47" s="718"/>
      <c r="C47" s="718"/>
      <c r="D47" s="1160">
        <v>0</v>
      </c>
      <c r="E47" s="1219">
        <f>+'Grasmere Imported Valuation'!B9</f>
        <v>0</v>
      </c>
      <c r="F47" s="42"/>
      <c r="G47" s="693">
        <f>+'Grasmere Imported Valuation'!C7</f>
        <v>9687.7527272727275</v>
      </c>
      <c r="H47" s="1673">
        <f>+E47*G47</f>
        <v>0</v>
      </c>
      <c r="I47" s="722">
        <v>0</v>
      </c>
      <c r="J47" s="42"/>
      <c r="K47" s="385">
        <v>9687.7527272727275</v>
      </c>
      <c r="L47" s="625">
        <v>0</v>
      </c>
      <c r="M47" s="705">
        <f t="shared" si="1"/>
        <v>0</v>
      </c>
      <c r="N47" s="23">
        <f t="shared" ref="N47:N63" si="15">+E47-I47</f>
        <v>0</v>
      </c>
      <c r="O47" s="23">
        <f>H47-L47</f>
        <v>0</v>
      </c>
      <c r="Q47" s="23">
        <f>+[64]Grasmere!$H43</f>
        <v>58126.516363636365</v>
      </c>
      <c r="R47" s="23">
        <f t="shared" si="3"/>
        <v>-58126.516363636365</v>
      </c>
    </row>
    <row r="48" spans="1:27">
      <c r="A48" s="723"/>
      <c r="B48" s="713"/>
      <c r="C48" s="713"/>
      <c r="D48" s="705"/>
      <c r="E48" s="1219" t="s">
        <v>138</v>
      </c>
      <c r="F48" s="42"/>
      <c r="G48" s="693"/>
      <c r="H48" s="625"/>
      <c r="I48" s="722" t="s">
        <v>138</v>
      </c>
      <c r="J48" s="42"/>
      <c r="K48" s="693"/>
      <c r="L48" s="625"/>
      <c r="M48" s="705">
        <f t="shared" si="1"/>
        <v>0</v>
      </c>
      <c r="N48" s="23" t="s">
        <v>138</v>
      </c>
      <c r="O48" s="23">
        <f>H48-L48</f>
        <v>0</v>
      </c>
      <c r="Q48" s="23">
        <f>+[64]Grasmere!$H44</f>
        <v>0</v>
      </c>
      <c r="R48" s="23">
        <f t="shared" si="3"/>
        <v>0</v>
      </c>
    </row>
    <row r="49" spans="1:18">
      <c r="A49" s="717" t="s">
        <v>1671</v>
      </c>
      <c r="B49" s="718"/>
      <c r="C49" s="718"/>
      <c r="D49" s="1160">
        <v>0</v>
      </c>
      <c r="E49" s="1219">
        <f>+'Grasmere Imported Valuation'!AL9</f>
        <v>0</v>
      </c>
      <c r="F49" s="693"/>
      <c r="G49" s="693">
        <f>+'Grasmere Imported Valuation'!AM7</f>
        <v>9761.5333333333328</v>
      </c>
      <c r="H49" s="1673">
        <f>+E49*G49</f>
        <v>0</v>
      </c>
      <c r="I49" s="722">
        <v>0</v>
      </c>
      <c r="J49" s="42"/>
      <c r="K49" s="385">
        <v>9761.5333333333328</v>
      </c>
      <c r="L49" s="625">
        <v>0</v>
      </c>
      <c r="M49" s="705">
        <f t="shared" si="1"/>
        <v>0</v>
      </c>
      <c r="N49" s="23">
        <f t="shared" si="15"/>
        <v>0</v>
      </c>
      <c r="O49" s="23">
        <f>H49-L49</f>
        <v>0</v>
      </c>
      <c r="Q49" s="23">
        <f>+[64]Grasmere!$H45</f>
        <v>195230.66666666666</v>
      </c>
      <c r="R49" s="23">
        <f t="shared" si="3"/>
        <v>-195230.66666666666</v>
      </c>
    </row>
    <row r="50" spans="1:18" ht="13.5" customHeight="1">
      <c r="A50" s="694"/>
      <c r="B50" s="706"/>
      <c r="C50" s="706"/>
      <c r="D50" s="42"/>
      <c r="E50" s="1219" t="s">
        <v>138</v>
      </c>
      <c r="F50" s="42"/>
      <c r="G50" s="693"/>
      <c r="H50" s="625" t="s">
        <v>138</v>
      </c>
      <c r="I50" s="722" t="s">
        <v>138</v>
      </c>
      <c r="J50" s="42"/>
      <c r="K50" s="693"/>
      <c r="L50" s="625" t="s">
        <v>138</v>
      </c>
      <c r="M50" s="705">
        <v>0</v>
      </c>
      <c r="N50" s="23" t="s">
        <v>138</v>
      </c>
      <c r="O50" s="23" t="s">
        <v>138</v>
      </c>
      <c r="Q50" s="23">
        <v>0</v>
      </c>
      <c r="R50" s="23" t="e">
        <f t="shared" si="3"/>
        <v>#VALUE!</v>
      </c>
    </row>
    <row r="51" spans="1:18">
      <c r="A51" s="717" t="s">
        <v>1672</v>
      </c>
      <c r="B51" s="718"/>
      <c r="C51" s="718"/>
      <c r="D51" s="1160">
        <v>0</v>
      </c>
      <c r="E51" s="1220">
        <f>+'Grasmere Imported Valuation'!J9</f>
        <v>0</v>
      </c>
      <c r="F51" s="42" t="s">
        <v>138</v>
      </c>
      <c r="G51" s="693">
        <f>+'Grasmere Imported Valuation'!K7</f>
        <v>8391.5645454545465</v>
      </c>
      <c r="H51" s="1673">
        <f>+E51*G51</f>
        <v>0</v>
      </c>
      <c r="I51" s="712">
        <v>0</v>
      </c>
      <c r="J51" s="42" t="s">
        <v>138</v>
      </c>
      <c r="K51" s="385">
        <v>8391.5645454545465</v>
      </c>
      <c r="L51" s="625">
        <v>0</v>
      </c>
      <c r="M51" s="705">
        <f t="shared" si="1"/>
        <v>0</v>
      </c>
      <c r="N51" s="23">
        <f t="shared" si="15"/>
        <v>0</v>
      </c>
      <c r="O51" s="23">
        <f t="shared" ref="O51:O61" si="16">H51-L51</f>
        <v>0</v>
      </c>
      <c r="Q51" s="23">
        <f>+[64]Grasmere!$H53</f>
        <v>58740.951818181828</v>
      </c>
      <c r="R51" s="23">
        <f t="shared" si="3"/>
        <v>-58740.951818181828</v>
      </c>
    </row>
    <row r="52" spans="1:18">
      <c r="A52" s="719"/>
      <c r="B52" s="713"/>
      <c r="C52" s="713"/>
      <c r="D52" s="705"/>
      <c r="E52" s="1220" t="s">
        <v>138</v>
      </c>
      <c r="F52" s="42"/>
      <c r="G52" s="693"/>
      <c r="H52" s="625"/>
      <c r="I52" s="712" t="s">
        <v>138</v>
      </c>
      <c r="J52" s="42"/>
      <c r="K52" s="693"/>
      <c r="L52" s="625"/>
      <c r="M52" s="705">
        <f t="shared" si="1"/>
        <v>0</v>
      </c>
      <c r="N52" s="23" t="s">
        <v>138</v>
      </c>
      <c r="O52" s="23">
        <f t="shared" si="16"/>
        <v>0</v>
      </c>
      <c r="Q52" s="23">
        <f>+[64]Grasmere!$H54</f>
        <v>0</v>
      </c>
      <c r="R52" s="23">
        <f t="shared" si="3"/>
        <v>0</v>
      </c>
    </row>
    <row r="53" spans="1:18">
      <c r="A53" s="717" t="s">
        <v>1673</v>
      </c>
      <c r="B53" s="718"/>
      <c r="C53" s="718"/>
      <c r="D53" s="1160"/>
      <c r="E53" s="1220">
        <f>+'Grasmere Imported Valuation'!N9</f>
        <v>0</v>
      </c>
      <c r="F53" s="42" t="s">
        <v>138</v>
      </c>
      <c r="G53" s="693">
        <f>+'Grasmere Imported Valuation'!O7</f>
        <v>8584.0190000000002</v>
      </c>
      <c r="H53" s="1673">
        <f>+E53*G53</f>
        <v>0</v>
      </c>
      <c r="I53" s="712">
        <v>0</v>
      </c>
      <c r="J53" s="42" t="s">
        <v>138</v>
      </c>
      <c r="K53" s="385">
        <v>8584.0190000000002</v>
      </c>
      <c r="L53" s="625">
        <v>0</v>
      </c>
      <c r="M53" s="705">
        <f t="shared" si="1"/>
        <v>0</v>
      </c>
      <c r="N53" s="23">
        <f t="shared" si="15"/>
        <v>0</v>
      </c>
      <c r="O53" s="23">
        <f t="shared" si="16"/>
        <v>0</v>
      </c>
      <c r="Q53" s="23">
        <f>+[64]Grasmere!$H55</f>
        <v>103008.228</v>
      </c>
      <c r="R53" s="23">
        <f t="shared" si="3"/>
        <v>-103008.228</v>
      </c>
    </row>
    <row r="54" spans="1:18">
      <c r="A54" s="719"/>
      <c r="B54" s="713"/>
      <c r="C54" s="713"/>
      <c r="D54" s="705"/>
      <c r="E54" s="1220" t="s">
        <v>138</v>
      </c>
      <c r="F54" s="42"/>
      <c r="G54" s="693"/>
      <c r="H54" s="625"/>
      <c r="I54" s="712" t="s">
        <v>138</v>
      </c>
      <c r="J54" s="42"/>
      <c r="K54" s="693"/>
      <c r="L54" s="625"/>
      <c r="M54" s="705">
        <f t="shared" si="1"/>
        <v>0</v>
      </c>
      <c r="N54" s="23" t="s">
        <v>138</v>
      </c>
      <c r="O54" s="23">
        <f t="shared" si="16"/>
        <v>0</v>
      </c>
      <c r="Q54" s="23">
        <f>+[64]Grasmere!$H56</f>
        <v>0</v>
      </c>
      <c r="R54" s="23">
        <f t="shared" si="3"/>
        <v>0</v>
      </c>
    </row>
    <row r="55" spans="1:18">
      <c r="A55" s="717" t="s">
        <v>1674</v>
      </c>
      <c r="B55" s="718"/>
      <c r="C55" s="718"/>
      <c r="D55" s="1160"/>
      <c r="E55" s="1220">
        <f>+'Grasmere Imported Valuation'!R9</f>
        <v>0</v>
      </c>
      <c r="F55" s="42" t="s">
        <v>138</v>
      </c>
      <c r="G55" s="693">
        <f>+'Grasmere Imported Valuation'!S7</f>
        <v>7053.0254545454545</v>
      </c>
      <c r="H55" s="1673">
        <f>+E55*G55</f>
        <v>0</v>
      </c>
      <c r="I55" s="712">
        <v>0</v>
      </c>
      <c r="J55" s="42" t="s">
        <v>138</v>
      </c>
      <c r="K55" s="385">
        <v>7053.0254545454545</v>
      </c>
      <c r="L55" s="625">
        <v>0</v>
      </c>
      <c r="M55" s="705">
        <f t="shared" si="1"/>
        <v>0</v>
      </c>
      <c r="N55" s="23">
        <f t="shared" si="15"/>
        <v>0</v>
      </c>
      <c r="O55" s="23">
        <f t="shared" si="16"/>
        <v>0</v>
      </c>
      <c r="Q55" s="23">
        <f>+[64]Grasmere!$H57</f>
        <v>91689.330909090902</v>
      </c>
      <c r="R55" s="23">
        <f t="shared" si="3"/>
        <v>-91689.330909090902</v>
      </c>
    </row>
    <row r="56" spans="1:18">
      <c r="A56" s="719"/>
      <c r="B56" s="713"/>
      <c r="C56" s="713"/>
      <c r="D56" s="705"/>
      <c r="E56" s="1220" t="s">
        <v>138</v>
      </c>
      <c r="F56" s="42"/>
      <c r="G56" s="693"/>
      <c r="H56" s="625"/>
      <c r="I56" s="712" t="s">
        <v>138</v>
      </c>
      <c r="J56" s="42"/>
      <c r="K56" s="693"/>
      <c r="L56" s="625"/>
      <c r="M56" s="705">
        <f t="shared" si="1"/>
        <v>0</v>
      </c>
      <c r="N56" s="23" t="s">
        <v>138</v>
      </c>
      <c r="O56" s="23">
        <f t="shared" si="16"/>
        <v>0</v>
      </c>
      <c r="Q56" s="23">
        <f>+[64]Grasmere!$H58</f>
        <v>0</v>
      </c>
      <c r="R56" s="23">
        <f t="shared" si="3"/>
        <v>0</v>
      </c>
    </row>
    <row r="57" spans="1:18">
      <c r="A57" s="717" t="s">
        <v>1675</v>
      </c>
      <c r="B57" s="718"/>
      <c r="C57" s="718"/>
      <c r="D57" s="1160"/>
      <c r="E57" s="1220">
        <f>+'Grasmere Imported Valuation'!Z9</f>
        <v>0</v>
      </c>
      <c r="F57" s="42"/>
      <c r="G57" s="693">
        <f>+'Grasmere Imported Valuation'!AA7</f>
        <v>8392.9954366188013</v>
      </c>
      <c r="H57" s="1673">
        <f>+G57*E57</f>
        <v>0</v>
      </c>
      <c r="I57" s="712">
        <v>0</v>
      </c>
      <c r="J57" s="42"/>
      <c r="K57" s="385">
        <v>8392.9954366188013</v>
      </c>
      <c r="L57" s="625">
        <v>0</v>
      </c>
      <c r="M57" s="705">
        <f t="shared" si="1"/>
        <v>0</v>
      </c>
      <c r="N57" s="23">
        <f t="shared" si="15"/>
        <v>0</v>
      </c>
      <c r="O57" s="23">
        <f t="shared" si="16"/>
        <v>0</v>
      </c>
      <c r="Q57" s="23">
        <f>+[64]Grasmere!$H59</f>
        <v>125894.93154928202</v>
      </c>
      <c r="R57" s="23">
        <f t="shared" si="3"/>
        <v>-125894.93154928202</v>
      </c>
    </row>
    <row r="58" spans="1:18">
      <c r="A58" s="719"/>
      <c r="B58" s="713"/>
      <c r="C58" s="713"/>
      <c r="D58" s="705"/>
      <c r="E58" s="1220" t="s">
        <v>138</v>
      </c>
      <c r="F58" s="42"/>
      <c r="G58" s="693"/>
      <c r="H58" s="625"/>
      <c r="I58" s="712" t="s">
        <v>138</v>
      </c>
      <c r="J58" s="42"/>
      <c r="K58" s="693"/>
      <c r="L58" s="625"/>
      <c r="M58" s="705">
        <f t="shared" si="1"/>
        <v>0</v>
      </c>
      <c r="N58" s="23" t="s">
        <v>138</v>
      </c>
      <c r="O58" s="23">
        <f t="shared" si="16"/>
        <v>0</v>
      </c>
      <c r="Q58" s="23">
        <f>+[64]Grasmere!$H60</f>
        <v>0</v>
      </c>
      <c r="R58" s="23">
        <f t="shared" si="3"/>
        <v>0</v>
      </c>
    </row>
    <row r="59" spans="1:18">
      <c r="A59" s="717" t="s">
        <v>1676</v>
      </c>
      <c r="B59" s="718"/>
      <c r="C59" s="718"/>
      <c r="D59" s="1160"/>
      <c r="E59" s="1220">
        <f>+'Grasmere Imported Valuation'!AD9</f>
        <v>0</v>
      </c>
      <c r="F59" s="42"/>
      <c r="G59" s="693">
        <f>+'Grasmere Imported Valuation'!AE7</f>
        <v>9222.8913131313129</v>
      </c>
      <c r="H59" s="1673">
        <f>+E59*G59</f>
        <v>0</v>
      </c>
      <c r="I59" s="712">
        <v>0</v>
      </c>
      <c r="J59" s="42"/>
      <c r="K59" s="385">
        <v>9222.8913131313129</v>
      </c>
      <c r="L59" s="625">
        <v>0</v>
      </c>
      <c r="M59" s="705">
        <f t="shared" si="1"/>
        <v>0</v>
      </c>
      <c r="N59" s="23">
        <f t="shared" si="15"/>
        <v>0</v>
      </c>
      <c r="O59" s="23">
        <f t="shared" si="16"/>
        <v>0</v>
      </c>
      <c r="Q59" s="23">
        <f>+[64]Grasmere!$H61</f>
        <v>119897.58707070707</v>
      </c>
      <c r="R59" s="23">
        <f t="shared" si="3"/>
        <v>-119897.58707070707</v>
      </c>
    </row>
    <row r="60" spans="1:18">
      <c r="A60" s="719"/>
      <c r="B60" s="713"/>
      <c r="C60" s="713"/>
      <c r="D60" s="705"/>
      <c r="E60" s="1220" t="s">
        <v>138</v>
      </c>
      <c r="F60" s="42"/>
      <c r="G60" s="693"/>
      <c r="H60" s="625"/>
      <c r="I60" s="712" t="s">
        <v>138</v>
      </c>
      <c r="J60" s="42"/>
      <c r="K60" s="693"/>
      <c r="L60" s="625"/>
      <c r="M60" s="705">
        <f t="shared" si="1"/>
        <v>0</v>
      </c>
      <c r="N60" s="23" t="s">
        <v>138</v>
      </c>
      <c r="O60" s="23">
        <f t="shared" si="16"/>
        <v>0</v>
      </c>
      <c r="Q60" s="23">
        <f>+[64]Grasmere!$H62</f>
        <v>0</v>
      </c>
      <c r="R60" s="23">
        <f t="shared" si="3"/>
        <v>0</v>
      </c>
    </row>
    <row r="61" spans="1:18">
      <c r="A61" s="717" t="s">
        <v>1677</v>
      </c>
      <c r="B61" s="718"/>
      <c r="C61" s="718"/>
      <c r="D61" s="1160"/>
      <c r="E61" s="1220">
        <f>+'Grasmere Imported Valuation'!AH9</f>
        <v>0</v>
      </c>
      <c r="F61" s="42"/>
      <c r="G61" s="386">
        <f>+'Grasmere Imported Valuation'!AI7</f>
        <v>10017.025</v>
      </c>
      <c r="H61" s="1673">
        <f>+E61*G61</f>
        <v>0</v>
      </c>
      <c r="I61" s="712">
        <v>0</v>
      </c>
      <c r="J61" s="42"/>
      <c r="K61" s="385">
        <v>10017.025</v>
      </c>
      <c r="L61" s="625">
        <v>0</v>
      </c>
      <c r="M61" s="705">
        <f t="shared" si="1"/>
        <v>0</v>
      </c>
      <c r="N61" s="23">
        <f t="shared" si="15"/>
        <v>0</v>
      </c>
      <c r="O61" s="23">
        <f t="shared" si="16"/>
        <v>0</v>
      </c>
      <c r="Q61" s="23">
        <f>+[64]Grasmere!$H63</f>
        <v>170289.42499999999</v>
      </c>
      <c r="R61" s="23">
        <f t="shared" si="3"/>
        <v>-170289.42499999999</v>
      </c>
    </row>
    <row r="62" spans="1:18">
      <c r="A62" s="719"/>
      <c r="B62" s="713"/>
      <c r="C62" s="713"/>
      <c r="D62" s="705"/>
      <c r="E62" s="1220"/>
      <c r="F62" s="42"/>
      <c r="G62" s="386"/>
      <c r="H62" s="625"/>
      <c r="I62" s="712"/>
      <c r="J62" s="42"/>
      <c r="K62" s="693"/>
      <c r="L62" s="625"/>
      <c r="M62" s="705">
        <f t="shared" si="1"/>
        <v>0</v>
      </c>
      <c r="Q62" s="23">
        <f>+[64]Grasmere!$H64</f>
        <v>0</v>
      </c>
      <c r="R62" s="23">
        <f t="shared" si="3"/>
        <v>0</v>
      </c>
    </row>
    <row r="63" spans="1:18">
      <c r="A63" s="717" t="s">
        <v>1678</v>
      </c>
      <c r="B63" s="718"/>
      <c r="C63" s="718"/>
      <c r="D63" s="1160"/>
      <c r="E63" s="1220">
        <f>+'Grasmere Imported Valuation'!AP9</f>
        <v>0</v>
      </c>
      <c r="F63" s="42"/>
      <c r="G63" s="386">
        <f>+'Grasmere Imported Valuation'!AQ7</f>
        <v>8399.1235584543974</v>
      </c>
      <c r="H63" s="1673">
        <f>+E63*G63</f>
        <v>0</v>
      </c>
      <c r="I63" s="712">
        <v>0</v>
      </c>
      <c r="J63" s="42"/>
      <c r="K63" s="385">
        <v>8399.1235584543974</v>
      </c>
      <c r="L63" s="625">
        <v>0</v>
      </c>
      <c r="M63" s="705">
        <f t="shared" si="1"/>
        <v>0</v>
      </c>
      <c r="N63" s="23">
        <f t="shared" si="15"/>
        <v>0</v>
      </c>
      <c r="O63" s="23">
        <f>H63-L63</f>
        <v>0</v>
      </c>
      <c r="Q63" s="23">
        <f>+[64]Grasmere!$H65</f>
        <v>293969.32454590389</v>
      </c>
      <c r="R63" s="23">
        <f t="shared" si="3"/>
        <v>-293969.32454590389</v>
      </c>
    </row>
    <row r="64" spans="1:18">
      <c r="A64" s="719"/>
      <c r="B64" s="713"/>
      <c r="C64" s="713"/>
      <c r="D64" s="705"/>
      <c r="E64" s="1220"/>
      <c r="F64" s="42"/>
      <c r="G64" s="386"/>
      <c r="H64" s="625"/>
      <c r="I64" s="712"/>
      <c r="J64" s="42"/>
      <c r="K64" s="386"/>
      <c r="L64" s="625"/>
      <c r="M64" s="705">
        <f t="shared" si="1"/>
        <v>0</v>
      </c>
      <c r="Q64" s="23">
        <f>+[64]Grasmere!$H66</f>
        <v>0</v>
      </c>
      <c r="R64" s="23">
        <f t="shared" si="3"/>
        <v>0</v>
      </c>
    </row>
    <row r="65" spans="1:19">
      <c r="A65" s="717" t="s">
        <v>1679</v>
      </c>
      <c r="B65" s="718"/>
      <c r="C65" s="718"/>
      <c r="D65" s="1160"/>
      <c r="E65" s="1220">
        <f>+'Grasmere Imported Valuation'!AT9</f>
        <v>0</v>
      </c>
      <c r="F65" s="42"/>
      <c r="G65" s="386">
        <f>+'Grasmere Imported Valuation'!AU7</f>
        <v>16046.636819943167</v>
      </c>
      <c r="H65" s="1673">
        <f>+E65*G65</f>
        <v>0</v>
      </c>
      <c r="I65" s="712">
        <v>1</v>
      </c>
      <c r="J65" s="42"/>
      <c r="K65" s="385">
        <v>16046.636819943167</v>
      </c>
      <c r="L65" s="625">
        <v>16046.636819943167</v>
      </c>
      <c r="M65" s="705">
        <f t="shared" ref="M65:M114" si="17">+H65-L65</f>
        <v>-16046.636819943167</v>
      </c>
      <c r="N65" s="23">
        <f>+E65-I65</f>
        <v>-1</v>
      </c>
      <c r="O65" s="23">
        <f>H65-L65</f>
        <v>-16046.636819943167</v>
      </c>
      <c r="Q65" s="23">
        <f>+[64]Grasmere!$H67</f>
        <v>1861409.8711134074</v>
      </c>
      <c r="R65" s="23">
        <f t="shared" si="3"/>
        <v>-1845363.2342934643</v>
      </c>
      <c r="S65" s="23">
        <v>0</v>
      </c>
    </row>
    <row r="66" spans="1:19">
      <c r="A66" s="719"/>
      <c r="B66" s="713"/>
      <c r="C66" s="713"/>
      <c r="D66" s="705"/>
      <c r="E66" s="1220"/>
      <c r="F66" s="42"/>
      <c r="G66" s="386"/>
      <c r="H66" s="625"/>
      <c r="I66" s="712"/>
      <c r="J66" s="42"/>
      <c r="K66" s="385"/>
      <c r="L66" s="625"/>
      <c r="M66" s="705">
        <f t="shared" si="17"/>
        <v>0</v>
      </c>
    </row>
    <row r="67" spans="1:19">
      <c r="A67" s="717" t="s">
        <v>1680</v>
      </c>
      <c r="B67" s="718"/>
      <c r="C67" s="718"/>
      <c r="D67" s="1160"/>
      <c r="E67" s="1220">
        <f>+'Grasmere Imported Valuation'!BB9</f>
        <v>0</v>
      </c>
      <c r="F67" s="42"/>
      <c r="G67" s="386">
        <f>+'Grasmere Imported Valuation'!BC7</f>
        <v>199948.32943761846</v>
      </c>
      <c r="H67" s="1673">
        <f>+E67*G67</f>
        <v>0</v>
      </c>
      <c r="I67" s="712">
        <v>10</v>
      </c>
      <c r="J67" s="42"/>
      <c r="K67" s="386">
        <v>199948.32943761846</v>
      </c>
      <c r="L67" s="625">
        <v>1999483.2943761847</v>
      </c>
      <c r="M67" s="705">
        <f t="shared" si="17"/>
        <v>-1999483.2943761847</v>
      </c>
      <c r="N67" s="23">
        <f>+E67-I67</f>
        <v>-10</v>
      </c>
      <c r="O67" s="23">
        <f>H67-L67</f>
        <v>-1999483.2943761847</v>
      </c>
    </row>
    <row r="68" spans="1:19" s="74" customFormat="1">
      <c r="A68" s="719"/>
      <c r="B68" s="713"/>
      <c r="C68" s="713"/>
      <c r="D68" s="705"/>
      <c r="E68" s="1221"/>
      <c r="F68" s="705"/>
      <c r="G68" s="386"/>
      <c r="H68" s="704"/>
      <c r="I68" s="707"/>
      <c r="J68" s="705"/>
      <c r="K68" s="386"/>
      <c r="L68" s="625"/>
      <c r="M68" s="705">
        <f t="shared" si="17"/>
        <v>0</v>
      </c>
    </row>
    <row r="69" spans="1:19">
      <c r="A69" s="717" t="s">
        <v>1681</v>
      </c>
      <c r="B69" s="718"/>
      <c r="C69" s="718"/>
      <c r="D69" s="1160"/>
      <c r="E69" s="1221">
        <f>+'Grasmere Imported Valuation'!BF9</f>
        <v>0</v>
      </c>
      <c r="F69" s="42"/>
      <c r="G69" s="386">
        <f>+'Grasmere Imported Valuation'!BG7</f>
        <v>234317.26664502168</v>
      </c>
      <c r="H69" s="1673">
        <f>+E69*G69</f>
        <v>0</v>
      </c>
      <c r="I69" s="712">
        <v>3</v>
      </c>
      <c r="J69" s="42"/>
      <c r="K69" s="386">
        <v>234317.26664502168</v>
      </c>
      <c r="L69" s="625">
        <v>702951.79993506498</v>
      </c>
      <c r="M69" s="705">
        <f t="shared" si="17"/>
        <v>-702951.79993506498</v>
      </c>
      <c r="P69" s="23">
        <f>+L69</f>
        <v>702951.79993506498</v>
      </c>
      <c r="Q69" s="23">
        <f>+H69+'Richlands Valuation'!H78</f>
        <v>0</v>
      </c>
      <c r="R69" s="23">
        <f>+P69-Q69</f>
        <v>702951.79993506498</v>
      </c>
    </row>
    <row r="70" spans="1:19" s="74" customFormat="1">
      <c r="A70" s="719"/>
      <c r="B70" s="713"/>
      <c r="C70" s="713"/>
      <c r="D70" s="705"/>
      <c r="E70" s="1221"/>
      <c r="F70" s="705"/>
      <c r="G70" s="386"/>
      <c r="H70" s="704"/>
      <c r="I70" s="707"/>
      <c r="J70" s="705"/>
      <c r="K70" s="386"/>
      <c r="L70" s="704"/>
      <c r="M70" s="705"/>
    </row>
    <row r="71" spans="1:19">
      <c r="A71" s="717" t="s">
        <v>1682</v>
      </c>
      <c r="B71" s="718"/>
      <c r="C71" s="718"/>
      <c r="D71" s="1160"/>
      <c r="E71" s="1221">
        <f>+'Grasmere Imported Valuation'!BJ9</f>
        <v>1</v>
      </c>
      <c r="F71" s="42"/>
      <c r="G71" s="386">
        <f>+'Grasmere Imported Valuation'!BK7</f>
        <v>300760.73609469831</v>
      </c>
      <c r="H71" s="1673">
        <f>+E71*G71</f>
        <v>300760.73609469831</v>
      </c>
      <c r="I71" s="712">
        <v>13</v>
      </c>
      <c r="J71" s="42"/>
      <c r="K71" s="386">
        <v>300760.73609469831</v>
      </c>
      <c r="L71" s="625">
        <v>3909889.569231078</v>
      </c>
      <c r="M71" s="705"/>
    </row>
    <row r="72" spans="1:19" s="74" customFormat="1">
      <c r="A72" s="719"/>
      <c r="B72" s="713"/>
      <c r="C72" s="713"/>
      <c r="D72" s="705"/>
      <c r="E72" s="1221"/>
      <c r="F72" s="705"/>
      <c r="G72" s="386"/>
      <c r="H72" s="704"/>
      <c r="I72" s="707"/>
      <c r="J72" s="705"/>
      <c r="K72" s="386"/>
      <c r="L72" s="704"/>
      <c r="M72" s="705"/>
    </row>
    <row r="73" spans="1:19">
      <c r="A73" s="717" t="s">
        <v>1683</v>
      </c>
      <c r="B73" s="718"/>
      <c r="C73" s="718"/>
      <c r="D73" s="1160"/>
      <c r="E73" s="1221">
        <f>+'Grasmere Imported Valuation'!BN9</f>
        <v>1</v>
      </c>
      <c r="F73" s="42"/>
      <c r="G73" s="386">
        <f>+'Grasmere Imported Valuation'!BO7</f>
        <v>454374.45382046868</v>
      </c>
      <c r="H73" s="1673">
        <f>+E73*G73</f>
        <v>454374.45382046868</v>
      </c>
      <c r="I73" s="712">
        <v>25</v>
      </c>
      <c r="J73" s="42"/>
      <c r="K73" s="386">
        <v>454374.45382046868</v>
      </c>
      <c r="L73" s="625">
        <v>11359361.345511718</v>
      </c>
      <c r="M73" s="705"/>
    </row>
    <row r="74" spans="1:19" s="74" customFormat="1">
      <c r="A74" s="719"/>
      <c r="B74" s="713"/>
      <c r="C74" s="713"/>
      <c r="D74" s="705"/>
      <c r="E74" s="1221"/>
      <c r="F74" s="705"/>
      <c r="G74" s="386"/>
      <c r="H74" s="704"/>
      <c r="I74" s="707"/>
      <c r="J74" s="705"/>
      <c r="K74" s="386"/>
      <c r="L74" s="704"/>
      <c r="M74" s="705"/>
    </row>
    <row r="75" spans="1:19">
      <c r="A75" s="717" t="s">
        <v>1684</v>
      </c>
      <c r="B75" s="718"/>
      <c r="C75" s="718"/>
      <c r="D75" s="1160"/>
      <c r="E75" s="1221">
        <f>+'Grasmere Imported Valuation'!BR9</f>
        <v>1</v>
      </c>
      <c r="F75" s="42"/>
      <c r="G75" s="386">
        <f>+'Grasmere Imported Valuation'!BS7</f>
        <v>678679.52865999355</v>
      </c>
      <c r="H75" s="1673">
        <f>+E75*G75</f>
        <v>678679.52865999355</v>
      </c>
      <c r="I75" s="712">
        <v>34</v>
      </c>
      <c r="J75" s="42"/>
      <c r="K75" s="386">
        <v>678679.52865999355</v>
      </c>
      <c r="L75" s="625">
        <v>23075103.974439781</v>
      </c>
      <c r="M75" s="705"/>
    </row>
    <row r="76" spans="1:19" s="74" customFormat="1">
      <c r="A76" s="719"/>
      <c r="B76" s="713"/>
      <c r="C76" s="713"/>
      <c r="D76" s="705"/>
      <c r="E76" s="1221"/>
      <c r="F76" s="705"/>
      <c r="G76" s="386"/>
      <c r="H76" s="704"/>
      <c r="I76" s="707"/>
      <c r="J76" s="705"/>
      <c r="K76" s="386"/>
      <c r="L76" s="705"/>
      <c r="M76" s="705"/>
    </row>
    <row r="77" spans="1:19">
      <c r="A77" s="717" t="s">
        <v>1685</v>
      </c>
      <c r="B77" s="718"/>
      <c r="C77" s="718"/>
      <c r="D77" s="1160"/>
      <c r="E77" s="1221">
        <f>'Grasmere Imported Valuation'!BV9</f>
        <v>4</v>
      </c>
      <c r="F77" s="42"/>
      <c r="G77" s="386">
        <f>+'Grasmere Imported Valuation'!BW7</f>
        <v>1928201.8379708324</v>
      </c>
      <c r="H77" s="1673">
        <f>+E77*G77</f>
        <v>7712807.3518833295</v>
      </c>
      <c r="I77" s="712">
        <v>35</v>
      </c>
      <c r="J77" s="42"/>
      <c r="K77" s="386">
        <v>1928201.8379708324</v>
      </c>
      <c r="L77" s="42">
        <v>67487064.328979135</v>
      </c>
      <c r="M77" s="705"/>
    </row>
    <row r="78" spans="1:19" s="74" customFormat="1">
      <c r="A78" s="719"/>
      <c r="B78" s="713"/>
      <c r="C78" s="713"/>
      <c r="D78" s="705"/>
      <c r="E78" s="1221"/>
      <c r="F78" s="705"/>
      <c r="G78" s="386"/>
      <c r="H78" s="704"/>
      <c r="I78" s="707"/>
      <c r="J78" s="705"/>
      <c r="K78" s="386"/>
      <c r="L78" s="705"/>
      <c r="M78" s="705"/>
    </row>
    <row r="79" spans="1:19">
      <c r="A79" s="717" t="s">
        <v>1686</v>
      </c>
      <c r="B79" s="718"/>
      <c r="C79" s="718"/>
      <c r="D79" s="1160"/>
      <c r="E79" s="1221">
        <f>'Grasmere Imported Valuation'!CD9</f>
        <v>8</v>
      </c>
      <c r="F79" s="42"/>
      <c r="G79" s="386">
        <f>+'Grasmere Imported Valuation'!CE7</f>
        <v>1718030.6987312208</v>
      </c>
      <c r="H79" s="1673">
        <f>+E79*G79</f>
        <v>13744245.589849766</v>
      </c>
      <c r="I79" s="712">
        <v>36</v>
      </c>
      <c r="J79" s="42"/>
      <c r="K79" s="386">
        <v>1718030.6987312208</v>
      </c>
      <c r="L79" s="42">
        <v>61849105.15432395</v>
      </c>
      <c r="M79" s="705"/>
    </row>
    <row r="80" spans="1:19" s="74" customFormat="1">
      <c r="A80" s="719"/>
      <c r="B80" s="713"/>
      <c r="C80" s="713"/>
      <c r="D80" s="705"/>
      <c r="E80" s="1221"/>
      <c r="F80" s="705"/>
      <c r="G80" s="386"/>
      <c r="H80" s="704"/>
      <c r="I80" s="707"/>
      <c r="J80" s="705"/>
      <c r="K80" s="386"/>
      <c r="L80" s="705"/>
      <c r="M80" s="705"/>
    </row>
    <row r="81" spans="1:23" s="74" customFormat="1">
      <c r="A81" s="717" t="s">
        <v>1687</v>
      </c>
      <c r="B81" s="718"/>
      <c r="C81" s="718"/>
      <c r="D81" s="1160"/>
      <c r="E81" s="1221">
        <f>'Grasmere Imported Valuation'!CH9</f>
        <v>10</v>
      </c>
      <c r="F81" s="705"/>
      <c r="G81" s="386">
        <f>'Grasmere Imported Valuation'!CI7</f>
        <v>4481824.7167510167</v>
      </c>
      <c r="H81" s="1673">
        <f>+E81*G81</f>
        <v>44818247.167510167</v>
      </c>
      <c r="I81" s="707">
        <v>46</v>
      </c>
      <c r="J81" s="705"/>
      <c r="K81" s="386">
        <v>4481824.7167510167</v>
      </c>
      <c r="L81" s="705">
        <v>206163936.97054678</v>
      </c>
      <c r="M81" s="705"/>
    </row>
    <row r="82" spans="1:23" s="74" customFormat="1">
      <c r="A82" s="719"/>
      <c r="B82" s="713"/>
      <c r="C82" s="713"/>
      <c r="D82" s="705"/>
      <c r="E82" s="1221"/>
      <c r="F82" s="705"/>
      <c r="G82" s="386"/>
      <c r="H82" s="704"/>
      <c r="I82" s="707"/>
      <c r="J82" s="705"/>
      <c r="K82" s="386"/>
      <c r="L82" s="705"/>
      <c r="M82" s="705"/>
    </row>
    <row r="83" spans="1:23" s="74" customFormat="1">
      <c r="A83" s="717" t="s">
        <v>1688</v>
      </c>
      <c r="B83" s="718"/>
      <c r="C83" s="718"/>
      <c r="D83" s="1160"/>
      <c r="E83" s="1221">
        <f>'Grasmere Imported Valuation'!CL9</f>
        <v>13</v>
      </c>
      <c r="F83" s="705"/>
      <c r="G83" s="386">
        <f>'Grasmere Imported Valuation'!CN7</f>
        <v>151215.79704927831</v>
      </c>
      <c r="H83" s="1673"/>
      <c r="I83" s="707">
        <v>52</v>
      </c>
      <c r="J83" s="705"/>
      <c r="K83" s="386">
        <v>151215.79704927831</v>
      </c>
      <c r="L83" s="705"/>
      <c r="M83" s="705"/>
    </row>
    <row r="84" spans="1:23" s="74" customFormat="1">
      <c r="A84" s="719"/>
      <c r="B84" s="719"/>
      <c r="C84" s="719"/>
      <c r="D84" s="719"/>
      <c r="E84" s="1221"/>
      <c r="F84" s="705"/>
      <c r="G84" s="386"/>
      <c r="H84" s="1673"/>
      <c r="I84" s="707"/>
      <c r="J84" s="705"/>
      <c r="K84" s="386"/>
      <c r="L84" s="705"/>
      <c r="M84" s="705"/>
    </row>
    <row r="85" spans="1:23" s="74" customFormat="1">
      <c r="A85" s="717" t="s">
        <v>1689</v>
      </c>
      <c r="B85" s="718"/>
      <c r="C85" s="718"/>
      <c r="D85" s="1160"/>
      <c r="E85" s="1221">
        <f>'Grasmere Imported Valuation'!CP9</f>
        <v>22</v>
      </c>
      <c r="F85" s="705"/>
      <c r="G85" s="386"/>
      <c r="H85" s="1673"/>
      <c r="I85" s="707">
        <v>63</v>
      </c>
      <c r="J85" s="705"/>
      <c r="K85" s="386"/>
      <c r="L85" s="705"/>
      <c r="M85" s="705"/>
    </row>
    <row r="86" spans="1:23" s="74" customFormat="1">
      <c r="A86" s="719"/>
      <c r="B86" s="719"/>
      <c r="C86" s="719"/>
      <c r="D86" s="719"/>
      <c r="E86" s="1221"/>
      <c r="F86" s="705"/>
      <c r="G86" s="386"/>
      <c r="H86" s="1673"/>
      <c r="I86" s="707"/>
      <c r="J86" s="705"/>
      <c r="K86" s="386"/>
      <c r="L86" s="705"/>
      <c r="M86" s="705"/>
    </row>
    <row r="87" spans="1:23" s="74" customFormat="1">
      <c r="A87" s="717" t="s">
        <v>1690</v>
      </c>
      <c r="B87" s="718"/>
      <c r="C87" s="718"/>
      <c r="D87" s="1160"/>
      <c r="E87" s="1221">
        <f>'Grasmere Imported Valuation'!CT9</f>
        <v>14</v>
      </c>
      <c r="F87" s="705"/>
      <c r="G87" s="386"/>
      <c r="H87" s="1673"/>
      <c r="I87" s="707">
        <v>62</v>
      </c>
      <c r="J87" s="705"/>
      <c r="K87" s="386"/>
      <c r="L87" s="705"/>
      <c r="M87" s="705"/>
    </row>
    <row r="88" spans="1:23" s="74" customFormat="1">
      <c r="A88" s="717"/>
      <c r="B88" s="718"/>
      <c r="C88" s="718"/>
      <c r="D88" s="1160"/>
      <c r="E88" s="1221"/>
      <c r="F88" s="705"/>
      <c r="G88" s="386"/>
      <c r="H88" s="1673"/>
      <c r="I88" s="707"/>
      <c r="J88" s="705"/>
      <c r="K88" s="386"/>
      <c r="L88" s="705"/>
      <c r="M88" s="705"/>
    </row>
    <row r="89" spans="1:23" s="74" customFormat="1">
      <c r="A89" s="717" t="s">
        <v>1691</v>
      </c>
      <c r="B89" s="718"/>
      <c r="C89" s="718"/>
      <c r="D89" s="1160"/>
      <c r="E89" s="1221">
        <f>'Grasmere Imported Valuation'!CX9</f>
        <v>21</v>
      </c>
      <c r="F89" s="705"/>
      <c r="G89" s="386"/>
      <c r="H89" s="1673"/>
      <c r="I89" s="707"/>
      <c r="J89" s="705"/>
      <c r="K89" s="386"/>
      <c r="L89" s="705"/>
      <c r="M89" s="705"/>
    </row>
    <row r="90" spans="1:23" s="74" customFormat="1">
      <c r="A90" s="717"/>
      <c r="B90" s="718"/>
      <c r="C90" s="718"/>
      <c r="D90" s="1160"/>
      <c r="E90" s="1221"/>
      <c r="F90" s="705"/>
      <c r="G90" s="386"/>
      <c r="H90" s="1673"/>
      <c r="I90" s="707"/>
      <c r="J90" s="705"/>
      <c r="K90" s="386"/>
      <c r="L90" s="705"/>
      <c r="M90" s="705"/>
    </row>
    <row r="91" spans="1:23" s="74" customFormat="1">
      <c r="A91" s="717" t="s">
        <v>1692</v>
      </c>
      <c r="B91" s="718"/>
      <c r="C91" s="718"/>
      <c r="D91" s="1160"/>
      <c r="E91" s="1221">
        <f>'Grasmere Imported Valuation'!DB9</f>
        <v>23</v>
      </c>
      <c r="F91" s="705"/>
      <c r="G91" s="386"/>
      <c r="H91" s="1673"/>
      <c r="I91" s="707"/>
      <c r="J91" s="705"/>
      <c r="K91" s="386"/>
      <c r="L91" s="705"/>
      <c r="M91" s="705"/>
    </row>
    <row r="92" spans="1:23" s="74" customFormat="1">
      <c r="A92" s="717"/>
      <c r="B92" s="718"/>
      <c r="C92" s="718"/>
      <c r="D92" s="1160"/>
      <c r="E92" s="1221"/>
      <c r="F92" s="705"/>
      <c r="G92" s="386"/>
      <c r="H92" s="1673"/>
      <c r="I92" s="707"/>
      <c r="J92" s="705"/>
      <c r="K92" s="386"/>
      <c r="L92" s="705"/>
      <c r="M92" s="705"/>
    </row>
    <row r="93" spans="1:23" s="74" customFormat="1">
      <c r="A93" s="717"/>
      <c r="B93" s="718"/>
      <c r="C93" s="718"/>
      <c r="D93" s="1160"/>
      <c r="E93" s="1221"/>
      <c r="F93" s="705"/>
      <c r="G93" s="386"/>
      <c r="H93" s="1673"/>
      <c r="I93" s="707"/>
      <c r="J93" s="705"/>
      <c r="K93" s="386"/>
      <c r="L93" s="705"/>
      <c r="M93" s="705"/>
    </row>
    <row r="94" spans="1:23" s="31" customFormat="1">
      <c r="A94" s="694"/>
      <c r="B94" s="786" t="s">
        <v>207</v>
      </c>
      <c r="C94" s="1056">
        <f>+E94-D94</f>
        <v>0</v>
      </c>
      <c r="D94" s="737">
        <f>+'Grasmere Imported Valuation'!DN9</f>
        <v>118</v>
      </c>
      <c r="E94" s="1672">
        <f>SUM(E47:E91)</f>
        <v>118</v>
      </c>
      <c r="F94" s="695" t="s">
        <v>138</v>
      </c>
      <c r="G94" s="696"/>
      <c r="H94" s="1642">
        <f>SUM(H47:H81)</f>
        <v>67709114.827818424</v>
      </c>
      <c r="I94" s="1672">
        <f>SUM(I47:I87)</f>
        <v>380</v>
      </c>
      <c r="J94" s="695" t="s">
        <v>138</v>
      </c>
      <c r="K94" s="696"/>
      <c r="L94" s="1642">
        <f>SUM(L47:L81)</f>
        <v>376562943.07416362</v>
      </c>
      <c r="M94" s="61">
        <f>+H94-L94</f>
        <v>-308853828.24634516</v>
      </c>
      <c r="O94" s="31">
        <f>H94-L94</f>
        <v>-308853828.24634516</v>
      </c>
      <c r="Q94" s="31">
        <f>+[64]Grasmere!$H68</f>
        <v>0</v>
      </c>
      <c r="R94" s="31">
        <f t="shared" si="3"/>
        <v>376562943.07416362</v>
      </c>
      <c r="S94" s="31">
        <v>0</v>
      </c>
    </row>
    <row r="95" spans="1:23">
      <c r="A95" s="694"/>
      <c r="B95" s="706"/>
      <c r="C95" s="706"/>
      <c r="D95" s="42"/>
      <c r="E95" s="1220"/>
      <c r="F95" s="42"/>
      <c r="G95" s="693"/>
      <c r="H95" s="725"/>
      <c r="I95" s="712"/>
      <c r="J95" s="42"/>
      <c r="K95" s="693"/>
      <c r="L95" s="725"/>
      <c r="M95" s="705"/>
    </row>
    <row r="96" spans="1:23">
      <c r="A96" s="717" t="s">
        <v>1693</v>
      </c>
      <c r="B96" s="718"/>
      <c r="C96" s="718"/>
      <c r="D96" s="1160"/>
      <c r="E96" s="1220">
        <f>+'Grasmere Imported Valuation'!F21</f>
        <v>0</v>
      </c>
      <c r="F96" s="42"/>
      <c r="G96" s="726">
        <f>+'Grasmere Imported Valuation'!G19</f>
        <v>11049.845000000001</v>
      </c>
      <c r="H96" s="1674">
        <f>+E96*G96</f>
        <v>0</v>
      </c>
      <c r="I96" s="712">
        <v>0</v>
      </c>
      <c r="J96" s="42"/>
      <c r="K96" s="385">
        <v>11049.845000000001</v>
      </c>
      <c r="L96" s="725">
        <v>0</v>
      </c>
      <c r="M96" s="705">
        <f t="shared" si="17"/>
        <v>0</v>
      </c>
      <c r="N96" s="23">
        <f t="shared" ref="N96:N112" si="18">+E96-I96</f>
        <v>0</v>
      </c>
      <c r="O96" s="23">
        <f>H96-L96</f>
        <v>0</v>
      </c>
      <c r="Q96" s="23">
        <f>+[64]Grasmere!$H91</f>
        <v>33149.535000000003</v>
      </c>
      <c r="R96" s="23">
        <f t="shared" ref="R96:R144" si="19">+L96-Q96</f>
        <v>-33149.535000000003</v>
      </c>
      <c r="W96" s="23" t="s">
        <v>138</v>
      </c>
    </row>
    <row r="97" spans="1:25">
      <c r="A97" s="694"/>
      <c r="B97" s="706"/>
      <c r="C97" s="706"/>
      <c r="D97" s="42"/>
      <c r="E97" s="1220" t="s">
        <v>138</v>
      </c>
      <c r="F97" s="42"/>
      <c r="G97" s="726"/>
      <c r="H97" s="725"/>
      <c r="I97" s="712" t="s">
        <v>138</v>
      </c>
      <c r="J97" s="42"/>
      <c r="K97" s="693"/>
      <c r="L97" s="725"/>
      <c r="M97" s="705">
        <v>0</v>
      </c>
      <c r="O97" s="23">
        <v>0</v>
      </c>
      <c r="Q97" s="23">
        <f>+[64]Grasmere!$H92</f>
        <v>0</v>
      </c>
      <c r="R97" s="23" t="s">
        <v>138</v>
      </c>
    </row>
    <row r="98" spans="1:25">
      <c r="A98" s="717" t="s">
        <v>1694</v>
      </c>
      <c r="B98" s="718"/>
      <c r="C98" s="718"/>
      <c r="D98" s="1160"/>
      <c r="E98" s="1220">
        <f>+'Grasmere Imported Valuation'!Z21</f>
        <v>1</v>
      </c>
      <c r="F98" s="42"/>
      <c r="G98" s="726">
        <f>+'Grasmere Imported Valuation'!AA19</f>
        <v>7817.9226160729513</v>
      </c>
      <c r="H98" s="1674">
        <f>+E98*G98</f>
        <v>7817.9226160729513</v>
      </c>
      <c r="I98" s="712">
        <v>3</v>
      </c>
      <c r="J98" s="42"/>
      <c r="K98" s="385">
        <v>7817.9226160729513</v>
      </c>
      <c r="L98" s="725">
        <v>23453.767848218853</v>
      </c>
      <c r="M98" s="705">
        <f t="shared" si="17"/>
        <v>-15635.845232145901</v>
      </c>
      <c r="N98" s="23">
        <f t="shared" si="18"/>
        <v>-2</v>
      </c>
      <c r="O98" s="23">
        <f>H98-L98</f>
        <v>-15635.845232145901</v>
      </c>
      <c r="Q98" s="23">
        <f>+[64]Grasmere!$H93</f>
        <v>54725.458312510658</v>
      </c>
      <c r="R98" s="23">
        <f t="shared" si="19"/>
        <v>-31271.690464291805</v>
      </c>
      <c r="W98" s="23">
        <f>SUM(W96:W97)</f>
        <v>0</v>
      </c>
    </row>
    <row r="99" spans="1:25">
      <c r="A99" s="694"/>
      <c r="B99" s="706"/>
      <c r="C99" s="706"/>
      <c r="D99" s="42"/>
      <c r="E99" s="1220" t="s">
        <v>138</v>
      </c>
      <c r="F99" s="42"/>
      <c r="G99" s="726"/>
      <c r="H99" s="725"/>
      <c r="I99" s="712" t="s">
        <v>138</v>
      </c>
      <c r="J99" s="42"/>
      <c r="K99" s="693"/>
      <c r="L99" s="725"/>
      <c r="M99" s="705">
        <v>0</v>
      </c>
      <c r="O99" s="23">
        <v>0</v>
      </c>
      <c r="Q99" s="23">
        <f>+[64]Grasmere!$H94</f>
        <v>0</v>
      </c>
      <c r="R99" s="23" t="s">
        <v>138</v>
      </c>
    </row>
    <row r="100" spans="1:25">
      <c r="A100" s="717" t="s">
        <v>1695</v>
      </c>
      <c r="B100" s="718"/>
      <c r="C100" s="718"/>
      <c r="D100" s="1160"/>
      <c r="E100" s="1220">
        <f>+'Grasmere Imported Valuation'!AD21</f>
        <v>0</v>
      </c>
      <c r="F100" s="42"/>
      <c r="G100" s="726">
        <f>+'Grasmere Imported Valuation'!AE19</f>
        <v>9815.8719999999994</v>
      </c>
      <c r="H100" s="1674">
        <f>+E100*G100</f>
        <v>0</v>
      </c>
      <c r="I100" s="712">
        <v>0</v>
      </c>
      <c r="J100" s="42"/>
      <c r="K100" s="385">
        <v>9815.8719999999994</v>
      </c>
      <c r="L100" s="725">
        <v>0</v>
      </c>
      <c r="M100" s="705">
        <f t="shared" si="17"/>
        <v>0</v>
      </c>
      <c r="N100" s="23">
        <f t="shared" si="18"/>
        <v>0</v>
      </c>
      <c r="O100" s="23">
        <f>H100-L100</f>
        <v>0</v>
      </c>
      <c r="Q100" s="23">
        <f>+[64]Grasmere!$H95</f>
        <v>39263.487999999998</v>
      </c>
      <c r="R100" s="23">
        <f t="shared" si="19"/>
        <v>-39263.487999999998</v>
      </c>
    </row>
    <row r="101" spans="1:25">
      <c r="A101" s="694"/>
      <c r="B101" s="706"/>
      <c r="C101" s="706"/>
      <c r="D101" s="42"/>
      <c r="E101" s="1220" t="s">
        <v>138</v>
      </c>
      <c r="F101" s="42"/>
      <c r="G101" s="726"/>
      <c r="H101" s="725"/>
      <c r="I101" s="712" t="s">
        <v>138</v>
      </c>
      <c r="J101" s="42"/>
      <c r="K101" s="693"/>
      <c r="L101" s="725"/>
      <c r="M101" s="705">
        <v>0</v>
      </c>
      <c r="O101" s="23">
        <v>0</v>
      </c>
      <c r="Q101" s="23">
        <f>+[64]Grasmere!$H96</f>
        <v>0</v>
      </c>
      <c r="R101" s="23" t="s">
        <v>138</v>
      </c>
    </row>
    <row r="102" spans="1:25">
      <c r="A102" s="717" t="s">
        <v>1696</v>
      </c>
      <c r="B102" s="718"/>
      <c r="C102" s="718"/>
      <c r="D102" s="1160"/>
      <c r="E102" s="1220">
        <f>+'Richlands Imported Valuation'!B37</f>
        <v>0</v>
      </c>
      <c r="F102" s="42"/>
      <c r="G102" s="726">
        <f>+'Richlands Imported Valuation'!C35</f>
        <v>0</v>
      </c>
      <c r="H102" s="1674">
        <f>+E102*G102</f>
        <v>0</v>
      </c>
      <c r="I102" s="712">
        <v>0</v>
      </c>
      <c r="J102" s="42"/>
      <c r="K102" s="385">
        <v>14987.008573253488</v>
      </c>
      <c r="L102" s="725">
        <v>0</v>
      </c>
      <c r="M102" s="705">
        <f t="shared" si="17"/>
        <v>0</v>
      </c>
      <c r="N102" s="23">
        <f t="shared" si="18"/>
        <v>0</v>
      </c>
      <c r="O102" s="23">
        <f>H102-L102</f>
        <v>0</v>
      </c>
      <c r="Q102" s="23">
        <f>+[64]Grasmere!$H97</f>
        <v>44961.025719760466</v>
      </c>
      <c r="R102" s="23">
        <f t="shared" si="19"/>
        <v>-44961.025719760466</v>
      </c>
    </row>
    <row r="103" spans="1:25">
      <c r="A103" s="694"/>
      <c r="B103" s="706"/>
      <c r="C103" s="706"/>
      <c r="D103" s="42"/>
      <c r="E103" s="1220" t="s">
        <v>138</v>
      </c>
      <c r="F103" s="42"/>
      <c r="G103" s="726"/>
      <c r="H103" s="725"/>
      <c r="I103" s="712" t="s">
        <v>138</v>
      </c>
      <c r="J103" s="42"/>
      <c r="K103" s="693"/>
      <c r="L103" s="725"/>
      <c r="M103" s="705">
        <v>0</v>
      </c>
      <c r="O103" s="23">
        <v>0</v>
      </c>
      <c r="Q103" s="23">
        <f>+[64]Grasmere!$H98</f>
        <v>0</v>
      </c>
      <c r="R103" s="23" t="s">
        <v>138</v>
      </c>
    </row>
    <row r="104" spans="1:25">
      <c r="A104" s="717" t="s">
        <v>1697</v>
      </c>
      <c r="B104" s="718"/>
      <c r="C104" s="718"/>
      <c r="D104" s="1160"/>
      <c r="E104" s="1220">
        <f>+'Grasmere Imported Valuation'!V21</f>
        <v>0</v>
      </c>
      <c r="F104" s="42"/>
      <c r="G104" s="726">
        <f>+'Grasmere Imported Valuation'!W19</f>
        <v>10835.36</v>
      </c>
      <c r="H104" s="1674">
        <f>+E104*G104</f>
        <v>0</v>
      </c>
      <c r="I104" s="712">
        <v>0</v>
      </c>
      <c r="J104" s="42"/>
      <c r="K104" s="385">
        <v>10835.36</v>
      </c>
      <c r="L104" s="725">
        <v>0</v>
      </c>
      <c r="M104" s="705">
        <f t="shared" si="17"/>
        <v>0</v>
      </c>
      <c r="N104" s="23">
        <f t="shared" si="18"/>
        <v>0</v>
      </c>
      <c r="O104" s="23">
        <f>H104-L104</f>
        <v>0</v>
      </c>
      <c r="Q104" s="23">
        <f>+[64]Grasmere!$H99</f>
        <v>43341.440000000002</v>
      </c>
      <c r="R104" s="23">
        <f t="shared" si="19"/>
        <v>-43341.440000000002</v>
      </c>
    </row>
    <row r="105" spans="1:25">
      <c r="A105" s="694"/>
      <c r="B105" s="706"/>
      <c r="C105" s="706"/>
      <c r="D105" s="42"/>
      <c r="E105" s="1220"/>
      <c r="F105" s="42"/>
      <c r="G105" s="726"/>
      <c r="H105" s="725"/>
      <c r="I105" s="712"/>
      <c r="J105" s="42"/>
      <c r="K105" s="693"/>
      <c r="L105" s="725"/>
      <c r="M105" s="705">
        <f t="shared" si="17"/>
        <v>0</v>
      </c>
      <c r="Q105" s="23">
        <f>+[64]Grasmere!$H100</f>
        <v>0</v>
      </c>
      <c r="R105" s="23">
        <f t="shared" si="19"/>
        <v>0</v>
      </c>
    </row>
    <row r="106" spans="1:25">
      <c r="A106" s="717" t="s">
        <v>1698</v>
      </c>
      <c r="B106" s="718"/>
      <c r="C106" s="718"/>
      <c r="D106" s="1160"/>
      <c r="E106" s="1221">
        <f>+'Grasmere Imported Valuation'!AP21</f>
        <v>1</v>
      </c>
      <c r="F106" s="42"/>
      <c r="G106" s="726">
        <f>+'Grasmere Imported Valuation'!AQ19</f>
        <v>7358.9425580510087</v>
      </c>
      <c r="H106" s="1674">
        <f>+E106*G106</f>
        <v>7358.9425580510087</v>
      </c>
      <c r="I106" s="712">
        <v>1</v>
      </c>
      <c r="J106" s="42"/>
      <c r="K106" s="385">
        <v>7358.9425580510087</v>
      </c>
      <c r="L106" s="725">
        <v>7358.9425580510087</v>
      </c>
      <c r="M106" s="705">
        <f t="shared" si="17"/>
        <v>0</v>
      </c>
      <c r="N106" s="23">
        <f t="shared" si="18"/>
        <v>0</v>
      </c>
      <c r="O106" s="23">
        <f>H106-L106</f>
        <v>0</v>
      </c>
      <c r="Q106" s="23">
        <f>+[64]Grasmere!$H101</f>
        <v>29435.770232204035</v>
      </c>
      <c r="R106" s="23">
        <f t="shared" si="19"/>
        <v>-22076.827674153028</v>
      </c>
    </row>
    <row r="107" spans="1:25">
      <c r="A107" s="694"/>
      <c r="B107" s="706"/>
      <c r="C107" s="706"/>
      <c r="D107" s="42"/>
      <c r="E107" s="1220"/>
      <c r="F107" s="42"/>
      <c r="G107" s="726"/>
      <c r="H107" s="725"/>
      <c r="I107" s="712"/>
      <c r="J107" s="42"/>
      <c r="K107" s="726"/>
      <c r="L107" s="725"/>
      <c r="M107" s="705">
        <f t="shared" si="17"/>
        <v>0</v>
      </c>
      <c r="Q107" s="23">
        <f>+[64]Grasmere!$H102</f>
        <v>0</v>
      </c>
      <c r="R107" s="23">
        <f t="shared" si="19"/>
        <v>0</v>
      </c>
    </row>
    <row r="108" spans="1:25">
      <c r="A108" s="717" t="s">
        <v>1699</v>
      </c>
      <c r="B108" s="718"/>
      <c r="C108" s="718"/>
      <c r="D108" s="1160"/>
      <c r="E108" s="1221">
        <f>+'Grasmere Imported Valuation'!AT21</f>
        <v>1</v>
      </c>
      <c r="F108" s="42"/>
      <c r="G108" s="726">
        <f>+'Grasmere Imported Valuation'!AU19</f>
        <v>16377.627951668586</v>
      </c>
      <c r="H108" s="1674">
        <f>+E108*G108</f>
        <v>16377.627951668586</v>
      </c>
      <c r="I108" s="712">
        <v>1</v>
      </c>
      <c r="J108" s="42"/>
      <c r="K108" s="385">
        <v>16377.627951668586</v>
      </c>
      <c r="L108" s="725">
        <v>16377.627951668586</v>
      </c>
      <c r="M108" s="705">
        <f t="shared" si="17"/>
        <v>0</v>
      </c>
      <c r="N108" s="23">
        <f t="shared" si="18"/>
        <v>0</v>
      </c>
      <c r="Q108" s="23">
        <f>+[64]Grasmere!$H103</f>
        <v>163776.27951668587</v>
      </c>
      <c r="R108" s="23">
        <f t="shared" si="19"/>
        <v>-147398.6515650173</v>
      </c>
    </row>
    <row r="109" spans="1:25">
      <c r="A109" s="694"/>
      <c r="B109" s="706"/>
      <c r="C109" s="706"/>
      <c r="D109" s="42"/>
      <c r="E109" s="1220"/>
      <c r="F109" s="42"/>
      <c r="G109" s="726"/>
      <c r="H109" s="725"/>
      <c r="I109" s="712"/>
      <c r="J109" s="42"/>
      <c r="K109" s="385"/>
      <c r="L109" s="725"/>
      <c r="M109" s="705">
        <f t="shared" si="17"/>
        <v>0</v>
      </c>
      <c r="Q109" s="23">
        <f>+[64]Grasmere!$H104</f>
        <v>0</v>
      </c>
      <c r="R109" s="23">
        <f t="shared" si="19"/>
        <v>0</v>
      </c>
    </row>
    <row r="110" spans="1:25">
      <c r="A110" s="717" t="s">
        <v>1700</v>
      </c>
      <c r="B110" s="718"/>
      <c r="C110" s="718"/>
      <c r="D110" s="1160"/>
      <c r="E110" s="1221">
        <f>+'Grasmere Imported Valuation'!AX21</f>
        <v>1</v>
      </c>
      <c r="F110" s="42"/>
      <c r="G110" s="726">
        <f>+'Grasmere Imported Valuation'!AY19</f>
        <v>76871.666666666672</v>
      </c>
      <c r="H110" s="1674">
        <f>+E110*G110</f>
        <v>76871.666666666672</v>
      </c>
      <c r="I110" s="712">
        <v>1</v>
      </c>
      <c r="J110" s="42"/>
      <c r="K110" s="726">
        <v>76871.666666666672</v>
      </c>
      <c r="L110" s="725">
        <v>76871.666666666672</v>
      </c>
      <c r="M110" s="705">
        <f>+H110-L110</f>
        <v>0</v>
      </c>
      <c r="N110" s="23">
        <f t="shared" si="18"/>
        <v>0</v>
      </c>
      <c r="Q110" s="23">
        <f>+[64]Grasmere!$H105</f>
        <v>461230</v>
      </c>
      <c r="R110" s="23">
        <f t="shared" si="19"/>
        <v>-384358.33333333331</v>
      </c>
      <c r="Y110" s="23">
        <f>49-24-5-8</f>
        <v>12</v>
      </c>
    </row>
    <row r="111" spans="1:25">
      <c r="A111" s="694"/>
      <c r="B111" s="706"/>
      <c r="C111" s="706"/>
      <c r="D111" s="42"/>
      <c r="E111" s="1220"/>
      <c r="F111" s="42"/>
      <c r="G111" s="726"/>
      <c r="H111" s="725"/>
      <c r="I111" s="712"/>
      <c r="J111" s="42"/>
      <c r="K111" s="726"/>
      <c r="L111" s="725"/>
      <c r="M111" s="705">
        <f t="shared" si="17"/>
        <v>0</v>
      </c>
    </row>
    <row r="112" spans="1:25">
      <c r="A112" s="717" t="s">
        <v>1701</v>
      </c>
      <c r="B112" s="718"/>
      <c r="C112" s="718"/>
      <c r="D112" s="1160"/>
      <c r="E112" s="1220">
        <f>+'Grasmere Imported Valuation'!BB21</f>
        <v>0</v>
      </c>
      <c r="F112" s="42"/>
      <c r="G112" s="726">
        <f>+'Grasmere Imported Valuation'!BC19</f>
        <v>192558.29391729325</v>
      </c>
      <c r="H112" s="1674">
        <f>+E112*G112</f>
        <v>0</v>
      </c>
      <c r="I112" s="712">
        <v>2</v>
      </c>
      <c r="J112" s="42"/>
      <c r="K112" s="726">
        <v>192558.29391729325</v>
      </c>
      <c r="L112" s="725">
        <v>385116.58783458651</v>
      </c>
      <c r="M112" s="705">
        <f t="shared" si="17"/>
        <v>-385116.58783458651</v>
      </c>
      <c r="N112" s="23">
        <f t="shared" si="18"/>
        <v>-2</v>
      </c>
    </row>
    <row r="113" spans="1:13" s="74" customFormat="1">
      <c r="A113" s="719"/>
      <c r="B113" s="713"/>
      <c r="C113" s="713"/>
      <c r="D113" s="705"/>
      <c r="E113" s="1221"/>
      <c r="F113" s="705"/>
      <c r="G113" s="726"/>
      <c r="H113" s="725"/>
      <c r="I113" s="707"/>
      <c r="J113" s="705"/>
      <c r="K113" s="726"/>
      <c r="L113" s="725"/>
      <c r="M113" s="705">
        <f t="shared" si="17"/>
        <v>0</v>
      </c>
    </row>
    <row r="114" spans="1:13">
      <c r="A114" s="717" t="s">
        <v>1702</v>
      </c>
      <c r="B114" s="718"/>
      <c r="C114" s="718"/>
      <c r="D114" s="1160"/>
      <c r="E114" s="1220">
        <f>+'Grasmere Imported Valuation'!BF21</f>
        <v>0</v>
      </c>
      <c r="F114" s="42"/>
      <c r="G114" s="726">
        <f>+'Grasmere Imported Valuation'!BG19</f>
        <v>261154.31712121217</v>
      </c>
      <c r="H114" s="1674">
        <f>+E114*G114</f>
        <v>0</v>
      </c>
      <c r="I114" s="712">
        <v>1</v>
      </c>
      <c r="J114" s="42"/>
      <c r="K114" s="726">
        <v>261154.31712121217</v>
      </c>
      <c r="L114" s="725">
        <v>261154.31712121217</v>
      </c>
      <c r="M114" s="705">
        <f t="shared" si="17"/>
        <v>-261154.31712121217</v>
      </c>
    </row>
    <row r="115" spans="1:13" s="1492" customFormat="1">
      <c r="A115" s="694"/>
      <c r="B115" s="706"/>
      <c r="C115" s="706"/>
      <c r="D115" s="42"/>
      <c r="E115" s="1220"/>
      <c r="F115" s="42"/>
      <c r="G115" s="726"/>
      <c r="H115" s="725"/>
      <c r="I115" s="712"/>
      <c r="J115" s="42"/>
      <c r="K115" s="726"/>
      <c r="L115" s="725"/>
      <c r="M115" s="1491"/>
    </row>
    <row r="116" spans="1:13">
      <c r="A116" s="717" t="s">
        <v>1703</v>
      </c>
      <c r="B116" s="718"/>
      <c r="C116" s="718"/>
      <c r="D116" s="1160"/>
      <c r="E116" s="1220">
        <f>+'Grasmere Imported Valuation'!BJ21</f>
        <v>0</v>
      </c>
      <c r="F116" s="42"/>
      <c r="G116" s="726">
        <f>+'Grasmere Imported Valuation'!BK19</f>
        <v>285116.59484520816</v>
      </c>
      <c r="H116" s="1674">
        <f>+E116*G116</f>
        <v>0</v>
      </c>
      <c r="I116" s="712">
        <v>1</v>
      </c>
      <c r="J116" s="42"/>
      <c r="K116" s="726">
        <v>285116.59484520816</v>
      </c>
      <c r="L116" s="725">
        <v>285116.59484520816</v>
      </c>
      <c r="M116" s="705"/>
    </row>
    <row r="117" spans="1:13" s="74" customFormat="1">
      <c r="A117" s="61"/>
      <c r="B117" s="713"/>
      <c r="C117" s="713"/>
      <c r="D117" s="705"/>
      <c r="E117" s="1221"/>
      <c r="F117" s="705"/>
      <c r="G117" s="726"/>
      <c r="H117" s="725"/>
      <c r="I117" s="707"/>
      <c r="J117" s="705"/>
      <c r="K117" s="726"/>
      <c r="L117" s="725"/>
      <c r="M117" s="705"/>
    </row>
    <row r="118" spans="1:13">
      <c r="A118" s="717" t="s">
        <v>1704</v>
      </c>
      <c r="B118" s="718"/>
      <c r="C118" s="718"/>
      <c r="D118" s="1160"/>
      <c r="E118" s="1220">
        <f>+'Grasmere Imported Valuation'!BN21</f>
        <v>0</v>
      </c>
      <c r="F118" s="42"/>
      <c r="G118" s="726">
        <f>+'Grasmere Imported Valuation'!BO19</f>
        <v>309484.57765520358</v>
      </c>
      <c r="H118" s="1674">
        <f>+E118*G118</f>
        <v>0</v>
      </c>
      <c r="I118" s="712">
        <v>0</v>
      </c>
      <c r="J118" s="42"/>
      <c r="K118" s="726">
        <v>309484.57765520358</v>
      </c>
      <c r="L118" s="725">
        <v>0</v>
      </c>
      <c r="M118" s="705"/>
    </row>
    <row r="119" spans="1:13" s="74" customFormat="1">
      <c r="A119" s="61"/>
      <c r="B119" s="713"/>
      <c r="C119" s="713"/>
      <c r="D119" s="704"/>
      <c r="E119" s="707"/>
      <c r="F119" s="705"/>
      <c r="G119" s="726"/>
      <c r="H119" s="725"/>
      <c r="I119" s="707"/>
      <c r="J119" s="705"/>
      <c r="K119" s="726"/>
      <c r="L119" s="725"/>
      <c r="M119" s="705"/>
    </row>
    <row r="120" spans="1:13">
      <c r="A120" s="1337" t="s">
        <v>1705</v>
      </c>
      <c r="B120" s="718"/>
      <c r="C120" s="718"/>
      <c r="D120" s="1734"/>
      <c r="E120" s="712">
        <f>+'Grasmere Imported Valuation'!BR21</f>
        <v>0</v>
      </c>
      <c r="F120" s="42"/>
      <c r="G120" s="726">
        <f>+'Grasmere Imported Valuation'!BS19</f>
        <v>708067.95992681163</v>
      </c>
      <c r="H120" s="1674">
        <f>+E120*G120</f>
        <v>0</v>
      </c>
      <c r="I120" s="712">
        <v>3</v>
      </c>
      <c r="J120" s="42"/>
      <c r="K120" s="726">
        <v>708067.95992681163</v>
      </c>
      <c r="L120" s="725">
        <v>2124203.879780435</v>
      </c>
      <c r="M120" s="705"/>
    </row>
    <row r="121" spans="1:13" s="74" customFormat="1">
      <c r="A121" s="61"/>
      <c r="B121" s="713"/>
      <c r="C121" s="713"/>
      <c r="D121" s="704"/>
      <c r="E121" s="707"/>
      <c r="F121" s="705"/>
      <c r="G121" s="726"/>
      <c r="H121" s="725"/>
      <c r="I121" s="707"/>
      <c r="J121" s="705"/>
      <c r="K121" s="726"/>
      <c r="L121" s="725"/>
      <c r="M121" s="705"/>
    </row>
    <row r="122" spans="1:13">
      <c r="A122" s="1337" t="s">
        <v>1706</v>
      </c>
      <c r="B122" s="718"/>
      <c r="C122" s="718"/>
      <c r="D122" s="1734"/>
      <c r="E122" s="712">
        <f>+'Grasmere Imported Valuation'!BZ21</f>
        <v>0</v>
      </c>
      <c r="F122" s="42"/>
      <c r="G122" s="726">
        <f>+'Grasmere Imported Valuation'!CA19</f>
        <v>1945534.0347603799</v>
      </c>
      <c r="H122" s="1674">
        <f>+E122*G122</f>
        <v>0</v>
      </c>
      <c r="I122" s="712">
        <v>3</v>
      </c>
      <c r="J122" s="42"/>
      <c r="K122" s="726">
        <v>1945534.0347603799</v>
      </c>
      <c r="L122" s="725">
        <v>5836602.1042811396</v>
      </c>
      <c r="M122" s="705"/>
    </row>
    <row r="123" spans="1:13" s="74" customFormat="1">
      <c r="A123" s="61"/>
      <c r="B123" s="713"/>
      <c r="C123" s="713"/>
      <c r="D123" s="704"/>
      <c r="E123" s="707"/>
      <c r="F123" s="705"/>
      <c r="G123" s="726"/>
      <c r="H123" s="725"/>
      <c r="I123" s="707"/>
      <c r="J123" s="705"/>
      <c r="K123" s="726"/>
      <c r="L123" s="725"/>
      <c r="M123" s="705"/>
    </row>
    <row r="124" spans="1:13">
      <c r="A124" s="1337" t="s">
        <v>1707</v>
      </c>
      <c r="B124" s="718"/>
      <c r="C124" s="718"/>
      <c r="D124" s="1734"/>
      <c r="E124" s="712">
        <f>+'Grasmere Imported Valuation'!CD21</f>
        <v>0</v>
      </c>
      <c r="F124" s="42"/>
      <c r="G124" s="726">
        <f>+'Grasmere Imported Valuation'!CE19</f>
        <v>1310142.0875361108</v>
      </c>
      <c r="H124" s="1674">
        <f>+E124*G124</f>
        <v>0</v>
      </c>
      <c r="I124" s="712">
        <v>1</v>
      </c>
      <c r="J124" s="42"/>
      <c r="K124" s="726">
        <v>1310142.0875361108</v>
      </c>
      <c r="L124" s="725">
        <v>1310142.0875361108</v>
      </c>
      <c r="M124" s="705"/>
    </row>
    <row r="125" spans="1:13">
      <c r="A125" s="1337"/>
      <c r="B125" s="718"/>
      <c r="C125" s="718"/>
      <c r="D125" s="1734"/>
      <c r="E125" s="712"/>
      <c r="F125" s="42"/>
      <c r="G125" s="726"/>
      <c r="H125" s="1674"/>
      <c r="I125" s="712"/>
      <c r="J125" s="42"/>
      <c r="K125" s="726"/>
      <c r="L125" s="725"/>
      <c r="M125" s="705"/>
    </row>
    <row r="126" spans="1:13">
      <c r="A126" s="1337" t="s">
        <v>1708</v>
      </c>
      <c r="B126" s="718"/>
      <c r="C126" s="718"/>
      <c r="D126" s="1734"/>
      <c r="E126" s="712">
        <f>'Grasmere Imported Valuation'!CH21</f>
        <v>1</v>
      </c>
      <c r="F126" s="42"/>
      <c r="G126" s="726">
        <f>'Grasmere Imported Valuation'!CI19</f>
        <v>4433598.130629871</v>
      </c>
      <c r="H126" s="1674">
        <f>+E126*G126</f>
        <v>4433598.130629871</v>
      </c>
      <c r="I126" s="712">
        <v>5</v>
      </c>
      <c r="J126" s="42"/>
      <c r="K126" s="726">
        <v>4433598.130629871</v>
      </c>
      <c r="L126" s="725">
        <v>22167990.653149355</v>
      </c>
      <c r="M126" s="705"/>
    </row>
    <row r="127" spans="1:13" s="74" customFormat="1">
      <c r="A127" s="61"/>
      <c r="B127" s="713"/>
      <c r="C127" s="713"/>
      <c r="D127" s="704"/>
      <c r="E127" s="707"/>
      <c r="F127" s="705"/>
      <c r="G127" s="726"/>
      <c r="H127" s="725"/>
      <c r="I127" s="707"/>
      <c r="J127" s="705"/>
      <c r="K127" s="726"/>
      <c r="L127" s="725"/>
      <c r="M127" s="705"/>
    </row>
    <row r="128" spans="1:13">
      <c r="A128" s="1337" t="s">
        <v>1709</v>
      </c>
      <c r="B128" s="718"/>
      <c r="C128" s="718"/>
      <c r="D128" s="1734"/>
      <c r="E128" s="712">
        <f>'Grasmere Imported Valuation'!CL21</f>
        <v>1</v>
      </c>
      <c r="F128" s="42"/>
      <c r="G128" s="726">
        <f>'Grasmere Imported Valuation'!CM19</f>
        <v>167.05821019531521</v>
      </c>
      <c r="H128" s="1674">
        <f>E128*G128</f>
        <v>167.05821019531521</v>
      </c>
      <c r="I128" s="712">
        <v>3</v>
      </c>
      <c r="J128" s="42"/>
      <c r="K128" s="726">
        <v>167.05821019531521</v>
      </c>
      <c r="L128" s="725">
        <v>501.17463058594564</v>
      </c>
      <c r="M128" s="705"/>
    </row>
    <row r="129" spans="1:19">
      <c r="A129" s="712"/>
      <c r="B129" s="712"/>
      <c r="C129" s="712"/>
      <c r="D129" s="712"/>
      <c r="E129" s="712"/>
      <c r="F129" s="42"/>
      <c r="G129" s="726"/>
      <c r="H129" s="1674"/>
      <c r="I129" s="712"/>
      <c r="J129" s="42"/>
      <c r="K129" s="726"/>
      <c r="L129" s="725"/>
      <c r="M129" s="705"/>
    </row>
    <row r="130" spans="1:19">
      <c r="A130" s="1337" t="s">
        <v>1710</v>
      </c>
      <c r="B130" s="718"/>
      <c r="C130" s="718"/>
      <c r="D130" s="1734"/>
      <c r="E130" s="712">
        <f>'Grasmere Imported Valuation'!CP21</f>
        <v>4</v>
      </c>
      <c r="F130" s="42"/>
      <c r="G130" s="726">
        <f>'Grasmere Imported Valuation'!CQ19</f>
        <v>2640.7277044547914</v>
      </c>
      <c r="H130" s="1674">
        <f>E130*G130</f>
        <v>10562.910817819165</v>
      </c>
      <c r="I130" s="712">
        <v>7</v>
      </c>
      <c r="J130" s="42"/>
      <c r="K130" s="726">
        <v>2640.7277044547914</v>
      </c>
      <c r="L130" s="725">
        <v>18485.093931183539</v>
      </c>
      <c r="M130" s="705"/>
    </row>
    <row r="131" spans="1:19">
      <c r="A131" s="712"/>
      <c r="B131" s="712"/>
      <c r="C131" s="712"/>
      <c r="D131" s="712"/>
      <c r="E131" s="712"/>
      <c r="F131" s="42"/>
      <c r="G131" s="726"/>
      <c r="H131" s="1674"/>
      <c r="I131" s="712"/>
      <c r="J131" s="42"/>
      <c r="K131" s="726"/>
      <c r="L131" s="725"/>
      <c r="M131" s="705"/>
    </row>
    <row r="132" spans="1:19">
      <c r="A132" s="1337" t="s">
        <v>1711</v>
      </c>
      <c r="B132" s="718"/>
      <c r="C132" s="718"/>
      <c r="D132" s="1734"/>
      <c r="E132" s="712">
        <f>'Grasmere Imported Valuation'!CT21</f>
        <v>0</v>
      </c>
      <c r="F132" s="42"/>
      <c r="G132" s="726">
        <f>'Grasmere Imported Valuation'!CU19</f>
        <v>3031.3260040427031</v>
      </c>
      <c r="H132" s="1674">
        <f>E132*G132</f>
        <v>0</v>
      </c>
      <c r="I132" s="712">
        <v>3</v>
      </c>
      <c r="J132" s="42"/>
      <c r="K132" s="726">
        <v>3031.3260040427031</v>
      </c>
      <c r="L132" s="725">
        <v>9093.9780121281092</v>
      </c>
      <c r="M132" s="705"/>
    </row>
    <row r="133" spans="1:19">
      <c r="A133" s="1337"/>
      <c r="B133" s="718"/>
      <c r="C133" s="718"/>
      <c r="D133" s="1734"/>
      <c r="E133" s="712"/>
      <c r="F133" s="42"/>
      <c r="G133" s="726"/>
      <c r="H133" s="1674"/>
      <c r="I133" s="712"/>
      <c r="J133" s="42"/>
      <c r="K133" s="726"/>
      <c r="L133" s="725"/>
      <c r="M133" s="705"/>
    </row>
    <row r="134" spans="1:19">
      <c r="A134" s="1337" t="s">
        <v>1712</v>
      </c>
      <c r="B134" s="718"/>
      <c r="C134" s="718"/>
      <c r="D134" s="1734"/>
      <c r="E134" s="712">
        <f>'Grasmere Imported Valuation'!CX21</f>
        <v>2</v>
      </c>
      <c r="F134" s="42"/>
      <c r="G134" s="726"/>
      <c r="H134" s="1674"/>
      <c r="I134" s="712"/>
      <c r="J134" s="42"/>
      <c r="K134" s="726"/>
      <c r="L134" s="725"/>
      <c r="M134" s="705"/>
    </row>
    <row r="135" spans="1:19">
      <c r="A135" s="1337"/>
      <c r="B135" s="718"/>
      <c r="C135" s="718"/>
      <c r="D135" s="1734"/>
      <c r="E135" s="712"/>
      <c r="F135" s="42"/>
      <c r="G135" s="726"/>
      <c r="H135" s="1674"/>
      <c r="I135" s="712"/>
      <c r="J135" s="42"/>
      <c r="K135" s="726"/>
      <c r="L135" s="725"/>
      <c r="M135" s="705"/>
    </row>
    <row r="136" spans="1:19">
      <c r="A136" s="1337" t="s">
        <v>1713</v>
      </c>
      <c r="B136" s="718"/>
      <c r="C136" s="718"/>
      <c r="D136" s="1734"/>
      <c r="E136" s="712">
        <f>'Grasmere Imported Valuation'!DB23</f>
        <v>4</v>
      </c>
      <c r="F136" s="42"/>
      <c r="G136" s="726"/>
      <c r="H136" s="1674"/>
      <c r="I136" s="712"/>
      <c r="J136" s="42"/>
      <c r="K136" s="726"/>
      <c r="L136" s="725"/>
      <c r="M136" s="705"/>
    </row>
    <row r="137" spans="1:19">
      <c r="A137" s="1337"/>
      <c r="B137" s="718"/>
      <c r="C137" s="718"/>
      <c r="D137" s="1734"/>
      <c r="E137" s="712"/>
      <c r="F137" s="42"/>
      <c r="G137" s="726"/>
      <c r="H137" s="1674"/>
      <c r="I137" s="712"/>
      <c r="J137" s="42"/>
      <c r="K137" s="726"/>
      <c r="L137" s="725"/>
      <c r="M137" s="705"/>
    </row>
    <row r="138" spans="1:19">
      <c r="A138" s="1337" t="s">
        <v>1714</v>
      </c>
      <c r="B138" s="718"/>
      <c r="C138" s="718"/>
      <c r="D138" s="1734"/>
      <c r="E138" s="712">
        <f>'Grasmere Imported Valuation'!DF23</f>
        <v>4</v>
      </c>
      <c r="F138" s="42"/>
      <c r="G138" s="726"/>
      <c r="H138" s="1674"/>
      <c r="I138" s="712"/>
      <c r="J138" s="42"/>
      <c r="K138" s="726"/>
      <c r="L138" s="725"/>
      <c r="M138" s="705"/>
    </row>
    <row r="139" spans="1:19">
      <c r="A139" s="1337"/>
      <c r="B139" s="718"/>
      <c r="C139" s="718"/>
      <c r="D139" s="1734"/>
      <c r="E139" s="712"/>
      <c r="F139" s="42"/>
      <c r="G139" s="726"/>
      <c r="H139" s="1674"/>
      <c r="I139" s="712"/>
      <c r="J139" s="42"/>
      <c r="K139" s="726"/>
      <c r="L139" s="725"/>
      <c r="M139" s="705"/>
    </row>
    <row r="140" spans="1:19">
      <c r="A140" s="1337" t="s">
        <v>1715</v>
      </c>
      <c r="B140" s="718"/>
      <c r="C140" s="718"/>
      <c r="D140" s="1734"/>
      <c r="E140" s="712">
        <f>'Grasmere Imported Valuation'!DJ23</f>
        <v>8</v>
      </c>
      <c r="F140" s="42"/>
      <c r="G140" s="726"/>
      <c r="H140" s="1674"/>
      <c r="I140" s="712"/>
      <c r="J140" s="42"/>
      <c r="K140" s="726"/>
      <c r="L140" s="725"/>
      <c r="M140" s="705"/>
    </row>
    <row r="141" spans="1:19">
      <c r="A141" s="1337"/>
      <c r="B141" s="718"/>
      <c r="C141" s="718"/>
      <c r="D141" s="1734"/>
      <c r="E141" s="712"/>
      <c r="F141" s="42"/>
      <c r="G141" s="726"/>
      <c r="H141" s="1674"/>
      <c r="I141" s="712"/>
      <c r="J141" s="42"/>
      <c r="K141" s="726"/>
      <c r="L141" s="725"/>
      <c r="M141" s="705"/>
    </row>
    <row r="142" spans="1:19">
      <c r="A142" s="1337"/>
      <c r="B142" s="718"/>
      <c r="C142" s="718"/>
      <c r="D142" s="1734"/>
      <c r="E142" s="712"/>
      <c r="F142" s="42"/>
      <c r="G142" s="726"/>
      <c r="H142" s="1674"/>
      <c r="I142" s="712"/>
      <c r="J142" s="42"/>
      <c r="K142" s="726"/>
      <c r="L142" s="725"/>
      <c r="M142" s="705"/>
    </row>
    <row r="143" spans="1:19" s="31" customFormat="1">
      <c r="A143" s="824"/>
      <c r="B143" s="779" t="s">
        <v>207</v>
      </c>
      <c r="C143" s="826">
        <f>+D143-E143</f>
        <v>0</v>
      </c>
      <c r="D143" s="1735">
        <f>+'Richlands Imported Valuation'!AP37+'Grasmere Imported Valuation'!DN21</f>
        <v>28</v>
      </c>
      <c r="E143" s="418">
        <f>SUM(E96:E140)</f>
        <v>28</v>
      </c>
      <c r="F143" s="700"/>
      <c r="G143" s="701"/>
      <c r="H143" s="659">
        <f>SUM(H96:H132)</f>
        <v>4552754.2594503444</v>
      </c>
      <c r="I143" s="418">
        <f>SUM(I96:I132)</f>
        <v>35</v>
      </c>
      <c r="J143" s="700"/>
      <c r="K143" s="701"/>
      <c r="L143" s="702">
        <f>SUM(L96:L132)</f>
        <v>32522468.476146553</v>
      </c>
      <c r="M143" s="61">
        <f>+H143-L143</f>
        <v>-27969714.21669621</v>
      </c>
      <c r="O143" s="31">
        <f>H143-L143</f>
        <v>-27969714.21669621</v>
      </c>
      <c r="Q143" s="31">
        <f>+[64]Grasmere!$H106</f>
        <v>0</v>
      </c>
      <c r="R143" s="31">
        <f t="shared" si="19"/>
        <v>32522468.476146553</v>
      </c>
    </row>
    <row r="144" spans="1:19">
      <c r="A144" s="692"/>
      <c r="B144" s="706"/>
      <c r="C144" s="706"/>
      <c r="D144" s="623" t="s">
        <v>138</v>
      </c>
      <c r="E144" s="729">
        <f>+E45+E94+E143</f>
        <v>27839</v>
      </c>
      <c r="F144" s="42"/>
      <c r="G144" s="693"/>
      <c r="H144" s="737">
        <f>+H45+H94+H143</f>
        <v>76879976.279434115</v>
      </c>
      <c r="I144" s="1307">
        <f>+I45+I94+I143</f>
        <v>26059</v>
      </c>
      <c r="J144" s="687"/>
      <c r="K144" s="688"/>
      <c r="L144" s="632">
        <f>+L45+L94+L143</f>
        <v>412042117.61091816</v>
      </c>
      <c r="M144" s="695">
        <v>0</v>
      </c>
      <c r="O144" s="23">
        <f>SUM(O46:O143)</f>
        <v>-341811414.30007762</v>
      </c>
      <c r="Q144" s="23">
        <f>+[64]Grasmere!$H107</f>
        <v>89202029.61313425</v>
      </c>
      <c r="R144" s="23">
        <f t="shared" si="19"/>
        <v>322840087.9977839</v>
      </c>
      <c r="S144" s="23">
        <f>SUM(S9:S143)</f>
        <v>-56250522.427462839</v>
      </c>
    </row>
    <row r="145" spans="1:19">
      <c r="A145" s="692"/>
      <c r="B145" s="706"/>
      <c r="C145" s="706"/>
      <c r="D145" s="623"/>
      <c r="E145" s="728">
        <f>SUM('Summary Total Pigs'!AF12:AF17)</f>
        <v>27719</v>
      </c>
      <c r="F145" s="42"/>
      <c r="G145" s="693"/>
      <c r="H145" s="625"/>
      <c r="I145" s="729">
        <f>'[70]Grasmere Valuation '!$E$128</f>
        <v>27084</v>
      </c>
      <c r="J145" s="42"/>
      <c r="K145" s="693"/>
      <c r="L145" s="622">
        <f>'[70]Grasmere Valuation '!$H$128</f>
        <v>411912579.24516362</v>
      </c>
      <c r="M145" s="42"/>
      <c r="O145" s="23">
        <f>SUM(O47:O144)</f>
        <v>-680666122.5395472</v>
      </c>
      <c r="P145" s="23">
        <f>+O144+O45</f>
        <v>-340187252.16852027</v>
      </c>
      <c r="Q145" s="23">
        <f>+[64]Grasmere!$H108</f>
        <v>0</v>
      </c>
      <c r="R145" s="23" t="s">
        <v>138</v>
      </c>
      <c r="S145" s="23">
        <f>+'[68]Gras gilts boars and sows'!$O$46+'[68]Gras gilts boars and sows'!$O$58</f>
        <v>-8758772.9566965029</v>
      </c>
    </row>
    <row r="146" spans="1:19">
      <c r="A146" s="730"/>
      <c r="B146" s="779" t="s">
        <v>207</v>
      </c>
      <c r="C146" s="826">
        <f>+E146-D146</f>
        <v>115</v>
      </c>
      <c r="D146" s="659">
        <f>'Grasmere Imported Boars'!D32+'Grasmere Imported Boars'!D33+'Grasmere Imported Boars'!D34+'Grasmere Imported Boars'!D35+'Grasmere Imported Boars'!D36</f>
        <v>5</v>
      </c>
      <c r="E146" s="20">
        <f>+E144-E145</f>
        <v>120</v>
      </c>
      <c r="F146" s="731" t="s">
        <v>1716</v>
      </c>
      <c r="G146" s="732"/>
      <c r="H146" s="615" t="s">
        <v>138</v>
      </c>
      <c r="I146" s="733">
        <f>+I144-I145</f>
        <v>-1025</v>
      </c>
      <c r="J146" s="630"/>
      <c r="K146" s="709"/>
      <c r="L146" s="1495">
        <f>+L144-L145</f>
        <v>129538.36575454473</v>
      </c>
      <c r="M146" s="42" t="s">
        <v>207</v>
      </c>
      <c r="Q146" s="23" t="str">
        <f>+[64]Grasmere!$H109</f>
        <v xml:space="preserve"> </v>
      </c>
      <c r="R146" s="23" t="s">
        <v>138</v>
      </c>
      <c r="S146" s="23">
        <f>+S144-S145</f>
        <v>-47491749.470766336</v>
      </c>
    </row>
    <row r="147" spans="1:19" hidden="1">
      <c r="A147" s="42"/>
      <c r="B147" s="42"/>
      <c r="C147" s="693"/>
      <c r="D147" s="42"/>
      <c r="E147" s="654"/>
      <c r="F147" s="695"/>
      <c r="G147" s="693"/>
      <c r="H147" s="42">
        <f>+H144-H45</f>
        <v>72261869.08726877</v>
      </c>
      <c r="I147" s="42"/>
      <c r="J147" s="42"/>
      <c r="K147" s="693"/>
      <c r="L147" s="42"/>
      <c r="M147" s="42"/>
    </row>
    <row r="148" spans="1:19" hidden="1">
      <c r="A148" s="42"/>
      <c r="B148" s="42"/>
      <c r="C148" s="693"/>
      <c r="D148" s="42"/>
      <c r="E148" s="654"/>
      <c r="F148" s="695"/>
      <c r="G148" s="693" t="s">
        <v>138</v>
      </c>
      <c r="H148" s="42"/>
      <c r="I148" s="42"/>
      <c r="J148" s="42"/>
      <c r="K148" s="693"/>
      <c r="L148" s="42"/>
      <c r="M148" s="42"/>
    </row>
    <row r="149" spans="1:19" hidden="1">
      <c r="A149" s="695" t="s">
        <v>1717</v>
      </c>
      <c r="B149" s="696" t="s">
        <v>181</v>
      </c>
      <c r="C149" s="695" t="s">
        <v>183</v>
      </c>
      <c r="D149" s="695" t="s">
        <v>205</v>
      </c>
      <c r="E149" s="31"/>
      <c r="F149" s="695" t="s">
        <v>180</v>
      </c>
      <c r="G149" s="696" t="s">
        <v>1717</v>
      </c>
      <c r="H149" s="696" t="s">
        <v>181</v>
      </c>
      <c r="I149" s="31" t="s">
        <v>183</v>
      </c>
      <c r="J149" s="31" t="s">
        <v>205</v>
      </c>
      <c r="K149" s="31" t="s">
        <v>180</v>
      </c>
      <c r="L149" s="42" t="s">
        <v>1718</v>
      </c>
      <c r="M149" s="42" t="s">
        <v>1719</v>
      </c>
    </row>
    <row r="150" spans="1:19" hidden="1">
      <c r="A150" s="23" t="s">
        <v>127</v>
      </c>
      <c r="B150" s="726">
        <f>SUM(F14:F40)</f>
        <v>801048.96853383689</v>
      </c>
      <c r="C150" s="705">
        <f>SUM(H14:H40)</f>
        <v>3054889.190384008</v>
      </c>
      <c r="D150" s="705">
        <f t="shared" ref="D150:D155" si="20">+C150/B150</f>
        <v>3.8136110405027845</v>
      </c>
      <c r="E150" s="74">
        <f t="shared" ref="E150:E155" si="21">+B150+B158</f>
        <v>1220148.9685338368</v>
      </c>
      <c r="F150" s="738">
        <f>+E45</f>
        <v>27693</v>
      </c>
      <c r="G150" s="693" t="s">
        <v>127</v>
      </c>
      <c r="H150" s="23">
        <f>SUM(F14:F40)</f>
        <v>801048.96853383689</v>
      </c>
      <c r="I150" s="23">
        <f>SUM(H14:H40)</f>
        <v>3054889.190384008</v>
      </c>
      <c r="J150" s="23">
        <f t="shared" ref="J150:J155" si="22">+I150/H150</f>
        <v>3.8136110405027845</v>
      </c>
      <c r="K150" s="87">
        <f>SUM(E14:E40)</f>
        <v>19703</v>
      </c>
      <c r="L150" s="42">
        <f t="shared" ref="L150:L155" si="23">+B150/K150</f>
        <v>40.656192891125052</v>
      </c>
      <c r="M150" s="42">
        <f>+'[71]Grasmere Valuation '!B102/'[71]Grasmere Valuation '!K102</f>
        <v>34.207757387672231</v>
      </c>
      <c r="N150" s="1188">
        <f t="shared" ref="N150:N155" si="24">+L150/M150-1</f>
        <v>0.18850798754134934</v>
      </c>
      <c r="O150" s="23">
        <f>+'[71]Grasmere Valuation '!K102</f>
        <v>16992</v>
      </c>
      <c r="P150" s="23">
        <f t="shared" ref="P150:P155" si="25">+K150-O150</f>
        <v>2711</v>
      </c>
    </row>
    <row r="151" spans="1:19" hidden="1">
      <c r="A151" s="734" t="s">
        <v>186</v>
      </c>
      <c r="B151" s="726">
        <f>SUM('Villa Valuation'!F14:F41)</f>
        <v>139413.92944116221</v>
      </c>
      <c r="C151" s="705">
        <f>SUM('Villa Valuation'!H14:H41)</f>
        <v>483377.10102342634</v>
      </c>
      <c r="D151" s="705">
        <f t="shared" si="20"/>
        <v>3.4672080685268196</v>
      </c>
      <c r="E151" s="74">
        <f t="shared" si="21"/>
        <v>225813.92944116221</v>
      </c>
      <c r="F151" s="738">
        <f>+'Villa Valuation'!E42</f>
        <v>4177</v>
      </c>
      <c r="G151" s="693" t="s">
        <v>186</v>
      </c>
      <c r="H151" s="23">
        <f>SUM('Villa Valuation'!F14:F31)</f>
        <v>135134.94149978165</v>
      </c>
      <c r="I151" s="23">
        <f>SUM('Villa Valuation'!H14:H31)</f>
        <v>472654.94987430749</v>
      </c>
      <c r="J151" s="23">
        <f t="shared" si="22"/>
        <v>3.4976516408605631</v>
      </c>
      <c r="K151" s="87">
        <f>SUM('Villa Valuation'!E14:E31)</f>
        <v>3118</v>
      </c>
      <c r="L151" s="42">
        <f t="shared" si="23"/>
        <v>44.712613675805713</v>
      </c>
      <c r="M151" s="42">
        <f>+'[71]Grasmere Valuation '!B103/'[71]Grasmere Valuation '!K103</f>
        <v>33.752677851209739</v>
      </c>
      <c r="N151" s="1188">
        <f t="shared" si="24"/>
        <v>0.32471307529761395</v>
      </c>
      <c r="O151" s="23">
        <f>+'[71]Grasmere Valuation '!K103</f>
        <v>2965</v>
      </c>
      <c r="P151" s="23">
        <f t="shared" si="25"/>
        <v>153</v>
      </c>
    </row>
    <row r="152" spans="1:19" hidden="1">
      <c r="A152" s="654" t="s">
        <v>187</v>
      </c>
      <c r="B152" s="385">
        <f>SUM('Lionhead Valuation'!F14:F41,'Lionhead Ext. Valuation'!F14:F41)</f>
        <v>554936.91718456498</v>
      </c>
      <c r="C152" s="726">
        <f>SUM('Lionhead Valuation'!H14:H41,'Lionhead Ext. Valuation'!H14:H41)</f>
        <v>2238197.0873637907</v>
      </c>
      <c r="D152" s="705">
        <f t="shared" si="20"/>
        <v>4.0332459745499234</v>
      </c>
      <c r="E152" s="74">
        <f t="shared" si="21"/>
        <v>766736.91718456498</v>
      </c>
      <c r="F152" s="738">
        <f>+'Lionhead Valuation'!E42+'Lionhead Ext. Valuation'!E42</f>
        <v>16824</v>
      </c>
      <c r="G152" s="693" t="s">
        <v>187</v>
      </c>
      <c r="H152" s="23">
        <f>SUM('Lionhead Valuation'!F14:F41,'Lionhead Ext. Valuation'!F14:F41)</f>
        <v>554936.91718456498</v>
      </c>
      <c r="I152" s="23">
        <f>SUM('Lionhead Valuation'!H14:H41,'Lionhead Ext. Valuation'!H14:H41)</f>
        <v>2238197.0873637907</v>
      </c>
      <c r="J152" s="23">
        <f t="shared" si="22"/>
        <v>4.0332459745499234</v>
      </c>
      <c r="K152" s="87">
        <f>SUM('Lionhead Valuation'!E14:E41,'Lionhead Ext. Valuation'!E14:E41)</f>
        <v>14489</v>
      </c>
      <c r="L152" s="42">
        <f t="shared" si="23"/>
        <v>38.300567132622334</v>
      </c>
      <c r="M152" s="42">
        <f>+'[71]Grasmere Valuation '!B104/'[71]Grasmere Valuation '!K104</f>
        <v>32.091038481861617</v>
      </c>
      <c r="N152" s="1188">
        <f t="shared" si="24"/>
        <v>0.19349727975523279</v>
      </c>
      <c r="O152" s="23">
        <f>+'[71]Grasmere Valuation '!K104</f>
        <v>12231</v>
      </c>
      <c r="P152" s="23">
        <f t="shared" si="25"/>
        <v>2258</v>
      </c>
    </row>
    <row r="153" spans="1:19" hidden="1">
      <c r="A153" s="654" t="s">
        <v>189</v>
      </c>
      <c r="B153" s="385">
        <f>SUM('Richlands Valuation'!F14:F41)</f>
        <v>346079.2136637732</v>
      </c>
      <c r="C153" s="726">
        <f>SUM('Richlands Valuation'!H14:H41)</f>
        <v>1469497.2170861713</v>
      </c>
      <c r="D153" s="705">
        <f t="shared" si="20"/>
        <v>4.2461296693589743</v>
      </c>
      <c r="E153" s="74">
        <f t="shared" si="21"/>
        <v>535379.21366377315</v>
      </c>
      <c r="F153" s="738">
        <f>+'Richlands Valuation'!E42</f>
        <v>11745</v>
      </c>
      <c r="G153" s="693" t="s">
        <v>189</v>
      </c>
      <c r="H153" s="23">
        <f>SUM('Richlands Valuation'!F14:F30)</f>
        <v>345390.52943898318</v>
      </c>
      <c r="I153" s="23">
        <f>SUM('Richlands Valuation'!H14:H30)</f>
        <v>1467770.3011290308</v>
      </c>
      <c r="J153" s="23">
        <f t="shared" si="22"/>
        <v>4.249596257063347</v>
      </c>
      <c r="K153" s="87">
        <f>SUM('Richlands Valuation'!E14:E30)</f>
        <v>9622</v>
      </c>
      <c r="L153" s="42">
        <f t="shared" si="23"/>
        <v>35.967492586133154</v>
      </c>
      <c r="M153" s="42">
        <f>+'[71]Grasmere Valuation '!B105/'[71]Grasmere Valuation '!K105</f>
        <v>29.424889717974281</v>
      </c>
      <c r="N153" s="1188">
        <f t="shared" si="24"/>
        <v>0.22234927406243776</v>
      </c>
      <c r="O153" s="23">
        <f>+'[71]Grasmere Valuation '!K105</f>
        <v>8929</v>
      </c>
      <c r="P153" s="23">
        <f t="shared" si="25"/>
        <v>693</v>
      </c>
    </row>
    <row r="154" spans="1:19" hidden="1">
      <c r="A154" s="654" t="s">
        <v>190</v>
      </c>
      <c r="B154" s="734">
        <f>SUM('Learig Valuation'!F14:F40)</f>
        <v>306954.4170631101</v>
      </c>
      <c r="C154" s="693">
        <f>SUM('Learig Valuation'!H14:H40)</f>
        <v>1197268.7653196421</v>
      </c>
      <c r="D154" s="705">
        <f t="shared" si="20"/>
        <v>3.9004773958782377</v>
      </c>
      <c r="E154" s="74">
        <f t="shared" si="21"/>
        <v>306954.4170631101</v>
      </c>
      <c r="F154" s="654"/>
      <c r="G154" s="693" t="s">
        <v>190</v>
      </c>
      <c r="H154" s="23">
        <f>SUM('Learig Valuation'!F14:F40)</f>
        <v>306954.4170631101</v>
      </c>
      <c r="I154" s="23">
        <f>SUM('Learig Valuation'!H14:H40)</f>
        <v>1197268.7653196421</v>
      </c>
      <c r="J154" s="23">
        <f t="shared" si="22"/>
        <v>3.9004773958782377</v>
      </c>
      <c r="K154" s="87">
        <f>SUM('Learig Valuation'!E14:E40)</f>
        <v>7263</v>
      </c>
      <c r="L154" s="42">
        <f t="shared" si="23"/>
        <v>42.262758786053986</v>
      </c>
      <c r="M154" s="42">
        <f>+'[71]Grasmere Valuation '!B106/'[71]Grasmere Valuation '!K106</f>
        <v>46.158442001253135</v>
      </c>
      <c r="N154" s="1188">
        <f t="shared" si="24"/>
        <v>-8.4398065582312887E-2</v>
      </c>
      <c r="O154" s="23">
        <f>+'[71]Grasmere Valuation '!K106</f>
        <v>1841</v>
      </c>
      <c r="P154" s="23">
        <f t="shared" si="25"/>
        <v>5422</v>
      </c>
    </row>
    <row r="155" spans="1:19" hidden="1">
      <c r="A155" s="654"/>
      <c r="B155" s="695">
        <f>SUM(B150:B154)</f>
        <v>2148433.4458864476</v>
      </c>
      <c r="C155" s="695">
        <f>SUM(C150:C154)</f>
        <v>8443229.3611770384</v>
      </c>
      <c r="D155" s="42">
        <f t="shared" si="20"/>
        <v>3.9299469003068634</v>
      </c>
      <c r="E155" s="23">
        <f t="shared" si="21"/>
        <v>3055033.4458864476</v>
      </c>
      <c r="F155" s="737">
        <f>SUM(F150:F154)</f>
        <v>60439</v>
      </c>
      <c r="G155" s="693"/>
      <c r="H155" s="31">
        <f>SUM(H150:H154)</f>
        <v>2143465.773720277</v>
      </c>
      <c r="I155" s="31">
        <f>SUM(I150:I154)</f>
        <v>8430780.2940707803</v>
      </c>
      <c r="J155" s="23">
        <f t="shared" si="22"/>
        <v>3.9332469859959609</v>
      </c>
      <c r="K155" s="1238">
        <f>SUM(K150:K154)</f>
        <v>54195</v>
      </c>
      <c r="L155" s="695">
        <f t="shared" si="23"/>
        <v>39.64265053762243</v>
      </c>
      <c r="M155" s="695">
        <f>+'[71]Grasmere Valuation '!B107/'[71]Grasmere Valuation '!K107</f>
        <v>33.091692514733275</v>
      </c>
      <c r="N155" s="1188">
        <f t="shared" si="24"/>
        <v>0.19796382490779219</v>
      </c>
      <c r="O155" s="23">
        <f>+'[71]Grasmere Valuation '!K107</f>
        <v>42958</v>
      </c>
      <c r="P155" s="23">
        <f t="shared" si="25"/>
        <v>11237</v>
      </c>
    </row>
    <row r="156" spans="1:19" hidden="1">
      <c r="A156" s="654"/>
      <c r="B156" s="695"/>
      <c r="C156" s="695"/>
      <c r="D156" s="42"/>
      <c r="F156" s="42"/>
      <c r="G156" s="693"/>
      <c r="K156" s="87"/>
      <c r="L156" s="42"/>
      <c r="M156" s="42"/>
    </row>
    <row r="157" spans="1:19" ht="26.45" hidden="1">
      <c r="A157" s="735" t="s">
        <v>1720</v>
      </c>
      <c r="B157" s="696" t="s">
        <v>181</v>
      </c>
      <c r="C157" s="695" t="s">
        <v>183</v>
      </c>
      <c r="D157" s="695" t="s">
        <v>205</v>
      </c>
      <c r="E157" s="31"/>
      <c r="F157" s="695" t="s">
        <v>180</v>
      </c>
      <c r="G157" s="1281" t="s">
        <v>1721</v>
      </c>
      <c r="H157" s="696" t="s">
        <v>181</v>
      </c>
      <c r="I157" s="695" t="s">
        <v>183</v>
      </c>
      <c r="J157" s="695" t="s">
        <v>205</v>
      </c>
      <c r="K157" s="695" t="s">
        <v>180</v>
      </c>
      <c r="M157" s="42"/>
    </row>
    <row r="158" spans="1:19" hidden="1">
      <c r="A158" s="654" t="str">
        <f>+A150</f>
        <v>Grasmere</v>
      </c>
      <c r="B158" s="734">
        <f>+F41+F43+F44</f>
        <v>419100</v>
      </c>
      <c r="C158" s="734">
        <f>+H41+H43+H44</f>
        <v>859155</v>
      </c>
      <c r="D158" s="42">
        <f>+C158/B158</f>
        <v>2.0499999999999998</v>
      </c>
      <c r="E158" s="23">
        <f>+B158</f>
        <v>419100</v>
      </c>
      <c r="F158" s="654">
        <f>+E143+E94</f>
        <v>146</v>
      </c>
      <c r="G158" s="654" t="str">
        <f>+G150</f>
        <v>Grasmere</v>
      </c>
      <c r="H158" s="23">
        <f>+F41+F43+F44</f>
        <v>419100</v>
      </c>
      <c r="I158" s="23">
        <f>+H41+H43+H44</f>
        <v>859155</v>
      </c>
      <c r="J158" s="23">
        <f t="shared" ref="J158:J163" si="26">+I158/H158</f>
        <v>2.0499999999999998</v>
      </c>
      <c r="K158" s="87">
        <f>+E41+E43+E44</f>
        <v>2794</v>
      </c>
      <c r="L158" s="42"/>
      <c r="M158" s="42"/>
    </row>
    <row r="159" spans="1:19" hidden="1">
      <c r="A159" s="654" t="str">
        <f>+A151</f>
        <v>Villa</v>
      </c>
      <c r="B159" s="734">
        <f>SUM('Villa Valuation'!F44:F48)</f>
        <v>86400</v>
      </c>
      <c r="C159" s="734">
        <f>SUM('Villa Valuation'!H44:H48)</f>
        <v>177120</v>
      </c>
      <c r="D159" s="42">
        <f>+C159/B159</f>
        <v>2.0499999999999998</v>
      </c>
      <c r="E159" s="23">
        <f>+B159</f>
        <v>86400</v>
      </c>
      <c r="F159" s="654">
        <f>+'Villa Valuation'!E44+'Villa Valuation'!E46+'Villa Valuation'!E48</f>
        <v>576</v>
      </c>
      <c r="G159" s="693" t="str">
        <f>+G151</f>
        <v>Villa</v>
      </c>
      <c r="H159" s="23">
        <f>+'Villa Valuation'!F44+'Villa Valuation'!F46+'Villa Valuation'!F48</f>
        <v>86400</v>
      </c>
      <c r="I159" s="23">
        <f>+'Villa Valuation'!H44+'Villa Valuation'!H46+'Villa Valuation'!H48</f>
        <v>177120</v>
      </c>
      <c r="J159" s="23">
        <f t="shared" si="26"/>
        <v>2.0499999999999998</v>
      </c>
      <c r="K159" s="87">
        <f>+'Villa Valuation'!E44+'Villa Valuation'!E46+'Villa Valuation'!E48</f>
        <v>576</v>
      </c>
      <c r="L159" s="42"/>
      <c r="M159" s="42"/>
    </row>
    <row r="160" spans="1:19" hidden="1">
      <c r="A160" s="654" t="str">
        <f>+A152</f>
        <v>Lionshead</v>
      </c>
      <c r="B160" s="385">
        <f>SUM('Lionhead Valuation'!F55:F60,'Lionhead Ext. Valuation'!F44:F49)</f>
        <v>211800</v>
      </c>
      <c r="C160" s="385">
        <f>SUM('Lionhead Valuation'!H55:H60,'Lionhead Ext. Valuation'!H44:H49)</f>
        <v>434190</v>
      </c>
      <c r="D160" s="705">
        <f>+C160/B160</f>
        <v>2.0499999999999998</v>
      </c>
      <c r="E160" s="74">
        <f>+B160</f>
        <v>211800</v>
      </c>
      <c r="F160" s="738">
        <f>+'Lionhead Valuation'!E55+'Lionhead Valuation'!E57+'Lionhead Valuation'!E59+'Lionhead Ext. Valuation'!E44+'Lionhead Ext. Valuation'!E46+'Lionhead Ext. Valuation'!E48</f>
        <v>1412</v>
      </c>
      <c r="G160" s="654" t="str">
        <f>+G152</f>
        <v>Lionshead</v>
      </c>
      <c r="H160" s="23">
        <f>+'Lionhead Valuation'!F55+'Lionhead Valuation'!F57+'Lionhead Valuation'!F59+'Lionhead Ext. Valuation'!F44+'Lionhead Ext. Valuation'!F46+'Lionhead Ext. Valuation'!F48</f>
        <v>211800</v>
      </c>
      <c r="I160" s="23">
        <f>+'Lionhead Valuation'!H55+'Lionhead Valuation'!H57+'Lionhead Valuation'!H59+'Lionhead Ext. Valuation'!H44+'Lionhead Ext. Valuation'!H46+'Lionhead Ext. Valuation'!H48</f>
        <v>434190</v>
      </c>
      <c r="J160" s="23">
        <f t="shared" si="26"/>
        <v>2.0499999999999998</v>
      </c>
      <c r="K160" s="87">
        <f>+'Lionhead Valuation'!E55+'Lionhead Valuation'!E57+'Lionhead Valuation'!E59+'Lionhead Ext. Valuation'!E44+'Lionhead Ext. Valuation'!E46+'Lionhead Ext. Valuation'!E48</f>
        <v>1412</v>
      </c>
      <c r="L160" s="42"/>
      <c r="M160" s="42"/>
    </row>
    <row r="161" spans="1:14" hidden="1">
      <c r="A161" s="654" t="str">
        <f>+A153</f>
        <v>Richlands</v>
      </c>
      <c r="B161" s="734">
        <f>SUM('Richlands Valuation'!F82:F87)</f>
        <v>189300</v>
      </c>
      <c r="C161" s="736">
        <f>SUM('Richlands Valuation'!H82:H87)</f>
        <v>388065</v>
      </c>
      <c r="D161" s="42">
        <f>+C161/B161</f>
        <v>2.0499999999999998</v>
      </c>
      <c r="E161" s="23">
        <f>+B161</f>
        <v>189300</v>
      </c>
      <c r="F161" s="654">
        <f>+'Richlands Valuation'!E82+'Richlands Valuation'!E84+'Richlands Valuation'!E86</f>
        <v>1262</v>
      </c>
      <c r="G161" s="654" t="str">
        <f>+G153</f>
        <v>Richlands</v>
      </c>
      <c r="H161" s="23">
        <f>+'Richlands Valuation'!F82+'Richlands Valuation'!F84+'Richlands Valuation'!F86</f>
        <v>189300</v>
      </c>
      <c r="I161" s="23">
        <f>+'Richlands Valuation'!H82+'Richlands Valuation'!H84+'Richlands Valuation'!H86</f>
        <v>388065</v>
      </c>
      <c r="J161" s="23">
        <f t="shared" si="26"/>
        <v>2.0499999999999998</v>
      </c>
      <c r="K161" s="87">
        <f>+'Richlands Valuation'!E82+'Richlands Valuation'!E84+'Richlands Valuation'!E86</f>
        <v>1262</v>
      </c>
      <c r="L161" s="42"/>
      <c r="M161" s="42"/>
    </row>
    <row r="162" spans="1:14" hidden="1">
      <c r="A162" s="654" t="str">
        <f>+A154</f>
        <v>Learig</v>
      </c>
      <c r="B162" s="695"/>
      <c r="C162" s="693"/>
      <c r="D162" s="42"/>
      <c r="E162" s="23">
        <f>+B162+F205</f>
        <v>0</v>
      </c>
      <c r="F162" s="654"/>
      <c r="G162" s="693" t="s">
        <v>190</v>
      </c>
      <c r="H162" s="23">
        <f>+'Learig Valuation'!F41+'Learig Valuation'!F42+'Learig Valuation'!F43+'Learig Valuation'!F44</f>
        <v>0</v>
      </c>
      <c r="I162" s="23">
        <f>+'Learig Valuation'!H41+'Learig Valuation'!H42+'Learig Valuation'!H43+'Learig Valuation'!H44</f>
        <v>0</v>
      </c>
      <c r="J162" s="23">
        <f>IFERROR(I162/H162,0)</f>
        <v>0</v>
      </c>
      <c r="K162" s="23">
        <f>+'Learig Valuation'!E41+'Learig Valuation'!E42+'Learig Valuation'!E43+'Learig Valuation'!E44</f>
        <v>0</v>
      </c>
      <c r="L162" s="42"/>
      <c r="M162" s="42"/>
    </row>
    <row r="163" spans="1:14" hidden="1">
      <c r="A163" s="654"/>
      <c r="B163" s="695">
        <f>SUM(B158:B162)</f>
        <v>906600</v>
      </c>
      <c r="C163" s="695">
        <f>SUM(C158:C162)</f>
        <v>1858530</v>
      </c>
      <c r="D163" s="42">
        <f>+C163/B163</f>
        <v>2.0499999999999998</v>
      </c>
      <c r="E163" s="23">
        <f>+B163+F206</f>
        <v>906600</v>
      </c>
      <c r="F163" s="737">
        <f>SUM(F158:F162)</f>
        <v>3396</v>
      </c>
      <c r="G163" s="693"/>
      <c r="H163" s="31">
        <f>SUM(H158:H162)</f>
        <v>906600</v>
      </c>
      <c r="I163" s="31">
        <f>SUM(I158:I162)</f>
        <v>1858530</v>
      </c>
      <c r="J163" s="23">
        <f t="shared" si="26"/>
        <v>2.0499999999999998</v>
      </c>
      <c r="K163" s="1238">
        <f>SUM(K158:K162)</f>
        <v>6044</v>
      </c>
      <c r="L163" s="42"/>
      <c r="M163" s="42"/>
    </row>
    <row r="164" spans="1:14" hidden="1">
      <c r="A164" s="654"/>
      <c r="B164" s="695"/>
      <c r="C164" s="695"/>
      <c r="D164" s="42"/>
      <c r="F164" s="654"/>
      <c r="G164" s="693"/>
      <c r="L164" s="42"/>
      <c r="M164" s="42"/>
    </row>
    <row r="165" spans="1:14" ht="26.45" hidden="1">
      <c r="A165" s="654"/>
      <c r="B165" s="695">
        <f>+B155+B163</f>
        <v>3055033.4458864476</v>
      </c>
      <c r="C165" s="695">
        <f>+C155+C163</f>
        <v>10301759.361177038</v>
      </c>
      <c r="D165" s="42">
        <f>+C165/B165</f>
        <v>3.3720610735205496</v>
      </c>
      <c r="F165" s="737">
        <f>+F155+F163</f>
        <v>63835</v>
      </c>
      <c r="G165" s="1240" t="s">
        <v>1722</v>
      </c>
      <c r="H165" s="696" t="s">
        <v>181</v>
      </c>
      <c r="I165" s="695" t="s">
        <v>183</v>
      </c>
      <c r="J165" s="695" t="s">
        <v>205</v>
      </c>
      <c r="K165" s="695" t="s">
        <v>180</v>
      </c>
      <c r="L165" s="31" t="s">
        <v>200</v>
      </c>
      <c r="M165" s="695" t="s">
        <v>183</v>
      </c>
    </row>
    <row r="166" spans="1:14" hidden="1">
      <c r="A166" s="654"/>
      <c r="B166" s="695"/>
      <c r="C166" s="695"/>
      <c r="D166" s="42"/>
      <c r="F166" s="94">
        <f>+'Summary Total Pigs'!AF192</f>
        <v>92393</v>
      </c>
      <c r="G166" s="693" t="s">
        <v>127</v>
      </c>
      <c r="I166" s="23">
        <f>SUM(H47:H69,H96:H114)</f>
        <v>108426.15979245922</v>
      </c>
      <c r="K166" s="87">
        <f>SUM(E47:E69,E96:E114)</f>
        <v>4</v>
      </c>
      <c r="L166" s="42">
        <f>SUM('Summary Valuation'!C30:C44,'Summary Valuation'!C68:C92)</f>
        <v>-384300.13932897139</v>
      </c>
      <c r="M166" s="42">
        <f>+I166+L166</f>
        <v>-275873.97953651217</v>
      </c>
    </row>
    <row r="167" spans="1:14" hidden="1">
      <c r="A167" s="737" t="s">
        <v>1723</v>
      </c>
      <c r="B167" s="695"/>
      <c r="C167" s="695"/>
      <c r="D167" s="42"/>
      <c r="F167" s="1239">
        <f>+F165-F166</f>
        <v>-28558</v>
      </c>
      <c r="G167" s="693" t="s">
        <v>186</v>
      </c>
      <c r="I167" s="23">
        <v>0</v>
      </c>
      <c r="K167" s="23">
        <v>0</v>
      </c>
      <c r="L167" s="42">
        <v>0</v>
      </c>
      <c r="M167" s="42">
        <v>0</v>
      </c>
    </row>
    <row r="168" spans="1:14" hidden="1">
      <c r="A168" s="654" t="str">
        <f>+A158</f>
        <v>Grasmere</v>
      </c>
      <c r="B168" s="695"/>
      <c r="C168" s="734">
        <f>+H9</f>
        <v>435825.55067264562</v>
      </c>
      <c r="D168" s="42"/>
      <c r="F168" s="42"/>
      <c r="G168" s="693" t="s">
        <v>187</v>
      </c>
      <c r="I168" s="23">
        <v>0</v>
      </c>
      <c r="K168" s="23">
        <v>0</v>
      </c>
      <c r="L168" s="42">
        <v>0</v>
      </c>
      <c r="M168" s="42">
        <v>0</v>
      </c>
    </row>
    <row r="169" spans="1:14" hidden="1">
      <c r="A169" s="654" t="str">
        <f>+A159</f>
        <v>Villa</v>
      </c>
      <c r="B169" s="695"/>
      <c r="C169" s="734">
        <f>+'Villa Valuation'!H9</f>
        <v>78870.421524663689</v>
      </c>
      <c r="D169" s="42"/>
      <c r="F169" s="42"/>
      <c r="G169" s="693" t="s">
        <v>189</v>
      </c>
      <c r="I169" s="23">
        <f>SUM('Richlands Valuation'!H44:H80)</f>
        <v>0</v>
      </c>
      <c r="K169" s="87">
        <f>SUM('Richlands Valuation'!E44:E80)</f>
        <v>6</v>
      </c>
      <c r="L169" s="42">
        <f>SUM('Summary Valuation'!C46:C66)</f>
        <v>0</v>
      </c>
      <c r="M169" s="42">
        <f>+I169+L169</f>
        <v>0</v>
      </c>
    </row>
    <row r="170" spans="1:14" hidden="1">
      <c r="A170" s="654" t="str">
        <f>+A160</f>
        <v>Lionshead</v>
      </c>
      <c r="B170" s="695"/>
      <c r="C170" s="734">
        <f>+'Lionhead Valuation'!H9+'Lionhead Ext. Valuation'!H9</f>
        <v>216111.49955156946</v>
      </c>
      <c r="D170" s="42"/>
      <c r="F170" s="42"/>
      <c r="G170" s="693"/>
      <c r="L170" s="42"/>
      <c r="M170" s="42"/>
    </row>
    <row r="171" spans="1:14" hidden="1">
      <c r="A171" s="654" t="str">
        <f>+A161</f>
        <v>Richlands</v>
      </c>
      <c r="B171" s="695"/>
      <c r="C171" s="734">
        <f>+'Richlands Valuation'!H9</f>
        <v>198132.13901345298</v>
      </c>
      <c r="D171" s="42"/>
      <c r="F171" s="42"/>
      <c r="G171" s="693"/>
      <c r="H171" s="31">
        <f>SUM(H166:H170)</f>
        <v>0</v>
      </c>
      <c r="I171" s="31">
        <f>SUM(I166:I170)</f>
        <v>108426.15979245922</v>
      </c>
      <c r="J171" s="31"/>
      <c r="K171" s="1238">
        <f>SUM(K166:K170)</f>
        <v>10</v>
      </c>
      <c r="L171" s="1238">
        <f>SUM(L166:L170)</f>
        <v>-384300.13932897139</v>
      </c>
      <c r="M171" s="1238">
        <f>SUM(M166:M170)</f>
        <v>-275873.97953651217</v>
      </c>
    </row>
    <row r="172" spans="1:14" hidden="1">
      <c r="A172" s="654" t="str">
        <f>+A162</f>
        <v>Learig</v>
      </c>
      <c r="B172" s="695"/>
      <c r="C172" s="695">
        <f>SUM(C168:C171)</f>
        <v>928939.61076233163</v>
      </c>
      <c r="D172" s="42"/>
      <c r="F172" s="42"/>
      <c r="G172" s="693"/>
      <c r="L172" s="42"/>
      <c r="M172" s="42"/>
    </row>
    <row r="173" spans="1:14" hidden="1">
      <c r="A173" s="654"/>
      <c r="B173" s="695"/>
      <c r="C173" s="695"/>
      <c r="D173" s="42"/>
      <c r="F173" s="42"/>
      <c r="G173" s="696" t="s">
        <v>384</v>
      </c>
      <c r="L173" s="42"/>
      <c r="M173" s="42"/>
    </row>
    <row r="174" spans="1:14" hidden="1">
      <c r="A174" s="737" t="s">
        <v>384</v>
      </c>
      <c r="B174" s="695"/>
      <c r="C174" s="695"/>
      <c r="D174" s="42"/>
      <c r="F174" s="42"/>
      <c r="G174" s="693" t="str">
        <f>+G166</f>
        <v>Grasmere</v>
      </c>
      <c r="I174" s="23">
        <f>SUM(H10:H13)</f>
        <v>268237.45110869186</v>
      </c>
      <c r="K174" s="87">
        <f>SUM(E10:E13)</f>
        <v>5196</v>
      </c>
      <c r="L174" s="42"/>
      <c r="M174" s="42"/>
      <c r="N174" s="23">
        <f>+L171-M174</f>
        <v>-384300.13932897139</v>
      </c>
    </row>
    <row r="175" spans="1:14" hidden="1">
      <c r="A175" s="738" t="str">
        <f>+A168</f>
        <v>Grasmere</v>
      </c>
      <c r="B175" s="61"/>
      <c r="C175" s="385">
        <f>SUM(H10:H13)</f>
        <v>268237.45110869186</v>
      </c>
      <c r="D175" s="42"/>
      <c r="F175" s="42"/>
      <c r="G175" s="693" t="str">
        <f>+G167</f>
        <v>Villa</v>
      </c>
      <c r="I175" s="23">
        <f>SUM('Villa Valuation'!H10:H13)</f>
        <v>47296.478421950342</v>
      </c>
      <c r="K175" s="87">
        <f>SUM('Villa Valuation'!E10:E13)</f>
        <v>1017</v>
      </c>
      <c r="L175" s="42"/>
      <c r="M175" s="42"/>
    </row>
    <row r="176" spans="1:14" hidden="1">
      <c r="A176" s="654" t="str">
        <f>+A169</f>
        <v>Villa</v>
      </c>
      <c r="B176" s="695"/>
      <c r="C176" s="734">
        <f>SUM('Villa Valuation'!H10:H13)</f>
        <v>47296.478421950342</v>
      </c>
      <c r="D176" s="42"/>
      <c r="F176" s="42"/>
      <c r="G176" s="693" t="str">
        <f>+G168</f>
        <v>Lionshead</v>
      </c>
      <c r="I176" s="23">
        <f>SUM('Lionhead Valuation'!H10:H13,'Lionhead Ext. Valuation'!H10:H13)</f>
        <v>132985.26670174461</v>
      </c>
      <c r="K176" s="87">
        <f>SUM('Lionhead Valuation'!E10:E13,'Lionhead Ext. Valuation'!E10:E13)</f>
        <v>2335</v>
      </c>
      <c r="L176" s="42"/>
      <c r="M176" s="42"/>
    </row>
    <row r="177" spans="1:13" hidden="1">
      <c r="A177" s="654" t="str">
        <f>+A170</f>
        <v>Lionshead</v>
      </c>
      <c r="B177" s="695"/>
      <c r="C177" s="734">
        <f>SUM('Lionhead Valuation'!H10:H13)+SUM('Lionhead Ext. Valuation'!H10:H14)</f>
        <v>137773.97683887652</v>
      </c>
      <c r="D177" s="42"/>
      <c r="F177" s="42"/>
      <c r="G177" s="693" t="str">
        <f>+G169</f>
        <v>Richlands</v>
      </c>
      <c r="I177" s="23">
        <f>SUM('Richlands Valuation'!H10:H13)</f>
        <v>120956.50051938978</v>
      </c>
      <c r="K177" s="87">
        <f>SUM('Richlands Valuation'!E10:E13)</f>
        <v>2116</v>
      </c>
      <c r="L177" s="42"/>
      <c r="M177" s="42"/>
    </row>
    <row r="178" spans="1:13" hidden="1">
      <c r="A178" s="654" t="str">
        <f>+A171</f>
        <v>Richlands</v>
      </c>
      <c r="B178" s="695"/>
      <c r="C178" s="734">
        <f>SUM('Richlands Valuation'!H10:H13)</f>
        <v>120956.50051938978</v>
      </c>
      <c r="D178" s="42"/>
      <c r="F178" s="42"/>
      <c r="G178" s="693"/>
      <c r="L178" s="42"/>
      <c r="M178" s="42"/>
    </row>
    <row r="179" spans="1:13" hidden="1">
      <c r="A179" s="654"/>
      <c r="B179" s="695"/>
      <c r="C179" s="695">
        <f>SUM(C175:C178)</f>
        <v>574264.40688890847</v>
      </c>
      <c r="D179" s="42"/>
      <c r="F179" s="42"/>
      <c r="G179" s="693"/>
      <c r="I179" s="31">
        <f>SUM(I174:I178)</f>
        <v>569475.69675177662</v>
      </c>
      <c r="J179" s="31"/>
      <c r="K179" s="1238">
        <f>SUM(K174:K178)</f>
        <v>10664</v>
      </c>
      <c r="L179" s="42"/>
      <c r="M179" s="42"/>
    </row>
    <row r="180" spans="1:13" hidden="1">
      <c r="A180" s="654"/>
      <c r="B180" s="695"/>
      <c r="C180" s="695"/>
      <c r="D180" s="42"/>
      <c r="F180" s="42"/>
      <c r="G180" s="693"/>
      <c r="I180" s="31"/>
      <c r="J180" s="31"/>
      <c r="K180" s="31"/>
      <c r="L180" s="42"/>
      <c r="M180" s="42"/>
    </row>
    <row r="181" spans="1:13" hidden="1">
      <c r="A181" s="654"/>
      <c r="B181" s="695"/>
      <c r="C181" s="695"/>
      <c r="D181" s="42"/>
      <c r="F181" s="42"/>
      <c r="G181" s="696" t="s">
        <v>202</v>
      </c>
      <c r="I181" s="695">
        <f>+'Cattle Valuation'!G21</f>
        <v>48511.464</v>
      </c>
      <c r="J181" s="31"/>
      <c r="K181" s="31">
        <f>+K179+K155</f>
        <v>64859</v>
      </c>
      <c r="L181" s="42"/>
      <c r="M181" s="42"/>
    </row>
    <row r="182" spans="1:13" hidden="1">
      <c r="A182" s="654"/>
      <c r="B182" s="695"/>
      <c r="C182" s="695"/>
      <c r="D182" s="42"/>
      <c r="F182" s="42"/>
      <c r="G182" s="696"/>
      <c r="I182" s="695"/>
      <c r="J182" s="31"/>
      <c r="K182" s="31"/>
      <c r="L182" s="42"/>
      <c r="M182" s="42"/>
    </row>
    <row r="183" spans="1:13" hidden="1">
      <c r="A183" s="654"/>
      <c r="B183" s="695"/>
      <c r="C183" s="695"/>
      <c r="D183" s="42"/>
      <c r="F183" s="42"/>
      <c r="G183" s="696" t="s">
        <v>179</v>
      </c>
      <c r="I183" s="695"/>
      <c r="J183" s="31"/>
      <c r="K183" s="31"/>
      <c r="L183" s="42"/>
      <c r="M183" s="42"/>
    </row>
    <row r="184" spans="1:13" hidden="1">
      <c r="A184" s="654"/>
      <c r="B184" s="695"/>
      <c r="C184" s="695"/>
      <c r="D184" s="42"/>
      <c r="F184" s="42"/>
      <c r="G184" s="736" t="str">
        <f>+G174</f>
        <v>Grasmere</v>
      </c>
      <c r="I184" s="734">
        <f>+H9</f>
        <v>435825.55067264562</v>
      </c>
      <c r="J184" s="31"/>
      <c r="K184" s="31"/>
      <c r="L184" s="42"/>
      <c r="M184" s="42"/>
    </row>
    <row r="185" spans="1:13" hidden="1">
      <c r="A185" s="654"/>
      <c r="B185" s="695"/>
      <c r="C185" s="695"/>
      <c r="D185" s="42"/>
      <c r="F185" s="42"/>
      <c r="G185" s="736" t="str">
        <f>+G175</f>
        <v>Villa</v>
      </c>
      <c r="I185" s="734">
        <f>+'Villa Valuation'!H9</f>
        <v>78870.421524663689</v>
      </c>
      <c r="J185" s="31"/>
      <c r="K185" s="31"/>
      <c r="L185" s="42"/>
      <c r="M185" s="42"/>
    </row>
    <row r="186" spans="1:13" hidden="1">
      <c r="A186" s="654"/>
      <c r="B186" s="695"/>
      <c r="C186" s="695"/>
      <c r="D186" s="42"/>
      <c r="F186" s="42"/>
      <c r="G186" s="736" t="str">
        <f>+G176</f>
        <v>Lionshead</v>
      </c>
      <c r="I186" s="734">
        <f>+'Lionhead Valuation'!H9+'Lionhead Ext. Valuation'!H9</f>
        <v>216111.49955156946</v>
      </c>
      <c r="J186" s="31"/>
      <c r="K186" s="31"/>
      <c r="L186" s="42"/>
      <c r="M186" s="42"/>
    </row>
    <row r="187" spans="1:13" hidden="1">
      <c r="A187" s="654"/>
      <c r="B187" s="695"/>
      <c r="C187" s="695"/>
      <c r="D187" s="42"/>
      <c r="F187" s="42"/>
      <c r="G187" s="736" t="str">
        <f>+G177</f>
        <v>Richlands</v>
      </c>
      <c r="I187" s="734">
        <f>+'Richlands Valuation'!H9</f>
        <v>198132.13901345298</v>
      </c>
      <c r="J187" s="31"/>
      <c r="K187" s="31"/>
      <c r="L187" s="42"/>
      <c r="M187" s="42"/>
    </row>
    <row r="188" spans="1:13" hidden="1">
      <c r="A188" s="654"/>
      <c r="B188" s="695"/>
      <c r="C188" s="695"/>
      <c r="D188" s="42"/>
      <c r="F188" s="42"/>
      <c r="G188" s="693"/>
      <c r="L188" s="42"/>
      <c r="M188" s="42"/>
    </row>
    <row r="189" spans="1:13" hidden="1">
      <c r="A189" s="654"/>
      <c r="B189" s="695"/>
      <c r="C189" s="695"/>
      <c r="D189" s="42"/>
      <c r="F189" s="42"/>
      <c r="G189" s="693"/>
      <c r="I189" s="31">
        <f>SUM(I184:I188)</f>
        <v>928939.61076233163</v>
      </c>
      <c r="L189" s="42"/>
      <c r="M189" s="42"/>
    </row>
    <row r="190" spans="1:13" hidden="1">
      <c r="A190" s="654"/>
      <c r="B190" s="695"/>
      <c r="C190" s="695"/>
      <c r="D190" s="42"/>
      <c r="F190" s="42"/>
      <c r="G190" s="696" t="s">
        <v>1724</v>
      </c>
      <c r="I190" s="31"/>
      <c r="L190" s="42"/>
      <c r="M190" s="42"/>
    </row>
    <row r="191" spans="1:13" hidden="1">
      <c r="A191" s="737" t="s">
        <v>202</v>
      </c>
      <c r="B191" s="695"/>
      <c r="C191" s="695">
        <f>+'Cattle Valuation'!G21</f>
        <v>48511.464</v>
      </c>
      <c r="D191" s="42"/>
      <c r="F191" s="42"/>
      <c r="G191" s="693" t="str">
        <f>+G174</f>
        <v>Grasmere</v>
      </c>
      <c r="K191" s="87">
        <f>+K150+K158+K166+K174</f>
        <v>27697</v>
      </c>
      <c r="L191" s="654">
        <f>+'Summary Total Pigs'!AF18+'Summary Total Pigs'!AF133</f>
        <v>27821</v>
      </c>
      <c r="M191" s="654">
        <f>+K191-L191</f>
        <v>-124</v>
      </c>
    </row>
    <row r="192" spans="1:13" hidden="1">
      <c r="A192" s="654"/>
      <c r="B192" s="695"/>
      <c r="C192" s="695"/>
      <c r="D192" s="42"/>
      <c r="F192" s="42"/>
      <c r="G192" s="693" t="str">
        <f>+G175</f>
        <v>Villa</v>
      </c>
      <c r="K192" s="87">
        <f>+K151+K159+K167+K175</f>
        <v>4711</v>
      </c>
      <c r="L192" s="654">
        <f>+'Summary Total Pigs'!AF95</f>
        <v>4753</v>
      </c>
      <c r="M192" s="42">
        <f>+K192-L192</f>
        <v>-42</v>
      </c>
    </row>
    <row r="193" spans="1:13" hidden="1">
      <c r="A193" s="654" t="s">
        <v>1725</v>
      </c>
      <c r="B193" s="695"/>
      <c r="C193" s="734">
        <f>+C155+C163+C172+C179+C191</f>
        <v>11853474.842828277</v>
      </c>
      <c r="D193" s="42">
        <f>+'[72]Total Pigs'!$D$111+'[72]Total Pigs'!$D$113</f>
        <v>334778521.80997092</v>
      </c>
      <c r="E193" s="23">
        <f>+C193-D193</f>
        <v>-322925046.96714264</v>
      </c>
      <c r="F193" s="42"/>
      <c r="G193" s="693" t="str">
        <f>+G176</f>
        <v>Lionshead</v>
      </c>
      <c r="K193" s="87">
        <f>+K152+K160+K168+K176</f>
        <v>18236</v>
      </c>
      <c r="L193" s="654">
        <f>+'Summary Total Pigs'!AF75+'Summary Total Pigs'!AF56</f>
        <v>18242</v>
      </c>
      <c r="M193" s="42">
        <f>+K193-L193</f>
        <v>-6</v>
      </c>
    </row>
    <row r="194" spans="1:13" hidden="1">
      <c r="A194" s="654" t="s">
        <v>1726</v>
      </c>
      <c r="B194" s="695"/>
      <c r="C194" s="1161">
        <f>+'[72]Total Pigs'!$D$114+'[72]Total Pigs'!$D$115</f>
        <v>149098619.58309737</v>
      </c>
      <c r="D194" s="1160">
        <f>+C194</f>
        <v>149098619.58309737</v>
      </c>
      <c r="E194" s="42"/>
      <c r="F194" s="42"/>
      <c r="G194" s="693" t="str">
        <f>+G177</f>
        <v>Richlands</v>
      </c>
      <c r="K194" s="87">
        <f>+K153+K161+K169+K177</f>
        <v>13006</v>
      </c>
      <c r="L194" s="654">
        <f>+'Summary Total Pigs'!AF114</f>
        <v>13017</v>
      </c>
      <c r="M194" s="42">
        <f>+K194-L194</f>
        <v>-11</v>
      </c>
    </row>
    <row r="195" spans="1:13" hidden="1">
      <c r="A195" s="654" t="s">
        <v>1609</v>
      </c>
      <c r="B195" s="695"/>
      <c r="C195" s="693">
        <v>1230000</v>
      </c>
      <c r="D195" s="42">
        <f>+C195</f>
        <v>1230000</v>
      </c>
      <c r="E195" s="42"/>
      <c r="F195" s="42"/>
      <c r="G195" s="696" t="s">
        <v>71</v>
      </c>
      <c r="H195" s="31"/>
      <c r="I195" s="31"/>
      <c r="J195" s="31"/>
      <c r="K195" s="1238">
        <f>SUM(K191:K194)</f>
        <v>63650</v>
      </c>
      <c r="L195" s="737">
        <f>SUM(L191:L194)</f>
        <v>63833</v>
      </c>
      <c r="M195" s="695">
        <f>SUM(M191:M194)</f>
        <v>-183</v>
      </c>
    </row>
    <row r="196" spans="1:13" hidden="1">
      <c r="A196" s="654"/>
      <c r="B196" s="695"/>
      <c r="C196" s="693">
        <f>SUM(C193:C195)</f>
        <v>162182094.42592564</v>
      </c>
      <c r="D196" s="693">
        <f>SUM(D193:D195)</f>
        <v>485107141.39306831</v>
      </c>
      <c r="E196" s="42"/>
      <c r="F196" s="42"/>
      <c r="G196" s="693"/>
      <c r="L196" s="42"/>
      <c r="M196" s="42"/>
    </row>
    <row r="197" spans="1:13" hidden="1">
      <c r="A197" s="654"/>
      <c r="B197" s="695"/>
      <c r="C197" s="693"/>
      <c r="D197" s="693"/>
      <c r="E197" s="42"/>
      <c r="F197" s="42"/>
      <c r="G197" s="696" t="s">
        <v>204</v>
      </c>
      <c r="L197" s="42"/>
      <c r="M197" s="42"/>
    </row>
    <row r="198" spans="1:13" hidden="1">
      <c r="A198" s="42"/>
      <c r="B198" s="42"/>
      <c r="C198" s="693"/>
      <c r="D198" s="42"/>
      <c r="E198" s="654"/>
      <c r="F198" s="695"/>
      <c r="G198" s="693" t="str">
        <f>+G191</f>
        <v>Grasmere</v>
      </c>
      <c r="H198" s="42"/>
      <c r="I198" s="734">
        <f>+I150+I158+I166+I174+I184</f>
        <v>4726533.3519578045</v>
      </c>
      <c r="J198" s="42">
        <f>+'Summary Valuation'!C6</f>
        <v>76879976.279434115</v>
      </c>
      <c r="K198" s="693">
        <f t="shared" ref="K198:K203" si="27">+I198-J198</f>
        <v>-72153442.927476317</v>
      </c>
      <c r="L198" s="42"/>
      <c r="M198" s="42"/>
    </row>
    <row r="199" spans="1:13" hidden="1">
      <c r="A199" s="42"/>
      <c r="B199" s="42"/>
      <c r="C199" s="693"/>
      <c r="D199" s="42"/>
      <c r="E199" s="654"/>
      <c r="F199" s="695"/>
      <c r="G199" s="693" t="str">
        <f>+G192</f>
        <v>Villa</v>
      </c>
      <c r="H199" s="42"/>
      <c r="I199" s="734">
        <f>+I151+I159+I167+I175+I185</f>
        <v>775941.84982092155</v>
      </c>
      <c r="J199" s="42">
        <f>+'Summary Valuation'!C22</f>
        <v>786664.00097004033</v>
      </c>
      <c r="K199" s="693">
        <f t="shared" si="27"/>
        <v>-10722.151149118785</v>
      </c>
      <c r="L199" s="42"/>
      <c r="M199" s="42"/>
    </row>
    <row r="200" spans="1:13" hidden="1">
      <c r="E200" s="654"/>
      <c r="F200" s="42"/>
      <c r="G200" s="693" t="str">
        <f>+G193</f>
        <v>Lionshead</v>
      </c>
      <c r="H200" s="42"/>
      <c r="I200" s="734">
        <f>+I152+I160+I168+I176+I186</f>
        <v>3021483.8536171047</v>
      </c>
      <c r="J200" s="42">
        <f>+'Summary Valuation'!C23+'Summary Valuation'!C25</f>
        <v>3021483.8536171047</v>
      </c>
      <c r="K200" s="693">
        <f t="shared" si="27"/>
        <v>0</v>
      </c>
      <c r="L200" s="42"/>
      <c r="M200" s="42"/>
    </row>
    <row r="201" spans="1:13" hidden="1">
      <c r="E201" s="654"/>
      <c r="F201" s="42"/>
      <c r="G201" s="693" t="str">
        <f>+G194</f>
        <v>Richlands</v>
      </c>
      <c r="H201" s="42"/>
      <c r="I201" s="734">
        <f>+I153+I161+I169+I177+I187</f>
        <v>2174923.9406618737</v>
      </c>
      <c r="J201" s="42">
        <f>+'Summary Valuation'!C24</f>
        <v>2176650.8566190144</v>
      </c>
      <c r="K201" s="693">
        <f t="shared" si="27"/>
        <v>-1726.9159571407363</v>
      </c>
      <c r="L201" s="42"/>
      <c r="M201" s="42"/>
    </row>
    <row r="202" spans="1:13" hidden="1">
      <c r="E202" s="87"/>
      <c r="G202" s="90" t="s">
        <v>202</v>
      </c>
      <c r="I202" s="42">
        <f>+I181</f>
        <v>48511.464</v>
      </c>
      <c r="J202" s="23">
        <f>+'Summary Valuation'!C15</f>
        <v>48511.464</v>
      </c>
      <c r="K202" s="693">
        <f t="shared" si="27"/>
        <v>0</v>
      </c>
    </row>
    <row r="203" spans="1:13" hidden="1">
      <c r="E203" s="87"/>
      <c r="I203" s="695">
        <f>SUM(I198:I202)</f>
        <v>10747394.460057704</v>
      </c>
      <c r="J203" s="31">
        <f>+'Summary Valuation'!C27</f>
        <v>84110555.219959915</v>
      </c>
      <c r="K203" s="31">
        <f t="shared" si="27"/>
        <v>-73363160.759902209</v>
      </c>
      <c r="L203" s="31"/>
    </row>
    <row r="204" spans="1:13" hidden="1">
      <c r="E204" s="87"/>
      <c r="G204" s="90" t="s">
        <v>1727</v>
      </c>
      <c r="I204" s="42"/>
    </row>
    <row r="205" spans="1:13" hidden="1">
      <c r="E205" s="87"/>
      <c r="G205" s="90" t="s">
        <v>1728</v>
      </c>
      <c r="I205" s="42">
        <f>+'Summary Imported Valuation'!D6+'Summary Imported Valuation'!D13</f>
        <v>-25779722.18035626</v>
      </c>
    </row>
    <row r="206" spans="1:13" hidden="1">
      <c r="E206" s="87"/>
      <c r="G206" s="743" t="s">
        <v>71</v>
      </c>
      <c r="H206" s="31"/>
      <c r="I206" s="31">
        <f>SUM(I203:I205)</f>
        <v>-15032327.720298557</v>
      </c>
      <c r="J206" s="31">
        <f>+'Summary Valuation'!C108</f>
        <v>12231125.632974677</v>
      </c>
      <c r="K206" s="31">
        <f>+I206-J206</f>
        <v>-27263453.353273235</v>
      </c>
    </row>
    <row r="207" spans="1:13" hidden="1">
      <c r="E207" s="87"/>
      <c r="I207" s="23">
        <f>+'Total Pigs'!G315</f>
        <v>16274268.132431434</v>
      </c>
    </row>
    <row r="208" spans="1:13">
      <c r="E208" s="87"/>
      <c r="I208" s="23">
        <f>+I206-I207</f>
        <v>-31306595.852729991</v>
      </c>
    </row>
    <row r="209" spans="5:8">
      <c r="E209" s="87"/>
    </row>
    <row r="210" spans="5:8">
      <c r="E210" s="87"/>
    </row>
    <row r="217" spans="5:8">
      <c r="H217" s="90"/>
    </row>
    <row r="221" spans="5:8">
      <c r="G221" s="23"/>
    </row>
    <row r="226" spans="7:7">
      <c r="G226" s="23"/>
    </row>
  </sheetData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40">
    <tabColor theme="3" tint="0.39997558519241921"/>
  </sheetPr>
  <dimension ref="A1:R50"/>
  <sheetViews>
    <sheetView view="pageBreakPreview" topLeftCell="A7" zoomScaleNormal="100" zoomScaleSheetLayoutView="100" workbookViewId="0">
      <selection activeCell="D27" sqref="D27"/>
    </sheetView>
  </sheetViews>
  <sheetFormatPr defaultRowHeight="13.15"/>
  <cols>
    <col min="1" max="1" width="16" bestFit="1" customWidth="1"/>
    <col min="3" max="3" width="13.140625" bestFit="1" customWidth="1"/>
    <col min="4" max="5" width="12.42578125" bestFit="1" customWidth="1"/>
    <col min="6" max="6" width="11.42578125" bestFit="1" customWidth="1"/>
    <col min="7" max="7" width="13.140625" bestFit="1" customWidth="1"/>
    <col min="8" max="8" width="17" customWidth="1"/>
    <col min="9" max="9" width="11.28515625" customWidth="1"/>
    <col min="10" max="10" width="11.42578125" customWidth="1"/>
    <col min="11" max="11" width="13.140625" customWidth="1"/>
    <col min="12" max="12" width="16.42578125" customWidth="1"/>
    <col min="13" max="13" width="19.28515625" customWidth="1"/>
    <col min="14" max="15" width="8.85546875" customWidth="1"/>
  </cols>
  <sheetData>
    <row r="1" spans="1:13">
      <c r="A1" s="31" t="s">
        <v>82</v>
      </c>
      <c r="B1" s="23"/>
      <c r="C1" s="90"/>
      <c r="D1" s="23"/>
      <c r="E1" s="23"/>
      <c r="F1" s="23"/>
      <c r="G1" s="90"/>
      <c r="H1" s="23"/>
      <c r="I1" s="23"/>
      <c r="J1" s="23"/>
      <c r="K1" s="23"/>
      <c r="L1" s="23"/>
    </row>
    <row r="2" spans="1:13">
      <c r="A2" s="23"/>
      <c r="B2" s="23"/>
      <c r="C2" s="90"/>
      <c r="D2" s="23"/>
      <c r="E2" s="23"/>
      <c r="F2" s="23"/>
      <c r="G2" s="90"/>
      <c r="H2" s="675">
        <f>+'Summary Total Pigs'!C3</f>
        <v>46226</v>
      </c>
      <c r="I2" s="23" t="s">
        <v>138</v>
      </c>
      <c r="J2" s="23"/>
      <c r="K2" s="23"/>
      <c r="L2" s="23"/>
    </row>
    <row r="3" spans="1:13">
      <c r="A3" s="31" t="s">
        <v>1654</v>
      </c>
      <c r="B3" s="23"/>
      <c r="C3" s="90"/>
      <c r="D3" s="23"/>
      <c r="E3" s="23"/>
      <c r="F3" s="23"/>
      <c r="G3" s="90"/>
      <c r="H3" s="23" t="s">
        <v>138</v>
      </c>
      <c r="I3" s="23"/>
      <c r="J3" s="23"/>
      <c r="K3" s="23"/>
      <c r="L3" s="23"/>
    </row>
    <row r="4" spans="1:13">
      <c r="A4" s="23"/>
      <c r="B4" s="23"/>
      <c r="C4" s="90"/>
      <c r="D4" s="23"/>
      <c r="E4" s="23"/>
      <c r="F4" s="23"/>
      <c r="G4" s="90"/>
      <c r="H4" s="31" t="s">
        <v>1655</v>
      </c>
      <c r="I4" s="23"/>
      <c r="J4" s="23"/>
      <c r="K4" s="23"/>
      <c r="L4" s="23"/>
    </row>
    <row r="5" spans="1:13">
      <c r="A5" s="686" t="s">
        <v>127</v>
      </c>
      <c r="B5" s="687"/>
      <c r="C5" s="688"/>
      <c r="D5" s="689"/>
      <c r="E5" s="690"/>
      <c r="F5" s="690">
        <f>+'Summary Total Pigs'!C3</f>
        <v>46226</v>
      </c>
      <c r="G5" s="688"/>
      <c r="H5" s="689"/>
      <c r="I5" s="691"/>
      <c r="J5" s="690">
        <f>+'Grasmere Valuation '!J5</f>
        <v>45870</v>
      </c>
      <c r="K5" s="687"/>
      <c r="L5" s="689"/>
    </row>
    <row r="6" spans="1:13">
      <c r="A6" s="692"/>
      <c r="B6" s="42"/>
      <c r="C6" s="693"/>
      <c r="D6" s="625"/>
      <c r="E6" s="42"/>
      <c r="F6" s="42"/>
      <c r="G6" s="693"/>
      <c r="H6" s="625"/>
      <c r="I6" s="692"/>
      <c r="J6" s="42"/>
      <c r="K6" s="42"/>
      <c r="L6" s="625"/>
    </row>
    <row r="7" spans="1:13">
      <c r="A7" s="694" t="s">
        <v>1656</v>
      </c>
      <c r="B7" s="695" t="s">
        <v>1657</v>
      </c>
      <c r="C7" s="696" t="s">
        <v>1658</v>
      </c>
      <c r="D7" s="697" t="s">
        <v>1659</v>
      </c>
      <c r="E7" s="695" t="s">
        <v>1660</v>
      </c>
      <c r="F7" s="695" t="s">
        <v>1661</v>
      </c>
      <c r="G7" s="696" t="s">
        <v>1662</v>
      </c>
      <c r="H7" s="697" t="s">
        <v>1663</v>
      </c>
      <c r="I7" s="698" t="s">
        <v>1660</v>
      </c>
      <c r="J7" s="695" t="s">
        <v>1661</v>
      </c>
      <c r="K7" s="696" t="s">
        <v>1662</v>
      </c>
      <c r="L7" s="697" t="s">
        <v>1663</v>
      </c>
    </row>
    <row r="8" spans="1:13">
      <c r="A8" s="699"/>
      <c r="B8" s="700" t="s">
        <v>1664</v>
      </c>
      <c r="C8" s="701" t="s">
        <v>1665</v>
      </c>
      <c r="D8" s="702" t="s">
        <v>181</v>
      </c>
      <c r="E8" s="700" t="s">
        <v>1666</v>
      </c>
      <c r="F8" s="700"/>
      <c r="G8" s="701" t="s">
        <v>1668</v>
      </c>
      <c r="H8" s="702"/>
      <c r="I8" s="703" t="s">
        <v>1666</v>
      </c>
      <c r="J8" s="700"/>
      <c r="K8" s="701" t="s">
        <v>1668</v>
      </c>
      <c r="L8" s="702"/>
    </row>
    <row r="9" spans="1:13">
      <c r="A9" s="695" t="s">
        <v>179</v>
      </c>
      <c r="B9" s="42"/>
      <c r="C9" s="693"/>
      <c r="D9" s="689"/>
      <c r="E9" s="691"/>
      <c r="F9" s="687"/>
      <c r="G9" s="688"/>
      <c r="H9" s="1151">
        <f>SUM('Learig Pig Cost'!B62:R62)</f>
        <v>0</v>
      </c>
      <c r="I9" s="42"/>
      <c r="J9" s="42"/>
      <c r="K9" s="693"/>
      <c r="L9" s="704">
        <v>0</v>
      </c>
    </row>
    <row r="10" spans="1:13">
      <c r="A10" s="42"/>
      <c r="B10" s="706">
        <v>1</v>
      </c>
      <c r="C10" s="693">
        <f>VLOOKUP(B10,[65]New!$O$1:$AJ$37,17,0)</f>
        <v>1.3261711767166928</v>
      </c>
      <c r="D10" s="1152">
        <f>+VLOOKUP(B10,[65]New!$A$1:$AJ$37,32,0)</f>
        <v>0.82222612956434959</v>
      </c>
      <c r="E10" s="1152">
        <f>+'Learig Batch Mvnt'!B3</f>
        <v>0</v>
      </c>
      <c r="F10" s="42">
        <v>0</v>
      </c>
      <c r="G10" s="726">
        <f>IFERROR(H10/F10,0)</f>
        <v>0</v>
      </c>
      <c r="H10" s="704">
        <f>'Learig Pig Cost'!$S$62</f>
        <v>0</v>
      </c>
      <c r="I10" s="1406">
        <v>0</v>
      </c>
      <c r="J10" s="42">
        <v>0</v>
      </c>
      <c r="K10" s="693">
        <v>0</v>
      </c>
      <c r="L10" s="625">
        <v>0</v>
      </c>
    </row>
    <row r="11" spans="1:13">
      <c r="A11" s="42"/>
      <c r="B11" s="706">
        <v>2</v>
      </c>
      <c r="C11" s="693">
        <f>VLOOKUP(B11,[65]New!$O$1:$AJ$37,17,0)</f>
        <v>2.254491000418378</v>
      </c>
      <c r="D11" s="1152">
        <f>+VLOOKUP(B11,[65]New!$A$1:$AJ$37,32,0)</f>
        <v>1.3977844202593943</v>
      </c>
      <c r="E11" s="1152">
        <f>+'Learig Batch Mvnt'!B4</f>
        <v>0</v>
      </c>
      <c r="F11" s="42"/>
      <c r="G11" s="726">
        <f t="shared" ref="G11:G26" si="0">IFERROR(H11/F11,0)</f>
        <v>0</v>
      </c>
      <c r="H11" s="704">
        <f>'Learig Pig Cost'!$T$62</f>
        <v>0</v>
      </c>
      <c r="I11" s="1406">
        <v>0</v>
      </c>
      <c r="J11" s="42"/>
      <c r="K11" s="693">
        <v>0</v>
      </c>
      <c r="L11" s="625">
        <v>0</v>
      </c>
    </row>
    <row r="12" spans="1:13">
      <c r="A12" s="695" t="s">
        <v>384</v>
      </c>
      <c r="B12" s="706">
        <v>3</v>
      </c>
      <c r="C12" s="693">
        <f>VLOOKUP(B12,[65]New!$O$1:$AJ$37,17,0)</f>
        <v>3.6071856006694052</v>
      </c>
      <c r="D12" s="1152">
        <f>+VLOOKUP(B12,[65]New!$A$1:$AJ$37,32,0)</f>
        <v>2.2364550724150312</v>
      </c>
      <c r="E12" s="1152">
        <f>+'Learig Batch Mvnt'!B5</f>
        <v>0</v>
      </c>
      <c r="F12" s="42"/>
      <c r="G12" s="726">
        <f t="shared" si="0"/>
        <v>0</v>
      </c>
      <c r="H12" s="704">
        <f>'Learig Pig Cost'!$U$62</f>
        <v>0</v>
      </c>
      <c r="I12" s="1406">
        <v>0</v>
      </c>
      <c r="J12" s="42"/>
      <c r="K12" s="693">
        <v>0</v>
      </c>
      <c r="L12" s="625">
        <v>0</v>
      </c>
    </row>
    <row r="13" spans="1:13">
      <c r="A13" s="695"/>
      <c r="B13" s="708">
        <v>4</v>
      </c>
      <c r="C13" s="693">
        <f>VLOOKUP(B13,[65]New!$O$1:$AJ$37,17,0)</f>
        <v>5.4107784010041069</v>
      </c>
      <c r="D13" s="1152">
        <f>+VLOOKUP(B13,[65]New!$A$1:$AJ$37,32,0)</f>
        <v>3.3546826086225461</v>
      </c>
      <c r="E13" s="1152">
        <f>+'Learig Batch Mvnt'!B6</f>
        <v>0</v>
      </c>
      <c r="F13" s="630"/>
      <c r="G13" s="726">
        <f t="shared" si="0"/>
        <v>0</v>
      </c>
      <c r="H13" s="704">
        <f>'Learig Pig Cost'!$V$62</f>
        <v>0</v>
      </c>
      <c r="I13" s="1407">
        <v>0</v>
      </c>
      <c r="J13" s="630"/>
      <c r="K13" s="709">
        <v>0</v>
      </c>
      <c r="L13" s="625">
        <v>0</v>
      </c>
    </row>
    <row r="14" spans="1:13">
      <c r="A14" s="695"/>
      <c r="B14" s="710">
        <v>5</v>
      </c>
      <c r="C14" s="693">
        <f>VLOOKUP(B14,[65]New!$O$1:$AJ$37,17,0)</f>
        <v>7.1409217207821927</v>
      </c>
      <c r="D14" s="1315">
        <f>+VLOOKUP(B14,[65]New!$A$1:$AJ$37,32,0)</f>
        <v>4.9272359873397127</v>
      </c>
      <c r="E14" s="1315">
        <f>+'Learig Batch Mvnt'!B7</f>
        <v>401</v>
      </c>
      <c r="F14" s="687">
        <f>D14*E14</f>
        <v>1975.8216309232248</v>
      </c>
      <c r="G14" s="726">
        <f t="shared" si="0"/>
        <v>9.2433220333563764</v>
      </c>
      <c r="H14" s="704">
        <f>'Learig Pig Cost'!$W$62</f>
        <v>18263.155615094773</v>
      </c>
      <c r="I14" s="1408">
        <v>300</v>
      </c>
      <c r="J14" s="687">
        <v>1459.4865341338816</v>
      </c>
      <c r="K14" s="687">
        <v>4.3039937156261994</v>
      </c>
      <c r="L14" s="689">
        <v>6281.6208709532893</v>
      </c>
    </row>
    <row r="15" spans="1:13">
      <c r="A15" s="695"/>
      <c r="B15" s="706">
        <v>6</v>
      </c>
      <c r="C15" s="693">
        <f>VLOOKUP(B15,[65]New!$O$1:$AJ$37,17,0)</f>
        <v>9.7252552959224143</v>
      </c>
      <c r="D15" s="1155">
        <f>+VLOOKUP(B15,[65]New!$A$1:$AJ$37,32,0)</f>
        <v>6.7104261541864654</v>
      </c>
      <c r="E15" s="1155">
        <f>+'Learig Batch Mvnt'!B8</f>
        <v>420</v>
      </c>
      <c r="F15" s="1856">
        <f t="shared" ref="F15:F21" si="1">D15*E15</f>
        <v>2818.3789847583153</v>
      </c>
      <c r="G15" s="726">
        <f t="shared" si="0"/>
        <v>10.614344690689693</v>
      </c>
      <c r="H15" s="704">
        <f>'Learig Pig Cost'!$X$62</f>
        <v>29915.246013220833</v>
      </c>
      <c r="I15" s="1409">
        <v>390</v>
      </c>
      <c r="J15" s="42">
        <v>2583.986159004653</v>
      </c>
      <c r="K15" s="693">
        <v>5.2362696597068155</v>
      </c>
      <c r="L15" s="625">
        <v>13530.448325498415</v>
      </c>
    </row>
    <row r="16" spans="1:13">
      <c r="A16" s="695" t="s">
        <v>389</v>
      </c>
      <c r="B16" s="706">
        <v>7</v>
      </c>
      <c r="C16" s="693">
        <f>VLOOKUP(B16,[65]New!$O$1:$AJ$37,17,0)</f>
        <v>12.309588871062637</v>
      </c>
      <c r="D16" s="1155">
        <f>+VLOOKUP(B16,[65]New!$A$1:$AJ$37,32,0)</f>
        <v>8.493616321033219</v>
      </c>
      <c r="E16" s="1155">
        <f>+'Learig Batch Mvnt'!B9</f>
        <v>339</v>
      </c>
      <c r="F16" s="42">
        <f t="shared" si="1"/>
        <v>2879.3359328302613</v>
      </c>
      <c r="G16" s="726">
        <f t="shared" si="0"/>
        <v>10.489905851394573</v>
      </c>
      <c r="H16" s="704">
        <f>'Learig Pig Cost'!$Y$62</f>
        <v>30203.962849926807</v>
      </c>
      <c r="I16" s="23">
        <v>365</v>
      </c>
      <c r="J16" s="42">
        <v>3060.983424684282</v>
      </c>
      <c r="K16" s="1839">
        <v>4.2012222800105832</v>
      </c>
      <c r="L16" s="625">
        <v>12859.871762526702</v>
      </c>
      <c r="M16" s="24">
        <f>L16-H16</f>
        <v>-17344.091087400106</v>
      </c>
    </row>
    <row r="17" spans="1:18">
      <c r="A17" s="695"/>
      <c r="B17" s="706">
        <v>8</v>
      </c>
      <c r="C17" s="693">
        <f>VLOOKUP(B17,[65]New!$O$1:$AJ$37,17,0)</f>
        <v>14.893922446202867</v>
      </c>
      <c r="D17" s="1155">
        <f>+VLOOKUP(B17,[65]New!$A$1:$AJ$37,32,0)</f>
        <v>10.276806487879977</v>
      </c>
      <c r="E17" s="1155">
        <f>+'Learig Batch Mvnt'!B10</f>
        <v>340</v>
      </c>
      <c r="F17" s="42">
        <f>D17*E17</f>
        <v>3494.114205879192</v>
      </c>
      <c r="G17" s="726">
        <f t="shared" si="0"/>
        <v>7.9011201658286883</v>
      </c>
      <c r="H17" s="704">
        <f>'Learig Pig Cost'!$Z$62</f>
        <v>27607.416213780576</v>
      </c>
      <c r="I17" s="1409">
        <v>407</v>
      </c>
      <c r="J17" s="42">
        <v>4129.7908967287403</v>
      </c>
      <c r="K17" s="1839">
        <v>2.4673516780339222</v>
      </c>
      <c r="L17" s="625">
        <v>10189.646498972874</v>
      </c>
      <c r="M17" s="24">
        <f t="shared" ref="M17:M44" si="2">L17-H17</f>
        <v>-17417.769714807702</v>
      </c>
    </row>
    <row r="18" spans="1:18">
      <c r="A18" s="695"/>
      <c r="B18" s="708">
        <v>9</v>
      </c>
      <c r="C18" s="693">
        <f>VLOOKUP(B18,[65]New!$O$1:$AJ$37,17,0)</f>
        <v>19.127468894952315</v>
      </c>
      <c r="D18" s="1155">
        <f>+VLOOKUP(B18,[65]New!$A$1:$AJ$37,32,0)</f>
        <v>13.197953537517096</v>
      </c>
      <c r="E18" s="1314">
        <f>+'Learig Batch Mvnt'!B11</f>
        <v>422</v>
      </c>
      <c r="F18" s="630">
        <f>D18*E18</f>
        <v>5569.536392832214</v>
      </c>
      <c r="G18" s="726">
        <f t="shared" si="0"/>
        <v>6.245184009778443</v>
      </c>
      <c r="H18" s="704">
        <f>'Learig Pig Cost'!$AA$62</f>
        <v>34782.779622394854</v>
      </c>
      <c r="I18" s="1409">
        <v>300</v>
      </c>
      <c r="J18" s="42">
        <v>3909.3389307157563</v>
      </c>
      <c r="K18" s="1839">
        <v>2.9521316847752237</v>
      </c>
      <c r="L18" s="625">
        <v>11540.883323891278</v>
      </c>
      <c r="M18" s="24">
        <f t="shared" si="2"/>
        <v>-23241.896298503576</v>
      </c>
    </row>
    <row r="19" spans="1:18">
      <c r="A19" s="694"/>
      <c r="B19" s="706">
        <v>10</v>
      </c>
      <c r="C19" s="693">
        <f>VLOOKUP(B19,[65]New!$O$1:$AJ$37,17,0)</f>
        <v>23.361015343701762</v>
      </c>
      <c r="D19" s="1315">
        <f>+VLOOKUP(B19,[65]New!$A$1:$AJ$37,32,0)</f>
        <v>16.119100587154215</v>
      </c>
      <c r="E19" s="1155">
        <f>+'Learig Batch Mvnt'!B12</f>
        <v>356</v>
      </c>
      <c r="F19" s="42">
        <f t="shared" si="1"/>
        <v>5738.3998090269006</v>
      </c>
      <c r="G19" s="726">
        <f t="shared" si="0"/>
        <v>7.5691487085232465</v>
      </c>
      <c r="H19" s="704">
        <f>'Learig Pig Cost'!$AB$62</f>
        <v>43434.801503486007</v>
      </c>
      <c r="I19" s="1408">
        <v>223</v>
      </c>
      <c r="J19" s="687">
        <v>3549.1237542197605</v>
      </c>
      <c r="K19" s="1839">
        <v>4.1031075222971793</v>
      </c>
      <c r="L19" s="625">
        <v>14562.436373502704</v>
      </c>
      <c r="M19" s="24">
        <f t="shared" si="2"/>
        <v>-28872.365129983304</v>
      </c>
      <c r="R19" s="1221">
        <v>955</v>
      </c>
    </row>
    <row r="20" spans="1:18">
      <c r="A20" s="694"/>
      <c r="B20" s="706">
        <v>11</v>
      </c>
      <c r="C20" s="693">
        <f>VLOOKUP(B20,[65]New!$O$1:$AJ$37,17,0)</f>
        <v>27.90060129477045</v>
      </c>
      <c r="D20" s="1156">
        <f>+VLOOKUP(B20,[65]New!$A$1:$AJ$37,32,0)</f>
        <v>19.251414893391608</v>
      </c>
      <c r="E20" s="1156">
        <f>+'Learig Batch Mvnt'!B13</f>
        <v>342</v>
      </c>
      <c r="F20" s="42">
        <f t="shared" si="1"/>
        <v>6583.9838935399302</v>
      </c>
      <c r="G20" s="726">
        <f t="shared" si="0"/>
        <v>8.2138155335996395</v>
      </c>
      <c r="H20" s="704">
        <f>'Learig Pig Cost'!$AC$62</f>
        <v>54079.629177728115</v>
      </c>
      <c r="I20" s="1409">
        <v>278</v>
      </c>
      <c r="J20" s="42">
        <v>5284.2447452286424</v>
      </c>
      <c r="K20" s="1839">
        <v>3.7507381345646729</v>
      </c>
      <c r="L20" s="625">
        <v>19819.818278302053</v>
      </c>
      <c r="M20" s="24">
        <f t="shared" si="2"/>
        <v>-34259.810899426062</v>
      </c>
    </row>
    <row r="21" spans="1:18">
      <c r="A21" s="694"/>
      <c r="B21" s="706">
        <v>12</v>
      </c>
      <c r="C21" s="693">
        <f>VLOOKUP(B21,[65]New!$O$1:$AJ$37,17,0)</f>
        <v>32.440187245839127</v>
      </c>
      <c r="D21" s="1156">
        <f>+VLOOKUP(B21,[65]New!$A$1:$AJ$37,32,0)</f>
        <v>22.383729199628995</v>
      </c>
      <c r="E21" s="1156">
        <f>+'Learig Batch Mvnt'!B14</f>
        <v>398</v>
      </c>
      <c r="F21" s="42">
        <f t="shared" si="1"/>
        <v>8908.7242214523394</v>
      </c>
      <c r="G21" s="726">
        <f t="shared" si="0"/>
        <v>6.8078351591308977</v>
      </c>
      <c r="H21" s="704">
        <f>'Learig Pig Cost'!$AD$62</f>
        <v>60649.125977804266</v>
      </c>
      <c r="I21" s="1409">
        <v>283</v>
      </c>
      <c r="J21" s="42">
        <v>6254.525292992601</v>
      </c>
      <c r="K21" s="1839">
        <v>2.8635504500024047</v>
      </c>
      <c r="L21" s="625">
        <v>17910.148717300384</v>
      </c>
      <c r="M21" s="24">
        <f t="shared" si="2"/>
        <v>-42738.977260503882</v>
      </c>
    </row>
    <row r="22" spans="1:18">
      <c r="A22" s="694"/>
      <c r="B22" s="706">
        <v>13</v>
      </c>
      <c r="C22" s="693">
        <f>VLOOKUP(B22,[65]New!$O$1:$AJ$37,17,0)</f>
        <v>39.479095799181579</v>
      </c>
      <c r="D22" s="1156">
        <f>+VLOOKUP(B22,[65]New!$A$1:$AJ$37,32,0)</f>
        <v>27.240576101435288</v>
      </c>
      <c r="E22" s="1156">
        <f>+'Learig Batch Mvnt'!B15</f>
        <v>409</v>
      </c>
      <c r="F22" s="42">
        <f>D22*E22</f>
        <v>11141.395625487032</v>
      </c>
      <c r="G22" s="726">
        <f t="shared" si="0"/>
        <v>5.8372053197205354</v>
      </c>
      <c r="H22" s="704">
        <f>'Learig Pig Cost'!$AE$62</f>
        <v>65034.613814204007</v>
      </c>
      <c r="I22" s="1409">
        <v>392</v>
      </c>
      <c r="J22" s="42">
        <v>10543.330722583167</v>
      </c>
      <c r="K22" s="1839">
        <v>2.4842147302672797</v>
      </c>
      <c r="L22" s="625">
        <v>26191.897487120666</v>
      </c>
      <c r="M22" s="24">
        <f t="shared" si="2"/>
        <v>-38842.716327083341</v>
      </c>
    </row>
    <row r="23" spans="1:18">
      <c r="A23" s="694"/>
      <c r="B23" s="706">
        <v>14</v>
      </c>
      <c r="C23" s="693">
        <f>VLOOKUP(B23,[65]New!$O$1:$AJ$37,17,0)</f>
        <v>46.518004352524024</v>
      </c>
      <c r="D23" s="1156">
        <f>+VLOOKUP(B23,[65]New!$A$1:$AJ$37,32,0)</f>
        <v>33.492963133817298</v>
      </c>
      <c r="E23" s="1156">
        <f>+'Learig Batch Mvnt'!B16</f>
        <v>350</v>
      </c>
      <c r="F23" s="42">
        <f t="shared" ref="F23:F33" si="3">D23*E23</f>
        <v>11722.537096836055</v>
      </c>
      <c r="G23" s="726">
        <f t="shared" si="0"/>
        <v>5.3822590197449092</v>
      </c>
      <c r="H23" s="704">
        <f>'Learig Pig Cost'!$AF$62</f>
        <v>63093.731023740154</v>
      </c>
      <c r="I23" s="1409">
        <v>332</v>
      </c>
      <c r="J23" s="42">
        <v>10979.109832327787</v>
      </c>
      <c r="K23" s="1839">
        <v>2.5645356428657173</v>
      </c>
      <c r="L23" s="625">
        <v>28156.31849194206</v>
      </c>
      <c r="M23" s="24">
        <f t="shared" si="2"/>
        <v>-34937.412531798094</v>
      </c>
    </row>
    <row r="24" spans="1:18">
      <c r="A24" s="694" t="s">
        <v>397</v>
      </c>
      <c r="B24" s="706">
        <v>15</v>
      </c>
      <c r="C24" s="693">
        <f>VLOOKUP(B24,[65]New!$O$1:$AJ$37,17,0)</f>
        <v>54.951092860876336</v>
      </c>
      <c r="D24" s="1156">
        <f>+VLOOKUP(B24,[65]New!$A$1:$AJ$37,32,0)</f>
        <v>39.56478685983096</v>
      </c>
      <c r="E24" s="1156">
        <f>+'Learig Batch Mvnt'!B17</f>
        <v>407</v>
      </c>
      <c r="F24" s="42">
        <f t="shared" si="3"/>
        <v>16102.8682519512</v>
      </c>
      <c r="G24" s="726">
        <f t="shared" si="0"/>
        <v>5.143339975087339</v>
      </c>
      <c r="H24" s="704">
        <f>'Learig Pig Cost'!$AG$62</f>
        <v>82822.525993825388</v>
      </c>
      <c r="I24" s="1409">
        <v>330</v>
      </c>
      <c r="J24" s="42">
        <v>12891.345406590752</v>
      </c>
      <c r="K24" s="1839">
        <v>2.4943727518174437</v>
      </c>
      <c r="L24" s="625">
        <v>32155.820716466933</v>
      </c>
      <c r="M24" s="24">
        <f t="shared" si="2"/>
        <v>-50666.705277358458</v>
      </c>
    </row>
    <row r="25" spans="1:18">
      <c r="A25" s="694" t="s">
        <v>138</v>
      </c>
      <c r="B25" s="706">
        <v>16</v>
      </c>
      <c r="C25" s="693">
        <f>VLOOKUP(B25,[65]New!$O$1:$AJ$37,17,0)</f>
        <v>63.384181369228649</v>
      </c>
      <c r="D25" s="1156">
        <f>+VLOOKUP(B25,[65]New!$A$1:$AJ$37,32,0)</f>
        <v>46.9042942132292</v>
      </c>
      <c r="E25" s="1156">
        <f>+'Learig Batch Mvnt'!B18</f>
        <v>407</v>
      </c>
      <c r="F25" s="42">
        <f t="shared" si="3"/>
        <v>19090.047744784286</v>
      </c>
      <c r="G25" s="726">
        <f t="shared" si="0"/>
        <v>5.6293753089267362</v>
      </c>
      <c r="H25" s="704">
        <f>'Learig Pig Cost'!$AH$62</f>
        <v>107465.04342072118</v>
      </c>
      <c r="I25" s="1409">
        <v>354</v>
      </c>
      <c r="J25" s="42">
        <v>16394.24201485877</v>
      </c>
      <c r="K25" s="1839">
        <v>2.2430780531626833</v>
      </c>
      <c r="L25" s="625">
        <v>36773.564461767273</v>
      </c>
      <c r="M25" s="24">
        <f t="shared" si="2"/>
        <v>-70691.4789589539</v>
      </c>
    </row>
    <row r="26" spans="1:18" s="1838" customFormat="1">
      <c r="A26" s="717"/>
      <c r="B26" s="718">
        <v>17</v>
      </c>
      <c r="C26" s="693">
        <f>VLOOKUP(B26,[65]New!$O$1:$AJ$37,17,0)</f>
        <v>71.817269877580941</v>
      </c>
      <c r="D26" s="1156">
        <f>+VLOOKUP(B26,[65]New!$A$1:$AJ$37,32,0)</f>
        <v>53.144779709409896</v>
      </c>
      <c r="E26" s="1834">
        <f>+'Learig Batch Mvnt'!B19</f>
        <v>418</v>
      </c>
      <c r="F26" s="1160">
        <f t="shared" si="3"/>
        <v>22214.517918533336</v>
      </c>
      <c r="G26" s="726">
        <f t="shared" si="0"/>
        <v>4.874493543752231</v>
      </c>
      <c r="H26" s="704">
        <f>'Learig Pig Cost'!$AI$62</f>
        <v>108284.52417145899</v>
      </c>
      <c r="I26" s="1837">
        <v>403</v>
      </c>
      <c r="J26" s="1160">
        <v>21146.628312175431</v>
      </c>
      <c r="K26" s="1852">
        <v>2.0071483492199929</v>
      </c>
      <c r="L26" s="1734">
        <v>42444.420108351682</v>
      </c>
      <c r="M26" s="24">
        <f t="shared" si="2"/>
        <v>-65840.104063107312</v>
      </c>
    </row>
    <row r="27" spans="1:18">
      <c r="A27" s="694"/>
      <c r="B27" s="706">
        <v>18</v>
      </c>
      <c r="C27" s="693">
        <f>VLOOKUP(B27,[65]New!$O$1:$AJ$37,17,0)</f>
        <v>82.939389685551106</v>
      </c>
      <c r="D27" s="1156">
        <f>+VLOOKUP(B27,[65]New!$A$1:$AJ$37,32,0)</f>
        <v>63.033936161018836</v>
      </c>
      <c r="E27" s="1156">
        <f>+'Learig Batch Mvnt'!B20</f>
        <v>414</v>
      </c>
      <c r="F27" s="42">
        <f t="shared" si="3"/>
        <v>26096.049570661798</v>
      </c>
      <c r="G27" s="1846">
        <f>'[66]Selling Price Working'!$K$16</f>
        <v>2.4991803584031205</v>
      </c>
      <c r="H27" s="616">
        <f t="shared" ref="H27:H40" si="4">G27*F27</f>
        <v>65218.734518912155</v>
      </c>
      <c r="I27" s="1409">
        <v>323</v>
      </c>
      <c r="J27" s="42">
        <v>20102.608944758325</v>
      </c>
      <c r="K27" s="693">
        <v>2.4861661637061649</v>
      </c>
      <c r="L27" s="616">
        <v>49978.426160675044</v>
      </c>
      <c r="M27" s="24">
        <f t="shared" si="2"/>
        <v>-15240.308358237111</v>
      </c>
    </row>
    <row r="28" spans="1:18">
      <c r="A28" s="694" t="s">
        <v>138</v>
      </c>
      <c r="B28" s="706">
        <v>19</v>
      </c>
      <c r="C28" s="693">
        <f>VLOOKUP(B28,[65]New!$O$1:$AJ$37,17,0)</f>
        <v>95.951437648194428</v>
      </c>
      <c r="D28" s="1156">
        <f>+VLOOKUP(B28,[65]New!$A$1:$AJ$37,32,0)</f>
        <v>72.923092612627769</v>
      </c>
      <c r="E28" s="1156">
        <f>+'Learig Batch Mvnt'!B21</f>
        <v>399</v>
      </c>
      <c r="F28" s="42">
        <f t="shared" si="3"/>
        <v>29096.313952438479</v>
      </c>
      <c r="G28" s="1826">
        <f t="shared" ref="G28:G44" si="5">G27</f>
        <v>2.4991803584031205</v>
      </c>
      <c r="H28" s="616">
        <f t="shared" si="4"/>
        <v>72716.936331864912</v>
      </c>
      <c r="I28" s="1409">
        <v>350</v>
      </c>
      <c r="J28" s="42">
        <v>25200.467489378352</v>
      </c>
      <c r="K28" s="693">
        <v>2.4861661637061649</v>
      </c>
      <c r="L28" s="616">
        <v>62652.549581669708</v>
      </c>
      <c r="M28" s="24">
        <f t="shared" si="2"/>
        <v>-10064.386750195205</v>
      </c>
    </row>
    <row r="29" spans="1:18">
      <c r="A29" s="694"/>
      <c r="B29" s="706">
        <v>20</v>
      </c>
      <c r="C29" s="693">
        <f>VLOOKUP(B29,[65]New!$O$1:$AJ$37,17,0)</f>
        <v>108.96348561083778</v>
      </c>
      <c r="D29" s="1156">
        <f>+VLOOKUP(B29,[65]New!$A$1:$AJ$37,32,0)</f>
        <v>82.81224906423671</v>
      </c>
      <c r="E29" s="1156">
        <f>+'Learig Batch Mvnt'!B22</f>
        <v>327</v>
      </c>
      <c r="F29" s="42">
        <f t="shared" si="3"/>
        <v>27079.605444005403</v>
      </c>
      <c r="G29" s="1826">
        <f t="shared" si="5"/>
        <v>2.4991803584031205</v>
      </c>
      <c r="H29" s="616">
        <f t="shared" si="4"/>
        <v>67676.818038964513</v>
      </c>
      <c r="I29" s="1409">
        <v>350</v>
      </c>
      <c r="J29" s="42">
        <v>28617.922190318895</v>
      </c>
      <c r="K29" s="693">
        <v>2.4861661637061649</v>
      </c>
      <c r="L29" s="616">
        <v>71148.909825146664</v>
      </c>
      <c r="M29" s="24">
        <f t="shared" si="2"/>
        <v>3472.0917861821508</v>
      </c>
    </row>
    <row r="30" spans="1:18">
      <c r="A30" s="694"/>
      <c r="B30" s="706">
        <v>21</v>
      </c>
      <c r="C30" s="693">
        <f>VLOOKUP(B30,[65]New!$O$1:$AJ$37,17,0)</f>
        <v>114.92320223494931</v>
      </c>
      <c r="D30" s="1156">
        <f>+VLOOKUP(B30,[65]New!$A$1:$AJ$37,32,0)</f>
        <v>87.341633698561481</v>
      </c>
      <c r="E30" s="1156">
        <f>+'Learig Batch Mvnt'!B23</f>
        <v>324</v>
      </c>
      <c r="F30" s="42">
        <f t="shared" si="3"/>
        <v>28298.68931833392</v>
      </c>
      <c r="G30" s="1826">
        <f t="shared" si="5"/>
        <v>2.4991803584031205</v>
      </c>
      <c r="H30" s="616">
        <f t="shared" si="4"/>
        <v>70723.528512932317</v>
      </c>
      <c r="I30" s="1409">
        <v>350</v>
      </c>
      <c r="J30" s="42">
        <v>30183.168618230615</v>
      </c>
      <c r="K30" s="693">
        <v>2.4861661637061649</v>
      </c>
      <c r="L30" s="616">
        <v>75040.372532082722</v>
      </c>
      <c r="M30" s="24">
        <f t="shared" si="2"/>
        <v>4316.8440191504051</v>
      </c>
    </row>
    <row r="31" spans="1:18">
      <c r="A31" s="694"/>
      <c r="B31" s="706">
        <v>22</v>
      </c>
      <c r="C31" s="693">
        <f>VLOOKUP(B31,[65]New!$O$1:$AJ$37,17,0)</f>
        <v>129.30581441134009</v>
      </c>
      <c r="D31" s="1156">
        <f>+VLOOKUP(B31,[65]New!$A$1:$AJ$37,32,0)</f>
        <v>98.272418952618466</v>
      </c>
      <c r="E31" s="1156">
        <f>+'Learig Batch Mvnt'!B24</f>
        <v>407</v>
      </c>
      <c r="F31" s="42">
        <f>D31*E31</f>
        <v>39996.874513715717</v>
      </c>
      <c r="G31" s="1826">
        <f t="shared" si="5"/>
        <v>2.4991803584031205</v>
      </c>
      <c r="H31" s="616">
        <f t="shared" si="4"/>
        <v>99959.403182192676</v>
      </c>
      <c r="I31" s="1409">
        <v>369</v>
      </c>
      <c r="J31" s="42">
        <v>35804.159813568105</v>
      </c>
      <c r="K31" s="693">
        <v>2.4861661637061649</v>
      </c>
      <c r="L31" s="616">
        <v>89015.090648421057</v>
      </c>
      <c r="M31" s="24">
        <f t="shared" si="2"/>
        <v>-10944.312533771619</v>
      </c>
    </row>
    <row r="32" spans="1:18">
      <c r="A32" s="694"/>
      <c r="B32" s="706">
        <v>23</v>
      </c>
      <c r="C32" s="693">
        <f>VLOOKUP(B32,[65]New!$O$1:$AJ$37,17,0)</f>
        <v>131.05408325931185</v>
      </c>
      <c r="D32" s="1156">
        <f>+VLOOKUP(B32,[65]New!$A$1:$AJ$37,32,0)</f>
        <v>99.601103277077016</v>
      </c>
      <c r="E32" s="1156">
        <f>+'Learig Batch Mvnt'!B25</f>
        <v>383</v>
      </c>
      <c r="F32" s="42">
        <f t="shared" si="3"/>
        <v>38147.222555120497</v>
      </c>
      <c r="G32" s="1826">
        <f t="shared" si="5"/>
        <v>2.4991803584031205</v>
      </c>
      <c r="H32" s="616">
        <f t="shared" si="4"/>
        <v>95336.789337389651</v>
      </c>
      <c r="I32" s="1409">
        <v>279</v>
      </c>
      <c r="J32" s="42">
        <v>27437.455103407654</v>
      </c>
      <c r="K32" s="693">
        <v>2.4861661637061649</v>
      </c>
      <c r="L32" s="616">
        <v>68214.072496299137</v>
      </c>
      <c r="M32" s="24">
        <f t="shared" si="2"/>
        <v>-27122.716841090514</v>
      </c>
    </row>
    <row r="33" spans="1:13">
      <c r="A33" s="694"/>
      <c r="B33" s="706">
        <v>24</v>
      </c>
      <c r="C33" s="693">
        <f>VLOOKUP(B33,[65]New!$O$1:$AJ$37,17,0)</f>
        <v>132.80235210728367</v>
      </c>
      <c r="D33" s="1156">
        <f>+VLOOKUP(B33,[65]New!$A$1:$AJ$37,32,0)</f>
        <v>100.92978760153559</v>
      </c>
      <c r="E33" s="1156">
        <v>0</v>
      </c>
      <c r="F33" s="42">
        <f t="shared" si="3"/>
        <v>0</v>
      </c>
      <c r="G33" s="1826">
        <f t="shared" si="5"/>
        <v>2.4991803584031205</v>
      </c>
      <c r="H33" s="616">
        <f t="shared" si="4"/>
        <v>0</v>
      </c>
      <c r="I33" s="1409">
        <v>0</v>
      </c>
      <c r="J33" s="42">
        <v>0</v>
      </c>
      <c r="K33" s="693">
        <v>2.4861661637061649</v>
      </c>
      <c r="L33" s="616">
        <v>0</v>
      </c>
      <c r="M33" s="24">
        <f t="shared" si="2"/>
        <v>0</v>
      </c>
    </row>
    <row r="34" spans="1:13">
      <c r="A34" s="694"/>
      <c r="B34" s="706">
        <v>25</v>
      </c>
      <c r="C34" s="693">
        <f>VLOOKUP(B34,[65]New!$O$1:$AJ$37,17,0)</f>
        <v>138.76206873139515</v>
      </c>
      <c r="D34" s="1156">
        <f>+VLOOKUP(B34,[65]New!$A$1:$AJ$37,32,0)</f>
        <v>105.45917223586032</v>
      </c>
      <c r="E34" s="1156">
        <v>0</v>
      </c>
      <c r="F34" s="42">
        <f t="shared" ref="F34:F40" si="6">D34*E34</f>
        <v>0</v>
      </c>
      <c r="G34" s="1826">
        <f t="shared" si="5"/>
        <v>2.4991803584031205</v>
      </c>
      <c r="H34" s="616">
        <f t="shared" si="4"/>
        <v>0</v>
      </c>
      <c r="I34" s="1409">
        <v>0</v>
      </c>
      <c r="J34" s="42">
        <v>0</v>
      </c>
      <c r="K34" s="693">
        <v>2.4861661637061649</v>
      </c>
      <c r="L34" s="616">
        <v>0</v>
      </c>
      <c r="M34" s="24">
        <f t="shared" si="2"/>
        <v>0</v>
      </c>
    </row>
    <row r="35" spans="1:13">
      <c r="A35" s="694"/>
      <c r="B35" s="706">
        <v>26</v>
      </c>
      <c r="C35" s="693">
        <f>VLOOKUP(B35,[65]New!$O$1:$AJ$37,17,0)</f>
        <v>144.7217853555066</v>
      </c>
      <c r="D35" s="1156">
        <f>+VLOOKUP(B35,[65]New!$A$1:$AJ$37,32,0)</f>
        <v>109.98855687018502</v>
      </c>
      <c r="E35" s="1156">
        <v>0</v>
      </c>
      <c r="F35" s="42">
        <f t="shared" si="6"/>
        <v>0</v>
      </c>
      <c r="G35" s="1826">
        <f t="shared" si="5"/>
        <v>2.4991803584031205</v>
      </c>
      <c r="H35" s="616">
        <f t="shared" si="4"/>
        <v>0</v>
      </c>
      <c r="I35" s="1409">
        <v>0</v>
      </c>
      <c r="J35" s="42">
        <v>0</v>
      </c>
      <c r="K35" s="693">
        <v>2.4861661637061649</v>
      </c>
      <c r="L35" s="616">
        <v>0</v>
      </c>
      <c r="M35" s="24">
        <f t="shared" si="2"/>
        <v>0</v>
      </c>
    </row>
    <row r="36" spans="1:13">
      <c r="A36" s="694" t="s">
        <v>138</v>
      </c>
      <c r="B36" s="706">
        <v>27</v>
      </c>
      <c r="C36" s="693">
        <f>VLOOKUP(B36,[65]New!$O$1:$AJ$37,17,0)</f>
        <v>150.68150197961808</v>
      </c>
      <c r="D36" s="1156">
        <f>+VLOOKUP(B36,[65]New!$A$1:$AJ$37,32,0)</f>
        <v>114.51794150450975</v>
      </c>
      <c r="E36" s="1156">
        <v>0</v>
      </c>
      <c r="F36" s="42">
        <f t="shared" si="6"/>
        <v>0</v>
      </c>
      <c r="G36" s="1826">
        <f t="shared" si="5"/>
        <v>2.4991803584031205</v>
      </c>
      <c r="H36" s="616">
        <f t="shared" si="4"/>
        <v>0</v>
      </c>
      <c r="I36" s="1409">
        <v>0</v>
      </c>
      <c r="J36" s="42">
        <v>0</v>
      </c>
      <c r="K36" s="693">
        <v>2.4861661637061649</v>
      </c>
      <c r="L36" s="616">
        <v>0</v>
      </c>
      <c r="M36" s="24">
        <f t="shared" si="2"/>
        <v>0</v>
      </c>
    </row>
    <row r="37" spans="1:13">
      <c r="A37" s="694"/>
      <c r="B37" s="713">
        <f>+B36+1</f>
        <v>28</v>
      </c>
      <c r="C37" s="693">
        <f>VLOOKUP(B37,[65]New!$O$1:$AJ$37,17,0)</f>
        <v>156.64121860372956</v>
      </c>
      <c r="D37" s="1156">
        <f>+VLOOKUP(B37,[65]New!$A$1:$AJ$37,32,0)</f>
        <v>119.04732613883446</v>
      </c>
      <c r="E37" s="1156">
        <v>0</v>
      </c>
      <c r="F37" s="42">
        <f t="shared" si="6"/>
        <v>0</v>
      </c>
      <c r="G37" s="1826">
        <f t="shared" si="5"/>
        <v>2.4991803584031205</v>
      </c>
      <c r="H37" s="616">
        <f t="shared" si="4"/>
        <v>0</v>
      </c>
      <c r="I37" s="1409">
        <v>0</v>
      </c>
      <c r="J37" s="42">
        <v>0</v>
      </c>
      <c r="K37" s="693">
        <v>2.4861661637061649</v>
      </c>
      <c r="L37" s="616">
        <v>0</v>
      </c>
      <c r="M37" s="24">
        <f t="shared" si="2"/>
        <v>0</v>
      </c>
    </row>
    <row r="38" spans="1:13">
      <c r="A38" s="694"/>
      <c r="B38" s="713">
        <f>+B37+1</f>
        <v>29</v>
      </c>
      <c r="C38" s="693">
        <f>VLOOKUP(B38,[65]New!$O$1:$AJ$37,17,0)</f>
        <v>162.60093522784103</v>
      </c>
      <c r="D38" s="1156">
        <f>+VLOOKUP(B38,[65]New!$A$1:$AJ$37,32,0)</f>
        <v>123.57671077315918</v>
      </c>
      <c r="E38" s="1156">
        <v>0</v>
      </c>
      <c r="F38" s="42">
        <f t="shared" si="6"/>
        <v>0</v>
      </c>
      <c r="G38" s="1826">
        <f t="shared" si="5"/>
        <v>2.4991803584031205</v>
      </c>
      <c r="H38" s="616">
        <f t="shared" si="4"/>
        <v>0</v>
      </c>
      <c r="I38" s="1409">
        <v>0</v>
      </c>
      <c r="J38" s="42">
        <v>0</v>
      </c>
      <c r="K38" s="693">
        <v>2.4861661637061649</v>
      </c>
      <c r="L38" s="616">
        <v>0</v>
      </c>
      <c r="M38" s="24">
        <f t="shared" si="2"/>
        <v>0</v>
      </c>
    </row>
    <row r="39" spans="1:13">
      <c r="A39" s="694"/>
      <c r="B39" s="713">
        <f>+B38+1</f>
        <v>30</v>
      </c>
      <c r="C39" s="693">
        <f>VLOOKUP(B39,[65]New!$O$1:$AJ$37,17,0)</f>
        <v>168.56065185195246</v>
      </c>
      <c r="D39" s="1156">
        <f>+VLOOKUP(B39,[65]New!$A$1:$AJ$37,32,0)</f>
        <v>128.10609540748388</v>
      </c>
      <c r="E39" s="1156">
        <v>0</v>
      </c>
      <c r="F39" s="42">
        <f t="shared" si="6"/>
        <v>0</v>
      </c>
      <c r="G39" s="1826">
        <f t="shared" si="5"/>
        <v>2.4991803584031205</v>
      </c>
      <c r="H39" s="616">
        <f t="shared" si="4"/>
        <v>0</v>
      </c>
      <c r="I39" s="1409">
        <v>0</v>
      </c>
      <c r="J39" s="42">
        <v>0</v>
      </c>
      <c r="K39" s="693">
        <v>2.4861661637061649</v>
      </c>
      <c r="L39" s="616">
        <v>0</v>
      </c>
      <c r="M39" s="24">
        <f t="shared" si="2"/>
        <v>0</v>
      </c>
    </row>
    <row r="40" spans="1:13">
      <c r="A40" s="694"/>
      <c r="B40" s="1050">
        <f>+B39+1</f>
        <v>31</v>
      </c>
      <c r="C40" s="693">
        <f>VLOOKUP(B40,[65]New!$O$1:$AJ$37,17,0)</f>
        <v>174.52036847606394</v>
      </c>
      <c r="D40" s="1156">
        <f>+VLOOKUP(B40,[65]New!$A$1:$AJ$37,32,0)</f>
        <v>132.63548004180859</v>
      </c>
      <c r="E40" s="1156">
        <v>0</v>
      </c>
      <c r="F40" s="630">
        <f t="shared" si="6"/>
        <v>0</v>
      </c>
      <c r="G40" s="1826">
        <f t="shared" si="5"/>
        <v>2.4991803584031205</v>
      </c>
      <c r="H40" s="616">
        <f t="shared" si="4"/>
        <v>0</v>
      </c>
      <c r="I40" s="1410">
        <v>0</v>
      </c>
      <c r="J40" s="42">
        <v>0</v>
      </c>
      <c r="K40" s="693">
        <v>2.4861661637061649</v>
      </c>
      <c r="L40" s="616">
        <v>0</v>
      </c>
      <c r="M40" s="24">
        <f t="shared" si="2"/>
        <v>0</v>
      </c>
    </row>
    <row r="41" spans="1:13">
      <c r="A41" s="694" t="s">
        <v>50</v>
      </c>
      <c r="B41" s="1051"/>
      <c r="C41" s="1051"/>
      <c r="D41" s="1052">
        <v>150</v>
      </c>
      <c r="E41" s="1055">
        <f>+'Learig Batch Mvnt'!J5</f>
        <v>0</v>
      </c>
      <c r="F41" s="34">
        <f>+D41*E41</f>
        <v>0</v>
      </c>
      <c r="G41" s="1826">
        <f t="shared" si="5"/>
        <v>2.4991803584031205</v>
      </c>
      <c r="H41" s="1054">
        <f>+F41*G41</f>
        <v>0</v>
      </c>
      <c r="I41" s="1410">
        <v>0</v>
      </c>
      <c r="J41" s="1850">
        <v>0</v>
      </c>
      <c r="K41" s="1851">
        <v>2.4018327225972294</v>
      </c>
      <c r="L41" s="1850">
        <v>0</v>
      </c>
      <c r="M41" s="24">
        <f t="shared" si="2"/>
        <v>0</v>
      </c>
    </row>
    <row r="42" spans="1:13">
      <c r="A42" s="694" t="s">
        <v>1669</v>
      </c>
      <c r="B42" s="1051"/>
      <c r="C42" s="1051"/>
      <c r="D42" s="1052">
        <f>+D41</f>
        <v>150</v>
      </c>
      <c r="E42" s="1055">
        <v>0</v>
      </c>
      <c r="F42" s="34">
        <f>+D42*E42</f>
        <v>0</v>
      </c>
      <c r="G42" s="1826">
        <f t="shared" si="5"/>
        <v>2.4991803584031205</v>
      </c>
      <c r="H42" s="1054">
        <f t="shared" ref="H42:H44" si="7">+F42*G42</f>
        <v>0</v>
      </c>
      <c r="I42" s="1411">
        <v>0</v>
      </c>
      <c r="J42" s="1850">
        <v>0</v>
      </c>
      <c r="K42" s="1851">
        <v>2.4018327225972294</v>
      </c>
      <c r="L42" s="1850">
        <v>0</v>
      </c>
      <c r="M42" s="24">
        <f t="shared" si="2"/>
        <v>0</v>
      </c>
    </row>
    <row r="43" spans="1:13">
      <c r="A43" s="694" t="s">
        <v>55</v>
      </c>
      <c r="B43" s="1051"/>
      <c r="C43" s="1051"/>
      <c r="D43" s="1052">
        <v>150</v>
      </c>
      <c r="E43" s="1055">
        <f>+'Learig Batch Mvnt'!J4</f>
        <v>0</v>
      </c>
      <c r="F43" s="34">
        <f>+D43*E43</f>
        <v>0</v>
      </c>
      <c r="G43" s="1826">
        <f t="shared" si="5"/>
        <v>2.4991803584031205</v>
      </c>
      <c r="H43" s="1054">
        <f t="shared" si="7"/>
        <v>0</v>
      </c>
      <c r="I43" s="1411">
        <v>0</v>
      </c>
      <c r="J43" s="1850">
        <v>0</v>
      </c>
      <c r="K43" s="1851">
        <v>2.4018327225972294</v>
      </c>
      <c r="L43" s="1850">
        <v>0</v>
      </c>
      <c r="M43" s="24">
        <f t="shared" si="2"/>
        <v>0</v>
      </c>
    </row>
    <row r="44" spans="1:13">
      <c r="A44" s="694" t="s">
        <v>79</v>
      </c>
      <c r="B44" s="713"/>
      <c r="C44" s="713"/>
      <c r="D44" s="704">
        <v>150</v>
      </c>
      <c r="E44" s="707">
        <f>+'Learig Batch Mvnt'!J3</f>
        <v>0</v>
      </c>
      <c r="F44" s="42">
        <f>+D44*E44</f>
        <v>0</v>
      </c>
      <c r="G44" s="1826">
        <f t="shared" si="5"/>
        <v>2.4991803584031205</v>
      </c>
      <c r="H44" s="689">
        <f t="shared" si="7"/>
        <v>0</v>
      </c>
      <c r="I44" s="1411">
        <v>0</v>
      </c>
      <c r="J44" s="1850">
        <v>0</v>
      </c>
      <c r="K44" s="1851">
        <v>2.4018327225972294</v>
      </c>
      <c r="L44" s="1850">
        <v>0</v>
      </c>
      <c r="M44" s="24">
        <f t="shared" si="2"/>
        <v>0</v>
      </c>
    </row>
    <row r="45" spans="1:13">
      <c r="A45" s="824"/>
      <c r="B45" s="823"/>
      <c r="C45" s="823"/>
      <c r="D45" s="1146"/>
      <c r="E45" s="1147">
        <f>SUM(E9:E44)</f>
        <v>7263</v>
      </c>
      <c r="F45" s="824">
        <f>SUM(F9:F44)</f>
        <v>306954.4170631101</v>
      </c>
      <c r="G45" s="825">
        <f>+G30</f>
        <v>2.4991803584031205</v>
      </c>
      <c r="H45" s="824">
        <f>SUM(H9:H44)</f>
        <v>1197268.7653196421</v>
      </c>
      <c r="I45" s="418">
        <f>SUM(I9:I44)</f>
        <v>6378</v>
      </c>
      <c r="J45" s="716">
        <f>SUM(J9:J44)</f>
        <v>269531.91818590614</v>
      </c>
      <c r="K45" s="1851">
        <f>'[73]Selling Price Working'!$K$16/8000</f>
        <v>2.230242209688329</v>
      </c>
      <c r="L45" s="716">
        <f>SUM(L9:L44)</f>
        <v>688466.3166608907</v>
      </c>
    </row>
    <row r="46" spans="1:13">
      <c r="E46" s="87">
        <f>SUM('Summary Total Pigs'!AF31:AF36)</f>
        <v>7263</v>
      </c>
      <c r="I46">
        <f>'[69]Learig Valuation'!$E$45</f>
        <v>6378</v>
      </c>
      <c r="L46" s="24">
        <f>'[69]Learig Valuation'!$H$45</f>
        <v>688466.3166608907</v>
      </c>
    </row>
    <row r="47" spans="1:13">
      <c r="E47" s="1503">
        <f>+E45-E46</f>
        <v>0</v>
      </c>
      <c r="I47" s="1503">
        <f>+I45-I46</f>
        <v>0</v>
      </c>
      <c r="L47" s="1502">
        <f>+L45-L46</f>
        <v>0</v>
      </c>
    </row>
    <row r="50" spans="12:12">
      <c r="L50" s="621"/>
    </row>
  </sheetData>
  <pageMargins left="0.7" right="0.7" top="0.75" bottom="0.75" header="0.3" footer="0.3"/>
  <pageSetup paperSize="9" scale="46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1">
    <tabColor theme="3" tint="0.39997558519241921"/>
  </sheetPr>
  <dimension ref="A1:AA75"/>
  <sheetViews>
    <sheetView view="pageBreakPreview" topLeftCell="B34" zoomScaleNormal="100" zoomScaleSheetLayoutView="100" workbookViewId="0">
      <selection activeCell="F59" sqref="F59:G59"/>
    </sheetView>
  </sheetViews>
  <sheetFormatPr defaultColWidth="9.140625" defaultRowHeight="13.15"/>
  <cols>
    <col min="1" max="1" width="15.85546875" style="739" bestFit="1" customWidth="1"/>
    <col min="2" max="2" width="9.28515625" style="739" bestFit="1" customWidth="1"/>
    <col min="3" max="3" width="12.28515625" style="740" bestFit="1" customWidth="1"/>
    <col min="4" max="4" width="15.7109375" style="739" customWidth="1"/>
    <col min="5" max="5" width="15.42578125" style="741" customWidth="1"/>
    <col min="6" max="6" width="19.42578125" style="739" customWidth="1"/>
    <col min="7" max="7" width="15" style="740" bestFit="1" customWidth="1"/>
    <col min="8" max="8" width="18.28515625" style="739" customWidth="1"/>
    <col min="9" max="9" width="14" style="742" customWidth="1"/>
    <col min="10" max="10" width="18.140625" style="739" customWidth="1"/>
    <col min="11" max="11" width="11.85546875" style="739" customWidth="1"/>
    <col min="12" max="12" width="18" style="739" customWidth="1"/>
    <col min="13" max="13" width="17.5703125" style="739" customWidth="1"/>
    <col min="14" max="14" width="15" style="739" customWidth="1"/>
    <col min="15" max="15" width="9.28515625" style="739" customWidth="1"/>
    <col min="16" max="16" width="10.28515625" style="739" customWidth="1"/>
    <col min="17" max="17" width="14.140625" style="739" customWidth="1"/>
    <col min="18" max="18" width="11.7109375" style="739" customWidth="1"/>
    <col min="19" max="19" width="11.5703125" style="739" customWidth="1"/>
    <col min="20" max="26" width="9.140625" style="739" customWidth="1"/>
    <col min="27" max="27" width="9.28515625" style="739" customWidth="1"/>
    <col min="28" max="46" width="9.140625" style="739" customWidth="1"/>
    <col min="47" max="16384" width="9.140625" style="739"/>
  </cols>
  <sheetData>
    <row r="1" spans="1:16">
      <c r="A1" s="31" t="s">
        <v>82</v>
      </c>
      <c r="H1" s="31"/>
    </row>
    <row r="2" spans="1:16">
      <c r="A2" s="31"/>
      <c r="H2" s="675">
        <f>+'Summary Total Pigs'!C3</f>
        <v>46226</v>
      </c>
    </row>
    <row r="3" spans="1:16">
      <c r="A3" s="31" t="s">
        <v>1654</v>
      </c>
      <c r="G3" s="740" t="s">
        <v>138</v>
      </c>
      <c r="H3" s="31"/>
    </row>
    <row r="4" spans="1:16">
      <c r="A4" s="31"/>
      <c r="H4" s="743" t="s">
        <v>1729</v>
      </c>
    </row>
    <row r="5" spans="1:16">
      <c r="A5" s="686" t="s">
        <v>1614</v>
      </c>
      <c r="B5" s="744"/>
      <c r="C5" s="745"/>
      <c r="D5" s="744"/>
      <c r="E5" s="746"/>
      <c r="F5" s="690">
        <f>+'Summary Total Pigs'!C3</f>
        <v>46226</v>
      </c>
      <c r="G5" s="745"/>
      <c r="H5" s="747"/>
      <c r="I5" s="748"/>
      <c r="J5" s="690">
        <f>+'Grasmere Valuation '!J5</f>
        <v>45870</v>
      </c>
      <c r="K5" s="744"/>
      <c r="L5" s="747"/>
    </row>
    <row r="6" spans="1:16">
      <c r="A6" s="749"/>
      <c r="B6" s="734"/>
      <c r="C6" s="736"/>
      <c r="D6" s="734"/>
      <c r="E6" s="750"/>
      <c r="F6" s="734"/>
      <c r="G6" s="736"/>
      <c r="H6" s="751"/>
      <c r="I6" s="752"/>
      <c r="J6" s="734"/>
      <c r="K6" s="734"/>
      <c r="L6" s="751"/>
    </row>
    <row r="7" spans="1:16">
      <c r="A7" s="694" t="s">
        <v>1656</v>
      </c>
      <c r="B7" s="695" t="s">
        <v>1657</v>
      </c>
      <c r="C7" s="696" t="s">
        <v>1658</v>
      </c>
      <c r="D7" s="695" t="s">
        <v>1659</v>
      </c>
      <c r="E7" s="698" t="s">
        <v>1660</v>
      </c>
      <c r="F7" s="695" t="s">
        <v>1661</v>
      </c>
      <c r="G7" s="696" t="s">
        <v>1662</v>
      </c>
      <c r="H7" s="697" t="s">
        <v>1663</v>
      </c>
      <c r="I7" s="753" t="s">
        <v>1660</v>
      </c>
      <c r="J7" s="695" t="s">
        <v>1661</v>
      </c>
      <c r="K7" s="695" t="s">
        <v>1662</v>
      </c>
      <c r="L7" s="697" t="s">
        <v>1663</v>
      </c>
      <c r="M7" s="31"/>
    </row>
    <row r="8" spans="1:16">
      <c r="A8" s="699"/>
      <c r="B8" s="700" t="s">
        <v>1664</v>
      </c>
      <c r="C8" s="701" t="s">
        <v>1665</v>
      </c>
      <c r="D8" s="700" t="s">
        <v>181</v>
      </c>
      <c r="E8" s="703" t="s">
        <v>1666</v>
      </c>
      <c r="F8" s="700"/>
      <c r="G8" s="701" t="s">
        <v>1730</v>
      </c>
      <c r="H8" s="702"/>
      <c r="I8" s="754" t="s">
        <v>1666</v>
      </c>
      <c r="J8" s="700"/>
      <c r="K8" s="700" t="s">
        <v>1668</v>
      </c>
      <c r="L8" s="702"/>
      <c r="M8" s="31"/>
    </row>
    <row r="9" spans="1:16">
      <c r="A9" s="31" t="s">
        <v>179</v>
      </c>
      <c r="B9" s="31"/>
      <c r="C9" s="743"/>
      <c r="D9" s="31"/>
      <c r="E9" s="1157"/>
      <c r="F9" s="636"/>
      <c r="G9" s="1158"/>
      <c r="H9" s="1854">
        <f>SUM('Lionhead Pig Cost'!B62:R62)</f>
        <v>216111.49955156946</v>
      </c>
      <c r="I9" s="698"/>
      <c r="J9" s="695"/>
      <c r="K9" s="695"/>
      <c r="L9" s="1854">
        <v>81904.66746670974</v>
      </c>
      <c r="M9" s="739">
        <f t="shared" ref="M9:M59" si="0">H9-L9</f>
        <v>134206.83208485972</v>
      </c>
    </row>
    <row r="10" spans="1:16">
      <c r="B10" s="741">
        <v>1</v>
      </c>
      <c r="C10" s="693">
        <f>VLOOKUP(B10,[65]New!$O$1:$AJ$37,11,0)</f>
        <v>1.4044409026987537</v>
      </c>
      <c r="D10" s="1152">
        <f>VLOOKUP(B10,[65]New!$A$1:$AJ$37,26,0)</f>
        <v>0.87075335967322731</v>
      </c>
      <c r="E10" s="1152">
        <f>+'Lionheads Batch Mvnt'!B4</f>
        <v>277</v>
      </c>
      <c r="F10" s="744">
        <f>D10*E10</f>
        <v>241.19868062948396</v>
      </c>
      <c r="G10" s="736">
        <f>H10/F10</f>
        <v>122.7976156577819</v>
      </c>
      <c r="H10" s="721">
        <f>'Lionhead Pig Cost'!$S$62</f>
        <v>29618.622881103456</v>
      </c>
      <c r="I10" s="755">
        <v>289</v>
      </c>
      <c r="J10" s="734">
        <v>257.91403868796635</v>
      </c>
      <c r="K10" s="736">
        <v>35.527839056784906</v>
      </c>
      <c r="L10" s="721">
        <v>9163.1284569914642</v>
      </c>
      <c r="M10" s="739">
        <f t="shared" si="0"/>
        <v>20455.494424111992</v>
      </c>
    </row>
    <row r="11" spans="1:16">
      <c r="B11" s="741">
        <v>2</v>
      </c>
      <c r="C11" s="693">
        <f>VLOOKUP(B11,[65]New!$O$1:$AJ$37,11,0)</f>
        <v>2.3875495345878806</v>
      </c>
      <c r="D11" s="1152">
        <f>VLOOKUP(B11,[65]New!$A$1:$AJ$37,26,0)</f>
        <v>1.480280711444486</v>
      </c>
      <c r="E11" s="1152">
        <f>+'Lionheads Batch Mvnt'!B5</f>
        <v>728</v>
      </c>
      <c r="F11" s="744">
        <f t="shared" ref="F11:F13" si="1">D11*E11</f>
        <v>1077.6443579315858</v>
      </c>
      <c r="G11" s="736">
        <f t="shared" ref="G11:G25" si="2">H11/F11</f>
        <v>31.504044453794233</v>
      </c>
      <c r="H11" s="721">
        <f>'Lionhead Pig Cost'!$T$62</f>
        <v>33950.155757657223</v>
      </c>
      <c r="I11" s="755">
        <v>613</v>
      </c>
      <c r="J11" s="734">
        <v>930.00768068072546</v>
      </c>
      <c r="K11" s="736">
        <v>11.060241931569527</v>
      </c>
      <c r="L11" s="721">
        <v>10286.109946546683</v>
      </c>
      <c r="M11" s="739">
        <f t="shared" si="0"/>
        <v>23664.04581111054</v>
      </c>
    </row>
    <row r="12" spans="1:16">
      <c r="A12" s="31" t="s">
        <v>384</v>
      </c>
      <c r="B12" s="741">
        <v>3</v>
      </c>
      <c r="C12" s="693">
        <f>VLOOKUP(B12,[65]New!$O$1:$AJ$37,11,0)</f>
        <v>3.8200792553406093</v>
      </c>
      <c r="D12" s="1152">
        <f>VLOOKUP(B12,[65]New!$A$1:$AJ$37,26,0)</f>
        <v>2.3684491383111776</v>
      </c>
      <c r="E12" s="1152">
        <f>+'Lionheads Batch Mvnt'!B6</f>
        <v>676</v>
      </c>
      <c r="F12" s="744">
        <f t="shared" si="1"/>
        <v>1601.0716174983561</v>
      </c>
      <c r="G12" s="736">
        <f t="shared" si="2"/>
        <v>23.930689668012974</v>
      </c>
      <c r="H12" s="721">
        <f>'Lionhead Pig Cost'!$U$62</f>
        <v>38314.748014616729</v>
      </c>
      <c r="I12" s="755">
        <v>670</v>
      </c>
      <c r="J12" s="734">
        <v>1626.3755851382346</v>
      </c>
      <c r="K12" s="736">
        <v>7.034701375314441</v>
      </c>
      <c r="L12" s="721">
        <v>11441.066565549767</v>
      </c>
      <c r="M12" s="739">
        <f t="shared" si="0"/>
        <v>26873.681449066964</v>
      </c>
      <c r="P12" s="739">
        <f>404+338+323+455</f>
        <v>1520</v>
      </c>
    </row>
    <row r="13" spans="1:16">
      <c r="A13" s="31"/>
      <c r="B13" s="757">
        <v>4</v>
      </c>
      <c r="C13" s="693">
        <f>VLOOKUP(B13,[65]New!$O$1:$AJ$37,11,0)</f>
        <v>5.7301188830109142</v>
      </c>
      <c r="D13" s="1152">
        <f>VLOOKUP(B13,[65]New!$A$1:$AJ$37,26,0)</f>
        <v>3.5526737074667669</v>
      </c>
      <c r="E13" s="1153">
        <f>+'Lionheads Batch Mvnt'!B7</f>
        <v>654</v>
      </c>
      <c r="F13" s="744">
        <f t="shared" si="1"/>
        <v>2323.4486046832658</v>
      </c>
      <c r="G13" s="736">
        <f t="shared" si="2"/>
        <v>13.386024543722167</v>
      </c>
      <c r="H13" s="721">
        <f>'Lionhead Pig Cost'!$V$62</f>
        <v>31101.740048367217</v>
      </c>
      <c r="I13" s="755">
        <v>630</v>
      </c>
      <c r="J13" s="734">
        <v>2293.9178029188533</v>
      </c>
      <c r="K13" s="736">
        <v>5.1036246949037727</v>
      </c>
      <c r="L13" s="721">
        <v>11707.295547056065</v>
      </c>
      <c r="M13" s="739">
        <f t="shared" si="0"/>
        <v>19394.444501311154</v>
      </c>
    </row>
    <row r="14" spans="1:16">
      <c r="A14" s="31"/>
      <c r="B14" s="741">
        <v>5</v>
      </c>
      <c r="C14" s="693">
        <f>VLOOKUP(B14,[65]New!$O$1:$AJ$37,11,0)</f>
        <v>5.833831441979437</v>
      </c>
      <c r="D14" s="1315">
        <f>VLOOKUP(B14,[65]New!$A$1:$AJ$37,26,0)</f>
        <v>4.0253436949658115</v>
      </c>
      <c r="E14" s="1315">
        <f>+'Lionheads Batch Mvnt'!B8</f>
        <v>650</v>
      </c>
      <c r="F14" s="744">
        <f>D14*E14</f>
        <v>2616.4734017277774</v>
      </c>
      <c r="G14" s="736">
        <f t="shared" si="2"/>
        <v>7.7952049109844763</v>
      </c>
      <c r="H14" s="721">
        <f>'Lionhead Pig Cost'!$W$62</f>
        <v>20395.94631060863</v>
      </c>
      <c r="I14" s="1159">
        <v>580</v>
      </c>
      <c r="J14" s="744">
        <v>2392.8360425175811</v>
      </c>
      <c r="K14" s="1305">
        <v>4.2217699179223382</v>
      </c>
      <c r="L14" s="721">
        <v>10102.00322282106</v>
      </c>
      <c r="M14" s="739">
        <f t="shared" si="0"/>
        <v>10293.943087787569</v>
      </c>
    </row>
    <row r="15" spans="1:16">
      <c r="A15" s="31"/>
      <c r="B15" s="741">
        <v>6</v>
      </c>
      <c r="C15" s="693">
        <f>VLOOKUP(B15,[65]New!$O$1:$AJ$37,11,0)</f>
        <v>9.687041098101659</v>
      </c>
      <c r="D15" s="1155">
        <f>VLOOKUP(B15,[65]New!$A$1:$AJ$37,26,0)</f>
        <v>6.6840583576901444</v>
      </c>
      <c r="E15" s="1155">
        <f>+'Lionheads Batch Mvnt'!B9</f>
        <v>646</v>
      </c>
      <c r="F15" s="734">
        <f t="shared" ref="F15:F30" si="3">D15*E15</f>
        <v>4317.9016990678338</v>
      </c>
      <c r="G15" s="736">
        <f t="shared" si="2"/>
        <v>11.329694401200177</v>
      </c>
      <c r="H15" s="721">
        <f>'Lionhead Pig Cost'!$X$62</f>
        <v>48920.506704861567</v>
      </c>
      <c r="I15" s="755">
        <v>549</v>
      </c>
      <c r="J15" s="734">
        <v>3760.9240059071826</v>
      </c>
      <c r="K15" s="736">
        <v>4.8676976340296747</v>
      </c>
      <c r="L15" s="721">
        <v>18307.040885319799</v>
      </c>
      <c r="M15" s="739">
        <f t="shared" si="0"/>
        <v>30613.465819541769</v>
      </c>
    </row>
    <row r="16" spans="1:16">
      <c r="A16" s="31" t="s">
        <v>389</v>
      </c>
      <c r="B16" s="741">
        <v>7</v>
      </c>
      <c r="C16" s="693">
        <f>VLOOKUP(B16,[65]New!$O$1:$AJ$37,11,0)</f>
        <v>13.540250754223882</v>
      </c>
      <c r="D16" s="1155">
        <f>VLOOKUP(B16,[65]New!$A$1:$AJ$37,26,0)</f>
        <v>9.3427730204144783</v>
      </c>
      <c r="E16" s="1155">
        <f>+'Lionheads Batch Mvnt'!B10</f>
        <v>627</v>
      </c>
      <c r="F16" s="734">
        <f t="shared" si="3"/>
        <v>5857.9186837998777</v>
      </c>
      <c r="G16" s="736">
        <f t="shared" si="2"/>
        <v>8.6445721933175346</v>
      </c>
      <c r="H16" s="721">
        <f>'Lionhead Pig Cost'!$Y$62</f>
        <v>50639.20096469167</v>
      </c>
      <c r="I16" s="755">
        <v>603</v>
      </c>
      <c r="J16" s="734">
        <v>5773.9775462742246</v>
      </c>
      <c r="K16" s="736">
        <v>3.4606997936385797</v>
      </c>
      <c r="L16" s="721">
        <v>19982.002902865002</v>
      </c>
      <c r="M16" s="739">
        <f t="shared" si="0"/>
        <v>30657.198061826668</v>
      </c>
    </row>
    <row r="17" spans="1:23">
      <c r="A17" s="31"/>
      <c r="B17" s="741">
        <v>8</v>
      </c>
      <c r="C17" s="693">
        <f>VLOOKUP(B17,[65]New!$O$1:$AJ$37,11,0)</f>
        <v>17.393460410346108</v>
      </c>
      <c r="D17" s="1155">
        <f>VLOOKUP(B17,[65]New!$A$1:$AJ$37,26,0)</f>
        <v>12.001487683138814</v>
      </c>
      <c r="E17" s="1155">
        <f>+'Lionheads Batch Mvnt'!B11</f>
        <v>648</v>
      </c>
      <c r="F17" s="734">
        <f t="shared" si="3"/>
        <v>7776.9640186739516</v>
      </c>
      <c r="G17" s="736">
        <f t="shared" si="2"/>
        <v>8.0521654644000691</v>
      </c>
      <c r="H17" s="721">
        <f>'Lionhead Pig Cost'!$Z$62</f>
        <v>62621.401089048362</v>
      </c>
      <c r="I17" s="1808">
        <v>574</v>
      </c>
      <c r="J17" s="734">
        <v>7060.3943177911815</v>
      </c>
      <c r="K17" s="736">
        <v>4.0375492841076008</v>
      </c>
      <c r="L17" s="721">
        <v>28506.690023315157</v>
      </c>
      <c r="M17" s="739">
        <f t="shared" si="0"/>
        <v>34114.711065733209</v>
      </c>
    </row>
    <row r="18" spans="1:23">
      <c r="A18" s="31"/>
      <c r="B18" s="757">
        <v>9</v>
      </c>
      <c r="C18" s="693">
        <f>VLOOKUP(B18,[65]New!$O$1:$AJ$37,11,0)</f>
        <v>19.986274384559184</v>
      </c>
      <c r="D18" s="1155">
        <f>VLOOKUP(B18,[65]New!$A$1:$AJ$37,26,0)</f>
        <v>13.790529325345837</v>
      </c>
      <c r="E18" s="1314">
        <f>+'Lionheads Batch Mvnt'!B12</f>
        <v>648</v>
      </c>
      <c r="F18" s="759">
        <f t="shared" si="3"/>
        <v>8936.2630028241019</v>
      </c>
      <c r="G18" s="736">
        <f t="shared" si="2"/>
        <v>6.0744132737301122</v>
      </c>
      <c r="H18" s="721">
        <f>'Lionhead Pig Cost'!$AA$62</f>
        <v>54282.554601898039</v>
      </c>
      <c r="I18" s="1808">
        <v>524</v>
      </c>
      <c r="J18" s="734">
        <v>7406.1789898357047</v>
      </c>
      <c r="K18" s="736">
        <v>2.6769634193732013</v>
      </c>
      <c r="L18" s="721">
        <v>19826.07023312055</v>
      </c>
      <c r="M18" s="739">
        <f t="shared" si="0"/>
        <v>34456.484368777485</v>
      </c>
    </row>
    <row r="19" spans="1:23">
      <c r="A19" s="31"/>
      <c r="B19" s="741">
        <v>10</v>
      </c>
      <c r="C19" s="693">
        <f>VLOOKUP(B19,[65]New!$O$1:$AJ$37,11,0)</f>
        <v>22.579088358772271</v>
      </c>
      <c r="D19" s="1315">
        <f>VLOOKUP(B19,[65]New!$A$1:$AJ$37,26,0)</f>
        <v>15.579570967552865</v>
      </c>
      <c r="E19" s="1155">
        <f>+'Lionheads Batch Mvnt'!B13</f>
        <v>645</v>
      </c>
      <c r="F19" s="734">
        <f t="shared" si="3"/>
        <v>10048.823274071598</v>
      </c>
      <c r="G19" s="736">
        <f t="shared" si="2"/>
        <v>6.64257117739478</v>
      </c>
      <c r="H19" s="721">
        <f>'Lionhead Pig Cost'!$AB$62</f>
        <v>66750.023847081844</v>
      </c>
      <c r="I19" s="1809">
        <v>524</v>
      </c>
      <c r="J19" s="744">
        <v>8366.9805885170954</v>
      </c>
      <c r="K19" s="745">
        <v>3.6077121772034242</v>
      </c>
      <c r="L19" s="721">
        <v>30185.657755617798</v>
      </c>
      <c r="M19" s="739">
        <f t="shared" si="0"/>
        <v>36564.36609146405</v>
      </c>
      <c r="W19" s="755">
        <v>485</v>
      </c>
    </row>
    <row r="20" spans="1:23">
      <c r="A20" s="31"/>
      <c r="B20" s="741">
        <v>11</v>
      </c>
      <c r="C20" s="693">
        <f>VLOOKUP(B20,[65]New!$O$1:$AJ$37,11,0)</f>
        <v>28.304885885159493</v>
      </c>
      <c r="D20" s="1156">
        <f>VLOOKUP(B20,[65]New!$A$1:$AJ$37,26,0)</f>
        <v>19.530371260760049</v>
      </c>
      <c r="E20" s="1156">
        <f>+'Lionheads Batch Mvnt'!B14</f>
        <v>640</v>
      </c>
      <c r="F20" s="734">
        <f t="shared" si="3"/>
        <v>12499.437606886431</v>
      </c>
      <c r="G20" s="736">
        <f t="shared" si="2"/>
        <v>6.3930643244071526</v>
      </c>
      <c r="H20" s="721">
        <f>'Lionhead Pig Cost'!$AC$62</f>
        <v>79909.708639738761</v>
      </c>
      <c r="I20" s="1808">
        <v>521</v>
      </c>
      <c r="J20" s="734">
        <v>10428.700685687574</v>
      </c>
      <c r="K20" s="736">
        <v>3.1217190879856713</v>
      </c>
      <c r="L20" s="721">
        <v>32555.473993400159</v>
      </c>
      <c r="M20" s="739">
        <f t="shared" si="0"/>
        <v>47354.234646338606</v>
      </c>
      <c r="W20" s="755">
        <v>457</v>
      </c>
    </row>
    <row r="21" spans="1:23">
      <c r="A21" s="31"/>
      <c r="B21" s="741">
        <v>12</v>
      </c>
      <c r="C21" s="693">
        <f>VLOOKUP(B21,[65]New!$O$1:$AJ$37,11,0)</f>
        <v>33.706581664770077</v>
      </c>
      <c r="D21" s="1156">
        <f>VLOOKUP(B21,[65]New!$A$1:$AJ$37,26,0)</f>
        <v>23.257541348691351</v>
      </c>
      <c r="E21" s="1156">
        <f>+'Lionheads Batch Mvnt'!B15</f>
        <v>642</v>
      </c>
      <c r="F21" s="734">
        <f t="shared" si="3"/>
        <v>14931.341545859848</v>
      </c>
      <c r="G21" s="736">
        <f t="shared" si="2"/>
        <v>7.1755994940110384</v>
      </c>
      <c r="H21" s="721">
        <f>'Lionhead Pig Cost'!$AD$62</f>
        <v>107141.32684137793</v>
      </c>
      <c r="I21" s="755">
        <v>578</v>
      </c>
      <c r="J21" s="734">
        <v>13777.601550557163</v>
      </c>
      <c r="K21" s="736">
        <v>2.9775066936606764</v>
      </c>
      <c r="L21" s="721">
        <v>41022.900839373666</v>
      </c>
      <c r="M21" s="739">
        <f t="shared" si="0"/>
        <v>66118.426002004271</v>
      </c>
      <c r="W21" s="755">
        <v>490</v>
      </c>
    </row>
    <row r="22" spans="1:23">
      <c r="A22" s="31"/>
      <c r="B22" s="741">
        <v>13</v>
      </c>
      <c r="C22" s="693">
        <f>VLOOKUP(B22,[65]New!$O$1:$AJ$37,11,0)</f>
        <v>39.108277444380676</v>
      </c>
      <c r="D22" s="1156">
        <f>VLOOKUP(B22,[65]New!$A$1:$AJ$37,26,0)</f>
        <v>26.984711436622664</v>
      </c>
      <c r="E22" s="1156">
        <f>+'Lionheads Batch Mvnt'!B16</f>
        <v>611</v>
      </c>
      <c r="F22" s="734">
        <f t="shared" si="3"/>
        <v>16487.658687776449</v>
      </c>
      <c r="G22" s="736">
        <f t="shared" si="2"/>
        <v>6.010876852523654</v>
      </c>
      <c r="H22" s="721">
        <f>'Lionhead Pig Cost'!$AE$62</f>
        <v>99105.285958665991</v>
      </c>
      <c r="I22" s="755">
        <v>554</v>
      </c>
      <c r="J22" s="734">
        <v>15321.790633934092</v>
      </c>
      <c r="K22" s="736">
        <v>2.2474617645309567</v>
      </c>
      <c r="L22" s="721">
        <v>34435.138613915398</v>
      </c>
      <c r="M22" s="739">
        <f t="shared" si="0"/>
        <v>64670.147344750592</v>
      </c>
      <c r="W22" s="755">
        <v>458</v>
      </c>
    </row>
    <row r="23" spans="1:23">
      <c r="A23" s="31"/>
      <c r="B23" s="741">
        <v>14</v>
      </c>
      <c r="C23" s="693">
        <f>VLOOKUP(B23,[65]New!$O$1:$AJ$37,11,0)</f>
        <v>45.860397168893911</v>
      </c>
      <c r="D23" s="1156">
        <f>VLOOKUP(B23,[65]New!$A$1:$AJ$37,26,0)</f>
        <v>33.019485961603614</v>
      </c>
      <c r="E23" s="1156">
        <f>+'Lionheads Batch Mvnt'!B17</f>
        <v>615</v>
      </c>
      <c r="F23" s="734">
        <f t="shared" si="3"/>
        <v>20306.983866386221</v>
      </c>
      <c r="G23" s="736">
        <f t="shared" si="2"/>
        <v>5.0301119400369059</v>
      </c>
      <c r="H23" s="721">
        <f>'Lionhead Pig Cost'!$AF$62</f>
        <v>102146.40201244614</v>
      </c>
      <c r="I23" s="755">
        <v>588</v>
      </c>
      <c r="J23" s="734">
        <v>19898.92497846554</v>
      </c>
      <c r="K23" s="736">
        <v>2.2562260985421534</v>
      </c>
      <c r="L23" s="721">
        <v>44896.473869346308</v>
      </c>
      <c r="M23" s="739">
        <f t="shared" si="0"/>
        <v>57249.928143099831</v>
      </c>
      <c r="W23" s="755">
        <v>470</v>
      </c>
    </row>
    <row r="24" spans="1:23">
      <c r="A24" s="31" t="s">
        <v>397</v>
      </c>
      <c r="B24" s="741">
        <v>15</v>
      </c>
      <c r="C24" s="693">
        <f>VLOOKUP(B24,[65]New!$O$1:$AJ$37,11,0)</f>
        <v>52.61251689340714</v>
      </c>
      <c r="D24" s="1156">
        <f>VLOOKUP(B24,[65]New!$A$1:$AJ$37,26,0)</f>
        <v>37.881012163253139</v>
      </c>
      <c r="E24" s="1156">
        <f>+'Lionheads Batch Mvnt'!B18</f>
        <v>576</v>
      </c>
      <c r="F24" s="734">
        <f t="shared" si="3"/>
        <v>21819.46300603381</v>
      </c>
      <c r="G24" s="736">
        <f t="shared" si="2"/>
        <v>5.4138917779751914</v>
      </c>
      <c r="H24" s="721">
        <f>'Lionhead Pig Cost'!$AG$62</f>
        <v>118128.2113682003</v>
      </c>
      <c r="I24" s="755">
        <v>608</v>
      </c>
      <c r="J24" s="734">
        <v>23605.170109787956</v>
      </c>
      <c r="K24" s="736">
        <v>2.0202119676029251</v>
      </c>
      <c r="L24" s="721">
        <v>47687.44715309648</v>
      </c>
      <c r="M24" s="739">
        <f t="shared" si="0"/>
        <v>70440.764215103816</v>
      </c>
      <c r="W24" s="755">
        <v>497</v>
      </c>
    </row>
    <row r="25" spans="1:23">
      <c r="A25" s="31"/>
      <c r="B25" s="741">
        <v>16</v>
      </c>
      <c r="C25" s="693">
        <f>VLOOKUP(B25,[65]New!$O$1:$AJ$37,11,0)</f>
        <v>62.299557991508763</v>
      </c>
      <c r="D25" s="1156">
        <f>VLOOKUP(B25,[65]New!$A$1:$AJ$37,26,0)</f>
        <v>46.101672913716484</v>
      </c>
      <c r="E25" s="1156">
        <f>+'Lionheads Batch Mvnt'!B19</f>
        <v>584</v>
      </c>
      <c r="F25" s="734">
        <f t="shared" si="3"/>
        <v>26923.376981610429</v>
      </c>
      <c r="G25" s="736">
        <f t="shared" si="2"/>
        <v>5.7135690946192366</v>
      </c>
      <c r="H25" s="721">
        <f>'Lionhead Pig Cost'!$AH$62</f>
        <v>153828.5746449123</v>
      </c>
      <c r="I25" s="755">
        <v>598</v>
      </c>
      <c r="J25" s="734">
        <v>28255.29524705766</v>
      </c>
      <c r="K25" s="736">
        <v>2.2245245232203881</v>
      </c>
      <c r="L25" s="721">
        <v>62854.597187912237</v>
      </c>
      <c r="M25" s="739">
        <f t="shared" si="0"/>
        <v>90973.977457000059</v>
      </c>
      <c r="W25" s="755">
        <v>510</v>
      </c>
    </row>
    <row r="26" spans="1:23">
      <c r="A26" s="31"/>
      <c r="B26" s="741">
        <v>17</v>
      </c>
      <c r="C26" s="693">
        <f>VLOOKUP(B26,[65]New!$O$1:$AJ$37,11,0)</f>
        <v>71.986599089610408</v>
      </c>
      <c r="D26" s="1156">
        <f>VLOOKUP(B26,[65]New!$A$1:$AJ$37,26,0)</f>
        <v>53.270083326311706</v>
      </c>
      <c r="E26" s="1156">
        <f>+'Lionheads Batch Mvnt'!B20</f>
        <v>591</v>
      </c>
      <c r="F26" s="734">
        <f t="shared" si="3"/>
        <v>31482.619245850219</v>
      </c>
      <c r="G26" s="736">
        <f>H26/F26</f>
        <v>5.1224777620175281</v>
      </c>
      <c r="H26" s="721">
        <f>'Lionhead Pig Cost'!$AI$62</f>
        <v>161269.01697693279</v>
      </c>
      <c r="I26" s="755">
        <v>578</v>
      </c>
      <c r="J26" s="734">
        <v>31556.817276225047</v>
      </c>
      <c r="K26" s="736">
        <v>1.8692653946281808</v>
      </c>
      <c r="L26" s="721">
        <v>58988.066499052205</v>
      </c>
      <c r="M26" s="739">
        <f t="shared" si="0"/>
        <v>102280.95047788059</v>
      </c>
      <c r="Q26" s="739">
        <v>2374</v>
      </c>
      <c r="R26" s="739">
        <v>2194</v>
      </c>
      <c r="S26" s="739">
        <f>+Q26-R26</f>
        <v>180</v>
      </c>
      <c r="W26" s="755">
        <v>524</v>
      </c>
    </row>
    <row r="27" spans="1:23">
      <c r="A27" s="31"/>
      <c r="B27" s="741">
        <v>18</v>
      </c>
      <c r="C27" s="693">
        <f>VLOOKUP(B27,[65]New!$O$1:$AJ$37,11,0)</f>
        <v>79.524333866982786</v>
      </c>
      <c r="D27" s="1156">
        <f>VLOOKUP(B27,[65]New!$A$1:$AJ$37,26,0)</f>
        <v>60.438493738906921</v>
      </c>
      <c r="E27" s="1156">
        <f>+'Lionheads Batch Mvnt'!B21</f>
        <v>637</v>
      </c>
      <c r="F27" s="734">
        <f t="shared" si="3"/>
        <v>38499.320511683705</v>
      </c>
      <c r="G27" s="1846">
        <f>'[66]Selling Price Working'!$K$10</f>
        <v>2.5124800553900397</v>
      </c>
      <c r="H27" s="721">
        <f>G27*F27</f>
        <v>96728.774931673965</v>
      </c>
      <c r="I27" s="755">
        <v>574</v>
      </c>
      <c r="J27" s="734">
        <v>35555.558530426628</v>
      </c>
      <c r="K27" s="736">
        <v>2.4693664249557852</v>
      </c>
      <c r="L27" s="751">
        <v>87799.702455585779</v>
      </c>
      <c r="M27" s="739">
        <f t="shared" si="0"/>
        <v>8929.0724760881858</v>
      </c>
      <c r="Q27" s="739">
        <f>391+331+290+219+428+211+350+272+294+40+9+8+24</f>
        <v>2867</v>
      </c>
      <c r="R27" s="739">
        <v>3047</v>
      </c>
      <c r="S27" s="739">
        <f>+Q27-R27</f>
        <v>-180</v>
      </c>
      <c r="W27" s="755">
        <v>487</v>
      </c>
    </row>
    <row r="28" spans="1:23">
      <c r="A28" s="31"/>
      <c r="B28" s="741">
        <v>19</v>
      </c>
      <c r="C28" s="693">
        <f>VLOOKUP(B28,[65]New!$O$1:$AJ$37,11,0)</f>
        <v>90.008362009058573</v>
      </c>
      <c r="D28" s="1156">
        <f>VLOOKUP(B28,[65]New!$A$1:$AJ$37,26,0)</f>
        <v>68.40635512688452</v>
      </c>
      <c r="E28" s="1156">
        <f>+'Lionheads Batch Mvnt'!B22</f>
        <v>639</v>
      </c>
      <c r="F28" s="734">
        <f t="shared" si="3"/>
        <v>43711.66092607921</v>
      </c>
      <c r="G28" s="1826">
        <f t="shared" ref="G28:G40" si="4">G27</f>
        <v>2.5124800553900397</v>
      </c>
      <c r="H28" s="721">
        <f t="shared" ref="H28:H40" si="5">G28*F28</f>
        <v>109824.67626474613</v>
      </c>
      <c r="I28" s="755">
        <v>516</v>
      </c>
      <c r="J28" s="734">
        <v>36176.632064478574</v>
      </c>
      <c r="K28" s="736">
        <v>2.4693664249557852</v>
      </c>
      <c r="L28" s="751">
        <v>89333.360588002281</v>
      </c>
      <c r="M28" s="739">
        <f t="shared" si="0"/>
        <v>20491.315676743849</v>
      </c>
      <c r="W28" s="755">
        <v>477</v>
      </c>
    </row>
    <row r="29" spans="1:23">
      <c r="A29" s="31"/>
      <c r="B29" s="741">
        <v>20</v>
      </c>
      <c r="C29" s="693">
        <f>VLOOKUP(B29,[65]New!$O$1:$AJ$37,11,0)</f>
        <v>100.49239015113437</v>
      </c>
      <c r="D29" s="1156">
        <f>VLOOKUP(B29,[65]New!$A$1:$AJ$37,26,0)</f>
        <v>76.374216514862127</v>
      </c>
      <c r="E29" s="1156">
        <f>+'Lionheads Batch Mvnt'!B23</f>
        <v>634</v>
      </c>
      <c r="F29" s="734">
        <f t="shared" si="3"/>
        <v>48421.253270422589</v>
      </c>
      <c r="G29" s="1826">
        <f t="shared" si="4"/>
        <v>2.5124800553900397</v>
      </c>
      <c r="H29" s="721">
        <f t="shared" si="5"/>
        <v>121657.43309892649</v>
      </c>
      <c r="I29" s="755">
        <v>556</v>
      </c>
      <c r="J29" s="734">
        <v>43521.468435251816</v>
      </c>
      <c r="K29" s="736">
        <v>2.4693664249557852</v>
      </c>
      <c r="L29" s="751">
        <v>107470.45291878383</v>
      </c>
      <c r="M29" s="739">
        <f t="shared" si="0"/>
        <v>14186.980180142651</v>
      </c>
      <c r="W29" s="755">
        <v>477</v>
      </c>
    </row>
    <row r="30" spans="1:23">
      <c r="A30" s="31" t="s">
        <v>138</v>
      </c>
      <c r="B30" s="764">
        <v>21</v>
      </c>
      <c r="C30" s="693">
        <f>VLOOKUP(B30,[65]New!$O$1:$AJ$37,11,0)</f>
        <v>110.97641829321013</v>
      </c>
      <c r="D30" s="1156">
        <f>VLOOKUP(B30,[65]New!$A$1:$AJ$37,26,0)</f>
        <v>84.342077902839705</v>
      </c>
      <c r="E30" s="1156">
        <f>+'Lionheads Batch Mvnt'!B24</f>
        <v>612</v>
      </c>
      <c r="F30" s="734">
        <f t="shared" si="3"/>
        <v>51617.351676537903</v>
      </c>
      <c r="G30" s="1826">
        <f t="shared" si="4"/>
        <v>2.5124800553900397</v>
      </c>
      <c r="H30" s="721">
        <f t="shared" si="5"/>
        <v>129687.56659935511</v>
      </c>
      <c r="I30" s="755">
        <v>515</v>
      </c>
      <c r="J30" s="734">
        <v>44517.780724111995</v>
      </c>
      <c r="K30" s="736">
        <v>2.4693664249557852</v>
      </c>
      <c r="L30" s="751">
        <v>109930.713033666</v>
      </c>
      <c r="M30" s="739">
        <f>H30-L30</f>
        <v>19756.853565689104</v>
      </c>
      <c r="Q30" s="739">
        <f>SUM(Q26:Q29)</f>
        <v>5241</v>
      </c>
      <c r="R30" s="739">
        <f>SUM(R26:R29)</f>
        <v>5241</v>
      </c>
      <c r="W30" s="755">
        <v>422</v>
      </c>
    </row>
    <row r="31" spans="1:23">
      <c r="A31" s="31" t="s">
        <v>138</v>
      </c>
      <c r="B31" s="764">
        <v>22</v>
      </c>
      <c r="C31" s="693">
        <f>VLOOKUP(B31,[65]New!$O$1:$AJ$37,11,0)</f>
        <v>117.90820073439413</v>
      </c>
      <c r="D31" s="1156">
        <f>VLOOKUP(B31,[65]New!$A$1:$AJ$37,26,0)</f>
        <v>89.610232558139543</v>
      </c>
      <c r="E31" s="1156">
        <f>+'Lionheads Batch Mvnt'!B25</f>
        <v>574</v>
      </c>
      <c r="F31" s="734">
        <f>D31*E31</f>
        <v>51436.273488372099</v>
      </c>
      <c r="G31" s="1826">
        <f t="shared" si="4"/>
        <v>2.5124800553900397</v>
      </c>
      <c r="H31" s="721">
        <f t="shared" si="5"/>
        <v>129232.61126312237</v>
      </c>
      <c r="I31" s="755">
        <v>608</v>
      </c>
      <c r="J31" s="734">
        <v>55839.711304347824</v>
      </c>
      <c r="K31" s="736">
        <v>2.4693664249557852</v>
      </c>
      <c r="L31" s="751">
        <v>137888.70827418054</v>
      </c>
      <c r="M31" s="739">
        <f>H31-L31</f>
        <v>-8656.0970110581693</v>
      </c>
      <c r="W31" s="755">
        <v>487</v>
      </c>
    </row>
    <row r="32" spans="1:23">
      <c r="A32" s="31"/>
      <c r="B32" s="764">
        <v>23</v>
      </c>
      <c r="C32" s="693">
        <f>VLOOKUP(B32,[65]New!$O$1:$AJ$37,11,0)</f>
        <v>123.59932843082642</v>
      </c>
      <c r="D32" s="1156">
        <f>VLOOKUP(B32,[65]New!$A$1:$AJ$37,26,0)</f>
        <v>93.935489607428082</v>
      </c>
      <c r="E32" s="1156">
        <f>+'Lionheads Batch Mvnt'!B26</f>
        <v>0</v>
      </c>
      <c r="F32" s="734">
        <f>D32*E32</f>
        <v>0</v>
      </c>
      <c r="G32" s="1826">
        <f t="shared" si="4"/>
        <v>2.5124800553900397</v>
      </c>
      <c r="H32" s="721">
        <f t="shared" si="5"/>
        <v>0</v>
      </c>
      <c r="I32" s="752">
        <v>1</v>
      </c>
      <c r="J32" s="734">
        <v>96.274591360293726</v>
      </c>
      <c r="K32" s="736">
        <v>2.4693664249557852</v>
      </c>
      <c r="L32" s="751">
        <v>237.73724348144765</v>
      </c>
      <c r="M32" s="739">
        <f t="shared" ref="M32:M41" si="6">H32-L32</f>
        <v>-237.73724348144765</v>
      </c>
    </row>
    <row r="33" spans="1:27">
      <c r="A33" s="31"/>
      <c r="B33" s="764">
        <v>24</v>
      </c>
      <c r="C33" s="693">
        <f>VLOOKUP(B33,[65]New!$O$1:$AJ$37,11,0)</f>
        <v>129.91078349963456</v>
      </c>
      <c r="D33" s="1156">
        <f>VLOOKUP(B33,[65]New!$A$1:$AJ$37,26,0)</f>
        <v>98.732195459722263</v>
      </c>
      <c r="E33" s="1156">
        <f>+'Lionheads Batch Mvnt'!B27</f>
        <v>0</v>
      </c>
      <c r="F33" s="734">
        <f t="shared" ref="F33:F40" si="7">D33*E33</f>
        <v>0</v>
      </c>
      <c r="G33" s="1826">
        <f t="shared" si="4"/>
        <v>2.5124800553900397</v>
      </c>
      <c r="H33" s="721">
        <f>G33*F33</f>
        <v>0</v>
      </c>
      <c r="I33" s="752">
        <v>0</v>
      </c>
      <c r="J33" s="734">
        <v>0</v>
      </c>
      <c r="K33" s="736">
        <v>2.4693664249557852</v>
      </c>
      <c r="L33" s="751">
        <v>0</v>
      </c>
      <c r="M33" s="739">
        <f t="shared" si="6"/>
        <v>0</v>
      </c>
    </row>
    <row r="34" spans="1:27">
      <c r="A34" s="31"/>
      <c r="B34" s="764">
        <v>25</v>
      </c>
      <c r="C34" s="693">
        <f>VLOOKUP(B34,[65]New!$O$1:$AJ$37,11,0)</f>
        <v>136.22223856844272</v>
      </c>
      <c r="D34" s="1156">
        <f>VLOOKUP(B34,[65]New!$A$1:$AJ$37,26,0)</f>
        <v>103.52890131201646</v>
      </c>
      <c r="E34" s="1156">
        <v>0</v>
      </c>
      <c r="F34" s="734">
        <f t="shared" si="7"/>
        <v>0</v>
      </c>
      <c r="G34" s="1826">
        <f t="shared" si="4"/>
        <v>2.5124800553900397</v>
      </c>
      <c r="H34" s="721">
        <f t="shared" si="5"/>
        <v>0</v>
      </c>
      <c r="I34" s="752">
        <v>0</v>
      </c>
      <c r="J34" s="734">
        <v>0</v>
      </c>
      <c r="K34" s="736">
        <v>2.4693664249557852</v>
      </c>
      <c r="L34" s="751">
        <v>0</v>
      </c>
      <c r="M34" s="739">
        <f t="shared" si="6"/>
        <v>0</v>
      </c>
    </row>
    <row r="35" spans="1:27">
      <c r="A35" s="31"/>
      <c r="B35" s="764">
        <v>26</v>
      </c>
      <c r="C35" s="693">
        <f>VLOOKUP(B35,[65]New!$O$1:$AJ$37,11,0)</f>
        <v>142.53369363725085</v>
      </c>
      <c r="D35" s="1156">
        <f>VLOOKUP(B35,[65]New!$A$1:$AJ$37,26,0)</f>
        <v>108.32560716431065</v>
      </c>
      <c r="E35" s="1156">
        <v>0</v>
      </c>
      <c r="F35" s="734">
        <f t="shared" si="7"/>
        <v>0</v>
      </c>
      <c r="G35" s="1826">
        <f t="shared" si="4"/>
        <v>2.5124800553900397</v>
      </c>
      <c r="H35" s="721">
        <f t="shared" si="5"/>
        <v>0</v>
      </c>
      <c r="I35" s="752">
        <v>0</v>
      </c>
      <c r="J35" s="734">
        <v>0</v>
      </c>
      <c r="K35" s="736">
        <v>2.4693664249557852</v>
      </c>
      <c r="L35" s="751">
        <v>0</v>
      </c>
      <c r="M35" s="739">
        <f t="shared" si="6"/>
        <v>0</v>
      </c>
    </row>
    <row r="36" spans="1:27">
      <c r="A36" s="31"/>
      <c r="B36" s="764">
        <f>+B35+1</f>
        <v>27</v>
      </c>
      <c r="C36" s="693">
        <f>VLOOKUP(B36,[65]New!$O$1:$AJ$37,11,0)</f>
        <v>148.84514870605904</v>
      </c>
      <c r="D36" s="1156">
        <f>VLOOKUP(B36,[65]New!$A$1:$AJ$37,26,0)</f>
        <v>113.12231301660486</v>
      </c>
      <c r="E36" s="1156">
        <v>0</v>
      </c>
      <c r="F36" s="734">
        <f t="shared" si="7"/>
        <v>0</v>
      </c>
      <c r="G36" s="1826">
        <f t="shared" si="4"/>
        <v>2.5124800553900397</v>
      </c>
      <c r="H36" s="721">
        <f t="shared" si="5"/>
        <v>0</v>
      </c>
      <c r="I36" s="752">
        <v>0</v>
      </c>
      <c r="J36" s="734">
        <v>0</v>
      </c>
      <c r="K36" s="736">
        <v>2.4693664249557852</v>
      </c>
      <c r="L36" s="751">
        <v>0</v>
      </c>
      <c r="M36" s="739">
        <f t="shared" si="6"/>
        <v>0</v>
      </c>
    </row>
    <row r="37" spans="1:27">
      <c r="A37" s="31"/>
      <c r="B37" s="720">
        <f>+B36+1</f>
        <v>28</v>
      </c>
      <c r="C37" s="693">
        <f>VLOOKUP(B37,[65]New!$O$1:$AJ$37,11,0)</f>
        <v>155.15660377486719</v>
      </c>
      <c r="D37" s="1156">
        <f>VLOOKUP(B37,[65]New!$A$1:$AJ$37,26,0)</f>
        <v>117.91901886889907</v>
      </c>
      <c r="E37" s="1156">
        <v>0</v>
      </c>
      <c r="F37" s="734">
        <f t="shared" si="7"/>
        <v>0</v>
      </c>
      <c r="G37" s="1826">
        <f t="shared" si="4"/>
        <v>2.5124800553900397</v>
      </c>
      <c r="H37" s="721">
        <f t="shared" si="5"/>
        <v>0</v>
      </c>
      <c r="I37" s="752">
        <v>0</v>
      </c>
      <c r="J37" s="734">
        <v>0</v>
      </c>
      <c r="K37" s="736">
        <v>2.4693664249557852</v>
      </c>
      <c r="L37" s="751">
        <v>0</v>
      </c>
      <c r="M37" s="739">
        <f t="shared" si="6"/>
        <v>0</v>
      </c>
    </row>
    <row r="38" spans="1:27">
      <c r="A38" s="31"/>
      <c r="B38" s="720">
        <f>+B37+1</f>
        <v>29</v>
      </c>
      <c r="C38" s="693">
        <f>VLOOKUP(B38,[65]New!$O$1:$AJ$37,11,0)</f>
        <v>161.46805884367535</v>
      </c>
      <c r="D38" s="1156">
        <f>VLOOKUP(B38,[65]New!$A$1:$AJ$37,26,0)</f>
        <v>122.71572472119327</v>
      </c>
      <c r="E38" s="1156">
        <v>0</v>
      </c>
      <c r="F38" s="734">
        <f t="shared" si="7"/>
        <v>0</v>
      </c>
      <c r="G38" s="1826">
        <f t="shared" si="4"/>
        <v>2.5124800553900397</v>
      </c>
      <c r="H38" s="721">
        <f>G38*F38</f>
        <v>0</v>
      </c>
      <c r="I38" s="752">
        <v>0</v>
      </c>
      <c r="J38" s="734">
        <v>0</v>
      </c>
      <c r="K38" s="736">
        <v>2.4693664249557852</v>
      </c>
      <c r="L38" s="751">
        <v>0</v>
      </c>
      <c r="M38" s="739">
        <f t="shared" si="6"/>
        <v>0</v>
      </c>
    </row>
    <row r="39" spans="1:27">
      <c r="A39" s="31"/>
      <c r="B39" s="720">
        <f>+B38+1</f>
        <v>30</v>
      </c>
      <c r="C39" s="693">
        <f>VLOOKUP(B39,[65]New!$O$1:$AJ$37,11,0)</f>
        <v>167.77951391248351</v>
      </c>
      <c r="D39" s="1156">
        <f>VLOOKUP(B39,[65]New!$A$1:$AJ$37,26,0)</f>
        <v>127.51243057348746</v>
      </c>
      <c r="E39" s="1156">
        <v>0</v>
      </c>
      <c r="F39" s="734">
        <f t="shared" si="7"/>
        <v>0</v>
      </c>
      <c r="G39" s="1826">
        <f t="shared" si="4"/>
        <v>2.5124800553900397</v>
      </c>
      <c r="H39" s="721">
        <f t="shared" si="5"/>
        <v>0</v>
      </c>
      <c r="I39" s="752">
        <v>0</v>
      </c>
      <c r="J39" s="734">
        <v>0</v>
      </c>
      <c r="K39" s="736">
        <v>2.4693664249557852</v>
      </c>
      <c r="L39" s="751">
        <v>0</v>
      </c>
      <c r="M39" s="739">
        <f t="shared" si="6"/>
        <v>0</v>
      </c>
    </row>
    <row r="40" spans="1:27">
      <c r="A40" s="31"/>
      <c r="B40" s="720">
        <f>+B39+1</f>
        <v>31</v>
      </c>
      <c r="C40" s="693">
        <f>VLOOKUP(B40,[65]New!$O$1:$AJ$37,11,0)</f>
        <v>174.09096898129167</v>
      </c>
      <c r="D40" s="1156">
        <f>VLOOKUP(B40,[65]New!$A$1:$AJ$37,26,0)</f>
        <v>132.30913642578167</v>
      </c>
      <c r="E40" s="1156">
        <v>0</v>
      </c>
      <c r="F40" s="734">
        <f t="shared" si="7"/>
        <v>0</v>
      </c>
      <c r="G40" s="1826">
        <f t="shared" si="4"/>
        <v>2.5124800553900397</v>
      </c>
      <c r="H40" s="721">
        <f t="shared" si="5"/>
        <v>0</v>
      </c>
      <c r="I40" s="752">
        <v>0</v>
      </c>
      <c r="J40" s="734">
        <v>0</v>
      </c>
      <c r="K40" s="736">
        <v>2.4693664249557852</v>
      </c>
      <c r="L40" s="751">
        <v>0</v>
      </c>
      <c r="M40" s="739">
        <f t="shared" si="6"/>
        <v>0</v>
      </c>
    </row>
    <row r="41" spans="1:27">
      <c r="A41" s="31"/>
      <c r="B41" s="764"/>
      <c r="C41" s="741"/>
      <c r="D41" s="721">
        <f>C41*76%</f>
        <v>0</v>
      </c>
      <c r="E41" s="765">
        <v>0</v>
      </c>
      <c r="F41" s="734"/>
      <c r="G41" s="736"/>
      <c r="H41" s="734">
        <f t="shared" ref="H41" si="8">F41*G41</f>
        <v>0</v>
      </c>
      <c r="I41" s="1497">
        <v>0</v>
      </c>
      <c r="J41" s="759"/>
      <c r="K41" s="760"/>
      <c r="L41" s="761">
        <v>0</v>
      </c>
      <c r="M41" s="739">
        <f t="shared" si="6"/>
        <v>0</v>
      </c>
    </row>
    <row r="42" spans="1:27" s="31" customFormat="1">
      <c r="A42" s="31" t="s">
        <v>1731</v>
      </c>
      <c r="B42" s="786"/>
      <c r="C42" s="1333"/>
      <c r="D42" s="1338">
        <v>0</v>
      </c>
      <c r="E42" s="1493">
        <f>SUM(E9:E41)</f>
        <v>13554</v>
      </c>
      <c r="F42" s="1339">
        <f>SUM(F9:F41)</f>
        <v>422934.44815440674</v>
      </c>
      <c r="G42" s="1339" t="s">
        <v>138</v>
      </c>
      <c r="H42" s="1339">
        <f>SUM(H9:H41)</f>
        <v>2061365.9883716023</v>
      </c>
      <c r="I42" s="1496">
        <v>12351</v>
      </c>
      <c r="J42" s="1496">
        <v>398421.23272996093</v>
      </c>
      <c r="K42" s="1496" t="s">
        <v>138</v>
      </c>
      <c r="L42" s="1496">
        <v>1106512.5056757096</v>
      </c>
      <c r="M42" s="31">
        <f>SUM(M10:M32)</f>
        <v>820646.65061103343</v>
      </c>
      <c r="N42" s="31">
        <f>+H42-L42</f>
        <v>954853.48269589269</v>
      </c>
      <c r="P42" s="739"/>
      <c r="Q42" s="739"/>
      <c r="W42" s="31">
        <f>AVERAGE(W19:W32)</f>
        <v>480.07692307692309</v>
      </c>
      <c r="AA42" s="31">
        <v>147</v>
      </c>
    </row>
    <row r="43" spans="1:27" s="31" customFormat="1">
      <c r="A43" s="686"/>
      <c r="B43" s="1340"/>
      <c r="C43" s="1341"/>
      <c r="D43" s="1342"/>
      <c r="E43" s="1343"/>
      <c r="F43" s="1344"/>
      <c r="G43" s="1344"/>
      <c r="H43" s="1345"/>
      <c r="I43" s="1343"/>
      <c r="J43" s="1344"/>
      <c r="K43" s="1344"/>
      <c r="L43" s="1345"/>
      <c r="P43" s="739"/>
      <c r="Q43" s="739"/>
    </row>
    <row r="44" spans="1:27" s="31" customFormat="1">
      <c r="A44" s="694" t="s">
        <v>1732</v>
      </c>
      <c r="B44" s="786"/>
      <c r="C44" s="1333"/>
      <c r="D44" s="61"/>
      <c r="E44" s="755">
        <v>0</v>
      </c>
      <c r="F44" s="1222"/>
      <c r="G44" s="1335">
        <f>+'Richlands Imported Valuation'!G18</f>
        <v>0</v>
      </c>
      <c r="H44" s="1336">
        <f>+E44*G44</f>
        <v>0</v>
      </c>
      <c r="I44" s="755">
        <v>0</v>
      </c>
      <c r="J44" s="1222"/>
      <c r="K44" s="1335">
        <v>2418.8990449260391</v>
      </c>
      <c r="L44" s="1336">
        <v>0</v>
      </c>
      <c r="P44" s="739"/>
      <c r="Q44" s="739"/>
    </row>
    <row r="45" spans="1:27" s="31" customFormat="1">
      <c r="A45" s="694"/>
      <c r="B45" s="786"/>
      <c r="C45" s="1333"/>
      <c r="D45" s="61"/>
      <c r="E45" s="1334"/>
      <c r="F45" s="1222"/>
      <c r="G45" s="1335"/>
      <c r="H45" s="1336"/>
      <c r="I45" s="1334"/>
      <c r="J45" s="1222"/>
      <c r="K45" s="1335"/>
      <c r="L45" s="1336"/>
      <c r="P45" s="739"/>
      <c r="Q45" s="739"/>
    </row>
    <row r="46" spans="1:27" s="31" customFormat="1">
      <c r="A46" s="694" t="s">
        <v>1733</v>
      </c>
      <c r="B46" s="786"/>
      <c r="C46" s="1333"/>
      <c r="D46" s="61"/>
      <c r="E46" s="755">
        <f>+'Lionhead TN 60'!B4</f>
        <v>0</v>
      </c>
      <c r="F46" s="1222"/>
      <c r="G46" s="1335">
        <f>+'Richlands Imported Valuation'!O18</f>
        <v>0</v>
      </c>
      <c r="H46" s="1336">
        <f>+E46*G46</f>
        <v>0</v>
      </c>
      <c r="I46" s="755">
        <v>0</v>
      </c>
      <c r="J46" s="1222"/>
      <c r="K46" s="1335">
        <v>2426.1969564430392</v>
      </c>
      <c r="L46" s="1336">
        <v>0</v>
      </c>
      <c r="P46" s="739"/>
      <c r="Q46" s="739"/>
    </row>
    <row r="47" spans="1:27" s="31" customFormat="1">
      <c r="A47" s="694"/>
      <c r="B47" s="786"/>
      <c r="C47" s="1333"/>
      <c r="D47" s="61"/>
      <c r="E47" s="1334"/>
      <c r="F47" s="1222"/>
      <c r="G47" s="1335"/>
      <c r="H47" s="1336"/>
      <c r="I47" s="1334"/>
      <c r="J47" s="1222"/>
      <c r="K47" s="1335"/>
      <c r="L47" s="1336"/>
      <c r="P47" s="739"/>
      <c r="Q47" s="739"/>
    </row>
    <row r="48" spans="1:27" s="31" customFormat="1">
      <c r="A48" s="694" t="s">
        <v>1734</v>
      </c>
      <c r="B48" s="786"/>
      <c r="C48" s="1333"/>
      <c r="D48" s="61"/>
      <c r="E48" s="755">
        <v>0</v>
      </c>
      <c r="F48" s="1222"/>
      <c r="G48" s="1335">
        <f>+'Richlands Imported Valuation'!W18</f>
        <v>0</v>
      </c>
      <c r="H48" s="1336">
        <f>+E48*G48</f>
        <v>0</v>
      </c>
      <c r="I48" s="755">
        <v>0</v>
      </c>
      <c r="J48" s="1222"/>
      <c r="K48" s="1335">
        <v>351.69909234372153</v>
      </c>
      <c r="L48" s="1336">
        <v>0</v>
      </c>
      <c r="P48" s="739"/>
      <c r="Q48" s="739"/>
    </row>
    <row r="49" spans="1:27" s="31" customFormat="1">
      <c r="A49" s="694"/>
      <c r="B49" s="786"/>
      <c r="C49" s="1333"/>
      <c r="D49" s="61"/>
      <c r="E49" s="1334"/>
      <c r="F49" s="1222"/>
      <c r="G49" s="1335"/>
      <c r="H49" s="1336"/>
      <c r="I49" s="1334"/>
      <c r="J49" s="1222"/>
      <c r="K49" s="1335"/>
      <c r="L49" s="1336"/>
      <c r="P49" s="739"/>
      <c r="Q49" s="739"/>
    </row>
    <row r="50" spans="1:27" s="31" customFormat="1">
      <c r="A50" s="694" t="s">
        <v>1735</v>
      </c>
      <c r="B50" s="786"/>
      <c r="C50" s="1333"/>
      <c r="D50" s="61"/>
      <c r="E50" s="755">
        <v>0</v>
      </c>
      <c r="F50" s="1222"/>
      <c r="G50" s="1335">
        <f>+'Richlands Imported Valuation'!AE18</f>
        <v>0</v>
      </c>
      <c r="H50" s="1336">
        <f>+E50*G50</f>
        <v>0</v>
      </c>
      <c r="I50" s="755">
        <v>0</v>
      </c>
      <c r="J50" s="1222"/>
      <c r="K50" s="1335">
        <v>706.44197644701489</v>
      </c>
      <c r="L50" s="1336">
        <v>0</v>
      </c>
      <c r="P50" s="739"/>
      <c r="Q50" s="739"/>
    </row>
    <row r="51" spans="1:27" s="31" customFormat="1">
      <c r="A51" s="694"/>
      <c r="B51" s="786"/>
      <c r="C51" s="1333"/>
      <c r="D51" s="61"/>
      <c r="E51" s="1334"/>
      <c r="F51" s="1222"/>
      <c r="G51" s="1335"/>
      <c r="H51" s="1336"/>
      <c r="I51" s="1334"/>
      <c r="J51" s="1222"/>
      <c r="K51" s="1335"/>
      <c r="L51" s="1336"/>
      <c r="P51" s="739"/>
      <c r="Q51" s="739"/>
    </row>
    <row r="52" spans="1:27" s="31" customFormat="1">
      <c r="A52" s="694" t="s">
        <v>1736</v>
      </c>
      <c r="B52" s="786"/>
      <c r="C52" s="1333"/>
      <c r="D52" s="61"/>
      <c r="E52" s="755">
        <v>0</v>
      </c>
      <c r="F52" s="1222"/>
      <c r="G52" s="1335">
        <f>+'Richlands Imported Valuation'!AA18</f>
        <v>0</v>
      </c>
      <c r="H52" s="1336">
        <f>+E52*G52</f>
        <v>0</v>
      </c>
      <c r="I52" s="755">
        <v>0</v>
      </c>
      <c r="J52" s="1222"/>
      <c r="K52" s="1335">
        <v>716.2200411090115</v>
      </c>
      <c r="L52" s="1336">
        <v>0</v>
      </c>
      <c r="P52" s="739"/>
      <c r="Q52" s="739"/>
    </row>
    <row r="53" spans="1:27" s="31" customFormat="1">
      <c r="A53" s="699"/>
      <c r="B53" s="766">
        <f>+D53-C53</f>
        <v>-6</v>
      </c>
      <c r="C53" s="714">
        <f>+'Lionshead TN 70'!F13</f>
        <v>6</v>
      </c>
      <c r="D53" s="1640">
        <f>SUM(E44:E53)</f>
        <v>0</v>
      </c>
      <c r="E53" s="1346"/>
      <c r="F53" s="1347"/>
      <c r="G53" s="1347"/>
      <c r="H53" s="1348"/>
      <c r="I53" s="1346"/>
      <c r="J53" s="1347"/>
      <c r="K53" s="1347"/>
      <c r="L53" s="1348"/>
      <c r="P53" s="739"/>
      <c r="Q53" s="739"/>
    </row>
    <row r="54" spans="1:27">
      <c r="A54" s="1337" t="s">
        <v>1737</v>
      </c>
      <c r="B54" s="741"/>
      <c r="C54" s="741"/>
      <c r="E54" s="769"/>
      <c r="F54" s="734"/>
      <c r="G54" s="736"/>
      <c r="H54" s="751"/>
      <c r="I54" s="769"/>
      <c r="J54" s="734"/>
      <c r="K54" s="736"/>
      <c r="L54" s="751"/>
      <c r="M54" s="739">
        <f t="shared" si="0"/>
        <v>0</v>
      </c>
      <c r="AA54" s="739">
        <v>132</v>
      </c>
    </row>
    <row r="55" spans="1:27">
      <c r="A55" s="31" t="s">
        <v>50</v>
      </c>
      <c r="B55" s="741"/>
      <c r="C55" s="741"/>
      <c r="D55" s="739">
        <v>150</v>
      </c>
      <c r="E55" s="770">
        <f>+'Lionheads Batch Mvnt'!J6</f>
        <v>337</v>
      </c>
      <c r="F55" s="734">
        <f>D55*E55</f>
        <v>50550</v>
      </c>
      <c r="G55" s="1053">
        <f>'Grasmere Valuation '!G41</f>
        <v>2.0499999999999998</v>
      </c>
      <c r="H55" s="751">
        <f>F55*G55</f>
        <v>103627.49999999999</v>
      </c>
      <c r="I55" s="769">
        <v>360</v>
      </c>
      <c r="J55" s="734">
        <v>54000</v>
      </c>
      <c r="K55" s="736">
        <v>2.04</v>
      </c>
      <c r="L55" s="751">
        <v>110160</v>
      </c>
      <c r="M55" s="739">
        <f>H55-L55</f>
        <v>-6532.5000000000146</v>
      </c>
      <c r="AA55" s="739">
        <v>140</v>
      </c>
    </row>
    <row r="56" spans="1:27">
      <c r="A56" s="31"/>
      <c r="B56" s="741"/>
      <c r="C56" s="741"/>
      <c r="E56" s="769"/>
      <c r="F56" s="734"/>
      <c r="G56" s="736"/>
      <c r="H56" s="751"/>
      <c r="I56" s="769"/>
      <c r="J56" s="734"/>
      <c r="K56" s="736"/>
      <c r="L56" s="751"/>
      <c r="M56" s="739">
        <f t="shared" si="0"/>
        <v>0</v>
      </c>
      <c r="AA56" s="739">
        <v>154</v>
      </c>
    </row>
    <row r="57" spans="1:27">
      <c r="A57" s="31" t="s">
        <v>55</v>
      </c>
      <c r="B57" s="741"/>
      <c r="C57" s="741"/>
      <c r="D57" s="739">
        <v>150</v>
      </c>
      <c r="E57" s="770">
        <f>+'Lionheads Batch Mvnt'!I5-'Lionshead TN 70'!F13</f>
        <v>1066</v>
      </c>
      <c r="F57" s="734">
        <f>D57*E57</f>
        <v>159900</v>
      </c>
      <c r="G57" s="736">
        <f>+G55</f>
        <v>2.0499999999999998</v>
      </c>
      <c r="H57" s="751">
        <f>F57*G57</f>
        <v>327795</v>
      </c>
      <c r="I57" s="769">
        <v>1037</v>
      </c>
      <c r="J57" s="734">
        <v>155550</v>
      </c>
      <c r="K57" s="736">
        <v>2.04</v>
      </c>
      <c r="L57" s="751">
        <v>317322</v>
      </c>
      <c r="M57" s="739">
        <f t="shared" si="0"/>
        <v>10473</v>
      </c>
      <c r="AA57" s="739">
        <v>137</v>
      </c>
    </row>
    <row r="58" spans="1:27">
      <c r="A58" s="31"/>
      <c r="B58" s="741"/>
      <c r="C58" s="741"/>
      <c r="E58" s="769"/>
      <c r="F58" s="734"/>
      <c r="G58" s="736"/>
      <c r="H58" s="751"/>
      <c r="I58" s="769"/>
      <c r="J58" s="734"/>
      <c r="K58" s="736"/>
      <c r="L58" s="751"/>
      <c r="M58" s="739">
        <f t="shared" si="0"/>
        <v>0</v>
      </c>
      <c r="AA58" s="739">
        <v>144</v>
      </c>
    </row>
    <row r="59" spans="1:27">
      <c r="A59" s="31" t="s">
        <v>79</v>
      </c>
      <c r="B59" s="741"/>
      <c r="C59" s="741"/>
      <c r="D59" s="739">
        <v>150</v>
      </c>
      <c r="E59" s="770">
        <f>'Lionheads Batch Mvnt'!I4-'Lionhead Imported Boars'!F10</f>
        <v>9</v>
      </c>
      <c r="F59" s="734">
        <f>D59*E59</f>
        <v>1350</v>
      </c>
      <c r="G59" s="736">
        <f>+G57</f>
        <v>2.0499999999999998</v>
      </c>
      <c r="H59" s="751">
        <f>F59*G59</f>
        <v>2767.4999999999995</v>
      </c>
      <c r="I59" s="769">
        <v>9</v>
      </c>
      <c r="J59" s="734">
        <v>1350</v>
      </c>
      <c r="K59" s="736">
        <v>2.04</v>
      </c>
      <c r="L59" s="751">
        <v>2754</v>
      </c>
      <c r="M59" s="739">
        <f t="shared" si="0"/>
        <v>13.499999999999545</v>
      </c>
      <c r="AA59" s="739">
        <v>174</v>
      </c>
    </row>
    <row r="60" spans="1:27">
      <c r="B60" s="741"/>
      <c r="C60" s="741"/>
      <c r="E60" s="769"/>
      <c r="F60" s="734"/>
      <c r="G60" s="736"/>
      <c r="H60" s="751">
        <v>0</v>
      </c>
      <c r="I60" s="769"/>
      <c r="J60" s="734"/>
      <c r="K60" s="736"/>
      <c r="L60" s="751">
        <v>0</v>
      </c>
      <c r="AA60" s="739">
        <v>227</v>
      </c>
    </row>
    <row r="61" spans="1:27" ht="13.9" thickBot="1">
      <c r="B61" s="741"/>
      <c r="C61" s="741" t="s">
        <v>138</v>
      </c>
      <c r="E61" s="771">
        <f>SUM(E42:E60)</f>
        <v>14966</v>
      </c>
      <c r="F61" s="734">
        <f>SUM(F42:F59)</f>
        <v>634734.44815440674</v>
      </c>
      <c r="G61" s="736"/>
      <c r="H61" s="727">
        <f>SUM(H42:H60)</f>
        <v>2495555.9883716023</v>
      </c>
      <c r="I61" s="772">
        <f>SUM(I42:I60)</f>
        <v>13757</v>
      </c>
      <c r="J61" s="734">
        <f>SUM(J42:J59)</f>
        <v>609321.23272996093</v>
      </c>
      <c r="K61" s="736"/>
      <c r="L61" s="727">
        <f>SUM(L42:L59)</f>
        <v>1536748.5056757096</v>
      </c>
      <c r="M61" s="739">
        <f>SUM(M42:M60)</f>
        <v>824600.65061103343</v>
      </c>
      <c r="N61" s="739" t="s">
        <v>138</v>
      </c>
      <c r="AA61" s="739">
        <v>176</v>
      </c>
    </row>
    <row r="62" spans="1:27" ht="13.9" thickTop="1">
      <c r="B62" s="741"/>
      <c r="C62" s="741"/>
      <c r="E62" s="769">
        <f>SUM('Summary Total Pigs'!AE50:AE55)</f>
        <v>14972</v>
      </c>
      <c r="F62" s="734" t="s">
        <v>138</v>
      </c>
      <c r="G62" s="736"/>
      <c r="H62" s="751"/>
      <c r="I62" s="750">
        <f>'[69]Lionhead Valuation'!$E$61</f>
        <v>13757</v>
      </c>
      <c r="J62" s="734"/>
      <c r="K62" s="736"/>
      <c r="L62" s="750">
        <f>'[69]Lionhead Valuation'!$H$61</f>
        <v>1536748.5056757096</v>
      </c>
      <c r="N62" s="739">
        <f>+H61-L61</f>
        <v>958807.48269589269</v>
      </c>
      <c r="AA62" s="739">
        <v>128</v>
      </c>
    </row>
    <row r="63" spans="1:27">
      <c r="E63" s="773">
        <f>+E61-E62</f>
        <v>-6</v>
      </c>
      <c r="F63" s="731" t="s">
        <v>1738</v>
      </c>
      <c r="G63" s="760"/>
      <c r="H63" s="761">
        <v>0</v>
      </c>
      <c r="I63" s="774">
        <f>+I61-I62</f>
        <v>0</v>
      </c>
      <c r="J63" s="1180"/>
      <c r="K63" s="759"/>
      <c r="L63" s="791">
        <f>+L61-L62</f>
        <v>0</v>
      </c>
      <c r="M63" s="739" t="s">
        <v>207</v>
      </c>
      <c r="Q63" s="739">
        <f>+L63-P63</f>
        <v>0</v>
      </c>
      <c r="AA63" s="739">
        <v>52</v>
      </c>
    </row>
    <row r="64" spans="1:27">
      <c r="H64" s="739" t="s">
        <v>138</v>
      </c>
      <c r="I64" s="742">
        <v>0</v>
      </c>
      <c r="Q64" s="739">
        <f>+L64-P64</f>
        <v>0</v>
      </c>
      <c r="AA64" s="739">
        <v>43</v>
      </c>
    </row>
    <row r="65" spans="3:27">
      <c r="C65" s="740" t="s">
        <v>1717</v>
      </c>
      <c r="D65" s="739" t="s">
        <v>1739</v>
      </c>
      <c r="E65" s="740">
        <f>+E42</f>
        <v>13554</v>
      </c>
      <c r="F65" s="1277">
        <f>+'Summary Total Pigs'!AF50+'Summary Total Pigs'!AF51+'Summary Total Pigs'!AF52</f>
        <v>13554</v>
      </c>
      <c r="G65" s="740">
        <f>+E65-F65</f>
        <v>0</v>
      </c>
      <c r="H65" s="740">
        <f>+H42</f>
        <v>2061365.9883716023</v>
      </c>
      <c r="I65" s="742" t="s">
        <v>138</v>
      </c>
      <c r="Q65" s="739">
        <f>+L65-P65</f>
        <v>0</v>
      </c>
      <c r="AA65" s="739">
        <v>41</v>
      </c>
    </row>
    <row r="66" spans="3:27">
      <c r="C66" s="740" t="s">
        <v>1737</v>
      </c>
      <c r="D66" s="739" t="s">
        <v>50</v>
      </c>
      <c r="E66" s="740">
        <f>+E55</f>
        <v>337</v>
      </c>
      <c r="F66" s="1277">
        <f>+'Summary Total Pigs'!AF53</f>
        <v>337</v>
      </c>
      <c r="G66" s="740">
        <f>+E66-F66</f>
        <v>0</v>
      </c>
      <c r="H66" s="740">
        <f>+H55</f>
        <v>103627.49999999999</v>
      </c>
      <c r="AA66" s="739">
        <v>9</v>
      </c>
    </row>
    <row r="67" spans="3:27">
      <c r="D67" s="739" t="s">
        <v>1740</v>
      </c>
      <c r="E67" s="740">
        <f>SUM(E44:E52)</f>
        <v>0</v>
      </c>
      <c r="F67" s="1277">
        <f>+'Lionhead TN 60'!B4</f>
        <v>0</v>
      </c>
      <c r="G67" s="740">
        <f>+E67-F67</f>
        <v>0</v>
      </c>
      <c r="H67" s="740">
        <f>SUM(H44:H52)</f>
        <v>0</v>
      </c>
    </row>
    <row r="68" spans="3:27">
      <c r="D68" s="739" t="s">
        <v>55</v>
      </c>
      <c r="E68" s="740">
        <f>+E57</f>
        <v>1066</v>
      </c>
      <c r="F68" s="1277">
        <f>+'Summary Total Pigs'!AF54-'Lionhead TN 60'!B4</f>
        <v>1072</v>
      </c>
      <c r="G68" s="740">
        <f>+E68-F68</f>
        <v>-6</v>
      </c>
      <c r="H68" s="740">
        <f>+H57</f>
        <v>327795</v>
      </c>
      <c r="L68" s="739">
        <f>+L61-H61</f>
        <v>-958807.48269589269</v>
      </c>
    </row>
    <row r="69" spans="3:27">
      <c r="D69" s="739" t="s">
        <v>79</v>
      </c>
      <c r="E69" s="740">
        <f>+E59</f>
        <v>9</v>
      </c>
      <c r="F69" s="1277">
        <f>+'Summary Total Pigs'!AF55-'Lionhead Imported Boars'!F10</f>
        <v>9</v>
      </c>
      <c r="G69" s="740">
        <f>+E69-F69</f>
        <v>0</v>
      </c>
      <c r="H69" s="740">
        <f>+H59</f>
        <v>2767.4999999999995</v>
      </c>
      <c r="AA69" s="739">
        <f>SUM(AA42:AA68)</f>
        <v>1704</v>
      </c>
    </row>
    <row r="70" spans="3:27" s="31" customFormat="1">
      <c r="C70" s="743"/>
      <c r="E70" s="743">
        <f>SUM(E65:E69)</f>
        <v>14966</v>
      </c>
      <c r="F70" s="1278">
        <f>SUM(F65:F69)</f>
        <v>14972</v>
      </c>
      <c r="G70" s="743">
        <f>SUM(G65:G69)</f>
        <v>-6</v>
      </c>
      <c r="H70" s="743">
        <f>SUM(H65:H69)</f>
        <v>2495555.9883716023</v>
      </c>
      <c r="I70" s="1234"/>
    </row>
    <row r="71" spans="3:27" s="801" customFormat="1">
      <c r="C71" s="802"/>
      <c r="E71" s="802">
        <f>+E61</f>
        <v>14966</v>
      </c>
      <c r="F71" s="1279">
        <f>+'Summary Total Pigs'!AF56</f>
        <v>14972</v>
      </c>
      <c r="G71" s="802"/>
      <c r="H71" s="802">
        <f>+H61</f>
        <v>2495555.9883716023</v>
      </c>
      <c r="I71" s="1235"/>
    </row>
    <row r="72" spans="3:27">
      <c r="E72" s="741">
        <f>+E70-E71</f>
        <v>0</v>
      </c>
      <c r="F72" s="1280">
        <f>+F70-F71</f>
        <v>0</v>
      </c>
      <c r="G72" s="741"/>
      <c r="H72" s="739">
        <f>+H70-H71</f>
        <v>0</v>
      </c>
    </row>
    <row r="75" spans="3:27">
      <c r="F75" s="741"/>
    </row>
  </sheetData>
  <pageMargins left="0.7" right="0.7" top="0.75" bottom="0.75" header="0.3" footer="0.3"/>
  <pageSetup paperSize="9" scale="45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2">
    <tabColor theme="3" tint="0.39997558519241921"/>
  </sheetPr>
  <dimension ref="A1:W63"/>
  <sheetViews>
    <sheetView view="pageBreakPreview" topLeftCell="A33" zoomScaleNormal="100" zoomScaleSheetLayoutView="100" workbookViewId="0">
      <selection activeCell="H27" sqref="H27"/>
    </sheetView>
  </sheetViews>
  <sheetFormatPr defaultColWidth="9.140625" defaultRowHeight="13.15"/>
  <cols>
    <col min="1" max="1" width="11.28515625" style="739" customWidth="1"/>
    <col min="2" max="2" width="9.28515625" style="739" bestFit="1" customWidth="1"/>
    <col min="3" max="3" width="12.28515625" style="740" bestFit="1" customWidth="1"/>
    <col min="4" max="4" width="15.7109375" style="739" customWidth="1"/>
    <col min="5" max="5" width="15.42578125" style="741" customWidth="1"/>
    <col min="6" max="6" width="19.42578125" style="739" customWidth="1"/>
    <col min="7" max="7" width="14.28515625" style="740" customWidth="1"/>
    <col min="8" max="8" width="18.28515625" style="739" customWidth="1"/>
    <col min="9" max="9" width="14" style="742" customWidth="1"/>
    <col min="10" max="10" width="18.140625" style="739" customWidth="1"/>
    <col min="11" max="11" width="11.85546875" style="739" customWidth="1"/>
    <col min="12" max="12" width="18" style="739" customWidth="1"/>
    <col min="13" max="13" width="17.5703125" style="739" customWidth="1"/>
    <col min="14" max="14" width="15" style="739" customWidth="1"/>
    <col min="15" max="15" width="9.28515625" style="739" customWidth="1"/>
    <col min="16" max="16" width="10.28515625" style="739" customWidth="1"/>
    <col min="17" max="17" width="14.140625" style="739" customWidth="1"/>
    <col min="18" max="18" width="11.7109375" style="739" customWidth="1"/>
    <col min="19" max="19" width="11.5703125" style="739" customWidth="1"/>
    <col min="20" max="26" width="9.140625" style="739"/>
    <col min="27" max="27" width="9.28515625" style="739" bestFit="1" customWidth="1"/>
    <col min="28" max="16384" width="9.140625" style="739"/>
  </cols>
  <sheetData>
    <row r="1" spans="1:13">
      <c r="A1" s="31" t="s">
        <v>82</v>
      </c>
      <c r="H1" s="31"/>
    </row>
    <row r="2" spans="1:13">
      <c r="A2" s="31"/>
      <c r="H2" s="675">
        <f>+'Summary Total Pigs'!C3</f>
        <v>46226</v>
      </c>
    </row>
    <row r="3" spans="1:13">
      <c r="A3" s="31" t="s">
        <v>1654</v>
      </c>
      <c r="G3" s="740" t="s">
        <v>138</v>
      </c>
      <c r="H3" s="31"/>
    </row>
    <row r="4" spans="1:13">
      <c r="A4" s="31"/>
      <c r="H4" s="743" t="s">
        <v>1729</v>
      </c>
    </row>
    <row r="5" spans="1:13">
      <c r="A5" s="686" t="s">
        <v>1614</v>
      </c>
      <c r="B5" s="744"/>
      <c r="C5" s="745"/>
      <c r="D5" s="744"/>
      <c r="E5" s="746"/>
      <c r="F5" s="690">
        <f>+'Summary Total Pigs'!C3</f>
        <v>46226</v>
      </c>
      <c r="G5" s="745"/>
      <c r="H5" s="747"/>
      <c r="I5" s="748"/>
      <c r="J5" s="690">
        <f>+'Lionhead Valuation'!J5</f>
        <v>45870</v>
      </c>
      <c r="K5" s="744"/>
      <c r="L5" s="747"/>
    </row>
    <row r="6" spans="1:13">
      <c r="A6" s="749"/>
      <c r="B6" s="734"/>
      <c r="C6" s="736"/>
      <c r="D6" s="734"/>
      <c r="E6" s="750"/>
      <c r="F6" s="734"/>
      <c r="G6" s="736"/>
      <c r="H6" s="751"/>
      <c r="I6" s="752"/>
      <c r="J6" s="734"/>
      <c r="K6" s="734"/>
      <c r="L6" s="751"/>
    </row>
    <row r="7" spans="1:13">
      <c r="A7" s="694" t="s">
        <v>1656</v>
      </c>
      <c r="B7" s="695" t="s">
        <v>1657</v>
      </c>
      <c r="C7" s="696" t="s">
        <v>1658</v>
      </c>
      <c r="D7" s="695" t="s">
        <v>1659</v>
      </c>
      <c r="E7" s="698" t="s">
        <v>1660</v>
      </c>
      <c r="F7" s="695" t="s">
        <v>1661</v>
      </c>
      <c r="G7" s="696" t="s">
        <v>1662</v>
      </c>
      <c r="H7" s="697" t="s">
        <v>1663</v>
      </c>
      <c r="I7" s="753" t="s">
        <v>1660</v>
      </c>
      <c r="J7" s="695" t="s">
        <v>1661</v>
      </c>
      <c r="K7" s="695" t="s">
        <v>1662</v>
      </c>
      <c r="L7" s="697" t="s">
        <v>1663</v>
      </c>
      <c r="M7" s="31"/>
    </row>
    <row r="8" spans="1:13">
      <c r="A8" s="699"/>
      <c r="B8" s="700" t="s">
        <v>1664</v>
      </c>
      <c r="C8" s="701" t="s">
        <v>1665</v>
      </c>
      <c r="D8" s="700" t="s">
        <v>181</v>
      </c>
      <c r="E8" s="703" t="s">
        <v>1666</v>
      </c>
      <c r="F8" s="700"/>
      <c r="G8" s="701" t="s">
        <v>1668</v>
      </c>
      <c r="H8" s="702"/>
      <c r="I8" s="754" t="s">
        <v>1666</v>
      </c>
      <c r="J8" s="700"/>
      <c r="K8" s="700" t="s">
        <v>1668</v>
      </c>
      <c r="L8" s="702"/>
      <c r="M8" s="31">
        <f>371-229</f>
        <v>142</v>
      </c>
    </row>
    <row r="9" spans="1:13">
      <c r="A9" s="31" t="s">
        <v>179</v>
      </c>
      <c r="B9" s="31"/>
      <c r="C9" s="743"/>
      <c r="D9" s="31"/>
      <c r="E9" s="698"/>
      <c r="F9" s="695"/>
      <c r="G9" s="696"/>
      <c r="H9" s="751">
        <f>SUM('Lionhead Ext. Pig Cost'!B62:R62)</f>
        <v>0</v>
      </c>
      <c r="I9" s="698"/>
      <c r="J9" s="695"/>
      <c r="K9" s="695"/>
      <c r="L9" s="751">
        <v>0</v>
      </c>
      <c r="M9" s="739">
        <f t="shared" ref="M9:M48" si="0">H9-L9</f>
        <v>0</v>
      </c>
    </row>
    <row r="10" spans="1:13">
      <c r="B10" s="741">
        <v>1</v>
      </c>
      <c r="C10" s="1849">
        <f>VLOOKUP(B10,[65]New!$O$1:$AJ$37,14,0)</f>
        <v>0.6493370452326066</v>
      </c>
      <c r="D10" s="1152">
        <f>VLOOKUP(B10,[65]New!$A$1:$AJ$37,29,0)</f>
        <v>0.8634588388317096</v>
      </c>
      <c r="E10" s="1152">
        <v>0</v>
      </c>
      <c r="F10" s="734"/>
      <c r="G10" s="736">
        <f>IFERROR(H10/E10,0)</f>
        <v>0</v>
      </c>
      <c r="H10" s="775">
        <f>'Lionhead Ext. Pig Cost'!$S$62</f>
        <v>0</v>
      </c>
      <c r="I10" s="755"/>
      <c r="J10" s="734"/>
      <c r="K10" s="736">
        <v>0</v>
      </c>
      <c r="L10" s="751">
        <v>0</v>
      </c>
      <c r="M10" s="739">
        <f t="shared" si="0"/>
        <v>0</v>
      </c>
    </row>
    <row r="11" spans="1:13">
      <c r="B11" s="741">
        <v>2</v>
      </c>
      <c r="C11" s="1849">
        <f>VLOOKUP(B11,[65]New!$O$1:$AJ$37,14,0)</f>
        <v>0.6493370452326066</v>
      </c>
      <c r="D11" s="1152">
        <f>VLOOKUP(B11,[65]New!$A$1:$AJ$37,29,0)</f>
        <v>1.467880026013906</v>
      </c>
      <c r="E11" s="1152">
        <v>0</v>
      </c>
      <c r="F11" s="734">
        <v>0</v>
      </c>
      <c r="G11" s="736">
        <f t="shared" ref="G11:G12" si="1">IFERROR(H11/E11,0)</f>
        <v>0</v>
      </c>
      <c r="H11" s="775">
        <f>'Lionhead Ext. Pig Cost'!$T$62</f>
        <v>0</v>
      </c>
      <c r="I11" s="755"/>
      <c r="J11" s="734">
        <v>0</v>
      </c>
      <c r="K11" s="736">
        <v>0</v>
      </c>
      <c r="L11" s="751">
        <v>0</v>
      </c>
      <c r="M11" s="739">
        <f t="shared" si="0"/>
        <v>0</v>
      </c>
    </row>
    <row r="12" spans="1:13">
      <c r="A12" s="31" t="s">
        <v>384</v>
      </c>
      <c r="B12" s="741">
        <v>3</v>
      </c>
      <c r="C12" s="1849">
        <f>VLOOKUP(B12,[65]New!$O$1:$AJ$37,14,0)</f>
        <v>0.64933704523260649</v>
      </c>
      <c r="D12" s="1152">
        <f>VLOOKUP(B12,[65]New!$A$1:$AJ$37,29,0)</f>
        <v>2.3486080416222497</v>
      </c>
      <c r="E12" s="1152">
        <v>0</v>
      </c>
      <c r="F12" s="734"/>
      <c r="G12" s="736">
        <f t="shared" si="1"/>
        <v>0</v>
      </c>
      <c r="H12" s="775">
        <f>'Lionhead Ext. Pig Cost'!$U$62</f>
        <v>0</v>
      </c>
      <c r="I12" s="755"/>
      <c r="J12" s="734"/>
      <c r="K12" s="736">
        <v>0</v>
      </c>
      <c r="L12" s="751">
        <v>0</v>
      </c>
      <c r="M12" s="739">
        <f t="shared" si="0"/>
        <v>0</v>
      </c>
    </row>
    <row r="13" spans="1:13">
      <c r="A13" s="31"/>
      <c r="B13" s="757">
        <v>4</v>
      </c>
      <c r="C13" s="1849">
        <f>VLOOKUP(B13,[65]New!$O$1:$AJ$37,14,0)</f>
        <v>0.64933704523260649</v>
      </c>
      <c r="D13" s="1152">
        <f>VLOOKUP(B13,[65]New!$A$1:$AJ$37,29,0)</f>
        <v>3.5229120624333747</v>
      </c>
      <c r="E13" s="1152">
        <v>0</v>
      </c>
      <c r="F13" s="759"/>
      <c r="G13" s="736">
        <f>IFERROR(H13/E13,0)</f>
        <v>0</v>
      </c>
      <c r="H13" s="775">
        <f>'Lionhead Ext. Pig Cost'!$V$62</f>
        <v>0</v>
      </c>
      <c r="I13" s="758"/>
      <c r="J13" s="759"/>
      <c r="K13" s="760">
        <v>0</v>
      </c>
      <c r="L13" s="751">
        <v>0</v>
      </c>
      <c r="M13" s="739">
        <f t="shared" si="0"/>
        <v>0</v>
      </c>
    </row>
    <row r="14" spans="1:13">
      <c r="A14" s="31"/>
      <c r="B14" s="741">
        <v>5</v>
      </c>
      <c r="C14" s="1849">
        <f>VLOOKUP(B14,[65]New!$O$1:$AJ$37,14,0)</f>
        <v>5.7849599623960684</v>
      </c>
      <c r="D14" s="1315">
        <f>VLOOKUP(B14,[65]New!$A$1:$AJ$37,29,0)</f>
        <v>3.991622374053287</v>
      </c>
      <c r="E14" s="1315">
        <f>+'Lionheads Ext. Batch Mvnt'!B8</f>
        <v>104</v>
      </c>
      <c r="F14" s="734">
        <f>D14*E14</f>
        <v>415.12872690154182</v>
      </c>
      <c r="G14" s="736">
        <f>IFERROR(H14/F14,0)</f>
        <v>11.535482434265933</v>
      </c>
      <c r="H14" s="775">
        <f>'Lionhead Ext. Pig Cost'!$W$62</f>
        <v>4788.7101371319159</v>
      </c>
      <c r="I14" s="1308">
        <v>180</v>
      </c>
      <c r="J14" s="744">
        <v>805.84093630954374</v>
      </c>
      <c r="K14" s="1305">
        <v>4.1266747887751167</v>
      </c>
      <c r="L14" s="751">
        <v>3325.4434756315286</v>
      </c>
      <c r="M14" s="739">
        <f t="shared" si="0"/>
        <v>1463.2666615003873</v>
      </c>
    </row>
    <row r="15" spans="1:13">
      <c r="A15" s="31"/>
      <c r="B15" s="741">
        <v>6</v>
      </c>
      <c r="C15" s="1849">
        <f>VLOOKUP(B15,[65]New!$O$1:$AJ$37,14,0)</f>
        <v>9.6058903079292737</v>
      </c>
      <c r="D15" s="1155">
        <f>VLOOKUP(B15,[65]New!$A$1:$AJ$37,29,0)</f>
        <v>6.6280643124711984</v>
      </c>
      <c r="E15" s="1155">
        <f>+'Lionheads Ext. Batch Mvnt'!B9</f>
        <v>93</v>
      </c>
      <c r="F15" s="734">
        <f t="shared" ref="F15:F31" si="2">D15*E15</f>
        <v>616.40998105982146</v>
      </c>
      <c r="G15" s="736">
        <f t="shared" ref="G15:G26" si="3">IFERROR(H15/F15,0)</f>
        <v>10.384516750318996</v>
      </c>
      <c r="H15" s="775">
        <f>'Lionhead Ext. Pig Cost'!$X$62</f>
        <v>6401.1197733795307</v>
      </c>
      <c r="I15" s="775">
        <v>120</v>
      </c>
      <c r="J15" s="734">
        <v>892.06260027681992</v>
      </c>
      <c r="K15" s="792">
        <v>3.2230994018732733</v>
      </c>
      <c r="L15" s="751">
        <v>2875.2064333857352</v>
      </c>
      <c r="M15" s="739">
        <f t="shared" si="0"/>
        <v>3525.9133399937955</v>
      </c>
    </row>
    <row r="16" spans="1:13">
      <c r="A16" s="31" t="s">
        <v>389</v>
      </c>
      <c r="B16" s="741">
        <v>7</v>
      </c>
      <c r="C16" s="1849">
        <f>VLOOKUP(B16,[65]New!$O$1:$AJ$37,14,0)</f>
        <v>13.426820653462482</v>
      </c>
      <c r="D16" s="1155">
        <f>VLOOKUP(B16,[65]New!$A$1:$AJ$37,29,0)</f>
        <v>9.2645062508891112</v>
      </c>
      <c r="E16" s="1155">
        <f>+'Lionheads Ext. Batch Mvnt'!B10</f>
        <v>137</v>
      </c>
      <c r="F16" s="734">
        <f t="shared" si="2"/>
        <v>1269.2373563718081</v>
      </c>
      <c r="G16" s="736">
        <f t="shared" si="3"/>
        <v>8.178688324625579</v>
      </c>
      <c r="H16" s="775">
        <f>'Lionhead Ext. Pig Cost'!$Y$62</f>
        <v>10380.696747736743</v>
      </c>
      <c r="I16" s="775">
        <v>130</v>
      </c>
      <c r="J16" s="734">
        <v>1350.8060688206617</v>
      </c>
      <c r="K16" s="736">
        <v>3.6694901569847107</v>
      </c>
      <c r="L16" s="751">
        <v>4956.7695735326297</v>
      </c>
      <c r="M16" s="739">
        <f t="shared" si="0"/>
        <v>5423.9271742041137</v>
      </c>
    </row>
    <row r="17" spans="1:23">
      <c r="A17" s="31"/>
      <c r="B17" s="741">
        <v>8</v>
      </c>
      <c r="C17" s="1849">
        <f>VLOOKUP(B17,[65]New!$O$1:$AJ$37,14,0)</f>
        <v>17.247750998995688</v>
      </c>
      <c r="D17" s="1155">
        <f>VLOOKUP(B17,[65]New!$A$1:$AJ$37,29,0)</f>
        <v>11.900948189307025</v>
      </c>
      <c r="E17" s="1155">
        <f>+'Lionheads Ext. Batch Mvnt'!B11</f>
        <v>140</v>
      </c>
      <c r="F17" s="734">
        <f t="shared" si="2"/>
        <v>1666.1327465029835</v>
      </c>
      <c r="G17" s="736">
        <f t="shared" si="3"/>
        <v>5.5230264716744069</v>
      </c>
      <c r="H17" s="775">
        <f>'Lionhead Ext. Pig Cost'!$Z$62</f>
        <v>9202.0952642595621</v>
      </c>
      <c r="I17" s="775">
        <v>180</v>
      </c>
      <c r="J17" s="734">
        <v>2402.5998286266026</v>
      </c>
      <c r="K17" s="736">
        <v>3.3541641689854824</v>
      </c>
      <c r="L17" s="751">
        <v>8058.7142575900107</v>
      </c>
      <c r="M17" s="739">
        <f t="shared" si="0"/>
        <v>1143.3810066695514</v>
      </c>
    </row>
    <row r="18" spans="1:23">
      <c r="A18" s="31"/>
      <c r="B18" s="757">
        <v>9</v>
      </c>
      <c r="C18" s="1849">
        <f>VLOOKUP(B18,[65]New!$O$1:$AJ$37,14,0)</f>
        <v>19.818844315616165</v>
      </c>
      <c r="D18" s="1155">
        <f>VLOOKUP(B18,[65]New!$A$1:$AJ$37,29,0)</f>
        <v>13.675002577775151</v>
      </c>
      <c r="E18" s="1155">
        <f>+'Lionheads Ext. Batch Mvnt'!B12</f>
        <v>105</v>
      </c>
      <c r="F18" s="759">
        <f t="shared" si="2"/>
        <v>1435.8752706663909</v>
      </c>
      <c r="G18" s="736">
        <f t="shared" si="3"/>
        <v>6.8555367189237577</v>
      </c>
      <c r="H18" s="775">
        <f>'Lionhead Ext. Pig Cost'!$AA$62</f>
        <v>9843.6956418480313</v>
      </c>
      <c r="I18" s="776">
        <v>180</v>
      </c>
      <c r="J18" s="759">
        <v>2760.7513558752885</v>
      </c>
      <c r="K18" s="736">
        <v>2.2518928239953273</v>
      </c>
      <c r="L18" s="751">
        <v>6216.9161671309321</v>
      </c>
      <c r="M18" s="739">
        <f t="shared" si="0"/>
        <v>3626.7794747170992</v>
      </c>
    </row>
    <row r="19" spans="1:23">
      <c r="A19" s="31"/>
      <c r="B19" s="741">
        <v>10</v>
      </c>
      <c r="C19" s="1849">
        <f>VLOOKUP(B19,[65]New!$O$1:$AJ$37,14,0)</f>
        <v>22.389937632236641</v>
      </c>
      <c r="D19" s="1154">
        <f>VLOOKUP(B19,[65]New!$A$1:$AJ$37,29,0)</f>
        <v>15.449056966243282</v>
      </c>
      <c r="E19" s="1315">
        <f>+'Lionheads Ext. Batch Mvnt'!B13</f>
        <v>212</v>
      </c>
      <c r="F19" s="734">
        <f t="shared" si="2"/>
        <v>3275.2000768435755</v>
      </c>
      <c r="G19" s="736">
        <f t="shared" si="3"/>
        <v>5.5702725891676907</v>
      </c>
      <c r="H19" s="775">
        <f>'Lionhead Ext. Pig Cost'!$AB$62</f>
        <v>18243.757212081684</v>
      </c>
      <c r="I19" s="775">
        <v>81</v>
      </c>
      <c r="J19" s="734">
        <v>1403.5062974057887</v>
      </c>
      <c r="K19" s="736">
        <v>3.4994601600135566</v>
      </c>
      <c r="L19" s="751">
        <v>4911.5143720996957</v>
      </c>
      <c r="M19" s="739">
        <f t="shared" si="0"/>
        <v>13332.242839981987</v>
      </c>
      <c r="W19" s="755"/>
    </row>
    <row r="20" spans="1:23">
      <c r="A20" s="31"/>
      <c r="B20" s="741">
        <v>11</v>
      </c>
      <c r="C20" s="1849">
        <f>VLOOKUP(B20,[65]New!$O$1:$AJ$37,14,0)</f>
        <v>28.067768706440191</v>
      </c>
      <c r="D20" s="1156">
        <f>VLOOKUP(B20,[65]New!$A$1:$AJ$37,29,0)</f>
        <v>19.366760407443731</v>
      </c>
      <c r="E20" s="1156">
        <f>+'Lionheads Ext. Batch Mvnt'!B14</f>
        <v>216</v>
      </c>
      <c r="F20" s="734">
        <f t="shared" si="2"/>
        <v>4183.2202480078458</v>
      </c>
      <c r="G20" s="736">
        <f>IFERROR(H20/F20,0)</f>
        <v>5.7394527053217033</v>
      </c>
      <c r="H20" s="775">
        <f>'Lionhead Ext. Pig Cost'!$AC$62</f>
        <v>24009.394769385159</v>
      </c>
      <c r="I20" s="775">
        <v>130</v>
      </c>
      <c r="J20" s="734">
        <v>2823.7594949282984</v>
      </c>
      <c r="K20" s="736">
        <v>2.9403921163949196</v>
      </c>
      <c r="L20" s="751">
        <v>8302.9601574824683</v>
      </c>
      <c r="M20" s="739">
        <f t="shared" si="0"/>
        <v>15706.43461190269</v>
      </c>
      <c r="W20" s="755"/>
    </row>
    <row r="21" spans="1:23">
      <c r="A21" s="31"/>
      <c r="B21" s="741">
        <v>12</v>
      </c>
      <c r="C21" s="1849">
        <f>VLOOKUP(B21,[65]New!$O$1:$AJ$37,14,0)</f>
        <v>33.424213116066184</v>
      </c>
      <c r="D21" s="1156">
        <f>VLOOKUP(B21,[65]New!$A$1:$AJ$37,29,0)</f>
        <v>23.062707050085663</v>
      </c>
      <c r="E21" s="1156">
        <f>+'Lionheads Ext. Batch Mvnt'!B15</f>
        <v>199</v>
      </c>
      <c r="F21" s="734">
        <f t="shared" si="2"/>
        <v>4589.478702967047</v>
      </c>
      <c r="G21" s="736">
        <f t="shared" si="3"/>
        <v>6.386408782044489</v>
      </c>
      <c r="H21" s="775">
        <f>'Lionhead Ext. Pig Cost'!$AD$62</f>
        <v>29310.287093634899</v>
      </c>
      <c r="I21" s="755">
        <v>120</v>
      </c>
      <c r="J21" s="734">
        <v>3103.9799028219459</v>
      </c>
      <c r="K21" s="736">
        <v>2.5906759824254042</v>
      </c>
      <c r="L21" s="751">
        <v>8041.4061841719549</v>
      </c>
      <c r="M21" s="739">
        <f t="shared" si="0"/>
        <v>21268.880909462943</v>
      </c>
      <c r="W21" s="755"/>
    </row>
    <row r="22" spans="1:23">
      <c r="A22" s="31"/>
      <c r="B22" s="741">
        <v>13</v>
      </c>
      <c r="C22" s="1849">
        <f>VLOOKUP(B22,[65]New!$O$1:$AJ$37,14,0)</f>
        <v>38.78065752569217</v>
      </c>
      <c r="D22" s="1156">
        <f>VLOOKUP(B22,[65]New!$A$1:$AJ$37,29,0)</f>
        <v>26.758653692727595</v>
      </c>
      <c r="E22" s="1156">
        <f>+'Lionheads Ext. Batch Mvnt'!B16</f>
        <v>210</v>
      </c>
      <c r="F22" s="734">
        <f t="shared" si="2"/>
        <v>5619.3172754727948</v>
      </c>
      <c r="G22" s="736">
        <f t="shared" si="3"/>
        <v>6.0469747568815873</v>
      </c>
      <c r="H22" s="775">
        <f>'Lionhead Ext. Pig Cost'!$AE$62</f>
        <v>33979.869715692606</v>
      </c>
      <c r="I22" s="755">
        <v>138</v>
      </c>
      <c r="J22" s="734">
        <v>4141.6244664896667</v>
      </c>
      <c r="K22" s="736">
        <v>2.1197645332510979</v>
      </c>
      <c r="L22" s="751">
        <v>8779.2686541097955</v>
      </c>
      <c r="M22" s="739">
        <f t="shared" si="0"/>
        <v>25200.601061582813</v>
      </c>
      <c r="W22" s="755"/>
    </row>
    <row r="23" spans="1:23">
      <c r="A23" s="31"/>
      <c r="B23" s="741">
        <v>14</v>
      </c>
      <c r="C23" s="1849">
        <f>VLOOKUP(B23,[65]New!$O$1:$AJ$37,14,0)</f>
        <v>45.476213037724655</v>
      </c>
      <c r="D23" s="1156">
        <f>VLOOKUP(B23,[65]New!$A$1:$AJ$37,29,0)</f>
        <v>32.742873387161751</v>
      </c>
      <c r="E23" s="1156">
        <f>+'Lionheads Ext. Batch Mvnt'!B17</f>
        <v>190</v>
      </c>
      <c r="F23" s="734">
        <f t="shared" si="2"/>
        <v>6221.145943560733</v>
      </c>
      <c r="G23" s="736">
        <f t="shared" si="3"/>
        <v>5.5245171840462355</v>
      </c>
      <c r="H23" s="775">
        <f>'Lionhead Ext. Pig Cost'!$AF$62</f>
        <v>34368.827669660801</v>
      </c>
      <c r="I23" s="755">
        <v>117</v>
      </c>
      <c r="J23" s="734">
        <v>4296.6504415692916</v>
      </c>
      <c r="K23" s="736">
        <v>2.4215205741133219</v>
      </c>
      <c r="L23" s="751">
        <v>10404.427444033128</v>
      </c>
      <c r="M23" s="739">
        <f t="shared" si="0"/>
        <v>23964.400225627673</v>
      </c>
      <c r="W23" s="755"/>
    </row>
    <row r="24" spans="1:23">
      <c r="A24" s="31" t="s">
        <v>397</v>
      </c>
      <c r="B24" s="741">
        <v>15</v>
      </c>
      <c r="C24" s="1849">
        <f>VLOOKUP(B24,[65]New!$O$1:$AJ$37,14,0)</f>
        <v>52.17176854975714</v>
      </c>
      <c r="D24" s="1156">
        <f>VLOOKUP(B24,[65]New!$A$1:$AJ$37,29,0)</f>
        <v>37.563673355825138</v>
      </c>
      <c r="E24" s="1156">
        <f>+'Lionheads Ext. Batch Mvnt'!B18</f>
        <v>182</v>
      </c>
      <c r="F24" s="734">
        <f t="shared" si="2"/>
        <v>6836.5885507601752</v>
      </c>
      <c r="G24" s="736">
        <f t="shared" si="3"/>
        <v>5.6170692037505381</v>
      </c>
      <c r="H24" s="775">
        <f>'Lionhead Ext. Pig Cost'!$AG$62</f>
        <v>38401.591007188501</v>
      </c>
      <c r="I24" s="755">
        <v>124</v>
      </c>
      <c r="J24" s="734">
        <v>5224.1677361095781</v>
      </c>
      <c r="K24" s="736">
        <v>2.3754136763103859</v>
      </c>
      <c r="L24" s="751">
        <v>12409.55948769416</v>
      </c>
      <c r="M24" s="739">
        <f t="shared" si="0"/>
        <v>25992.03151949434</v>
      </c>
      <c r="W24" s="755"/>
    </row>
    <row r="25" spans="1:23">
      <c r="A25" s="31"/>
      <c r="B25" s="741">
        <v>16</v>
      </c>
      <c r="C25" s="1849">
        <f>VLOOKUP(B25,[65]New!$O$1:$AJ$37,14,0)</f>
        <v>61.777658857686419</v>
      </c>
      <c r="D25" s="1156">
        <f>VLOOKUP(B25,[65]New!$A$1:$AJ$37,29,0)</f>
        <v>45.715467554687947</v>
      </c>
      <c r="E25" s="1156">
        <f>+'Lionheads Ext. Batch Mvnt'!B19</f>
        <v>182</v>
      </c>
      <c r="F25" s="734">
        <f t="shared" si="2"/>
        <v>8320.2150949532061</v>
      </c>
      <c r="G25" s="736">
        <f t="shared" si="3"/>
        <v>6.0047653647000105</v>
      </c>
      <c r="H25" s="775">
        <f>'Lionhead Ext. Pig Cost'!$AH$62</f>
        <v>49960.939429029218</v>
      </c>
      <c r="I25" s="755">
        <v>124</v>
      </c>
      <c r="J25" s="734">
        <v>6357.8784848348569</v>
      </c>
      <c r="K25" s="736">
        <v>2.0483387543346794</v>
      </c>
      <c r="L25" s="751">
        <v>13023.088895837889</v>
      </c>
      <c r="M25" s="739">
        <f t="shared" si="0"/>
        <v>36937.850533191333</v>
      </c>
      <c r="W25" s="755"/>
    </row>
    <row r="26" spans="1:23">
      <c r="A26" s="31"/>
      <c r="B26" s="741">
        <v>17</v>
      </c>
      <c r="C26" s="1849">
        <f>VLOOKUP(B26,[65]New!$O$1:$AJ$37,14,0)</f>
        <v>71.38354916561569</v>
      </c>
      <c r="D26" s="1156">
        <f>VLOOKUP(B26,[65]New!$A$1:$AJ$37,29,0)</f>
        <v>52.823826382555609</v>
      </c>
      <c r="E26" s="1156">
        <f>+'Lionheads Ext. Batch Mvnt'!B20</f>
        <v>177</v>
      </c>
      <c r="F26" s="734">
        <f t="shared" si="2"/>
        <v>9349.8172697123427</v>
      </c>
      <c r="G26" s="736">
        <f t="shared" si="3"/>
        <v>5.067815488795663</v>
      </c>
      <c r="H26" s="775">
        <f>'Lionhead Ext. Pig Cost'!$AI$62</f>
        <v>47383.148776857386</v>
      </c>
      <c r="I26" s="755">
        <v>158</v>
      </c>
      <c r="J26" s="734">
        <v>9360.829090095147</v>
      </c>
      <c r="K26" s="736">
        <v>1.7318977514883063</v>
      </c>
      <c r="L26" s="751">
        <v>16211.998853202113</v>
      </c>
      <c r="M26" s="739">
        <f t="shared" si="0"/>
        <v>31171.149923655274</v>
      </c>
      <c r="W26" s="755"/>
    </row>
    <row r="27" spans="1:23" s="1843" customFormat="1">
      <c r="A27" s="1840"/>
      <c r="B27" s="1841">
        <v>18</v>
      </c>
      <c r="C27" s="1849">
        <f>VLOOKUP(B27,[65]New!$O$1:$AJ$37,14,0)</f>
        <v>78.858138434767469</v>
      </c>
      <c r="D27" s="1156">
        <f>VLOOKUP(B27,[65]New!$A$1:$AJ$37,29,0)</f>
        <v>59.932185210423278</v>
      </c>
      <c r="E27" s="1834">
        <f>+'Lionheads Ext. Batch Mvnt'!B21</f>
        <v>236</v>
      </c>
      <c r="F27" s="1842">
        <f t="shared" si="2"/>
        <v>14143.995709659894</v>
      </c>
      <c r="G27" s="1847">
        <f>'[66]Selling Price Working'!$K$12</f>
        <v>2.5123857801763405</v>
      </c>
      <c r="H27" s="788">
        <f>G27*F27</f>
        <v>35535.173695824684</v>
      </c>
      <c r="I27" s="788">
        <v>155</v>
      </c>
      <c r="J27" s="1842">
        <v>10418.835551738046</v>
      </c>
      <c r="K27" s="1844">
        <v>2.4741193587325601</v>
      </c>
      <c r="L27" s="775">
        <v>25777.442734006134</v>
      </c>
      <c r="M27" s="1843">
        <f t="shared" si="0"/>
        <v>9757.73096181855</v>
      </c>
      <c r="W27" s="788"/>
    </row>
    <row r="28" spans="1:23">
      <c r="A28" s="31"/>
      <c r="B28" s="741">
        <v>19</v>
      </c>
      <c r="C28" s="1849">
        <f>VLOOKUP(B28,[65]New!$O$1:$AJ$37,14,0)</f>
        <v>89.254339224888966</v>
      </c>
      <c r="D28" s="1156">
        <f>VLOOKUP(B28,[65]New!$A$1:$AJ$37,29,0)</f>
        <v>67.83329781091561</v>
      </c>
      <c r="E28" s="1156">
        <f>+'Lionheads Ext. Batch Mvnt'!B22</f>
        <v>262</v>
      </c>
      <c r="F28" s="734">
        <f t="shared" si="2"/>
        <v>17772.32402645989</v>
      </c>
      <c r="G28" s="1827">
        <f t="shared" ref="G28:G40" si="4">G27</f>
        <v>2.5123857801763405</v>
      </c>
      <c r="H28" s="755">
        <f t="shared" ref="H28:H40" si="5">G28*F28</f>
        <v>44650.934164764149</v>
      </c>
      <c r="I28" s="755">
        <v>109</v>
      </c>
      <c r="J28" s="734">
        <v>8292.7161742133503</v>
      </c>
      <c r="K28" s="1827">
        <v>2.4741193587325601</v>
      </c>
      <c r="L28" s="775">
        <v>20517.169623095862</v>
      </c>
      <c r="M28" s="739">
        <f t="shared" si="0"/>
        <v>24133.764541668286</v>
      </c>
      <c r="W28" s="755"/>
    </row>
    <row r="29" spans="1:23">
      <c r="A29" s="31"/>
      <c r="B29" s="741">
        <v>20</v>
      </c>
      <c r="C29" s="1849">
        <f>VLOOKUP(B29,[65]New!$O$1:$AJ$37,14,0)</f>
        <v>99.650540015010421</v>
      </c>
      <c r="D29" s="1156">
        <f>VLOOKUP(B29,[65]New!$A$1:$AJ$37,29,0)</f>
        <v>75.734410411407922</v>
      </c>
      <c r="E29" s="1156">
        <f>+'Lionheads Ext. Batch Mvnt'!B23</f>
        <v>220</v>
      </c>
      <c r="F29" s="734">
        <f t="shared" si="2"/>
        <v>16661.570290509742</v>
      </c>
      <c r="G29" s="1827">
        <f t="shared" si="4"/>
        <v>2.5123857801763405</v>
      </c>
      <c r="H29" s="755">
        <f t="shared" si="5"/>
        <v>41860.292273285253</v>
      </c>
      <c r="I29" s="755">
        <v>118</v>
      </c>
      <c r="J29" s="734">
        <v>10023.113038548065</v>
      </c>
      <c r="K29" s="1827">
        <v>2.4741193587325601</v>
      </c>
      <c r="L29" s="775">
        <v>24798.378003436501</v>
      </c>
      <c r="M29" s="739">
        <f t="shared" si="0"/>
        <v>17061.914269848752</v>
      </c>
      <c r="W29" s="755"/>
    </row>
    <row r="30" spans="1:23">
      <c r="A30" s="31"/>
      <c r="B30" s="764">
        <v>21</v>
      </c>
      <c r="C30" s="1849">
        <f>VLOOKUP(B30,[65]New!$O$1:$AJ$37,14,0)</f>
        <v>110.0467408051319</v>
      </c>
      <c r="D30" s="1156">
        <f>VLOOKUP(B30,[65]New!$A$1:$AJ$37,29,0)</f>
        <v>83.635523011900247</v>
      </c>
      <c r="E30" s="1156">
        <f>+'Lionheads Ext. Batch Mvnt'!B24</f>
        <v>214</v>
      </c>
      <c r="F30" s="734">
        <f t="shared" si="2"/>
        <v>17898.001924546654</v>
      </c>
      <c r="G30" s="1827">
        <f t="shared" si="4"/>
        <v>2.5123857801763405</v>
      </c>
      <c r="H30" s="755">
        <f t="shared" si="5"/>
        <v>44966.68552879979</v>
      </c>
      <c r="I30" s="755">
        <v>171</v>
      </c>
      <c r="J30" s="734">
        <v>16040.365486527589</v>
      </c>
      <c r="K30" s="1827">
        <v>2.4741193587325601</v>
      </c>
      <c r="L30" s="775">
        <v>39685.778771363526</v>
      </c>
      <c r="M30" s="739">
        <f t="shared" ref="M30:M35" si="6">H30-L30</f>
        <v>5280.9067574362634</v>
      </c>
      <c r="W30" s="755"/>
    </row>
    <row r="31" spans="1:23">
      <c r="A31" s="31"/>
      <c r="B31" s="764">
        <v>22</v>
      </c>
      <c r="C31" s="1849">
        <f>VLOOKUP(B31,[65]New!$O$1:$AJ$37,14,0)</f>
        <v>116.92045395387581</v>
      </c>
      <c r="D31" s="1156">
        <f>VLOOKUP(B31,[65]New!$A$1:$AJ$37,29,0)</f>
        <v>88.859545004945616</v>
      </c>
      <c r="E31" s="1156">
        <f>+'Lionheads Ext. Batch Mvnt'!B25</f>
        <v>191</v>
      </c>
      <c r="F31" s="734">
        <f t="shared" si="2"/>
        <v>16972.173095944614</v>
      </c>
      <c r="G31" s="1827">
        <f t="shared" si="4"/>
        <v>2.5123857801763405</v>
      </c>
      <c r="H31" s="755">
        <f>G31*F31</f>
        <v>42640.646344942703</v>
      </c>
      <c r="I31" s="755">
        <v>81</v>
      </c>
      <c r="J31" s="734">
        <v>8072.6565557729937</v>
      </c>
      <c r="K31" s="1827">
        <v>2.4741193587325601</v>
      </c>
      <c r="L31" s="775">
        <v>19972.715861037275</v>
      </c>
      <c r="M31" s="739">
        <f t="shared" si="6"/>
        <v>22667.930483905428</v>
      </c>
      <c r="W31" s="755"/>
    </row>
    <row r="32" spans="1:23">
      <c r="A32" s="31"/>
      <c r="B32" s="764">
        <v>23</v>
      </c>
      <c r="C32" s="1849">
        <f>VLOOKUP(B32,[65]New!$O$1:$AJ$37,14,0)</f>
        <v>122.56390563604737</v>
      </c>
      <c r="D32" s="1156">
        <f>VLOOKUP(B32,[65]New!$A$1:$AJ$37,29,0)</f>
        <v>93.148568283396003</v>
      </c>
      <c r="E32" s="1156">
        <f>+'Lionheads Ext. Batch Mvnt'!B26</f>
        <v>0</v>
      </c>
      <c r="F32" s="734">
        <f t="shared" ref="F32:F40" si="7">D32*E32</f>
        <v>0</v>
      </c>
      <c r="G32" s="1827">
        <f t="shared" si="4"/>
        <v>2.5123857801763405</v>
      </c>
      <c r="H32" s="755">
        <f>G32*F32</f>
        <v>0</v>
      </c>
      <c r="I32" s="752">
        <v>0</v>
      </c>
      <c r="J32" s="734">
        <v>0</v>
      </c>
      <c r="K32" s="1827">
        <v>2.4741193587325601</v>
      </c>
      <c r="L32" s="775">
        <v>0</v>
      </c>
      <c r="M32" s="739">
        <f t="shared" si="6"/>
        <v>0</v>
      </c>
    </row>
    <row r="33" spans="1:17">
      <c r="A33" s="31"/>
      <c r="B33" s="764">
        <f>+B32+1</f>
        <v>24</v>
      </c>
      <c r="C33" s="1849">
        <f>VLOOKUP(B33,[65]New!$O$1:$AJ$37,14,0)</f>
        <v>128.8224880515051</v>
      </c>
      <c r="D33" s="1156">
        <f>VLOOKUP(B33,[65]New!$A$1:$AJ$37,29,0)</f>
        <v>97.905090919143873</v>
      </c>
      <c r="E33" s="1156">
        <f>+'Lionheads Ext. Batch Mvnt'!B27</f>
        <v>0</v>
      </c>
      <c r="F33" s="734">
        <f t="shared" si="7"/>
        <v>0</v>
      </c>
      <c r="G33" s="1827">
        <f t="shared" si="4"/>
        <v>2.5123857801763405</v>
      </c>
      <c r="H33" s="755">
        <f t="shared" si="5"/>
        <v>0</v>
      </c>
      <c r="I33" s="765">
        <v>1</v>
      </c>
      <c r="J33" s="734">
        <v>109.80766262499138</v>
      </c>
      <c r="K33" s="1827">
        <v>2.4741193587325601</v>
      </c>
      <c r="L33" s="775">
        <v>271.67726383766495</v>
      </c>
      <c r="M33" s="739">
        <f t="shared" si="6"/>
        <v>-271.67726383766495</v>
      </c>
    </row>
    <row r="34" spans="1:17">
      <c r="A34" s="31"/>
      <c r="B34" s="764">
        <f>+B33+1</f>
        <v>25</v>
      </c>
      <c r="C34" s="1849">
        <f>VLOOKUP(B34,[65]New!$O$1:$AJ$37,14,0)</f>
        <v>135.08107046696284</v>
      </c>
      <c r="D34" s="1156">
        <f>VLOOKUP(B34,[65]New!$A$1:$AJ$37,29,0)</f>
        <v>102.66161355489176</v>
      </c>
      <c r="E34" s="1156">
        <v>0</v>
      </c>
      <c r="F34" s="734">
        <f t="shared" si="7"/>
        <v>0</v>
      </c>
      <c r="G34" s="1827">
        <f t="shared" si="4"/>
        <v>2.5123857801763405</v>
      </c>
      <c r="H34" s="755">
        <f t="shared" si="5"/>
        <v>0</v>
      </c>
      <c r="I34" s="765">
        <v>0</v>
      </c>
      <c r="J34" s="734">
        <v>0</v>
      </c>
      <c r="K34" s="1827">
        <v>2.4741193587325601</v>
      </c>
      <c r="L34" s="775">
        <v>0</v>
      </c>
      <c r="M34" s="739">
        <f t="shared" si="6"/>
        <v>0</v>
      </c>
    </row>
    <row r="35" spans="1:17">
      <c r="A35" s="31"/>
      <c r="B35" s="764">
        <v>26</v>
      </c>
      <c r="C35" s="1849">
        <f>VLOOKUP(B35,[65]New!$O$1:$AJ$37,14,0)</f>
        <v>141.33965288242055</v>
      </c>
      <c r="D35" s="1156">
        <f>VLOOKUP(B35,[65]New!$A$1:$AJ$37,29,0)</f>
        <v>107.41813619063963</v>
      </c>
      <c r="E35" s="1156">
        <v>0</v>
      </c>
      <c r="F35" s="734">
        <f t="shared" si="7"/>
        <v>0</v>
      </c>
      <c r="G35" s="1827">
        <f t="shared" si="4"/>
        <v>2.5123857801763405</v>
      </c>
      <c r="H35" s="755">
        <f t="shared" si="5"/>
        <v>0</v>
      </c>
      <c r="I35" s="765">
        <v>0</v>
      </c>
      <c r="J35" s="734">
        <v>0</v>
      </c>
      <c r="K35" s="1827">
        <v>2.4741193587325601</v>
      </c>
      <c r="L35" s="775">
        <v>0</v>
      </c>
      <c r="M35" s="739">
        <f t="shared" si="6"/>
        <v>0</v>
      </c>
    </row>
    <row r="36" spans="1:17">
      <c r="A36" s="31"/>
      <c r="B36" s="764">
        <v>27</v>
      </c>
      <c r="C36" s="1849">
        <f>VLOOKUP(B36,[65]New!$O$1:$AJ$37,14,0)</f>
        <v>147.59823529787832</v>
      </c>
      <c r="D36" s="1156">
        <f>VLOOKUP(B36,[65]New!$A$1:$AJ$37,29,0)</f>
        <v>112.17465882638751</v>
      </c>
      <c r="E36" s="1156">
        <v>0</v>
      </c>
      <c r="F36" s="734">
        <f t="shared" si="7"/>
        <v>0</v>
      </c>
      <c r="G36" s="1827">
        <f t="shared" si="4"/>
        <v>2.5123857801763405</v>
      </c>
      <c r="H36" s="755">
        <f t="shared" si="5"/>
        <v>0</v>
      </c>
      <c r="I36" s="765">
        <v>0</v>
      </c>
      <c r="J36" s="734">
        <v>0</v>
      </c>
      <c r="K36" s="1827">
        <v>2.4741193587325601</v>
      </c>
      <c r="L36" s="775">
        <v>0</v>
      </c>
    </row>
    <row r="37" spans="1:17">
      <c r="A37" s="31"/>
      <c r="B37" s="720">
        <f>+B36+1</f>
        <v>28</v>
      </c>
      <c r="C37" s="1849">
        <f>VLOOKUP(B37,[65]New!$O$1:$AJ$37,14,0)</f>
        <v>153.85681771333606</v>
      </c>
      <c r="D37" s="1156">
        <f>VLOOKUP(B37,[65]New!$A$1:$AJ$37,29,0)</f>
        <v>116.9311814621354</v>
      </c>
      <c r="E37" s="1156">
        <v>0</v>
      </c>
      <c r="F37" s="734">
        <f t="shared" si="7"/>
        <v>0</v>
      </c>
      <c r="G37" s="1827">
        <f t="shared" si="4"/>
        <v>2.5123857801763405</v>
      </c>
      <c r="H37" s="755">
        <f t="shared" si="5"/>
        <v>0</v>
      </c>
      <c r="I37" s="765">
        <v>0</v>
      </c>
      <c r="J37" s="734">
        <v>0</v>
      </c>
      <c r="K37" s="1827">
        <v>2.4741193587325601</v>
      </c>
      <c r="L37" s="775">
        <v>0</v>
      </c>
    </row>
    <row r="38" spans="1:17">
      <c r="A38" s="31"/>
      <c r="B38" s="720">
        <f>+B37+1</f>
        <v>29</v>
      </c>
      <c r="C38" s="1849">
        <f>VLOOKUP(B38,[65]New!$O$1:$AJ$37,14,0)</f>
        <v>160.11540012879379</v>
      </c>
      <c r="D38" s="1156">
        <f>VLOOKUP(B38,[65]New!$A$1:$AJ$37,29,0)</f>
        <v>121.68770409788328</v>
      </c>
      <c r="E38" s="1156">
        <v>0</v>
      </c>
      <c r="F38" s="734">
        <f t="shared" si="7"/>
        <v>0</v>
      </c>
      <c r="G38" s="1827">
        <f t="shared" si="4"/>
        <v>2.5123857801763405</v>
      </c>
      <c r="H38" s="755">
        <f t="shared" si="5"/>
        <v>0</v>
      </c>
      <c r="I38" s="765">
        <v>0</v>
      </c>
      <c r="J38" s="734">
        <v>0</v>
      </c>
      <c r="K38" s="1827">
        <v>2.4741193587325601</v>
      </c>
      <c r="L38" s="775">
        <v>0</v>
      </c>
    </row>
    <row r="39" spans="1:17">
      <c r="A39" s="31"/>
      <c r="B39" s="720">
        <f>+B38+1</f>
        <v>30</v>
      </c>
      <c r="C39" s="1849">
        <f>VLOOKUP(B39,[65]New!$O$1:$AJ$37,14,0)</f>
        <v>166.37398254425153</v>
      </c>
      <c r="D39" s="1156">
        <f>VLOOKUP(B39,[65]New!$A$1:$AJ$37,29,0)</f>
        <v>126.44422673363117</v>
      </c>
      <c r="E39" s="1156">
        <v>0</v>
      </c>
      <c r="F39" s="734">
        <f t="shared" si="7"/>
        <v>0</v>
      </c>
      <c r="G39" s="1827">
        <f t="shared" si="4"/>
        <v>2.5123857801763405</v>
      </c>
      <c r="H39" s="755">
        <f t="shared" si="5"/>
        <v>0</v>
      </c>
      <c r="I39" s="765">
        <v>0</v>
      </c>
      <c r="J39" s="734">
        <v>0</v>
      </c>
      <c r="K39" s="1827">
        <v>2.4741193587325601</v>
      </c>
      <c r="L39" s="775">
        <v>0</v>
      </c>
    </row>
    <row r="40" spans="1:17">
      <c r="A40" s="31"/>
      <c r="B40" s="720">
        <f>+B39+1</f>
        <v>31</v>
      </c>
      <c r="C40" s="1849">
        <f>VLOOKUP(B40,[65]New!$O$1:$AJ$37,14,0)</f>
        <v>172.63256495970927</v>
      </c>
      <c r="D40" s="1156">
        <f>VLOOKUP(B40,[65]New!$A$1:$AJ$37,29,0)</f>
        <v>131.20074936937905</v>
      </c>
      <c r="E40" s="1156"/>
      <c r="F40" s="734">
        <f t="shared" si="7"/>
        <v>0</v>
      </c>
      <c r="G40" s="1827">
        <f t="shared" si="4"/>
        <v>2.5123857801763405</v>
      </c>
      <c r="H40" s="755">
        <f t="shared" si="5"/>
        <v>0</v>
      </c>
      <c r="I40" s="765"/>
      <c r="J40" s="734">
        <v>0</v>
      </c>
      <c r="K40" s="1827">
        <v>2.4741193587325601</v>
      </c>
      <c r="L40" s="775">
        <v>0</v>
      </c>
    </row>
    <row r="41" spans="1:17">
      <c r="A41" s="31"/>
      <c r="B41" s="764" t="s">
        <v>138</v>
      </c>
      <c r="C41" s="741"/>
      <c r="D41" s="721"/>
      <c r="E41" s="765">
        <v>0</v>
      </c>
      <c r="F41" s="734"/>
      <c r="G41" s="736"/>
      <c r="H41" s="751"/>
      <c r="I41" s="765">
        <v>0</v>
      </c>
      <c r="J41" s="734"/>
      <c r="K41" s="711"/>
      <c r="L41" s="751"/>
    </row>
    <row r="42" spans="1:17" s="31" customFormat="1">
      <c r="B42" s="778"/>
      <c r="C42" s="779"/>
      <c r="D42" s="780"/>
      <c r="E42" s="781">
        <f>SUM(E9:E41)</f>
        <v>3270</v>
      </c>
      <c r="F42" s="781">
        <f>SUM(F9:F41)</f>
        <v>137245.83229090105</v>
      </c>
      <c r="G42" s="781">
        <f>SUM(G9:G36)</f>
        <v>113.55838457628003</v>
      </c>
      <c r="H42" s="782">
        <f>SUM(H9:H41)</f>
        <v>525927.86524550256</v>
      </c>
      <c r="I42" s="781">
        <v>2417</v>
      </c>
      <c r="J42" s="781">
        <v>97881.951173588532</v>
      </c>
      <c r="K42" s="781">
        <v>61.093978476271161</v>
      </c>
      <c r="L42" s="781">
        <v>238540.43621267896</v>
      </c>
      <c r="M42" s="1222">
        <f>SUM(M9:M36)</f>
        <v>287387.42903282359</v>
      </c>
      <c r="N42" s="31">
        <f>+H42-L42</f>
        <v>287387.42903282359</v>
      </c>
      <c r="P42" s="739"/>
      <c r="Q42" s="739"/>
    </row>
    <row r="43" spans="1:17">
      <c r="A43" s="31"/>
      <c r="B43" s="741"/>
      <c r="C43" s="741"/>
      <c r="E43" s="769">
        <v>0</v>
      </c>
      <c r="F43" s="734"/>
      <c r="G43" s="736"/>
      <c r="H43" s="751"/>
      <c r="I43" s="769">
        <v>0</v>
      </c>
      <c r="J43" s="734"/>
      <c r="K43" s="736"/>
      <c r="L43" s="751"/>
      <c r="M43" s="739">
        <f t="shared" si="0"/>
        <v>0</v>
      </c>
    </row>
    <row r="44" spans="1:17">
      <c r="A44" s="31" t="s">
        <v>50</v>
      </c>
      <c r="B44" s="741"/>
      <c r="C44" s="741"/>
      <c r="D44" s="739">
        <v>150</v>
      </c>
      <c r="E44" s="769">
        <v>0</v>
      </c>
      <c r="F44" s="734">
        <f>D44*E44</f>
        <v>0</v>
      </c>
      <c r="G44" s="736">
        <f>'Lionhead Valuation'!G55</f>
        <v>2.0499999999999998</v>
      </c>
      <c r="H44" s="751">
        <f>F44*G44</f>
        <v>0</v>
      </c>
      <c r="I44" s="769">
        <v>0</v>
      </c>
      <c r="J44" s="734">
        <v>0</v>
      </c>
      <c r="K44" s="736">
        <v>1.8088841201716737</v>
      </c>
      <c r="L44" s="751">
        <v>0</v>
      </c>
      <c r="M44" s="739">
        <f>H44-L44</f>
        <v>0</v>
      </c>
    </row>
    <row r="45" spans="1:17">
      <c r="A45" s="31"/>
      <c r="B45" s="741"/>
      <c r="C45" s="741"/>
      <c r="E45" s="769">
        <v>0</v>
      </c>
      <c r="F45" s="734"/>
      <c r="G45" s="736"/>
      <c r="H45" s="751"/>
      <c r="I45" s="769">
        <v>0</v>
      </c>
      <c r="J45" s="734"/>
      <c r="K45" s="736"/>
      <c r="L45" s="751"/>
      <c r="M45" s="739">
        <f t="shared" si="0"/>
        <v>0</v>
      </c>
    </row>
    <row r="46" spans="1:17">
      <c r="A46" s="31" t="s">
        <v>55</v>
      </c>
      <c r="B46" s="741"/>
      <c r="C46" s="741"/>
      <c r="D46" s="739">
        <v>150</v>
      </c>
      <c r="E46" s="769">
        <v>0</v>
      </c>
      <c r="F46" s="734">
        <f>D46*E46</f>
        <v>0</v>
      </c>
      <c r="G46" s="736">
        <f>+G44</f>
        <v>2.0499999999999998</v>
      </c>
      <c r="H46" s="751">
        <f>F46*G46</f>
        <v>0</v>
      </c>
      <c r="I46" s="769">
        <v>0</v>
      </c>
      <c r="J46" s="734">
        <v>0</v>
      </c>
      <c r="K46" s="736">
        <v>1.8088841201716737</v>
      </c>
      <c r="L46" s="751">
        <v>0</v>
      </c>
      <c r="M46" s="739">
        <f t="shared" si="0"/>
        <v>0</v>
      </c>
    </row>
    <row r="47" spans="1:17">
      <c r="A47" s="31"/>
      <c r="B47" s="741"/>
      <c r="C47" s="741"/>
      <c r="E47" s="769">
        <v>0</v>
      </c>
      <c r="F47" s="734"/>
      <c r="G47" s="736"/>
      <c r="H47" s="751"/>
      <c r="I47" s="769">
        <v>0</v>
      </c>
      <c r="J47" s="734"/>
      <c r="K47" s="736"/>
      <c r="L47" s="751"/>
      <c r="M47" s="739">
        <f t="shared" si="0"/>
        <v>0</v>
      </c>
    </row>
    <row r="48" spans="1:17">
      <c r="A48" s="31" t="s">
        <v>79</v>
      </c>
      <c r="B48" s="741"/>
      <c r="C48" s="741"/>
      <c r="D48" s="739">
        <v>150</v>
      </c>
      <c r="E48" s="769">
        <v>0</v>
      </c>
      <c r="F48" s="734">
        <f>D48*E48</f>
        <v>0</v>
      </c>
      <c r="G48" s="736">
        <f>+G46</f>
        <v>2.0499999999999998</v>
      </c>
      <c r="H48" s="751">
        <f>F48*G48</f>
        <v>0</v>
      </c>
      <c r="I48" s="769">
        <v>0</v>
      </c>
      <c r="J48" s="734">
        <v>0</v>
      </c>
      <c r="K48" s="736">
        <v>1.8088841201716737</v>
      </c>
      <c r="L48" s="751">
        <v>0</v>
      </c>
      <c r="M48" s="739">
        <f t="shared" si="0"/>
        <v>0</v>
      </c>
    </row>
    <row r="49" spans="2:14">
      <c r="B49" s="741"/>
      <c r="C49" s="741"/>
      <c r="E49" s="769"/>
      <c r="F49" s="734"/>
      <c r="G49" s="736"/>
      <c r="H49" s="751">
        <v>0</v>
      </c>
      <c r="I49" s="769"/>
      <c r="J49" s="734"/>
      <c r="K49" s="736"/>
      <c r="L49" s="751">
        <v>0</v>
      </c>
    </row>
    <row r="50" spans="2:14" ht="13.9" thickBot="1">
      <c r="B50" s="741"/>
      <c r="C50" s="741" t="s">
        <v>138</v>
      </c>
      <c r="E50" s="783">
        <f>SUM(E42:E49)</f>
        <v>3270</v>
      </c>
      <c r="F50" s="734">
        <f>SUM(F42:F48)</f>
        <v>137245.83229090105</v>
      </c>
      <c r="G50" s="736"/>
      <c r="H50" s="727">
        <f>SUM(H42:H49)</f>
        <v>525927.86524550256</v>
      </c>
      <c r="I50" s="772">
        <f>SUM(I42:I49)</f>
        <v>2417</v>
      </c>
      <c r="J50" s="734">
        <f>SUM(J42:J48)</f>
        <v>97881.951173588532</v>
      </c>
      <c r="K50" s="736"/>
      <c r="L50" s="727">
        <f>SUM(L42:L48)</f>
        <v>238540.43621267896</v>
      </c>
      <c r="M50" s="739">
        <f>SUM(M42:M49)</f>
        <v>287387.42903282359</v>
      </c>
      <c r="N50" s="739" t="s">
        <v>138</v>
      </c>
    </row>
    <row r="51" spans="2:14" ht="13.9" thickTop="1">
      <c r="B51" s="741"/>
      <c r="C51" s="741"/>
      <c r="E51" s="769">
        <f>SUM('Summary Total Pigs'!AF69:AF74)</f>
        <v>3270</v>
      </c>
      <c r="F51" s="734" t="s">
        <v>138</v>
      </c>
      <c r="G51" s="736"/>
      <c r="H51" s="751"/>
      <c r="I51" s="750">
        <f>'[69]Lionhead Ext. Valuation'!$E$42</f>
        <v>2417</v>
      </c>
      <c r="J51" s="734"/>
      <c r="K51" s="736"/>
      <c r="L51" s="750">
        <f>'[69]Lionhead Ext. Valuation'!$H$42</f>
        <v>238540.43621267896</v>
      </c>
      <c r="N51" s="739">
        <f>+H50-L50</f>
        <v>287387.42903282359</v>
      </c>
    </row>
    <row r="52" spans="2:14">
      <c r="E52" s="784">
        <f>+E50-E51</f>
        <v>0</v>
      </c>
      <c r="F52" s="759" t="s">
        <v>138</v>
      </c>
      <c r="G52" s="760"/>
      <c r="H52" s="761">
        <v>0</v>
      </c>
      <c r="I52" s="784">
        <f>+I50-I51</f>
        <v>0</v>
      </c>
      <c r="J52" s="759"/>
      <c r="K52" s="759"/>
      <c r="L52" s="784">
        <f>+L50-L51</f>
        <v>0</v>
      </c>
      <c r="M52" s="739" t="s">
        <v>207</v>
      </c>
    </row>
    <row r="53" spans="2:14">
      <c r="H53" s="739" t="s">
        <v>138</v>
      </c>
      <c r="I53" s="742">
        <v>0</v>
      </c>
    </row>
    <row r="54" spans="2:14">
      <c r="C54" s="740" t="s">
        <v>1717</v>
      </c>
      <c r="D54" s="739" t="s">
        <v>1739</v>
      </c>
      <c r="E54" s="741">
        <f>+E42</f>
        <v>3270</v>
      </c>
      <c r="F54" s="1277">
        <f>+'Summary Total Pigs'!AF69+'Summary Total Pigs'!AF70+'Summary Total Pigs'!AF71</f>
        <v>3270</v>
      </c>
      <c r="G54" s="740">
        <f>+E54-F54</f>
        <v>0</v>
      </c>
      <c r="H54" s="741">
        <f>+H42</f>
        <v>525927.86524550256</v>
      </c>
      <c r="I54" s="742" t="s">
        <v>138</v>
      </c>
    </row>
    <row r="55" spans="2:14">
      <c r="C55" s="740" t="s">
        <v>1737</v>
      </c>
      <c r="D55" s="739" t="s">
        <v>50</v>
      </c>
      <c r="E55" s="741">
        <f>+E44</f>
        <v>0</v>
      </c>
      <c r="F55" s="1277">
        <f>+'Summary Total Pigs'!AF72</f>
        <v>0</v>
      </c>
      <c r="G55" s="740">
        <f>+E55-F55</f>
        <v>0</v>
      </c>
      <c r="H55" s="741">
        <f>+H44</f>
        <v>0</v>
      </c>
    </row>
    <row r="56" spans="2:14">
      <c r="D56" s="739" t="s">
        <v>55</v>
      </c>
      <c r="E56" s="741">
        <f>+E46</f>
        <v>0</v>
      </c>
      <c r="F56" s="1277">
        <f>+'Summary Total Pigs'!AF73</f>
        <v>0</v>
      </c>
      <c r="G56" s="740">
        <f>+E56-F56</f>
        <v>0</v>
      </c>
      <c r="H56" s="741">
        <f>+H46</f>
        <v>0</v>
      </c>
    </row>
    <row r="57" spans="2:14">
      <c r="D57" s="739" t="s">
        <v>79</v>
      </c>
      <c r="E57" s="741">
        <f>+E48</f>
        <v>0</v>
      </c>
      <c r="F57" s="1277">
        <f>+'Summary Total Pigs'!AF74</f>
        <v>0</v>
      </c>
      <c r="G57" s="740">
        <f>+E57-F57</f>
        <v>0</v>
      </c>
      <c r="H57" s="741">
        <f>+H48</f>
        <v>0</v>
      </c>
    </row>
    <row r="58" spans="2:14" s="31" customFormat="1">
      <c r="C58" s="743"/>
      <c r="E58" s="789">
        <f>SUM(E54:E57)</f>
        <v>3270</v>
      </c>
      <c r="F58" s="1238">
        <f>SUM(F54:F57)</f>
        <v>3270</v>
      </c>
      <c r="G58" s="743">
        <f>SUM(G54:G57)</f>
        <v>0</v>
      </c>
      <c r="H58" s="789">
        <f>SUM(H54:H57)</f>
        <v>525927.86524550256</v>
      </c>
      <c r="I58" s="1234"/>
    </row>
    <row r="59" spans="2:14" s="801" customFormat="1">
      <c r="C59" s="802"/>
      <c r="E59" s="800">
        <f>+E50</f>
        <v>3270</v>
      </c>
      <c r="F59" s="1279">
        <f>+'Summary Total Pigs'!AF75</f>
        <v>3270</v>
      </c>
      <c r="G59" s="802"/>
      <c r="H59" s="800">
        <f>+H50</f>
        <v>525927.86524550256</v>
      </c>
      <c r="I59" s="1235"/>
    </row>
    <row r="60" spans="2:14">
      <c r="E60" s="741">
        <f>+E58-E59</f>
        <v>0</v>
      </c>
      <c r="F60" s="741">
        <f>+F58-F59</f>
        <v>0</v>
      </c>
      <c r="G60" s="741">
        <f>+G58-G59</f>
        <v>0</v>
      </c>
      <c r="H60" s="741">
        <f>+H58-H59</f>
        <v>0</v>
      </c>
    </row>
    <row r="63" spans="2:14">
      <c r="F63" s="741"/>
    </row>
  </sheetData>
  <pageMargins left="0.7" right="0.7" top="0.75" bottom="0.75" header="0.3" footer="0.3"/>
  <pageSetup paperSize="9" scale="40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>
    <tabColor theme="3" tint="0.39997558519241921"/>
  </sheetPr>
  <dimension ref="A1:R61"/>
  <sheetViews>
    <sheetView view="pageBreakPreview" topLeftCell="A31" zoomScaleNormal="100" zoomScaleSheetLayoutView="100" workbookViewId="0">
      <selection activeCell="E45" sqref="E45"/>
    </sheetView>
  </sheetViews>
  <sheetFormatPr defaultColWidth="9.140625" defaultRowHeight="13.15"/>
  <cols>
    <col min="1" max="1" width="15.42578125" style="739" bestFit="1" customWidth="1"/>
    <col min="2" max="2" width="9.28515625" style="739" bestFit="1" customWidth="1"/>
    <col min="3" max="3" width="12.28515625" style="740" bestFit="1" customWidth="1"/>
    <col min="4" max="4" width="11.42578125" style="739" bestFit="1" customWidth="1"/>
    <col min="5" max="5" width="10.42578125" style="741" bestFit="1" customWidth="1"/>
    <col min="6" max="6" width="17" style="739" bestFit="1" customWidth="1"/>
    <col min="7" max="7" width="13.42578125" style="739" bestFit="1" customWidth="1"/>
    <col min="8" max="8" width="18.28515625" style="739" customWidth="1"/>
    <col min="9" max="9" width="11.140625" style="742" customWidth="1"/>
    <col min="10" max="10" width="16.42578125" style="739" customWidth="1"/>
    <col min="11" max="11" width="11.85546875" style="739" customWidth="1"/>
    <col min="12" max="12" width="17.42578125" style="739" customWidth="1"/>
    <col min="13" max="13" width="15.5703125" style="739" customWidth="1"/>
    <col min="14" max="14" width="11.28515625" style="739" customWidth="1"/>
    <col min="15" max="15" width="9.85546875" style="739" customWidth="1"/>
    <col min="16" max="17" width="12.85546875" style="739" customWidth="1"/>
    <col min="18" max="21" width="9.140625" style="739" customWidth="1"/>
    <col min="22" max="26" width="9.140625" style="739"/>
    <col min="27" max="27" width="9.28515625" style="739" bestFit="1" customWidth="1"/>
    <col min="28" max="16384" width="9.140625" style="739"/>
  </cols>
  <sheetData>
    <row r="1" spans="1:14">
      <c r="A1" s="31" t="s">
        <v>82</v>
      </c>
    </row>
    <row r="2" spans="1:14">
      <c r="A2" s="31"/>
      <c r="H2" s="675">
        <f>+'Summary Total Pigs'!C3</f>
        <v>46226</v>
      </c>
    </row>
    <row r="3" spans="1:14">
      <c r="A3" s="31" t="s">
        <v>1654</v>
      </c>
    </row>
    <row r="4" spans="1:14">
      <c r="H4" s="743" t="s">
        <v>1729</v>
      </c>
    </row>
    <row r="5" spans="1:14">
      <c r="A5" s="686" t="s">
        <v>214</v>
      </c>
      <c r="B5" s="744"/>
      <c r="C5" s="745"/>
      <c r="D5" s="747"/>
      <c r="E5" s="785"/>
      <c r="F5" s="690">
        <f>+'Summary Total Pigs'!C3</f>
        <v>46226</v>
      </c>
      <c r="G5" s="690"/>
      <c r="H5" s="747"/>
      <c r="I5" s="748"/>
      <c r="J5" s="690">
        <f>+'Lionhead Ext. Valuation'!J5</f>
        <v>45870</v>
      </c>
      <c r="K5" s="744"/>
      <c r="L5" s="747"/>
    </row>
    <row r="6" spans="1:14">
      <c r="A6" s="749"/>
      <c r="B6" s="734"/>
      <c r="C6" s="736"/>
      <c r="D6" s="751"/>
      <c r="E6" s="764"/>
      <c r="F6" s="734"/>
      <c r="G6" s="734"/>
      <c r="H6" s="751"/>
      <c r="I6" s="752"/>
      <c r="J6" s="734"/>
      <c r="K6" s="734"/>
      <c r="L6" s="751"/>
    </row>
    <row r="7" spans="1:14" s="31" customFormat="1">
      <c r="A7" s="694" t="s">
        <v>1656</v>
      </c>
      <c r="B7" s="695" t="s">
        <v>1657</v>
      </c>
      <c r="C7" s="696" t="s">
        <v>1658</v>
      </c>
      <c r="D7" s="697" t="s">
        <v>1659</v>
      </c>
      <c r="E7" s="786" t="s">
        <v>1660</v>
      </c>
      <c r="F7" s="695" t="s">
        <v>1661</v>
      </c>
      <c r="G7" s="695" t="s">
        <v>1662</v>
      </c>
      <c r="H7" s="697" t="s">
        <v>1663</v>
      </c>
      <c r="I7" s="753" t="s">
        <v>1660</v>
      </c>
      <c r="J7" s="695" t="s">
        <v>1661</v>
      </c>
      <c r="K7" s="695" t="s">
        <v>1662</v>
      </c>
      <c r="L7" s="697" t="s">
        <v>1663</v>
      </c>
    </row>
    <row r="8" spans="1:14" s="31" customFormat="1">
      <c r="A8" s="699"/>
      <c r="B8" s="700" t="s">
        <v>1664</v>
      </c>
      <c r="C8" s="701" t="s">
        <v>1665</v>
      </c>
      <c r="D8" s="702" t="s">
        <v>181</v>
      </c>
      <c r="E8" s="766" t="s">
        <v>1666</v>
      </c>
      <c r="F8" s="700"/>
      <c r="G8" s="700" t="s">
        <v>1668</v>
      </c>
      <c r="H8" s="702"/>
      <c r="I8" s="754" t="s">
        <v>1666</v>
      </c>
      <c r="J8" s="700"/>
      <c r="K8" s="700" t="s">
        <v>1668</v>
      </c>
      <c r="L8" s="702"/>
    </row>
    <row r="9" spans="1:14">
      <c r="A9" s="31" t="s">
        <v>179</v>
      </c>
      <c r="E9" s="746"/>
      <c r="F9" s="744"/>
      <c r="G9" s="744"/>
      <c r="H9" s="747">
        <f>SUM('Villa Pig Cost'!B62:R62)</f>
        <v>78870.421524663689</v>
      </c>
      <c r="I9" s="752"/>
      <c r="J9" s="734"/>
      <c r="K9" s="734"/>
      <c r="L9" s="751">
        <v>31473.687132562933</v>
      </c>
      <c r="M9" s="739">
        <f t="shared" ref="M9:M48" si="0">H9-L9</f>
        <v>47396.734392100756</v>
      </c>
    </row>
    <row r="10" spans="1:14">
      <c r="B10" s="741">
        <v>1</v>
      </c>
      <c r="C10" s="693">
        <f>VLOOKUP(B10,[65]New!$O$1:$AJ$37,8,0)</f>
        <v>1.4626285569269708</v>
      </c>
      <c r="D10" s="1152">
        <f>VLOOKUP(B10,[65]New!$A$1:$AJ$37,23,0)</f>
        <v>0.90682970529472184</v>
      </c>
      <c r="E10" s="1152">
        <f>+'Villa Batch Mvnt'!B4</f>
        <v>137</v>
      </c>
      <c r="F10" s="734">
        <f t="shared" ref="F10:F13" si="1">D10*E10</f>
        <v>124.23566962537689</v>
      </c>
      <c r="G10" s="734">
        <f>IFERROR(H10/F10,0)</f>
        <v>86.094609441190215</v>
      </c>
      <c r="H10" s="744">
        <f>'Villa Pig Cost'!$S$62</f>
        <v>10696.021455061562</v>
      </c>
      <c r="I10" s="755">
        <v>75</v>
      </c>
      <c r="J10" s="734">
        <v>63.920051545165776</v>
      </c>
      <c r="K10" s="734">
        <v>68.013578522436248</v>
      </c>
      <c r="L10" s="751">
        <v>4347.4314449253052</v>
      </c>
      <c r="M10" s="739">
        <f t="shared" si="0"/>
        <v>6348.5900101362568</v>
      </c>
      <c r="N10" s="739">
        <f t="shared" ref="N10:N41" si="2">+E10-I10</f>
        <v>62</v>
      </c>
    </row>
    <row r="11" spans="1:14">
      <c r="B11" s="741">
        <v>2</v>
      </c>
      <c r="C11" s="693">
        <f>VLOOKUP(B11,[65]New!$O$1:$AJ$37,8,0)</f>
        <v>2.4864685467758498</v>
      </c>
      <c r="D11" s="1152">
        <f>VLOOKUP(B11,[65]New!$A$1:$AJ$37,23,0)</f>
        <v>1.5416104990010269</v>
      </c>
      <c r="E11" s="1152">
        <f>+'Villa Batch Mvnt'!B5</f>
        <v>272</v>
      </c>
      <c r="F11" s="734">
        <f t="shared" si="1"/>
        <v>419.31805572827932</v>
      </c>
      <c r="G11" s="734">
        <f t="shared" ref="G11:G13" si="3">H11/E11</f>
        <v>47.782047951835587</v>
      </c>
      <c r="H11" s="744">
        <f>'Villa Pig Cost'!$T$62</f>
        <v>12996.717042899279</v>
      </c>
      <c r="I11" s="755">
        <v>288</v>
      </c>
      <c r="J11" s="734">
        <v>417.27009648684208</v>
      </c>
      <c r="K11" s="734">
        <v>19.015251320494983</v>
      </c>
      <c r="L11" s="751">
        <v>5476.3923803025546</v>
      </c>
      <c r="M11" s="739">
        <f t="shared" si="0"/>
        <v>7520.3246625967249</v>
      </c>
      <c r="N11" s="739">
        <f t="shared" si="2"/>
        <v>-16</v>
      </c>
    </row>
    <row r="12" spans="1:14">
      <c r="A12" s="31" t="s">
        <v>384</v>
      </c>
      <c r="B12" s="741">
        <v>3</v>
      </c>
      <c r="C12" s="693">
        <f>VLOOKUP(B12,[65]New!$O$1:$AJ$37,8,0)</f>
        <v>3.9783496748413603</v>
      </c>
      <c r="D12" s="1152">
        <f>VLOOKUP(B12,[65]New!$A$1:$AJ$37,23,0)</f>
        <v>2.4665767984016433</v>
      </c>
      <c r="E12" s="1152">
        <f>+'Villa Batch Mvnt'!B6</f>
        <v>308</v>
      </c>
      <c r="F12" s="734">
        <f t="shared" si="1"/>
        <v>759.70565390770616</v>
      </c>
      <c r="G12" s="734">
        <f t="shared" si="3"/>
        <v>46.165992059249248</v>
      </c>
      <c r="H12" s="744">
        <f>'Villa Pig Cost'!$U$62</f>
        <v>14219.125554248769</v>
      </c>
      <c r="I12" s="755">
        <v>301</v>
      </c>
      <c r="J12" s="734">
        <v>697.76832801410831</v>
      </c>
      <c r="K12" s="734">
        <v>20.05687589093132</v>
      </c>
      <c r="L12" s="751">
        <v>6037.1196431703274</v>
      </c>
      <c r="M12" s="739">
        <f t="shared" si="0"/>
        <v>8182.0059110784414</v>
      </c>
      <c r="N12" s="739">
        <f t="shared" si="2"/>
        <v>7</v>
      </c>
    </row>
    <row r="13" spans="1:14">
      <c r="A13" s="31"/>
      <c r="B13" s="757">
        <v>4</v>
      </c>
      <c r="C13" s="693">
        <f>VLOOKUP(B13,[65]New!$O$1:$AJ$37,8,0)</f>
        <v>5.9675245122620408</v>
      </c>
      <c r="D13" s="1152">
        <f>VLOOKUP(B13,[65]New!$A$1:$AJ$37,23,0)</f>
        <v>3.6998651976024655</v>
      </c>
      <c r="E13" s="1153">
        <f>+'Villa Batch Mvnt'!B7</f>
        <v>300</v>
      </c>
      <c r="F13" s="734">
        <f t="shared" si="1"/>
        <v>1109.9595592807395</v>
      </c>
      <c r="G13" s="734">
        <f t="shared" si="3"/>
        <v>31.282047899135776</v>
      </c>
      <c r="H13" s="744">
        <f>'Villa Pig Cost'!$V$62</f>
        <v>9384.6143697407333</v>
      </c>
      <c r="I13" s="758">
        <v>286</v>
      </c>
      <c r="J13" s="759">
        <v>994.49372996030718</v>
      </c>
      <c r="K13" s="734">
        <v>16.027475179097657</v>
      </c>
      <c r="L13" s="751">
        <v>4583.8579012219298</v>
      </c>
      <c r="M13" s="739">
        <f t="shared" si="0"/>
        <v>4800.7564685188036</v>
      </c>
      <c r="N13" s="739">
        <f t="shared" si="2"/>
        <v>14</v>
      </c>
    </row>
    <row r="14" spans="1:14">
      <c r="A14" s="31"/>
      <c r="B14" s="741">
        <v>5</v>
      </c>
      <c r="C14" s="693">
        <f>VLOOKUP(B14,[65]New!$O$1:$AJ$37,8,0)</f>
        <v>8.2694768410871031</v>
      </c>
      <c r="D14" s="1315">
        <f>VLOOKUP(B14,[65]New!$A$1:$AJ$37,23,0)</f>
        <v>5.705939020350101</v>
      </c>
      <c r="E14" s="1315">
        <f>+'Villa Batch Mvnt'!B8</f>
        <v>168</v>
      </c>
      <c r="F14" s="734">
        <f>D14*E14</f>
        <v>958.59775541881697</v>
      </c>
      <c r="G14" s="734">
        <f>H14/F14</f>
        <v>5.709978131534494</v>
      </c>
      <c r="H14" s="744">
        <f>'Villa Pig Cost'!$W$62</f>
        <v>5473.5722203794967</v>
      </c>
      <c r="I14" s="1159">
        <v>212</v>
      </c>
      <c r="J14" s="744">
        <v>1136.876009581428</v>
      </c>
      <c r="K14" s="734">
        <v>2.8549451547360256</v>
      </c>
      <c r="L14" s="751">
        <v>3245.7186550901251</v>
      </c>
      <c r="M14" s="739">
        <f t="shared" si="0"/>
        <v>2227.8535652893715</v>
      </c>
      <c r="N14" s="739">
        <f t="shared" si="2"/>
        <v>-44</v>
      </c>
    </row>
    <row r="15" spans="1:14">
      <c r="A15" s="31"/>
      <c r="B15" s="741">
        <v>6</v>
      </c>
      <c r="C15" s="693">
        <f>VLOOKUP(B15,[65]New!$O$1:$AJ$37,8,0)</f>
        <v>11.504136149675597</v>
      </c>
      <c r="D15" s="1155">
        <f>VLOOKUP(B15,[65]New!$A$1:$AJ$37,23,0)</f>
        <v>7.9378539432761617</v>
      </c>
      <c r="E15" s="1155">
        <f>+'Villa Batch Mvnt'!B9</f>
        <v>185</v>
      </c>
      <c r="F15" s="734">
        <f t="shared" ref="F15:F40" si="4">D15*E15</f>
        <v>1468.50297950609</v>
      </c>
      <c r="G15" s="734">
        <f t="shared" ref="G15:G26" si="5">H15/F15</f>
        <v>8.6159779213768921</v>
      </c>
      <c r="H15" s="744">
        <f>'Villa Pig Cost'!$X$62</f>
        <v>12652.589248900655</v>
      </c>
      <c r="I15" s="755">
        <v>184</v>
      </c>
      <c r="J15" s="734">
        <v>1372.6854860906808</v>
      </c>
      <c r="K15" s="734">
        <v>5.224071969141729</v>
      </c>
      <c r="L15" s="751">
        <v>7171.0077703340148</v>
      </c>
      <c r="M15" s="739">
        <f t="shared" si="0"/>
        <v>5481.5814785666398</v>
      </c>
      <c r="N15" s="739">
        <f t="shared" si="2"/>
        <v>1</v>
      </c>
    </row>
    <row r="16" spans="1:14">
      <c r="A16" s="31" t="s">
        <v>389</v>
      </c>
      <c r="B16" s="741">
        <v>7</v>
      </c>
      <c r="C16" s="693">
        <f>VLOOKUP(B16,[65]New!$O$1:$AJ$37,8,0)</f>
        <v>14.738795458264091</v>
      </c>
      <c r="D16" s="1155">
        <f>VLOOKUP(B16,[65]New!$A$1:$AJ$37,23,0)</f>
        <v>10.169768866202222</v>
      </c>
      <c r="E16" s="1155">
        <f>+'Villa Batch Mvnt'!B10</f>
        <v>162</v>
      </c>
      <c r="F16" s="734">
        <f t="shared" si="4"/>
        <v>1647.50255632476</v>
      </c>
      <c r="G16" s="734">
        <f t="shared" si="5"/>
        <v>7.9236394320877208</v>
      </c>
      <c r="H16" s="744">
        <f>'Villa Pig Cost'!$Y$62</f>
        <v>13054.21621976019</v>
      </c>
      <c r="I16" s="755">
        <v>188</v>
      </c>
      <c r="J16" s="734">
        <v>1796.8798847369665</v>
      </c>
      <c r="K16" s="734">
        <v>4.4032013879614187</v>
      </c>
      <c r="L16" s="751">
        <v>7912.024002473765</v>
      </c>
      <c r="M16" s="739">
        <f t="shared" si="0"/>
        <v>5142.1922172864251</v>
      </c>
      <c r="N16" s="739">
        <f t="shared" si="2"/>
        <v>-26</v>
      </c>
    </row>
    <row r="17" spans="1:14">
      <c r="A17" s="31"/>
      <c r="B17" s="741">
        <v>8</v>
      </c>
      <c r="C17" s="693">
        <f>VLOOKUP(B17,[65]New!$O$1:$AJ$37,8,0)</f>
        <v>20.251780018988832</v>
      </c>
      <c r="D17" s="1155">
        <f>VLOOKUP(B17,[65]New!$A$1:$AJ$37,23,0)</f>
        <v>13.973728213102293</v>
      </c>
      <c r="E17" s="1155">
        <f>+'Villa Batch Mvnt'!B11</f>
        <v>151</v>
      </c>
      <c r="F17" s="734">
        <f t="shared" si="4"/>
        <v>2110.032960178446</v>
      </c>
      <c r="G17" s="734">
        <f t="shared" si="5"/>
        <v>6.5726250205424046</v>
      </c>
      <c r="H17" s="744">
        <f>'Villa Pig Cost'!$Z$62</f>
        <v>13868.45542823801</v>
      </c>
      <c r="I17" s="762">
        <v>166</v>
      </c>
      <c r="J17" s="734">
        <v>2180.0702840645026</v>
      </c>
      <c r="K17" s="734">
        <v>3.7228635768590612</v>
      </c>
      <c r="L17" s="751">
        <v>8116.1042555365239</v>
      </c>
      <c r="M17" s="739">
        <f t="shared" si="0"/>
        <v>5752.3511727014866</v>
      </c>
      <c r="N17" s="739">
        <f t="shared" si="2"/>
        <v>-15</v>
      </c>
    </row>
    <row r="18" spans="1:14">
      <c r="A18" s="31"/>
      <c r="B18" s="757">
        <v>9</v>
      </c>
      <c r="C18" s="693">
        <f>VLOOKUP(B18,[65]New!$O$1:$AJ$37,8,0)</f>
        <v>25.764764579713571</v>
      </c>
      <c r="D18" s="1155">
        <f>VLOOKUP(B18,[65]New!$A$1:$AJ$37,23,0)</f>
        <v>17.777687560002363</v>
      </c>
      <c r="E18" s="1314">
        <f>+'Villa Batch Mvnt'!B12</f>
        <v>177</v>
      </c>
      <c r="F18" s="759">
        <f t="shared" si="4"/>
        <v>3146.6506981204184</v>
      </c>
      <c r="G18" s="734">
        <f t="shared" si="5"/>
        <v>3.8081567978599469</v>
      </c>
      <c r="H18" s="744">
        <f>'Villa Pig Cost'!$AA$62</f>
        <v>11982.939246538019</v>
      </c>
      <c r="I18" s="763">
        <v>183</v>
      </c>
      <c r="J18" s="759">
        <v>3057.5704616563294</v>
      </c>
      <c r="K18" s="734">
        <v>2.0269185996084311</v>
      </c>
      <c r="L18" s="751">
        <v>6197.446438344552</v>
      </c>
      <c r="M18" s="739">
        <f t="shared" si="0"/>
        <v>5785.4928081934668</v>
      </c>
      <c r="N18" s="739">
        <f t="shared" si="2"/>
        <v>-6</v>
      </c>
    </row>
    <row r="19" spans="1:14">
      <c r="A19" s="31"/>
      <c r="B19" s="741">
        <v>10</v>
      </c>
      <c r="C19" s="693">
        <f>VLOOKUP(B19,[65]New!$O$1:$AJ$37,8,0)</f>
        <v>31.27774914043831</v>
      </c>
      <c r="D19" s="1315">
        <f>VLOOKUP(B19,[65]New!$A$1:$AJ$37,23,0)</f>
        <v>21.581646906902431</v>
      </c>
      <c r="E19" s="1155">
        <f>+'Villa Batch Mvnt'!B13</f>
        <v>155</v>
      </c>
      <c r="F19" s="734">
        <f t="shared" si="4"/>
        <v>3345.1552705698768</v>
      </c>
      <c r="G19" s="734">
        <f t="shared" si="5"/>
        <v>5.1680842940886027</v>
      </c>
      <c r="H19" s="744">
        <f>'Villa Pig Cost'!$AB$62</f>
        <v>17288.04441511989</v>
      </c>
      <c r="I19" s="762">
        <v>153</v>
      </c>
      <c r="J19" s="734">
        <v>3103.3169164123015</v>
      </c>
      <c r="K19" s="734">
        <v>3.1250428442788953</v>
      </c>
      <c r="L19" s="751">
        <v>9697.9983231639089</v>
      </c>
      <c r="M19" s="739">
        <f t="shared" si="0"/>
        <v>7590.046091955981</v>
      </c>
      <c r="N19" s="739">
        <f t="shared" si="2"/>
        <v>2</v>
      </c>
    </row>
    <row r="20" spans="1:14">
      <c r="A20" s="31"/>
      <c r="B20" s="741">
        <v>11</v>
      </c>
      <c r="C20" s="693">
        <f>VLOOKUP(B20,[65]New!$O$1:$AJ$37,8,0)</f>
        <v>36.903243590157444</v>
      </c>
      <c r="D20" s="1156">
        <f>VLOOKUP(B20,[65]New!$A$1:$AJ$37,23,0)</f>
        <v>25.463238077208636</v>
      </c>
      <c r="E20" s="1156">
        <f>+'Villa Batch Mvnt'!B14</f>
        <v>192</v>
      </c>
      <c r="F20" s="734">
        <f t="shared" si="4"/>
        <v>4888.9417108240577</v>
      </c>
      <c r="G20" s="734">
        <f t="shared" si="5"/>
        <v>5.0103365557879318</v>
      </c>
      <c r="H20" s="744">
        <f>'Villa Pig Cost'!$AC$62</f>
        <v>24495.243372858167</v>
      </c>
      <c r="I20" s="762">
        <v>157</v>
      </c>
      <c r="J20" s="734">
        <v>3757.1920799258937</v>
      </c>
      <c r="K20" s="734">
        <v>2.8366566150627284</v>
      </c>
      <c r="L20" s="751">
        <v>10657.863767583078</v>
      </c>
      <c r="M20" s="739">
        <f t="shared" si="0"/>
        <v>13837.379605275089</v>
      </c>
      <c r="N20" s="739">
        <f t="shared" si="2"/>
        <v>35</v>
      </c>
    </row>
    <row r="21" spans="1:14">
      <c r="A21" s="31"/>
      <c r="B21" s="741">
        <v>12</v>
      </c>
      <c r="C21" s="693">
        <f>VLOOKUP(B21,[65]New!$O$1:$AJ$37,8,0)</f>
        <v>42.528738039876572</v>
      </c>
      <c r="D21" s="1156">
        <f>VLOOKUP(B21,[65]New!$A$1:$AJ$37,23,0)</f>
        <v>29.344829247514834</v>
      </c>
      <c r="E21" s="1156">
        <f>+'Villa Batch Mvnt'!B15</f>
        <v>196</v>
      </c>
      <c r="F21" s="734">
        <f t="shared" si="4"/>
        <v>5751.5865325129071</v>
      </c>
      <c r="G21" s="734">
        <f t="shared" si="5"/>
        <v>5.0991619754666875</v>
      </c>
      <c r="H21" s="744">
        <f>'Villa Pig Cost'!$AD$62</f>
        <v>29328.27134519611</v>
      </c>
      <c r="I21" s="755">
        <v>175</v>
      </c>
      <c r="J21" s="734">
        <v>4826.3604180343691</v>
      </c>
      <c r="K21" s="734">
        <v>2.6000953964680713</v>
      </c>
      <c r="L21" s="751">
        <v>12548.997504626879</v>
      </c>
      <c r="M21" s="739">
        <f t="shared" si="0"/>
        <v>16779.273840569229</v>
      </c>
      <c r="N21" s="739">
        <f t="shared" si="2"/>
        <v>21</v>
      </c>
    </row>
    <row r="22" spans="1:14">
      <c r="A22" s="31"/>
      <c r="B22" s="741">
        <v>13</v>
      </c>
      <c r="C22" s="693">
        <f>VLOOKUP(B22,[65]New!$O$1:$AJ$37,8,0)</f>
        <v>49.336093125338486</v>
      </c>
      <c r="D22" s="1156">
        <f>VLOOKUP(B22,[65]New!$A$1:$AJ$37,23,0)</f>
        <v>34.041904256483555</v>
      </c>
      <c r="E22" s="1156">
        <f>+'Villa Batch Mvnt'!B16</f>
        <v>183</v>
      </c>
      <c r="F22" s="734">
        <f t="shared" si="4"/>
        <v>6229.6684789364908</v>
      </c>
      <c r="G22" s="734">
        <f t="shared" si="5"/>
        <v>4.1652758384753543</v>
      </c>
      <c r="H22" s="744">
        <f>'Villa Pig Cost'!$AE$62</f>
        <v>25948.287597025679</v>
      </c>
      <c r="I22" s="755">
        <v>182</v>
      </c>
      <c r="J22" s="734">
        <v>5822.8466005744094</v>
      </c>
      <c r="K22" s="734">
        <v>1.8474952884218749</v>
      </c>
      <c r="L22" s="751">
        <v>10757.681659764552</v>
      </c>
      <c r="M22" s="739">
        <f t="shared" si="0"/>
        <v>15190.605937261127</v>
      </c>
      <c r="N22" s="739">
        <f t="shared" si="2"/>
        <v>1</v>
      </c>
    </row>
    <row r="23" spans="1:14">
      <c r="A23" s="31"/>
      <c r="B23" s="741">
        <v>14</v>
      </c>
      <c r="C23" s="693">
        <f>VLOOKUP(B23,[65]New!$O$1:$AJ$37,8,0)</f>
        <v>56.143448210800422</v>
      </c>
      <c r="D23" s="1156">
        <f>VLOOKUP(B23,[65]New!$A$1:$AJ$37,23,0)</f>
        <v>40.423282711776302</v>
      </c>
      <c r="E23" s="1156">
        <f>+'Villa Batch Mvnt'!B17</f>
        <v>179</v>
      </c>
      <c r="F23" s="734">
        <f t="shared" si="4"/>
        <v>7235.7676054079584</v>
      </c>
      <c r="G23" s="734">
        <f t="shared" si="5"/>
        <v>3.456993543731234</v>
      </c>
      <c r="H23" s="744">
        <f>'Villa Pig Cost'!$AF$62</f>
        <v>25014.001895834925</v>
      </c>
      <c r="I23" s="755">
        <v>183</v>
      </c>
      <c r="J23" s="734">
        <v>6952.3685105586228</v>
      </c>
      <c r="K23" s="734">
        <v>2.1821671150269166</v>
      </c>
      <c r="L23" s="751">
        <v>15171.229935289692</v>
      </c>
      <c r="M23" s="739">
        <f t="shared" si="0"/>
        <v>9842.771960545233</v>
      </c>
      <c r="N23" s="739">
        <f t="shared" si="2"/>
        <v>-4</v>
      </c>
    </row>
    <row r="24" spans="1:14">
      <c r="A24" s="31" t="s">
        <v>397</v>
      </c>
      <c r="B24" s="741">
        <v>15</v>
      </c>
      <c r="C24" s="693">
        <f>VLOOKUP(B24,[65]New!$O$1:$AJ$37,8,0)</f>
        <v>62.95080329626235</v>
      </c>
      <c r="D24" s="1156">
        <f>VLOOKUP(B24,[65]New!$A$1:$AJ$37,23,0)</f>
        <v>45.324578373308889</v>
      </c>
      <c r="E24" s="1156">
        <f>+'Villa Batch Mvnt'!B18</f>
        <v>174</v>
      </c>
      <c r="F24" s="734">
        <f t="shared" si="4"/>
        <v>7886.4766369557465</v>
      </c>
      <c r="G24" s="734">
        <f t="shared" si="5"/>
        <v>3.7470029155676841</v>
      </c>
      <c r="H24" s="744">
        <f>'Villa Pig Cost'!$AG$62</f>
        <v>29550.650952229607</v>
      </c>
      <c r="I24" s="755">
        <v>186</v>
      </c>
      <c r="J24" s="734">
        <v>7923.1309197786022</v>
      </c>
      <c r="K24" s="734">
        <v>2.1632718275133529</v>
      </c>
      <c r="L24" s="751">
        <v>17139.885904457009</v>
      </c>
      <c r="M24" s="739">
        <f t="shared" si="0"/>
        <v>12410.765047772598</v>
      </c>
      <c r="N24" s="739">
        <f t="shared" si="2"/>
        <v>-12</v>
      </c>
    </row>
    <row r="25" spans="1:14">
      <c r="A25" s="31"/>
      <c r="B25" s="741">
        <v>16</v>
      </c>
      <c r="C25" s="693">
        <f>VLOOKUP(B25,[65]New!$O$1:$AJ$37,8,0)</f>
        <v>73.166701216952305</v>
      </c>
      <c r="D25" s="1156">
        <f>VLOOKUP(B25,[65]New!$A$1:$AJ$37,23,0)</f>
        <v>54.143358900544705</v>
      </c>
      <c r="E25" s="1156">
        <f>+'Villa Batch Mvnt'!B19</f>
        <v>171</v>
      </c>
      <c r="F25" s="734">
        <f t="shared" si="4"/>
        <v>9258.5143719931439</v>
      </c>
      <c r="G25" s="734">
        <f t="shared" si="5"/>
        <v>4.6803532552500862</v>
      </c>
      <c r="H25" s="744">
        <f>'Villa Pig Cost'!$AH$62</f>
        <v>43333.117879737816</v>
      </c>
      <c r="I25" s="755">
        <v>175</v>
      </c>
      <c r="J25" s="734">
        <v>8904.988408448422</v>
      </c>
      <c r="K25" s="734">
        <v>2.1072773560257594</v>
      </c>
      <c r="L25" s="751">
        <v>18765.280428795228</v>
      </c>
      <c r="M25" s="739">
        <f t="shared" si="0"/>
        <v>24567.837450942588</v>
      </c>
      <c r="N25" s="739">
        <f t="shared" si="2"/>
        <v>-4</v>
      </c>
    </row>
    <row r="26" spans="1:14" s="1843" customFormat="1">
      <c r="A26" s="1840"/>
      <c r="B26" s="1841">
        <v>17</v>
      </c>
      <c r="C26" s="693">
        <f>VLOOKUP(B26,[65]New!$O$1:$AJ$37,8,0)</f>
        <v>83.382599137642245</v>
      </c>
      <c r="D26" s="1156">
        <f>VLOOKUP(B26,[65]New!$A$1:$AJ$37,23,0)</f>
        <v>61.703123361855262</v>
      </c>
      <c r="E26" s="1834">
        <f>+'Villa Batch Mvnt'!B20</f>
        <v>171</v>
      </c>
      <c r="F26" s="1842">
        <f t="shared" si="4"/>
        <v>10551.234094877249</v>
      </c>
      <c r="G26" s="734">
        <f t="shared" si="5"/>
        <v>4.1338518229599579</v>
      </c>
      <c r="H26" s="744">
        <f>'Villa Pig Cost'!$AI$62</f>
        <v>43617.238297585573</v>
      </c>
      <c r="I26" s="788">
        <v>176</v>
      </c>
      <c r="J26" s="1842">
        <v>10206.33763664957</v>
      </c>
      <c r="K26" s="734">
        <v>1.6764607889374255</v>
      </c>
      <c r="L26" s="751">
        <v>17110.524846499276</v>
      </c>
      <c r="M26" s="1843">
        <f t="shared" si="0"/>
        <v>26506.713451086296</v>
      </c>
      <c r="N26" s="1843">
        <f t="shared" si="2"/>
        <v>-5</v>
      </c>
    </row>
    <row r="27" spans="1:14">
      <c r="A27" s="31"/>
      <c r="B27" s="741">
        <v>18</v>
      </c>
      <c r="C27" s="693">
        <f>VLOOKUP(B27,[65]New!$O$1:$AJ$37,8,0)</f>
        <v>91.135378714691839</v>
      </c>
      <c r="D27" s="1156">
        <f>VLOOKUP(B27,[65]New!$A$1:$AJ$37,23,0)</f>
        <v>69.262887823165798</v>
      </c>
      <c r="E27" s="1156">
        <f>+'Villa Batch Mvnt'!B21</f>
        <v>180</v>
      </c>
      <c r="F27" s="734">
        <f t="shared" si="4"/>
        <v>12467.319808169843</v>
      </c>
      <c r="G27" s="1848">
        <f>'[66]Selling Price Working'!$K$6</f>
        <v>2.5057680217858813</v>
      </c>
      <c r="H27" s="744">
        <f>G27*F27</f>
        <v>31240.211292689681</v>
      </c>
      <c r="I27" s="755">
        <v>224</v>
      </c>
      <c r="J27" s="734">
        <v>14581.383366839469</v>
      </c>
      <c r="K27" s="1828">
        <v>2.4397344111943311</v>
      </c>
      <c r="L27" s="744">
        <v>35574.702762894907</v>
      </c>
      <c r="M27" s="739">
        <f t="shared" si="0"/>
        <v>-4334.4914702052265</v>
      </c>
      <c r="N27" s="739">
        <f t="shared" si="2"/>
        <v>-44</v>
      </c>
    </row>
    <row r="28" spans="1:14">
      <c r="A28" s="31"/>
      <c r="B28" s="741">
        <v>19</v>
      </c>
      <c r="C28" s="693">
        <f>VLOOKUP(B28,[65]New!$O$1:$AJ$37,8,0)</f>
        <v>101.08243721641621</v>
      </c>
      <c r="D28" s="1156">
        <f>VLOOKUP(B28,[65]New!$A$1:$AJ$37,23,0)</f>
        <v>76.82265228447632</v>
      </c>
      <c r="E28" s="1156">
        <f>+'Villa Batch Mvnt'!B22</f>
        <v>162</v>
      </c>
      <c r="F28" s="734">
        <f t="shared" si="4"/>
        <v>12445.269670085163</v>
      </c>
      <c r="G28" s="1828">
        <f t="shared" ref="G28:G40" si="6">G27</f>
        <v>2.5057680217858813</v>
      </c>
      <c r="H28" s="744">
        <f t="shared" ref="H28:H34" si="7">G28*F28</f>
        <v>31184.958761801128</v>
      </c>
      <c r="I28" s="755">
        <v>171</v>
      </c>
      <c r="J28" s="734">
        <v>12346.26295613271</v>
      </c>
      <c r="K28" s="1828">
        <v>2.4397344111943311</v>
      </c>
      <c r="L28" s="744">
        <v>30121.602583730819</v>
      </c>
      <c r="M28" s="739">
        <f t="shared" si="0"/>
        <v>1063.3561780703094</v>
      </c>
      <c r="N28" s="739">
        <f t="shared" si="2"/>
        <v>-9</v>
      </c>
    </row>
    <row r="29" spans="1:14">
      <c r="A29" s="31"/>
      <c r="B29" s="741">
        <v>20</v>
      </c>
      <c r="C29" s="693">
        <f>VLOOKUP(B29,[65]New!$O$1:$AJ$37,8,0)</f>
        <v>111.02949571814071</v>
      </c>
      <c r="D29" s="1156">
        <f>VLOOKUP(B29,[65]New!$A$1:$AJ$37,23,0)</f>
        <v>84.382416745786941</v>
      </c>
      <c r="E29" s="1156">
        <f>+'Villa Batch Mvnt'!B23</f>
        <v>182</v>
      </c>
      <c r="F29" s="734">
        <f t="shared" si="4"/>
        <v>15357.599847733223</v>
      </c>
      <c r="G29" s="1828">
        <f t="shared" si="6"/>
        <v>2.5057680217858813</v>
      </c>
      <c r="H29" s="744">
        <f t="shared" si="7"/>
        <v>38482.582589833633</v>
      </c>
      <c r="I29" s="755">
        <v>174</v>
      </c>
      <c r="J29" s="734">
        <v>13799.11782736832</v>
      </c>
      <c r="K29" s="1828">
        <v>2.4397344111943311</v>
      </c>
      <c r="L29" s="744">
        <v>33666.182607555646</v>
      </c>
      <c r="M29" s="739">
        <f t="shared" si="0"/>
        <v>4816.3999822779879</v>
      </c>
      <c r="N29" s="739">
        <f t="shared" si="2"/>
        <v>8</v>
      </c>
    </row>
    <row r="30" spans="1:14">
      <c r="A30" s="31"/>
      <c r="B30" s="764">
        <v>21</v>
      </c>
      <c r="C30" s="693">
        <f>VLOOKUP(B30,[65]New!$O$1:$AJ$37,8,0)</f>
        <v>116.75628023412899</v>
      </c>
      <c r="D30" s="1156">
        <f>VLOOKUP(B30,[65]New!$A$1:$AJ$37,23,0)</f>
        <v>88.734772977938036</v>
      </c>
      <c r="E30" s="1156">
        <f>+'Villa Batch Mvnt'!B24</f>
        <v>180</v>
      </c>
      <c r="F30" s="734">
        <f t="shared" si="4"/>
        <v>15972.259136028846</v>
      </c>
      <c r="G30" s="1828">
        <f t="shared" si="6"/>
        <v>2.5057680217858813</v>
      </c>
      <c r="H30" s="744">
        <f t="shared" si="7"/>
        <v>40022.776178738473</v>
      </c>
      <c r="I30" s="755">
        <v>170</v>
      </c>
      <c r="J30" s="734">
        <v>14177.278769642839</v>
      </c>
      <c r="K30" s="1828">
        <v>2.4397344111943311</v>
      </c>
      <c r="L30" s="744">
        <v>34588.794871392463</v>
      </c>
      <c r="M30" s="739">
        <f>H30-L30</f>
        <v>5433.98130734601</v>
      </c>
      <c r="N30" s="739">
        <f t="shared" si="2"/>
        <v>10</v>
      </c>
    </row>
    <row r="31" spans="1:14">
      <c r="A31" s="31"/>
      <c r="B31" s="764">
        <v>22</v>
      </c>
      <c r="C31" s="693">
        <f>VLOOKUP(B31,[65]New!$O$1:$AJ$37,8,0)</f>
        <v>126.43738058016329</v>
      </c>
      <c r="D31" s="1156">
        <f>VLOOKUP(B31,[65]New!$A$1:$AJ$37,23,0)</f>
        <v>96.092409240924098</v>
      </c>
      <c r="E31" s="1156">
        <f>+'Villa Batch Mvnt'!B25</f>
        <v>150</v>
      </c>
      <c r="F31" s="734">
        <f t="shared" si="4"/>
        <v>14413.861386138615</v>
      </c>
      <c r="G31" s="1828">
        <f t="shared" si="6"/>
        <v>2.5057680217858813</v>
      </c>
      <c r="H31" s="744">
        <f t="shared" si="7"/>
        <v>36117.792931840457</v>
      </c>
      <c r="I31" s="755">
        <v>151</v>
      </c>
      <c r="J31" s="734">
        <v>13636.91534883721</v>
      </c>
      <c r="K31" s="1828">
        <v>2.4397344111943311</v>
      </c>
      <c r="L31" s="744">
        <v>33270.451639102284</v>
      </c>
      <c r="M31" s="739">
        <f>H31-L31</f>
        <v>2847.3412927381723</v>
      </c>
      <c r="N31" s="739">
        <f t="shared" si="2"/>
        <v>-1</v>
      </c>
    </row>
    <row r="32" spans="1:14">
      <c r="A32" s="31"/>
      <c r="B32" s="764">
        <v>23</v>
      </c>
      <c r="C32" s="693">
        <f>VLOOKUP(B32,[65]New!$O$1:$AJ$37,8,0)</f>
        <v>134.05350693548144</v>
      </c>
      <c r="D32" s="1156">
        <f>VLOOKUP(B32,[65]New!$A$1:$AJ$37,23,0)</f>
        <v>101.88066527096589</v>
      </c>
      <c r="E32" s="1156">
        <f>+'Villa Batch Mvnt'!B26</f>
        <v>42</v>
      </c>
      <c r="F32" s="734">
        <f t="shared" si="4"/>
        <v>4278.9879413805675</v>
      </c>
      <c r="G32" s="1828">
        <f t="shared" si="6"/>
        <v>2.5057680217858813</v>
      </c>
      <c r="H32" s="744">
        <f t="shared" si="7"/>
        <v>10722.151149118825</v>
      </c>
      <c r="I32" s="755">
        <v>171</v>
      </c>
      <c r="J32" s="734">
        <v>16373.367049646335</v>
      </c>
      <c r="K32" s="1828">
        <v>2.4397344111943311</v>
      </c>
      <c r="L32" s="744">
        <v>39946.667018137559</v>
      </c>
      <c r="M32" s="739">
        <f t="shared" ref="M32:M41" si="8">H32-L32</f>
        <v>-29224.515869018735</v>
      </c>
      <c r="N32" s="739">
        <f t="shared" si="2"/>
        <v>-129</v>
      </c>
    </row>
    <row r="33" spans="1:18">
      <c r="A33" s="31"/>
      <c r="B33" s="764">
        <v>24</v>
      </c>
      <c r="C33" s="693">
        <f>VLOOKUP(B33,[65]New!$O$1:$AJ$37,8,0)</f>
        <v>142.70212028615768</v>
      </c>
      <c r="D33" s="1156">
        <f>VLOOKUP(B33,[65]New!$A$1:$AJ$37,23,0)</f>
        <v>108.45361141747983</v>
      </c>
      <c r="E33" s="1156">
        <f>+'Villa Batch Mvnt'!B27</f>
        <v>0</v>
      </c>
      <c r="F33" s="734">
        <f t="shared" si="4"/>
        <v>0</v>
      </c>
      <c r="G33" s="1828">
        <f t="shared" si="6"/>
        <v>2.5057680217858813</v>
      </c>
      <c r="H33" s="744">
        <f t="shared" si="7"/>
        <v>0</v>
      </c>
      <c r="I33" s="777">
        <v>0</v>
      </c>
      <c r="J33" s="734">
        <v>0</v>
      </c>
      <c r="K33" s="1828">
        <v>2.4397344111943311</v>
      </c>
      <c r="L33" s="744">
        <v>0</v>
      </c>
      <c r="M33" s="739">
        <f t="shared" si="8"/>
        <v>0</v>
      </c>
      <c r="N33" s="739">
        <f t="shared" si="2"/>
        <v>0</v>
      </c>
    </row>
    <row r="34" spans="1:18">
      <c r="A34" s="31"/>
      <c r="B34" s="764">
        <v>25</v>
      </c>
      <c r="C34" s="693">
        <f>VLOOKUP(B34,[65]New!$O$1:$AJ$37,8,0)</f>
        <v>151.35073363683387</v>
      </c>
      <c r="D34" s="1156">
        <f>VLOOKUP(B34,[65]New!$A$1:$AJ$37,23,0)</f>
        <v>115.02655756399373</v>
      </c>
      <c r="E34" s="1156">
        <v>0</v>
      </c>
      <c r="F34" s="734">
        <f t="shared" si="4"/>
        <v>0</v>
      </c>
      <c r="G34" s="1828">
        <f t="shared" si="6"/>
        <v>2.5057680217858813</v>
      </c>
      <c r="H34" s="744">
        <f t="shared" si="7"/>
        <v>0</v>
      </c>
      <c r="I34" s="777">
        <v>0</v>
      </c>
      <c r="J34" s="734">
        <v>0</v>
      </c>
      <c r="K34" s="1828">
        <v>2.4397344111943311</v>
      </c>
      <c r="L34" s="744">
        <v>0</v>
      </c>
      <c r="M34" s="739">
        <f t="shared" si="8"/>
        <v>0</v>
      </c>
      <c r="N34" s="739">
        <f t="shared" si="2"/>
        <v>0</v>
      </c>
    </row>
    <row r="35" spans="1:18">
      <c r="A35" s="31"/>
      <c r="B35" s="764">
        <v>26</v>
      </c>
      <c r="C35" s="693">
        <f>VLOOKUP(B35,[65]New!$O$1:$AJ$37,8,0)</f>
        <v>159.99934698751008</v>
      </c>
      <c r="D35" s="1156">
        <f>VLOOKUP(B35,[65]New!$A$1:$AJ$37,23,0)</f>
        <v>121.59950371050766</v>
      </c>
      <c r="E35" s="1156">
        <v>0</v>
      </c>
      <c r="F35" s="734">
        <f t="shared" si="4"/>
        <v>0</v>
      </c>
      <c r="G35" s="1828">
        <f t="shared" si="6"/>
        <v>2.5057680217858813</v>
      </c>
      <c r="H35" s="744">
        <f t="shared" ref="H35:H40" si="9">G35*F35</f>
        <v>0</v>
      </c>
      <c r="I35" s="777">
        <v>0</v>
      </c>
      <c r="J35" s="734">
        <v>0</v>
      </c>
      <c r="K35" s="1828">
        <v>2.4397344111943311</v>
      </c>
      <c r="L35" s="744">
        <v>0</v>
      </c>
      <c r="M35" s="739">
        <f t="shared" si="8"/>
        <v>0</v>
      </c>
      <c r="N35" s="739">
        <f t="shared" si="2"/>
        <v>0</v>
      </c>
    </row>
    <row r="36" spans="1:18">
      <c r="A36" s="31"/>
      <c r="B36" s="764">
        <f>+B35+1</f>
        <v>27</v>
      </c>
      <c r="C36" s="693">
        <f>VLOOKUP(B36,[65]New!$O$1:$AJ$37,8,0)</f>
        <v>168.64796033818629</v>
      </c>
      <c r="D36" s="1156">
        <f>VLOOKUP(B36,[65]New!$A$1:$AJ$37,23,0)</f>
        <v>128.17244985702158</v>
      </c>
      <c r="E36" s="1156">
        <v>0</v>
      </c>
      <c r="F36" s="734">
        <f t="shared" si="4"/>
        <v>0</v>
      </c>
      <c r="G36" s="1828">
        <f t="shared" si="6"/>
        <v>2.5057680217858813</v>
      </c>
      <c r="H36" s="744">
        <f t="shared" si="9"/>
        <v>0</v>
      </c>
      <c r="I36" s="777">
        <v>0</v>
      </c>
      <c r="J36" s="734">
        <v>0</v>
      </c>
      <c r="K36" s="1828">
        <v>2.4397344111943311</v>
      </c>
      <c r="L36" s="744">
        <v>0</v>
      </c>
      <c r="M36" s="739">
        <f t="shared" si="8"/>
        <v>0</v>
      </c>
      <c r="N36" s="739">
        <f t="shared" si="2"/>
        <v>0</v>
      </c>
    </row>
    <row r="37" spans="1:18">
      <c r="A37" s="31"/>
      <c r="B37" s="720">
        <f>+B36+1</f>
        <v>28</v>
      </c>
      <c r="C37" s="693">
        <f>VLOOKUP(B37,[65]New!$O$1:$AJ$37,8,0)</f>
        <v>177.29657368886248</v>
      </c>
      <c r="D37" s="1156">
        <f>VLOOKUP(B37,[65]New!$A$1:$AJ$37,23,0)</f>
        <v>134.74539600353549</v>
      </c>
      <c r="E37" s="1156">
        <v>0</v>
      </c>
      <c r="F37" s="734">
        <f t="shared" si="4"/>
        <v>0</v>
      </c>
      <c r="G37" s="1828">
        <f t="shared" si="6"/>
        <v>2.5057680217858813</v>
      </c>
      <c r="H37" s="744">
        <f t="shared" si="9"/>
        <v>0</v>
      </c>
      <c r="I37" s="777">
        <v>0</v>
      </c>
      <c r="J37" s="734">
        <v>0</v>
      </c>
      <c r="K37" s="1828">
        <v>2.4397344111943311</v>
      </c>
      <c r="L37" s="744">
        <v>0</v>
      </c>
      <c r="M37" s="739">
        <f t="shared" si="8"/>
        <v>0</v>
      </c>
      <c r="N37" s="739">
        <f t="shared" si="2"/>
        <v>0</v>
      </c>
    </row>
    <row r="38" spans="1:18">
      <c r="A38" s="31"/>
      <c r="B38" s="720">
        <f>+B37+1</f>
        <v>29</v>
      </c>
      <c r="C38" s="693">
        <f>VLOOKUP(B38,[65]New!$O$1:$AJ$37,8,0)</f>
        <v>185.94518703953872</v>
      </c>
      <c r="D38" s="1156">
        <f>VLOOKUP(B38,[65]New!$A$1:$AJ$37,23,0)</f>
        <v>141.31834215004943</v>
      </c>
      <c r="E38" s="1156">
        <v>0</v>
      </c>
      <c r="F38" s="734">
        <f t="shared" si="4"/>
        <v>0</v>
      </c>
      <c r="G38" s="1828">
        <f t="shared" si="6"/>
        <v>2.5057680217858813</v>
      </c>
      <c r="H38" s="744">
        <f t="shared" si="9"/>
        <v>0</v>
      </c>
      <c r="I38" s="777">
        <v>0</v>
      </c>
      <c r="J38" s="734">
        <v>0</v>
      </c>
      <c r="K38" s="1828">
        <v>2.4397344111943311</v>
      </c>
      <c r="L38" s="744">
        <v>0</v>
      </c>
      <c r="M38" s="739">
        <f t="shared" si="8"/>
        <v>0</v>
      </c>
      <c r="N38" s="739">
        <f t="shared" si="2"/>
        <v>0</v>
      </c>
    </row>
    <row r="39" spans="1:18">
      <c r="A39" s="31"/>
      <c r="B39" s="720">
        <f>+B38+1</f>
        <v>30</v>
      </c>
      <c r="C39" s="693">
        <f>VLOOKUP(B39,[65]New!$O$1:$AJ$37,8,0)</f>
        <v>194.59380039021497</v>
      </c>
      <c r="D39" s="1156">
        <f>VLOOKUP(B39,[65]New!$A$1:$AJ$37,23,0)</f>
        <v>147.89128829656337</v>
      </c>
      <c r="E39" s="1156">
        <v>0</v>
      </c>
      <c r="F39" s="734">
        <f t="shared" si="4"/>
        <v>0</v>
      </c>
      <c r="G39" s="1828">
        <f t="shared" si="6"/>
        <v>2.5057680217858813</v>
      </c>
      <c r="H39" s="744">
        <f t="shared" si="9"/>
        <v>0</v>
      </c>
      <c r="I39" s="777">
        <v>0</v>
      </c>
      <c r="J39" s="734">
        <v>0</v>
      </c>
      <c r="K39" s="1828">
        <v>2.4397344111943311</v>
      </c>
      <c r="L39" s="744">
        <v>0</v>
      </c>
      <c r="M39" s="739">
        <f t="shared" si="8"/>
        <v>0</v>
      </c>
      <c r="N39" s="739">
        <f t="shared" si="2"/>
        <v>0</v>
      </c>
    </row>
    <row r="40" spans="1:18">
      <c r="A40" s="31"/>
      <c r="B40" s="720">
        <f>+B39+1</f>
        <v>31</v>
      </c>
      <c r="C40" s="693">
        <f>VLOOKUP(B40,[65]New!$O$1:$AJ$37,8,0)</f>
        <v>203.24241374089121</v>
      </c>
      <c r="D40" s="1156">
        <f>VLOOKUP(B40,[65]New!$A$1:$AJ$37,23,0)</f>
        <v>154.46423444307732</v>
      </c>
      <c r="E40" s="1156">
        <v>0</v>
      </c>
      <c r="F40" s="734">
        <f t="shared" si="4"/>
        <v>0</v>
      </c>
      <c r="G40" s="1828">
        <f t="shared" si="6"/>
        <v>2.5057680217858813</v>
      </c>
      <c r="H40" s="744">
        <f t="shared" si="9"/>
        <v>0</v>
      </c>
      <c r="I40" s="777">
        <v>0</v>
      </c>
      <c r="J40" s="734">
        <v>0</v>
      </c>
      <c r="K40" s="1828">
        <v>2.4397344111943311</v>
      </c>
      <c r="L40" s="744">
        <v>0</v>
      </c>
      <c r="M40" s="739">
        <f t="shared" si="8"/>
        <v>0</v>
      </c>
      <c r="N40" s="739">
        <f t="shared" si="2"/>
        <v>0</v>
      </c>
    </row>
    <row r="41" spans="1:18">
      <c r="A41" s="31"/>
      <c r="B41" s="720"/>
      <c r="C41" s="720"/>
      <c r="D41" s="721"/>
      <c r="E41" s="777"/>
      <c r="F41" s="734"/>
      <c r="G41" s="734"/>
      <c r="H41" s="751"/>
      <c r="I41" s="777"/>
      <c r="J41" s="734"/>
      <c r="K41" s="734"/>
      <c r="L41" s="751"/>
      <c r="M41" s="739">
        <f t="shared" si="8"/>
        <v>0</v>
      </c>
      <c r="N41" s="739">
        <f t="shared" si="2"/>
        <v>0</v>
      </c>
    </row>
    <row r="42" spans="1:18" s="31" customFormat="1">
      <c r="A42" s="31" t="s">
        <v>1717</v>
      </c>
      <c r="B42" s="714"/>
      <c r="C42" s="714"/>
      <c r="D42" s="715"/>
      <c r="E42" s="787">
        <f>SUM(E9:E41)</f>
        <v>4177</v>
      </c>
      <c r="F42" s="716">
        <f>SUM(F9:F41)</f>
        <v>141827.14837970433</v>
      </c>
      <c r="G42" s="716"/>
      <c r="H42" s="716">
        <f>SUM(H9:H41)</f>
        <v>609544.00097004033</v>
      </c>
      <c r="I42" s="716">
        <v>4331</v>
      </c>
      <c r="J42" s="716">
        <v>148128.4011409854</v>
      </c>
      <c r="K42" s="716"/>
      <c r="L42" s="716">
        <v>403578.65347695543</v>
      </c>
      <c r="M42" s="31">
        <f>SUM(M10:M32)</f>
        <v>158568.61310098425</v>
      </c>
      <c r="N42" s="739">
        <f t="shared" ref="N42:N50" si="10">+E42-I42</f>
        <v>-154</v>
      </c>
      <c r="O42" s="739"/>
      <c r="P42" s="739"/>
      <c r="Q42" s="739"/>
    </row>
    <row r="43" spans="1:18">
      <c r="A43" s="768" t="s">
        <v>1741</v>
      </c>
      <c r="B43" s="741"/>
      <c r="C43" s="741"/>
      <c r="D43" s="739" t="s">
        <v>138</v>
      </c>
      <c r="E43" s="750" t="s">
        <v>138</v>
      </c>
      <c r="F43" s="734"/>
      <c r="G43" s="734"/>
      <c r="H43" s="751">
        <v>0</v>
      </c>
      <c r="I43" s="750" t="s">
        <v>138</v>
      </c>
      <c r="J43" s="744"/>
      <c r="K43" s="734"/>
      <c r="L43" s="747">
        <v>0</v>
      </c>
      <c r="M43" s="739">
        <f t="shared" si="0"/>
        <v>0</v>
      </c>
      <c r="N43" s="739">
        <v>0</v>
      </c>
      <c r="R43" s="31"/>
    </row>
    <row r="44" spans="1:18">
      <c r="A44" s="31" t="s">
        <v>50</v>
      </c>
      <c r="B44" s="741"/>
      <c r="C44" s="741"/>
      <c r="D44" s="739">
        <v>150</v>
      </c>
      <c r="E44" s="788">
        <f>+'Villa Batch Mvnt'!I6</f>
        <v>137</v>
      </c>
      <c r="F44" s="734">
        <f>D44*E44</f>
        <v>20550</v>
      </c>
      <c r="G44" s="1053">
        <f>'Grasmere Valuation '!G41</f>
        <v>2.0499999999999998</v>
      </c>
      <c r="H44" s="751">
        <f>F44*G44</f>
        <v>42127.499999999993</v>
      </c>
      <c r="I44" s="755">
        <v>139</v>
      </c>
      <c r="J44" s="734">
        <v>20850</v>
      </c>
      <c r="K44" s="734">
        <v>2.04</v>
      </c>
      <c r="L44" s="751">
        <v>42534</v>
      </c>
      <c r="M44" s="739">
        <f>H44-L44</f>
        <v>-406.50000000000728</v>
      </c>
      <c r="N44" s="739">
        <f t="shared" si="10"/>
        <v>-2</v>
      </c>
      <c r="R44" s="31"/>
    </row>
    <row r="45" spans="1:18">
      <c r="A45" s="31"/>
      <c r="B45" s="741"/>
      <c r="C45" s="741"/>
      <c r="E45" s="755"/>
      <c r="F45" s="734"/>
      <c r="G45" s="734"/>
      <c r="H45" s="751"/>
      <c r="I45" s="755"/>
      <c r="J45" s="734"/>
      <c r="K45" s="734"/>
      <c r="L45" s="751"/>
      <c r="M45" s="739">
        <f t="shared" si="0"/>
        <v>0</v>
      </c>
      <c r="N45" s="739">
        <f t="shared" si="10"/>
        <v>0</v>
      </c>
      <c r="R45" s="31"/>
    </row>
    <row r="46" spans="1:18">
      <c r="A46" s="31" t="s">
        <v>55</v>
      </c>
      <c r="B46" s="741"/>
      <c r="C46" s="741"/>
      <c r="D46" s="739">
        <v>150</v>
      </c>
      <c r="E46" s="788">
        <f>+'Villa Batch Mvnt'!I5</f>
        <v>433</v>
      </c>
      <c r="F46" s="734">
        <f>D46*E46</f>
        <v>64950</v>
      </c>
      <c r="G46" s="734">
        <f>+G44</f>
        <v>2.0499999999999998</v>
      </c>
      <c r="H46" s="751">
        <f>F46*G46</f>
        <v>133147.5</v>
      </c>
      <c r="I46" s="755">
        <v>424</v>
      </c>
      <c r="J46" s="734">
        <v>63600</v>
      </c>
      <c r="K46" s="734">
        <v>2.04</v>
      </c>
      <c r="L46" s="751">
        <v>129744</v>
      </c>
      <c r="M46" s="739">
        <f t="shared" si="0"/>
        <v>3403.5</v>
      </c>
      <c r="N46" s="739">
        <f t="shared" si="10"/>
        <v>9</v>
      </c>
      <c r="R46" s="31"/>
    </row>
    <row r="47" spans="1:18">
      <c r="A47" s="31"/>
      <c r="B47" s="741"/>
      <c r="C47" s="741"/>
      <c r="E47" s="755"/>
      <c r="F47" s="734"/>
      <c r="G47" s="734"/>
      <c r="H47" s="751"/>
      <c r="I47" s="755"/>
      <c r="J47" s="734"/>
      <c r="K47" s="734"/>
      <c r="L47" s="751"/>
      <c r="M47" s="739">
        <f t="shared" si="0"/>
        <v>0</v>
      </c>
      <c r="N47" s="739">
        <f t="shared" si="10"/>
        <v>0</v>
      </c>
      <c r="R47" s="31"/>
    </row>
    <row r="48" spans="1:18">
      <c r="A48" s="31" t="s">
        <v>79</v>
      </c>
      <c r="B48" s="741"/>
      <c r="C48" s="741"/>
      <c r="D48" s="739">
        <v>150</v>
      </c>
      <c r="E48" s="788">
        <f>+'Villa Batch Mvnt'!I4-'Villa Imported Boars'!F15</f>
        <v>6</v>
      </c>
      <c r="F48" s="734">
        <f>D48*E48</f>
        <v>900</v>
      </c>
      <c r="G48" s="734">
        <f>+G46</f>
        <v>2.0499999999999998</v>
      </c>
      <c r="H48" s="751">
        <f>F48*G48</f>
        <v>1844.9999999999998</v>
      </c>
      <c r="I48" s="755">
        <v>7</v>
      </c>
      <c r="J48" s="734">
        <v>1050</v>
      </c>
      <c r="K48" s="734">
        <v>2.04</v>
      </c>
      <c r="L48" s="751">
        <v>2142</v>
      </c>
      <c r="M48" s="739">
        <f t="shared" si="0"/>
        <v>-297.00000000000023</v>
      </c>
      <c r="N48" s="739">
        <f t="shared" si="10"/>
        <v>-1</v>
      </c>
      <c r="R48" s="31"/>
    </row>
    <row r="49" spans="2:18">
      <c r="B49" s="741"/>
      <c r="C49" s="741"/>
      <c r="E49" s="750" t="s">
        <v>138</v>
      </c>
      <c r="F49" s="734"/>
      <c r="G49" s="734"/>
      <c r="H49" s="751"/>
      <c r="I49" s="750" t="s">
        <v>138</v>
      </c>
      <c r="J49" s="734"/>
      <c r="K49" s="734"/>
      <c r="L49" s="751"/>
      <c r="N49" s="739">
        <v>0</v>
      </c>
      <c r="R49" s="31"/>
    </row>
    <row r="50" spans="2:18" ht="13.9" thickBot="1">
      <c r="B50" s="741"/>
      <c r="C50" s="789">
        <f>+E48+E46+E44+E10+E11+E12+E13</f>
        <v>1593</v>
      </c>
      <c r="E50" s="772">
        <f>SUM(E42:E49)</f>
        <v>4753</v>
      </c>
      <c r="F50" s="734">
        <f>SUM(F42:F48)</f>
        <v>228227.14837970433</v>
      </c>
      <c r="G50" s="734"/>
      <c r="H50" s="727">
        <f>SUM(H42:H48)</f>
        <v>786664.00097004033</v>
      </c>
      <c r="I50" s="772">
        <f>SUM(I42:I49)</f>
        <v>4901</v>
      </c>
      <c r="J50" s="734">
        <f>SUM(J42:J48)</f>
        <v>233628.4011409854</v>
      </c>
      <c r="K50" s="734"/>
      <c r="L50" s="727">
        <f>SUM(L42:L48)</f>
        <v>577998.65347695537</v>
      </c>
      <c r="M50" s="739">
        <f>SUM(M43:M49)</f>
        <v>2699.9999999999927</v>
      </c>
      <c r="N50" s="739">
        <f t="shared" si="10"/>
        <v>-148</v>
      </c>
    </row>
    <row r="51" spans="2:18" ht="13.9" thickTop="1">
      <c r="B51" s="741"/>
      <c r="C51" s="741"/>
      <c r="E51" s="750">
        <f>+'Summary Total Pigs'!AF95</f>
        <v>4753</v>
      </c>
      <c r="F51" s="734" t="s">
        <v>138</v>
      </c>
      <c r="G51" s="734"/>
      <c r="H51" s="751" t="s">
        <v>138</v>
      </c>
      <c r="I51" s="750">
        <f>'[69]Villa Valuation'!$E$50</f>
        <v>4901</v>
      </c>
      <c r="J51" s="734"/>
      <c r="K51" s="736"/>
      <c r="L51" s="750">
        <f>'[69]Villa Valuation'!$H$50</f>
        <v>577998.65347695537</v>
      </c>
      <c r="N51" s="739" t="s">
        <v>138</v>
      </c>
    </row>
    <row r="52" spans="2:18">
      <c r="E52" s="1697">
        <f>E50-E51</f>
        <v>0</v>
      </c>
      <c r="F52" s="731" t="s">
        <v>1742</v>
      </c>
      <c r="G52" s="790"/>
      <c r="H52" s="761" t="s">
        <v>138</v>
      </c>
      <c r="I52" s="791">
        <f>+I50-I51</f>
        <v>0</v>
      </c>
      <c r="J52" s="1180"/>
      <c r="K52" s="759"/>
      <c r="L52" s="791">
        <f>+L50-L51</f>
        <v>0</v>
      </c>
      <c r="M52" s="739" t="s">
        <v>207</v>
      </c>
      <c r="N52" s="739" t="s">
        <v>138</v>
      </c>
    </row>
    <row r="53" spans="2:18">
      <c r="E53" s="741" t="s">
        <v>138</v>
      </c>
      <c r="H53" s="734"/>
      <c r="I53" s="764" t="s">
        <v>138</v>
      </c>
      <c r="N53" s="739" t="s">
        <v>138</v>
      </c>
    </row>
    <row r="54" spans="2:18">
      <c r="E54" s="741" t="s">
        <v>138</v>
      </c>
      <c r="H54" s="734"/>
      <c r="I54" s="764"/>
      <c r="L54" s="739" t="s">
        <v>138</v>
      </c>
      <c r="M54" s="739">
        <f>+H50-L50</f>
        <v>208665.34749308496</v>
      </c>
    </row>
    <row r="55" spans="2:18">
      <c r="C55" s="740" t="s">
        <v>1717</v>
      </c>
      <c r="D55" s="739" t="s">
        <v>1739</v>
      </c>
      <c r="E55" s="740">
        <f>+E42</f>
        <v>4177</v>
      </c>
      <c r="F55" s="739">
        <f>+'Summary Total Pigs'!AF89+'Summary Total Pigs'!AF90+'Summary Total Pigs'!AF91</f>
        <v>4177</v>
      </c>
      <c r="G55" s="739">
        <f>+E55-F55</f>
        <v>0</v>
      </c>
      <c r="H55" s="736">
        <f>+H42</f>
        <v>609544.00097004033</v>
      </c>
      <c r="I55" s="764"/>
    </row>
    <row r="56" spans="2:18">
      <c r="C56" s="740" t="s">
        <v>1737</v>
      </c>
      <c r="D56" s="739" t="s">
        <v>50</v>
      </c>
      <c r="E56" s="740">
        <f>+E44</f>
        <v>137</v>
      </c>
      <c r="F56" s="739">
        <f>+'Summary Total Pigs'!AF92</f>
        <v>137</v>
      </c>
      <c r="G56" s="739">
        <f>+E56-F56</f>
        <v>0</v>
      </c>
      <c r="H56" s="740">
        <f>+H44</f>
        <v>42127.499999999993</v>
      </c>
    </row>
    <row r="57" spans="2:18">
      <c r="D57" s="739" t="s">
        <v>55</v>
      </c>
      <c r="E57" s="740">
        <f>+E46</f>
        <v>433</v>
      </c>
      <c r="F57" s="739">
        <f>+'Summary Total Pigs'!AF93</f>
        <v>433</v>
      </c>
      <c r="G57" s="739">
        <f>+E57-F57</f>
        <v>0</v>
      </c>
      <c r="H57" s="740">
        <f>+H46</f>
        <v>133147.5</v>
      </c>
    </row>
    <row r="58" spans="2:18">
      <c r="D58" s="739" t="s">
        <v>79</v>
      </c>
      <c r="E58" s="740">
        <f>+E48</f>
        <v>6</v>
      </c>
      <c r="F58" s="739">
        <f>+'Summary Total Pigs'!AF94-'Villa Imported Boars'!F15</f>
        <v>6</v>
      </c>
      <c r="G58" s="739">
        <f>+E58-F58</f>
        <v>0</v>
      </c>
      <c r="H58" s="740">
        <f>+H48</f>
        <v>1844.9999999999998</v>
      </c>
    </row>
    <row r="59" spans="2:18" s="31" customFormat="1">
      <c r="C59" s="743"/>
      <c r="E59" s="743">
        <f>SUM(E55:E58)</f>
        <v>4753</v>
      </c>
      <c r="F59" s="743">
        <f>SUM(F55:F58)</f>
        <v>4753</v>
      </c>
      <c r="G59" s="31">
        <f>SUM(G55:G58)</f>
        <v>0</v>
      </c>
      <c r="H59" s="31">
        <f>SUM(H55:H58)</f>
        <v>786664.00097004033</v>
      </c>
      <c r="I59" s="1234"/>
    </row>
    <row r="60" spans="2:18">
      <c r="E60" s="802">
        <f>+E50</f>
        <v>4753</v>
      </c>
      <c r="F60" s="801">
        <f>+'Summary Total Pigs'!AF95</f>
        <v>4753</v>
      </c>
      <c r="G60" s="801"/>
      <c r="H60" s="739">
        <f>+H50</f>
        <v>786664.00097004033</v>
      </c>
    </row>
    <row r="61" spans="2:18">
      <c r="E61" s="741">
        <f>+E59-E60</f>
        <v>0</v>
      </c>
      <c r="F61" s="740">
        <f>+F59-F60</f>
        <v>0</v>
      </c>
      <c r="G61" s="741"/>
      <c r="H61" s="739">
        <f>+H59-H60</f>
        <v>0</v>
      </c>
    </row>
  </sheetData>
  <pageMargins left="0.7" right="0.7" top="0.75" bottom="0.75" header="0.3" footer="0.3"/>
  <pageSetup paperSize="9" scale="45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4">
    <tabColor theme="3" tint="0.39997558519241921"/>
  </sheetPr>
  <dimension ref="A1:AE128"/>
  <sheetViews>
    <sheetView view="pageBreakPreview" topLeftCell="A67" zoomScaleNormal="100" zoomScaleSheetLayoutView="100" workbookViewId="0">
      <selection activeCell="E84" sqref="E84"/>
    </sheetView>
  </sheetViews>
  <sheetFormatPr defaultColWidth="9.140625" defaultRowHeight="13.15"/>
  <cols>
    <col min="1" max="1" width="11.28515625" style="739" customWidth="1"/>
    <col min="2" max="2" width="9.28515625" style="739" bestFit="1" customWidth="1"/>
    <col min="3" max="3" width="12.28515625" style="740" bestFit="1" customWidth="1"/>
    <col min="4" max="4" width="15.7109375" style="739" customWidth="1"/>
    <col min="5" max="5" width="15.42578125" style="741" customWidth="1"/>
    <col min="6" max="6" width="19.42578125" style="739" customWidth="1"/>
    <col min="7" max="7" width="12.7109375" style="740" bestFit="1" customWidth="1"/>
    <col min="8" max="8" width="18.28515625" style="739" customWidth="1"/>
    <col min="9" max="9" width="14" style="742" customWidth="1"/>
    <col min="10" max="10" width="18.140625" style="739" customWidth="1"/>
    <col min="11" max="11" width="11.85546875" style="739" customWidth="1"/>
    <col min="12" max="12" width="18" style="739" customWidth="1"/>
    <col min="13" max="13" width="17.5703125" style="739" customWidth="1"/>
    <col min="14" max="18" width="15" style="739" customWidth="1"/>
    <col min="19" max="20" width="14" style="739" customWidth="1"/>
    <col min="21" max="21" width="14.140625" style="739" customWidth="1"/>
    <col min="22" max="22" width="15.28515625" style="739" customWidth="1"/>
    <col min="23" max="23" width="11.5703125" style="739" customWidth="1"/>
    <col min="24" max="30" width="9.140625" style="739"/>
    <col min="31" max="31" width="9.28515625" style="739" bestFit="1" customWidth="1"/>
    <col min="32" max="16384" width="9.140625" style="739"/>
  </cols>
  <sheetData>
    <row r="1" spans="1:20">
      <c r="A1" s="31" t="s">
        <v>82</v>
      </c>
      <c r="H1" s="31"/>
    </row>
    <row r="2" spans="1:20">
      <c r="A2" s="31"/>
      <c r="H2" s="675">
        <f>+'Summary Total Pigs'!C3</f>
        <v>46226</v>
      </c>
      <c r="K2" s="734"/>
    </row>
    <row r="3" spans="1:20">
      <c r="A3" s="31" t="s">
        <v>1654</v>
      </c>
      <c r="G3" s="740" t="s">
        <v>138</v>
      </c>
      <c r="H3" s="31"/>
    </row>
    <row r="4" spans="1:20">
      <c r="A4" s="31"/>
      <c r="H4" s="743" t="s">
        <v>1729</v>
      </c>
    </row>
    <row r="5" spans="1:20">
      <c r="A5" s="686" t="s">
        <v>189</v>
      </c>
      <c r="B5" s="744"/>
      <c r="C5" s="745"/>
      <c r="D5" s="744"/>
      <c r="E5" s="746"/>
      <c r="F5" s="690">
        <f>+'Summary Total Pigs'!C3</f>
        <v>46226</v>
      </c>
      <c r="G5" s="745"/>
      <c r="H5" s="747"/>
      <c r="I5" s="748"/>
      <c r="J5" s="690">
        <f>+'Grasmere Valuation '!J5</f>
        <v>45870</v>
      </c>
      <c r="K5" s="744"/>
      <c r="L5" s="747"/>
    </row>
    <row r="6" spans="1:20">
      <c r="A6" s="749"/>
      <c r="B6" s="734"/>
      <c r="C6" s="736"/>
      <c r="D6" s="734"/>
      <c r="E6" s="750"/>
      <c r="F6" s="734"/>
      <c r="G6" s="736"/>
      <c r="H6" s="751"/>
      <c r="I6" s="752"/>
      <c r="J6" s="734"/>
      <c r="K6" s="734"/>
      <c r="L6" s="751"/>
    </row>
    <row r="7" spans="1:20">
      <c r="A7" s="694" t="s">
        <v>1656</v>
      </c>
      <c r="B7" s="695" t="s">
        <v>1657</v>
      </c>
      <c r="C7" s="696" t="s">
        <v>1658</v>
      </c>
      <c r="D7" s="695" t="s">
        <v>1659</v>
      </c>
      <c r="E7" s="698" t="s">
        <v>1660</v>
      </c>
      <c r="F7" s="695" t="s">
        <v>1661</v>
      </c>
      <c r="G7" s="696" t="s">
        <v>1662</v>
      </c>
      <c r="H7" s="697" t="s">
        <v>1663</v>
      </c>
      <c r="I7" s="753" t="s">
        <v>1660</v>
      </c>
      <c r="J7" s="695" t="s">
        <v>1661</v>
      </c>
      <c r="K7" s="695" t="s">
        <v>1662</v>
      </c>
      <c r="L7" s="697" t="s">
        <v>1663</v>
      </c>
      <c r="M7" s="31"/>
    </row>
    <row r="8" spans="1:20">
      <c r="A8" s="699"/>
      <c r="B8" s="700" t="s">
        <v>1664</v>
      </c>
      <c r="C8" s="701" t="s">
        <v>1665</v>
      </c>
      <c r="D8" s="700" t="s">
        <v>181</v>
      </c>
      <c r="E8" s="703" t="s">
        <v>1666</v>
      </c>
      <c r="F8" s="700"/>
      <c r="G8" s="701" t="s">
        <v>1668</v>
      </c>
      <c r="H8" s="702"/>
      <c r="I8" s="754" t="s">
        <v>1666</v>
      </c>
      <c r="J8" s="700"/>
      <c r="K8" s="700" t="s">
        <v>1668</v>
      </c>
      <c r="L8" s="702"/>
      <c r="M8" s="31"/>
    </row>
    <row r="9" spans="1:20">
      <c r="A9" s="31" t="s">
        <v>179</v>
      </c>
      <c r="B9" s="31"/>
      <c r="C9" s="743"/>
      <c r="D9" s="31"/>
      <c r="E9" s="698"/>
      <c r="F9" s="695"/>
      <c r="G9" s="696"/>
      <c r="H9" s="751">
        <f>SUM('Richlands Pig Cost'!B62:R62)</f>
        <v>198132.13901345298</v>
      </c>
      <c r="I9" s="753"/>
      <c r="J9" s="695"/>
      <c r="K9" s="695"/>
      <c r="L9" s="751">
        <v>82251.928402328151</v>
      </c>
      <c r="M9" s="739">
        <f>+H9-L9</f>
        <v>115880.21061112483</v>
      </c>
      <c r="T9" s="739">
        <f>+H9-L9</f>
        <v>115880.21061112483</v>
      </c>
    </row>
    <row r="10" spans="1:20">
      <c r="B10" s="741">
        <v>1</v>
      </c>
      <c r="C10" s="693">
        <f>VLOOKUP(B10,[65]New!$O$1:$AJ$37,5,0)</f>
        <v>1.3876506934901334</v>
      </c>
      <c r="D10" s="1890">
        <f>VLOOKUP(B10,[65]New!$A$1:$AJ$37,20,0)</f>
        <v>0.86034342996388269</v>
      </c>
      <c r="E10" s="1152">
        <f>+'Richlands Batch Mvnt'!B4</f>
        <v>276</v>
      </c>
      <c r="F10" s="734">
        <f>D10*E10</f>
        <v>237.45478667003161</v>
      </c>
      <c r="G10" s="736">
        <f>H10/F10</f>
        <v>111.56362648046996</v>
      </c>
      <c r="H10" s="751">
        <f>'Richlands Pig Cost'!$S$62</f>
        <v>26491.317126055084</v>
      </c>
      <c r="I10" s="755">
        <v>612</v>
      </c>
      <c r="J10" s="734">
        <v>526.85692510331876</v>
      </c>
      <c r="K10" s="736">
        <v>21.147224555632842</v>
      </c>
      <c r="L10" s="751">
        <v>11141.561703850115</v>
      </c>
      <c r="M10" s="739">
        <f t="shared" ref="M10:M41" si="0">+H10-L10</f>
        <v>15349.755422204969</v>
      </c>
    </row>
    <row r="11" spans="1:20">
      <c r="B11" s="741">
        <v>2</v>
      </c>
      <c r="C11" s="693">
        <f>VLOOKUP(B11,[65]New!$O$1:$AJ$37,5,0)</f>
        <v>2.3590061789332268</v>
      </c>
      <c r="D11" s="1890">
        <f>VLOOKUP(B11,[65]New!$A$1:$AJ$37,20,0)</f>
        <v>1.4625838309386006</v>
      </c>
      <c r="E11" s="1152">
        <f>+'Richlands Batch Mvnt'!B5</f>
        <v>637</v>
      </c>
      <c r="F11" s="734">
        <f t="shared" ref="F11:F13" si="1">D11*E11</f>
        <v>931.66590030788859</v>
      </c>
      <c r="G11" s="736">
        <f t="shared" ref="G11:G26" si="2">H11/F11</f>
        <v>32.956021714586036</v>
      </c>
      <c r="H11" s="751">
        <f>'Richlands Pig Cost'!$T$62</f>
        <v>30704.001641286126</v>
      </c>
      <c r="I11" s="755">
        <v>640</v>
      </c>
      <c r="J11" s="734">
        <v>936.63453351701105</v>
      </c>
      <c r="K11" s="736">
        <v>14.762541433513571</v>
      </c>
      <c r="L11" s="751">
        <v>13827.10610910453</v>
      </c>
      <c r="M11" s="739">
        <f t="shared" si="0"/>
        <v>16876.895532181596</v>
      </c>
    </row>
    <row r="12" spans="1:20">
      <c r="A12" s="31" t="s">
        <v>384</v>
      </c>
      <c r="B12" s="741">
        <v>3</v>
      </c>
      <c r="C12" s="693">
        <f>VLOOKUP(B12,[65]New!$O$1:$AJ$37,5,0)</f>
        <v>3.7744098862931628</v>
      </c>
      <c r="D12" s="1890">
        <f>VLOOKUP(B12,[65]New!$A$1:$AJ$37,20,0)</f>
        <v>2.3401341295017608</v>
      </c>
      <c r="E12" s="1152">
        <f>+'Richlands Batch Mvnt'!B6</f>
        <v>602</v>
      </c>
      <c r="F12" s="734">
        <f t="shared" si="1"/>
        <v>1408.7607459600599</v>
      </c>
      <c r="G12" s="736">
        <f t="shared" si="2"/>
        <v>24.346334243496852</v>
      </c>
      <c r="H12" s="751">
        <f>'Richlands Pig Cost'!$U$62</f>
        <v>34298.159990261578</v>
      </c>
      <c r="I12" s="755">
        <v>658</v>
      </c>
      <c r="J12" s="734">
        <v>1540.7638076354833</v>
      </c>
      <c r="K12" s="736">
        <v>10.201348496005458</v>
      </c>
      <c r="L12" s="751">
        <v>15717.868551721882</v>
      </c>
      <c r="M12" s="739">
        <f t="shared" si="0"/>
        <v>18580.291438539694</v>
      </c>
    </row>
    <row r="13" spans="1:20">
      <c r="A13" s="31"/>
      <c r="B13" s="757">
        <v>4</v>
      </c>
      <c r="C13" s="693">
        <f>VLOOKUP(B13,[65]New!$O$1:$AJ$37,5,0)</f>
        <v>5.6616148294397437</v>
      </c>
      <c r="D13" s="1890">
        <f>VLOOKUP(B13,[65]New!$A$1:$AJ$37,20,0)</f>
        <v>3.510201194252641</v>
      </c>
      <c r="E13" s="1153">
        <f>+'Richlands Batch Mvnt'!B7</f>
        <v>601</v>
      </c>
      <c r="F13" s="734">
        <f t="shared" si="1"/>
        <v>2109.6309177458375</v>
      </c>
      <c r="G13" s="736">
        <f t="shared" si="2"/>
        <v>13.965960355410672</v>
      </c>
      <c r="H13" s="751">
        <f>'Richlands Pig Cost'!$V$62</f>
        <v>29463.021761787</v>
      </c>
      <c r="I13" s="758">
        <v>603</v>
      </c>
      <c r="J13" s="759">
        <v>2117.9648389153413</v>
      </c>
      <c r="K13" s="736">
        <v>6.7247584567771872</v>
      </c>
      <c r="L13" s="751">
        <v>14242.801961652674</v>
      </c>
      <c r="M13" s="739">
        <f t="shared" si="0"/>
        <v>15220.219800134326</v>
      </c>
    </row>
    <row r="14" spans="1:20">
      <c r="A14" s="31"/>
      <c r="B14" s="741">
        <v>5</v>
      </c>
      <c r="C14" s="693">
        <f>VLOOKUP(B14,[65]New!$O$1:$AJ$37,5,0)</f>
        <v>7.4719652726391805</v>
      </c>
      <c r="D14" s="1315">
        <f>VLOOKUP(B14,[65]New!$A$1:$AJ$37,20,0)</f>
        <v>5.1556560381210339</v>
      </c>
      <c r="E14" s="1315">
        <f>+'Richlands Batch Mvnt'!B8</f>
        <v>638</v>
      </c>
      <c r="F14" s="734">
        <f>D14*E14</f>
        <v>3289.3085523212198</v>
      </c>
      <c r="G14" s="736">
        <f t="shared" si="2"/>
        <v>8.2702236809172973</v>
      </c>
      <c r="H14" s="751">
        <f>'Richlands Pig Cost'!$W$62</f>
        <v>27203.317483250743</v>
      </c>
      <c r="I14" s="1159">
        <v>546</v>
      </c>
      <c r="J14" s="744">
        <v>2816.7350787070218</v>
      </c>
      <c r="K14" s="736">
        <v>4.1857210069858475</v>
      </c>
      <c r="L14" s="751">
        <v>11790.067190057916</v>
      </c>
      <c r="M14" s="739">
        <f t="shared" si="0"/>
        <v>15413.250293192827</v>
      </c>
    </row>
    <row r="15" spans="1:20">
      <c r="A15" s="31"/>
      <c r="B15" s="741">
        <v>6</v>
      </c>
      <c r="C15" s="693">
        <f>VLOOKUP(B15,[65]New!$O$1:$AJ$37,5,0)</f>
        <v>10.176105085594312</v>
      </c>
      <c r="D15" s="1155">
        <f>VLOOKUP(B15,[65]New!$A$1:$AJ$37,20,0)</f>
        <v>7.0215125090600745</v>
      </c>
      <c r="E15" s="1155">
        <f>+'Richlands Batch Mvnt'!B9</f>
        <v>622</v>
      </c>
      <c r="F15" s="734">
        <f t="shared" ref="F15:F32" si="3">D15*E15</f>
        <v>4367.3807806353661</v>
      </c>
      <c r="G15" s="736">
        <f t="shared" si="2"/>
        <v>10.385373420109484</v>
      </c>
      <c r="H15" s="751">
        <f>'Richlands Pig Cost'!$X$62</f>
        <v>45356.880274707546</v>
      </c>
      <c r="I15" s="755">
        <v>537</v>
      </c>
      <c r="J15" s="734">
        <v>3772.8920884177733</v>
      </c>
      <c r="K15" s="736">
        <v>5.2137389335506734</v>
      </c>
      <c r="L15" s="751">
        <v>19670.874373469054</v>
      </c>
      <c r="M15" s="739">
        <f t="shared" si="0"/>
        <v>25686.005901238492</v>
      </c>
    </row>
    <row r="16" spans="1:20">
      <c r="A16" s="31" t="s">
        <v>389</v>
      </c>
      <c r="B16" s="741">
        <v>7</v>
      </c>
      <c r="C16" s="693">
        <f>VLOOKUP(B16,[65]New!$O$1:$AJ$37,5,0)</f>
        <v>12.880244898549444</v>
      </c>
      <c r="D16" s="1155">
        <f>VLOOKUP(B16,[65]New!$A$1:$AJ$37,20,0)</f>
        <v>8.8873689799991151</v>
      </c>
      <c r="E16" s="1155">
        <f>+'Richlands Batch Mvnt'!B10</f>
        <v>605</v>
      </c>
      <c r="F16" s="734">
        <f t="shared" si="3"/>
        <v>5376.8582328994644</v>
      </c>
      <c r="G16" s="736">
        <f t="shared" si="2"/>
        <v>9.518025117354842</v>
      </c>
      <c r="H16" s="751">
        <f>'Richlands Pig Cost'!$Y$62</f>
        <v>51177.071713193269</v>
      </c>
      <c r="I16" s="755">
        <v>528</v>
      </c>
      <c r="J16" s="734">
        <v>4695.4428397326483</v>
      </c>
      <c r="K16" s="736">
        <v>4.270058599689226</v>
      </c>
      <c r="L16" s="751">
        <v>20049.816077149597</v>
      </c>
      <c r="M16" s="739">
        <f t="shared" si="0"/>
        <v>31127.255636043672</v>
      </c>
    </row>
    <row r="17" spans="1:13">
      <c r="A17" s="31"/>
      <c r="B17" s="764">
        <v>8</v>
      </c>
      <c r="C17" s="693">
        <f>VLOOKUP(B17,[65]New!$O$1:$AJ$37,5,0)</f>
        <v>15.584384711504576</v>
      </c>
      <c r="D17" s="1155">
        <f>VLOOKUP(B17,[65]New!$A$1:$AJ$37,20,0)</f>
        <v>10.753225450938157</v>
      </c>
      <c r="E17" s="1155">
        <f>+'Richlands Batch Mvnt'!B11</f>
        <v>627</v>
      </c>
      <c r="F17" s="734">
        <f t="shared" si="3"/>
        <v>6742.2723577382239</v>
      </c>
      <c r="G17" s="736">
        <f t="shared" si="2"/>
        <v>7.0366497481130956</v>
      </c>
      <c r="H17" s="751">
        <f>'Richlands Pig Cost'!$Z$62</f>
        <v>47443.00908778856</v>
      </c>
      <c r="I17" s="755">
        <v>521</v>
      </c>
      <c r="J17" s="734">
        <v>5605.9071296946186</v>
      </c>
      <c r="K17" s="736">
        <v>4.037415396465236</v>
      </c>
      <c r="L17" s="751">
        <v>22633.375756583289</v>
      </c>
      <c r="M17" s="739">
        <f t="shared" si="0"/>
        <v>24809.63333120527</v>
      </c>
    </row>
    <row r="18" spans="1:13">
      <c r="A18" s="31"/>
      <c r="B18" s="757">
        <v>9</v>
      </c>
      <c r="C18" s="693">
        <f>VLOOKUP(B18,[65]New!$O$1:$AJ$37,5,0)</f>
        <v>20.014192694569232</v>
      </c>
      <c r="D18" s="1155">
        <f>VLOOKUP(B18,[65]New!$A$1:$AJ$37,20,0)</f>
        <v>13.80979295925277</v>
      </c>
      <c r="E18" s="1314">
        <f>+'Richlands Batch Mvnt'!B12</f>
        <v>669</v>
      </c>
      <c r="F18" s="759">
        <f t="shared" si="3"/>
        <v>9238.7514897401034</v>
      </c>
      <c r="G18" s="736">
        <f t="shared" si="2"/>
        <v>7.0773408576832644</v>
      </c>
      <c r="H18" s="751">
        <f>'Richlands Pig Cost'!$AA$62</f>
        <v>65385.793392319756</v>
      </c>
      <c r="I18" s="758">
        <v>520</v>
      </c>
      <c r="J18" s="759">
        <v>7185.5486701709742</v>
      </c>
      <c r="K18" s="736">
        <v>4.8773813571065947</v>
      </c>
      <c r="L18" s="751">
        <v>35046.661124473991</v>
      </c>
      <c r="M18" s="739">
        <f t="shared" si="0"/>
        <v>30339.132267845765</v>
      </c>
    </row>
    <row r="19" spans="1:13">
      <c r="A19" s="31"/>
      <c r="B19" s="741">
        <v>10</v>
      </c>
      <c r="C19" s="693">
        <f>VLOOKUP(B19,[65]New!$O$1:$AJ$37,5,0)</f>
        <v>24.444000677633895</v>
      </c>
      <c r="D19" s="1315">
        <f>VLOOKUP(B19,[65]New!$A$1:$AJ$37,20,0)</f>
        <v>16.866360467567386</v>
      </c>
      <c r="E19" s="1155">
        <f>+'Richlands Batch Mvnt'!B13</f>
        <v>628</v>
      </c>
      <c r="F19" s="734">
        <f t="shared" si="3"/>
        <v>10592.074373632318</v>
      </c>
      <c r="G19" s="736">
        <f t="shared" si="2"/>
        <v>6.8407717715530696</v>
      </c>
      <c r="H19" s="751">
        <f>'Richlands Pig Cost'!$AB$62</f>
        <v>72457.963377334629</v>
      </c>
      <c r="I19" s="755">
        <v>509</v>
      </c>
      <c r="J19" s="734">
        <v>8590.3050107056315</v>
      </c>
      <c r="K19" s="736">
        <v>4.781104143011186</v>
      </c>
      <c r="L19" s="751">
        <v>41071.142876414444</v>
      </c>
      <c r="M19" s="739">
        <f t="shared" si="0"/>
        <v>31386.820500920185</v>
      </c>
    </row>
    <row r="20" spans="1:13">
      <c r="A20" s="31"/>
      <c r="B20" s="741">
        <v>11</v>
      </c>
      <c r="C20" s="693">
        <f>VLOOKUP(B20,[65]New!$O$1:$AJ$37,5,0)</f>
        <v>29.194035743811668</v>
      </c>
      <c r="D20" s="1156">
        <f>VLOOKUP(B20,[65]New!$A$1:$AJ$37,20,0)</f>
        <v>20.14388466323005</v>
      </c>
      <c r="E20" s="1156">
        <f>+'Richlands Batch Mvnt'!B14</f>
        <v>537</v>
      </c>
      <c r="F20" s="734">
        <f t="shared" si="3"/>
        <v>10817.266064154537</v>
      </c>
      <c r="G20" s="736">
        <f t="shared" si="2"/>
        <v>7.0936038822568017</v>
      </c>
      <c r="H20" s="751">
        <f>'Richlands Pig Cost'!$AC$62</f>
        <v>76733.400548091377</v>
      </c>
      <c r="I20" s="755">
        <v>500</v>
      </c>
      <c r="J20" s="734">
        <v>10078.192622009035</v>
      </c>
      <c r="K20" s="736">
        <v>4.2766124980354103</v>
      </c>
      <c r="L20" s="751">
        <v>43100.524524892106</v>
      </c>
      <c r="M20" s="739">
        <f t="shared" si="0"/>
        <v>33632.876023199271</v>
      </c>
    </row>
    <row r="21" spans="1:13">
      <c r="A21" s="31"/>
      <c r="B21" s="741">
        <v>12</v>
      </c>
      <c r="C21" s="693">
        <f>VLOOKUP(B21,[65]New!$O$1:$AJ$37,5,0)</f>
        <v>33.944070809989427</v>
      </c>
      <c r="D21" s="1156">
        <f>VLOOKUP(B21,[65]New!$A$1:$AJ$37,20,0)</f>
        <v>23.421408858892701</v>
      </c>
      <c r="E21" s="1156">
        <f>+'Richlands Batch Mvnt'!B15</f>
        <v>552</v>
      </c>
      <c r="F21" s="734">
        <f t="shared" si="3"/>
        <v>12928.617690108771</v>
      </c>
      <c r="G21" s="736">
        <f t="shared" si="2"/>
        <v>6.6748556403862471</v>
      </c>
      <c r="H21" s="751">
        <f>'Richlands Pig Cost'!$AD$62</f>
        <v>86296.656711219941</v>
      </c>
      <c r="I21" s="755">
        <v>510</v>
      </c>
      <c r="J21" s="734">
        <v>11952.331111059781</v>
      </c>
      <c r="K21" s="736">
        <v>3.3067027168995553</v>
      </c>
      <c r="L21" s="751">
        <v>39522.805758224458</v>
      </c>
      <c r="M21" s="739">
        <f t="shared" si="0"/>
        <v>46773.850952995483</v>
      </c>
    </row>
    <row r="22" spans="1:13">
      <c r="A22" s="31"/>
      <c r="B22" s="741">
        <v>13</v>
      </c>
      <c r="C22" s="693">
        <f>VLOOKUP(B22,[65]New!$O$1:$AJ$37,5,0)</f>
        <v>41.309293721590919</v>
      </c>
      <c r="D22" s="1156">
        <f>VLOOKUP(B22,[65]New!$A$1:$AJ$37,20,0)</f>
        <v>28.503412667897731</v>
      </c>
      <c r="E22" s="1156">
        <f>+'Richlands Batch Mvnt'!B16</f>
        <v>505</v>
      </c>
      <c r="F22" s="734">
        <f t="shared" si="3"/>
        <v>14394.223397288353</v>
      </c>
      <c r="G22" s="736">
        <f t="shared" si="2"/>
        <v>6.866220974637061</v>
      </c>
      <c r="H22" s="751">
        <f>'Richlands Pig Cost'!$AE$62</f>
        <v>98833.918604072824</v>
      </c>
      <c r="I22" s="755">
        <v>512</v>
      </c>
      <c r="J22" s="734">
        <v>14602.80364822931</v>
      </c>
      <c r="K22" s="736">
        <v>3.1893519865129334</v>
      </c>
      <c r="L22" s="751">
        <v>46573.48082413846</v>
      </c>
      <c r="M22" s="739">
        <f t="shared" si="0"/>
        <v>52260.437779934364</v>
      </c>
    </row>
    <row r="23" spans="1:13">
      <c r="A23" s="31"/>
      <c r="B23" s="741">
        <v>14</v>
      </c>
      <c r="C23" s="693">
        <f>VLOOKUP(B23,[65]New!$O$1:$AJ$37,5,0)</f>
        <v>48.674516633192397</v>
      </c>
      <c r="D23" s="1156">
        <f>VLOOKUP(B23,[65]New!$A$1:$AJ$37,20,0)</f>
        <v>35.045651975898522</v>
      </c>
      <c r="E23" s="1156">
        <f>+'Richlands Batch Mvnt'!B17</f>
        <v>537</v>
      </c>
      <c r="F23" s="734">
        <f t="shared" si="3"/>
        <v>18819.515111057506</v>
      </c>
      <c r="G23" s="736">
        <f t="shared" si="2"/>
        <v>5.9219411513012359</v>
      </c>
      <c r="H23" s="751">
        <f>'Richlands Pig Cost'!$AF$62</f>
        <v>111448.06098370689</v>
      </c>
      <c r="I23" s="755">
        <v>515</v>
      </c>
      <c r="J23" s="734">
        <v>18059.711033610187</v>
      </c>
      <c r="K23" s="736">
        <v>2.651087487456782</v>
      </c>
      <c r="L23" s="751">
        <v>47877.873948289154</v>
      </c>
      <c r="M23" s="739">
        <f t="shared" si="0"/>
        <v>63570.187035417737</v>
      </c>
    </row>
    <row r="24" spans="1:13">
      <c r="A24" s="31" t="s">
        <v>397</v>
      </c>
      <c r="B24" s="741">
        <v>15</v>
      </c>
      <c r="C24" s="693">
        <f>VLOOKUP(B24,[65]New!$O$1:$AJ$37,5,0)</f>
        <v>57.498551812309145</v>
      </c>
      <c r="D24" s="1156">
        <f>VLOOKUP(B24,[65]New!$A$1:$AJ$37,20,0)</f>
        <v>41.398957304862584</v>
      </c>
      <c r="E24" s="1156">
        <f>+'Richlands Batch Mvnt'!B18</f>
        <v>527</v>
      </c>
      <c r="F24" s="734">
        <f t="shared" si="3"/>
        <v>21817.250499662583</v>
      </c>
      <c r="G24" s="736">
        <f t="shared" si="2"/>
        <v>5.5726699510081339</v>
      </c>
      <c r="H24" s="751">
        <f>'Richlands Pig Cost'!$AG$62</f>
        <v>121580.33627308687</v>
      </c>
      <c r="I24" s="755">
        <v>508</v>
      </c>
      <c r="J24" s="734">
        <v>21043.721199397525</v>
      </c>
      <c r="K24" s="736">
        <v>2.6150564934387246</v>
      </c>
      <c r="L24" s="751">
        <v>55030.519768598642</v>
      </c>
      <c r="M24" s="739">
        <f t="shared" si="0"/>
        <v>66549.816504488233</v>
      </c>
    </row>
    <row r="25" spans="1:13">
      <c r="A25" s="31"/>
      <c r="B25" s="741">
        <v>16</v>
      </c>
      <c r="C25" s="693">
        <f>VLOOKUP(B25,[65]New!$O$1:$AJ$37,5,0)</f>
        <v>66.322586991425908</v>
      </c>
      <c r="D25" s="1156">
        <f>VLOOKUP(B25,[65]New!$A$1:$AJ$37,20,0)</f>
        <v>49.078714373655167</v>
      </c>
      <c r="E25" s="1156">
        <f>+'Richlands Batch Mvnt'!B19</f>
        <v>495</v>
      </c>
      <c r="F25" s="734">
        <f t="shared" si="3"/>
        <v>24293.963614959306</v>
      </c>
      <c r="G25" s="736">
        <f t="shared" si="2"/>
        <v>4.657349020957902</v>
      </c>
      <c r="H25" s="751">
        <f>'Richlands Pig Cost'!$AH$62</f>
        <v>113145.46765731763</v>
      </c>
      <c r="I25" s="755">
        <v>524</v>
      </c>
      <c r="J25" s="734">
        <v>25733.205543277632</v>
      </c>
      <c r="K25" s="736">
        <v>2.3971758684762756</v>
      </c>
      <c r="L25" s="751">
        <v>61687.01934688507</v>
      </c>
      <c r="M25" s="739">
        <f t="shared" si="0"/>
        <v>51458.448310432555</v>
      </c>
    </row>
    <row r="26" spans="1:13" s="1843" customFormat="1">
      <c r="A26" s="1840"/>
      <c r="B26" s="1841">
        <v>17</v>
      </c>
      <c r="C26" s="693">
        <f>VLOOKUP(B26,[65]New!$O$1:$AJ$37,5,0)</f>
        <v>75.14662217054267</v>
      </c>
      <c r="D26" s="1156">
        <f>VLOOKUP(B26,[65]New!$A$1:$AJ$37,20,0)</f>
        <v>55.608500406201571</v>
      </c>
      <c r="E26" s="1834">
        <f>+'Richlands Batch Mvnt'!B20</f>
        <v>528</v>
      </c>
      <c r="F26" s="1842">
        <f t="shared" si="3"/>
        <v>29361.288214474429</v>
      </c>
      <c r="G26" s="736">
        <f t="shared" si="2"/>
        <v>3.9514190737417509</v>
      </c>
      <c r="H26" s="751">
        <f>'Richlands Pig Cost'!$AI$62</f>
        <v>116018.75428030314</v>
      </c>
      <c r="I26" s="788">
        <v>518</v>
      </c>
      <c r="J26" s="1842">
        <v>28823.078698475765</v>
      </c>
      <c r="K26" s="736">
        <v>2.2960841431839256</v>
      </c>
      <c r="L26" s="751">
        <v>66180.21395731259</v>
      </c>
      <c r="M26" s="1843">
        <f t="shared" si="0"/>
        <v>49838.54032299055</v>
      </c>
    </row>
    <row r="27" spans="1:13">
      <c r="A27" s="31"/>
      <c r="B27" s="741">
        <v>18</v>
      </c>
      <c r="C27" s="693">
        <f>VLOOKUP(B27,[65]New!$O$1:$AJ$37,5,0)</f>
        <v>86.784348533153249</v>
      </c>
      <c r="D27" s="1156">
        <f>VLOOKUP(B27,[65]New!$A$1:$AJ$37,20,0)</f>
        <v>65.956104885196467</v>
      </c>
      <c r="E27" s="1156">
        <f>+'Richlands Batch Mvnt'!B21</f>
        <v>516</v>
      </c>
      <c r="F27" s="734">
        <f t="shared" si="3"/>
        <v>34033.350120761374</v>
      </c>
      <c r="G27" s="1846">
        <f>'[66]Selling Price Working'!$K$8</f>
        <v>2.5075584643557285</v>
      </c>
      <c r="H27" s="721">
        <f t="shared" ref="H27:H32" si="4">G27*F27</f>
        <v>85340.615165697236</v>
      </c>
      <c r="I27" s="755">
        <v>511</v>
      </c>
      <c r="J27" s="734">
        <v>33724.484836946984</v>
      </c>
      <c r="K27" s="1846">
        <v>2.4790213794679139</v>
      </c>
      <c r="L27" s="721">
        <v>83603.71892233305</v>
      </c>
      <c r="M27" s="739">
        <f t="shared" si="0"/>
        <v>1736.8962433641864</v>
      </c>
    </row>
    <row r="28" spans="1:13">
      <c r="A28" s="31"/>
      <c r="B28" s="741">
        <v>19</v>
      </c>
      <c r="C28" s="693">
        <f>VLOOKUP(B28,[65]New!$O$1:$AJ$37,5,0)</f>
        <v>100.39961758446233</v>
      </c>
      <c r="D28" s="1156">
        <f>VLOOKUP(B28,[65]New!$A$1:$AJ$37,20,0)</f>
        <v>76.303709364191377</v>
      </c>
      <c r="E28" s="1156">
        <f>+'Richlands Batch Mvnt'!B22</f>
        <v>510</v>
      </c>
      <c r="F28" s="734">
        <f t="shared" si="3"/>
        <v>38914.891775737604</v>
      </c>
      <c r="G28" s="1826">
        <f t="shared" ref="G28:G40" si="5">G27</f>
        <v>2.5075584643557285</v>
      </c>
      <c r="H28" s="721">
        <f t="shared" si="4"/>
        <v>97581.36626173796</v>
      </c>
      <c r="I28" s="755">
        <v>509</v>
      </c>
      <c r="J28" s="734">
        <v>38862.689917428113</v>
      </c>
      <c r="K28" s="1826">
        <v>2.4790213794679139</v>
      </c>
      <c r="L28" s="721">
        <v>96341.439168936427</v>
      </c>
      <c r="M28" s="739">
        <f t="shared" si="0"/>
        <v>1239.9270928015321</v>
      </c>
    </row>
    <row r="29" spans="1:13">
      <c r="A29" s="31"/>
      <c r="B29" s="741">
        <v>20</v>
      </c>
      <c r="C29" s="693">
        <f>VLOOKUP(B29,[65]New!$O$1:$AJ$37,5,0)</f>
        <v>114.01488663577145</v>
      </c>
      <c r="D29" s="1156">
        <f>VLOOKUP(B29,[65]New!$A$1:$AJ$37,20,0)</f>
        <v>86.651313843186301</v>
      </c>
      <c r="E29" s="1156">
        <f>+'Richlands Batch Mvnt'!B23</f>
        <v>528</v>
      </c>
      <c r="F29" s="734">
        <f t="shared" si="3"/>
        <v>45751.89370920237</v>
      </c>
      <c r="G29" s="1826">
        <f t="shared" si="5"/>
        <v>2.5075584643557285</v>
      </c>
      <c r="H29" s="721">
        <f t="shared" si="4"/>
        <v>114725.54833081401</v>
      </c>
      <c r="I29" s="755">
        <v>478</v>
      </c>
      <c r="J29" s="734">
        <v>41445.031383832458</v>
      </c>
      <c r="K29" s="1826">
        <v>2.4790213794679139</v>
      </c>
      <c r="L29" s="721">
        <v>102743.11887323932</v>
      </c>
      <c r="M29" s="739">
        <f t="shared" si="0"/>
        <v>11982.42945757469</v>
      </c>
    </row>
    <row r="30" spans="1:13">
      <c r="A30" s="31"/>
      <c r="B30" s="764">
        <v>21</v>
      </c>
      <c r="C30" s="693">
        <f>VLOOKUP(B30,[65]New!$O$1:$AJ$37,5,0)</f>
        <v>120.25088772797412</v>
      </c>
      <c r="D30" s="1156">
        <f>VLOOKUP(B30,[65]New!$A$1:$AJ$37,20,0)</f>
        <v>91.390674673260335</v>
      </c>
      <c r="E30" s="1156">
        <f>+'Richlands Batch Mvnt'!B24</f>
        <v>598</v>
      </c>
      <c r="F30" s="734">
        <f t="shared" si="3"/>
        <v>54651.623454609682</v>
      </c>
      <c r="G30" s="1826">
        <f t="shared" si="5"/>
        <v>2.5075584643557285</v>
      </c>
      <c r="H30" s="721">
        <f t="shared" si="4"/>
        <v>137042.14098438856</v>
      </c>
      <c r="I30" s="755">
        <v>514</v>
      </c>
      <c r="J30" s="734">
        <v>47003.957682043467</v>
      </c>
      <c r="K30" s="1826">
        <v>2.4790213794679139</v>
      </c>
      <c r="L30" s="721">
        <v>116523.81601339084</v>
      </c>
      <c r="M30" s="739">
        <f t="shared" si="0"/>
        <v>20518.324970997724</v>
      </c>
    </row>
    <row r="31" spans="1:13">
      <c r="A31" s="31"/>
      <c r="B31" s="764">
        <v>22</v>
      </c>
      <c r="C31" s="693">
        <f>VLOOKUP(B31,[65]New!$O$1:$AJ$37,5,0)</f>
        <v>129.45192195301669</v>
      </c>
      <c r="D31" s="1156">
        <f>VLOOKUP(B31,[65]New!$A$1:$AJ$37,20,0)</f>
        <v>98.383460684292686</v>
      </c>
      <c r="E31" s="1156">
        <f>+'Richlands Batch Mvnt'!B25</f>
        <v>7</v>
      </c>
      <c r="F31" s="734">
        <f t="shared" si="3"/>
        <v>688.6842247900488</v>
      </c>
      <c r="G31" s="1826">
        <f t="shared" si="5"/>
        <v>2.5075584643557285</v>
      </c>
      <c r="H31" s="721">
        <f t="shared" si="4"/>
        <v>1726.9159571405501</v>
      </c>
      <c r="I31" s="755">
        <v>17</v>
      </c>
      <c r="J31" s="734">
        <v>1673.556737534635</v>
      </c>
      <c r="K31" s="1826">
        <v>2.4790213794679139</v>
      </c>
      <c r="L31" s="721">
        <v>4148.7829321009322</v>
      </c>
      <c r="M31" s="739">
        <f t="shared" si="0"/>
        <v>-2421.8669749603823</v>
      </c>
    </row>
    <row r="32" spans="1:13">
      <c r="A32" s="31"/>
      <c r="B32" s="764">
        <f>+B31+1</f>
        <v>23</v>
      </c>
      <c r="C32" s="693">
        <f>VLOOKUP(B32,[65]New!$O$1:$AJ$37,5,0)</f>
        <v>132.72288991237937</v>
      </c>
      <c r="D32" s="1156">
        <f>VLOOKUP(B32,[65]New!$A$1:$AJ$37,20,0)</f>
        <v>100.86939633340833</v>
      </c>
      <c r="E32" s="1156">
        <f>+'Richlands Batch Mvnt'!B26</f>
        <v>0</v>
      </c>
      <c r="F32" s="734">
        <f t="shared" si="3"/>
        <v>0</v>
      </c>
      <c r="G32" s="1826">
        <f t="shared" si="5"/>
        <v>2.5075584643557285</v>
      </c>
      <c r="H32" s="721">
        <f t="shared" si="4"/>
        <v>0</v>
      </c>
      <c r="I32" s="775">
        <v>0</v>
      </c>
      <c r="J32" s="734">
        <v>0</v>
      </c>
      <c r="K32" s="1826">
        <v>2.4790213794679139</v>
      </c>
      <c r="L32" s="721">
        <v>0</v>
      </c>
      <c r="M32" s="739">
        <f t="shared" si="0"/>
        <v>0</v>
      </c>
    </row>
    <row r="33" spans="1:27">
      <c r="A33" s="31"/>
      <c r="B33" s="764">
        <f>+B32+1</f>
        <v>24</v>
      </c>
      <c r="C33" s="693">
        <f>VLOOKUP(B33,[65]New!$O$1:$AJ$37,5,0)</f>
        <v>138.958891004582</v>
      </c>
      <c r="D33" s="1156">
        <f>VLOOKUP(B33,[65]New!$A$1:$AJ$37,20,0)</f>
        <v>105.60875716348232</v>
      </c>
      <c r="E33" s="1156">
        <f>+'Richlands Batch Mvnt'!B27</f>
        <v>0</v>
      </c>
      <c r="F33" s="734">
        <f t="shared" ref="F33:F40" si="6">D33*E33</f>
        <v>0</v>
      </c>
      <c r="G33" s="1826">
        <f t="shared" si="5"/>
        <v>2.5075584643557285</v>
      </c>
      <c r="H33" s="721">
        <f t="shared" ref="H33:H40" si="7">G33*F33</f>
        <v>0</v>
      </c>
      <c r="I33" s="775">
        <v>0</v>
      </c>
      <c r="J33" s="734">
        <v>0</v>
      </c>
      <c r="K33" s="1826">
        <v>2.4790213794679139</v>
      </c>
      <c r="L33" s="721">
        <v>0</v>
      </c>
      <c r="M33" s="739">
        <f t="shared" si="0"/>
        <v>0</v>
      </c>
    </row>
    <row r="34" spans="1:27">
      <c r="A34" s="31"/>
      <c r="B34" s="764">
        <v>25</v>
      </c>
      <c r="C34" s="693">
        <f>VLOOKUP(B34,[65]New!$O$1:$AJ$37,5,0)</f>
        <v>145.19489209678466</v>
      </c>
      <c r="D34" s="1156">
        <f>VLOOKUP(B34,[65]New!$A$1:$AJ$37,20,0)</f>
        <v>110.34811799355634</v>
      </c>
      <c r="E34" s="1156">
        <v>0</v>
      </c>
      <c r="F34" s="734">
        <f t="shared" si="6"/>
        <v>0</v>
      </c>
      <c r="G34" s="1826">
        <f t="shared" si="5"/>
        <v>2.5075584643557285</v>
      </c>
      <c r="H34" s="721">
        <f t="shared" si="7"/>
        <v>0</v>
      </c>
      <c r="I34" s="793">
        <v>0</v>
      </c>
      <c r="J34" s="734">
        <v>0</v>
      </c>
      <c r="K34" s="1826">
        <v>2.4790213794679139</v>
      </c>
      <c r="L34" s="721">
        <v>0</v>
      </c>
      <c r="M34" s="739">
        <f t="shared" si="0"/>
        <v>0</v>
      </c>
    </row>
    <row r="35" spans="1:27">
      <c r="A35" s="31"/>
      <c r="B35" s="764">
        <v>26</v>
      </c>
      <c r="C35" s="693">
        <f>VLOOKUP(B35,[65]New!$O$1:$AJ$37,5,0)</f>
        <v>151.43089318898728</v>
      </c>
      <c r="D35" s="1156">
        <f>VLOOKUP(B35,[65]New!$A$1:$AJ$37,20,0)</f>
        <v>115.08747882363033</v>
      </c>
      <c r="E35" s="1156">
        <v>0</v>
      </c>
      <c r="F35" s="734">
        <f t="shared" si="6"/>
        <v>0</v>
      </c>
      <c r="G35" s="1826">
        <f t="shared" si="5"/>
        <v>2.5075584643557285</v>
      </c>
      <c r="H35" s="721">
        <f t="shared" si="7"/>
        <v>0</v>
      </c>
      <c r="I35" s="793">
        <v>0</v>
      </c>
      <c r="J35" s="734">
        <v>0</v>
      </c>
      <c r="K35" s="1826">
        <v>2.4790213794679139</v>
      </c>
      <c r="L35" s="721">
        <v>0</v>
      </c>
      <c r="M35" s="739">
        <f t="shared" si="0"/>
        <v>0</v>
      </c>
    </row>
    <row r="36" spans="1:27">
      <c r="A36" s="31"/>
      <c r="B36" s="764">
        <v>27</v>
      </c>
      <c r="C36" s="693">
        <f>VLOOKUP(B36,[65]New!$O$1:$AJ$37,5,0)</f>
        <v>157.66689428118994</v>
      </c>
      <c r="D36" s="1156">
        <f>VLOOKUP(B36,[65]New!$A$1:$AJ$37,20,0)</f>
        <v>119.82683965370435</v>
      </c>
      <c r="E36" s="1156">
        <v>0</v>
      </c>
      <c r="F36" s="734">
        <f t="shared" si="6"/>
        <v>0</v>
      </c>
      <c r="G36" s="1826">
        <f t="shared" si="5"/>
        <v>2.5075584643557285</v>
      </c>
      <c r="H36" s="721">
        <f t="shared" si="7"/>
        <v>0</v>
      </c>
      <c r="I36" s="793">
        <v>0</v>
      </c>
      <c r="J36" s="734">
        <v>0</v>
      </c>
      <c r="K36" s="1826">
        <v>2.4790213794679139</v>
      </c>
      <c r="L36" s="721">
        <v>0</v>
      </c>
      <c r="M36" s="739">
        <f t="shared" si="0"/>
        <v>0</v>
      </c>
    </row>
    <row r="37" spans="1:27">
      <c r="A37" s="31"/>
      <c r="B37" s="720">
        <f>+B36+1</f>
        <v>28</v>
      </c>
      <c r="C37" s="693">
        <f>VLOOKUP(B37,[65]New!$O$1:$AJ$37,5,0)</f>
        <v>163.90289537339257</v>
      </c>
      <c r="D37" s="1156">
        <f>VLOOKUP(B37,[65]New!$A$1:$AJ$37,20,0)</f>
        <v>124.56620048377836</v>
      </c>
      <c r="E37" s="1156">
        <v>0</v>
      </c>
      <c r="F37" s="734">
        <f t="shared" si="6"/>
        <v>0</v>
      </c>
      <c r="G37" s="1826">
        <f t="shared" si="5"/>
        <v>2.5075584643557285</v>
      </c>
      <c r="H37" s="721">
        <f t="shared" si="7"/>
        <v>0</v>
      </c>
      <c r="I37" s="777">
        <v>0</v>
      </c>
      <c r="J37" s="734">
        <v>0</v>
      </c>
      <c r="K37" s="1826">
        <v>2.4790213794679139</v>
      </c>
      <c r="L37" s="721">
        <v>0</v>
      </c>
      <c r="M37" s="739">
        <f t="shared" si="0"/>
        <v>0</v>
      </c>
    </row>
    <row r="38" spans="1:27">
      <c r="A38" s="31"/>
      <c r="B38" s="720">
        <f>+B37+1</f>
        <v>29</v>
      </c>
      <c r="C38" s="693">
        <f>VLOOKUP(B38,[65]New!$O$1:$AJ$37,5,0)</f>
        <v>170.13889646559522</v>
      </c>
      <c r="D38" s="1156">
        <f>VLOOKUP(B38,[65]New!$A$1:$AJ$37,20,0)</f>
        <v>129.30556131385237</v>
      </c>
      <c r="E38" s="1156">
        <v>0</v>
      </c>
      <c r="F38" s="734">
        <f t="shared" si="6"/>
        <v>0</v>
      </c>
      <c r="G38" s="1826">
        <f t="shared" si="5"/>
        <v>2.5075584643557285</v>
      </c>
      <c r="H38" s="721">
        <f t="shared" si="7"/>
        <v>0</v>
      </c>
      <c r="I38" s="777">
        <v>0</v>
      </c>
      <c r="J38" s="734">
        <v>0</v>
      </c>
      <c r="K38" s="1826">
        <v>2.4790213794679139</v>
      </c>
      <c r="L38" s="721">
        <v>0</v>
      </c>
      <c r="M38" s="739">
        <f t="shared" si="0"/>
        <v>0</v>
      </c>
    </row>
    <row r="39" spans="1:27">
      <c r="A39" s="31"/>
      <c r="B39" s="720">
        <f>+B38+1</f>
        <v>30</v>
      </c>
      <c r="C39" s="693">
        <f>VLOOKUP(B39,[65]New!$O$1:$AJ$37,5,0)</f>
        <v>176.37489755779782</v>
      </c>
      <c r="D39" s="1156">
        <f>VLOOKUP(B39,[65]New!$A$1:$AJ$37,20,0)</f>
        <v>134.04492214392636</v>
      </c>
      <c r="E39" s="1156">
        <v>0</v>
      </c>
      <c r="F39" s="734">
        <f t="shared" si="6"/>
        <v>0</v>
      </c>
      <c r="G39" s="1826">
        <f t="shared" si="5"/>
        <v>2.5075584643557285</v>
      </c>
      <c r="H39" s="721">
        <f t="shared" si="7"/>
        <v>0</v>
      </c>
      <c r="I39" s="777">
        <v>0</v>
      </c>
      <c r="J39" s="734">
        <v>0</v>
      </c>
      <c r="K39" s="1826">
        <v>2.4790213794679139</v>
      </c>
      <c r="L39" s="721">
        <v>0</v>
      </c>
      <c r="M39" s="739">
        <f t="shared" si="0"/>
        <v>0</v>
      </c>
    </row>
    <row r="40" spans="1:27">
      <c r="A40" s="31"/>
      <c r="B40" s="720">
        <f>+B39+1</f>
        <v>31</v>
      </c>
      <c r="C40" s="693">
        <f>VLOOKUP(B40,[65]New!$O$1:$AJ$37,5,0)</f>
        <v>182.61089865000051</v>
      </c>
      <c r="D40" s="1156">
        <f>VLOOKUP(B40,[65]New!$A$1:$AJ$37,20,0)</f>
        <v>138.78428297400038</v>
      </c>
      <c r="E40" s="1156">
        <v>0</v>
      </c>
      <c r="F40" s="734">
        <f t="shared" si="6"/>
        <v>0</v>
      </c>
      <c r="G40" s="1826">
        <f t="shared" si="5"/>
        <v>2.5075584643557285</v>
      </c>
      <c r="H40" s="721">
        <f t="shared" si="7"/>
        <v>0</v>
      </c>
      <c r="I40" s="777">
        <v>0</v>
      </c>
      <c r="J40" s="734">
        <v>0</v>
      </c>
      <c r="K40" s="1826">
        <v>2.4790213794679139</v>
      </c>
      <c r="L40" s="721">
        <v>0</v>
      </c>
      <c r="M40" s="739">
        <f t="shared" si="0"/>
        <v>0</v>
      </c>
    </row>
    <row r="41" spans="1:27">
      <c r="A41" s="31"/>
      <c r="B41" s="764"/>
      <c r="C41" s="706"/>
      <c r="D41" s="1409"/>
      <c r="E41" s="777"/>
      <c r="F41" s="734"/>
      <c r="G41" s="736"/>
      <c r="H41" s="751">
        <f t="shared" ref="H41" si="8">F41*G41</f>
        <v>0</v>
      </c>
      <c r="I41" s="777"/>
      <c r="J41" s="734"/>
      <c r="K41" s="736"/>
      <c r="L41" s="751">
        <v>0</v>
      </c>
      <c r="M41" s="739">
        <f t="shared" si="0"/>
        <v>0</v>
      </c>
    </row>
    <row r="42" spans="1:27" s="31" customFormat="1">
      <c r="A42" s="700" t="s">
        <v>1731</v>
      </c>
      <c r="B42" s="766"/>
      <c r="C42" s="766">
        <f>+E42-D42</f>
        <v>0</v>
      </c>
      <c r="D42" s="715">
        <f>SUM('Summary Total Pigs'!AF108:AF110)</f>
        <v>11745</v>
      </c>
      <c r="E42" s="767">
        <f>SUM(E10:E41)</f>
        <v>11745</v>
      </c>
      <c r="F42" s="767">
        <f>SUM(F14:F41)</f>
        <v>346079.2136637732</v>
      </c>
      <c r="G42" s="767" t="s">
        <v>138</v>
      </c>
      <c r="H42" s="767">
        <f>SUM(H9:H41)</f>
        <v>1788585.8566190142</v>
      </c>
      <c r="I42" s="767">
        <v>11290</v>
      </c>
      <c r="J42" s="767">
        <v>325669.59523127362</v>
      </c>
      <c r="K42" s="767" t="s">
        <v>138</v>
      </c>
      <c r="L42" s="1223">
        <v>1050776.5181651467</v>
      </c>
      <c r="M42" s="1222">
        <f>SUM(M9:M41)</f>
        <v>737809.33845386771</v>
      </c>
      <c r="O42" s="31">
        <f>+[57]Richlands!$H$37</f>
        <v>84292912.464359283</v>
      </c>
      <c r="P42" s="31">
        <f>+L42-O42</f>
        <v>-83242135.946194142</v>
      </c>
      <c r="Q42" s="31">
        <f>-'[68]total pig movement'!$D$74</f>
        <v>-21576.935251204439</v>
      </c>
      <c r="R42" s="31">
        <f>-'[68]total pig movement'!$B$77-'[68]total pig movement'!$B$78-'[68]total pig movement'!$B$79-'[68]total pig movement'!$B$80-'[68]total pig movement'!$B$81</f>
        <v>25519420.280135471</v>
      </c>
      <c r="S42" s="739">
        <f>SUM(O42:R42)</f>
        <v>26548619.863049407</v>
      </c>
      <c r="T42" s="739">
        <f>+'[68]total pig movement'!$C$82</f>
        <v>-13718482.820741579</v>
      </c>
      <c r="U42" s="739"/>
      <c r="V42" s="31">
        <f>+T42+T87</f>
        <v>-13540875.726555511</v>
      </c>
    </row>
    <row r="43" spans="1:27">
      <c r="A43" s="31"/>
      <c r="B43" s="741"/>
      <c r="C43" s="741"/>
      <c r="E43" s="769" t="s">
        <v>138</v>
      </c>
      <c r="F43" s="734"/>
      <c r="G43" s="736"/>
      <c r="H43" s="751"/>
      <c r="I43" s="769" t="s">
        <v>138</v>
      </c>
      <c r="J43" s="734"/>
      <c r="K43" s="736"/>
      <c r="L43" s="751"/>
      <c r="M43" s="739">
        <f t="shared" ref="M43:M87" si="9">+H43-L43</f>
        <v>0</v>
      </c>
    </row>
    <row r="44" spans="1:27">
      <c r="A44" s="31" t="s">
        <v>1743</v>
      </c>
      <c r="B44" s="741"/>
      <c r="C44" s="741" t="s">
        <v>611</v>
      </c>
      <c r="E44" s="794">
        <f>'Richlands A LINE'!B5+'Richlands A LINE'!B8</f>
        <v>2</v>
      </c>
      <c r="F44" s="385"/>
      <c r="G44" s="1162">
        <f>+'Richlands Imported Valuation'!C8</f>
        <v>0</v>
      </c>
      <c r="H44" s="756">
        <f>+E44*G44</f>
        <v>0</v>
      </c>
      <c r="I44" s="794">
        <v>0</v>
      </c>
      <c r="J44" s="734"/>
      <c r="K44" s="724">
        <v>14726.929729940097</v>
      </c>
      <c r="L44" s="751">
        <v>0</v>
      </c>
      <c r="M44" s="739">
        <f t="shared" si="9"/>
        <v>0</v>
      </c>
      <c r="O44" s="739">
        <f>+[57]Richlands!$H39</f>
        <v>44180.789189820294</v>
      </c>
      <c r="P44" s="739">
        <f>+L44-O44</f>
        <v>-44180.789189820294</v>
      </c>
      <c r="Y44" s="739">
        <f>76+8</f>
        <v>84</v>
      </c>
    </row>
    <row r="45" spans="1:27">
      <c r="A45" s="31"/>
      <c r="B45" s="741"/>
      <c r="C45" s="741"/>
      <c r="E45" s="769"/>
      <c r="F45" s="385"/>
      <c r="G45" s="1162">
        <v>0</v>
      </c>
      <c r="H45" s="721"/>
      <c r="I45" s="769"/>
      <c r="J45" s="734"/>
      <c r="K45" s="724">
        <v>0</v>
      </c>
      <c r="L45" s="751"/>
      <c r="M45" s="739">
        <f t="shared" si="9"/>
        <v>0</v>
      </c>
      <c r="O45" s="739">
        <f>+[57]Richlands!$H40</f>
        <v>0</v>
      </c>
      <c r="P45" s="739">
        <f t="shared" ref="P45:P86" si="10">+L45-O45</f>
        <v>0</v>
      </c>
    </row>
    <row r="46" spans="1:27">
      <c r="A46" s="31" t="s">
        <v>1744</v>
      </c>
      <c r="B46" s="741"/>
      <c r="C46" s="741" t="s">
        <v>611</v>
      </c>
      <c r="E46" s="769">
        <f>'Richlands A LINE'!B6</f>
        <v>1</v>
      </c>
      <c r="F46" s="385"/>
      <c r="G46" s="1162">
        <f>+'Richlands Imported Valuation'!C20</f>
        <v>0</v>
      </c>
      <c r="H46" s="756">
        <f>+E46*G46</f>
        <v>0</v>
      </c>
      <c r="I46" s="769">
        <v>0</v>
      </c>
      <c r="J46" s="734"/>
      <c r="K46" s="724">
        <v>1941.3953592741152</v>
      </c>
      <c r="L46" s="751">
        <v>0</v>
      </c>
      <c r="M46" s="739">
        <f t="shared" si="9"/>
        <v>0</v>
      </c>
      <c r="O46" s="739">
        <f>+[57]Richlands!$H41</f>
        <v>0</v>
      </c>
      <c r="P46" s="739">
        <f t="shared" si="10"/>
        <v>0</v>
      </c>
    </row>
    <row r="47" spans="1:27">
      <c r="A47" s="31"/>
      <c r="B47" s="741"/>
      <c r="C47" s="741"/>
      <c r="E47" s="769"/>
      <c r="F47" s="385"/>
      <c r="G47" s="1162">
        <v>0</v>
      </c>
      <c r="H47" s="751"/>
      <c r="I47" s="769"/>
      <c r="J47" s="734"/>
      <c r="K47" s="724">
        <v>0</v>
      </c>
      <c r="L47" s="751"/>
      <c r="M47" s="739">
        <f t="shared" si="9"/>
        <v>0</v>
      </c>
      <c r="O47" s="739">
        <f>+[57]Richlands!$H42</f>
        <v>0</v>
      </c>
      <c r="P47" s="739">
        <f t="shared" si="10"/>
        <v>0</v>
      </c>
    </row>
    <row r="48" spans="1:27">
      <c r="A48" s="31" t="s">
        <v>1745</v>
      </c>
      <c r="B48" s="741"/>
      <c r="C48" s="741" t="s">
        <v>611</v>
      </c>
      <c r="D48" s="739" t="s">
        <v>138</v>
      </c>
      <c r="E48" s="769">
        <f>+'Richlands A LINE'!B7+'Richlands A LINE'!B10</f>
        <v>3</v>
      </c>
      <c r="F48" s="385"/>
      <c r="G48" s="1825">
        <f>+'Richlands Imported Valuation'!G8</f>
        <v>0</v>
      </c>
      <c r="H48" s="756">
        <f>+E48*G48</f>
        <v>0</v>
      </c>
      <c r="I48" s="769">
        <v>0</v>
      </c>
      <c r="J48" s="734"/>
      <c r="K48" s="724">
        <v>14617.721305113258</v>
      </c>
      <c r="L48" s="751">
        <v>0</v>
      </c>
      <c r="M48" s="739">
        <f t="shared" si="9"/>
        <v>0</v>
      </c>
      <c r="O48" s="739">
        <f>+[57]Richlands!$H43</f>
        <v>116941.77044090607</v>
      </c>
      <c r="P48" s="739">
        <f t="shared" si="10"/>
        <v>-116941.77044090607</v>
      </c>
      <c r="AA48" s="739">
        <v>137</v>
      </c>
    </row>
    <row r="49" spans="1:27">
      <c r="A49" s="31"/>
      <c r="B49" s="741"/>
      <c r="C49" s="741"/>
      <c r="E49" s="769"/>
      <c r="F49" s="385"/>
      <c r="G49" s="1162">
        <v>0</v>
      </c>
      <c r="H49" s="751"/>
      <c r="I49" s="769"/>
      <c r="J49" s="734"/>
      <c r="K49" s="724">
        <v>0</v>
      </c>
      <c r="L49" s="751"/>
      <c r="M49" s="739">
        <f t="shared" si="9"/>
        <v>0</v>
      </c>
      <c r="O49" s="739">
        <f>+[57]Richlands!$H44</f>
        <v>0</v>
      </c>
      <c r="P49" s="739">
        <f t="shared" si="10"/>
        <v>0</v>
      </c>
      <c r="AA49" s="739">
        <v>-16</v>
      </c>
    </row>
    <row r="50" spans="1:27">
      <c r="A50" s="31"/>
      <c r="B50" s="741"/>
      <c r="C50" s="741"/>
      <c r="E50" s="769">
        <v>0</v>
      </c>
      <c r="F50" s="385"/>
      <c r="G50" s="1162">
        <f>+'Richlands Imported Valuation'!G20</f>
        <v>0</v>
      </c>
      <c r="H50" s="756">
        <f>+E50*G50</f>
        <v>0</v>
      </c>
      <c r="I50" s="769">
        <v>0</v>
      </c>
      <c r="J50" s="734"/>
      <c r="K50" s="724">
        <v>2418.8990449260391</v>
      </c>
      <c r="L50" s="751">
        <v>0</v>
      </c>
      <c r="M50" s="739">
        <f t="shared" si="9"/>
        <v>0</v>
      </c>
      <c r="O50" s="739">
        <f>+[57]Richlands!$H45</f>
        <v>0</v>
      </c>
      <c r="P50" s="739">
        <f t="shared" si="10"/>
        <v>0</v>
      </c>
      <c r="AA50" s="739">
        <f>SUM(AA48:AA49)</f>
        <v>121</v>
      </c>
    </row>
    <row r="51" spans="1:27">
      <c r="A51" s="31"/>
      <c r="B51" s="741"/>
      <c r="C51" s="741"/>
      <c r="E51" s="769"/>
      <c r="F51" s="385"/>
      <c r="G51" s="1162">
        <v>0</v>
      </c>
      <c r="H51" s="751"/>
      <c r="I51" s="769"/>
      <c r="J51" s="734"/>
      <c r="K51" s="724">
        <v>0</v>
      </c>
      <c r="L51" s="751"/>
      <c r="M51" s="739">
        <f t="shared" si="9"/>
        <v>0</v>
      </c>
      <c r="O51" s="739">
        <f>+[57]Richlands!$H46</f>
        <v>0</v>
      </c>
      <c r="P51" s="739">
        <f t="shared" si="10"/>
        <v>0</v>
      </c>
    </row>
    <row r="52" spans="1:27">
      <c r="A52" s="31"/>
      <c r="B52" s="741"/>
      <c r="C52" s="741"/>
      <c r="E52" s="769">
        <v>0</v>
      </c>
      <c r="F52" s="385">
        <v>0</v>
      </c>
      <c r="G52" s="1162">
        <f>+'Richlands Imported Valuation'!K8</f>
        <v>0</v>
      </c>
      <c r="H52" s="756">
        <f>+E52*G52</f>
        <v>0</v>
      </c>
      <c r="I52" s="769">
        <v>0</v>
      </c>
      <c r="J52" s="734">
        <v>0</v>
      </c>
      <c r="K52" s="724">
        <v>13194.019399374349</v>
      </c>
      <c r="L52" s="751">
        <v>0</v>
      </c>
      <c r="M52" s="739">
        <f t="shared" si="9"/>
        <v>0</v>
      </c>
      <c r="O52" s="739">
        <f>+[57]Richlands!$H47</f>
        <v>65970.09699687174</v>
      </c>
      <c r="P52" s="739">
        <f t="shared" si="10"/>
        <v>-65970.09699687174</v>
      </c>
    </row>
    <row r="53" spans="1:27">
      <c r="A53" s="31"/>
      <c r="B53" s="741"/>
      <c r="C53" s="741"/>
      <c r="E53" s="769"/>
      <c r="F53" s="385"/>
      <c r="G53" s="1162">
        <v>0</v>
      </c>
      <c r="H53" s="751"/>
      <c r="I53" s="769"/>
      <c r="J53" s="734"/>
      <c r="K53" s="724">
        <v>0</v>
      </c>
      <c r="L53" s="751"/>
      <c r="M53" s="739">
        <f t="shared" si="9"/>
        <v>0</v>
      </c>
      <c r="O53" s="739">
        <f>+[57]Richlands!$H48</f>
        <v>0</v>
      </c>
      <c r="P53" s="739">
        <f t="shared" si="10"/>
        <v>0</v>
      </c>
    </row>
    <row r="54" spans="1:27">
      <c r="A54" s="31"/>
      <c r="B54" s="741"/>
      <c r="C54" s="741"/>
      <c r="D54" s="739" t="s">
        <v>138</v>
      </c>
      <c r="E54" s="769">
        <v>0</v>
      </c>
      <c r="F54" s="385"/>
      <c r="G54" s="1162">
        <f>+'Richlands Imported Valuation'!K20</f>
        <v>0</v>
      </c>
      <c r="H54" s="756">
        <f>+E54*G54</f>
        <v>0</v>
      </c>
      <c r="I54" s="769">
        <v>0</v>
      </c>
      <c r="J54" s="734"/>
      <c r="K54" s="724">
        <v>2172.4512652995727</v>
      </c>
      <c r="L54" s="751">
        <v>0</v>
      </c>
      <c r="M54" s="739">
        <f t="shared" si="9"/>
        <v>0</v>
      </c>
      <c r="O54" s="739">
        <f>+[57]Richlands!$H49</f>
        <v>186322.1372999858</v>
      </c>
      <c r="P54" s="739">
        <f t="shared" si="10"/>
        <v>-186322.1372999858</v>
      </c>
    </row>
    <row r="55" spans="1:27">
      <c r="A55" s="31"/>
      <c r="B55" s="741"/>
      <c r="C55" s="741"/>
      <c r="E55" s="769"/>
      <c r="F55" s="385"/>
      <c r="G55" s="1162">
        <v>0</v>
      </c>
      <c r="H55" s="751"/>
      <c r="I55" s="769"/>
      <c r="J55" s="734"/>
      <c r="K55" s="724">
        <v>0</v>
      </c>
      <c r="L55" s="751"/>
      <c r="M55" s="739">
        <f t="shared" si="9"/>
        <v>0</v>
      </c>
      <c r="O55" s="739">
        <f>+[57]Richlands!$H50</f>
        <v>0</v>
      </c>
      <c r="P55" s="739">
        <f t="shared" si="10"/>
        <v>0</v>
      </c>
    </row>
    <row r="56" spans="1:27">
      <c r="A56" s="31"/>
      <c r="B56" s="741"/>
      <c r="C56" s="741"/>
      <c r="E56" s="769">
        <v>0</v>
      </c>
      <c r="F56" s="385" t="s">
        <v>138</v>
      </c>
      <c r="G56" s="1162">
        <f>+'Richlands Imported Valuation'!O8</f>
        <v>0</v>
      </c>
      <c r="H56" s="756">
        <f>+E56*G56</f>
        <v>0</v>
      </c>
      <c r="I56" s="769">
        <v>0</v>
      </c>
      <c r="J56" s="734" t="s">
        <v>138</v>
      </c>
      <c r="K56" s="724">
        <v>14860.50696634765</v>
      </c>
      <c r="L56" s="751">
        <v>0</v>
      </c>
      <c r="M56" s="739">
        <f t="shared" si="9"/>
        <v>0</v>
      </c>
      <c r="O56" s="739">
        <f>+[57]Richlands!$H51</f>
        <v>148605.06966347649</v>
      </c>
      <c r="P56" s="739">
        <f t="shared" si="10"/>
        <v>-148605.06966347649</v>
      </c>
    </row>
    <row r="57" spans="1:27">
      <c r="A57" s="31"/>
      <c r="B57" s="741"/>
      <c r="C57" s="741"/>
      <c r="E57" s="769"/>
      <c r="F57" s="385"/>
      <c r="G57" s="1162">
        <v>0</v>
      </c>
      <c r="H57" s="751"/>
      <c r="I57" s="769"/>
      <c r="J57" s="734"/>
      <c r="K57" s="724">
        <v>0</v>
      </c>
      <c r="L57" s="751"/>
      <c r="M57" s="739">
        <f t="shared" si="9"/>
        <v>0</v>
      </c>
      <c r="O57" s="739">
        <f>+[57]Richlands!$H52</f>
        <v>0</v>
      </c>
      <c r="P57" s="739">
        <f t="shared" si="10"/>
        <v>0</v>
      </c>
    </row>
    <row r="58" spans="1:27">
      <c r="A58" s="31"/>
      <c r="B58" s="741"/>
      <c r="C58" s="741"/>
      <c r="E58" s="769">
        <v>0</v>
      </c>
      <c r="F58" s="385"/>
      <c r="G58" s="1162">
        <f>+'Richlands Imported Valuation'!O20</f>
        <v>0</v>
      </c>
      <c r="H58" s="756">
        <f>+E58*G58</f>
        <v>0</v>
      </c>
      <c r="I58" s="769">
        <v>0</v>
      </c>
      <c r="J58" s="734"/>
      <c r="K58" s="724">
        <v>2426.1969564430392</v>
      </c>
      <c r="L58" s="751">
        <v>0</v>
      </c>
      <c r="M58" s="739">
        <f t="shared" si="9"/>
        <v>0</v>
      </c>
      <c r="O58" s="739">
        <f>+[57]Richlands!$H53</f>
        <v>310363.84871103539</v>
      </c>
      <c r="P58" s="739">
        <f t="shared" si="10"/>
        <v>-310363.84871103539</v>
      </c>
    </row>
    <row r="59" spans="1:27">
      <c r="A59" s="31"/>
      <c r="B59" s="741"/>
      <c r="C59" s="741"/>
      <c r="E59" s="769"/>
      <c r="F59" s="385"/>
      <c r="G59" s="1162">
        <v>0</v>
      </c>
      <c r="H59" s="751"/>
      <c r="I59" s="769"/>
      <c r="J59" s="734"/>
      <c r="K59" s="724">
        <v>0</v>
      </c>
      <c r="L59" s="751"/>
      <c r="M59" s="739">
        <f t="shared" si="9"/>
        <v>0</v>
      </c>
      <c r="O59" s="739">
        <f>+[57]Richlands!$H54</f>
        <v>0</v>
      </c>
      <c r="P59" s="739">
        <f t="shared" si="10"/>
        <v>0</v>
      </c>
    </row>
    <row r="60" spans="1:27">
      <c r="A60" s="31"/>
      <c r="B60" s="741"/>
      <c r="C60" s="741"/>
      <c r="E60" s="769">
        <v>0</v>
      </c>
      <c r="F60" s="385">
        <v>0</v>
      </c>
      <c r="G60" s="1162">
        <f>+'Richlands Imported Valuation'!S8</f>
        <v>0</v>
      </c>
      <c r="H60" s="756">
        <f>+E60*G60</f>
        <v>0</v>
      </c>
      <c r="I60" s="769">
        <v>0</v>
      </c>
      <c r="J60" s="734">
        <v>0</v>
      </c>
      <c r="K60" s="724">
        <v>12577.72916062233</v>
      </c>
      <c r="L60" s="751">
        <v>0</v>
      </c>
      <c r="M60" s="739">
        <f t="shared" si="9"/>
        <v>0</v>
      </c>
      <c r="O60" s="739">
        <f>+[57]Richlands!$H55</f>
        <v>88044.104124356309</v>
      </c>
      <c r="P60" s="739">
        <f t="shared" si="10"/>
        <v>-88044.104124356309</v>
      </c>
    </row>
    <row r="61" spans="1:27">
      <c r="A61" s="31"/>
      <c r="B61" s="741"/>
      <c r="C61" s="741"/>
      <c r="E61" s="769"/>
      <c r="F61" s="385"/>
      <c r="G61" s="1162">
        <v>0</v>
      </c>
      <c r="H61" s="751"/>
      <c r="I61" s="769"/>
      <c r="J61" s="734"/>
      <c r="K61" s="724">
        <v>0</v>
      </c>
      <c r="L61" s="751"/>
      <c r="M61" s="739">
        <f t="shared" si="9"/>
        <v>0</v>
      </c>
      <c r="O61" s="739">
        <f>+[57]Richlands!$H56</f>
        <v>0</v>
      </c>
      <c r="P61" s="739">
        <f t="shared" si="10"/>
        <v>0</v>
      </c>
    </row>
    <row r="62" spans="1:27">
      <c r="A62" s="31"/>
      <c r="B62" s="741"/>
      <c r="C62" s="741"/>
      <c r="E62" s="769">
        <v>0</v>
      </c>
      <c r="F62" s="385"/>
      <c r="G62" s="1162">
        <f>+'Richlands Imported Valuation'!S20</f>
        <v>0</v>
      </c>
      <c r="H62" s="756">
        <f>+E62*G62</f>
        <v>0</v>
      </c>
      <c r="I62" s="769">
        <v>0</v>
      </c>
      <c r="J62" s="734"/>
      <c r="K62" s="724">
        <v>1831.1551523174726</v>
      </c>
      <c r="L62" s="751">
        <v>0</v>
      </c>
      <c r="M62" s="739">
        <f t="shared" si="9"/>
        <v>0</v>
      </c>
      <c r="O62" s="739">
        <f>+[57]Richlands!$H57</f>
        <v>221187.54201512461</v>
      </c>
      <c r="P62" s="739">
        <f t="shared" si="10"/>
        <v>-221187.54201512461</v>
      </c>
    </row>
    <row r="63" spans="1:27">
      <c r="A63" s="31"/>
      <c r="B63" s="741"/>
      <c r="C63" s="741"/>
      <c r="E63" s="769"/>
      <c r="F63" s="385"/>
      <c r="G63" s="1162">
        <v>0</v>
      </c>
      <c r="H63" s="751"/>
      <c r="I63" s="769"/>
      <c r="J63" s="734"/>
      <c r="K63" s="724">
        <v>0</v>
      </c>
      <c r="L63" s="751"/>
      <c r="M63" s="739">
        <f t="shared" si="9"/>
        <v>0</v>
      </c>
      <c r="O63" s="739">
        <f>+[57]Richlands!$H58</f>
        <v>0</v>
      </c>
      <c r="P63" s="739">
        <f t="shared" si="10"/>
        <v>0</v>
      </c>
    </row>
    <row r="64" spans="1:27">
      <c r="A64" s="31"/>
      <c r="B64" s="741"/>
      <c r="C64" s="741"/>
      <c r="E64" s="769">
        <v>0</v>
      </c>
      <c r="F64" s="385"/>
      <c r="G64" s="1162">
        <f>+'Richlands Imported Valuation'!W8</f>
        <v>0</v>
      </c>
      <c r="H64" s="756">
        <f>+E64*G64</f>
        <v>0</v>
      </c>
      <c r="I64" s="769">
        <v>0</v>
      </c>
      <c r="J64" s="734"/>
      <c r="K64" s="724">
        <v>12162.678489984686</v>
      </c>
      <c r="L64" s="751">
        <v>0</v>
      </c>
      <c r="M64" s="739">
        <f t="shared" si="9"/>
        <v>0</v>
      </c>
      <c r="O64" s="739">
        <f>+[57]Richlands!$H59</f>
        <v>109464.10640986217</v>
      </c>
      <c r="P64" s="739">
        <f t="shared" si="10"/>
        <v>-109464.10640986217</v>
      </c>
    </row>
    <row r="65" spans="1:16">
      <c r="A65" s="31"/>
      <c r="B65" s="741"/>
      <c r="C65" s="741"/>
      <c r="E65" s="769"/>
      <c r="F65" s="385"/>
      <c r="G65" s="1162">
        <v>0</v>
      </c>
      <c r="H65" s="751"/>
      <c r="I65" s="769"/>
      <c r="J65" s="734"/>
      <c r="K65" s="724">
        <v>0</v>
      </c>
      <c r="L65" s="751"/>
      <c r="M65" s="739">
        <f t="shared" si="9"/>
        <v>0</v>
      </c>
      <c r="O65" s="739">
        <f>+[57]Richlands!$H60</f>
        <v>0</v>
      </c>
      <c r="P65" s="739">
        <f t="shared" si="10"/>
        <v>0</v>
      </c>
    </row>
    <row r="66" spans="1:16">
      <c r="A66" s="31"/>
      <c r="B66" s="741"/>
      <c r="C66" s="741"/>
      <c r="E66" s="769">
        <v>0</v>
      </c>
      <c r="F66" s="385"/>
      <c r="G66" s="1162">
        <f>+'Richlands Imported Valuation'!W20</f>
        <v>0</v>
      </c>
      <c r="H66" s="756">
        <f>+E66*G66</f>
        <v>0</v>
      </c>
      <c r="I66" s="769">
        <v>0</v>
      </c>
      <c r="J66" s="734"/>
      <c r="K66" s="724">
        <v>351.69909234372153</v>
      </c>
      <c r="L66" s="751">
        <v>0</v>
      </c>
      <c r="M66" s="739">
        <f t="shared" si="9"/>
        <v>0</v>
      </c>
      <c r="O66" s="739">
        <f>+[57]Richlands!$H61</f>
        <v>44696.817000506489</v>
      </c>
      <c r="P66" s="739">
        <f t="shared" si="10"/>
        <v>-44696.817000506489</v>
      </c>
    </row>
    <row r="67" spans="1:16">
      <c r="A67" s="31"/>
      <c r="B67" s="741"/>
      <c r="C67" s="741"/>
      <c r="E67" s="769"/>
      <c r="F67" s="385"/>
      <c r="G67" s="1162">
        <v>0</v>
      </c>
      <c r="H67" s="751"/>
      <c r="I67" s="769"/>
      <c r="J67" s="734"/>
      <c r="K67" s="724">
        <v>0</v>
      </c>
      <c r="L67" s="751"/>
      <c r="M67" s="739">
        <f t="shared" si="9"/>
        <v>0</v>
      </c>
      <c r="O67" s="739">
        <f>+[57]Richlands!$H62</f>
        <v>0</v>
      </c>
      <c r="P67" s="739">
        <f t="shared" si="10"/>
        <v>0</v>
      </c>
    </row>
    <row r="68" spans="1:16">
      <c r="A68" s="31"/>
      <c r="B68" s="741"/>
      <c r="C68" s="741"/>
      <c r="E68" s="769">
        <v>0</v>
      </c>
      <c r="F68" s="385"/>
      <c r="G68" s="1162">
        <f>+'Richlands Imported Valuation'!AA20</f>
        <v>0</v>
      </c>
      <c r="H68" s="756">
        <f>+E68*G68</f>
        <v>0</v>
      </c>
      <c r="I68" s="769">
        <v>0</v>
      </c>
      <c r="J68" s="734"/>
      <c r="K68" s="724">
        <v>716.2200411090115</v>
      </c>
      <c r="L68" s="751">
        <v>0</v>
      </c>
      <c r="M68" s="739">
        <f t="shared" si="9"/>
        <v>0</v>
      </c>
      <c r="O68" s="739">
        <f>+[57]Richlands!$H63</f>
        <v>98869.963616033696</v>
      </c>
      <c r="P68" s="739">
        <f t="shared" si="10"/>
        <v>-98869.963616033696</v>
      </c>
    </row>
    <row r="69" spans="1:16">
      <c r="A69" s="31"/>
      <c r="B69" s="741"/>
      <c r="C69" s="741"/>
      <c r="E69" s="769"/>
      <c r="F69" s="385"/>
      <c r="G69" s="1162">
        <v>0</v>
      </c>
      <c r="H69" s="751"/>
      <c r="I69" s="769"/>
      <c r="J69" s="734"/>
      <c r="K69" s="724">
        <v>0</v>
      </c>
      <c r="L69" s="751"/>
      <c r="M69" s="739">
        <f t="shared" si="9"/>
        <v>0</v>
      </c>
      <c r="O69" s="739">
        <f>+[57]Richlands!$H64</f>
        <v>0</v>
      </c>
      <c r="P69" s="739">
        <f t="shared" si="10"/>
        <v>0</v>
      </c>
    </row>
    <row r="70" spans="1:16">
      <c r="A70" s="31"/>
      <c r="B70" s="741"/>
      <c r="C70" s="741"/>
      <c r="E70" s="769">
        <v>0</v>
      </c>
      <c r="F70" s="385"/>
      <c r="G70" s="1162">
        <f>+'Richlands Imported Valuation'!AE8</f>
        <v>0</v>
      </c>
      <c r="H70" s="756">
        <f>+E70*G70</f>
        <v>0</v>
      </c>
      <c r="I70" s="769">
        <v>0</v>
      </c>
      <c r="J70" s="734"/>
      <c r="K70" s="724">
        <v>11828.012775106668</v>
      </c>
      <c r="L70" s="751">
        <v>0</v>
      </c>
      <c r="M70" s="739">
        <f t="shared" si="9"/>
        <v>0</v>
      </c>
      <c r="O70" s="739">
        <f>+[57]Richlands!$H65</f>
        <v>130108.14052617335</v>
      </c>
      <c r="P70" s="739">
        <f t="shared" si="10"/>
        <v>-130108.14052617335</v>
      </c>
    </row>
    <row r="71" spans="1:16">
      <c r="A71" s="31"/>
      <c r="B71" s="741"/>
      <c r="C71" s="741"/>
      <c r="E71" s="769"/>
      <c r="F71" s="385"/>
      <c r="G71" s="1162">
        <v>0</v>
      </c>
      <c r="H71" s="751"/>
      <c r="I71" s="769"/>
      <c r="J71" s="734"/>
      <c r="K71" s="724">
        <v>0</v>
      </c>
      <c r="L71" s="751"/>
      <c r="M71" s="739">
        <f t="shared" si="9"/>
        <v>0</v>
      </c>
      <c r="O71" s="739">
        <f>+[57]Richlands!$H66</f>
        <v>0</v>
      </c>
      <c r="P71" s="739">
        <f t="shared" si="10"/>
        <v>0</v>
      </c>
    </row>
    <row r="72" spans="1:16">
      <c r="A72" s="31"/>
      <c r="B72" s="741"/>
      <c r="C72" s="741"/>
      <c r="E72" s="769">
        <v>0</v>
      </c>
      <c r="F72" s="385"/>
      <c r="G72" s="1162">
        <f>+'Richlands Imported Valuation'!AE20</f>
        <v>0</v>
      </c>
      <c r="H72" s="756">
        <f>+E72*G72</f>
        <v>0</v>
      </c>
      <c r="I72" s="769">
        <v>0</v>
      </c>
      <c r="J72" s="734"/>
      <c r="K72" s="724">
        <v>706.44197644701489</v>
      </c>
      <c r="L72" s="751">
        <v>0</v>
      </c>
      <c r="M72" s="739">
        <f t="shared" si="9"/>
        <v>0</v>
      </c>
      <c r="O72" s="739">
        <f>+[57]Richlands!$H67</f>
        <v>105259.85449060521</v>
      </c>
      <c r="P72" s="739">
        <f t="shared" si="10"/>
        <v>-105259.85449060521</v>
      </c>
    </row>
    <row r="73" spans="1:16">
      <c r="A73" s="31"/>
      <c r="B73" s="741"/>
      <c r="C73" s="741"/>
      <c r="E73" s="769"/>
      <c r="F73" s="385"/>
      <c r="G73" s="1162">
        <v>0</v>
      </c>
      <c r="H73" s="751"/>
      <c r="I73" s="769"/>
      <c r="J73" s="734"/>
      <c r="K73" s="724">
        <v>0</v>
      </c>
      <c r="L73" s="751"/>
      <c r="M73" s="739">
        <f t="shared" si="9"/>
        <v>0</v>
      </c>
      <c r="O73" s="739">
        <f>+[57]Richlands!$H68</f>
        <v>0</v>
      </c>
      <c r="P73" s="739">
        <f t="shared" si="10"/>
        <v>0</v>
      </c>
    </row>
    <row r="74" spans="1:16">
      <c r="A74" s="31"/>
      <c r="B74" s="741"/>
      <c r="C74" s="741"/>
      <c r="E74" s="769">
        <f>'Richlands Imported Valuation'!Z8</f>
        <v>0</v>
      </c>
      <c r="F74" s="385"/>
      <c r="G74" s="1162">
        <f>+'Richlands Imported Valuation'!AA8</f>
        <v>0</v>
      </c>
      <c r="H74" s="756">
        <f>+E74*G74</f>
        <v>0</v>
      </c>
      <c r="I74" s="769">
        <v>0</v>
      </c>
      <c r="J74" s="734"/>
      <c r="K74" s="724">
        <v>11791.703983539852</v>
      </c>
      <c r="L74" s="751">
        <v>0</v>
      </c>
      <c r="M74" s="739">
        <f t="shared" si="9"/>
        <v>0</v>
      </c>
      <c r="O74" s="739">
        <f>+[57]Richlands!$H69</f>
        <v>235834.07967079704</v>
      </c>
      <c r="P74" s="739">
        <f t="shared" si="10"/>
        <v>-235834.07967079704</v>
      </c>
    </row>
    <row r="75" spans="1:16">
      <c r="A75" s="31"/>
      <c r="B75" s="741"/>
      <c r="C75" s="741"/>
      <c r="E75" s="769"/>
      <c r="F75" s="385"/>
      <c r="G75" s="1162"/>
      <c r="H75" s="751"/>
      <c r="I75" s="769"/>
      <c r="J75" s="734"/>
      <c r="K75" s="724"/>
      <c r="L75" s="751"/>
      <c r="O75" s="739">
        <f>+[57]Richlands!$H70</f>
        <v>0</v>
      </c>
      <c r="P75" s="739">
        <f t="shared" si="10"/>
        <v>0</v>
      </c>
    </row>
    <row r="76" spans="1:16">
      <c r="A76" s="31"/>
      <c r="B76" s="741"/>
      <c r="C76" s="741"/>
      <c r="E76" s="794">
        <f>'Richlands Imported Valuation'!AH8</f>
        <v>0</v>
      </c>
      <c r="F76" s="385"/>
      <c r="G76" s="1162">
        <f>+'Richlands Imported Valuation'!AI8</f>
        <v>0</v>
      </c>
      <c r="H76" s="756">
        <f>+E76*G76</f>
        <v>0</v>
      </c>
      <c r="I76" s="769">
        <v>0</v>
      </c>
      <c r="J76" s="734"/>
      <c r="K76" s="724">
        <v>199948.32943761846</v>
      </c>
      <c r="L76" s="751">
        <v>0</v>
      </c>
      <c r="O76" s="739">
        <v>0</v>
      </c>
      <c r="P76" s="739">
        <f t="shared" si="10"/>
        <v>0</v>
      </c>
    </row>
    <row r="77" spans="1:16">
      <c r="A77" s="31"/>
      <c r="B77" s="741"/>
      <c r="C77" s="741"/>
      <c r="E77" s="769"/>
      <c r="F77" s="385"/>
      <c r="G77" s="1162"/>
      <c r="H77" s="751"/>
      <c r="I77" s="769"/>
      <c r="J77" s="734"/>
      <c r="K77" s="724"/>
      <c r="L77" s="751"/>
      <c r="O77" s="739">
        <f>+[57]Richlands!$H72</f>
        <v>0</v>
      </c>
      <c r="P77" s="739">
        <f t="shared" si="10"/>
        <v>0</v>
      </c>
    </row>
    <row r="78" spans="1:16">
      <c r="A78" s="31"/>
      <c r="B78" s="741"/>
      <c r="C78" s="741"/>
      <c r="E78" s="769">
        <f>'Richlands Imported Valuation'!AL8</f>
        <v>0</v>
      </c>
      <c r="F78" s="385"/>
      <c r="G78" s="1162">
        <f>+'Richlands Imported Valuation'!AM8</f>
        <v>0</v>
      </c>
      <c r="H78" s="756">
        <f>+E78*G78</f>
        <v>0</v>
      </c>
      <c r="I78" s="769">
        <v>0</v>
      </c>
      <c r="J78" s="734"/>
      <c r="K78" s="724">
        <v>234317.26664502168</v>
      </c>
      <c r="L78" s="751">
        <v>0</v>
      </c>
    </row>
    <row r="79" spans="1:16">
      <c r="A79" s="31"/>
      <c r="B79" s="741"/>
      <c r="C79" s="741"/>
      <c r="E79" s="769"/>
      <c r="F79" s="385"/>
      <c r="G79" s="1162"/>
      <c r="H79" s="751"/>
      <c r="I79" s="769"/>
      <c r="J79" s="734"/>
      <c r="K79" s="724"/>
      <c r="L79" s="751"/>
    </row>
    <row r="80" spans="1:16">
      <c r="A80" s="31" t="s">
        <v>1746</v>
      </c>
      <c r="B80" s="1326">
        <f>+C80-D80</f>
        <v>0</v>
      </c>
      <c r="C80" s="741">
        <f>'Richlands TN60'!F5+'Richlands A LINE'!F11</f>
        <v>6</v>
      </c>
      <c r="D80" s="741">
        <f>SUM(E44:E78)</f>
        <v>6</v>
      </c>
      <c r="E80" s="769"/>
      <c r="F80" s="385"/>
      <c r="G80" s="1162">
        <v>0</v>
      </c>
      <c r="H80" s="751">
        <v>0</v>
      </c>
      <c r="I80" s="769"/>
      <c r="J80" s="734"/>
      <c r="K80" s="724">
        <v>0</v>
      </c>
      <c r="L80" s="751">
        <v>0</v>
      </c>
      <c r="M80" s="739">
        <f t="shared" si="9"/>
        <v>0</v>
      </c>
      <c r="P80" s="739">
        <f t="shared" si="10"/>
        <v>0</v>
      </c>
    </row>
    <row r="81" spans="1:26">
      <c r="A81" s="768" t="s">
        <v>1741</v>
      </c>
      <c r="B81" s="785"/>
      <c r="C81" s="785"/>
      <c r="D81" s="744"/>
      <c r="E81" s="795"/>
      <c r="F81" s="796"/>
      <c r="G81" s="1163"/>
      <c r="H81" s="747"/>
      <c r="I81" s="795"/>
      <c r="J81" s="744"/>
      <c r="K81" s="797"/>
      <c r="L81" s="747"/>
    </row>
    <row r="82" spans="1:26">
      <c r="A82" s="695" t="s">
        <v>50</v>
      </c>
      <c r="B82" s="764"/>
      <c r="C82" s="764"/>
      <c r="D82" s="734">
        <v>150</v>
      </c>
      <c r="E82" s="770">
        <f>+'Richlands Batch Mvnt'!I6</f>
        <v>268</v>
      </c>
      <c r="F82" s="734">
        <f>D82*E82</f>
        <v>40200</v>
      </c>
      <c r="G82" s="1053">
        <f>'Grasmere Valuation '!G41</f>
        <v>2.0499999999999998</v>
      </c>
      <c r="H82" s="751">
        <f>F82*G82</f>
        <v>82410</v>
      </c>
      <c r="I82" s="769">
        <v>270</v>
      </c>
      <c r="J82" s="734">
        <v>40500</v>
      </c>
      <c r="K82" s="1053">
        <v>2.04</v>
      </c>
      <c r="L82" s="751">
        <v>82620</v>
      </c>
      <c r="M82" s="739">
        <f t="shared" si="9"/>
        <v>-210</v>
      </c>
      <c r="O82" s="739">
        <f>+[57]Richlands!$H71</f>
        <v>4909383.3179176468</v>
      </c>
      <c r="P82" s="739">
        <f t="shared" si="10"/>
        <v>-4826763.3179176468</v>
      </c>
    </row>
    <row r="83" spans="1:26">
      <c r="A83" s="31"/>
      <c r="B83" s="741"/>
      <c r="C83" s="741"/>
      <c r="E83" s="769"/>
      <c r="F83" s="734"/>
      <c r="G83" s="1162">
        <v>0</v>
      </c>
      <c r="H83" s="751"/>
      <c r="I83" s="769"/>
      <c r="J83" s="734"/>
      <c r="K83" s="1053">
        <v>0</v>
      </c>
      <c r="L83" s="751"/>
      <c r="M83" s="739">
        <f t="shared" si="9"/>
        <v>0</v>
      </c>
      <c r="O83" s="739">
        <f>+[57]Richlands!$H72</f>
        <v>0</v>
      </c>
      <c r="P83" s="739">
        <f t="shared" si="10"/>
        <v>0</v>
      </c>
    </row>
    <row r="84" spans="1:26">
      <c r="A84" s="31" t="s">
        <v>55</v>
      </c>
      <c r="B84" s="741"/>
      <c r="C84" s="741"/>
      <c r="D84" s="739">
        <v>150</v>
      </c>
      <c r="E84" s="770">
        <f>+'Richlands Batch Mvnt'!I5-D80</f>
        <v>986</v>
      </c>
      <c r="F84" s="734">
        <f>D84*E84</f>
        <v>147900</v>
      </c>
      <c r="G84" s="1162">
        <f>+G82</f>
        <v>2.0499999999999998</v>
      </c>
      <c r="H84" s="751">
        <f>F84*G84</f>
        <v>303195</v>
      </c>
      <c r="I84" s="769">
        <v>1000</v>
      </c>
      <c r="J84" s="734">
        <v>150000</v>
      </c>
      <c r="K84" s="1053">
        <v>2.04</v>
      </c>
      <c r="L84" s="751">
        <v>306000</v>
      </c>
      <c r="M84" s="739">
        <f t="shared" si="9"/>
        <v>-2805</v>
      </c>
      <c r="O84" s="739">
        <f>+[57]Richlands!$H73</f>
        <v>8353332.8181657055</v>
      </c>
      <c r="P84" s="739">
        <f t="shared" si="10"/>
        <v>-8047332.8181657055</v>
      </c>
      <c r="Z84" s="739">
        <f>70+14</f>
        <v>84</v>
      </c>
    </row>
    <row r="85" spans="1:26">
      <c r="A85" s="31"/>
      <c r="B85" s="741"/>
      <c r="C85" s="741"/>
      <c r="E85" s="769">
        <v>0</v>
      </c>
      <c r="F85" s="734"/>
      <c r="G85" s="1162">
        <v>0</v>
      </c>
      <c r="H85" s="751"/>
      <c r="I85" s="769">
        <v>0</v>
      </c>
      <c r="J85" s="734"/>
      <c r="K85" s="1053">
        <v>0</v>
      </c>
      <c r="L85" s="751"/>
      <c r="M85" s="739">
        <f t="shared" si="9"/>
        <v>0</v>
      </c>
      <c r="O85" s="739">
        <f>+[57]Richlands!$H74</f>
        <v>0</v>
      </c>
      <c r="P85" s="739">
        <f t="shared" si="10"/>
        <v>0</v>
      </c>
    </row>
    <row r="86" spans="1:26">
      <c r="A86" s="31" t="s">
        <v>79</v>
      </c>
      <c r="B86" s="741"/>
      <c r="C86" s="741"/>
      <c r="D86" s="739">
        <f>+[56]Grasmere!D80</f>
        <v>150</v>
      </c>
      <c r="E86" s="770">
        <f>+'Richlands Batch Mvnt'!J4-'Richlands Imported Boars'!F12</f>
        <v>8</v>
      </c>
      <c r="F86" s="734">
        <f>+D86*E86</f>
        <v>1200</v>
      </c>
      <c r="G86" s="1162">
        <f>+G84</f>
        <v>2.0499999999999998</v>
      </c>
      <c r="H86" s="751">
        <f>F86*G86</f>
        <v>2460</v>
      </c>
      <c r="I86" s="769">
        <v>8</v>
      </c>
      <c r="J86" s="734">
        <v>1200</v>
      </c>
      <c r="K86" s="1053">
        <v>2.04</v>
      </c>
      <c r="L86" s="751">
        <v>2448</v>
      </c>
      <c r="M86" s="739">
        <f t="shared" si="9"/>
        <v>12</v>
      </c>
      <c r="O86" s="739">
        <f>+[57]Richlands!$H75</f>
        <v>83090.180552046149</v>
      </c>
      <c r="P86" s="739">
        <f t="shared" si="10"/>
        <v>-80642.180552046149</v>
      </c>
    </row>
    <row r="87" spans="1:26">
      <c r="B87" s="741"/>
      <c r="C87" s="741"/>
      <c r="D87" s="739" t="s">
        <v>138</v>
      </c>
      <c r="E87" s="769"/>
      <c r="F87" s="734"/>
      <c r="G87" s="736"/>
      <c r="H87" s="751"/>
      <c r="I87" s="769"/>
      <c r="J87" s="734"/>
      <c r="K87" s="736"/>
      <c r="L87" s="751"/>
      <c r="M87" s="739">
        <f t="shared" si="9"/>
        <v>0</v>
      </c>
      <c r="O87" s="739">
        <f>+[57]Richlands!$H76</f>
        <v>0</v>
      </c>
      <c r="R87" s="739">
        <f>-'[68]total pig movement'!$I$77-'[68]total pig movement'!$I$78-'[68]total pig movement'!$I$83</f>
        <v>177607.09418606825</v>
      </c>
      <c r="T87" s="739">
        <f>SUM(O87:S87)</f>
        <v>177607.09418606825</v>
      </c>
      <c r="U87" s="739">
        <f>+'[68]total pig movement'!$H$82</f>
        <v>1128701.8974278742</v>
      </c>
      <c r="V87" s="739">
        <f>+T87-U87</f>
        <v>-951094.80324180587</v>
      </c>
    </row>
    <row r="88" spans="1:26" ht="13.9" thickBot="1">
      <c r="B88" s="741" t="s">
        <v>138</v>
      </c>
      <c r="C88" s="741"/>
      <c r="E88" s="783">
        <f>SUM(E42:E87)</f>
        <v>13013</v>
      </c>
      <c r="F88" s="783">
        <f>SUM(F42:F87)</f>
        <v>535379.21366377315</v>
      </c>
      <c r="G88" s="736"/>
      <c r="H88" s="727">
        <f>SUM(H42:H86)</f>
        <v>2176650.8566190144</v>
      </c>
      <c r="I88" s="772">
        <f>SUM(I42:I87)</f>
        <v>12568</v>
      </c>
      <c r="J88" s="734">
        <f>SUM(J42:J87)</f>
        <v>517369.59523127362</v>
      </c>
      <c r="K88" s="736"/>
      <c r="L88" s="727">
        <f>SUM(L42:L86)</f>
        <v>1441844.5181651467</v>
      </c>
      <c r="M88" s="739">
        <f>SUM(M44:M87)</f>
        <v>-3003</v>
      </c>
    </row>
    <row r="89" spans="1:26" ht="13.9" thickTop="1">
      <c r="B89" s="741"/>
      <c r="C89" s="741"/>
      <c r="E89" s="769">
        <f>+'Summary Total Pigs'!AF114</f>
        <v>13017</v>
      </c>
      <c r="F89" s="734" t="s">
        <v>138</v>
      </c>
      <c r="G89" s="736"/>
      <c r="H89" s="751" t="s">
        <v>138</v>
      </c>
      <c r="I89" s="750">
        <f>'[69]Richlands Valuation'!$E$88</f>
        <v>12568</v>
      </c>
      <c r="J89" s="734"/>
      <c r="K89" s="736"/>
      <c r="L89" s="750">
        <f>'[69]Richlands Valuation'!$H$88</f>
        <v>1441844.5181651467</v>
      </c>
      <c r="M89" s="739">
        <v>0</v>
      </c>
    </row>
    <row r="90" spans="1:26">
      <c r="E90" s="798">
        <f>+E88-E89</f>
        <v>-4</v>
      </c>
      <c r="F90" s="731" t="s">
        <v>1747</v>
      </c>
      <c r="G90" s="760"/>
      <c r="H90" s="761" t="s">
        <v>138</v>
      </c>
      <c r="I90" s="1224">
        <f>+I88-I89</f>
        <v>0</v>
      </c>
      <c r="J90" s="759"/>
      <c r="K90" s="759"/>
      <c r="L90" s="784">
        <f>+L88-L89</f>
        <v>0</v>
      </c>
      <c r="M90" s="739" t="s">
        <v>207</v>
      </c>
    </row>
    <row r="91" spans="1:26">
      <c r="E91" s="382"/>
      <c r="F91" s="385"/>
      <c r="G91" s="386"/>
      <c r="H91" s="734"/>
      <c r="I91" s="765"/>
      <c r="J91" s="734"/>
      <c r="K91" s="734"/>
      <c r="L91" s="734"/>
      <c r="M91" s="739">
        <f>+H91-L91</f>
        <v>0</v>
      </c>
    </row>
    <row r="92" spans="1:26">
      <c r="C92" s="740" t="s">
        <v>138</v>
      </c>
      <c r="E92" s="382"/>
      <c r="F92" s="385"/>
      <c r="G92" s="386"/>
      <c r="H92" s="734"/>
      <c r="I92" s="765"/>
      <c r="J92" s="734"/>
      <c r="K92" s="734"/>
      <c r="L92" s="734"/>
    </row>
    <row r="93" spans="1:26">
      <c r="C93" s="740" t="s">
        <v>138</v>
      </c>
      <c r="D93" s="739" t="s">
        <v>138</v>
      </c>
      <c r="E93" s="382" t="s">
        <v>138</v>
      </c>
      <c r="F93" s="385"/>
      <c r="G93" s="386"/>
      <c r="H93" s="734">
        <f>SUM(H44:H80)</f>
        <v>0</v>
      </c>
      <c r="I93" s="765"/>
      <c r="J93" s="1225">
        <f>+L93-H93</f>
        <v>0</v>
      </c>
      <c r="K93" s="734"/>
      <c r="L93" s="734">
        <f>SUM(L44:L80)</f>
        <v>0</v>
      </c>
      <c r="M93" s="739">
        <f>SUM(M44:M74)</f>
        <v>0</v>
      </c>
    </row>
    <row r="94" spans="1:26">
      <c r="C94" s="740" t="s">
        <v>138</v>
      </c>
      <c r="E94" s="382"/>
      <c r="F94" s="385"/>
      <c r="G94" s="386"/>
      <c r="H94" s="734"/>
      <c r="I94" s="765"/>
      <c r="J94" s="734"/>
      <c r="K94" s="734"/>
      <c r="L94" s="734"/>
    </row>
    <row r="95" spans="1:26">
      <c r="C95" s="740" t="s">
        <v>1717</v>
      </c>
      <c r="D95" s="739" t="s">
        <v>1739</v>
      </c>
      <c r="E95" s="1237">
        <f>+E42</f>
        <v>11745</v>
      </c>
      <c r="F95" s="385">
        <f>+'Summary Total Pigs'!AF108+'Summary Total Pigs'!AF109+'Summary Total Pigs'!AF110</f>
        <v>11745</v>
      </c>
      <c r="G95" s="386">
        <f t="shared" ref="G95:G100" si="11">+E95-F95</f>
        <v>0</v>
      </c>
      <c r="H95" s="1237">
        <f>+H42</f>
        <v>1788585.8566190142</v>
      </c>
      <c r="I95" s="799"/>
      <c r="J95" s="734"/>
      <c r="K95" s="734"/>
      <c r="L95" s="734"/>
      <c r="M95" s="739">
        <f>+L93-H93</f>
        <v>0</v>
      </c>
    </row>
    <row r="96" spans="1:26">
      <c r="C96" s="740" t="s">
        <v>1737</v>
      </c>
      <c r="D96" s="739" t="s">
        <v>1748</v>
      </c>
      <c r="E96" s="1237">
        <f>+E44+E48+E52+E56+E60+E64+E70+E74+E76+E78</f>
        <v>5</v>
      </c>
      <c r="F96" s="385">
        <f>+'Richlands Imported Valuation'!AP8</f>
        <v>0</v>
      </c>
      <c r="G96" s="386">
        <f t="shared" si="11"/>
        <v>5</v>
      </c>
      <c r="H96" s="1237">
        <f>+H44+H48+H52+H56+H60+H64+H70+H74+H76+H78</f>
        <v>0</v>
      </c>
      <c r="I96" s="799"/>
      <c r="J96" s="734"/>
      <c r="K96" s="734"/>
      <c r="L96" s="734"/>
    </row>
    <row r="97" spans="3:31">
      <c r="D97" s="739" t="s">
        <v>1598</v>
      </c>
      <c r="E97" s="1237">
        <f>+E46+E50+E54+E58+E62+E66+E68+E72</f>
        <v>1</v>
      </c>
      <c r="F97" s="385">
        <f>+'Richlands Imported Valuation'!AP20</f>
        <v>0</v>
      </c>
      <c r="G97" s="386">
        <f t="shared" si="11"/>
        <v>1</v>
      </c>
      <c r="H97" s="1237">
        <f>+H46+H50+H54+H58+H62+H66+H68+H72</f>
        <v>0</v>
      </c>
      <c r="I97" s="799"/>
      <c r="J97" s="734"/>
      <c r="K97" s="734"/>
      <c r="L97" s="734"/>
      <c r="N97" s="739">
        <f>22+176+7</f>
        <v>205</v>
      </c>
    </row>
    <row r="98" spans="3:31">
      <c r="D98" s="739" t="s">
        <v>304</v>
      </c>
      <c r="E98" s="1237">
        <f>+E82+E84</f>
        <v>1254</v>
      </c>
      <c r="F98" s="385">
        <f>+'Summary Total Pigs'!AF112-'Richlands Imported Valuation'!AP8-'Richlands Imported Valuation'!AP20+'Summary Total Pigs'!AF111</f>
        <v>1260</v>
      </c>
      <c r="G98" s="386">
        <f t="shared" si="11"/>
        <v>-6</v>
      </c>
      <c r="H98" s="1237">
        <f>+H82+H84</f>
        <v>385605</v>
      </c>
      <c r="I98" s="799"/>
      <c r="J98" s="385"/>
      <c r="K98" s="734"/>
      <c r="L98" s="734"/>
      <c r="M98" s="739">
        <f>+L98-J98</f>
        <v>0</v>
      </c>
    </row>
    <row r="99" spans="3:31">
      <c r="D99" s="739" t="s">
        <v>79</v>
      </c>
      <c r="E99" s="1237">
        <f>+E86</f>
        <v>8</v>
      </c>
      <c r="F99" s="385">
        <f>+'Richlands Batch Mvnt'!J4-'Richlands Imported Boars'!F12</f>
        <v>8</v>
      </c>
      <c r="G99" s="386">
        <f t="shared" si="11"/>
        <v>0</v>
      </c>
      <c r="H99" s="1237">
        <f>+H86</f>
        <v>2460</v>
      </c>
      <c r="I99" s="799"/>
      <c r="J99" s="734"/>
      <c r="K99" s="734"/>
      <c r="L99" s="734"/>
    </row>
    <row r="100" spans="3:31" s="31" customFormat="1">
      <c r="C100" s="743"/>
      <c r="E100" s="61">
        <f>SUM(E95:E99)</f>
        <v>13013</v>
      </c>
      <c r="F100" s="61">
        <f>SUM(F95:F99)</f>
        <v>13013</v>
      </c>
      <c r="G100" s="1236">
        <f t="shared" si="11"/>
        <v>0</v>
      </c>
      <c r="H100" s="695">
        <f>SUM(H95:H99)</f>
        <v>2176650.8566190144</v>
      </c>
      <c r="I100" s="61"/>
      <c r="J100" s="695"/>
      <c r="K100" s="695"/>
      <c r="L100" s="695"/>
    </row>
    <row r="101" spans="3:31">
      <c r="E101" s="802">
        <f>+E88</f>
        <v>13013</v>
      </c>
      <c r="F101" s="801">
        <f>+'Summary Total Pigs'!AF114</f>
        <v>13017</v>
      </c>
      <c r="G101" s="802" t="s">
        <v>138</v>
      </c>
      <c r="H101" s="801">
        <f>+H88</f>
        <v>2176650.8566190144</v>
      </c>
      <c r="I101" s="742">
        <v>0</v>
      </c>
      <c r="U101" s="739">
        <f>+L101-T101</f>
        <v>0</v>
      </c>
      <c r="AE101" s="739">
        <v>43</v>
      </c>
    </row>
    <row r="102" spans="3:31">
      <c r="D102" s="740"/>
      <c r="E102" s="741">
        <f>+E100-E101</f>
        <v>0</v>
      </c>
      <c r="F102" s="739">
        <f>+F100-F101</f>
        <v>-4</v>
      </c>
      <c r="H102" s="739">
        <f>+H100-H101</f>
        <v>0</v>
      </c>
      <c r="U102" s="739">
        <f>+L102-T102</f>
        <v>0</v>
      </c>
      <c r="AE102" s="739">
        <v>41</v>
      </c>
    </row>
    <row r="103" spans="3:31">
      <c r="D103" s="740"/>
    </row>
    <row r="104" spans="3:31">
      <c r="D104" s="740"/>
    </row>
    <row r="108" spans="3:31">
      <c r="G108" s="739"/>
    </row>
    <row r="110" spans="3:31">
      <c r="C110" s="739"/>
    </row>
    <row r="111" spans="3:31">
      <c r="C111" s="739"/>
    </row>
    <row r="112" spans="3:31">
      <c r="C112" s="739"/>
      <c r="I112" s="741"/>
    </row>
    <row r="113" spans="3:3">
      <c r="C113" s="739"/>
    </row>
    <row r="117" spans="3:3">
      <c r="C117" s="739"/>
    </row>
    <row r="118" spans="3:3">
      <c r="C118" s="739"/>
    </row>
    <row r="119" spans="3:3">
      <c r="C119" s="739"/>
    </row>
    <row r="120" spans="3:3">
      <c r="C120" s="739"/>
    </row>
    <row r="121" spans="3:3">
      <c r="C121" s="739"/>
    </row>
    <row r="122" spans="3:3">
      <c r="C122" s="739"/>
    </row>
    <row r="123" spans="3:3">
      <c r="C123" s="739"/>
    </row>
    <row r="124" spans="3:3">
      <c r="C124" s="739"/>
    </row>
    <row r="125" spans="3:3">
      <c r="C125" s="739"/>
    </row>
    <row r="126" spans="3:3">
      <c r="C126" s="739"/>
    </row>
    <row r="127" spans="3:3">
      <c r="C127" s="739"/>
    </row>
    <row r="128" spans="3:3">
      <c r="C128" s="739"/>
    </row>
  </sheetData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97CF-2AE5-4486-86D0-9C0A41FF37A6}">
  <sheetPr codeName="Sheet45">
    <tabColor theme="3" tint="0.39997558519241921"/>
  </sheetPr>
  <dimension ref="A1:AE128"/>
  <sheetViews>
    <sheetView view="pageBreakPreview" topLeftCell="A67" zoomScaleNormal="100" zoomScaleSheetLayoutView="100" workbookViewId="0">
      <selection activeCell="E82" sqref="E82:E86"/>
    </sheetView>
  </sheetViews>
  <sheetFormatPr defaultColWidth="9.140625" defaultRowHeight="13.15"/>
  <cols>
    <col min="1" max="1" width="11.28515625" style="739" customWidth="1"/>
    <col min="2" max="2" width="9.28515625" style="739" bestFit="1" customWidth="1"/>
    <col min="3" max="3" width="12.28515625" style="740" bestFit="1" customWidth="1"/>
    <col min="4" max="4" width="15.7109375" style="739" customWidth="1"/>
    <col min="5" max="5" width="15.42578125" style="741" customWidth="1"/>
    <col min="6" max="6" width="19.42578125" style="739" customWidth="1"/>
    <col min="7" max="7" width="12.7109375" style="740" bestFit="1" customWidth="1"/>
    <col min="8" max="8" width="18.28515625" style="739" bestFit="1" customWidth="1"/>
    <col min="9" max="9" width="14" style="742" customWidth="1"/>
    <col min="10" max="10" width="18.140625" style="739" customWidth="1"/>
    <col min="11" max="11" width="11.85546875" style="739" customWidth="1"/>
    <col min="12" max="12" width="18" style="739" customWidth="1"/>
    <col min="13" max="13" width="17.5703125" style="739" customWidth="1"/>
    <col min="14" max="18" width="15" style="739" customWidth="1"/>
    <col min="19" max="20" width="14" style="739" bestFit="1" customWidth="1"/>
    <col min="21" max="21" width="14.140625" style="739" customWidth="1"/>
    <col min="22" max="22" width="15.28515625" style="739" customWidth="1"/>
    <col min="23" max="23" width="11.5703125" style="739" customWidth="1"/>
    <col min="24" max="30" width="9.140625" style="739"/>
    <col min="31" max="31" width="9.28515625" style="739" bestFit="1" customWidth="1"/>
    <col min="32" max="16384" width="9.140625" style="739"/>
  </cols>
  <sheetData>
    <row r="1" spans="1:20">
      <c r="A1" s="31" t="s">
        <v>82</v>
      </c>
      <c r="H1" s="31"/>
    </row>
    <row r="2" spans="1:20">
      <c r="A2" s="31"/>
      <c r="H2" s="675">
        <f>+'Summary Total Pigs'!C3</f>
        <v>46226</v>
      </c>
      <c r="K2" s="734"/>
    </row>
    <row r="3" spans="1:20">
      <c r="A3" s="31" t="s">
        <v>1654</v>
      </c>
      <c r="G3" s="740" t="s">
        <v>138</v>
      </c>
      <c r="H3" s="31"/>
    </row>
    <row r="4" spans="1:20">
      <c r="A4" s="31"/>
      <c r="H4" s="743" t="s">
        <v>1729</v>
      </c>
    </row>
    <row r="5" spans="1:20">
      <c r="A5" s="686" t="s">
        <v>191</v>
      </c>
      <c r="B5" s="744"/>
      <c r="C5" s="745"/>
      <c r="D5" s="744"/>
      <c r="E5" s="746"/>
      <c r="F5" s="690">
        <f>+'Summary Total Pigs'!C3</f>
        <v>46226</v>
      </c>
      <c r="G5" s="745"/>
      <c r="H5" s="747"/>
      <c r="I5" s="748"/>
      <c r="J5" s="690">
        <f>+'Grasmere Valuation '!J5</f>
        <v>45870</v>
      </c>
      <c r="K5" s="744"/>
      <c r="L5" s="747"/>
    </row>
    <row r="6" spans="1:20">
      <c r="A6" s="749"/>
      <c r="B6" s="734"/>
      <c r="C6" s="736"/>
      <c r="D6" s="734"/>
      <c r="E6" s="750"/>
      <c r="F6" s="734"/>
      <c r="G6" s="736"/>
      <c r="H6" s="751"/>
      <c r="I6" s="752"/>
      <c r="J6" s="734"/>
      <c r="K6" s="734"/>
      <c r="L6" s="751"/>
    </row>
    <row r="7" spans="1:20">
      <c r="A7" s="694" t="s">
        <v>1656</v>
      </c>
      <c r="B7" s="695" t="s">
        <v>1657</v>
      </c>
      <c r="C7" s="696" t="s">
        <v>1658</v>
      </c>
      <c r="D7" s="695" t="s">
        <v>1659</v>
      </c>
      <c r="E7" s="698" t="s">
        <v>1660</v>
      </c>
      <c r="F7" s="695" t="s">
        <v>1661</v>
      </c>
      <c r="G7" s="696" t="s">
        <v>1662</v>
      </c>
      <c r="H7" s="697" t="s">
        <v>1663</v>
      </c>
      <c r="I7" s="753" t="s">
        <v>1660</v>
      </c>
      <c r="J7" s="695" t="s">
        <v>1661</v>
      </c>
      <c r="K7" s="695" t="s">
        <v>1662</v>
      </c>
      <c r="L7" s="697" t="s">
        <v>1663</v>
      </c>
      <c r="M7" s="31"/>
    </row>
    <row r="8" spans="1:20">
      <c r="A8" s="699"/>
      <c r="B8" s="700" t="s">
        <v>1664</v>
      </c>
      <c r="C8" s="701" t="s">
        <v>1665</v>
      </c>
      <c r="D8" s="700" t="s">
        <v>181</v>
      </c>
      <c r="E8" s="703" t="s">
        <v>1666</v>
      </c>
      <c r="F8" s="700"/>
      <c r="G8" s="701" t="s">
        <v>1668</v>
      </c>
      <c r="H8" s="702"/>
      <c r="I8" s="754" t="s">
        <v>1666</v>
      </c>
      <c r="J8" s="700"/>
      <c r="K8" s="700" t="s">
        <v>1668</v>
      </c>
      <c r="L8" s="702"/>
      <c r="M8" s="31"/>
    </row>
    <row r="9" spans="1:20">
      <c r="A9" s="31" t="s">
        <v>179</v>
      </c>
      <c r="B9" s="31"/>
      <c r="C9" s="743"/>
      <c r="D9" s="31"/>
      <c r="E9" s="698"/>
      <c r="F9" s="695"/>
      <c r="G9" s="696"/>
      <c r="H9" s="1933">
        <f>SUM('Porta Pig Cost'!B62:R62)</f>
        <v>184576.22421524662</v>
      </c>
      <c r="I9" s="753"/>
      <c r="J9" s="695"/>
      <c r="K9" s="695"/>
      <c r="L9" s="751">
        <v>75820.256472377558</v>
      </c>
      <c r="M9" s="739">
        <f>+H9-L9</f>
        <v>108755.96774286906</v>
      </c>
      <c r="T9" s="739">
        <f>+H9-L9</f>
        <v>108755.96774286906</v>
      </c>
    </row>
    <row r="10" spans="1:20">
      <c r="B10" s="741">
        <v>1</v>
      </c>
      <c r="C10" s="693">
        <f>VLOOKUP(B10,[65]New!$O$1:$AJ$37,5,0)</f>
        <v>1.3876506934901334</v>
      </c>
      <c r="D10" s="1890">
        <f>VLOOKUP(B10,[65]New!$A$1:$AJ$37,20,0)</f>
        <v>0.86034342996388269</v>
      </c>
      <c r="E10" s="1152">
        <f>'Porta Batch Mvnt'!B4</f>
        <v>494</v>
      </c>
      <c r="F10" s="734">
        <f>D10*E10</f>
        <v>425.00965440215805</v>
      </c>
      <c r="G10" s="736">
        <f>IFERROR(H10/F10,0)</f>
        <v>71.213119102656037</v>
      </c>
      <c r="H10" s="751">
        <f>'Porta Pig Cost'!$S$62</f>
        <v>30266.263138719562</v>
      </c>
      <c r="I10" s="755">
        <v>458</v>
      </c>
      <c r="J10" s="734">
        <v>394.28181649888887</v>
      </c>
      <c r="K10" s="736">
        <v>31.621269876396923</v>
      </c>
      <c r="L10" s="751">
        <v>12467.691726867373</v>
      </c>
      <c r="M10" s="739">
        <f t="shared" ref="M10:M41" si="0">+H10-L10</f>
        <v>17798.571411852186</v>
      </c>
    </row>
    <row r="11" spans="1:20">
      <c r="B11" s="741">
        <v>2</v>
      </c>
      <c r="C11" s="693">
        <f>VLOOKUP(B11,[65]New!$O$1:$AJ$37,5,0)</f>
        <v>2.3590061789332268</v>
      </c>
      <c r="D11" s="1890">
        <f>VLOOKUP(B11,[65]New!$A$1:$AJ$37,20,0)</f>
        <v>1.4625838309386006</v>
      </c>
      <c r="E11" s="1152">
        <f>'Porta Batch Mvnt'!B5</f>
        <v>726</v>
      </c>
      <c r="F11" s="734">
        <f t="shared" ref="F11:F13" si="1">D11*E11</f>
        <v>1061.835861261424</v>
      </c>
      <c r="G11" s="736">
        <f t="shared" ref="G11:G26" si="2">IFERROR(H11/F11,0)</f>
        <v>32.742468299442457</v>
      </c>
      <c r="H11" s="751">
        <f>'Porta Pig Cost'!$T$62</f>
        <v>34767.127026563358</v>
      </c>
      <c r="I11" s="755">
        <v>625</v>
      </c>
      <c r="J11" s="734">
        <v>914.68216163770614</v>
      </c>
      <c r="K11" s="736">
        <v>16.330140817662137</v>
      </c>
      <c r="L11" s="751">
        <v>14936.888502947342</v>
      </c>
      <c r="M11" s="739">
        <f t="shared" si="0"/>
        <v>19830.238523616015</v>
      </c>
    </row>
    <row r="12" spans="1:20">
      <c r="A12" s="31" t="s">
        <v>384</v>
      </c>
      <c r="B12" s="741">
        <v>3</v>
      </c>
      <c r="C12" s="693">
        <f>VLOOKUP(B12,[65]New!$O$1:$AJ$37,5,0)</f>
        <v>3.7744098862931628</v>
      </c>
      <c r="D12" s="1890">
        <f>VLOOKUP(B12,[65]New!$A$1:$AJ$37,20,0)</f>
        <v>2.3401341295017608</v>
      </c>
      <c r="E12" s="1152">
        <f>'Porta Batch Mvnt'!B6</f>
        <v>693</v>
      </c>
      <c r="F12" s="734">
        <f t="shared" si="1"/>
        <v>1621.7129517447202</v>
      </c>
      <c r="G12" s="736">
        <f t="shared" si="2"/>
        <v>20.606973860389221</v>
      </c>
      <c r="H12" s="751">
        <f>'Porta Pig Cost'!$U$62</f>
        <v>33418.596405658092</v>
      </c>
      <c r="I12" s="755">
        <v>640</v>
      </c>
      <c r="J12" s="734">
        <v>1498.6152536272177</v>
      </c>
      <c r="K12" s="736">
        <v>9.8283784791132511</v>
      </c>
      <c r="L12" s="751">
        <v>14728.957907220592</v>
      </c>
      <c r="M12" s="739">
        <f t="shared" si="0"/>
        <v>18689.6384984375</v>
      </c>
    </row>
    <row r="13" spans="1:20">
      <c r="A13" s="31"/>
      <c r="B13" s="757">
        <v>4</v>
      </c>
      <c r="C13" s="693">
        <f>VLOOKUP(B13,[65]New!$O$1:$AJ$37,5,0)</f>
        <v>5.6616148294397437</v>
      </c>
      <c r="D13" s="1890">
        <f>VLOOKUP(B13,[65]New!$A$1:$AJ$37,20,0)</f>
        <v>3.510201194252641</v>
      </c>
      <c r="E13" s="1152">
        <f>'Porta Batch Mvnt'!B7</f>
        <v>709</v>
      </c>
      <c r="F13" s="734">
        <f t="shared" si="1"/>
        <v>2488.7326467251223</v>
      </c>
      <c r="G13" s="736">
        <f t="shared" si="2"/>
        <v>16.077935329298864</v>
      </c>
      <c r="H13" s="751">
        <f>'Porta Pig Cost'!$V$62</f>
        <v>40013.68254596131</v>
      </c>
      <c r="I13" s="758">
        <v>616</v>
      </c>
      <c r="J13" s="759">
        <v>2163.6257724242955</v>
      </c>
      <c r="K13" s="736">
        <v>9.2089348659221724</v>
      </c>
      <c r="L13" s="751">
        <v>19924.688812485885</v>
      </c>
      <c r="M13" s="739">
        <f t="shared" si="0"/>
        <v>20088.993733475425</v>
      </c>
    </row>
    <row r="14" spans="1:20">
      <c r="A14" s="31"/>
      <c r="B14" s="741">
        <v>5</v>
      </c>
      <c r="C14" s="693">
        <f>VLOOKUP(B14,[65]New!$O$1:$AJ$37,5,0)</f>
        <v>7.4719652726391805</v>
      </c>
      <c r="D14" s="1315">
        <f>VLOOKUP(B14,[65]New!$A$1:$AJ$37,20,0)</f>
        <v>5.1556560381210339</v>
      </c>
      <c r="E14" s="1155">
        <f>'Porta Batch Mvnt'!B8</f>
        <v>662</v>
      </c>
      <c r="F14" s="734">
        <f>D14*E14</f>
        <v>3413.0442972361243</v>
      </c>
      <c r="G14" s="736">
        <f t="shared" si="2"/>
        <v>11.875812113402951</v>
      </c>
      <c r="H14" s="751">
        <f>'Porta Pig Cost'!$W$62</f>
        <v>40532.672808697629</v>
      </c>
      <c r="I14" s="1159">
        <v>639</v>
      </c>
      <c r="J14" s="744">
        <v>3296.5086360692067</v>
      </c>
      <c r="K14" s="736">
        <v>6.7418725667181132</v>
      </c>
      <c r="L14" s="751">
        <v>22224.641139464329</v>
      </c>
      <c r="M14" s="739">
        <f t="shared" si="0"/>
        <v>18308.0316692333</v>
      </c>
    </row>
    <row r="15" spans="1:20">
      <c r="A15" s="31"/>
      <c r="B15" s="741">
        <v>6</v>
      </c>
      <c r="C15" s="693">
        <f>VLOOKUP(B15,[65]New!$O$1:$AJ$37,5,0)</f>
        <v>10.176105085594312</v>
      </c>
      <c r="D15" s="1155">
        <f>VLOOKUP(B15,[65]New!$A$1:$AJ$37,20,0)</f>
        <v>7.0215125090600745</v>
      </c>
      <c r="E15" s="1155">
        <f>'Porta Batch Mvnt'!B9</f>
        <v>628</v>
      </c>
      <c r="F15" s="734">
        <f t="shared" ref="F15:F40" si="3">D15*E15</f>
        <v>4409.5098556897265</v>
      </c>
      <c r="G15" s="736">
        <f t="shared" si="2"/>
        <v>7.4065218289270183</v>
      </c>
      <c r="H15" s="751">
        <f>'Porta Pig Cost'!$X$62</f>
        <v>32659.131001034784</v>
      </c>
      <c r="I15" s="755">
        <v>609</v>
      </c>
      <c r="J15" s="734">
        <v>4278.7547147978094</v>
      </c>
      <c r="K15" s="736">
        <v>3.6540353867060262</v>
      </c>
      <c r="L15" s="751">
        <v>15634.721138906447</v>
      </c>
      <c r="M15" s="739">
        <f t="shared" si="0"/>
        <v>17024.409862128337</v>
      </c>
    </row>
    <row r="16" spans="1:20">
      <c r="A16" s="31" t="s">
        <v>389</v>
      </c>
      <c r="B16" s="741">
        <v>7</v>
      </c>
      <c r="C16" s="693">
        <f>VLOOKUP(B16,[65]New!$O$1:$AJ$37,5,0)</f>
        <v>12.880244898549444</v>
      </c>
      <c r="D16" s="1155">
        <f>VLOOKUP(B16,[65]New!$A$1:$AJ$37,20,0)</f>
        <v>8.8873689799991151</v>
      </c>
      <c r="E16" s="1155">
        <f>'Porta Batch Mvnt'!B10</f>
        <v>700</v>
      </c>
      <c r="F16" s="734">
        <f t="shared" si="3"/>
        <v>6221.1582859993805</v>
      </c>
      <c r="G16" s="736">
        <f t="shared" si="2"/>
        <v>5.5527566101043222</v>
      </c>
      <c r="H16" s="751">
        <f>'Porta Pig Cost'!$Y$62</f>
        <v>34544.577795088335</v>
      </c>
      <c r="I16" s="755">
        <v>561</v>
      </c>
      <c r="J16" s="734">
        <v>4988.9080172159383</v>
      </c>
      <c r="K16" s="736">
        <v>3.0786636447353395</v>
      </c>
      <c r="L16" s="751">
        <v>15359.169739531377</v>
      </c>
      <c r="M16" s="739">
        <f t="shared" si="0"/>
        <v>19185.40805555696</v>
      </c>
    </row>
    <row r="17" spans="1:13">
      <c r="A17" s="31"/>
      <c r="B17" s="764">
        <v>8</v>
      </c>
      <c r="C17" s="693">
        <f>VLOOKUP(B17,[65]New!$O$1:$AJ$37,5,0)</f>
        <v>15.584384711504576</v>
      </c>
      <c r="D17" s="1155">
        <f>VLOOKUP(B17,[65]New!$A$1:$AJ$37,20,0)</f>
        <v>10.753225450938157</v>
      </c>
      <c r="E17" s="1155">
        <f>'Porta Batch Mvnt'!B11</f>
        <v>669</v>
      </c>
      <c r="F17" s="734">
        <f t="shared" si="3"/>
        <v>7193.9078266776269</v>
      </c>
      <c r="G17" s="736">
        <f t="shared" si="2"/>
        <v>6.3791230360381572</v>
      </c>
      <c r="H17" s="751">
        <f>'Porta Pig Cost'!$Z$62</f>
        <v>45890.823136294443</v>
      </c>
      <c r="I17" s="755">
        <v>569</v>
      </c>
      <c r="J17" s="734">
        <v>6122.3822587259847</v>
      </c>
      <c r="K17" s="736">
        <v>3.4547039707473468</v>
      </c>
      <c r="L17" s="751">
        <v>21151.01829965377</v>
      </c>
      <c r="M17" s="739">
        <f t="shared" si="0"/>
        <v>24739.804836640673</v>
      </c>
    </row>
    <row r="18" spans="1:13">
      <c r="A18" s="31"/>
      <c r="B18" s="757">
        <v>9</v>
      </c>
      <c r="C18" s="693">
        <f>VLOOKUP(B18,[65]New!$O$1:$AJ$37,5,0)</f>
        <v>20.014192694569232</v>
      </c>
      <c r="D18" s="1155">
        <f>VLOOKUP(B18,[65]New!$A$1:$AJ$37,20,0)</f>
        <v>13.80979295925277</v>
      </c>
      <c r="E18" s="1155">
        <f>'Porta Batch Mvnt'!B12</f>
        <v>618</v>
      </c>
      <c r="F18" s="759">
        <f t="shared" si="3"/>
        <v>8534.4520488182116</v>
      </c>
      <c r="G18" s="736">
        <f t="shared" si="2"/>
        <v>9.1273474377055397</v>
      </c>
      <c r="H18" s="751">
        <f>'Porta Pig Cost'!$AA$62</f>
        <v>77896.909040001701</v>
      </c>
      <c r="I18" s="758">
        <v>543</v>
      </c>
      <c r="J18" s="759">
        <v>7503.3710151977666</v>
      </c>
      <c r="K18" s="736">
        <v>4.8529613017147399</v>
      </c>
      <c r="L18" s="751">
        <v>36413.569169162802</v>
      </c>
      <c r="M18" s="739">
        <f t="shared" si="0"/>
        <v>41483.3398708389</v>
      </c>
    </row>
    <row r="19" spans="1:13">
      <c r="A19" s="31"/>
      <c r="B19" s="741">
        <v>10</v>
      </c>
      <c r="C19" s="693">
        <f>VLOOKUP(B19,[65]New!$O$1:$AJ$37,5,0)</f>
        <v>24.444000677633895</v>
      </c>
      <c r="D19" s="1315">
        <f>VLOOKUP(B19,[65]New!$A$1:$AJ$37,20,0)</f>
        <v>16.866360467567386</v>
      </c>
      <c r="E19" s="1315">
        <f>'Porta Batch Mvnt'!B13</f>
        <v>647</v>
      </c>
      <c r="F19" s="734">
        <f t="shared" si="3"/>
        <v>10912.535222516099</v>
      </c>
      <c r="G19" s="736">
        <f t="shared" si="2"/>
        <v>5.8070764656187954</v>
      </c>
      <c r="H19" s="751">
        <f>'Porta Pig Cost'!$AB$62</f>
        <v>63369.926470909406</v>
      </c>
      <c r="I19" s="755">
        <v>613</v>
      </c>
      <c r="J19" s="734">
        <v>10345.495032539395</v>
      </c>
      <c r="K19" s="736">
        <v>4.1298820153127309</v>
      </c>
      <c r="L19" s="751">
        <v>42725.673874391643</v>
      </c>
      <c r="M19" s="739">
        <f t="shared" si="0"/>
        <v>20644.252596517763</v>
      </c>
    </row>
    <row r="20" spans="1:13">
      <c r="A20" s="31"/>
      <c r="B20" s="741">
        <v>11</v>
      </c>
      <c r="C20" s="693">
        <f>VLOOKUP(B20,[65]New!$O$1:$AJ$37,5,0)</f>
        <v>29.194035743811668</v>
      </c>
      <c r="D20" s="1156">
        <f>VLOOKUP(B20,[65]New!$A$1:$AJ$37,20,0)</f>
        <v>20.14388466323005</v>
      </c>
      <c r="E20" s="1156">
        <f>'Porta Batch Mvnt'!B14</f>
        <v>662</v>
      </c>
      <c r="F20" s="734">
        <f t="shared" si="3"/>
        <v>13335.251647058294</v>
      </c>
      <c r="G20" s="736">
        <f t="shared" si="2"/>
        <v>5.4348034494026445</v>
      </c>
      <c r="H20" s="751">
        <f>'Porta Pig Cost'!$AC$62</f>
        <v>72474.471650084713</v>
      </c>
      <c r="I20" s="755">
        <v>655</v>
      </c>
      <c r="J20" s="734">
        <v>13202.432334831838</v>
      </c>
      <c r="K20" s="736">
        <v>3.4185047718672115</v>
      </c>
      <c r="L20" s="751">
        <v>45132.577936876609</v>
      </c>
      <c r="M20" s="739">
        <f t="shared" si="0"/>
        <v>27341.893713208105</v>
      </c>
    </row>
    <row r="21" spans="1:13">
      <c r="A21" s="31"/>
      <c r="B21" s="741">
        <v>12</v>
      </c>
      <c r="C21" s="693">
        <f>VLOOKUP(B21,[65]New!$O$1:$AJ$37,5,0)</f>
        <v>33.944070809989427</v>
      </c>
      <c r="D21" s="1156">
        <f>VLOOKUP(B21,[65]New!$A$1:$AJ$37,20,0)</f>
        <v>23.421408858892701</v>
      </c>
      <c r="E21" s="1156">
        <f>'Porta Batch Mvnt'!B15</f>
        <v>665</v>
      </c>
      <c r="F21" s="734">
        <f t="shared" si="3"/>
        <v>15575.236891163646</v>
      </c>
      <c r="G21" s="736">
        <f t="shared" si="2"/>
        <v>5.2757599794673435</v>
      </c>
      <c r="H21" s="751">
        <f>'Porta Pig Cost'!$AD$62</f>
        <v>82171.211461124534</v>
      </c>
      <c r="I21" s="755">
        <v>648</v>
      </c>
      <c r="J21" s="734">
        <v>15186.491294052426</v>
      </c>
      <c r="K21" s="736">
        <v>2.169909442146901</v>
      </c>
      <c r="L21" s="751">
        <v>32953.310852046066</v>
      </c>
      <c r="M21" s="739">
        <f t="shared" si="0"/>
        <v>49217.900609078468</v>
      </c>
    </row>
    <row r="22" spans="1:13">
      <c r="A22" s="31"/>
      <c r="B22" s="741">
        <v>13</v>
      </c>
      <c r="C22" s="693">
        <f>VLOOKUP(B22,[65]New!$O$1:$AJ$37,5,0)</f>
        <v>41.309293721590919</v>
      </c>
      <c r="D22" s="1156">
        <f>VLOOKUP(B22,[65]New!$A$1:$AJ$37,20,0)</f>
        <v>28.503412667897731</v>
      </c>
      <c r="E22" s="1156">
        <f>'Porta Batch Mvnt'!B16</f>
        <v>620</v>
      </c>
      <c r="F22" s="734">
        <f t="shared" si="3"/>
        <v>17672.115854096592</v>
      </c>
      <c r="G22" s="736">
        <f t="shared" si="2"/>
        <v>6.2550125961539065</v>
      </c>
      <c r="H22" s="751">
        <f>'Porta Pig Cost'!$AE$62</f>
        <v>110539.30726806533</v>
      </c>
      <c r="I22" s="755">
        <v>704</v>
      </c>
      <c r="J22" s="734">
        <v>20078.855016315301</v>
      </c>
      <c r="K22" s="736">
        <v>3.0683251026620635</v>
      </c>
      <c r="L22" s="751">
        <v>61608.454879272336</v>
      </c>
      <c r="M22" s="739">
        <f t="shared" si="0"/>
        <v>48930.852388792991</v>
      </c>
    </row>
    <row r="23" spans="1:13">
      <c r="A23" s="31"/>
      <c r="B23" s="741">
        <v>14</v>
      </c>
      <c r="C23" s="693">
        <f>VLOOKUP(B23,[65]New!$O$1:$AJ$37,5,0)</f>
        <v>48.674516633192397</v>
      </c>
      <c r="D23" s="1156">
        <f>VLOOKUP(B23,[65]New!$A$1:$AJ$37,20,0)</f>
        <v>35.045651975898522</v>
      </c>
      <c r="E23" s="1156">
        <f>'Porta Batch Mvnt'!B17</f>
        <v>639</v>
      </c>
      <c r="F23" s="734">
        <f t="shared" si="3"/>
        <v>22394.171612599155</v>
      </c>
      <c r="G23" s="736">
        <f t="shared" si="2"/>
        <v>5.1505946910056872</v>
      </c>
      <c r="H23" s="751">
        <f>'Porta Pig Cost'!$AF$62</f>
        <v>115343.30141732348</v>
      </c>
      <c r="I23" s="755">
        <v>685</v>
      </c>
      <c r="J23" s="734">
        <v>24021.169044704809</v>
      </c>
      <c r="K23" s="736">
        <v>1.8171566186338901</v>
      </c>
      <c r="L23" s="751">
        <v>43650.226316908862</v>
      </c>
      <c r="M23" s="739">
        <f t="shared" si="0"/>
        <v>71693.07510041463</v>
      </c>
    </row>
    <row r="24" spans="1:13">
      <c r="A24" s="31" t="s">
        <v>397</v>
      </c>
      <c r="B24" s="741">
        <v>15</v>
      </c>
      <c r="C24" s="693">
        <f>VLOOKUP(B24,[65]New!$O$1:$AJ$37,5,0)</f>
        <v>57.498551812309145</v>
      </c>
      <c r="D24" s="1156">
        <f>VLOOKUP(B24,[65]New!$A$1:$AJ$37,20,0)</f>
        <v>41.398957304862584</v>
      </c>
      <c r="E24" s="1156">
        <f>'Porta Batch Mvnt'!B18</f>
        <v>666</v>
      </c>
      <c r="F24" s="734">
        <f t="shared" si="3"/>
        <v>27571.705565038483</v>
      </c>
      <c r="G24" s="736">
        <f t="shared" si="2"/>
        <v>4.2786792793642237</v>
      </c>
      <c r="H24" s="751">
        <f>'Porta Pig Cost'!$AG$62</f>
        <v>117970.48529786141</v>
      </c>
      <c r="I24" s="755">
        <v>665</v>
      </c>
      <c r="J24" s="734">
        <v>27547.390940156209</v>
      </c>
      <c r="K24" s="736">
        <v>1.9975517887146641</v>
      </c>
      <c r="L24" s="751">
        <v>55027.340046931167</v>
      </c>
      <c r="M24" s="739">
        <f t="shared" si="0"/>
        <v>62943.14525093024</v>
      </c>
    </row>
    <row r="25" spans="1:13">
      <c r="A25" s="31"/>
      <c r="B25" s="741">
        <v>16</v>
      </c>
      <c r="C25" s="693">
        <f>VLOOKUP(B25,[65]New!$O$1:$AJ$37,5,0)</f>
        <v>66.322586991425908</v>
      </c>
      <c r="D25" s="1156">
        <f>VLOOKUP(B25,[65]New!$A$1:$AJ$37,20,0)</f>
        <v>49.078714373655167</v>
      </c>
      <c r="E25" s="1156">
        <f>'Porta Batch Mvnt'!B19</f>
        <v>603</v>
      </c>
      <c r="F25" s="734">
        <f>D25*E25</f>
        <v>29594.464767314064</v>
      </c>
      <c r="G25" s="736">
        <f>IFERROR(H25/F25,0)</f>
        <v>4.7587288117003794</v>
      </c>
      <c r="H25" s="751">
        <f>'Porta Pig Cost'!$AH$62</f>
        <v>140832.0321550692</v>
      </c>
      <c r="I25" s="755">
        <v>678</v>
      </c>
      <c r="J25" s="734">
        <v>33296.017859431748</v>
      </c>
      <c r="K25" s="736">
        <v>1.8376375465188894</v>
      </c>
      <c r="L25" s="751">
        <v>61186.012568055281</v>
      </c>
      <c r="M25" s="739">
        <f t="shared" si="0"/>
        <v>79646.019587013929</v>
      </c>
    </row>
    <row r="26" spans="1:13" s="1843" customFormat="1">
      <c r="A26" s="1840"/>
      <c r="B26" s="1841">
        <v>17</v>
      </c>
      <c r="C26" s="693">
        <f>VLOOKUP(B26,[65]New!$O$1:$AJ$37,5,0)</f>
        <v>75.14662217054267</v>
      </c>
      <c r="D26" s="1156">
        <f>VLOOKUP(B26,[65]New!$A$1:$AJ$37,20,0)</f>
        <v>55.608500406201571</v>
      </c>
      <c r="E26" s="1156">
        <f>'Porta Batch Mvnt'!B20</f>
        <v>633</v>
      </c>
      <c r="F26" s="1842">
        <f t="shared" si="3"/>
        <v>35200.180757125592</v>
      </c>
      <c r="G26" s="736">
        <f t="shared" si="2"/>
        <v>4.315048029026693</v>
      </c>
      <c r="H26" s="751">
        <f>'Porta Pig Cost'!$AI$62</f>
        <v>151890.47059741811</v>
      </c>
      <c r="I26" s="788">
        <v>660</v>
      </c>
      <c r="J26" s="1842">
        <v>36724.38598647491</v>
      </c>
      <c r="K26" s="736">
        <v>1.9274737789193264</v>
      </c>
      <c r="L26" s="751">
        <v>70785.291035842747</v>
      </c>
      <c r="M26" s="1843">
        <f t="shared" si="0"/>
        <v>81105.179561575365</v>
      </c>
    </row>
    <row r="27" spans="1:13">
      <c r="A27" s="31"/>
      <c r="B27" s="741">
        <v>18</v>
      </c>
      <c r="C27" s="693">
        <f>VLOOKUP(B27,[65]New!$O$1:$AJ$37,5,0)</f>
        <v>86.784348533153249</v>
      </c>
      <c r="D27" s="1156">
        <f>VLOOKUP(B27,[65]New!$A$1:$AJ$37,20,0)</f>
        <v>65.956104885196467</v>
      </c>
      <c r="E27" s="1156">
        <f>'Porta Batch Mvnt'!B21</f>
        <v>652</v>
      </c>
      <c r="F27" s="734">
        <f t="shared" si="3"/>
        <v>43003.380385148099</v>
      </c>
      <c r="G27" s="1846">
        <f>'[66]Selling Price Working'!$K$18</f>
        <v>2.517328915229037</v>
      </c>
      <c r="H27" s="721">
        <f t="shared" ref="H27:H40" si="4">G27*F27</f>
        <v>108253.65289612651</v>
      </c>
      <c r="I27" s="755">
        <v>612</v>
      </c>
      <c r="J27" s="734">
        <v>40390.185362449229</v>
      </c>
      <c r="K27" s="1846">
        <v>2.4653281143601511</v>
      </c>
      <c r="L27" s="721">
        <v>99575.059518263937</v>
      </c>
      <c r="M27" s="739">
        <f t="shared" si="0"/>
        <v>8678.5933778625767</v>
      </c>
    </row>
    <row r="28" spans="1:13">
      <c r="A28" s="31"/>
      <c r="B28" s="741">
        <v>19</v>
      </c>
      <c r="C28" s="693">
        <f>VLOOKUP(B28,[65]New!$O$1:$AJ$37,5,0)</f>
        <v>100.39961758446233</v>
      </c>
      <c r="D28" s="1156">
        <f>VLOOKUP(B28,[65]New!$A$1:$AJ$37,20,0)</f>
        <v>76.303709364191377</v>
      </c>
      <c r="E28" s="1156">
        <f>'Porta Batch Mvnt'!B22</f>
        <v>637</v>
      </c>
      <c r="F28" s="734">
        <f t="shared" si="3"/>
        <v>48605.46286498991</v>
      </c>
      <c r="G28" s="1826">
        <f t="shared" ref="G28:G40" si="5">G27</f>
        <v>2.517328915229037</v>
      </c>
      <c r="H28" s="721">
        <f t="shared" si="4"/>
        <v>122355.9371081303</v>
      </c>
      <c r="I28" s="755">
        <v>656</v>
      </c>
      <c r="J28" s="734">
        <v>50086.295846429945</v>
      </c>
      <c r="K28" s="1826">
        <v>2.4653281143601511</v>
      </c>
      <c r="L28" s="721">
        <v>123479.1532943638</v>
      </c>
      <c r="M28" s="739">
        <f t="shared" si="0"/>
        <v>-1123.2161862335051</v>
      </c>
    </row>
    <row r="29" spans="1:13">
      <c r="A29" s="31"/>
      <c r="B29" s="741">
        <v>20</v>
      </c>
      <c r="C29" s="693">
        <f>VLOOKUP(B29,[65]New!$O$1:$AJ$37,5,0)</f>
        <v>114.01488663577145</v>
      </c>
      <c r="D29" s="1156">
        <f>VLOOKUP(B29,[65]New!$A$1:$AJ$37,20,0)</f>
        <v>86.651313843186301</v>
      </c>
      <c r="E29" s="1156">
        <f>'Porta Batch Mvnt'!B23</f>
        <v>652</v>
      </c>
      <c r="F29" s="734">
        <f t="shared" si="3"/>
        <v>56496.656625757467</v>
      </c>
      <c r="G29" s="1826">
        <f t="shared" si="5"/>
        <v>2.517328915229037</v>
      </c>
      <c r="H29" s="721">
        <f t="shared" si="4"/>
        <v>142220.66733778542</v>
      </c>
      <c r="I29" s="755">
        <v>606</v>
      </c>
      <c r="J29" s="734">
        <v>52543.282465695542</v>
      </c>
      <c r="K29" s="1826">
        <v>2.4653281143601511</v>
      </c>
      <c r="L29" s="721">
        <v>129536.43148344598</v>
      </c>
      <c r="M29" s="739">
        <f t="shared" si="0"/>
        <v>12684.235854339437</v>
      </c>
    </row>
    <row r="30" spans="1:13">
      <c r="A30" s="31"/>
      <c r="B30" s="764">
        <v>21</v>
      </c>
      <c r="C30" s="693">
        <f>VLOOKUP(B30,[65]New!$O$1:$AJ$37,5,0)</f>
        <v>120.25088772797412</v>
      </c>
      <c r="D30" s="1156">
        <f>VLOOKUP(B30,[65]New!$A$1:$AJ$37,20,0)</f>
        <v>91.390674673260335</v>
      </c>
      <c r="E30" s="1156">
        <f>'Porta Batch Mvnt'!B24</f>
        <v>656</v>
      </c>
      <c r="F30" s="734">
        <f t="shared" si="3"/>
        <v>59952.282585658781</v>
      </c>
      <c r="G30" s="1826">
        <f t="shared" si="5"/>
        <v>2.517328915229037</v>
      </c>
      <c r="H30" s="721">
        <f t="shared" si="4"/>
        <v>150919.6144868611</v>
      </c>
      <c r="I30" s="755">
        <v>602</v>
      </c>
      <c r="J30" s="734">
        <v>55051.327868852459</v>
      </c>
      <c r="K30" s="1826">
        <v>2.4653281143601511</v>
      </c>
      <c r="L30" s="721">
        <v>135719.58632794046</v>
      </c>
      <c r="M30" s="739">
        <f t="shared" si="0"/>
        <v>15200.028158920642</v>
      </c>
    </row>
    <row r="31" spans="1:13">
      <c r="A31" s="31"/>
      <c r="B31" s="764">
        <v>22</v>
      </c>
      <c r="C31" s="693">
        <f>VLOOKUP(B31,[65]New!$O$1:$AJ$37,5,0)</f>
        <v>129.45192195301669</v>
      </c>
      <c r="D31" s="1156">
        <f>VLOOKUP(B31,[65]New!$A$1:$AJ$37,20,0)</f>
        <v>98.383460684292686</v>
      </c>
      <c r="E31" s="1156">
        <f>'Porta Batch Mvnt'!B25</f>
        <v>608</v>
      </c>
      <c r="F31" s="734">
        <f t="shared" si="3"/>
        <v>59817.144096049953</v>
      </c>
      <c r="G31" s="1826">
        <f t="shared" si="5"/>
        <v>2.517328915229037</v>
      </c>
      <c r="H31" s="721">
        <f t="shared" si="4"/>
        <v>150579.42645940842</v>
      </c>
      <c r="I31" s="755">
        <v>648</v>
      </c>
      <c r="J31" s="734">
        <v>63792.045054261376</v>
      </c>
      <c r="K31" s="1826">
        <v>2.4653281143601511</v>
      </c>
      <c r="L31" s="721">
        <v>157268.32214480001</v>
      </c>
      <c r="M31" s="739">
        <f t="shared" si="0"/>
        <v>-6688.8956853915879</v>
      </c>
    </row>
    <row r="32" spans="1:13">
      <c r="A32" s="31"/>
      <c r="B32" s="764">
        <f>+B31+1</f>
        <v>23</v>
      </c>
      <c r="C32" s="693">
        <f>VLOOKUP(B32,[65]New!$O$1:$AJ$37,5,0)</f>
        <v>132.72288991237937</v>
      </c>
      <c r="D32" s="1156">
        <f>VLOOKUP(B32,[65]New!$A$1:$AJ$37,20,0)</f>
        <v>100.86939633340833</v>
      </c>
      <c r="E32" s="1156">
        <f>'Porta Batch Mvnt'!B26</f>
        <v>0</v>
      </c>
      <c r="F32" s="734">
        <f t="shared" si="3"/>
        <v>0</v>
      </c>
      <c r="G32" s="1826">
        <f t="shared" si="5"/>
        <v>2.517328915229037</v>
      </c>
      <c r="H32" s="721">
        <f t="shared" si="4"/>
        <v>0</v>
      </c>
      <c r="I32" s="775">
        <v>3</v>
      </c>
      <c r="J32" s="734">
        <v>302.79597691586071</v>
      </c>
      <c r="K32" s="1826">
        <v>2.4653281143601511</v>
      </c>
      <c r="L32" s="721">
        <v>746.4914348058187</v>
      </c>
      <c r="M32" s="739">
        <f t="shared" si="0"/>
        <v>-746.4914348058187</v>
      </c>
    </row>
    <row r="33" spans="1:27">
      <c r="A33" s="31"/>
      <c r="B33" s="764">
        <f>+B32+1</f>
        <v>24</v>
      </c>
      <c r="C33" s="693">
        <f>VLOOKUP(B33,[65]New!$O$1:$AJ$37,5,0)</f>
        <v>138.958891004582</v>
      </c>
      <c r="D33" s="1156">
        <f>VLOOKUP(B33,[65]New!$A$1:$AJ$37,20,0)</f>
        <v>105.60875716348232</v>
      </c>
      <c r="E33" s="1156">
        <f>'Porta Batch Mvnt'!B27</f>
        <v>0</v>
      </c>
      <c r="F33" s="734">
        <f t="shared" si="3"/>
        <v>0</v>
      </c>
      <c r="G33" s="1826">
        <f t="shared" si="5"/>
        <v>2.517328915229037</v>
      </c>
      <c r="H33" s="721">
        <f t="shared" si="4"/>
        <v>0</v>
      </c>
      <c r="I33" s="775">
        <v>0</v>
      </c>
      <c r="J33" s="734">
        <v>0</v>
      </c>
      <c r="K33" s="1826">
        <v>2.4653281143601511</v>
      </c>
      <c r="L33" s="721">
        <v>0</v>
      </c>
      <c r="M33" s="739">
        <f t="shared" si="0"/>
        <v>0</v>
      </c>
    </row>
    <row r="34" spans="1:27">
      <c r="A34" s="31"/>
      <c r="B34" s="764">
        <v>25</v>
      </c>
      <c r="C34" s="693">
        <f>VLOOKUP(B34,[65]New!$O$1:$AJ$37,5,0)</f>
        <v>145.19489209678466</v>
      </c>
      <c r="D34" s="1156">
        <f>VLOOKUP(B34,[65]New!$A$1:$AJ$37,20,0)</f>
        <v>110.34811799355634</v>
      </c>
      <c r="E34" s="1156">
        <f>'Porta Batch Mvnt'!B28</f>
        <v>0</v>
      </c>
      <c r="F34" s="734">
        <f t="shared" si="3"/>
        <v>0</v>
      </c>
      <c r="G34" s="1826">
        <f t="shared" si="5"/>
        <v>2.517328915229037</v>
      </c>
      <c r="H34" s="721">
        <f t="shared" si="4"/>
        <v>0</v>
      </c>
      <c r="I34" s="793">
        <v>0</v>
      </c>
      <c r="J34" s="734">
        <v>0</v>
      </c>
      <c r="K34" s="1826">
        <v>2.4653281143601511</v>
      </c>
      <c r="L34" s="721">
        <v>0</v>
      </c>
      <c r="M34" s="739">
        <f t="shared" si="0"/>
        <v>0</v>
      </c>
    </row>
    <row r="35" spans="1:27">
      <c r="A35" s="31"/>
      <c r="B35" s="764">
        <v>26</v>
      </c>
      <c r="C35" s="693">
        <f>VLOOKUP(B35,[65]New!$O$1:$AJ$37,5,0)</f>
        <v>151.43089318898728</v>
      </c>
      <c r="D35" s="1156">
        <f>VLOOKUP(B35,[65]New!$A$1:$AJ$37,20,0)</f>
        <v>115.08747882363033</v>
      </c>
      <c r="E35" s="1156">
        <f>'Porta Batch Mvnt'!B29</f>
        <v>0</v>
      </c>
      <c r="F35" s="734">
        <f t="shared" si="3"/>
        <v>0</v>
      </c>
      <c r="G35" s="1826">
        <f t="shared" si="5"/>
        <v>2.517328915229037</v>
      </c>
      <c r="H35" s="721">
        <f t="shared" si="4"/>
        <v>0</v>
      </c>
      <c r="I35" s="793">
        <v>0</v>
      </c>
      <c r="J35" s="734">
        <v>0</v>
      </c>
      <c r="K35" s="1826">
        <v>2.4653281143601511</v>
      </c>
      <c r="L35" s="721">
        <v>0</v>
      </c>
      <c r="M35" s="739">
        <f t="shared" si="0"/>
        <v>0</v>
      </c>
    </row>
    <row r="36" spans="1:27">
      <c r="A36" s="31"/>
      <c r="B36" s="764">
        <v>27</v>
      </c>
      <c r="C36" s="693">
        <f>VLOOKUP(B36,[65]New!$O$1:$AJ$37,5,0)</f>
        <v>157.66689428118994</v>
      </c>
      <c r="D36" s="1156">
        <f>VLOOKUP(B36,[65]New!$A$1:$AJ$37,20,0)</f>
        <v>119.82683965370435</v>
      </c>
      <c r="E36" s="1156">
        <f>'Porta Batch Mvnt'!B30</f>
        <v>0</v>
      </c>
      <c r="F36" s="734">
        <f t="shared" si="3"/>
        <v>0</v>
      </c>
      <c r="G36" s="1826">
        <f t="shared" si="5"/>
        <v>2.517328915229037</v>
      </c>
      <c r="H36" s="721">
        <f t="shared" si="4"/>
        <v>0</v>
      </c>
      <c r="I36" s="793">
        <v>0</v>
      </c>
      <c r="J36" s="734">
        <v>0</v>
      </c>
      <c r="K36" s="1826">
        <v>2.4653281143601511</v>
      </c>
      <c r="L36" s="721">
        <v>0</v>
      </c>
      <c r="M36" s="739">
        <f t="shared" si="0"/>
        <v>0</v>
      </c>
    </row>
    <row r="37" spans="1:27">
      <c r="A37" s="31"/>
      <c r="B37" s="720">
        <f>+B36+1</f>
        <v>28</v>
      </c>
      <c r="C37" s="693">
        <f>VLOOKUP(B37,[65]New!$O$1:$AJ$37,5,0)</f>
        <v>163.90289537339257</v>
      </c>
      <c r="D37" s="1156">
        <f>VLOOKUP(B37,[65]New!$A$1:$AJ$37,20,0)</f>
        <v>124.56620048377836</v>
      </c>
      <c r="E37" s="1156">
        <f>'Porta Batch Mvnt'!B31</f>
        <v>0</v>
      </c>
      <c r="F37" s="734">
        <f t="shared" si="3"/>
        <v>0</v>
      </c>
      <c r="G37" s="1826">
        <f t="shared" si="5"/>
        <v>2.517328915229037</v>
      </c>
      <c r="H37" s="721">
        <f t="shared" si="4"/>
        <v>0</v>
      </c>
      <c r="I37" s="777">
        <v>0</v>
      </c>
      <c r="J37" s="734">
        <v>0</v>
      </c>
      <c r="K37" s="1826">
        <v>2.4653281143601511</v>
      </c>
      <c r="L37" s="721">
        <v>0</v>
      </c>
      <c r="M37" s="739">
        <f t="shared" si="0"/>
        <v>0</v>
      </c>
    </row>
    <row r="38" spans="1:27">
      <c r="A38" s="31"/>
      <c r="B38" s="720">
        <f>+B37+1</f>
        <v>29</v>
      </c>
      <c r="C38" s="693">
        <f>VLOOKUP(B38,[65]New!$O$1:$AJ$37,5,0)</f>
        <v>170.13889646559522</v>
      </c>
      <c r="D38" s="1156">
        <f>VLOOKUP(B38,[65]New!$A$1:$AJ$37,20,0)</f>
        <v>129.30556131385237</v>
      </c>
      <c r="E38" s="1156">
        <f>'Porta Batch Mvnt'!B32</f>
        <v>0</v>
      </c>
      <c r="F38" s="734">
        <f t="shared" si="3"/>
        <v>0</v>
      </c>
      <c r="G38" s="1826">
        <f t="shared" si="5"/>
        <v>2.517328915229037</v>
      </c>
      <c r="H38" s="721">
        <f t="shared" si="4"/>
        <v>0</v>
      </c>
      <c r="I38" s="777">
        <v>0</v>
      </c>
      <c r="J38" s="734">
        <v>0</v>
      </c>
      <c r="K38" s="1826">
        <v>2.4653281143601511</v>
      </c>
      <c r="L38" s="721">
        <v>0</v>
      </c>
      <c r="M38" s="739">
        <f t="shared" si="0"/>
        <v>0</v>
      </c>
    </row>
    <row r="39" spans="1:27">
      <c r="A39" s="31"/>
      <c r="B39" s="720">
        <f>+B38+1</f>
        <v>30</v>
      </c>
      <c r="C39" s="693">
        <f>VLOOKUP(B39,[65]New!$O$1:$AJ$37,5,0)</f>
        <v>176.37489755779782</v>
      </c>
      <c r="D39" s="1156">
        <f>VLOOKUP(B39,[65]New!$A$1:$AJ$37,20,0)</f>
        <v>134.04492214392636</v>
      </c>
      <c r="E39" s="1156">
        <f>'Porta Batch Mvnt'!B33</f>
        <v>0</v>
      </c>
      <c r="F39" s="734">
        <f t="shared" si="3"/>
        <v>0</v>
      </c>
      <c r="G39" s="1826">
        <f t="shared" si="5"/>
        <v>2.517328915229037</v>
      </c>
      <c r="H39" s="721">
        <f t="shared" si="4"/>
        <v>0</v>
      </c>
      <c r="I39" s="777">
        <v>0</v>
      </c>
      <c r="J39" s="734">
        <v>0</v>
      </c>
      <c r="K39" s="1826">
        <v>2.4653281143601511</v>
      </c>
      <c r="L39" s="721">
        <v>0</v>
      </c>
      <c r="M39" s="739">
        <f t="shared" si="0"/>
        <v>0</v>
      </c>
    </row>
    <row r="40" spans="1:27">
      <c r="A40" s="31"/>
      <c r="B40" s="720">
        <f>+B39+1</f>
        <v>31</v>
      </c>
      <c r="C40" s="693">
        <f>VLOOKUP(B40,[65]New!$O$1:$AJ$37,5,0)</f>
        <v>182.61089865000051</v>
      </c>
      <c r="D40" s="1156">
        <f>VLOOKUP(B40,[65]New!$A$1:$AJ$37,20,0)</f>
        <v>138.78428297400038</v>
      </c>
      <c r="E40" s="1156">
        <f>'Porta Batch Mvnt'!B34</f>
        <v>0</v>
      </c>
      <c r="F40" s="734">
        <f t="shared" si="3"/>
        <v>0</v>
      </c>
      <c r="G40" s="1826">
        <f t="shared" si="5"/>
        <v>2.517328915229037</v>
      </c>
      <c r="H40" s="721">
        <f t="shared" si="4"/>
        <v>0</v>
      </c>
      <c r="I40" s="777">
        <v>0</v>
      </c>
      <c r="J40" s="734">
        <v>0</v>
      </c>
      <c r="K40" s="1826">
        <v>2.4653281143601511</v>
      </c>
      <c r="L40" s="721">
        <v>0</v>
      </c>
      <c r="M40" s="739">
        <f t="shared" si="0"/>
        <v>0</v>
      </c>
    </row>
    <row r="41" spans="1:27">
      <c r="A41" s="31"/>
      <c r="B41" s="764"/>
      <c r="C41" s="706"/>
      <c r="D41" s="1409"/>
      <c r="E41" s="777"/>
      <c r="F41" s="734"/>
      <c r="G41" s="736"/>
      <c r="H41" s="751">
        <f t="shared" ref="H41" si="6">F41*G41</f>
        <v>0</v>
      </c>
      <c r="I41" s="777"/>
      <c r="J41" s="734"/>
      <c r="K41" s="736"/>
      <c r="L41" s="751">
        <v>0</v>
      </c>
      <c r="M41" s="739">
        <f t="shared" si="0"/>
        <v>0</v>
      </c>
    </row>
    <row r="42" spans="1:27" s="31" customFormat="1">
      <c r="A42" s="700" t="s">
        <v>1731</v>
      </c>
      <c r="B42" s="766"/>
      <c r="C42" s="766">
        <f>+E42-D42</f>
        <v>2494</v>
      </c>
      <c r="D42" s="715">
        <f>SUM('Summary Total Pigs'!AF108:AF110)</f>
        <v>11745</v>
      </c>
      <c r="E42" s="767">
        <f>SUM(E10:E41)</f>
        <v>14239</v>
      </c>
      <c r="F42" s="767">
        <f>SUM(F14:F41)</f>
        <v>469902.6611889372</v>
      </c>
      <c r="G42" s="767" t="s">
        <v>138</v>
      </c>
      <c r="H42" s="767">
        <f>SUM(H9:H41)</f>
        <v>2083486.5117194336</v>
      </c>
      <c r="I42" s="767">
        <v>13695</v>
      </c>
      <c r="J42" s="767">
        <v>468758.09472511779</v>
      </c>
      <c r="K42" s="767" t="s">
        <v>138</v>
      </c>
      <c r="L42" s="1223">
        <v>1308055.5346225621</v>
      </c>
      <c r="M42" s="1222">
        <f>SUM(M9:M41)</f>
        <v>775430.97709687159</v>
      </c>
      <c r="O42" s="31">
        <f>+[57]Richlands!$H$37</f>
        <v>84292912.464359283</v>
      </c>
      <c r="P42" s="31">
        <f>+L42-O42</f>
        <v>-82984856.929736719</v>
      </c>
      <c r="Q42" s="31">
        <f>-'[68]total pig movement'!$D$74</f>
        <v>-21576.935251204439</v>
      </c>
      <c r="R42" s="31">
        <f>-'[68]total pig movement'!$B$77-'[68]total pig movement'!$B$78-'[68]total pig movement'!$B$79-'[68]total pig movement'!$B$80-'[68]total pig movement'!$B$81</f>
        <v>25519420.280135471</v>
      </c>
      <c r="S42" s="739">
        <f>SUM(O42:R42)</f>
        <v>26805898.87950683</v>
      </c>
      <c r="T42" s="739">
        <f>+'[68]total pig movement'!$C$82</f>
        <v>-13718482.820741579</v>
      </c>
      <c r="U42" s="739"/>
      <c r="V42" s="31">
        <f>+T42+T87</f>
        <v>-13540875.726555511</v>
      </c>
    </row>
    <row r="43" spans="1:27">
      <c r="A43" s="31"/>
      <c r="B43" s="741"/>
      <c r="C43" s="741"/>
      <c r="E43" s="769" t="s">
        <v>138</v>
      </c>
      <c r="F43" s="734"/>
      <c r="G43" s="736"/>
      <c r="H43" s="751"/>
      <c r="I43" s="769" t="s">
        <v>138</v>
      </c>
      <c r="J43" s="734"/>
      <c r="K43" s="736"/>
      <c r="L43" s="751"/>
      <c r="M43" s="739">
        <f t="shared" ref="M43:M87" si="7">+H43-L43</f>
        <v>0</v>
      </c>
    </row>
    <row r="44" spans="1:27">
      <c r="A44" s="31" t="s">
        <v>1743</v>
      </c>
      <c r="B44" s="741"/>
      <c r="C44" s="741"/>
      <c r="E44" s="794">
        <f>'Porta Imported Valuation'!F8</f>
        <v>132</v>
      </c>
      <c r="F44" s="385"/>
      <c r="G44" s="1162">
        <f>H44/E44</f>
        <v>478.51722532588451</v>
      </c>
      <c r="H44" s="756">
        <f>'Porta Imported Valuation'!H6</f>
        <v>63164.273743016754</v>
      </c>
      <c r="I44" s="794">
        <v>194</v>
      </c>
      <c r="J44" s="734"/>
      <c r="K44" s="724">
        <v>325.58903991245751</v>
      </c>
      <c r="L44" s="751">
        <v>63164.273743016754</v>
      </c>
      <c r="M44" s="739">
        <f t="shared" si="7"/>
        <v>0</v>
      </c>
      <c r="O44" s="739">
        <f>+[57]Richlands!$H39</f>
        <v>44180.789189820294</v>
      </c>
      <c r="P44" s="739">
        <f>+L44-O44</f>
        <v>18983.48455319646</v>
      </c>
      <c r="Y44" s="739">
        <f>76+8</f>
        <v>84</v>
      </c>
    </row>
    <row r="45" spans="1:27">
      <c r="A45" s="31"/>
      <c r="B45" s="741"/>
      <c r="C45" s="741"/>
      <c r="E45" s="769"/>
      <c r="F45" s="385"/>
      <c r="G45" s="1162"/>
      <c r="H45" s="721"/>
      <c r="I45" s="769"/>
      <c r="J45" s="734"/>
      <c r="K45" s="724"/>
      <c r="L45" s="751"/>
      <c r="M45" s="739">
        <f t="shared" si="7"/>
        <v>0</v>
      </c>
      <c r="O45" s="739">
        <f>+[57]Richlands!$H40</f>
        <v>0</v>
      </c>
      <c r="P45" s="739">
        <f t="shared" ref="P45:P86" si="8">+L45-O45</f>
        <v>0</v>
      </c>
    </row>
    <row r="46" spans="1:27">
      <c r="A46" s="31" t="s">
        <v>1744</v>
      </c>
      <c r="B46" s="741"/>
      <c r="C46" s="741"/>
      <c r="E46" s="769">
        <f>'Porta Imported Valuation'!J8</f>
        <v>120</v>
      </c>
      <c r="F46" s="385"/>
      <c r="G46" s="1162">
        <f>H46/E46</f>
        <v>538.83980115233283</v>
      </c>
      <c r="H46" s="756">
        <f>'Porta Imported Valuation'!L6</f>
        <v>64660.776138279936</v>
      </c>
      <c r="I46" s="769">
        <v>187</v>
      </c>
      <c r="J46" s="734"/>
      <c r="K46" s="724">
        <v>345.77955154160395</v>
      </c>
      <c r="L46" s="751">
        <v>64660.776138279936</v>
      </c>
      <c r="M46" s="739">
        <f t="shared" si="7"/>
        <v>0</v>
      </c>
      <c r="O46" s="739">
        <f>+[57]Richlands!$H41</f>
        <v>0</v>
      </c>
      <c r="P46" s="739">
        <f t="shared" si="8"/>
        <v>64660.776138279936</v>
      </c>
    </row>
    <row r="47" spans="1:27">
      <c r="A47" s="31"/>
      <c r="B47" s="741"/>
      <c r="C47" s="741"/>
      <c r="E47" s="769"/>
      <c r="F47" s="385"/>
      <c r="G47" s="1162"/>
      <c r="H47" s="751"/>
      <c r="I47" s="769"/>
      <c r="J47" s="734"/>
      <c r="K47" s="724"/>
      <c r="L47" s="751"/>
      <c r="M47" s="739">
        <f t="shared" si="7"/>
        <v>0</v>
      </c>
      <c r="O47" s="739">
        <f>+[57]Richlands!$H42</f>
        <v>0</v>
      </c>
      <c r="P47" s="739">
        <f t="shared" si="8"/>
        <v>0</v>
      </c>
    </row>
    <row r="48" spans="1:27">
      <c r="A48" s="1988" t="s">
        <v>1749</v>
      </c>
      <c r="B48" s="741"/>
      <c r="C48" s="741"/>
      <c r="E48" s="769">
        <f>'Porta Imported Valuation'!N8</f>
        <v>36</v>
      </c>
      <c r="F48" s="385"/>
      <c r="G48" s="1162">
        <f>H48/E48</f>
        <v>327.09557160366768</v>
      </c>
      <c r="H48" s="756">
        <f>'Porta Imported Valuation'!P6</f>
        <v>11775.440577732037</v>
      </c>
      <c r="I48" s="769">
        <v>44</v>
      </c>
      <c r="J48" s="734"/>
      <c r="K48" s="724">
        <v>267.62364949390991</v>
      </c>
      <c r="L48" s="751">
        <v>11775.440577732037</v>
      </c>
      <c r="M48" s="739">
        <f t="shared" si="7"/>
        <v>0</v>
      </c>
      <c r="O48" s="739">
        <f>+[57]Richlands!$H43</f>
        <v>116941.77044090607</v>
      </c>
      <c r="P48" s="739">
        <f t="shared" si="8"/>
        <v>-105166.32986317403</v>
      </c>
      <c r="AA48" s="739">
        <v>137</v>
      </c>
    </row>
    <row r="49" spans="1:27">
      <c r="A49" s="31"/>
      <c r="B49" s="741"/>
      <c r="C49" s="741"/>
      <c r="E49" s="769"/>
      <c r="F49" s="385"/>
      <c r="G49" s="1162"/>
      <c r="H49" s="751"/>
      <c r="I49" s="769"/>
      <c r="J49" s="734"/>
      <c r="K49" s="724"/>
      <c r="L49" s="751"/>
      <c r="M49" s="739">
        <f t="shared" si="7"/>
        <v>0</v>
      </c>
      <c r="O49" s="739">
        <f>+[57]Richlands!$H44</f>
        <v>0</v>
      </c>
      <c r="P49" s="739">
        <f t="shared" si="8"/>
        <v>0</v>
      </c>
      <c r="AA49" s="739">
        <v>-16</v>
      </c>
    </row>
    <row r="50" spans="1:27">
      <c r="A50" s="31" t="s">
        <v>1750</v>
      </c>
      <c r="B50" s="741"/>
      <c r="C50" s="741"/>
      <c r="E50" s="769">
        <f>'Porta Imported Valuation'!R8</f>
        <v>136</v>
      </c>
      <c r="F50" s="385"/>
      <c r="G50" s="1162">
        <f>H50/E50</f>
        <v>482.40134762125672</v>
      </c>
      <c r="H50" s="756">
        <f>'Porta Imported Valuation'!T6</f>
        <v>65606.583276490914</v>
      </c>
      <c r="I50" s="769">
        <v>203</v>
      </c>
      <c r="J50" s="734"/>
      <c r="K50" s="724">
        <v>323.18513929305868</v>
      </c>
      <c r="L50" s="751">
        <v>65606.583276490914</v>
      </c>
      <c r="M50" s="739">
        <f t="shared" si="7"/>
        <v>0</v>
      </c>
      <c r="O50" s="739">
        <f>+[57]Richlands!$H45</f>
        <v>0</v>
      </c>
      <c r="P50" s="739">
        <f t="shared" si="8"/>
        <v>65606.583276490914</v>
      </c>
      <c r="AA50" s="739">
        <f>SUM(AA48:AA49)</f>
        <v>121</v>
      </c>
    </row>
    <row r="51" spans="1:27">
      <c r="A51" s="31"/>
      <c r="B51" s="741"/>
      <c r="C51" s="741"/>
      <c r="E51" s="769"/>
      <c r="F51" s="385"/>
      <c r="G51" s="1162"/>
      <c r="H51" s="751"/>
      <c r="I51" s="769"/>
      <c r="J51" s="734"/>
      <c r="K51" s="724"/>
      <c r="L51" s="751"/>
      <c r="M51" s="739">
        <f t="shared" si="7"/>
        <v>0</v>
      </c>
      <c r="O51" s="739">
        <f>+[57]Richlands!$H46</f>
        <v>0</v>
      </c>
      <c r="P51" s="739">
        <f t="shared" si="8"/>
        <v>0</v>
      </c>
    </row>
    <row r="52" spans="1:27">
      <c r="A52" s="31" t="s">
        <v>1751</v>
      </c>
      <c r="B52" s="741"/>
      <c r="C52" s="741"/>
      <c r="E52" s="769">
        <f>'Porta Imported Valuation'!V8</f>
        <v>138</v>
      </c>
      <c r="F52" s="385"/>
      <c r="G52" s="1162">
        <f>H52/E52</f>
        <v>473.58152365136971</v>
      </c>
      <c r="H52" s="756">
        <f>'Porta Imported Valuation'!X6</f>
        <v>65354.250263889022</v>
      </c>
      <c r="I52" s="769">
        <v>211</v>
      </c>
      <c r="J52" s="734"/>
      <c r="K52" s="724">
        <v>309.73578324118017</v>
      </c>
      <c r="L52" s="751">
        <v>65354.250263889022</v>
      </c>
      <c r="M52" s="739">
        <f t="shared" si="7"/>
        <v>0</v>
      </c>
      <c r="O52" s="739">
        <f>+[57]Richlands!$H47</f>
        <v>65970.09699687174</v>
      </c>
      <c r="P52" s="739">
        <f t="shared" si="8"/>
        <v>-615.84673298271809</v>
      </c>
    </row>
    <row r="53" spans="1:27">
      <c r="A53" s="31"/>
      <c r="B53" s="741"/>
      <c r="C53" s="741"/>
      <c r="E53" s="769"/>
      <c r="F53" s="385"/>
      <c r="G53" s="1162"/>
      <c r="H53" s="751"/>
      <c r="I53" s="769"/>
      <c r="J53" s="734"/>
      <c r="K53" s="724"/>
      <c r="L53" s="751"/>
      <c r="M53" s="739">
        <f t="shared" si="7"/>
        <v>0</v>
      </c>
      <c r="O53" s="739">
        <f>+[57]Richlands!$H48</f>
        <v>0</v>
      </c>
      <c r="P53" s="739">
        <f t="shared" si="8"/>
        <v>0</v>
      </c>
    </row>
    <row r="54" spans="1:27">
      <c r="A54" s="31"/>
      <c r="B54" s="741"/>
      <c r="C54" s="741"/>
      <c r="E54" s="769"/>
      <c r="F54" s="385"/>
      <c r="G54" s="1162"/>
      <c r="H54" s="756"/>
      <c r="I54" s="769"/>
      <c r="J54" s="734"/>
      <c r="K54" s="724"/>
      <c r="L54" s="751"/>
      <c r="M54" s="739">
        <f t="shared" si="7"/>
        <v>0</v>
      </c>
      <c r="O54" s="739">
        <f>+[57]Richlands!$H49</f>
        <v>186322.1372999858</v>
      </c>
      <c r="P54" s="739">
        <f t="shared" si="8"/>
        <v>-186322.1372999858</v>
      </c>
    </row>
    <row r="55" spans="1:27">
      <c r="A55" s="31"/>
      <c r="B55" s="741"/>
      <c r="C55" s="741"/>
      <c r="E55" s="769"/>
      <c r="F55" s="385"/>
      <c r="G55" s="1162"/>
      <c r="H55" s="751"/>
      <c r="I55" s="769"/>
      <c r="J55" s="734"/>
      <c r="K55" s="724"/>
      <c r="L55" s="751"/>
      <c r="M55" s="739">
        <f t="shared" si="7"/>
        <v>0</v>
      </c>
      <c r="O55" s="739">
        <f>+[57]Richlands!$H50</f>
        <v>0</v>
      </c>
      <c r="P55" s="739">
        <f t="shared" si="8"/>
        <v>0</v>
      </c>
    </row>
    <row r="56" spans="1:27">
      <c r="A56" s="31"/>
      <c r="B56" s="741"/>
      <c r="C56" s="741"/>
      <c r="E56" s="769"/>
      <c r="F56" s="385"/>
      <c r="G56" s="1162"/>
      <c r="H56" s="756"/>
      <c r="I56" s="769"/>
      <c r="J56" s="734"/>
      <c r="K56" s="724"/>
      <c r="L56" s="751"/>
      <c r="M56" s="739">
        <f t="shared" si="7"/>
        <v>0</v>
      </c>
      <c r="O56" s="739">
        <f>+[57]Richlands!$H51</f>
        <v>148605.06966347649</v>
      </c>
      <c r="P56" s="739">
        <f t="shared" si="8"/>
        <v>-148605.06966347649</v>
      </c>
    </row>
    <row r="57" spans="1:27">
      <c r="A57" s="31"/>
      <c r="B57" s="741"/>
      <c r="C57" s="741"/>
      <c r="E57" s="769"/>
      <c r="F57" s="385"/>
      <c r="G57" s="1162"/>
      <c r="H57" s="751"/>
      <c r="I57" s="769"/>
      <c r="J57" s="734"/>
      <c r="K57" s="724"/>
      <c r="L57" s="751"/>
      <c r="M57" s="739">
        <f t="shared" si="7"/>
        <v>0</v>
      </c>
      <c r="O57" s="739">
        <f>+[57]Richlands!$H52</f>
        <v>0</v>
      </c>
      <c r="P57" s="739">
        <f t="shared" si="8"/>
        <v>0</v>
      </c>
    </row>
    <row r="58" spans="1:27">
      <c r="A58" s="31"/>
      <c r="B58" s="741"/>
      <c r="C58" s="741"/>
      <c r="E58" s="769"/>
      <c r="F58" s="385"/>
      <c r="G58" s="1162"/>
      <c r="H58" s="756"/>
      <c r="I58" s="769"/>
      <c r="J58" s="734"/>
      <c r="K58" s="724"/>
      <c r="L58" s="751"/>
      <c r="M58" s="739">
        <f t="shared" si="7"/>
        <v>0</v>
      </c>
      <c r="O58" s="739">
        <f>+[57]Richlands!$H53</f>
        <v>310363.84871103539</v>
      </c>
      <c r="P58" s="739">
        <f t="shared" si="8"/>
        <v>-310363.84871103539</v>
      </c>
    </row>
    <row r="59" spans="1:27">
      <c r="A59" s="31"/>
      <c r="B59" s="741"/>
      <c r="C59" s="741"/>
      <c r="E59" s="769"/>
      <c r="F59" s="385"/>
      <c r="G59" s="1162"/>
      <c r="H59" s="751"/>
      <c r="I59" s="769"/>
      <c r="J59" s="734"/>
      <c r="K59" s="724"/>
      <c r="L59" s="751"/>
      <c r="M59" s="739">
        <f t="shared" si="7"/>
        <v>0</v>
      </c>
      <c r="O59" s="739">
        <f>+[57]Richlands!$H54</f>
        <v>0</v>
      </c>
      <c r="P59" s="739">
        <f t="shared" si="8"/>
        <v>0</v>
      </c>
    </row>
    <row r="60" spans="1:27">
      <c r="A60" s="31"/>
      <c r="B60" s="741"/>
      <c r="C60" s="741"/>
      <c r="E60" s="769"/>
      <c r="F60" s="385"/>
      <c r="G60" s="1162"/>
      <c r="H60" s="756"/>
      <c r="I60" s="769"/>
      <c r="J60" s="734"/>
      <c r="K60" s="724"/>
      <c r="L60" s="751"/>
      <c r="M60" s="739">
        <f t="shared" si="7"/>
        <v>0</v>
      </c>
      <c r="O60" s="739">
        <f>+[57]Richlands!$H55</f>
        <v>88044.104124356309</v>
      </c>
      <c r="P60" s="739">
        <f t="shared" si="8"/>
        <v>-88044.104124356309</v>
      </c>
    </row>
    <row r="61" spans="1:27">
      <c r="A61" s="31"/>
      <c r="B61" s="741"/>
      <c r="C61" s="741"/>
      <c r="E61" s="769"/>
      <c r="F61" s="385"/>
      <c r="G61" s="1162"/>
      <c r="H61" s="751"/>
      <c r="I61" s="769"/>
      <c r="J61" s="734"/>
      <c r="K61" s="724"/>
      <c r="L61" s="751"/>
      <c r="M61" s="739">
        <f t="shared" si="7"/>
        <v>0</v>
      </c>
      <c r="O61" s="739">
        <f>+[57]Richlands!$H56</f>
        <v>0</v>
      </c>
      <c r="P61" s="739">
        <f t="shared" si="8"/>
        <v>0</v>
      </c>
    </row>
    <row r="62" spans="1:27">
      <c r="A62" s="31"/>
      <c r="B62" s="741"/>
      <c r="C62" s="741"/>
      <c r="E62" s="769"/>
      <c r="F62" s="385"/>
      <c r="G62" s="1162"/>
      <c r="H62" s="756"/>
      <c r="I62" s="769"/>
      <c r="J62" s="734"/>
      <c r="K62" s="724"/>
      <c r="L62" s="751"/>
      <c r="M62" s="739">
        <f t="shared" si="7"/>
        <v>0</v>
      </c>
      <c r="O62" s="739">
        <f>+[57]Richlands!$H57</f>
        <v>221187.54201512461</v>
      </c>
      <c r="P62" s="739">
        <f t="shared" si="8"/>
        <v>-221187.54201512461</v>
      </c>
    </row>
    <row r="63" spans="1:27">
      <c r="A63" s="31"/>
      <c r="B63" s="741"/>
      <c r="C63" s="741"/>
      <c r="E63" s="769"/>
      <c r="F63" s="385"/>
      <c r="G63" s="1162"/>
      <c r="H63" s="751"/>
      <c r="I63" s="769"/>
      <c r="J63" s="734"/>
      <c r="K63" s="724"/>
      <c r="L63" s="751"/>
      <c r="M63" s="739">
        <f t="shared" si="7"/>
        <v>0</v>
      </c>
      <c r="O63" s="739">
        <f>+[57]Richlands!$H58</f>
        <v>0</v>
      </c>
      <c r="P63" s="739">
        <f t="shared" si="8"/>
        <v>0</v>
      </c>
    </row>
    <row r="64" spans="1:27">
      <c r="A64" s="31"/>
      <c r="B64" s="741"/>
      <c r="C64" s="741"/>
      <c r="E64" s="769"/>
      <c r="F64" s="385"/>
      <c r="G64" s="1162"/>
      <c r="H64" s="756"/>
      <c r="I64" s="769"/>
      <c r="J64" s="734"/>
      <c r="K64" s="724"/>
      <c r="L64" s="751"/>
      <c r="M64" s="739">
        <f t="shared" si="7"/>
        <v>0</v>
      </c>
      <c r="O64" s="739">
        <f>+[57]Richlands!$H59</f>
        <v>109464.10640986217</v>
      </c>
      <c r="P64" s="739">
        <f t="shared" si="8"/>
        <v>-109464.10640986217</v>
      </c>
    </row>
    <row r="65" spans="1:16">
      <c r="A65" s="31"/>
      <c r="B65" s="741"/>
      <c r="C65" s="741"/>
      <c r="E65" s="769"/>
      <c r="F65" s="385"/>
      <c r="G65" s="1162"/>
      <c r="H65" s="751"/>
      <c r="I65" s="769"/>
      <c r="J65" s="734"/>
      <c r="K65" s="724"/>
      <c r="L65" s="751"/>
      <c r="M65" s="739">
        <f t="shared" si="7"/>
        <v>0</v>
      </c>
      <c r="O65" s="739">
        <f>+[57]Richlands!$H60</f>
        <v>0</v>
      </c>
      <c r="P65" s="739">
        <f t="shared" si="8"/>
        <v>0</v>
      </c>
    </row>
    <row r="66" spans="1:16">
      <c r="A66" s="31"/>
      <c r="B66" s="741"/>
      <c r="C66" s="741"/>
      <c r="E66" s="769"/>
      <c r="F66" s="385"/>
      <c r="G66" s="1162"/>
      <c r="H66" s="756"/>
      <c r="I66" s="769"/>
      <c r="J66" s="734"/>
      <c r="K66" s="724"/>
      <c r="L66" s="751"/>
      <c r="M66" s="739">
        <f t="shared" si="7"/>
        <v>0</v>
      </c>
      <c r="O66" s="739">
        <f>+[57]Richlands!$H61</f>
        <v>44696.817000506489</v>
      </c>
      <c r="P66" s="739">
        <f t="shared" si="8"/>
        <v>-44696.817000506489</v>
      </c>
    </row>
    <row r="67" spans="1:16">
      <c r="A67" s="31"/>
      <c r="B67" s="741"/>
      <c r="C67" s="741"/>
      <c r="E67" s="769"/>
      <c r="F67" s="385"/>
      <c r="G67" s="1162"/>
      <c r="H67" s="751"/>
      <c r="I67" s="769"/>
      <c r="J67" s="734"/>
      <c r="K67" s="724"/>
      <c r="L67" s="751"/>
      <c r="M67" s="739">
        <f t="shared" si="7"/>
        <v>0</v>
      </c>
      <c r="O67" s="739">
        <f>+[57]Richlands!$H62</f>
        <v>0</v>
      </c>
      <c r="P67" s="739">
        <f t="shared" si="8"/>
        <v>0</v>
      </c>
    </row>
    <row r="68" spans="1:16">
      <c r="A68" s="31"/>
      <c r="B68" s="741"/>
      <c r="C68" s="741"/>
      <c r="E68" s="769"/>
      <c r="F68" s="385"/>
      <c r="G68" s="1162"/>
      <c r="H68" s="756"/>
      <c r="I68" s="769"/>
      <c r="J68" s="734"/>
      <c r="K68" s="724"/>
      <c r="L68" s="751"/>
      <c r="M68" s="739">
        <f t="shared" si="7"/>
        <v>0</v>
      </c>
      <c r="O68" s="739">
        <f>+[57]Richlands!$H63</f>
        <v>98869.963616033696</v>
      </c>
      <c r="P68" s="739">
        <f t="shared" si="8"/>
        <v>-98869.963616033696</v>
      </c>
    </row>
    <row r="69" spans="1:16">
      <c r="A69" s="31"/>
      <c r="B69" s="741"/>
      <c r="C69" s="741"/>
      <c r="E69" s="769"/>
      <c r="F69" s="385"/>
      <c r="G69" s="1162"/>
      <c r="H69" s="751"/>
      <c r="I69" s="769"/>
      <c r="J69" s="734"/>
      <c r="K69" s="724"/>
      <c r="L69" s="751"/>
      <c r="M69" s="739">
        <f t="shared" si="7"/>
        <v>0</v>
      </c>
      <c r="O69" s="739">
        <f>+[57]Richlands!$H64</f>
        <v>0</v>
      </c>
      <c r="P69" s="739">
        <f t="shared" si="8"/>
        <v>0</v>
      </c>
    </row>
    <row r="70" spans="1:16">
      <c r="A70" s="31"/>
      <c r="B70" s="741"/>
      <c r="C70" s="741"/>
      <c r="E70" s="769"/>
      <c r="F70" s="385"/>
      <c r="G70" s="1162"/>
      <c r="H70" s="756"/>
      <c r="I70" s="769"/>
      <c r="J70" s="734"/>
      <c r="K70" s="724"/>
      <c r="L70" s="751"/>
      <c r="M70" s="739">
        <f t="shared" si="7"/>
        <v>0</v>
      </c>
      <c r="O70" s="739">
        <f>+[57]Richlands!$H65</f>
        <v>130108.14052617335</v>
      </c>
      <c r="P70" s="739">
        <f t="shared" si="8"/>
        <v>-130108.14052617335</v>
      </c>
    </row>
    <row r="71" spans="1:16">
      <c r="A71" s="31"/>
      <c r="B71" s="741"/>
      <c r="C71" s="741"/>
      <c r="E71" s="769"/>
      <c r="F71" s="385"/>
      <c r="G71" s="1162"/>
      <c r="H71" s="751"/>
      <c r="I71" s="769"/>
      <c r="J71" s="734"/>
      <c r="K71" s="724"/>
      <c r="L71" s="751"/>
      <c r="M71" s="739">
        <f t="shared" si="7"/>
        <v>0</v>
      </c>
      <c r="O71" s="739">
        <f>+[57]Richlands!$H66</f>
        <v>0</v>
      </c>
      <c r="P71" s="739">
        <f t="shared" si="8"/>
        <v>0</v>
      </c>
    </row>
    <row r="72" spans="1:16">
      <c r="A72" s="31"/>
      <c r="B72" s="741"/>
      <c r="C72" s="741"/>
      <c r="E72" s="769"/>
      <c r="F72" s="385"/>
      <c r="G72" s="1162"/>
      <c r="H72" s="756"/>
      <c r="I72" s="769"/>
      <c r="J72" s="734"/>
      <c r="K72" s="724"/>
      <c r="L72" s="751"/>
      <c r="M72" s="739">
        <f t="shared" si="7"/>
        <v>0</v>
      </c>
      <c r="O72" s="739">
        <f>+[57]Richlands!$H67</f>
        <v>105259.85449060521</v>
      </c>
      <c r="P72" s="739">
        <f t="shared" si="8"/>
        <v>-105259.85449060521</v>
      </c>
    </row>
    <row r="73" spans="1:16">
      <c r="A73" s="31"/>
      <c r="B73" s="741"/>
      <c r="C73" s="741"/>
      <c r="E73" s="769"/>
      <c r="F73" s="385"/>
      <c r="G73" s="1162"/>
      <c r="H73" s="751"/>
      <c r="I73" s="769"/>
      <c r="J73" s="734"/>
      <c r="K73" s="724"/>
      <c r="L73" s="751"/>
      <c r="M73" s="739">
        <f t="shared" si="7"/>
        <v>0</v>
      </c>
      <c r="O73" s="739">
        <f>+[57]Richlands!$H68</f>
        <v>0</v>
      </c>
      <c r="P73" s="739">
        <f t="shared" si="8"/>
        <v>0</v>
      </c>
    </row>
    <row r="74" spans="1:16">
      <c r="A74" s="31"/>
      <c r="B74" s="741"/>
      <c r="C74" s="741"/>
      <c r="E74" s="769"/>
      <c r="F74" s="385"/>
      <c r="G74" s="1162"/>
      <c r="H74" s="756"/>
      <c r="I74" s="769"/>
      <c r="J74" s="734"/>
      <c r="K74" s="724"/>
      <c r="L74" s="751"/>
      <c r="M74" s="739">
        <f t="shared" si="7"/>
        <v>0</v>
      </c>
      <c r="O74" s="739">
        <f>+[57]Richlands!$H69</f>
        <v>235834.07967079704</v>
      </c>
      <c r="P74" s="739">
        <f t="shared" si="8"/>
        <v>-235834.07967079704</v>
      </c>
    </row>
    <row r="75" spans="1:16">
      <c r="A75" s="31"/>
      <c r="B75" s="741"/>
      <c r="C75" s="741"/>
      <c r="E75" s="769"/>
      <c r="F75" s="385"/>
      <c r="G75" s="1162"/>
      <c r="H75" s="751"/>
      <c r="I75" s="769"/>
      <c r="J75" s="734"/>
      <c r="K75" s="724"/>
      <c r="L75" s="751"/>
      <c r="O75" s="739">
        <f>+[57]Richlands!$H70</f>
        <v>0</v>
      </c>
      <c r="P75" s="739">
        <f t="shared" si="8"/>
        <v>0</v>
      </c>
    </row>
    <row r="76" spans="1:16">
      <c r="A76" s="31"/>
      <c r="B76" s="741"/>
      <c r="C76" s="741"/>
      <c r="E76" s="794"/>
      <c r="F76" s="385"/>
      <c r="G76" s="1162"/>
      <c r="H76" s="756"/>
      <c r="I76" s="769"/>
      <c r="J76" s="734"/>
      <c r="K76" s="724"/>
      <c r="L76" s="751"/>
      <c r="O76" s="739">
        <v>0</v>
      </c>
      <c r="P76" s="739">
        <f t="shared" si="8"/>
        <v>0</v>
      </c>
    </row>
    <row r="77" spans="1:16">
      <c r="A77" s="31"/>
      <c r="B77" s="741"/>
      <c r="C77" s="741"/>
      <c r="E77" s="769"/>
      <c r="F77" s="385"/>
      <c r="G77" s="1162"/>
      <c r="H77" s="751"/>
      <c r="I77" s="769"/>
      <c r="J77" s="734"/>
      <c r="K77" s="724"/>
      <c r="L77" s="751"/>
      <c r="O77" s="739">
        <f>+[57]Richlands!$H72</f>
        <v>0</v>
      </c>
      <c r="P77" s="739">
        <f t="shared" si="8"/>
        <v>0</v>
      </c>
    </row>
    <row r="78" spans="1:16">
      <c r="A78" s="31"/>
      <c r="B78" s="741"/>
      <c r="C78" s="741"/>
      <c r="E78" s="769"/>
      <c r="F78" s="385"/>
      <c r="G78" s="1162"/>
      <c r="H78" s="756"/>
      <c r="I78" s="769"/>
      <c r="J78" s="734"/>
      <c r="K78" s="724"/>
      <c r="L78" s="751"/>
    </row>
    <row r="79" spans="1:16">
      <c r="A79" s="31"/>
      <c r="B79" s="741"/>
      <c r="C79" s="741"/>
      <c r="E79" s="769"/>
      <c r="F79" s="385"/>
      <c r="G79" s="1162"/>
      <c r="H79" s="751"/>
      <c r="I79" s="769"/>
      <c r="J79" s="734"/>
      <c r="K79" s="724"/>
      <c r="L79" s="751"/>
    </row>
    <row r="80" spans="1:16">
      <c r="A80" s="31" t="s">
        <v>1746</v>
      </c>
      <c r="B80" s="1326">
        <f>+C80-D80</f>
        <v>-12</v>
      </c>
      <c r="C80" s="741">
        <f>'Porta Imported Valuation'!Z8-'Richlands Valuation'!D80-'Lionhead Valuation'!C53</f>
        <v>550</v>
      </c>
      <c r="D80" s="741">
        <f>SUM(E44:E78)</f>
        <v>562</v>
      </c>
      <c r="E80" s="769"/>
      <c r="F80" s="385"/>
      <c r="G80" s="1162">
        <v>0</v>
      </c>
      <c r="H80" s="751">
        <v>0</v>
      </c>
      <c r="I80" s="769"/>
      <c r="J80" s="734"/>
      <c r="K80" s="724">
        <v>0</v>
      </c>
      <c r="L80" s="751">
        <v>0</v>
      </c>
      <c r="M80" s="739">
        <f t="shared" si="7"/>
        <v>0</v>
      </c>
      <c r="P80" s="739">
        <f t="shared" si="8"/>
        <v>0</v>
      </c>
    </row>
    <row r="81" spans="1:26">
      <c r="A81" s="768" t="s">
        <v>1741</v>
      </c>
      <c r="B81" s="785"/>
      <c r="C81" s="785"/>
      <c r="D81" s="744"/>
      <c r="E81" s="795"/>
      <c r="F81" s="796"/>
      <c r="G81" s="1163"/>
      <c r="H81" s="747"/>
      <c r="I81" s="795"/>
      <c r="J81" s="744"/>
      <c r="K81" s="797"/>
      <c r="L81" s="747"/>
    </row>
    <row r="82" spans="1:26">
      <c r="A82" s="695" t="s">
        <v>50</v>
      </c>
      <c r="B82" s="764"/>
      <c r="C82" s="764"/>
      <c r="D82" s="734">
        <v>150</v>
      </c>
      <c r="E82" s="770">
        <f>'Porta Batch Mvnt'!I6</f>
        <v>313</v>
      </c>
      <c r="F82" s="734">
        <f>D82*E82</f>
        <v>46950</v>
      </c>
      <c r="G82" s="1053">
        <f>'Grasmere Valuation '!G41</f>
        <v>2.0499999999999998</v>
      </c>
      <c r="H82" s="751">
        <f>F82*G82</f>
        <v>96247.499999999985</v>
      </c>
      <c r="I82" s="769">
        <v>296</v>
      </c>
      <c r="J82" s="734">
        <v>44400</v>
      </c>
      <c r="K82" s="1053">
        <v>2.04</v>
      </c>
      <c r="L82" s="751">
        <v>90576</v>
      </c>
      <c r="M82" s="739">
        <f t="shared" si="7"/>
        <v>5671.4999999999854</v>
      </c>
      <c r="O82" s="739">
        <f>+[57]Richlands!$H71</f>
        <v>4909383.3179176468</v>
      </c>
      <c r="P82" s="739">
        <f t="shared" si="8"/>
        <v>-4818807.3179176468</v>
      </c>
    </row>
    <row r="83" spans="1:26">
      <c r="A83" s="31"/>
      <c r="B83" s="741"/>
      <c r="C83" s="741"/>
      <c r="E83" s="769"/>
      <c r="F83" s="734"/>
      <c r="G83" s="1162">
        <v>0</v>
      </c>
      <c r="H83" s="751"/>
      <c r="I83" s="769"/>
      <c r="J83" s="734"/>
      <c r="K83" s="1053">
        <v>0</v>
      </c>
      <c r="L83" s="751"/>
      <c r="M83" s="739">
        <f t="shared" si="7"/>
        <v>0</v>
      </c>
      <c r="O83" s="739">
        <f>+[57]Richlands!$H72</f>
        <v>0</v>
      </c>
      <c r="P83" s="739">
        <f t="shared" si="8"/>
        <v>0</v>
      </c>
    </row>
    <row r="84" spans="1:26">
      <c r="A84" s="31" t="s">
        <v>55</v>
      </c>
      <c r="B84" s="741"/>
      <c r="C84" s="741"/>
      <c r="D84" s="739">
        <v>150</v>
      </c>
      <c r="E84" s="770">
        <f>'Porta Batch Mvnt'!I5-C80</f>
        <v>454</v>
      </c>
      <c r="F84" s="734">
        <f>D84*E84</f>
        <v>68100</v>
      </c>
      <c r="G84" s="1162">
        <f>+G82</f>
        <v>2.0499999999999998</v>
      </c>
      <c r="H84" s="751">
        <f>F84*G84</f>
        <v>139605</v>
      </c>
      <c r="I84" s="769">
        <v>160</v>
      </c>
      <c r="J84" s="734">
        <v>24000</v>
      </c>
      <c r="K84" s="1053">
        <v>2.04</v>
      </c>
      <c r="L84" s="751">
        <v>48960</v>
      </c>
      <c r="M84" s="739">
        <f t="shared" si="7"/>
        <v>90645</v>
      </c>
      <c r="O84" s="739">
        <f>+[57]Richlands!$H73</f>
        <v>8353332.8181657055</v>
      </c>
      <c r="P84" s="739">
        <f t="shared" si="8"/>
        <v>-8304372.8181657055</v>
      </c>
      <c r="Z84" s="739">
        <f>70+14</f>
        <v>84</v>
      </c>
    </row>
    <row r="85" spans="1:26">
      <c r="A85" s="31"/>
      <c r="B85" s="741"/>
      <c r="C85" s="741"/>
      <c r="E85" s="769">
        <v>0</v>
      </c>
      <c r="F85" s="734"/>
      <c r="G85" s="1162">
        <v>0</v>
      </c>
      <c r="H85" s="751"/>
      <c r="I85" s="769">
        <v>0</v>
      </c>
      <c r="J85" s="734"/>
      <c r="K85" s="1053">
        <v>0</v>
      </c>
      <c r="L85" s="751"/>
      <c r="M85" s="739">
        <f t="shared" si="7"/>
        <v>0</v>
      </c>
      <c r="O85" s="739">
        <f>+[57]Richlands!$H74</f>
        <v>0</v>
      </c>
      <c r="P85" s="739">
        <f t="shared" si="8"/>
        <v>0</v>
      </c>
    </row>
    <row r="86" spans="1:26">
      <c r="A86" s="31" t="s">
        <v>79</v>
      </c>
      <c r="B86" s="741"/>
      <c r="C86" s="741"/>
      <c r="D86" s="739">
        <f>+[56]Grasmere!D80</f>
        <v>150</v>
      </c>
      <c r="E86" s="770">
        <f>+'Porta Batch Mvnt'!I4-'Grasmere Imported Boars'!D35</f>
        <v>8</v>
      </c>
      <c r="F86" s="734">
        <f>+D86*E86</f>
        <v>1200</v>
      </c>
      <c r="G86" s="1162">
        <f>+G84</f>
        <v>2.0499999999999998</v>
      </c>
      <c r="H86" s="751">
        <f>F86*G86</f>
        <v>2460</v>
      </c>
      <c r="I86" s="769">
        <v>7</v>
      </c>
      <c r="J86" s="734">
        <v>1050</v>
      </c>
      <c r="K86" s="1053">
        <v>2.04</v>
      </c>
      <c r="L86" s="751">
        <v>2142</v>
      </c>
      <c r="M86" s="739">
        <f t="shared" si="7"/>
        <v>318</v>
      </c>
      <c r="O86" s="739">
        <f>+[57]Richlands!$H75</f>
        <v>83090.180552046149</v>
      </c>
      <c r="P86" s="739">
        <f t="shared" si="8"/>
        <v>-80948.180552046149</v>
      </c>
    </row>
    <row r="87" spans="1:26">
      <c r="B87" s="741"/>
      <c r="C87" s="741"/>
      <c r="D87" s="739" t="s">
        <v>138</v>
      </c>
      <c r="E87" s="769"/>
      <c r="F87" s="734"/>
      <c r="G87" s="736"/>
      <c r="H87" s="751"/>
      <c r="I87" s="769"/>
      <c r="J87" s="734"/>
      <c r="K87" s="736"/>
      <c r="L87" s="751"/>
      <c r="M87" s="739">
        <f t="shared" si="7"/>
        <v>0</v>
      </c>
      <c r="O87" s="739">
        <f>+[57]Richlands!$H76</f>
        <v>0</v>
      </c>
      <c r="R87" s="739">
        <f>-'[68]total pig movement'!$I$77-'[68]total pig movement'!$I$78-'[68]total pig movement'!$I$83</f>
        <v>177607.09418606825</v>
      </c>
      <c r="T87" s="739">
        <f>SUM(O87:S87)</f>
        <v>177607.09418606825</v>
      </c>
      <c r="U87" s="739">
        <f>+'[68]total pig movement'!$H$82</f>
        <v>1128701.8974278742</v>
      </c>
      <c r="V87" s="739">
        <f>+T87-U87</f>
        <v>-951094.80324180587</v>
      </c>
    </row>
    <row r="88" spans="1:26" ht="13.9" thickBot="1">
      <c r="B88" s="741" t="s">
        <v>138</v>
      </c>
      <c r="C88" s="741"/>
      <c r="E88" s="783">
        <f>SUM(E42:E87)</f>
        <v>15576</v>
      </c>
      <c r="F88" s="783">
        <f>SUM(F42:F87)</f>
        <v>586152.66118893726</v>
      </c>
      <c r="G88" s="736"/>
      <c r="H88" s="727">
        <f>SUM(H86,H82:H84,H9:H40)</f>
        <v>2321799.0117194341</v>
      </c>
      <c r="I88" s="772">
        <v>14997</v>
      </c>
      <c r="J88" s="734">
        <v>538208.09472511779</v>
      </c>
      <c r="K88" s="736"/>
      <c r="L88" s="727">
        <v>1449733.5346225621</v>
      </c>
      <c r="M88" s="739">
        <f>SUM(M44:M87)</f>
        <v>96634.499999999985</v>
      </c>
    </row>
    <row r="89" spans="1:26" ht="13.9" thickTop="1">
      <c r="B89" s="741"/>
      <c r="C89" s="741"/>
      <c r="E89" s="769">
        <f>+'Summary Total Pigs'!AF152</f>
        <v>15565</v>
      </c>
      <c r="F89" s="734" t="s">
        <v>138</v>
      </c>
      <c r="G89" s="736"/>
      <c r="H89" s="751" t="s">
        <v>138</v>
      </c>
      <c r="I89" s="750">
        <f>'[69]Porta Valuation'!$E$88</f>
        <v>14997</v>
      </c>
      <c r="J89" s="734"/>
      <c r="K89" s="736"/>
      <c r="L89" s="750">
        <f>'[69]Porta Valuation'!$H$88</f>
        <v>1449733.5346225621</v>
      </c>
      <c r="M89" s="739">
        <v>0</v>
      </c>
    </row>
    <row r="90" spans="1:26">
      <c r="E90" s="798">
        <f>+E88-E89</f>
        <v>11</v>
      </c>
      <c r="F90" s="731" t="s">
        <v>1752</v>
      </c>
      <c r="G90" s="760"/>
      <c r="H90" s="761" t="s">
        <v>138</v>
      </c>
      <c r="I90" s="1224">
        <f>+I88-I89</f>
        <v>0</v>
      </c>
      <c r="J90" s="759"/>
      <c r="K90" s="759"/>
      <c r="L90" s="784">
        <f>+L88-L89</f>
        <v>0</v>
      </c>
      <c r="M90" s="739" t="s">
        <v>207</v>
      </c>
    </row>
    <row r="91" spans="1:26">
      <c r="E91" s="382"/>
      <c r="F91" s="385"/>
      <c r="G91" s="386"/>
      <c r="H91" s="734"/>
      <c r="I91" s="765"/>
      <c r="J91" s="734"/>
      <c r="K91" s="734"/>
      <c r="L91" s="734"/>
      <c r="M91" s="739">
        <f>+H91-L91</f>
        <v>0</v>
      </c>
    </row>
    <row r="92" spans="1:26">
      <c r="C92" s="740" t="s">
        <v>138</v>
      </c>
      <c r="E92" s="382"/>
      <c r="F92" s="385"/>
      <c r="G92" s="386"/>
      <c r="H92" s="734"/>
      <c r="I92" s="765"/>
      <c r="J92" s="734"/>
      <c r="K92" s="734"/>
      <c r="L92" s="734"/>
    </row>
    <row r="93" spans="1:26">
      <c r="C93" s="740" t="s">
        <v>138</v>
      </c>
      <c r="D93" s="739" t="s">
        <v>138</v>
      </c>
      <c r="E93" s="382" t="s">
        <v>138</v>
      </c>
      <c r="F93" s="385"/>
      <c r="G93" s="386"/>
      <c r="H93" s="734">
        <f>SUM(H44:H80)</f>
        <v>270561.32399940869</v>
      </c>
      <c r="I93" s="765"/>
      <c r="J93" s="1225">
        <f>+L93-H93</f>
        <v>0</v>
      </c>
      <c r="K93" s="734"/>
      <c r="L93" s="734">
        <f>SUM(L44:L80)</f>
        <v>270561.32399940869</v>
      </c>
      <c r="M93" s="739">
        <f>SUM(M44:M74)</f>
        <v>0</v>
      </c>
    </row>
    <row r="94" spans="1:26">
      <c r="C94" s="740" t="s">
        <v>138</v>
      </c>
      <c r="E94" s="382"/>
      <c r="F94" s="385"/>
      <c r="G94" s="386"/>
      <c r="H94" s="734"/>
      <c r="I94" s="765"/>
      <c r="J94" s="734"/>
      <c r="K94" s="734"/>
      <c r="L94" s="734"/>
    </row>
    <row r="95" spans="1:26">
      <c r="C95" s="740" t="s">
        <v>1717</v>
      </c>
      <c r="D95" s="739" t="s">
        <v>1739</v>
      </c>
      <c r="E95" s="1237">
        <f>+E42</f>
        <v>14239</v>
      </c>
      <c r="F95" s="385">
        <f>+'Summary Total Pigs'!AF108+'Summary Total Pigs'!AF109+'Summary Total Pigs'!AF110</f>
        <v>11745</v>
      </c>
      <c r="G95" s="386">
        <f t="shared" ref="G95:G100" si="9">+E95-F95</f>
        <v>2494</v>
      </c>
      <c r="H95" s="1237">
        <f>+H42</f>
        <v>2083486.5117194336</v>
      </c>
      <c r="I95" s="799"/>
      <c r="J95" s="734"/>
      <c r="K95" s="734"/>
      <c r="L95" s="734"/>
      <c r="M95" s="739">
        <f>+L93-H93</f>
        <v>0</v>
      </c>
    </row>
    <row r="96" spans="1:26">
      <c r="C96" s="740" t="s">
        <v>1737</v>
      </c>
      <c r="D96" s="739" t="s">
        <v>1748</v>
      </c>
      <c r="E96" s="1237">
        <f>+E44+E48+E52+E56+E60+E64+E70+E74+E76+E78</f>
        <v>306</v>
      </c>
      <c r="F96" s="385">
        <f>+'Richlands Imported Valuation'!AP8</f>
        <v>0</v>
      </c>
      <c r="G96" s="386">
        <f t="shared" si="9"/>
        <v>306</v>
      </c>
      <c r="H96" s="1237">
        <f>+H44+H48+H52+H56+H60+H64+H70+H74+H76+H78</f>
        <v>140293.96458463781</v>
      </c>
      <c r="I96" s="799"/>
      <c r="J96" s="734"/>
      <c r="K96" s="734"/>
      <c r="L96" s="734"/>
    </row>
    <row r="97" spans="3:31">
      <c r="D97" s="739" t="s">
        <v>1598</v>
      </c>
      <c r="E97" s="1237">
        <f>+E46+E50+E54+E58+E62+E66+E68+E72</f>
        <v>256</v>
      </c>
      <c r="F97" s="385">
        <f>+'Richlands Imported Valuation'!AP20</f>
        <v>0</v>
      </c>
      <c r="G97" s="386">
        <f t="shared" si="9"/>
        <v>256</v>
      </c>
      <c r="H97" s="1237">
        <f>+H46+H50+H54+H58+H62+H66+H68+H72</f>
        <v>130267.35941477085</v>
      </c>
      <c r="I97" s="799"/>
      <c r="J97" s="734"/>
      <c r="K97" s="734"/>
      <c r="L97" s="734"/>
      <c r="N97" s="739">
        <f>22+176+7</f>
        <v>205</v>
      </c>
    </row>
    <row r="98" spans="3:31">
      <c r="D98" s="739" t="s">
        <v>304</v>
      </c>
      <c r="E98" s="1237">
        <f>+E82+E84</f>
        <v>767</v>
      </c>
      <c r="F98" s="385">
        <f>+'Summary Total Pigs'!AF112-'Richlands Imported Valuation'!AP8-'Richlands Imported Valuation'!AP20+'Summary Total Pigs'!AF111</f>
        <v>1260</v>
      </c>
      <c r="G98" s="386">
        <f t="shared" si="9"/>
        <v>-493</v>
      </c>
      <c r="H98" s="1237">
        <f>+H82+H84</f>
        <v>235852.5</v>
      </c>
      <c r="I98" s="799"/>
      <c r="J98" s="385"/>
      <c r="K98" s="734"/>
      <c r="L98" s="734"/>
      <c r="M98" s="739">
        <f>+L98-J98</f>
        <v>0</v>
      </c>
    </row>
    <row r="99" spans="3:31">
      <c r="D99" s="739" t="s">
        <v>79</v>
      </c>
      <c r="E99" s="1237">
        <f>+E86</f>
        <v>8</v>
      </c>
      <c r="F99" s="385">
        <f>+'Richlands Batch Mvnt'!J4-'Richlands Imported Boars'!F12</f>
        <v>8</v>
      </c>
      <c r="G99" s="386">
        <f t="shared" si="9"/>
        <v>0</v>
      </c>
      <c r="H99" s="1237">
        <f>+H86</f>
        <v>2460</v>
      </c>
      <c r="I99" s="799"/>
      <c r="J99" s="734"/>
      <c r="K99" s="734"/>
      <c r="L99" s="734"/>
    </row>
    <row r="100" spans="3:31" s="31" customFormat="1">
      <c r="C100" s="743"/>
      <c r="E100" s="61">
        <f>SUM(E95:E99)</f>
        <v>15576</v>
      </c>
      <c r="F100" s="61">
        <f>SUM(F95:F99)</f>
        <v>13013</v>
      </c>
      <c r="G100" s="1236">
        <f t="shared" si="9"/>
        <v>2563</v>
      </c>
      <c r="H100" s="695">
        <f>SUM(H95:H99)</f>
        <v>2592360.3357188422</v>
      </c>
      <c r="I100" s="61"/>
      <c r="J100" s="695"/>
      <c r="K100" s="695"/>
      <c r="L100" s="695"/>
    </row>
    <row r="101" spans="3:31">
      <c r="E101" s="802">
        <f>+E88</f>
        <v>15576</v>
      </c>
      <c r="F101" s="801">
        <f>+'Summary Total Pigs'!AF114</f>
        <v>13017</v>
      </c>
      <c r="G101" s="802" t="s">
        <v>138</v>
      </c>
      <c r="H101" s="801">
        <f>+H88</f>
        <v>2321799.0117194341</v>
      </c>
      <c r="I101" s="742">
        <v>0</v>
      </c>
      <c r="U101" s="739">
        <f>+L101-T101</f>
        <v>0</v>
      </c>
      <c r="AE101" s="739">
        <v>43</v>
      </c>
    </row>
    <row r="102" spans="3:31">
      <c r="D102" s="740"/>
      <c r="E102" s="741">
        <f>+E100-E101</f>
        <v>0</v>
      </c>
      <c r="F102" s="739">
        <f>+F100-F101</f>
        <v>-4</v>
      </c>
      <c r="H102" s="739">
        <f>+H100-H101</f>
        <v>270561.32399940817</v>
      </c>
      <c r="U102" s="739">
        <f>+L102-T102</f>
        <v>0</v>
      </c>
      <c r="AE102" s="739">
        <v>41</v>
      </c>
    </row>
    <row r="103" spans="3:31">
      <c r="D103" s="740"/>
    </row>
    <row r="104" spans="3:31">
      <c r="D104" s="740"/>
    </row>
    <row r="108" spans="3:31">
      <c r="G108" s="739"/>
    </row>
    <row r="110" spans="3:31">
      <c r="C110" s="739"/>
    </row>
    <row r="111" spans="3:31">
      <c r="C111" s="739"/>
    </row>
    <row r="112" spans="3:31">
      <c r="C112" s="739"/>
      <c r="I112" s="741"/>
    </row>
    <row r="113" spans="3:3">
      <c r="C113" s="739"/>
    </row>
    <row r="117" spans="3:3">
      <c r="C117" s="739"/>
    </row>
    <row r="118" spans="3:3">
      <c r="C118" s="739"/>
    </row>
    <row r="119" spans="3:3">
      <c r="C119" s="739"/>
    </row>
    <row r="120" spans="3:3">
      <c r="C120" s="739"/>
    </row>
    <row r="121" spans="3:3">
      <c r="C121" s="739"/>
    </row>
    <row r="122" spans="3:3">
      <c r="C122" s="739"/>
    </row>
    <row r="123" spans="3:3">
      <c r="C123" s="739"/>
    </row>
    <row r="124" spans="3:3">
      <c r="C124" s="739"/>
    </row>
    <row r="125" spans="3:3">
      <c r="C125" s="739"/>
    </row>
    <row r="126" spans="3:3">
      <c r="C126" s="739"/>
    </row>
    <row r="127" spans="3:3">
      <c r="C127" s="739"/>
    </row>
    <row r="128" spans="3:3">
      <c r="C128" s="739"/>
    </row>
  </sheetData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1A09-15BB-4011-91EC-270EA2034E95}">
  <sheetPr>
    <tabColor theme="3" tint="0.39997558519241921"/>
  </sheetPr>
  <dimension ref="A1:AE132"/>
  <sheetViews>
    <sheetView view="pageBreakPreview" topLeftCell="A64" zoomScale="74" zoomScaleNormal="100" workbookViewId="0">
      <selection activeCell="E118" sqref="E118"/>
    </sheetView>
  </sheetViews>
  <sheetFormatPr defaultColWidth="9.140625" defaultRowHeight="13.15"/>
  <cols>
    <col min="1" max="1" width="11.28515625" style="739" customWidth="1"/>
    <col min="2" max="2" width="9.28515625" style="739" bestFit="1" customWidth="1"/>
    <col min="3" max="3" width="12.28515625" style="740" bestFit="1" customWidth="1"/>
    <col min="4" max="4" width="15.7109375" style="739" customWidth="1"/>
    <col min="5" max="5" width="15.42578125" style="741" customWidth="1"/>
    <col min="6" max="6" width="19.42578125" style="739" customWidth="1"/>
    <col min="7" max="7" width="12.7109375" style="740" bestFit="1" customWidth="1"/>
    <col min="8" max="8" width="18.28515625" style="739" bestFit="1" customWidth="1"/>
    <col min="9" max="9" width="14" style="742" customWidth="1"/>
    <col min="10" max="10" width="18.140625" style="739" customWidth="1"/>
    <col min="11" max="11" width="11.85546875" style="739" customWidth="1"/>
    <col min="12" max="12" width="18" style="739" customWidth="1"/>
    <col min="13" max="13" width="17.5703125" style="739" customWidth="1"/>
    <col min="14" max="18" width="15" style="739" customWidth="1"/>
    <col min="19" max="20" width="14" style="739" bestFit="1" customWidth="1"/>
    <col min="21" max="21" width="14.140625" style="739" customWidth="1"/>
    <col min="22" max="22" width="15.28515625" style="739" customWidth="1"/>
    <col min="23" max="23" width="11.5703125" style="739" customWidth="1"/>
    <col min="24" max="30" width="9.140625" style="739"/>
    <col min="31" max="31" width="9.28515625" style="739" bestFit="1" customWidth="1"/>
    <col min="32" max="16384" width="9.140625" style="739"/>
  </cols>
  <sheetData>
    <row r="1" spans="1:20">
      <c r="A1" s="31" t="s">
        <v>82</v>
      </c>
      <c r="H1" s="31"/>
    </row>
    <row r="2" spans="1:20">
      <c r="A2" s="31"/>
      <c r="H2" s="675">
        <f>+'Summary Total Pigs'!C3</f>
        <v>46226</v>
      </c>
      <c r="K2" s="734"/>
    </row>
    <row r="3" spans="1:20">
      <c r="A3" s="31" t="s">
        <v>1654</v>
      </c>
      <c r="G3" s="740" t="s">
        <v>138</v>
      </c>
      <c r="H3" s="31"/>
    </row>
    <row r="4" spans="1:20">
      <c r="A4" s="31"/>
      <c r="H4" s="743" t="s">
        <v>1729</v>
      </c>
    </row>
    <row r="5" spans="1:20">
      <c r="A5" s="686" t="s">
        <v>191</v>
      </c>
      <c r="B5" s="744"/>
      <c r="C5" s="745"/>
      <c r="D5" s="744"/>
      <c r="E5" s="746"/>
      <c r="F5" s="690">
        <f>+'Summary Total Pigs'!C3</f>
        <v>46226</v>
      </c>
      <c r="G5" s="745"/>
      <c r="H5" s="747"/>
      <c r="I5" s="748"/>
      <c r="J5" s="690">
        <f>+'Grasmere Valuation '!J5</f>
        <v>45870</v>
      </c>
      <c r="K5" s="744"/>
      <c r="L5" s="747"/>
    </row>
    <row r="6" spans="1:20">
      <c r="A6" s="749"/>
      <c r="B6" s="734"/>
      <c r="C6" s="736"/>
      <c r="D6" s="734"/>
      <c r="E6" s="750"/>
      <c r="F6" s="734"/>
      <c r="G6" s="736"/>
      <c r="H6" s="751"/>
      <c r="I6" s="752"/>
      <c r="J6" s="734"/>
      <c r="K6" s="734"/>
      <c r="L6" s="751"/>
    </row>
    <row r="7" spans="1:20">
      <c r="A7" s="694" t="s">
        <v>1656</v>
      </c>
      <c r="B7" s="695" t="s">
        <v>1657</v>
      </c>
      <c r="C7" s="696" t="s">
        <v>1658</v>
      </c>
      <c r="D7" s="695" t="s">
        <v>1659</v>
      </c>
      <c r="E7" s="698" t="s">
        <v>1660</v>
      </c>
      <c r="F7" s="695" t="s">
        <v>1661</v>
      </c>
      <c r="G7" s="696" t="s">
        <v>1662</v>
      </c>
      <c r="H7" s="697" t="s">
        <v>1663</v>
      </c>
      <c r="I7" s="753" t="s">
        <v>1660</v>
      </c>
      <c r="J7" s="695" t="s">
        <v>1661</v>
      </c>
      <c r="K7" s="695" t="s">
        <v>1662</v>
      </c>
      <c r="L7" s="697" t="s">
        <v>1663</v>
      </c>
      <c r="M7" s="31"/>
    </row>
    <row r="8" spans="1:20">
      <c r="A8" s="699"/>
      <c r="B8" s="700" t="s">
        <v>1664</v>
      </c>
      <c r="C8" s="701" t="s">
        <v>1665</v>
      </c>
      <c r="D8" s="700" t="s">
        <v>181</v>
      </c>
      <c r="E8" s="703" t="s">
        <v>1666</v>
      </c>
      <c r="F8" s="700"/>
      <c r="G8" s="701" t="s">
        <v>1668</v>
      </c>
      <c r="H8" s="702"/>
      <c r="I8" s="754" t="s">
        <v>1666</v>
      </c>
      <c r="J8" s="700"/>
      <c r="K8" s="700" t="s">
        <v>1668</v>
      </c>
      <c r="L8" s="702"/>
      <c r="M8" s="31"/>
    </row>
    <row r="9" spans="1:20">
      <c r="A9" s="31" t="s">
        <v>179</v>
      </c>
      <c r="B9" s="31"/>
      <c r="C9" s="743"/>
      <c r="D9" s="31"/>
      <c r="E9" s="698"/>
      <c r="F9" s="695"/>
      <c r="G9" s="696"/>
      <c r="H9" s="1933">
        <f>SUM('Multiplier Pig Cost '!B62:R62)</f>
        <v>90223.636771300429</v>
      </c>
      <c r="I9" s="753"/>
      <c r="J9" s="695"/>
      <c r="K9" s="695"/>
      <c r="L9" s="751">
        <v>17736.91585901763</v>
      </c>
      <c r="M9" s="739">
        <f>+H9+'Porta Valuation'!H9+'Richlands Valuation'!H9+'Villa Valuation'!H9+'Lionhead Ext. Valuation'!H9+'Lionhead Valuation'!H9+'Learig Valuation'!H9+'Grasmere Valuation '!H9</f>
        <v>1203739.4717488787</v>
      </c>
      <c r="N9" s="739">
        <f>SUM('Triple C Pigs'!B63:R63)</f>
        <v>1203739.4717488789</v>
      </c>
      <c r="T9" s="739">
        <f>+H9-L9</f>
        <v>72486.720912282792</v>
      </c>
    </row>
    <row r="10" spans="1:20">
      <c r="B10" s="741">
        <v>1</v>
      </c>
      <c r="C10" s="693">
        <f>VLOOKUP(B10,[65]New!$O$1:$AJ$37,5,0)</f>
        <v>1.3876506934901334</v>
      </c>
      <c r="D10" s="1890">
        <f>VLOOKUP(B10,[65]New!$A$1:$AJ$37,20,0)</f>
        <v>0.86034342996388269</v>
      </c>
      <c r="E10" s="1152">
        <f>'Multiplier Batch Mvnt'!B4</f>
        <v>231</v>
      </c>
      <c r="F10" s="734">
        <f>D10*E10</f>
        <v>198.73933232165689</v>
      </c>
      <c r="G10" s="736">
        <f>IFERROR(H10/F10,0)</f>
        <v>55.607675193836577</v>
      </c>
      <c r="H10" s="751">
        <f>'Multiplier Pig Cost '!$S$62</f>
        <v>11051.432239982643</v>
      </c>
      <c r="I10" s="755">
        <v>0</v>
      </c>
      <c r="J10" s="734">
        <v>0</v>
      </c>
      <c r="K10" s="736">
        <v>0</v>
      </c>
      <c r="L10" s="751">
        <v>0</v>
      </c>
      <c r="M10" s="739">
        <f>+H10+'Porta Valuation'!H10+'Richlands Valuation'!H10+'Villa Valuation'!H10+'Lionhead Ext. Valuation'!H10+'Lionhead Valuation'!H10+'Learig Valuation'!H10+'Grasmere Valuation '!H10</f>
        <v>166189.99809254362</v>
      </c>
      <c r="N10" s="739" cm="1">
        <f t="array" ref="N10:N26">TRANSPOSE('Triple C Pigs'!S63:AI63)</f>
        <v>166189.9980925436</v>
      </c>
      <c r="O10" s="739">
        <f>+N10-M10</f>
        <v>0</v>
      </c>
    </row>
    <row r="11" spans="1:20">
      <c r="B11" s="741">
        <v>2</v>
      </c>
      <c r="C11" s="693">
        <f>VLOOKUP(B11,[65]New!$O$1:$AJ$37,5,0)</f>
        <v>2.3590061789332268</v>
      </c>
      <c r="D11" s="1890">
        <f>VLOOKUP(B11,[65]New!$A$1:$AJ$37,20,0)</f>
        <v>1.4625838309386006</v>
      </c>
      <c r="E11" s="1152">
        <f>'Multiplier Batch Mvnt'!B5</f>
        <v>334</v>
      </c>
      <c r="F11" s="734">
        <f t="shared" ref="F11:F13" si="0">D11*E11</f>
        <v>488.50299953349258</v>
      </c>
      <c r="G11" s="736">
        <f t="shared" ref="G11:G26" si="1">IFERROR(H11/F11,0)</f>
        <v>27.019115799886134</v>
      </c>
      <c r="H11" s="751">
        <f>'Multiplier Pig Cost '!$T$62</f>
        <v>13198.919112987158</v>
      </c>
      <c r="I11" s="755">
        <v>0</v>
      </c>
      <c r="J11" s="734">
        <v>0</v>
      </c>
      <c r="K11" s="736">
        <v>0</v>
      </c>
      <c r="L11" s="751">
        <v>0</v>
      </c>
      <c r="M11" s="739">
        <f>+H11+'Porta Valuation'!H11+'Richlands Valuation'!H11+'Villa Valuation'!H11+'Lionhead Ext. Valuation'!H11+'Lionhead Valuation'!H11+'Learig Valuation'!H11+'Grasmere Valuation '!H11</f>
        <v>193879.85814382025</v>
      </c>
      <c r="N11" s="739">
        <v>193879.85814382028</v>
      </c>
      <c r="O11" s="739">
        <f t="shared" ref="O11:O26" si="2">+N11-M11</f>
        <v>0</v>
      </c>
    </row>
    <row r="12" spans="1:20">
      <c r="A12" s="31" t="s">
        <v>384</v>
      </c>
      <c r="B12" s="741">
        <v>3</v>
      </c>
      <c r="C12" s="693">
        <f>VLOOKUP(B12,[65]New!$O$1:$AJ$37,5,0)</f>
        <v>3.7744098862931628</v>
      </c>
      <c r="D12" s="1890">
        <f>VLOOKUP(B12,[65]New!$A$1:$AJ$37,20,0)</f>
        <v>2.3401341295017608</v>
      </c>
      <c r="E12" s="1152">
        <f>'Multiplier Batch Mvnt'!B6</f>
        <v>312</v>
      </c>
      <c r="F12" s="734">
        <f t="shared" si="0"/>
        <v>730.12184840454938</v>
      </c>
      <c r="G12" s="736">
        <f t="shared" si="1"/>
        <v>19.302784727988715</v>
      </c>
      <c r="H12" s="751">
        <f>'Multiplier Pig Cost '!$U$62</f>
        <v>14093.384864954229</v>
      </c>
      <c r="I12" s="755">
        <v>0</v>
      </c>
      <c r="J12" s="734">
        <v>0</v>
      </c>
      <c r="K12" s="736">
        <v>0</v>
      </c>
      <c r="L12" s="751">
        <v>0</v>
      </c>
      <c r="M12" s="739">
        <f>+H12+'Porta Valuation'!H12+'Richlands Valuation'!H12+'Villa Valuation'!H12+'Lionhead Ext. Valuation'!H12+'Lionhead Valuation'!H12+'Learig Valuation'!H12+'Grasmere Valuation '!H12</f>
        <v>206740.88831595689</v>
      </c>
      <c r="N12" s="739">
        <v>206740.88831595689</v>
      </c>
      <c r="O12" s="739">
        <f t="shared" si="2"/>
        <v>0</v>
      </c>
    </row>
    <row r="13" spans="1:20">
      <c r="A13" s="31"/>
      <c r="B13" s="757">
        <v>4</v>
      </c>
      <c r="C13" s="693">
        <f>VLOOKUP(B13,[65]New!$O$1:$AJ$37,5,0)</f>
        <v>5.6616148294397437</v>
      </c>
      <c r="D13" s="1890">
        <f>VLOOKUP(B13,[65]New!$A$1:$AJ$37,20,0)</f>
        <v>3.510201194252641</v>
      </c>
      <c r="E13" s="1152">
        <f>'Multiplier Batch Mvnt'!B7</f>
        <v>304</v>
      </c>
      <c r="F13" s="734">
        <f t="shared" si="0"/>
        <v>1067.1011630528028</v>
      </c>
      <c r="G13" s="736">
        <f t="shared" si="1"/>
        <v>11.617473028954191</v>
      </c>
      <c r="H13" s="751">
        <f>'Multiplier Pig Cost '!$V$62</f>
        <v>12397.018980931585</v>
      </c>
      <c r="I13" s="758">
        <v>0</v>
      </c>
      <c r="J13" s="759">
        <v>0</v>
      </c>
      <c r="K13" s="736">
        <v>0</v>
      </c>
      <c r="L13" s="751">
        <v>0</v>
      </c>
      <c r="M13" s="739">
        <f>+H13+'Porta Valuation'!H13+'Richlands Valuation'!H13+'Villa Valuation'!H13+'Lionhead Ext. Valuation'!H13+'Lionhead Valuation'!H13+'Learig Valuation'!H13+'Grasmere Valuation '!H13</f>
        <v>191871.37651521381</v>
      </c>
      <c r="N13" s="739">
        <v>191871.37651521378</v>
      </c>
      <c r="O13" s="739">
        <f t="shared" si="2"/>
        <v>0</v>
      </c>
    </row>
    <row r="14" spans="1:20">
      <c r="A14" s="31"/>
      <c r="B14" s="741">
        <v>5</v>
      </c>
      <c r="C14" s="693">
        <f>VLOOKUP(B14,[65]New!$O$1:$AJ$37,5,0)</f>
        <v>7.4719652726391805</v>
      </c>
      <c r="D14" s="1315">
        <f>VLOOKUP(B14,[65]New!$A$1:$AJ$37,20,0)</f>
        <v>5.1556560381210339</v>
      </c>
      <c r="E14" s="1155">
        <f>'Multiplier Batch Mvnt'!B8</f>
        <v>186</v>
      </c>
      <c r="F14" s="734">
        <f>D14*E14</f>
        <v>958.95202309051228</v>
      </c>
      <c r="G14" s="736">
        <f t="shared" si="1"/>
        <v>7.4012290104626892</v>
      </c>
      <c r="H14" s="751">
        <f>'Multiplier Pig Cost '!$W$62</f>
        <v>7097.423532939386</v>
      </c>
      <c r="I14" s="1159">
        <v>0</v>
      </c>
      <c r="J14" s="744">
        <v>0</v>
      </c>
      <c r="K14" s="736">
        <v>0</v>
      </c>
      <c r="L14" s="751">
        <v>0</v>
      </c>
      <c r="M14" s="739">
        <f>+H14+'Porta Valuation'!H14+'Richlands Valuation'!H14+'Villa Valuation'!H14+'Lionhead Ext. Valuation'!H14+'Lionhead Valuation'!H14+'Learig Valuation'!H14+'Grasmere Valuation '!H14</f>
        <v>170942.84460637652</v>
      </c>
      <c r="N14" s="739">
        <v>170942.84460637649</v>
      </c>
      <c r="O14" s="739">
        <f t="shared" si="2"/>
        <v>0</v>
      </c>
    </row>
    <row r="15" spans="1:20">
      <c r="A15" s="31"/>
      <c r="B15" s="741">
        <v>6</v>
      </c>
      <c r="C15" s="693">
        <f>VLOOKUP(B15,[65]New!$O$1:$AJ$37,5,0)</f>
        <v>10.176105085594312</v>
      </c>
      <c r="D15" s="1155">
        <f>VLOOKUP(B15,[65]New!$A$1:$AJ$37,20,0)</f>
        <v>7.0215125090600745</v>
      </c>
      <c r="E15" s="1155">
        <f>'Multiplier Batch Mvnt'!B9</f>
        <v>189</v>
      </c>
      <c r="F15" s="734">
        <f t="shared" ref="F15:F40" si="3">D15*E15</f>
        <v>1327.065864212354</v>
      </c>
      <c r="G15" s="736">
        <f t="shared" si="1"/>
        <v>10.487367533829509</v>
      </c>
      <c r="H15" s="751">
        <f>'Multiplier Pig Cost '!$X$62</f>
        <v>13917.427459594042</v>
      </c>
      <c r="I15" s="755">
        <v>0</v>
      </c>
      <c r="J15" s="734">
        <v>0</v>
      </c>
      <c r="K15" s="736">
        <v>0</v>
      </c>
      <c r="L15" s="751">
        <v>0</v>
      </c>
      <c r="M15" s="739">
        <f>+H15+'Porta Valuation'!H15+'Richlands Valuation'!H15+'Villa Valuation'!H15+'Lionhead Ext. Valuation'!H15+'Lionhead Valuation'!H15+'Learig Valuation'!H15+'Grasmere Valuation '!H15</f>
        <v>261382.55991767766</v>
      </c>
      <c r="N15" s="739">
        <v>261382.55991767769</v>
      </c>
      <c r="O15" s="739">
        <f t="shared" si="2"/>
        <v>0</v>
      </c>
    </row>
    <row r="16" spans="1:20">
      <c r="A16" s="31" t="s">
        <v>389</v>
      </c>
      <c r="B16" s="741">
        <v>7</v>
      </c>
      <c r="C16" s="693">
        <f>VLOOKUP(B16,[65]New!$O$1:$AJ$37,5,0)</f>
        <v>12.880244898549444</v>
      </c>
      <c r="D16" s="1155">
        <f>VLOOKUP(B16,[65]New!$A$1:$AJ$37,20,0)</f>
        <v>8.8873689799991151</v>
      </c>
      <c r="E16" s="1155">
        <f>'Multiplier Batch Mvnt'!B10</f>
        <v>165</v>
      </c>
      <c r="F16" s="734">
        <f t="shared" si="3"/>
        <v>1466.415881699854</v>
      </c>
      <c r="G16" s="736">
        <f t="shared" si="1"/>
        <v>11.312513400194273</v>
      </c>
      <c r="H16" s="751">
        <f>'Multiplier Pig Cost '!$Y$62</f>
        <v>16588.849311987298</v>
      </c>
      <c r="I16" s="755">
        <v>0</v>
      </c>
      <c r="J16" s="734">
        <v>0</v>
      </c>
      <c r="K16" s="736">
        <v>0</v>
      </c>
      <c r="L16" s="751">
        <v>0</v>
      </c>
      <c r="M16" s="739">
        <f>+H16+'Porta Valuation'!H16+'Richlands Valuation'!H16+'Villa Valuation'!H16+'Lionhead Ext. Valuation'!H16+'Lionhead Valuation'!H16+'Learig Valuation'!H16+'Grasmere Valuation '!H16</f>
        <v>290271.10523899895</v>
      </c>
      <c r="N16" s="739">
        <v>290271.10523899895</v>
      </c>
      <c r="O16" s="739">
        <f t="shared" si="2"/>
        <v>0</v>
      </c>
    </row>
    <row r="17" spans="1:15">
      <c r="A17" s="31"/>
      <c r="B17" s="764">
        <v>8</v>
      </c>
      <c r="C17" s="693">
        <f>VLOOKUP(B17,[65]New!$O$1:$AJ$37,5,0)</f>
        <v>15.584384711504576</v>
      </c>
      <c r="D17" s="1155">
        <f>VLOOKUP(B17,[65]New!$A$1:$AJ$37,20,0)</f>
        <v>10.753225450938157</v>
      </c>
      <c r="E17" s="1155">
        <f>'Multiplier Batch Mvnt'!B11</f>
        <v>206</v>
      </c>
      <c r="F17" s="734">
        <f t="shared" si="3"/>
        <v>2215.1644428932605</v>
      </c>
      <c r="G17" s="736">
        <f t="shared" si="1"/>
        <v>10.174973984003707</v>
      </c>
      <c r="H17" s="751">
        <f>'Multiplier Pig Cost '!$Z$62</f>
        <v>22539.240576728989</v>
      </c>
      <c r="I17" s="755">
        <v>0</v>
      </c>
      <c r="J17" s="734">
        <v>0</v>
      </c>
      <c r="K17" s="736">
        <v>0</v>
      </c>
      <c r="L17" s="751">
        <v>0</v>
      </c>
      <c r="M17" s="739">
        <f>+H17+'Porta Valuation'!H17+'Richlands Valuation'!H17+'Villa Valuation'!H17+'Lionhead Ext. Valuation'!H17+'Lionhead Valuation'!H17+'Learig Valuation'!H17+'Grasmere Valuation '!H17</f>
        <v>328307.06604087364</v>
      </c>
      <c r="N17" s="739">
        <v>328307.06604087364</v>
      </c>
      <c r="O17" s="739">
        <f t="shared" si="2"/>
        <v>0</v>
      </c>
    </row>
    <row r="18" spans="1:15">
      <c r="A18" s="31"/>
      <c r="B18" s="757">
        <v>9</v>
      </c>
      <c r="C18" s="693">
        <f>VLOOKUP(B18,[65]New!$O$1:$AJ$37,5,0)</f>
        <v>20.014192694569232</v>
      </c>
      <c r="D18" s="1155">
        <f>VLOOKUP(B18,[65]New!$A$1:$AJ$37,20,0)</f>
        <v>13.80979295925277</v>
      </c>
      <c r="E18" s="1155">
        <f>'Multiplier Batch Mvnt'!B12</f>
        <v>194</v>
      </c>
      <c r="F18" s="759">
        <f t="shared" si="3"/>
        <v>2679.0998340950373</v>
      </c>
      <c r="G18" s="736">
        <f t="shared" si="1"/>
        <v>6.7422576077432828</v>
      </c>
      <c r="H18" s="751">
        <f>'Multiplier Pig Cost '!$AA$62</f>
        <v>18063.181238331032</v>
      </c>
      <c r="I18" s="758">
        <v>0</v>
      </c>
      <c r="J18" s="759">
        <v>0</v>
      </c>
      <c r="K18" s="736">
        <v>0</v>
      </c>
      <c r="L18" s="751">
        <v>0</v>
      </c>
      <c r="M18" s="739">
        <f>+H18+'Porta Valuation'!H18+'Richlands Valuation'!H18+'Villa Valuation'!H18+'Lionhead Ext. Valuation'!H18+'Lionhead Valuation'!H18+'Learig Valuation'!H18+'Grasmere Valuation '!H18</f>
        <v>357570.98218851478</v>
      </c>
      <c r="N18" s="739">
        <v>357570.98218851478</v>
      </c>
      <c r="O18" s="739">
        <f t="shared" si="2"/>
        <v>0</v>
      </c>
    </row>
    <row r="19" spans="1:15">
      <c r="A19" s="31"/>
      <c r="B19" s="741">
        <v>10</v>
      </c>
      <c r="C19" s="693">
        <f>VLOOKUP(B19,[65]New!$O$1:$AJ$37,5,0)</f>
        <v>24.444000677633895</v>
      </c>
      <c r="D19" s="1315">
        <f>VLOOKUP(B19,[65]New!$A$1:$AJ$37,20,0)</f>
        <v>16.866360467567386</v>
      </c>
      <c r="E19" s="1315">
        <f>'Multiplier Batch Mvnt'!B13</f>
        <v>169</v>
      </c>
      <c r="F19" s="734">
        <f t="shared" si="3"/>
        <v>2850.4149190188882</v>
      </c>
      <c r="G19" s="736">
        <f t="shared" si="1"/>
        <v>7.757118175142784</v>
      </c>
      <c r="H19" s="751">
        <f>'Multiplier Pig Cost '!$AB$62</f>
        <v>22111.005375019566</v>
      </c>
      <c r="I19" s="755">
        <v>0</v>
      </c>
      <c r="J19" s="734">
        <v>0</v>
      </c>
      <c r="K19" s="736">
        <v>0</v>
      </c>
      <c r="L19" s="751">
        <v>0</v>
      </c>
      <c r="M19" s="739">
        <f>+H19+'Porta Valuation'!H19+'Richlands Valuation'!H19+'Villa Valuation'!H19+'Lionhead Ext. Valuation'!H19+'Lionhead Valuation'!H19+'Learig Valuation'!H19+'Grasmere Valuation '!H19</f>
        <v>397605.48058455321</v>
      </c>
      <c r="N19" s="739">
        <v>397605.48058455327</v>
      </c>
      <c r="O19" s="739">
        <f t="shared" si="2"/>
        <v>0</v>
      </c>
    </row>
    <row r="20" spans="1:15">
      <c r="A20" s="31"/>
      <c r="B20" s="741">
        <v>11</v>
      </c>
      <c r="C20" s="693">
        <f>VLOOKUP(B20,[65]New!$O$1:$AJ$37,5,0)</f>
        <v>29.194035743811668</v>
      </c>
      <c r="D20" s="1156">
        <f>VLOOKUP(B20,[65]New!$A$1:$AJ$37,20,0)</f>
        <v>20.14388466323005</v>
      </c>
      <c r="E20" s="1156">
        <f>'Multiplier Batch Mvnt'!B14</f>
        <v>211</v>
      </c>
      <c r="F20" s="734">
        <f t="shared" si="3"/>
        <v>4250.3596639415409</v>
      </c>
      <c r="G20" s="736">
        <f t="shared" si="1"/>
        <v>7.0685707335609989</v>
      </c>
      <c r="H20" s="751">
        <f>'Multiplier Pig Cost '!$AC$62</f>
        <v>30043.967927645339</v>
      </c>
      <c r="I20" s="755">
        <v>0</v>
      </c>
      <c r="J20" s="734">
        <v>0</v>
      </c>
      <c r="K20" s="736">
        <v>0</v>
      </c>
      <c r="L20" s="751">
        <v>0</v>
      </c>
      <c r="M20" s="739">
        <f>+H20+'Porta Valuation'!H20+'Richlands Valuation'!H20+'Villa Valuation'!H20+'Lionhead Ext. Valuation'!H20+'Lionhead Valuation'!H20+'Learig Valuation'!H20+'Grasmere Valuation '!H20</f>
        <v>484601.63684672723</v>
      </c>
      <c r="N20" s="739">
        <v>484601.63684672717</v>
      </c>
      <c r="O20" s="739">
        <f t="shared" si="2"/>
        <v>0</v>
      </c>
    </row>
    <row r="21" spans="1:15">
      <c r="A21" s="31"/>
      <c r="B21" s="741">
        <v>12</v>
      </c>
      <c r="C21" s="693">
        <f>VLOOKUP(B21,[65]New!$O$1:$AJ$37,5,0)</f>
        <v>33.944070809989427</v>
      </c>
      <c r="D21" s="1156">
        <f>VLOOKUP(B21,[65]New!$A$1:$AJ$37,20,0)</f>
        <v>23.421408858892701</v>
      </c>
      <c r="E21" s="1156">
        <f>'Multiplier Batch Mvnt'!B15</f>
        <v>207</v>
      </c>
      <c r="F21" s="734">
        <f t="shared" si="3"/>
        <v>4848.2316337907887</v>
      </c>
      <c r="G21" s="736">
        <f t="shared" si="1"/>
        <v>8.7635663291587456</v>
      </c>
      <c r="H21" s="751">
        <f>'Multiplier Pig Cost '!$AD$62</f>
        <v>42487.799501851252</v>
      </c>
      <c r="I21" s="755">
        <v>0</v>
      </c>
      <c r="J21" s="734">
        <v>0</v>
      </c>
      <c r="K21" s="736">
        <v>0</v>
      </c>
      <c r="L21" s="751">
        <v>0</v>
      </c>
      <c r="M21" s="739">
        <f>+H21+'Porta Valuation'!H21+'Richlands Valuation'!H21+'Villa Valuation'!H21+'Lionhead Ext. Valuation'!H21+'Lionhead Valuation'!H21+'Learig Valuation'!H21+'Grasmere Valuation '!H21</f>
        <v>618245.15144617856</v>
      </c>
      <c r="N21" s="739">
        <v>618245.15144617856</v>
      </c>
      <c r="O21" s="739">
        <f t="shared" si="2"/>
        <v>0</v>
      </c>
    </row>
    <row r="22" spans="1:15">
      <c r="A22" s="31"/>
      <c r="B22" s="741">
        <v>13</v>
      </c>
      <c r="C22" s="693">
        <f>VLOOKUP(B22,[65]New!$O$1:$AJ$37,5,0)</f>
        <v>41.309293721590919</v>
      </c>
      <c r="D22" s="1156">
        <f>VLOOKUP(B22,[65]New!$A$1:$AJ$37,20,0)</f>
        <v>28.503412667897731</v>
      </c>
      <c r="E22" s="1156">
        <f>'Multiplier Batch Mvnt'!B16</f>
        <v>196</v>
      </c>
      <c r="F22" s="734">
        <f t="shared" si="3"/>
        <v>5586.6688829079549</v>
      </c>
      <c r="G22" s="736">
        <f t="shared" si="1"/>
        <v>7.140534139037805</v>
      </c>
      <c r="H22" s="751">
        <f>'Multiplier Pig Cost '!$AE$62</f>
        <v>39891.799881904451</v>
      </c>
      <c r="I22" s="755">
        <v>0</v>
      </c>
      <c r="J22" s="734">
        <v>0</v>
      </c>
      <c r="K22" s="736">
        <v>0</v>
      </c>
      <c r="L22" s="751">
        <v>0</v>
      </c>
      <c r="M22" s="739">
        <f>+H22+'Porta Valuation'!H22+'Richlands Valuation'!H22+'Villa Valuation'!H22+'Lionhead Ext. Valuation'!H22+'Lionhead Valuation'!H22+'Learig Valuation'!H22+'Grasmere Valuation '!H22</f>
        <v>640687.51197170198</v>
      </c>
      <c r="N22" s="739">
        <v>640687.51197170187</v>
      </c>
      <c r="O22" s="739">
        <f t="shared" si="2"/>
        <v>0</v>
      </c>
    </row>
    <row r="23" spans="1:15">
      <c r="A23" s="31"/>
      <c r="B23" s="741">
        <v>14</v>
      </c>
      <c r="C23" s="693">
        <f>VLOOKUP(B23,[65]New!$O$1:$AJ$37,5,0)</f>
        <v>48.674516633192397</v>
      </c>
      <c r="D23" s="1156">
        <f>VLOOKUP(B23,[65]New!$A$1:$AJ$37,20,0)</f>
        <v>35.045651975898522</v>
      </c>
      <c r="E23" s="1156">
        <f>'Multiplier Batch Mvnt'!B17</f>
        <v>233</v>
      </c>
      <c r="F23" s="734">
        <f t="shared" si="3"/>
        <v>8165.6369103843554</v>
      </c>
      <c r="G23" s="736">
        <f t="shared" si="1"/>
        <v>4.6623335007082289</v>
      </c>
      <c r="H23" s="751">
        <f>'Multiplier Pig Cost '!$AF$62</f>
        <v>38070.92252190462</v>
      </c>
      <c r="I23" s="755">
        <v>0</v>
      </c>
      <c r="J23" s="734">
        <v>0</v>
      </c>
      <c r="K23" s="736">
        <v>0</v>
      </c>
      <c r="L23" s="751">
        <v>0</v>
      </c>
      <c r="M23" s="739">
        <f>+H23+'Porta Valuation'!H23+'Richlands Valuation'!H23+'Villa Valuation'!H23+'Lionhead Ext. Valuation'!H23+'Lionhead Valuation'!H23+'Learig Valuation'!H23+'Grasmere Valuation '!H23</f>
        <v>661548.3030513383</v>
      </c>
      <c r="N23" s="739">
        <v>661548.3030513383</v>
      </c>
      <c r="O23" s="739">
        <f t="shared" si="2"/>
        <v>0</v>
      </c>
    </row>
    <row r="24" spans="1:15">
      <c r="A24" s="31" t="s">
        <v>397</v>
      </c>
      <c r="B24" s="741">
        <v>15</v>
      </c>
      <c r="C24" s="693">
        <f>VLOOKUP(B24,[65]New!$O$1:$AJ$37,5,0)</f>
        <v>57.498551812309145</v>
      </c>
      <c r="D24" s="1156">
        <f>VLOOKUP(B24,[65]New!$A$1:$AJ$37,20,0)</f>
        <v>41.398957304862584</v>
      </c>
      <c r="E24" s="1156">
        <f>'Multiplier Batch Mvnt'!B18</f>
        <v>232</v>
      </c>
      <c r="F24" s="734">
        <f t="shared" si="3"/>
        <v>9604.5580947281196</v>
      </c>
      <c r="G24" s="736">
        <f t="shared" si="1"/>
        <v>4.4928397181593587</v>
      </c>
      <c r="H24" s="751">
        <f>'Multiplier Pig Cost '!$AG$62</f>
        <v>43151.740083363475</v>
      </c>
      <c r="I24" s="755">
        <v>0</v>
      </c>
      <c r="J24" s="734">
        <v>0</v>
      </c>
      <c r="K24" s="736">
        <v>0</v>
      </c>
      <c r="L24" s="751">
        <v>0</v>
      </c>
      <c r="M24" s="739">
        <f>+H24+'Porta Valuation'!H24+'Richlands Valuation'!H24+'Villa Valuation'!H24+'Lionhead Ext. Valuation'!H24+'Lionhead Valuation'!H24+'Learig Valuation'!H24+'Grasmere Valuation '!H24</f>
        <v>744396.92180368281</v>
      </c>
      <c r="N24" s="739">
        <v>744396.92180368281</v>
      </c>
      <c r="O24" s="739">
        <f t="shared" si="2"/>
        <v>0</v>
      </c>
    </row>
    <row r="25" spans="1:15">
      <c r="A25" s="31"/>
      <c r="B25" s="741">
        <v>16</v>
      </c>
      <c r="C25" s="693">
        <f>VLOOKUP(B25,[65]New!$O$1:$AJ$37,5,0)</f>
        <v>66.322586991425908</v>
      </c>
      <c r="D25" s="1156">
        <f>VLOOKUP(B25,[65]New!$A$1:$AJ$37,20,0)</f>
        <v>49.078714373655167</v>
      </c>
      <c r="E25" s="1156">
        <f>'Multiplier Batch Mvnt'!B19</f>
        <v>224</v>
      </c>
      <c r="F25" s="734">
        <f>D25*E25</f>
        <v>10993.632019698758</v>
      </c>
      <c r="G25" s="736">
        <f>IFERROR(H25/F25,0)</f>
        <v>4.0185165046739293</v>
      </c>
      <c r="H25" s="751">
        <f>'Multiplier Pig Cost '!$AH$62</f>
        <v>44178.091717471245</v>
      </c>
      <c r="I25" s="755">
        <v>0</v>
      </c>
      <c r="J25" s="734">
        <v>0</v>
      </c>
      <c r="K25" s="736">
        <v>0</v>
      </c>
      <c r="L25" s="751">
        <v>0</v>
      </c>
      <c r="M25" s="739">
        <f>+H25+'Porta Valuation'!H25+'Richlands Valuation'!H25+'Villa Valuation'!H25+'Lionhead Ext. Valuation'!H25+'Lionhead Valuation'!H25+'Learig Valuation'!H25+'Grasmere Valuation '!H25</f>
        <v>889768.38410801662</v>
      </c>
      <c r="N25" s="739">
        <v>889768.38410801662</v>
      </c>
      <c r="O25" s="739">
        <f t="shared" si="2"/>
        <v>0</v>
      </c>
    </row>
    <row r="26" spans="1:15" s="1843" customFormat="1">
      <c r="A26" s="1840"/>
      <c r="B26" s="1841">
        <v>17</v>
      </c>
      <c r="C26" s="693">
        <f>VLOOKUP(B26,[65]New!$O$1:$AJ$37,5,0)</f>
        <v>75.14662217054267</v>
      </c>
      <c r="D26" s="1156">
        <f>VLOOKUP(B26,[65]New!$A$1:$AJ$37,20,0)</f>
        <v>55.608500406201571</v>
      </c>
      <c r="E26" s="1156">
        <f>'Multiplier Batch Mvnt'!B20</f>
        <v>226</v>
      </c>
      <c r="F26" s="1842">
        <f t="shared" si="3"/>
        <v>12567.521091801555</v>
      </c>
      <c r="G26" s="736">
        <f t="shared" si="1"/>
        <v>3.8629528897414884</v>
      </c>
      <c r="H26" s="751">
        <f>'Multiplier Pig Cost '!$AI$62</f>
        <v>48547.741918461921</v>
      </c>
      <c r="I26" s="788">
        <v>0</v>
      </c>
      <c r="J26" s="1842">
        <v>0</v>
      </c>
      <c r="K26" s="736">
        <v>0</v>
      </c>
      <c r="L26" s="751">
        <v>0</v>
      </c>
      <c r="M26" s="739">
        <f>+H26+'Porta Valuation'!H26+'Richlands Valuation'!H26+'Villa Valuation'!H26+'Lionhead Ext. Valuation'!H26+'Lionhead Valuation'!H26+'Learig Valuation'!H26+'Grasmere Valuation '!H26</f>
        <v>947677.5210534248</v>
      </c>
      <c r="N26" s="1843">
        <v>947677.5210534248</v>
      </c>
      <c r="O26" s="739">
        <f t="shared" si="2"/>
        <v>0</v>
      </c>
    </row>
    <row r="27" spans="1:15">
      <c r="A27" s="31"/>
      <c r="B27" s="741">
        <v>18</v>
      </c>
      <c r="C27" s="693">
        <f>VLOOKUP(B27,[65]New!$O$1:$AJ$37,5,0)</f>
        <v>86.784348533153249</v>
      </c>
      <c r="D27" s="1156">
        <f>VLOOKUP(B27,[65]New!$A$1:$AJ$37,20,0)</f>
        <v>65.956104885196467</v>
      </c>
      <c r="E27" s="1156">
        <f>'Multiplier Batch Mvnt'!B21</f>
        <v>231</v>
      </c>
      <c r="F27" s="734">
        <f t="shared" si="3"/>
        <v>15235.860228480384</v>
      </c>
      <c r="G27" s="1846">
        <f>+'[66]Selling Price Working'!$K$20</f>
        <v>2.5146001924607781</v>
      </c>
      <c r="H27" s="721">
        <f>G27*F27</f>
        <v>38312.097062842287</v>
      </c>
      <c r="I27" s="755">
        <v>0</v>
      </c>
      <c r="J27" s="734">
        <v>0</v>
      </c>
      <c r="K27" s="1846">
        <v>2.4750692634728475</v>
      </c>
      <c r="L27" s="721">
        <v>0</v>
      </c>
    </row>
    <row r="28" spans="1:15">
      <c r="A28" s="31"/>
      <c r="B28" s="741">
        <v>19</v>
      </c>
      <c r="C28" s="693">
        <f>VLOOKUP(B28,[65]New!$O$1:$AJ$37,5,0)</f>
        <v>100.39961758446233</v>
      </c>
      <c r="D28" s="1156">
        <f>VLOOKUP(B28,[65]New!$A$1:$AJ$37,20,0)</f>
        <v>76.303709364191377</v>
      </c>
      <c r="E28" s="1156">
        <f>'Multiplier Batch Mvnt'!B22</f>
        <v>237</v>
      </c>
      <c r="F28" s="734">
        <f t="shared" si="3"/>
        <v>18083.979119313357</v>
      </c>
      <c r="G28" s="1826">
        <f t="shared" ref="G28:G40" si="4">G27</f>
        <v>2.5146001924607781</v>
      </c>
      <c r="H28" s="721">
        <f t="shared" ref="H28:H40" si="5">G28*F28</f>
        <v>45473.977373882059</v>
      </c>
      <c r="I28" s="755">
        <v>0</v>
      </c>
      <c r="J28" s="734">
        <v>0</v>
      </c>
      <c r="K28" s="1826">
        <v>2.4750692634728475</v>
      </c>
      <c r="L28" s="721">
        <v>0</v>
      </c>
      <c r="M28" s="739">
        <f>SUM(M9:M26)</f>
        <v>8755427.0616744775</v>
      </c>
      <c r="N28" s="739">
        <f>+SUM('Triple C Pigs'!B63:AI63)</f>
        <v>8755427.0616744775</v>
      </c>
    </row>
    <row r="29" spans="1:15">
      <c r="A29" s="31"/>
      <c r="B29" s="741">
        <v>20</v>
      </c>
      <c r="C29" s="693">
        <f>VLOOKUP(B29,[65]New!$O$1:$AJ$37,5,0)</f>
        <v>114.01488663577145</v>
      </c>
      <c r="D29" s="1156">
        <f>VLOOKUP(B29,[65]New!$A$1:$AJ$37,20,0)</f>
        <v>86.651313843186301</v>
      </c>
      <c r="E29" s="1156">
        <f>'Multiplier Batch Mvnt'!B23</f>
        <v>195</v>
      </c>
      <c r="F29" s="734">
        <f t="shared" si="3"/>
        <v>16897.006199421328</v>
      </c>
      <c r="G29" s="1826">
        <f t="shared" si="4"/>
        <v>2.5146001924607781</v>
      </c>
      <c r="H29" s="721">
        <f t="shared" si="5"/>
        <v>42489.215041075833</v>
      </c>
      <c r="I29" s="755">
        <v>0</v>
      </c>
      <c r="J29" s="734">
        <v>0</v>
      </c>
      <c r="K29" s="1826">
        <v>2.4750692634728475</v>
      </c>
      <c r="L29" s="721">
        <v>0</v>
      </c>
      <c r="N29" s="739">
        <f>+N28-M28</f>
        <v>0</v>
      </c>
    </row>
    <row r="30" spans="1:15">
      <c r="A30" s="31"/>
      <c r="B30" s="764">
        <v>21</v>
      </c>
      <c r="C30" s="693">
        <f>VLOOKUP(B30,[65]New!$O$1:$AJ$37,5,0)</f>
        <v>120.25088772797412</v>
      </c>
      <c r="D30" s="1156">
        <f>VLOOKUP(B30,[65]New!$A$1:$AJ$37,20,0)</f>
        <v>91.390674673260335</v>
      </c>
      <c r="E30" s="1156">
        <f>'Multiplier Batch Mvnt'!B24</f>
        <v>207</v>
      </c>
      <c r="F30" s="734">
        <f t="shared" si="3"/>
        <v>18917.869657364889</v>
      </c>
      <c r="G30" s="1826">
        <f t="shared" si="4"/>
        <v>2.5146001924607781</v>
      </c>
      <c r="H30" s="721">
        <f t="shared" si="5"/>
        <v>47570.878681357666</v>
      </c>
      <c r="I30" s="755">
        <v>0</v>
      </c>
      <c r="J30" s="734">
        <v>0</v>
      </c>
      <c r="K30" s="1826">
        <v>2.4750692634728475</v>
      </c>
      <c r="L30" s="721">
        <v>0</v>
      </c>
    </row>
    <row r="31" spans="1:15">
      <c r="A31" s="31"/>
      <c r="B31" s="764">
        <v>22</v>
      </c>
      <c r="C31" s="693">
        <f>VLOOKUP(B31,[65]New!$O$1:$AJ$37,5,0)</f>
        <v>129.45192195301669</v>
      </c>
      <c r="D31" s="1156">
        <f>VLOOKUP(B31,[65]New!$A$1:$AJ$37,20,0)</f>
        <v>98.383460684292686</v>
      </c>
      <c r="E31" s="1156">
        <f>'Multiplier Batch Mvnt'!B25</f>
        <v>233</v>
      </c>
      <c r="F31" s="734">
        <f t="shared" si="3"/>
        <v>22923.346339440195</v>
      </c>
      <c r="G31" s="1826">
        <f t="shared" si="4"/>
        <v>2.5146001924607781</v>
      </c>
      <c r="H31" s="721">
        <f t="shared" si="5"/>
        <v>57643.051117001392</v>
      </c>
      <c r="I31" s="755">
        <v>0</v>
      </c>
      <c r="J31" s="734">
        <v>0</v>
      </c>
      <c r="K31" s="1826">
        <v>2.4750692634728475</v>
      </c>
      <c r="L31" s="721">
        <v>0</v>
      </c>
    </row>
    <row r="32" spans="1:15">
      <c r="A32" s="31"/>
      <c r="B32" s="764">
        <f>+B31+1</f>
        <v>23</v>
      </c>
      <c r="C32" s="693">
        <f>VLOOKUP(B32,[65]New!$O$1:$AJ$37,5,0)</f>
        <v>132.72288991237937</v>
      </c>
      <c r="D32" s="1156">
        <f>VLOOKUP(B32,[65]New!$A$1:$AJ$37,20,0)</f>
        <v>100.86939633340833</v>
      </c>
      <c r="E32" s="1156">
        <f>'Multiplier Batch Mvnt'!B26</f>
        <v>219</v>
      </c>
      <c r="F32" s="734">
        <f t="shared" si="3"/>
        <v>22090.397797016423</v>
      </c>
      <c r="G32" s="1826">
        <f t="shared" si="4"/>
        <v>2.5146001924607781</v>
      </c>
      <c r="H32" s="721">
        <f t="shared" si="5"/>
        <v>55548.518551912646</v>
      </c>
      <c r="I32" s="775">
        <v>0</v>
      </c>
      <c r="J32" s="734">
        <v>0</v>
      </c>
      <c r="K32" s="1826">
        <v>2.4750692634728475</v>
      </c>
      <c r="L32" s="721">
        <v>0</v>
      </c>
    </row>
    <row r="33" spans="1:25">
      <c r="A33" s="31"/>
      <c r="B33" s="764">
        <f>+B32+1</f>
        <v>24</v>
      </c>
      <c r="C33" s="693">
        <f>VLOOKUP(B33,[65]New!$O$1:$AJ$37,5,0)</f>
        <v>138.958891004582</v>
      </c>
      <c r="D33" s="1156">
        <f>VLOOKUP(B33,[65]New!$A$1:$AJ$37,20,0)</f>
        <v>105.60875716348232</v>
      </c>
      <c r="E33" s="1156">
        <f>'Multiplier Batch Mvnt'!B27</f>
        <v>0</v>
      </c>
      <c r="F33" s="734">
        <f t="shared" si="3"/>
        <v>0</v>
      </c>
      <c r="G33" s="1826">
        <f t="shared" si="4"/>
        <v>2.5146001924607781</v>
      </c>
      <c r="H33" s="721">
        <f t="shared" si="5"/>
        <v>0</v>
      </c>
      <c r="I33" s="775">
        <v>0</v>
      </c>
      <c r="J33" s="734">
        <v>0</v>
      </c>
      <c r="K33" s="1826">
        <v>2.4750692634728475</v>
      </c>
      <c r="L33" s="721">
        <v>0</v>
      </c>
    </row>
    <row r="34" spans="1:25">
      <c r="A34" s="31"/>
      <c r="B34" s="764">
        <v>25</v>
      </c>
      <c r="C34" s="693">
        <f>VLOOKUP(B34,[65]New!$O$1:$AJ$37,5,0)</f>
        <v>145.19489209678466</v>
      </c>
      <c r="D34" s="1156">
        <f>VLOOKUP(B34,[65]New!$A$1:$AJ$37,20,0)</f>
        <v>110.34811799355634</v>
      </c>
      <c r="E34" s="1156">
        <f>'Multiplier Batch Mvnt'!B28</f>
        <v>0</v>
      </c>
      <c r="F34" s="734">
        <f t="shared" si="3"/>
        <v>0</v>
      </c>
      <c r="G34" s="1826">
        <f t="shared" si="4"/>
        <v>2.5146001924607781</v>
      </c>
      <c r="H34" s="721">
        <f t="shared" si="5"/>
        <v>0</v>
      </c>
      <c r="I34" s="793">
        <v>0</v>
      </c>
      <c r="J34" s="734">
        <v>0</v>
      </c>
      <c r="K34" s="1826">
        <v>2.4750692634728475</v>
      </c>
      <c r="L34" s="721">
        <v>0</v>
      </c>
      <c r="M34" s="739">
        <f t="shared" ref="M34:M41" si="6">+H34-L34</f>
        <v>0</v>
      </c>
    </row>
    <row r="35" spans="1:25">
      <c r="A35" s="31"/>
      <c r="B35" s="764">
        <v>26</v>
      </c>
      <c r="C35" s="693">
        <f>VLOOKUP(B35,[65]New!$O$1:$AJ$37,5,0)</f>
        <v>151.43089318898728</v>
      </c>
      <c r="D35" s="1156">
        <f>VLOOKUP(B35,[65]New!$A$1:$AJ$37,20,0)</f>
        <v>115.08747882363033</v>
      </c>
      <c r="E35" s="1156">
        <f>'Multiplier Batch Mvnt'!B29</f>
        <v>0</v>
      </c>
      <c r="F35" s="734">
        <f t="shared" si="3"/>
        <v>0</v>
      </c>
      <c r="G35" s="1826">
        <f t="shared" si="4"/>
        <v>2.5146001924607781</v>
      </c>
      <c r="H35" s="721">
        <f t="shared" si="5"/>
        <v>0</v>
      </c>
      <c r="I35" s="793">
        <v>0</v>
      </c>
      <c r="J35" s="734">
        <v>0</v>
      </c>
      <c r="K35" s="1826">
        <v>2.4750692634728475</v>
      </c>
      <c r="L35" s="721">
        <v>0</v>
      </c>
      <c r="M35" s="739">
        <f t="shared" si="6"/>
        <v>0</v>
      </c>
    </row>
    <row r="36" spans="1:25">
      <c r="A36" s="31"/>
      <c r="B36" s="764">
        <v>27</v>
      </c>
      <c r="C36" s="693">
        <f>VLOOKUP(B36,[65]New!$O$1:$AJ$37,5,0)</f>
        <v>157.66689428118994</v>
      </c>
      <c r="D36" s="1156">
        <f>VLOOKUP(B36,[65]New!$A$1:$AJ$37,20,0)</f>
        <v>119.82683965370435</v>
      </c>
      <c r="E36" s="1156">
        <f>'Multiplier Batch Mvnt'!B30</f>
        <v>0</v>
      </c>
      <c r="F36" s="734">
        <f t="shared" si="3"/>
        <v>0</v>
      </c>
      <c r="G36" s="1826">
        <f t="shared" si="4"/>
        <v>2.5146001924607781</v>
      </c>
      <c r="H36" s="721">
        <f t="shared" si="5"/>
        <v>0</v>
      </c>
      <c r="I36" s="793">
        <v>0</v>
      </c>
      <c r="J36" s="734">
        <v>0</v>
      </c>
      <c r="K36" s="1826">
        <v>2.4750692634728475</v>
      </c>
      <c r="L36" s="721">
        <v>0</v>
      </c>
      <c r="M36" s="739">
        <f t="shared" si="6"/>
        <v>0</v>
      </c>
    </row>
    <row r="37" spans="1:25">
      <c r="A37" s="31"/>
      <c r="B37" s="720">
        <f>+B36+1</f>
        <v>28</v>
      </c>
      <c r="C37" s="693">
        <f>VLOOKUP(B37,[65]New!$O$1:$AJ$37,5,0)</f>
        <v>163.90289537339257</v>
      </c>
      <c r="D37" s="1156">
        <f>VLOOKUP(B37,[65]New!$A$1:$AJ$37,20,0)</f>
        <v>124.56620048377836</v>
      </c>
      <c r="E37" s="1156">
        <f>'Multiplier Batch Mvnt'!B31</f>
        <v>0</v>
      </c>
      <c r="F37" s="734">
        <f t="shared" si="3"/>
        <v>0</v>
      </c>
      <c r="G37" s="1826">
        <f t="shared" si="4"/>
        <v>2.5146001924607781</v>
      </c>
      <c r="H37" s="721">
        <f t="shared" si="5"/>
        <v>0</v>
      </c>
      <c r="I37" s="777">
        <v>0</v>
      </c>
      <c r="J37" s="734">
        <v>0</v>
      </c>
      <c r="K37" s="1826">
        <v>2.4750692634728475</v>
      </c>
      <c r="L37" s="721">
        <v>0</v>
      </c>
      <c r="M37" s="739">
        <f t="shared" si="6"/>
        <v>0</v>
      </c>
    </row>
    <row r="38" spans="1:25">
      <c r="A38" s="31"/>
      <c r="B38" s="720">
        <f>+B37+1</f>
        <v>29</v>
      </c>
      <c r="C38" s="693">
        <f>VLOOKUP(B38,[65]New!$O$1:$AJ$37,5,0)</f>
        <v>170.13889646559522</v>
      </c>
      <c r="D38" s="1156">
        <f>VLOOKUP(B38,[65]New!$A$1:$AJ$37,20,0)</f>
        <v>129.30556131385237</v>
      </c>
      <c r="E38" s="1156">
        <f>'Multiplier Batch Mvnt'!B32</f>
        <v>0</v>
      </c>
      <c r="F38" s="734">
        <f t="shared" si="3"/>
        <v>0</v>
      </c>
      <c r="G38" s="1826">
        <f t="shared" si="4"/>
        <v>2.5146001924607781</v>
      </c>
      <c r="H38" s="721">
        <f t="shared" si="5"/>
        <v>0</v>
      </c>
      <c r="I38" s="777">
        <v>0</v>
      </c>
      <c r="J38" s="734">
        <v>0</v>
      </c>
      <c r="K38" s="1826">
        <v>2.4750692634728475</v>
      </c>
      <c r="L38" s="721">
        <v>0</v>
      </c>
      <c r="M38" s="739">
        <f t="shared" si="6"/>
        <v>0</v>
      </c>
    </row>
    <row r="39" spans="1:25">
      <c r="A39" s="31"/>
      <c r="B39" s="720">
        <f>+B38+1</f>
        <v>30</v>
      </c>
      <c r="C39" s="693">
        <f>VLOOKUP(B39,[65]New!$O$1:$AJ$37,5,0)</f>
        <v>176.37489755779782</v>
      </c>
      <c r="D39" s="1156">
        <f>VLOOKUP(B39,[65]New!$A$1:$AJ$37,20,0)</f>
        <v>134.04492214392636</v>
      </c>
      <c r="E39" s="1156">
        <f>'Multiplier Batch Mvnt'!B33</f>
        <v>0</v>
      </c>
      <c r="F39" s="734">
        <f t="shared" si="3"/>
        <v>0</v>
      </c>
      <c r="G39" s="1826">
        <f t="shared" si="4"/>
        <v>2.5146001924607781</v>
      </c>
      <c r="H39" s="721">
        <f t="shared" si="5"/>
        <v>0</v>
      </c>
      <c r="I39" s="777">
        <v>0</v>
      </c>
      <c r="J39" s="734">
        <v>0</v>
      </c>
      <c r="K39" s="1826">
        <v>2.4750692634728475</v>
      </c>
      <c r="L39" s="721">
        <v>0</v>
      </c>
      <c r="M39" s="739">
        <f t="shared" si="6"/>
        <v>0</v>
      </c>
    </row>
    <row r="40" spans="1:25">
      <c r="A40" s="31"/>
      <c r="B40" s="720">
        <f>+B39+1</f>
        <v>31</v>
      </c>
      <c r="C40" s="693">
        <f>VLOOKUP(B40,[65]New!$O$1:$AJ$37,5,0)</f>
        <v>182.61089865000051</v>
      </c>
      <c r="D40" s="1156">
        <f>VLOOKUP(B40,[65]New!$A$1:$AJ$37,20,0)</f>
        <v>138.78428297400038</v>
      </c>
      <c r="E40" s="1156">
        <f>'Multiplier Batch Mvnt'!B34</f>
        <v>0</v>
      </c>
      <c r="F40" s="734">
        <f t="shared" si="3"/>
        <v>0</v>
      </c>
      <c r="G40" s="1826">
        <f t="shared" si="4"/>
        <v>2.5146001924607781</v>
      </c>
      <c r="H40" s="721">
        <f t="shared" si="5"/>
        <v>0</v>
      </c>
      <c r="I40" s="777">
        <v>0</v>
      </c>
      <c r="J40" s="734">
        <v>0</v>
      </c>
      <c r="K40" s="1826">
        <v>2.4750692634728475</v>
      </c>
      <c r="L40" s="721">
        <v>0</v>
      </c>
      <c r="M40" s="739">
        <f t="shared" si="6"/>
        <v>0</v>
      </c>
    </row>
    <row r="41" spans="1:25">
      <c r="A41" s="31"/>
      <c r="B41" s="764"/>
      <c r="C41" s="706"/>
      <c r="D41" s="1409"/>
      <c r="E41" s="777"/>
      <c r="F41" s="734"/>
      <c r="G41" s="736"/>
      <c r="H41" s="751">
        <f t="shared" ref="H41" si="7">F41*G41</f>
        <v>0</v>
      </c>
      <c r="I41" s="777"/>
      <c r="J41" s="734"/>
      <c r="K41" s="736"/>
      <c r="L41" s="751">
        <v>0</v>
      </c>
      <c r="M41" s="739">
        <f t="shared" si="6"/>
        <v>0</v>
      </c>
    </row>
    <row r="42" spans="1:25" s="31" customFormat="1">
      <c r="A42" s="700" t="s">
        <v>1731</v>
      </c>
      <c r="B42" s="766"/>
      <c r="C42" s="766">
        <f>+E42-D42</f>
        <v>-6604</v>
      </c>
      <c r="D42" s="715">
        <f>SUM('Summary Total Pigs'!AF108:AF110)</f>
        <v>11745</v>
      </c>
      <c r="E42" s="767">
        <f>SUM(E10:E41)</f>
        <v>5141</v>
      </c>
      <c r="F42" s="767">
        <f>SUM(F14:F41)</f>
        <v>181662.18060329955</v>
      </c>
      <c r="G42" s="767" t="s">
        <v>138</v>
      </c>
      <c r="H42" s="767">
        <f>SUM(H9:H41)</f>
        <v>814691.32084543072</v>
      </c>
      <c r="I42" s="767">
        <v>0</v>
      </c>
      <c r="J42" s="767">
        <v>0</v>
      </c>
      <c r="K42" s="767" t="s">
        <v>138</v>
      </c>
      <c r="L42" s="1223">
        <v>17736.91585901763</v>
      </c>
      <c r="M42" s="1222">
        <f>SUM(M9:M41)</f>
        <v>17510854.123348955</v>
      </c>
      <c r="O42" s="31">
        <f>+[57]Richlands!$H$37</f>
        <v>84292912.464359283</v>
      </c>
      <c r="P42" s="31">
        <f>+L42-O42</f>
        <v>-84275175.54850027</v>
      </c>
      <c r="Q42" s="31">
        <f>-'[68]total pig movement'!$D$74</f>
        <v>-21576.935251204439</v>
      </c>
      <c r="R42" s="31">
        <f>-'[68]total pig movement'!$B$77-'[68]total pig movement'!$B$78-'[68]total pig movement'!$B$79-'[68]total pig movement'!$B$80-'[68]total pig movement'!$B$81</f>
        <v>25519420.280135471</v>
      </c>
      <c r="S42" s="739">
        <f>SUM(O42:R42)</f>
        <v>25515580.260743279</v>
      </c>
      <c r="T42" s="739">
        <f>+'[68]total pig movement'!$C$82</f>
        <v>-13718482.820741579</v>
      </c>
      <c r="U42" s="739"/>
      <c r="V42" s="31">
        <f>+T42+T91</f>
        <v>-13540875.726555511</v>
      </c>
    </row>
    <row r="43" spans="1:25">
      <c r="A43" s="31"/>
      <c r="B43" s="741"/>
      <c r="C43" s="741"/>
      <c r="E43" s="769" t="s">
        <v>138</v>
      </c>
      <c r="F43" s="734"/>
      <c r="G43" s="736"/>
      <c r="H43" s="751"/>
      <c r="I43" s="769" t="s">
        <v>138</v>
      </c>
      <c r="J43" s="734"/>
      <c r="K43" s="736"/>
      <c r="L43" s="751"/>
      <c r="M43" s="739">
        <f t="shared" ref="M43:M91" si="8">+H43-L43</f>
        <v>0</v>
      </c>
    </row>
    <row r="44" spans="1:25">
      <c r="A44" s="2061">
        <v>44013</v>
      </c>
      <c r="B44" s="741"/>
      <c r="C44" s="741"/>
      <c r="E44" s="794">
        <f>'Multiplier Imported Valuation'!C9</f>
        <v>1</v>
      </c>
      <c r="F44" s="385"/>
      <c r="G44" s="1162"/>
      <c r="H44" s="756"/>
      <c r="I44" s="794">
        <v>6</v>
      </c>
      <c r="J44" s="734"/>
      <c r="K44" s="724"/>
      <c r="L44" s="751"/>
      <c r="M44" s="739">
        <f t="shared" si="8"/>
        <v>0</v>
      </c>
      <c r="O44" s="739">
        <f>+[57]Richlands!$H39</f>
        <v>44180.789189820294</v>
      </c>
      <c r="P44" s="739">
        <f>+L44-O44</f>
        <v>-44180.789189820294</v>
      </c>
      <c r="Y44" s="739">
        <f>76+8</f>
        <v>84</v>
      </c>
    </row>
    <row r="45" spans="1:25">
      <c r="A45" s="2061"/>
      <c r="B45" s="741"/>
      <c r="C45" s="741"/>
      <c r="E45" s="769"/>
      <c r="F45" s="385"/>
      <c r="G45" s="1162"/>
      <c r="H45" s="721"/>
      <c r="I45" s="769"/>
      <c r="J45" s="734"/>
      <c r="K45" s="724"/>
      <c r="L45" s="751"/>
      <c r="M45" s="739">
        <f t="shared" si="8"/>
        <v>0</v>
      </c>
      <c r="O45" s="739">
        <f>+[57]Richlands!$H40</f>
        <v>0</v>
      </c>
      <c r="P45" s="739">
        <f t="shared" ref="P45:P90" si="9">+L45-O45</f>
        <v>0</v>
      </c>
    </row>
    <row r="46" spans="1:25">
      <c r="A46" s="2061">
        <v>44166</v>
      </c>
      <c r="B46" s="741"/>
      <c r="C46" s="741"/>
      <c r="E46" s="769">
        <f>'Multiplier Imported Valuation'!G9</f>
        <v>0</v>
      </c>
      <c r="F46" s="385"/>
      <c r="G46" s="1162"/>
      <c r="H46" s="721"/>
      <c r="I46" s="769">
        <v>2</v>
      </c>
      <c r="J46" s="734"/>
      <c r="K46" s="724"/>
      <c r="L46" s="751"/>
    </row>
    <row r="47" spans="1:25">
      <c r="A47" s="2061"/>
      <c r="B47" s="741"/>
      <c r="C47" s="741"/>
      <c r="E47" s="769"/>
      <c r="F47" s="385"/>
      <c r="G47" s="1162"/>
      <c r="H47" s="721"/>
      <c r="I47" s="769"/>
      <c r="J47" s="734"/>
      <c r="K47" s="724"/>
      <c r="L47" s="751"/>
    </row>
    <row r="48" spans="1:25">
      <c r="A48" s="2061">
        <v>44326</v>
      </c>
      <c r="B48" s="741"/>
      <c r="C48" s="741"/>
      <c r="E48" s="769">
        <f>'Multiplier Imported Valuation'!K9</f>
        <v>0</v>
      </c>
      <c r="F48" s="385"/>
      <c r="G48" s="1162"/>
      <c r="H48" s="756"/>
      <c r="I48" s="769">
        <v>4</v>
      </c>
      <c r="J48" s="734"/>
      <c r="K48" s="724"/>
      <c r="L48" s="751"/>
      <c r="M48" s="739">
        <f t="shared" si="8"/>
        <v>0</v>
      </c>
      <c r="O48" s="739">
        <f>+[57]Richlands!$H41</f>
        <v>0</v>
      </c>
      <c r="P48" s="739">
        <f t="shared" si="9"/>
        <v>0</v>
      </c>
    </row>
    <row r="49" spans="1:27">
      <c r="A49" s="2061"/>
      <c r="B49" s="741"/>
      <c r="C49" s="741"/>
      <c r="E49" s="769"/>
      <c r="F49" s="385"/>
      <c r="G49" s="1162"/>
      <c r="H49" s="751"/>
      <c r="I49" s="769"/>
      <c r="J49" s="734"/>
      <c r="K49" s="724"/>
      <c r="L49" s="751"/>
      <c r="M49" s="739">
        <f t="shared" si="8"/>
        <v>0</v>
      </c>
      <c r="O49" s="739">
        <f>+[57]Richlands!$H42</f>
        <v>0</v>
      </c>
      <c r="P49" s="739">
        <f t="shared" si="9"/>
        <v>0</v>
      </c>
    </row>
    <row r="50" spans="1:27">
      <c r="A50" s="2061">
        <v>44470</v>
      </c>
      <c r="B50" s="741"/>
      <c r="C50" s="741"/>
      <c r="E50" s="769">
        <f>'Multiplier Imported Valuation'!O9</f>
        <v>2</v>
      </c>
      <c r="F50" s="385"/>
      <c r="G50" s="1162"/>
      <c r="H50" s="756"/>
      <c r="I50" s="769">
        <v>9</v>
      </c>
      <c r="J50" s="734"/>
      <c r="K50" s="724"/>
      <c r="L50" s="751"/>
      <c r="M50" s="739">
        <f t="shared" si="8"/>
        <v>0</v>
      </c>
      <c r="O50" s="739">
        <f>+[57]Richlands!$H43</f>
        <v>116941.77044090607</v>
      </c>
      <c r="P50" s="739">
        <f t="shared" si="9"/>
        <v>-116941.77044090607</v>
      </c>
      <c r="AA50" s="739">
        <v>137</v>
      </c>
    </row>
    <row r="51" spans="1:27">
      <c r="A51" s="2061"/>
      <c r="B51" s="741"/>
      <c r="C51" s="741"/>
      <c r="E51" s="769"/>
      <c r="F51" s="385"/>
      <c r="G51" s="1162"/>
      <c r="H51" s="751"/>
      <c r="I51" s="769"/>
      <c r="J51" s="734"/>
      <c r="K51" s="724"/>
      <c r="L51" s="751"/>
      <c r="M51" s="739">
        <f t="shared" si="8"/>
        <v>0</v>
      </c>
      <c r="O51" s="739">
        <f>+[57]Richlands!$H44</f>
        <v>0</v>
      </c>
      <c r="P51" s="739">
        <f t="shared" si="9"/>
        <v>0</v>
      </c>
      <c r="AA51" s="739">
        <v>-16</v>
      </c>
    </row>
    <row r="52" spans="1:27">
      <c r="A52" s="2061">
        <v>44646</v>
      </c>
      <c r="B52" s="741"/>
      <c r="C52" s="741"/>
      <c r="E52" s="769">
        <f>'Multiplier Imported Valuation'!S9</f>
        <v>2</v>
      </c>
      <c r="F52" s="385"/>
      <c r="G52" s="1162"/>
      <c r="H52" s="751"/>
      <c r="I52" s="769">
        <v>12</v>
      </c>
      <c r="J52" s="734"/>
      <c r="K52" s="724"/>
      <c r="L52" s="751"/>
    </row>
    <row r="53" spans="1:27">
      <c r="A53" s="2061"/>
      <c r="B53" s="741"/>
      <c r="C53" s="741"/>
      <c r="E53" s="769"/>
      <c r="F53" s="385"/>
      <c r="G53" s="1162"/>
      <c r="H53" s="751"/>
      <c r="I53" s="769"/>
      <c r="J53" s="734"/>
      <c r="K53" s="724"/>
      <c r="L53" s="751"/>
    </row>
    <row r="54" spans="1:27">
      <c r="A54" s="2061">
        <v>44768</v>
      </c>
      <c r="B54" s="741"/>
      <c r="C54" s="741"/>
      <c r="E54" s="769">
        <f>'Multiplier Imported Valuation'!W9</f>
        <v>3</v>
      </c>
      <c r="F54" s="385"/>
      <c r="G54" s="1162"/>
      <c r="H54" s="756"/>
      <c r="I54" s="769">
        <v>11</v>
      </c>
      <c r="J54" s="734"/>
      <c r="K54" s="724"/>
      <c r="L54" s="751"/>
      <c r="M54" s="739">
        <f t="shared" si="8"/>
        <v>0</v>
      </c>
      <c r="O54" s="739">
        <f>+[57]Richlands!$H45</f>
        <v>0</v>
      </c>
      <c r="P54" s="739">
        <f t="shared" si="9"/>
        <v>0</v>
      </c>
      <c r="AA54" s="739">
        <f>SUM(AA50:AA51)</f>
        <v>121</v>
      </c>
    </row>
    <row r="55" spans="1:27">
      <c r="A55" s="2061"/>
      <c r="B55" s="741"/>
      <c r="C55" s="741"/>
      <c r="E55" s="769"/>
      <c r="F55" s="385"/>
      <c r="G55" s="1162"/>
      <c r="H55" s="751"/>
      <c r="I55" s="769"/>
      <c r="J55" s="734"/>
      <c r="K55" s="724"/>
      <c r="L55" s="751"/>
      <c r="M55" s="739">
        <f t="shared" si="8"/>
        <v>0</v>
      </c>
      <c r="O55" s="739">
        <f>+[57]Richlands!$H46</f>
        <v>0</v>
      </c>
      <c r="P55" s="739">
        <f t="shared" si="9"/>
        <v>0</v>
      </c>
    </row>
    <row r="56" spans="1:27">
      <c r="A56" s="2061">
        <v>44887</v>
      </c>
      <c r="B56" s="741"/>
      <c r="C56" s="741"/>
      <c r="E56" s="769">
        <f>'Multiplier Imported Valuation'!AE9</f>
        <v>11</v>
      </c>
      <c r="F56" s="385"/>
      <c r="G56" s="1162"/>
      <c r="H56" s="756"/>
      <c r="I56" s="769">
        <v>16</v>
      </c>
      <c r="J56" s="734"/>
      <c r="K56" s="724"/>
      <c r="L56" s="751"/>
      <c r="M56" s="739">
        <f t="shared" si="8"/>
        <v>0</v>
      </c>
      <c r="O56" s="739">
        <f>+[57]Richlands!$H47</f>
        <v>65970.09699687174</v>
      </c>
      <c r="P56" s="739">
        <f t="shared" si="9"/>
        <v>-65970.09699687174</v>
      </c>
    </row>
    <row r="57" spans="1:27">
      <c r="A57" s="2061"/>
      <c r="B57" s="741"/>
      <c r="C57" s="741"/>
      <c r="E57" s="769"/>
      <c r="F57" s="385"/>
      <c r="G57" s="1162"/>
      <c r="H57" s="751"/>
      <c r="I57" s="769"/>
      <c r="J57" s="734"/>
      <c r="K57" s="724"/>
      <c r="L57" s="751"/>
      <c r="M57" s="739">
        <f t="shared" si="8"/>
        <v>0</v>
      </c>
      <c r="O57" s="739">
        <f>+[57]Richlands!$H48</f>
        <v>0</v>
      </c>
      <c r="P57" s="739">
        <f t="shared" si="9"/>
        <v>0</v>
      </c>
    </row>
    <row r="58" spans="1:27">
      <c r="A58" s="2061">
        <v>45017</v>
      </c>
      <c r="B58" s="741"/>
      <c r="C58" s="741"/>
      <c r="E58" s="769">
        <f>'Multiplier Imported Valuation'!AI9</f>
        <v>12</v>
      </c>
      <c r="F58" s="385"/>
      <c r="G58" s="1162"/>
      <c r="H58" s="756"/>
      <c r="I58" s="769">
        <v>22</v>
      </c>
      <c r="J58" s="734"/>
      <c r="K58" s="724"/>
      <c r="L58" s="751"/>
      <c r="M58" s="739">
        <f t="shared" si="8"/>
        <v>0</v>
      </c>
      <c r="O58" s="739">
        <f>+[57]Richlands!$H49</f>
        <v>186322.1372999858</v>
      </c>
      <c r="P58" s="739">
        <f t="shared" si="9"/>
        <v>-186322.1372999858</v>
      </c>
    </row>
    <row r="59" spans="1:27">
      <c r="A59" s="2061"/>
      <c r="B59" s="741"/>
      <c r="C59" s="741"/>
      <c r="E59" s="769"/>
      <c r="F59" s="385"/>
      <c r="G59" s="1162"/>
      <c r="H59" s="751"/>
      <c r="I59" s="769"/>
      <c r="J59" s="734"/>
      <c r="K59" s="724"/>
      <c r="L59" s="751"/>
      <c r="M59" s="739">
        <f t="shared" si="8"/>
        <v>0</v>
      </c>
      <c r="O59" s="739">
        <f>+[57]Richlands!$H50</f>
        <v>0</v>
      </c>
      <c r="P59" s="739">
        <f t="shared" si="9"/>
        <v>0</v>
      </c>
    </row>
    <row r="60" spans="1:27">
      <c r="A60" s="2061">
        <v>45170</v>
      </c>
      <c r="B60" s="741"/>
      <c r="C60" s="741"/>
      <c r="E60" s="769">
        <f>'Multiplier Imported Valuation'!AM9</f>
        <v>17</v>
      </c>
      <c r="F60" s="385"/>
      <c r="G60" s="1162"/>
      <c r="H60" s="756"/>
      <c r="I60" s="769">
        <v>19</v>
      </c>
      <c r="J60" s="734"/>
      <c r="K60" s="724"/>
      <c r="L60" s="751"/>
      <c r="M60" s="739">
        <f t="shared" si="8"/>
        <v>0</v>
      </c>
      <c r="O60" s="739">
        <f>+[57]Richlands!$H51</f>
        <v>148605.06966347649</v>
      </c>
      <c r="P60" s="739">
        <f t="shared" si="9"/>
        <v>-148605.06966347649</v>
      </c>
    </row>
    <row r="61" spans="1:27">
      <c r="A61" s="2061"/>
      <c r="B61" s="741"/>
      <c r="C61" s="741"/>
      <c r="E61" s="769"/>
      <c r="F61" s="385"/>
      <c r="G61" s="1162"/>
      <c r="H61" s="751"/>
      <c r="I61" s="769"/>
      <c r="J61" s="734"/>
      <c r="K61" s="724"/>
      <c r="L61" s="751"/>
      <c r="M61" s="739">
        <f t="shared" si="8"/>
        <v>0</v>
      </c>
      <c r="O61" s="739">
        <f>+[57]Richlands!$H52</f>
        <v>0</v>
      </c>
      <c r="P61" s="739">
        <f t="shared" si="9"/>
        <v>0</v>
      </c>
    </row>
    <row r="62" spans="1:27">
      <c r="A62" s="2061">
        <v>45328</v>
      </c>
      <c r="B62" s="741"/>
      <c r="C62" s="741"/>
      <c r="E62" s="769">
        <f>'Multiplier Imported Valuation'!AQ9</f>
        <v>17</v>
      </c>
      <c r="F62" s="385"/>
      <c r="G62" s="1162"/>
      <c r="H62" s="756"/>
      <c r="I62" s="769">
        <v>23</v>
      </c>
      <c r="J62" s="734"/>
      <c r="K62" s="724"/>
      <c r="L62" s="751"/>
      <c r="M62" s="739">
        <f t="shared" si="8"/>
        <v>0</v>
      </c>
      <c r="O62" s="739">
        <f>+[57]Richlands!$H53</f>
        <v>310363.84871103539</v>
      </c>
      <c r="P62" s="739">
        <f t="shared" si="9"/>
        <v>-310363.84871103539</v>
      </c>
    </row>
    <row r="63" spans="1:27">
      <c r="A63" s="2061"/>
      <c r="B63" s="741"/>
      <c r="C63" s="741"/>
      <c r="E63" s="769"/>
      <c r="F63" s="385"/>
      <c r="G63" s="1162"/>
      <c r="H63" s="751"/>
      <c r="I63" s="769"/>
      <c r="J63" s="734"/>
      <c r="K63" s="724"/>
      <c r="L63" s="751"/>
      <c r="M63" s="739">
        <f t="shared" si="8"/>
        <v>0</v>
      </c>
      <c r="O63" s="739">
        <f>+[57]Richlands!$H54</f>
        <v>0</v>
      </c>
      <c r="P63" s="739">
        <f t="shared" si="9"/>
        <v>0</v>
      </c>
    </row>
    <row r="64" spans="1:27">
      <c r="A64" s="2061">
        <v>45474</v>
      </c>
      <c r="B64" s="741"/>
      <c r="C64" s="741"/>
      <c r="E64" s="769">
        <f>'Multiplier Imported Valuation'!AU9</f>
        <v>22</v>
      </c>
      <c r="F64" s="385"/>
      <c r="G64" s="1162"/>
      <c r="H64" s="756"/>
      <c r="I64" s="769">
        <v>30</v>
      </c>
      <c r="J64" s="734"/>
      <c r="K64" s="724"/>
      <c r="L64" s="751"/>
      <c r="M64" s="739">
        <f t="shared" si="8"/>
        <v>0</v>
      </c>
      <c r="O64" s="739">
        <f>+[57]Richlands!$H55</f>
        <v>88044.104124356309</v>
      </c>
      <c r="P64" s="739">
        <f t="shared" si="9"/>
        <v>-88044.104124356309</v>
      </c>
    </row>
    <row r="65" spans="1:16">
      <c r="A65" s="31"/>
      <c r="B65" s="741"/>
      <c r="C65" s="741"/>
      <c r="E65" s="769"/>
      <c r="F65" s="385"/>
      <c r="G65" s="1162"/>
      <c r="H65" s="751"/>
      <c r="I65" s="769"/>
      <c r="J65" s="734"/>
      <c r="K65" s="724"/>
      <c r="L65" s="751"/>
      <c r="M65" s="739">
        <f t="shared" si="8"/>
        <v>0</v>
      </c>
      <c r="O65" s="739">
        <f>+[57]Richlands!$H56</f>
        <v>0</v>
      </c>
      <c r="P65" s="739">
        <f t="shared" si="9"/>
        <v>0</v>
      </c>
    </row>
    <row r="66" spans="1:16">
      <c r="A66" s="2061">
        <v>45627</v>
      </c>
      <c r="B66" s="741"/>
      <c r="C66" s="741"/>
      <c r="E66" s="769">
        <f>'Multiplier Imported Valuation'!AY9</f>
        <v>24</v>
      </c>
      <c r="F66" s="385"/>
      <c r="G66" s="1162"/>
      <c r="H66" s="756"/>
      <c r="I66" s="769">
        <v>33</v>
      </c>
      <c r="J66" s="734"/>
      <c r="K66" s="724"/>
      <c r="L66" s="751"/>
      <c r="M66" s="739">
        <f t="shared" si="8"/>
        <v>0</v>
      </c>
      <c r="O66" s="739">
        <f>+[57]Richlands!$H57</f>
        <v>221187.54201512461</v>
      </c>
      <c r="P66" s="739">
        <f t="shared" si="9"/>
        <v>-221187.54201512461</v>
      </c>
    </row>
    <row r="67" spans="1:16">
      <c r="A67" s="31"/>
      <c r="B67" s="741"/>
      <c r="C67" s="741"/>
      <c r="E67" s="769"/>
      <c r="F67" s="385"/>
      <c r="G67" s="1162"/>
      <c r="H67" s="751"/>
      <c r="I67" s="769"/>
      <c r="J67" s="734"/>
      <c r="K67" s="724"/>
      <c r="L67" s="751"/>
      <c r="M67" s="739">
        <f t="shared" si="8"/>
        <v>0</v>
      </c>
      <c r="O67" s="739">
        <f>+[57]Richlands!$H58</f>
        <v>0</v>
      </c>
      <c r="P67" s="739">
        <f t="shared" si="9"/>
        <v>0</v>
      </c>
    </row>
    <row r="68" spans="1:16">
      <c r="A68" s="2061">
        <v>45748</v>
      </c>
      <c r="B68" s="741"/>
      <c r="C68" s="741"/>
      <c r="E68" s="769">
        <f>'Multiplier Imported Valuation'!BC9</f>
        <v>44</v>
      </c>
      <c r="F68" s="385"/>
      <c r="G68" s="1162"/>
      <c r="H68" s="756"/>
      <c r="I68" s="769">
        <v>52</v>
      </c>
      <c r="J68" s="734"/>
      <c r="K68" s="724"/>
      <c r="L68" s="751"/>
      <c r="M68" s="739">
        <f t="shared" si="8"/>
        <v>0</v>
      </c>
      <c r="O68" s="739">
        <f>+[57]Richlands!$H59</f>
        <v>109464.10640986217</v>
      </c>
      <c r="P68" s="739">
        <f t="shared" si="9"/>
        <v>-109464.10640986217</v>
      </c>
    </row>
    <row r="69" spans="1:16">
      <c r="A69" s="31"/>
      <c r="B69" s="741"/>
      <c r="C69" s="741"/>
      <c r="E69" s="769"/>
      <c r="F69" s="385"/>
      <c r="G69" s="1162"/>
      <c r="H69" s="751"/>
      <c r="I69" s="769"/>
      <c r="J69" s="734"/>
      <c r="K69" s="724"/>
      <c r="L69" s="751"/>
      <c r="M69" s="739">
        <f t="shared" si="8"/>
        <v>0</v>
      </c>
      <c r="O69" s="739">
        <f>+[57]Richlands!$H60</f>
        <v>0</v>
      </c>
      <c r="P69" s="739">
        <f t="shared" si="9"/>
        <v>0</v>
      </c>
    </row>
    <row r="70" spans="1:16">
      <c r="A70" s="2061">
        <v>45901</v>
      </c>
      <c r="B70" s="741"/>
      <c r="C70" s="741"/>
      <c r="E70" s="769">
        <f>'Multiplier Imported Valuation'!BG9</f>
        <v>73</v>
      </c>
      <c r="F70" s="385"/>
      <c r="G70" s="1162"/>
      <c r="H70" s="756"/>
      <c r="I70" s="769"/>
      <c r="J70" s="734"/>
      <c r="K70" s="724"/>
      <c r="L70" s="751"/>
      <c r="M70" s="739">
        <f t="shared" si="8"/>
        <v>0</v>
      </c>
      <c r="O70" s="739">
        <f>+[57]Richlands!$H61</f>
        <v>44696.817000506489</v>
      </c>
      <c r="P70" s="739">
        <f t="shared" si="9"/>
        <v>-44696.817000506489</v>
      </c>
    </row>
    <row r="71" spans="1:16">
      <c r="A71" s="31"/>
      <c r="B71" s="741"/>
      <c r="C71" s="741"/>
      <c r="E71" s="769"/>
      <c r="F71" s="385"/>
      <c r="G71" s="1162"/>
      <c r="H71" s="751"/>
      <c r="I71" s="769"/>
      <c r="J71" s="734"/>
      <c r="K71" s="724"/>
      <c r="L71" s="751"/>
      <c r="M71" s="739">
        <f t="shared" si="8"/>
        <v>0</v>
      </c>
      <c r="O71" s="739">
        <f>+[57]Richlands!$H62</f>
        <v>0</v>
      </c>
      <c r="P71" s="739">
        <f t="shared" si="9"/>
        <v>0</v>
      </c>
    </row>
    <row r="72" spans="1:16">
      <c r="A72" s="2061">
        <v>46054</v>
      </c>
      <c r="B72" s="741"/>
      <c r="C72" s="741"/>
      <c r="E72" s="769">
        <f>'Multiplier Imported Valuation'!BK9</f>
        <v>62</v>
      </c>
      <c r="F72" s="385"/>
      <c r="G72" s="1162"/>
      <c r="H72" s="756"/>
      <c r="I72" s="769"/>
      <c r="J72" s="734"/>
      <c r="K72" s="724"/>
      <c r="L72" s="751"/>
      <c r="M72" s="739">
        <f t="shared" si="8"/>
        <v>0</v>
      </c>
      <c r="O72" s="739">
        <f>+[57]Richlands!$H63</f>
        <v>98869.963616033696</v>
      </c>
      <c r="P72" s="739">
        <f t="shared" si="9"/>
        <v>-98869.963616033696</v>
      </c>
    </row>
    <row r="73" spans="1:16">
      <c r="A73" s="31"/>
      <c r="B73" s="741"/>
      <c r="C73" s="741"/>
      <c r="E73" s="769"/>
      <c r="F73" s="385"/>
      <c r="G73" s="1162"/>
      <c r="H73" s="751"/>
      <c r="I73" s="769"/>
      <c r="J73" s="734"/>
      <c r="K73" s="724"/>
      <c r="L73" s="751"/>
      <c r="M73" s="739">
        <f t="shared" si="8"/>
        <v>0</v>
      </c>
      <c r="O73" s="739">
        <f>+[57]Richlands!$H64</f>
        <v>0</v>
      </c>
      <c r="P73" s="739">
        <f t="shared" si="9"/>
        <v>0</v>
      </c>
    </row>
    <row r="74" spans="1:16">
      <c r="A74" s="2061">
        <v>46204</v>
      </c>
      <c r="B74" s="741"/>
      <c r="C74" s="741"/>
      <c r="E74" s="769"/>
      <c r="F74" s="385"/>
      <c r="G74" s="1162"/>
      <c r="H74" s="756"/>
      <c r="I74" s="769"/>
      <c r="J74" s="734"/>
      <c r="K74" s="724"/>
      <c r="L74" s="751"/>
      <c r="M74" s="739">
        <f t="shared" si="8"/>
        <v>0</v>
      </c>
      <c r="O74" s="739">
        <f>+[57]Richlands!$H65</f>
        <v>130108.14052617335</v>
      </c>
      <c r="P74" s="739">
        <f t="shared" si="9"/>
        <v>-130108.14052617335</v>
      </c>
    </row>
    <row r="75" spans="1:16">
      <c r="A75" s="31"/>
      <c r="B75" s="741"/>
      <c r="C75" s="741"/>
      <c r="E75" s="769"/>
      <c r="F75" s="385"/>
      <c r="G75" s="1162"/>
      <c r="H75" s="751"/>
      <c r="I75" s="769"/>
      <c r="J75" s="734"/>
      <c r="K75" s="724"/>
      <c r="L75" s="751"/>
      <c r="M75" s="739">
        <f t="shared" si="8"/>
        <v>0</v>
      </c>
      <c r="O75" s="739">
        <f>+[57]Richlands!$H66</f>
        <v>0</v>
      </c>
      <c r="P75" s="739">
        <f t="shared" si="9"/>
        <v>0</v>
      </c>
    </row>
    <row r="76" spans="1:16">
      <c r="A76" s="31"/>
      <c r="B76" s="741"/>
      <c r="C76" s="741"/>
      <c r="E76" s="769"/>
      <c r="F76" s="385"/>
      <c r="G76" s="1162"/>
      <c r="H76" s="756"/>
      <c r="I76" s="769"/>
      <c r="J76" s="734"/>
      <c r="K76" s="724"/>
      <c r="L76" s="751"/>
      <c r="M76" s="739">
        <f t="shared" si="8"/>
        <v>0</v>
      </c>
      <c r="O76" s="739">
        <f>+[57]Richlands!$H67</f>
        <v>105259.85449060521</v>
      </c>
      <c r="P76" s="739">
        <f t="shared" si="9"/>
        <v>-105259.85449060521</v>
      </c>
    </row>
    <row r="77" spans="1:16">
      <c r="A77" s="31"/>
      <c r="B77" s="741"/>
      <c r="C77" s="741"/>
      <c r="E77" s="769"/>
      <c r="F77" s="385"/>
      <c r="G77" s="1162"/>
      <c r="H77" s="751"/>
      <c r="I77" s="769"/>
      <c r="J77" s="734"/>
      <c r="K77" s="724"/>
      <c r="L77" s="751"/>
      <c r="M77" s="739">
        <f t="shared" si="8"/>
        <v>0</v>
      </c>
      <c r="O77" s="739">
        <f>+[57]Richlands!$H68</f>
        <v>0</v>
      </c>
      <c r="P77" s="739">
        <f t="shared" si="9"/>
        <v>0</v>
      </c>
    </row>
    <row r="78" spans="1:16">
      <c r="A78" s="31"/>
      <c r="B78" s="741"/>
      <c r="C78" s="741"/>
      <c r="E78" s="769"/>
      <c r="F78" s="385"/>
      <c r="G78" s="1162"/>
      <c r="H78" s="756"/>
      <c r="I78" s="769"/>
      <c r="J78" s="734"/>
      <c r="K78" s="724"/>
      <c r="L78" s="751"/>
      <c r="M78" s="739">
        <f t="shared" si="8"/>
        <v>0</v>
      </c>
      <c r="O78" s="739">
        <f>+[57]Richlands!$H69</f>
        <v>235834.07967079704</v>
      </c>
      <c r="P78" s="739">
        <f t="shared" si="9"/>
        <v>-235834.07967079704</v>
      </c>
    </row>
    <row r="79" spans="1:16">
      <c r="A79" s="31"/>
      <c r="B79" s="741"/>
      <c r="C79" s="741"/>
      <c r="E79" s="769"/>
      <c r="F79" s="385"/>
      <c r="G79" s="1162"/>
      <c r="H79" s="751"/>
      <c r="I79" s="769"/>
      <c r="J79" s="734"/>
      <c r="K79" s="724"/>
      <c r="L79" s="751"/>
      <c r="O79" s="739">
        <f>+[57]Richlands!$H70</f>
        <v>0</v>
      </c>
      <c r="P79" s="739">
        <f t="shared" si="9"/>
        <v>0</v>
      </c>
    </row>
    <row r="80" spans="1:16">
      <c r="A80" s="31"/>
      <c r="B80" s="741"/>
      <c r="C80" s="741"/>
      <c r="E80" s="794"/>
      <c r="F80" s="385"/>
      <c r="G80" s="1162"/>
      <c r="H80" s="756"/>
      <c r="I80" s="769"/>
      <c r="J80" s="734"/>
      <c r="K80" s="724"/>
      <c r="L80" s="751"/>
      <c r="O80" s="739">
        <v>0</v>
      </c>
      <c r="P80" s="739">
        <f t="shared" si="9"/>
        <v>0</v>
      </c>
    </row>
    <row r="81" spans="1:26">
      <c r="A81" s="31"/>
      <c r="B81" s="741"/>
      <c r="C81" s="741"/>
      <c r="E81" s="769"/>
      <c r="F81" s="385"/>
      <c r="G81" s="1162"/>
      <c r="H81" s="751"/>
      <c r="I81" s="769"/>
      <c r="J81" s="734"/>
      <c r="K81" s="724"/>
      <c r="L81" s="751"/>
      <c r="O81" s="739">
        <f>+[57]Richlands!$H72</f>
        <v>0</v>
      </c>
      <c r="P81" s="739">
        <f t="shared" si="9"/>
        <v>0</v>
      </c>
    </row>
    <row r="82" spans="1:26">
      <c r="A82" s="31"/>
      <c r="B82" s="741"/>
      <c r="C82" s="741"/>
      <c r="E82" s="769"/>
      <c r="F82" s="385"/>
      <c r="G82" s="1162"/>
      <c r="H82" s="756"/>
      <c r="I82" s="769"/>
      <c r="J82" s="734"/>
      <c r="K82" s="724"/>
      <c r="L82" s="751"/>
    </row>
    <row r="83" spans="1:26">
      <c r="A83" s="31"/>
      <c r="B83" s="741"/>
      <c r="C83" s="741"/>
      <c r="E83" s="769"/>
      <c r="F83" s="385"/>
      <c r="G83" s="1162"/>
      <c r="H83" s="751"/>
      <c r="I83" s="769"/>
      <c r="J83" s="734"/>
      <c r="K83" s="724"/>
      <c r="L83" s="751"/>
    </row>
    <row r="84" spans="1:26">
      <c r="A84" s="31" t="s">
        <v>1746</v>
      </c>
      <c r="B84" s="1326">
        <f>E84-C84</f>
        <v>-290</v>
      </c>
      <c r="C84" s="741">
        <f>'Multiplier Imported Valuation'!BO9</f>
        <v>290</v>
      </c>
      <c r="D84" s="741">
        <f>+'Grasmere Valuation '!D94</f>
        <v>118</v>
      </c>
      <c r="E84" s="769"/>
      <c r="F84" s="385"/>
      <c r="G84" s="1162">
        <v>0</v>
      </c>
      <c r="H84" s="751">
        <v>0</v>
      </c>
      <c r="I84" s="769">
        <v>239</v>
      </c>
      <c r="J84" s="734"/>
      <c r="K84" s="724">
        <v>0</v>
      </c>
      <c r="L84" s="769">
        <f>SUM(L42:L83)</f>
        <v>17736.91585901763</v>
      </c>
      <c r="M84" s="739">
        <f t="shared" si="8"/>
        <v>-17736.91585901763</v>
      </c>
      <c r="P84" s="739">
        <f t="shared" si="9"/>
        <v>17736.91585901763</v>
      </c>
    </row>
    <row r="85" spans="1:26">
      <c r="A85" s="768" t="s">
        <v>1741</v>
      </c>
      <c r="B85" s="785"/>
      <c r="C85" s="785"/>
      <c r="D85" s="744"/>
      <c r="E85" s="795"/>
      <c r="F85" s="796"/>
      <c r="G85" s="1163"/>
      <c r="H85" s="747"/>
      <c r="I85" s="795"/>
      <c r="J85" s="744"/>
      <c r="K85" s="797"/>
      <c r="L85" s="747"/>
    </row>
    <row r="86" spans="1:26">
      <c r="A86" s="695" t="s">
        <v>50</v>
      </c>
      <c r="B86" s="764"/>
      <c r="C86" s="764"/>
      <c r="D86" s="734">
        <v>150</v>
      </c>
      <c r="E86" s="770">
        <f>+'Multiplier Batch Mvnt'!I6+E95</f>
        <v>122</v>
      </c>
      <c r="F86" s="734">
        <f>D86*E86</f>
        <v>18300</v>
      </c>
      <c r="G86" s="1053">
        <f>'Grasmere Valuation '!G41</f>
        <v>2.0499999999999998</v>
      </c>
      <c r="H86" s="751">
        <f>F86*G86</f>
        <v>37515</v>
      </c>
      <c r="I86" s="769">
        <v>0</v>
      </c>
      <c r="J86" s="734">
        <v>0</v>
      </c>
      <c r="K86" s="1053">
        <v>2.04</v>
      </c>
      <c r="L86" s="751">
        <v>0</v>
      </c>
      <c r="M86" s="739">
        <f t="shared" si="8"/>
        <v>37515</v>
      </c>
      <c r="O86" s="739">
        <f>+[57]Richlands!$H71</f>
        <v>4909383.3179176468</v>
      </c>
      <c r="P86" s="739">
        <f t="shared" si="9"/>
        <v>-4909383.3179176468</v>
      </c>
    </row>
    <row r="87" spans="1:26">
      <c r="A87" s="31"/>
      <c r="B87" s="741"/>
      <c r="C87" s="741"/>
      <c r="E87" s="769"/>
      <c r="F87" s="734"/>
      <c r="G87" s="1162">
        <v>0</v>
      </c>
      <c r="H87" s="751"/>
      <c r="I87" s="769"/>
      <c r="J87" s="734"/>
      <c r="K87" s="1053">
        <v>0</v>
      </c>
      <c r="L87" s="751"/>
      <c r="M87" s="739">
        <f t="shared" si="8"/>
        <v>0</v>
      </c>
      <c r="O87" s="739">
        <f>+[57]Richlands!$H72</f>
        <v>0</v>
      </c>
      <c r="P87" s="739">
        <f t="shared" si="9"/>
        <v>0</v>
      </c>
    </row>
    <row r="88" spans="1:26">
      <c r="A88" s="31" t="s">
        <v>55</v>
      </c>
      <c r="B88" s="741"/>
      <c r="C88" s="741"/>
      <c r="D88" s="739">
        <v>150</v>
      </c>
      <c r="E88" s="770">
        <f>+'Multiplier Batch Mvnt'!I5-C84-D84</f>
        <v>66</v>
      </c>
      <c r="F88" s="734">
        <f>D88*E88</f>
        <v>9900</v>
      </c>
      <c r="G88" s="1162">
        <f>+G86</f>
        <v>2.0499999999999998</v>
      </c>
      <c r="H88" s="751">
        <f>F88*G88</f>
        <v>20295</v>
      </c>
      <c r="I88" s="769">
        <v>47</v>
      </c>
      <c r="J88" s="734">
        <v>7050</v>
      </c>
      <c r="K88" s="1053">
        <v>2.04</v>
      </c>
      <c r="L88" s="751">
        <v>14382</v>
      </c>
      <c r="M88" s="739">
        <f t="shared" si="8"/>
        <v>5913</v>
      </c>
      <c r="O88" s="739">
        <f>+[57]Richlands!$H73</f>
        <v>8353332.8181657055</v>
      </c>
      <c r="P88" s="739">
        <f t="shared" si="9"/>
        <v>-8338950.8181657055</v>
      </c>
      <c r="Z88" s="739">
        <f>70+14</f>
        <v>84</v>
      </c>
    </row>
    <row r="89" spans="1:26">
      <c r="A89" s="31"/>
      <c r="B89" s="741"/>
      <c r="C89" s="741"/>
      <c r="E89" s="769">
        <v>0</v>
      </c>
      <c r="F89" s="734"/>
      <c r="G89" s="1162">
        <v>0</v>
      </c>
      <c r="H89" s="751"/>
      <c r="I89" s="769">
        <v>0</v>
      </c>
      <c r="J89" s="734"/>
      <c r="K89" s="1053">
        <v>0</v>
      </c>
      <c r="L89" s="751"/>
      <c r="M89" s="739">
        <f t="shared" si="8"/>
        <v>0</v>
      </c>
      <c r="O89" s="739">
        <f>+[57]Richlands!$H74</f>
        <v>0</v>
      </c>
      <c r="P89" s="739">
        <f t="shared" si="9"/>
        <v>0</v>
      </c>
    </row>
    <row r="90" spans="1:26">
      <c r="A90" s="31" t="s">
        <v>79</v>
      </c>
      <c r="B90" s="741"/>
      <c r="C90" s="741"/>
      <c r="D90" s="739">
        <f>+[56]Grasmere!D80</f>
        <v>150</v>
      </c>
      <c r="E90" s="2057">
        <f>+'Multiplier Batch Mvnt'!I4-'Grasmere Imported Boars'!D30+E96</f>
        <v>6</v>
      </c>
      <c r="F90" s="734">
        <f>+D90*E90</f>
        <v>900</v>
      </c>
      <c r="G90" s="1162">
        <f>+G88</f>
        <v>2.0499999999999998</v>
      </c>
      <c r="H90" s="751">
        <f>F90*G90</f>
        <v>1844.9999999999998</v>
      </c>
      <c r="I90" s="769">
        <v>3</v>
      </c>
      <c r="J90" s="734">
        <v>450</v>
      </c>
      <c r="K90" s="1053">
        <v>2.04</v>
      </c>
      <c r="L90" s="751">
        <v>918</v>
      </c>
      <c r="M90" s="739">
        <f t="shared" si="8"/>
        <v>926.99999999999977</v>
      </c>
      <c r="O90" s="739">
        <f>+[57]Richlands!$H75</f>
        <v>83090.180552046149</v>
      </c>
      <c r="P90" s="739">
        <f t="shared" si="9"/>
        <v>-82172.180552046149</v>
      </c>
    </row>
    <row r="91" spans="1:26">
      <c r="B91" s="741"/>
      <c r="C91" s="741"/>
      <c r="D91" s="739" t="s">
        <v>138</v>
      </c>
      <c r="E91" s="769"/>
      <c r="F91" s="734"/>
      <c r="G91" s="736"/>
      <c r="H91" s="751"/>
      <c r="I91" s="769"/>
      <c r="J91" s="734"/>
      <c r="K91" s="736"/>
      <c r="L91" s="751"/>
      <c r="M91" s="739">
        <f t="shared" si="8"/>
        <v>0</v>
      </c>
      <c r="O91" s="739">
        <f>+[57]Richlands!$H76</f>
        <v>0</v>
      </c>
      <c r="R91" s="739">
        <f>-'[68]total pig movement'!$I$77-'[68]total pig movement'!$I$78-'[68]total pig movement'!$I$83</f>
        <v>177607.09418606825</v>
      </c>
      <c r="T91" s="739">
        <f>SUM(O91:S91)</f>
        <v>177607.09418606825</v>
      </c>
      <c r="U91" s="739">
        <f>+'[68]total pig movement'!$H$82</f>
        <v>1128701.8974278742</v>
      </c>
      <c r="V91" s="739">
        <f>+T91-U91</f>
        <v>-951094.80324180587</v>
      </c>
    </row>
    <row r="92" spans="1:26" ht="13.9" thickBot="1">
      <c r="B92" s="741" t="s">
        <v>138</v>
      </c>
      <c r="C92" s="741"/>
      <c r="E92" s="783">
        <f>SUM(E42:E91)</f>
        <v>5625</v>
      </c>
      <c r="F92" s="783">
        <f>SUM(F42:F91)</f>
        <v>210762.18060329955</v>
      </c>
      <c r="G92" s="736"/>
      <c r="H92" s="727">
        <f>SUM(H90,H86:H88,H9:H40)</f>
        <v>874346.32084543048</v>
      </c>
      <c r="I92" s="772">
        <f>SUM(I84:I90)</f>
        <v>289</v>
      </c>
      <c r="J92" s="734">
        <f>SUM(J42:J91)</f>
        <v>7500</v>
      </c>
      <c r="K92" s="736"/>
      <c r="L92" s="772">
        <f>SUM(L84:L90)</f>
        <v>33036.91585901763</v>
      </c>
      <c r="M92" s="739">
        <f>SUM(M44:M91)</f>
        <v>26618.08414098237</v>
      </c>
    </row>
    <row r="93" spans="1:26" ht="13.9" thickTop="1">
      <c r="B93" s="741"/>
      <c r="C93" s="741"/>
      <c r="E93" s="769">
        <f>'Summary Total Pigs'!AE171</f>
        <v>5732</v>
      </c>
      <c r="F93" s="734" t="s">
        <v>138</v>
      </c>
      <c r="G93" s="736"/>
      <c r="H93" s="751" t="s">
        <v>138</v>
      </c>
      <c r="I93" s="750">
        <f>'[69]Multiplier Valuation'!$E$92</f>
        <v>289</v>
      </c>
      <c r="J93" s="734"/>
      <c r="K93" s="736"/>
      <c r="L93" s="750">
        <f>'[69]Multiplier Valuation'!$H$92</f>
        <v>33036.91585901763</v>
      </c>
      <c r="M93" s="739">
        <v>0</v>
      </c>
    </row>
    <row r="94" spans="1:26">
      <c r="E94" s="798">
        <f>+E92-E93</f>
        <v>-107</v>
      </c>
      <c r="F94" s="731" t="s">
        <v>1753</v>
      </c>
      <c r="G94" s="760"/>
      <c r="H94" s="761" t="s">
        <v>138</v>
      </c>
      <c r="I94" s="1224">
        <f>+I92-I93</f>
        <v>0</v>
      </c>
      <c r="J94" s="759"/>
      <c r="K94" s="759"/>
      <c r="L94" s="784">
        <f>+L92-L93</f>
        <v>0</v>
      </c>
      <c r="M94" s="739" t="s">
        <v>207</v>
      </c>
    </row>
    <row r="95" spans="1:26">
      <c r="C95" s="740" t="s">
        <v>1754</v>
      </c>
      <c r="D95" s="739" t="s">
        <v>1755</v>
      </c>
      <c r="E95" s="382">
        <f>+'Summary Total Pigs'!AF130-'Quarantine Sows'!A89</f>
        <v>11</v>
      </c>
      <c r="F95" s="385"/>
      <c r="G95" s="386"/>
      <c r="H95" s="734"/>
      <c r="I95" s="765"/>
      <c r="J95" s="734"/>
      <c r="K95" s="734"/>
      <c r="L95" s="734"/>
      <c r="M95" s="739">
        <f>+H95-L95</f>
        <v>0</v>
      </c>
    </row>
    <row r="96" spans="1:26">
      <c r="C96" s="740" t="s">
        <v>138</v>
      </c>
      <c r="D96" s="739" t="s">
        <v>1756</v>
      </c>
      <c r="E96" s="382">
        <f>+'Summary Total Pigs'!AF132-'Quarantine Boars'!B11</f>
        <v>1</v>
      </c>
      <c r="F96" s="385"/>
      <c r="G96" s="386"/>
      <c r="H96" s="734"/>
      <c r="I96" s="765"/>
      <c r="J96" s="734"/>
      <c r="K96" s="734"/>
      <c r="L96" s="734"/>
    </row>
    <row r="97" spans="3:31">
      <c r="C97" s="740" t="s">
        <v>138</v>
      </c>
      <c r="D97" s="739" t="s">
        <v>138</v>
      </c>
      <c r="E97" s="382" t="s">
        <v>138</v>
      </c>
      <c r="F97" s="385"/>
      <c r="G97" s="386"/>
      <c r="H97" s="734">
        <f>SUM(H44:H84)</f>
        <v>0</v>
      </c>
      <c r="I97" s="765"/>
      <c r="J97" s="1225">
        <f>+L97-H97</f>
        <v>17736.91585901763</v>
      </c>
      <c r="K97" s="734"/>
      <c r="L97" s="734">
        <f>SUM(L44:L84)</f>
        <v>17736.91585901763</v>
      </c>
      <c r="M97" s="739">
        <f>SUM(M44:M78)</f>
        <v>0</v>
      </c>
    </row>
    <row r="98" spans="3:31">
      <c r="C98" s="740" t="s">
        <v>138</v>
      </c>
      <c r="E98" s="382"/>
      <c r="F98" s="385"/>
      <c r="G98" s="386"/>
      <c r="H98" s="734"/>
      <c r="I98" s="765"/>
      <c r="J98" s="734"/>
      <c r="K98" s="734"/>
      <c r="L98" s="734"/>
    </row>
    <row r="99" spans="3:31">
      <c r="C99" s="740" t="s">
        <v>1717</v>
      </c>
      <c r="D99" s="739" t="s">
        <v>1739</v>
      </c>
      <c r="E99" s="1237">
        <f>+E42</f>
        <v>5141</v>
      </c>
      <c r="F99" s="385">
        <f>+'Summary Total Pigs'!AF108+'Summary Total Pigs'!AF109+'Summary Total Pigs'!AF110</f>
        <v>11745</v>
      </c>
      <c r="G99" s="386">
        <f t="shared" ref="G99:G104" si="10">+E99-F99</f>
        <v>-6604</v>
      </c>
      <c r="H99" s="1237">
        <f>+H42</f>
        <v>814691.32084543072</v>
      </c>
      <c r="I99" s="799"/>
      <c r="J99" s="734"/>
      <c r="K99" s="734"/>
      <c r="L99" s="734"/>
      <c r="M99" s="739">
        <f>+L97-H97</f>
        <v>17736.91585901763</v>
      </c>
    </row>
    <row r="100" spans="3:31">
      <c r="C100" s="740" t="s">
        <v>1737</v>
      </c>
      <c r="D100" s="739" t="s">
        <v>1748</v>
      </c>
      <c r="E100" s="1237">
        <f>+E44+E50+E56+E60+E64+E68+E74+E78+E80+E82</f>
        <v>97</v>
      </c>
      <c r="F100" s="385">
        <f>+'Richlands Imported Valuation'!AP8</f>
        <v>0</v>
      </c>
      <c r="G100" s="386">
        <f t="shared" si="10"/>
        <v>97</v>
      </c>
      <c r="H100" s="1237">
        <f>+H44+H50+H56+H60+H64+H68+H74+H78+H80+H82</f>
        <v>0</v>
      </c>
      <c r="I100" s="799"/>
      <c r="J100" s="734"/>
      <c r="K100" s="734"/>
      <c r="L100" s="734"/>
    </row>
    <row r="101" spans="3:31">
      <c r="D101" s="739" t="s">
        <v>1598</v>
      </c>
      <c r="E101" s="1237">
        <f>+E48+E54+E58+E62+E66+E70+E72+E76</f>
        <v>191</v>
      </c>
      <c r="F101" s="385">
        <f>+'Richlands Imported Valuation'!AP20</f>
        <v>0</v>
      </c>
      <c r="G101" s="386">
        <f t="shared" si="10"/>
        <v>191</v>
      </c>
      <c r="H101" s="1237">
        <f>+H48+H54+H58+H62+H66+H70+H72+H76</f>
        <v>0</v>
      </c>
      <c r="I101" s="799"/>
      <c r="J101" s="734"/>
      <c r="K101" s="734"/>
      <c r="L101" s="734"/>
      <c r="N101" s="739">
        <f>22+176+7</f>
        <v>205</v>
      </c>
    </row>
    <row r="102" spans="3:31">
      <c r="D102" s="739" t="s">
        <v>304</v>
      </c>
      <c r="E102" s="1237">
        <f>+E86+E88</f>
        <v>188</v>
      </c>
      <c r="F102" s="385">
        <f>+'Summary Total Pigs'!AF112-'Richlands Imported Valuation'!AP8-'Richlands Imported Valuation'!AP20+'Summary Total Pigs'!AF111</f>
        <v>1260</v>
      </c>
      <c r="G102" s="386">
        <f t="shared" si="10"/>
        <v>-1072</v>
      </c>
      <c r="H102" s="1237">
        <f>+H86+H88</f>
        <v>57810</v>
      </c>
      <c r="I102" s="799"/>
      <c r="J102" s="385"/>
      <c r="K102" s="734"/>
      <c r="L102" s="734"/>
      <c r="M102" s="739">
        <f>+L102-J102</f>
        <v>0</v>
      </c>
    </row>
    <row r="103" spans="3:31">
      <c r="D103" s="739" t="s">
        <v>79</v>
      </c>
      <c r="E103" s="1237">
        <f>+E90</f>
        <v>6</v>
      </c>
      <c r="F103" s="385">
        <f>+'Richlands Batch Mvnt'!J4-'Richlands Imported Boars'!F12</f>
        <v>8</v>
      </c>
      <c r="G103" s="386">
        <f t="shared" si="10"/>
        <v>-2</v>
      </c>
      <c r="H103" s="1237">
        <f>+H90</f>
        <v>1844.9999999999998</v>
      </c>
      <c r="I103" s="799"/>
      <c r="J103" s="734"/>
      <c r="K103" s="734"/>
      <c r="L103" s="734"/>
    </row>
    <row r="104" spans="3:31" s="31" customFormat="1">
      <c r="C104" s="743"/>
      <c r="E104" s="61">
        <f>SUM(E99:E103)</f>
        <v>5623</v>
      </c>
      <c r="F104" s="61">
        <f>SUM(F99:F103)</f>
        <v>13013</v>
      </c>
      <c r="G104" s="1236">
        <f t="shared" si="10"/>
        <v>-7390</v>
      </c>
      <c r="H104" s="695">
        <f>SUM(H99:H103)</f>
        <v>874346.32084543072</v>
      </c>
      <c r="I104" s="61"/>
      <c r="J104" s="695"/>
      <c r="K104" s="695"/>
      <c r="L104" s="695"/>
    </row>
    <row r="105" spans="3:31">
      <c r="E105" s="802">
        <f>+E92</f>
        <v>5625</v>
      </c>
      <c r="F105" s="801">
        <f>+'Summary Total Pigs'!AF114</f>
        <v>13017</v>
      </c>
      <c r="G105" s="802" t="s">
        <v>138</v>
      </c>
      <c r="H105" s="801">
        <f>+H92</f>
        <v>874346.32084543048</v>
      </c>
      <c r="I105" s="742">
        <v>0</v>
      </c>
      <c r="U105" s="739">
        <f>+L105-T105</f>
        <v>0</v>
      </c>
      <c r="AE105" s="739">
        <v>43</v>
      </c>
    </row>
    <row r="106" spans="3:31">
      <c r="D106" s="740"/>
      <c r="E106" s="741">
        <f>+E104-E105</f>
        <v>-2</v>
      </c>
      <c r="F106" s="739">
        <f>+F104-F105</f>
        <v>-4</v>
      </c>
      <c r="H106" s="739">
        <f>+H104-H105</f>
        <v>0</v>
      </c>
      <c r="U106" s="739">
        <f>+L106-T106</f>
        <v>0</v>
      </c>
      <c r="AE106" s="739">
        <v>41</v>
      </c>
    </row>
    <row r="107" spans="3:31">
      <c r="D107" s="740"/>
    </row>
    <row r="108" spans="3:31">
      <c r="D108" s="740"/>
    </row>
    <row r="112" spans="3:31">
      <c r="G112" s="739"/>
    </row>
    <row r="114" spans="3:9">
      <c r="C114" s="739"/>
    </row>
    <row r="115" spans="3:9">
      <c r="C115" s="739"/>
    </row>
    <row r="116" spans="3:9">
      <c r="C116" s="739"/>
      <c r="I116" s="741"/>
    </row>
    <row r="117" spans="3:9">
      <c r="C117" s="739"/>
    </row>
    <row r="121" spans="3:9">
      <c r="C121" s="739"/>
    </row>
    <row r="122" spans="3:9">
      <c r="C122" s="739"/>
    </row>
    <row r="123" spans="3:9">
      <c r="C123" s="739"/>
    </row>
    <row r="124" spans="3:9">
      <c r="C124" s="739"/>
    </row>
    <row r="125" spans="3:9">
      <c r="C125" s="739"/>
    </row>
    <row r="126" spans="3:9">
      <c r="C126" s="739"/>
    </row>
    <row r="127" spans="3:9">
      <c r="C127" s="739"/>
    </row>
    <row r="128" spans="3:9">
      <c r="C128" s="739"/>
    </row>
    <row r="129" spans="3:3">
      <c r="C129" s="739"/>
    </row>
    <row r="130" spans="3:3">
      <c r="C130" s="739"/>
    </row>
    <row r="131" spans="3:3">
      <c r="C131" s="739"/>
    </row>
    <row r="132" spans="3:3">
      <c r="C132" s="739"/>
    </row>
  </sheetData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2CC6-1A43-4940-8C5E-1A4F82558D66}">
  <sheetPr>
    <tabColor theme="3" tint="0.39997558519241921"/>
    <pageSetUpPr fitToPage="1"/>
  </sheetPr>
  <dimension ref="A1:AA226"/>
  <sheetViews>
    <sheetView view="pageBreakPreview" zoomScaleNormal="100" zoomScaleSheetLayoutView="100" workbookViewId="0">
      <pane xSplit="2" ySplit="8" topLeftCell="D10" activePane="bottomRight" state="frozen"/>
      <selection pane="bottomRight" activeCell="E10" sqref="E10:F44"/>
      <selection pane="bottomLeft" activeCell="A9" sqref="A9"/>
      <selection pane="topRight" activeCell="C1" sqref="C1"/>
    </sheetView>
  </sheetViews>
  <sheetFormatPr defaultColWidth="9.140625" defaultRowHeight="13.15"/>
  <cols>
    <col min="1" max="1" width="12.5703125" style="23" customWidth="1"/>
    <col min="2" max="2" width="12.85546875" style="23" bestFit="1" customWidth="1"/>
    <col min="3" max="3" width="16.5703125" style="90" bestFit="1" customWidth="1"/>
    <col min="4" max="4" width="15" style="23" bestFit="1" customWidth="1"/>
    <col min="5" max="5" width="17.42578125" style="23" customWidth="1"/>
    <col min="6" max="6" width="13.42578125" style="23" bestFit="1" customWidth="1"/>
    <col min="7" max="7" width="15" style="90" bestFit="1" customWidth="1"/>
    <col min="8" max="8" width="20.42578125" style="23" customWidth="1"/>
    <col min="9" max="9" width="17.7109375" style="23" customWidth="1"/>
    <col min="10" max="10" width="16.7109375" style="23" customWidth="1"/>
    <col min="11" max="11" width="15.7109375" style="23" customWidth="1"/>
    <col min="12" max="13" width="16.5703125" style="23" customWidth="1"/>
    <col min="14" max="14" width="15.7109375" style="23" customWidth="1"/>
    <col min="15" max="15" width="14.7109375" style="23" customWidth="1"/>
    <col min="16" max="16" width="16.7109375" style="23" bestFit="1" customWidth="1"/>
    <col min="17" max="17" width="14" style="23" hidden="1" customWidth="1"/>
    <col min="18" max="18" width="11.85546875" style="23" hidden="1" customWidth="1"/>
    <col min="19" max="19" width="14" style="23" bestFit="1" customWidth="1"/>
    <col min="20" max="20" width="10.28515625" style="23" bestFit="1" customWidth="1"/>
    <col min="21" max="21" width="14" style="23" customWidth="1"/>
    <col min="22" max="22" width="10.28515625" style="23" customWidth="1"/>
    <col min="23" max="25" width="14.5703125" style="23" bestFit="1" customWidth="1"/>
    <col min="26" max="28" width="14" style="23" bestFit="1" customWidth="1"/>
    <col min="29" max="29" width="13.5703125" style="23" bestFit="1" customWidth="1"/>
    <col min="30" max="16384" width="9.140625" style="23"/>
  </cols>
  <sheetData>
    <row r="1" spans="1:18">
      <c r="A1" s="31" t="s">
        <v>82</v>
      </c>
    </row>
    <row r="2" spans="1:18">
      <c r="H2" s="675">
        <f>+'Summary Total Pigs'!C3</f>
        <v>46226</v>
      </c>
      <c r="I2" s="23" t="s">
        <v>138</v>
      </c>
    </row>
    <row r="3" spans="1:18">
      <c r="A3" s="31" t="s">
        <v>1654</v>
      </c>
      <c r="H3" s="23" t="s">
        <v>138</v>
      </c>
    </row>
    <row r="4" spans="1:18">
      <c r="H4" s="31" t="s">
        <v>1655</v>
      </c>
    </row>
    <row r="5" spans="1:18">
      <c r="A5" s="686" t="s">
        <v>127</v>
      </c>
      <c r="B5" s="687"/>
      <c r="C5" s="688"/>
      <c r="D5" s="689"/>
      <c r="E5" s="690"/>
      <c r="F5" s="690">
        <f>+'Summary Total Pigs'!C3</f>
        <v>46226</v>
      </c>
      <c r="G5" s="688"/>
      <c r="H5" s="689"/>
      <c r="I5" s="691"/>
      <c r="J5" s="690">
        <v>45870</v>
      </c>
      <c r="K5" s="687"/>
      <c r="L5" s="689"/>
      <c r="M5" s="42"/>
    </row>
    <row r="6" spans="1:18">
      <c r="A6" s="692"/>
      <c r="B6" s="42"/>
      <c r="C6" s="693"/>
      <c r="D6" s="625"/>
      <c r="E6" s="42"/>
      <c r="F6" s="42"/>
      <c r="G6" s="693"/>
      <c r="H6" s="625"/>
      <c r="I6" s="692"/>
      <c r="J6" s="42"/>
      <c r="K6" s="42"/>
      <c r="L6" s="625"/>
      <c r="M6" s="42"/>
    </row>
    <row r="7" spans="1:18">
      <c r="A7" s="694" t="s">
        <v>1656</v>
      </c>
      <c r="B7" s="695" t="s">
        <v>1657</v>
      </c>
      <c r="C7" s="696" t="s">
        <v>1658</v>
      </c>
      <c r="D7" s="697" t="s">
        <v>1659</v>
      </c>
      <c r="E7" s="695" t="s">
        <v>1660</v>
      </c>
      <c r="F7" s="695" t="s">
        <v>1661</v>
      </c>
      <c r="G7" s="696" t="s">
        <v>1662</v>
      </c>
      <c r="H7" s="697" t="s">
        <v>1663</v>
      </c>
      <c r="I7" s="698" t="s">
        <v>1660</v>
      </c>
      <c r="J7" s="695" t="s">
        <v>1661</v>
      </c>
      <c r="K7" s="696" t="s">
        <v>1662</v>
      </c>
      <c r="L7" s="697" t="s">
        <v>1663</v>
      </c>
      <c r="M7" s="695"/>
    </row>
    <row r="8" spans="1:18">
      <c r="A8" s="699"/>
      <c r="B8" s="700" t="s">
        <v>1664</v>
      </c>
      <c r="C8" s="701" t="s">
        <v>1665</v>
      </c>
      <c r="D8" s="702" t="s">
        <v>181</v>
      </c>
      <c r="E8" s="700" t="s">
        <v>1666</v>
      </c>
      <c r="F8" s="700"/>
      <c r="G8" s="701" t="s">
        <v>1667</v>
      </c>
      <c r="H8" s="702"/>
      <c r="I8" s="703" t="s">
        <v>1666</v>
      </c>
      <c r="J8" s="700"/>
      <c r="K8" s="701" t="s">
        <v>1668</v>
      </c>
      <c r="L8" s="702"/>
      <c r="M8" s="695"/>
    </row>
    <row r="9" spans="1:18">
      <c r="A9" s="695" t="s">
        <v>179</v>
      </c>
      <c r="B9" s="42"/>
      <c r="C9" s="693"/>
      <c r="D9" s="689"/>
      <c r="E9" s="691"/>
      <c r="F9" s="687"/>
      <c r="G9" s="688"/>
      <c r="H9" s="1151">
        <f>SUM('Grasmere Pig Cost'!B62:R62)</f>
        <v>435825.55067264562</v>
      </c>
      <c r="I9" s="42"/>
      <c r="J9" s="42"/>
      <c r="K9" s="693"/>
      <c r="L9" s="704">
        <v>160902.86104939246</v>
      </c>
      <c r="M9" s="705">
        <f>+H9-L9</f>
        <v>274922.68962325319</v>
      </c>
      <c r="N9" s="23">
        <f>+H9-L9</f>
        <v>274922.68962325319</v>
      </c>
      <c r="O9" s="23">
        <f>+H9-L9</f>
        <v>274922.68962325319</v>
      </c>
      <c r="Q9" s="23">
        <f>+[64]Grasmere!$H9</f>
        <v>3721830.2386782886</v>
      </c>
      <c r="R9" s="23">
        <f>+L9-Q9</f>
        <v>-3560927.3776288964</v>
      </c>
    </row>
    <row r="10" spans="1:18">
      <c r="A10" s="42"/>
      <c r="B10" s="706">
        <v>1</v>
      </c>
      <c r="C10" s="693">
        <f>VLOOKUP(B10,[65]New!$O$1:$AJ$37,2,0)</f>
        <v>1.3297544706114832</v>
      </c>
      <c r="D10" s="1152">
        <f>VLOOKUP(B10,[65]New!$A$1:$AJ$37,17,0)</f>
        <v>0.82444777177911965</v>
      </c>
      <c r="E10" s="1152"/>
      <c r="F10" s="687"/>
      <c r="G10" s="726" t="e">
        <f>H10/F10</f>
        <v>#DIV/0!</v>
      </c>
      <c r="H10" s="704">
        <f>'Grasmere Pig Cost'!$S$62</f>
        <v>58066.341251621299</v>
      </c>
      <c r="I10" s="707">
        <v>1016</v>
      </c>
      <c r="J10" s="42">
        <v>848.00217989503426</v>
      </c>
      <c r="K10" s="726">
        <v>23.964463554607363</v>
      </c>
      <c r="L10" s="625">
        <v>20321.917334322145</v>
      </c>
      <c r="M10" s="705">
        <f t="shared" ref="M10:M69" si="0">+H10-L10</f>
        <v>37744.423917299151</v>
      </c>
      <c r="N10" s="23">
        <f t="shared" ref="N10:N35" si="1">+H10-L10</f>
        <v>37744.423917299151</v>
      </c>
      <c r="O10" s="23">
        <f>+H10-L10</f>
        <v>37744.423917299151</v>
      </c>
      <c r="Q10" s="23">
        <f>+[64]Grasmere!$H10</f>
        <v>369977.63537790842</v>
      </c>
      <c r="R10" s="23">
        <f t="shared" ref="R10:R94" si="2">+L10-Q10</f>
        <v>-349655.7180435863</v>
      </c>
    </row>
    <row r="11" spans="1:18">
      <c r="A11" s="42"/>
      <c r="B11" s="706">
        <v>2</v>
      </c>
      <c r="C11" s="693">
        <f>VLOOKUP(B11,[65]New!$O$1:$AJ$37,2,0)</f>
        <v>2.2605826000395211</v>
      </c>
      <c r="D11" s="1152">
        <f>VLOOKUP(B11,[65]New!$A$1:$AJ$37,17,0)</f>
        <v>1.4015612120245031</v>
      </c>
      <c r="E11" s="1152"/>
      <c r="F11" s="687"/>
      <c r="G11" s="726" t="e">
        <f t="shared" ref="G11:G26" si="3">H11/F11</f>
        <v>#DIV/0!</v>
      </c>
      <c r="H11" s="704">
        <f>'Grasmere Pig Cost'!$T$62</f>
        <v>68262.937562427105</v>
      </c>
      <c r="I11" s="707">
        <v>1365</v>
      </c>
      <c r="J11" s="42">
        <v>1936.8002543764042</v>
      </c>
      <c r="K11" s="726">
        <v>12.398786591320185</v>
      </c>
      <c r="L11" s="625">
        <v>24013.973024027684</v>
      </c>
      <c r="M11" s="705">
        <f t="shared" si="0"/>
        <v>44248.964538399421</v>
      </c>
      <c r="N11" s="23">
        <f t="shared" si="1"/>
        <v>44248.964538399421</v>
      </c>
      <c r="O11" s="23">
        <f>+H11-L11</f>
        <v>44248.964538399421</v>
      </c>
      <c r="Q11" s="23">
        <f>+[64]Grasmere!$H11</f>
        <v>364632.55563205545</v>
      </c>
      <c r="R11" s="23">
        <f t="shared" si="2"/>
        <v>-340618.58260802773</v>
      </c>
    </row>
    <row r="12" spans="1:18">
      <c r="A12" s="695" t="s">
        <v>384</v>
      </c>
      <c r="B12" s="706">
        <v>3</v>
      </c>
      <c r="C12" s="693">
        <f>VLOOKUP(B12,[65]New!$O$1:$AJ$37,2,0)</f>
        <v>3.6169321600632345</v>
      </c>
      <c r="D12" s="1152">
        <f>VLOOKUP(B12,[65]New!$A$1:$AJ$37,17,0)</f>
        <v>2.2424979392392053</v>
      </c>
      <c r="E12" s="1152"/>
      <c r="F12" s="687"/>
      <c r="G12" s="726" t="e">
        <f t="shared" si="3"/>
        <v>#DIV/0!</v>
      </c>
      <c r="H12" s="704">
        <f>'Grasmere Pig Cost'!$U$62</f>
        <v>72396.87348621749</v>
      </c>
      <c r="I12" s="707">
        <v>1339</v>
      </c>
      <c r="J12" s="42">
        <v>3039.8541135355376</v>
      </c>
      <c r="K12" s="726">
        <v>8.4850317512339881</v>
      </c>
      <c r="L12" s="625">
        <v>25793.258672468288</v>
      </c>
      <c r="M12" s="705">
        <f t="shared" si="0"/>
        <v>46603.614813749198</v>
      </c>
      <c r="N12" s="23">
        <f t="shared" si="1"/>
        <v>46603.614813749198</v>
      </c>
      <c r="O12" s="23">
        <f>+H12-L12</f>
        <v>46603.614813749198</v>
      </c>
      <c r="Q12" s="23">
        <f>+[64]Grasmere!$H12</f>
        <v>398936.492034583</v>
      </c>
      <c r="R12" s="23">
        <f t="shared" si="2"/>
        <v>-373143.2333621147</v>
      </c>
    </row>
    <row r="13" spans="1:18">
      <c r="A13" s="695"/>
      <c r="B13" s="708">
        <v>4</v>
      </c>
      <c r="C13" s="693">
        <f>VLOOKUP(B13,[65]New!$O$1:$AJ$37,2,0)</f>
        <v>5.4253982400948519</v>
      </c>
      <c r="D13" s="1152">
        <f>VLOOKUP(B13,[65]New!$A$1:$AJ$37,17,0)</f>
        <v>3.3637469088588081</v>
      </c>
      <c r="E13" s="1153"/>
      <c r="F13" s="687"/>
      <c r="G13" s="726" t="e">
        <f t="shared" si="3"/>
        <v>#DIV/0!</v>
      </c>
      <c r="H13" s="704">
        <f>'Grasmere Pig Cost'!$V$62</f>
        <v>69511.298808425956</v>
      </c>
      <c r="I13" s="707">
        <v>1236</v>
      </c>
      <c r="J13" s="42">
        <v>4209.0287725876678</v>
      </c>
      <c r="K13" s="726">
        <v>6.7514674143987126</v>
      </c>
      <c r="L13" s="625">
        <v>28417.12060439225</v>
      </c>
      <c r="M13" s="705">
        <f t="shared" si="0"/>
        <v>41094.178204033706</v>
      </c>
      <c r="N13" s="23">
        <f t="shared" si="1"/>
        <v>41094.178204033706</v>
      </c>
      <c r="O13" s="23">
        <f>+H13-L13</f>
        <v>41094.178204033706</v>
      </c>
      <c r="Q13" s="23">
        <f>+[64]Grasmere!$H13</f>
        <v>448301.95615957346</v>
      </c>
      <c r="R13" s="23">
        <f t="shared" si="2"/>
        <v>-419884.8355551812</v>
      </c>
    </row>
    <row r="14" spans="1:18">
      <c r="A14" s="695"/>
      <c r="B14" s="706">
        <v>5</v>
      </c>
      <c r="C14" s="693">
        <f>VLOOKUP(B14,[65]New!$O$1:$AJ$37,2,0)</f>
        <v>7.1602163802156786</v>
      </c>
      <c r="D14" s="1315">
        <f>VLOOKUP(B14,[65]New!$A$1:$AJ$37,17,0)</f>
        <v>4.9405493023488178</v>
      </c>
      <c r="E14" s="1315"/>
      <c r="F14" s="687"/>
      <c r="G14" s="726" t="e">
        <f t="shared" si="3"/>
        <v>#DIV/0!</v>
      </c>
      <c r="H14" s="704">
        <f>'Grasmere Pig Cost'!$W$62</f>
        <v>47188.046498273943</v>
      </c>
      <c r="I14" s="1304">
        <v>953</v>
      </c>
      <c r="J14" s="687">
        <v>4766.5949693673474</v>
      </c>
      <c r="K14" s="726">
        <v>4.0410255738838092</v>
      </c>
      <c r="L14" s="625">
        <v>19261.932171559361</v>
      </c>
      <c r="M14" s="705">
        <f>+H14-L14</f>
        <v>27926.114326714582</v>
      </c>
      <c r="N14" s="23">
        <f t="shared" si="1"/>
        <v>27926.114326714582</v>
      </c>
      <c r="O14" s="23">
        <f t="shared" ref="O14:O32" si="4">H14-L14</f>
        <v>27926.114326714582</v>
      </c>
      <c r="Q14" s="23">
        <f>+[64]Grasmere!$H14</f>
        <v>0</v>
      </c>
      <c r="R14" s="23">
        <f t="shared" si="2"/>
        <v>19261.932171559361</v>
      </c>
    </row>
    <row r="15" spans="1:18">
      <c r="A15" s="695"/>
      <c r="B15" s="706">
        <v>6</v>
      </c>
      <c r="C15" s="693">
        <f>VLOOKUP(B15,[65]New!$O$1:$AJ$37,2,0)</f>
        <v>9.7515327844842101</v>
      </c>
      <c r="D15" s="1155">
        <f>VLOOKUP(B15,[65]New!$A$1:$AJ$37,17,0)</f>
        <v>6.7285576212941045</v>
      </c>
      <c r="E15" s="1155"/>
      <c r="F15" s="42"/>
      <c r="G15" s="726" t="e">
        <f t="shared" si="3"/>
        <v>#DIV/0!</v>
      </c>
      <c r="H15" s="704">
        <f>'Grasmere Pig Cost'!$X$62</f>
        <v>71559.659441978714</v>
      </c>
      <c r="I15" s="1221">
        <v>968</v>
      </c>
      <c r="J15" s="42">
        <v>6593.8254338650449</v>
      </c>
      <c r="K15" s="726">
        <v>4.740620142727602</v>
      </c>
      <c r="L15" s="625">
        <v>31258.821669410201</v>
      </c>
      <c r="M15" s="705">
        <f t="shared" si="0"/>
        <v>40300.837772568513</v>
      </c>
      <c r="N15" s="23">
        <f t="shared" si="1"/>
        <v>40300.837772568513</v>
      </c>
      <c r="O15" s="23">
        <f t="shared" si="4"/>
        <v>40300.837772568513</v>
      </c>
      <c r="Q15" s="23">
        <f>+[64]Grasmere!$H15</f>
        <v>0</v>
      </c>
      <c r="R15" s="23">
        <f t="shared" si="2"/>
        <v>31258.821669410201</v>
      </c>
    </row>
    <row r="16" spans="1:18">
      <c r="A16" s="695" t="s">
        <v>389</v>
      </c>
      <c r="B16" s="706">
        <v>7</v>
      </c>
      <c r="C16" s="693">
        <f>VLOOKUP(B16,[65]New!$O$1:$AJ$37,2,0)</f>
        <v>12.342849188752741</v>
      </c>
      <c r="D16" s="1155">
        <f>VLOOKUP(B16,[65]New!$A$1:$AJ$37,17,0)</f>
        <v>8.5165659402393903</v>
      </c>
      <c r="E16" s="1155"/>
      <c r="F16" s="42"/>
      <c r="G16" s="726" t="e">
        <f t="shared" si="3"/>
        <v>#DIV/0!</v>
      </c>
      <c r="H16" s="704">
        <f>'Grasmere Pig Cost'!$Y$62</f>
        <v>83682.529636614636</v>
      </c>
      <c r="I16" s="1221">
        <v>975</v>
      </c>
      <c r="J16" s="42">
        <v>8406.3843223814783</v>
      </c>
      <c r="K16" s="726">
        <v>3.4033000092604371</v>
      </c>
      <c r="L16" s="625">
        <v>28609.447842207679</v>
      </c>
      <c r="M16" s="705">
        <f t="shared" si="0"/>
        <v>55073.081794406957</v>
      </c>
      <c r="N16" s="23">
        <f t="shared" si="1"/>
        <v>55073.081794406957</v>
      </c>
      <c r="O16" s="23">
        <f t="shared" si="4"/>
        <v>55073.081794406957</v>
      </c>
      <c r="Q16" s="23">
        <f>+[64]Grasmere!$H16</f>
        <v>0</v>
      </c>
      <c r="R16" s="23">
        <f t="shared" si="2"/>
        <v>28609.447842207679</v>
      </c>
    </row>
    <row r="17" spans="1:18">
      <c r="A17" s="695"/>
      <c r="B17" s="706">
        <v>8</v>
      </c>
      <c r="C17" s="693">
        <f>VLOOKUP(B17,[65]New!$O$1:$AJ$37,2,0)</f>
        <v>14.934165593021277</v>
      </c>
      <c r="D17" s="1155">
        <f>VLOOKUP(B17,[65]New!$A$1:$AJ$37,17,0)</f>
        <v>10.30457425918468</v>
      </c>
      <c r="E17" s="1155"/>
      <c r="F17" s="42"/>
      <c r="G17" s="726" t="e">
        <f t="shared" si="3"/>
        <v>#DIV/0!</v>
      </c>
      <c r="H17" s="704">
        <f>'Grasmere Pig Cost'!$Z$62</f>
        <v>99134.625244735143</v>
      </c>
      <c r="I17" s="1221">
        <v>944</v>
      </c>
      <c r="J17" s="42">
        <v>9847.8666625406295</v>
      </c>
      <c r="K17" s="726">
        <v>4.2624709117223478</v>
      </c>
      <c r="L17" s="625">
        <v>41976.245191599672</v>
      </c>
      <c r="M17" s="705">
        <f t="shared" si="0"/>
        <v>57158.380053135472</v>
      </c>
      <c r="N17" s="23">
        <f t="shared" si="1"/>
        <v>57158.380053135472</v>
      </c>
      <c r="O17" s="23">
        <f t="shared" si="4"/>
        <v>57158.380053135472</v>
      </c>
      <c r="Q17" s="23">
        <f>+[64]Grasmere!$H17</f>
        <v>679206.02369500638</v>
      </c>
      <c r="R17" s="23">
        <f t="shared" si="2"/>
        <v>-637229.77850340668</v>
      </c>
    </row>
    <row r="18" spans="1:18">
      <c r="A18" s="695"/>
      <c r="B18" s="708">
        <v>9</v>
      </c>
      <c r="C18" s="693">
        <f>VLOOKUP(B18,[65]New!$O$1:$AJ$37,2,0)</f>
        <v>19.179151018434851</v>
      </c>
      <c r="D18" s="1155">
        <f>VLOOKUP(B18,[65]New!$A$1:$AJ$37,17,0)</f>
        <v>13.233614202720046</v>
      </c>
      <c r="E18" s="1314"/>
      <c r="F18" s="630"/>
      <c r="G18" s="726" t="e">
        <f t="shared" si="3"/>
        <v>#DIV/0!</v>
      </c>
      <c r="H18" s="704">
        <f>'Grasmere Pig Cost'!$AA$62</f>
        <v>85333.129405183383</v>
      </c>
      <c r="I18" s="1221">
        <v>945</v>
      </c>
      <c r="J18" s="42">
        <v>12660.486375877334</v>
      </c>
      <c r="K18" s="726">
        <v>2.9341036368940805</v>
      </c>
      <c r="L18" s="625">
        <v>37147.179120309644</v>
      </c>
      <c r="M18" s="705">
        <f t="shared" si="0"/>
        <v>48185.950284873739</v>
      </c>
      <c r="N18" s="23">
        <f t="shared" si="1"/>
        <v>48185.950284873739</v>
      </c>
      <c r="O18" s="23">
        <f t="shared" si="4"/>
        <v>48185.950284873739</v>
      </c>
      <c r="Q18" s="23">
        <f>+[64]Grasmere!$H18</f>
        <v>903022.33309043769</v>
      </c>
      <c r="R18" s="23">
        <f t="shared" si="2"/>
        <v>-865875.15397012804</v>
      </c>
    </row>
    <row r="19" spans="1:18">
      <c r="A19" s="694"/>
      <c r="B19" s="706">
        <v>10</v>
      </c>
      <c r="C19" s="693">
        <f>VLOOKUP(B19,[65]New!$O$1:$AJ$37,2,0)</f>
        <v>23.424136443848436</v>
      </c>
      <c r="D19" s="1315">
        <f>VLOOKUP(B19,[65]New!$A$1:$AJ$37,17,0)</f>
        <v>16.16265414625542</v>
      </c>
      <c r="E19" s="1155"/>
      <c r="F19" s="42"/>
      <c r="G19" s="726" t="e">
        <f t="shared" si="3"/>
        <v>#DIV/0!</v>
      </c>
      <c r="H19" s="704">
        <f>'Grasmere Pig Cost'!$AB$62</f>
        <v>93949.958383520207</v>
      </c>
      <c r="I19" s="1304">
        <v>983</v>
      </c>
      <c r="J19" s="687">
        <v>16084.453511757993</v>
      </c>
      <c r="K19" s="726">
        <v>3.2250599964951223</v>
      </c>
      <c r="L19" s="625">
        <v>51873.327586256186</v>
      </c>
      <c r="M19" s="705">
        <f t="shared" si="0"/>
        <v>42076.630797264021</v>
      </c>
      <c r="N19" s="23">
        <f t="shared" si="1"/>
        <v>42076.630797264021</v>
      </c>
      <c r="O19" s="23">
        <f t="shared" si="4"/>
        <v>42076.630797264021</v>
      </c>
      <c r="Q19" s="23">
        <f>+[64]Grasmere!$H19</f>
        <v>1070134.420401847</v>
      </c>
      <c r="R19" s="23">
        <f t="shared" si="2"/>
        <v>-1018261.0928155908</v>
      </c>
    </row>
    <row r="20" spans="1:18">
      <c r="A20" s="694"/>
      <c r="B20" s="706">
        <v>11</v>
      </c>
      <c r="C20" s="693">
        <f>VLOOKUP(B20,[65]New!$O$1:$AJ$37,2,0)</f>
        <v>27.975988285556976</v>
      </c>
      <c r="D20" s="1156">
        <f>VLOOKUP(B20,[65]New!$A$1:$AJ$37,17,0)</f>
        <v>19.303431917034313</v>
      </c>
      <c r="E20" s="1156"/>
      <c r="F20" s="42"/>
      <c r="G20" s="726" t="e">
        <f t="shared" si="3"/>
        <v>#DIV/0!</v>
      </c>
      <c r="H20" s="704">
        <f>'Grasmere Pig Cost'!$AC$62</f>
        <v>122855.82076119559</v>
      </c>
      <c r="I20" s="1221">
        <v>917</v>
      </c>
      <c r="J20" s="42">
        <v>17920.246365160343</v>
      </c>
      <c r="K20" s="726">
        <v>2.892824978209438</v>
      </c>
      <c r="L20" s="625">
        <v>51840.136300802726</v>
      </c>
      <c r="M20" s="705">
        <f t="shared" si="0"/>
        <v>71015.684460392862</v>
      </c>
      <c r="N20" s="23">
        <f t="shared" si="1"/>
        <v>71015.684460392862</v>
      </c>
      <c r="O20" s="23">
        <f t="shared" si="4"/>
        <v>71015.684460392862</v>
      </c>
      <c r="Q20" s="23">
        <f>+[64]Grasmere!$H20</f>
        <v>1281638.2276040721</v>
      </c>
      <c r="R20" s="23">
        <f t="shared" si="2"/>
        <v>-1229798.0913032694</v>
      </c>
    </row>
    <row r="21" spans="1:18">
      <c r="A21" s="694"/>
      <c r="B21" s="706">
        <v>12</v>
      </c>
      <c r="C21" s="693">
        <f>VLOOKUP(B21,[65]New!$O$1:$AJ$37,2,0)</f>
        <v>32.527840127265527</v>
      </c>
      <c r="D21" s="1156">
        <f>VLOOKUP(B21,[65]New!$A$1:$AJ$37,17,0)</f>
        <v>22.444209687813213</v>
      </c>
      <c r="E21" s="1156"/>
      <c r="F21" s="42"/>
      <c r="G21" s="726" t="e">
        <f t="shared" si="3"/>
        <v>#DIV/0!</v>
      </c>
      <c r="H21" s="704">
        <f>'Grasmere Pig Cost'!$AD$62</f>
        <v>180860.47251396961</v>
      </c>
      <c r="I21" s="1221">
        <v>934</v>
      </c>
      <c r="J21" s="42">
        <v>21222.24411695002</v>
      </c>
      <c r="K21" s="726">
        <v>3.024190581964679</v>
      </c>
      <c r="L21" s="625">
        <v>64180.110786635567</v>
      </c>
      <c r="M21" s="705">
        <f t="shared" si="0"/>
        <v>116680.36172733404</v>
      </c>
      <c r="N21" s="23">
        <f t="shared" si="1"/>
        <v>116680.36172733404</v>
      </c>
      <c r="O21" s="23">
        <f t="shared" si="4"/>
        <v>116680.36172733404</v>
      </c>
      <c r="Q21" s="23">
        <f>+[64]Grasmere!$H21</f>
        <v>1510257.3137102649</v>
      </c>
      <c r="R21" s="23">
        <f t="shared" si="2"/>
        <v>-1446077.2029236292</v>
      </c>
    </row>
    <row r="22" spans="1:18">
      <c r="A22" s="694"/>
      <c r="B22" s="706">
        <v>13</v>
      </c>
      <c r="C22" s="693">
        <f>VLOOKUP(B22,[65]New!$O$1:$AJ$37,2,0)</f>
        <v>39.585767702049552</v>
      </c>
      <c r="D22" s="1156">
        <f>VLOOKUP(B22,[65]New!$A$1:$AJ$37,17,0)</f>
        <v>27.314179714414188</v>
      </c>
      <c r="E22" s="1156"/>
      <c r="F22" s="42"/>
      <c r="G22" s="726" t="e">
        <f t="shared" si="3"/>
        <v>#DIV/0!</v>
      </c>
      <c r="H22" s="704">
        <f>'Grasmere Pig Cost'!$AE$62</f>
        <v>167354.42913207112</v>
      </c>
      <c r="I22" s="1221">
        <v>961</v>
      </c>
      <c r="J22" s="42">
        <v>26573.677638622441</v>
      </c>
      <c r="K22" s="726">
        <v>2.1671204362693524</v>
      </c>
      <c r="L22" s="625">
        <v>57588.359877492592</v>
      </c>
      <c r="M22" s="705">
        <f t="shared" si="0"/>
        <v>109766.06925457853</v>
      </c>
      <c r="N22" s="23">
        <f t="shared" si="1"/>
        <v>109766.06925457853</v>
      </c>
      <c r="O22" s="23">
        <f t="shared" si="4"/>
        <v>109766.06925457853</v>
      </c>
      <c r="Q22" s="23">
        <f>+[64]Grasmere!$H22</f>
        <v>1935283.8181322364</v>
      </c>
      <c r="R22" s="23">
        <f t="shared" si="2"/>
        <v>-1877695.4582547438</v>
      </c>
    </row>
    <row r="23" spans="1:18">
      <c r="A23" s="694"/>
      <c r="B23" s="706">
        <v>14</v>
      </c>
      <c r="C23" s="693">
        <f>VLOOKUP(B23,[65]New!$O$1:$AJ$37,2,0)</f>
        <v>46.643695276833583</v>
      </c>
      <c r="D23" s="1156">
        <f>VLOOKUP(B23,[65]New!$A$1:$AJ$37,17,0)</f>
        <v>33.583460599320176</v>
      </c>
      <c r="E23" s="1156"/>
      <c r="F23" s="42"/>
      <c r="G23" s="726" t="e">
        <f t="shared" si="3"/>
        <v>#DIV/0!</v>
      </c>
      <c r="H23" s="704">
        <f>'Grasmere Pig Cost'!$AF$62</f>
        <v>172063.05552672126</v>
      </c>
      <c r="I23" s="1221">
        <v>947</v>
      </c>
      <c r="J23" s="42">
        <v>32197.009594731382</v>
      </c>
      <c r="K23" s="726">
        <v>1.9535850974976861</v>
      </c>
      <c r="L23" s="625">
        <v>62899.598128257239</v>
      </c>
      <c r="M23" s="705">
        <f t="shared" si="0"/>
        <v>109163.45739846403</v>
      </c>
      <c r="N23" s="23">
        <f t="shared" si="1"/>
        <v>109163.45739846403</v>
      </c>
      <c r="O23" s="23">
        <f t="shared" si="4"/>
        <v>109163.45739846403</v>
      </c>
      <c r="Q23" s="23">
        <f>+[64]Grasmere!$H23</f>
        <v>2141647.3930563722</v>
      </c>
      <c r="R23" s="23">
        <f t="shared" si="2"/>
        <v>-2078747.7949281149</v>
      </c>
    </row>
    <row r="24" spans="1:18">
      <c r="A24" s="694" t="s">
        <v>397</v>
      </c>
      <c r="B24" s="706">
        <v>15</v>
      </c>
      <c r="C24" s="693">
        <f>VLOOKUP(B24,[65]New!$O$1:$AJ$37,2,0)</f>
        <v>55.099569859183511</v>
      </c>
      <c r="D24" s="1156">
        <f>VLOOKUP(B24,[65]New!$A$1:$AJ$37,17,0)</f>
        <v>39.671690298612127</v>
      </c>
      <c r="E24" s="1156"/>
      <c r="F24" s="42"/>
      <c r="G24" s="726" t="e">
        <f t="shared" si="3"/>
        <v>#DIV/0!</v>
      </c>
      <c r="H24" s="704">
        <f>'Grasmere Pig Cost'!$AG$62</f>
        <v>192791.38082792732</v>
      </c>
      <c r="I24" s="1221">
        <v>947</v>
      </c>
      <c r="J24" s="42">
        <v>38033.894375062795</v>
      </c>
      <c r="K24" s="726">
        <v>1.8369432193776039</v>
      </c>
      <c r="L24" s="625">
        <v>69866.104378795586</v>
      </c>
      <c r="M24" s="705">
        <f t="shared" si="0"/>
        <v>122925.27644913174</v>
      </c>
      <c r="N24" s="23">
        <f t="shared" si="1"/>
        <v>122925.27644913174</v>
      </c>
      <c r="O24" s="23">
        <f t="shared" si="4"/>
        <v>122925.27644913174</v>
      </c>
      <c r="Q24" s="23">
        <f>+[64]Grasmere!$H24</f>
        <v>2508604.7577100201</v>
      </c>
      <c r="R24" s="23">
        <f t="shared" si="2"/>
        <v>-2438738.6533312243</v>
      </c>
    </row>
    <row r="25" spans="1:18">
      <c r="A25" s="694" t="s">
        <v>138</v>
      </c>
      <c r="B25" s="706">
        <v>16</v>
      </c>
      <c r="C25" s="693">
        <f>VLOOKUP(B25,[65]New!$O$1:$AJ$37,2,0)</f>
        <v>63.55544444153346</v>
      </c>
      <c r="D25" s="1156">
        <f>VLOOKUP(B25,[65]New!$A$1:$AJ$37,17,0)</f>
        <v>47.031028886734759</v>
      </c>
      <c r="E25" s="1156"/>
      <c r="F25" s="42"/>
      <c r="G25" s="726" t="e">
        <f t="shared" si="3"/>
        <v>#DIV/0!</v>
      </c>
      <c r="H25" s="704">
        <f>'Grasmere Pig Cost'!$AH$62</f>
        <v>237025.11720375798</v>
      </c>
      <c r="I25" s="1221">
        <v>1005</v>
      </c>
      <c r="J25" s="42">
        <v>47850.959840822885</v>
      </c>
      <c r="K25" s="726">
        <v>2.0746258314917676</v>
      </c>
      <c r="L25" s="625">
        <v>99272.837347446359</v>
      </c>
      <c r="M25" s="705">
        <f t="shared" si="0"/>
        <v>137752.27985631162</v>
      </c>
      <c r="N25" s="23">
        <f t="shared" si="1"/>
        <v>137752.27985631162</v>
      </c>
      <c r="O25" s="23">
        <f t="shared" si="4"/>
        <v>137752.27985631162</v>
      </c>
      <c r="Q25" s="23">
        <f>+[64]Grasmere!$H25</f>
        <v>2704300.7437258475</v>
      </c>
      <c r="R25" s="23">
        <f t="shared" si="2"/>
        <v>-2605027.906378401</v>
      </c>
    </row>
    <row r="26" spans="1:18" s="1836" customFormat="1">
      <c r="A26" s="717"/>
      <c r="B26" s="718">
        <v>17</v>
      </c>
      <c r="C26" s="693">
        <f>VLOOKUP(B26,[65]New!$O$1:$AJ$37,2,0)</f>
        <v>72.011319023883416</v>
      </c>
      <c r="D26" s="1156">
        <f>VLOOKUP(B26,[65]New!$A$1:$AJ$37,17,0)</f>
        <v>53.288376077673725</v>
      </c>
      <c r="E26" s="1834"/>
      <c r="F26" s="1160"/>
      <c r="G26" s="726" t="e">
        <f t="shared" si="3"/>
        <v>#DIV/0!</v>
      </c>
      <c r="H26" s="704">
        <f>'Grasmere Pig Cost'!$AI$62</f>
        <v>270666.62603440695</v>
      </c>
      <c r="I26" s="1835">
        <v>915</v>
      </c>
      <c r="J26" s="1160">
        <v>49362.107313856373</v>
      </c>
      <c r="K26" s="1161">
        <v>1.9019438282416328</v>
      </c>
      <c r="L26" s="1734">
        <v>93883.955354590289</v>
      </c>
      <c r="M26" s="1160">
        <f t="shared" si="0"/>
        <v>176782.67067981666</v>
      </c>
      <c r="N26" s="1836">
        <f t="shared" si="1"/>
        <v>176782.67067981666</v>
      </c>
      <c r="O26" s="1836">
        <f t="shared" si="4"/>
        <v>176782.67067981666</v>
      </c>
      <c r="Q26" s="1836">
        <f>+[64]Grasmere!$H26</f>
        <v>3041424.2119242381</v>
      </c>
      <c r="R26" s="1836">
        <f t="shared" si="2"/>
        <v>-2947540.2565696477</v>
      </c>
    </row>
    <row r="27" spans="1:18">
      <c r="A27" s="694"/>
      <c r="B27" s="706">
        <v>18</v>
      </c>
      <c r="C27" s="693">
        <f>VLOOKUP(B27,[65]New!$O$1:$AJ$37,2,0)</f>
        <v>83.163490626602794</v>
      </c>
      <c r="D27" s="1156">
        <f>VLOOKUP(B27,[65]New!$A$1:$AJ$37,17,0)</f>
        <v>63.204252876218121</v>
      </c>
      <c r="E27" s="1156"/>
      <c r="F27" s="42"/>
      <c r="G27" s="1846">
        <f>'[66]Selling Price Working'!$K$14</f>
        <v>2.5156472990380321</v>
      </c>
      <c r="H27" s="704">
        <f>F27*G27</f>
        <v>0</v>
      </c>
      <c r="I27" s="1221">
        <v>970</v>
      </c>
      <c r="J27" s="42">
        <v>62066.627575226601</v>
      </c>
      <c r="K27" s="693">
        <v>2.4861599893409911</v>
      </c>
      <c r="L27" s="704">
        <v>154307.56615085664</v>
      </c>
      <c r="M27" s="705">
        <f t="shared" si="0"/>
        <v>-154307.56615085664</v>
      </c>
      <c r="N27" s="23">
        <f t="shared" si="1"/>
        <v>-154307.56615085664</v>
      </c>
      <c r="O27" s="23">
        <f t="shared" si="4"/>
        <v>-154307.56615085664</v>
      </c>
      <c r="Q27" s="23">
        <f>+[64]Grasmere!$H27</f>
        <v>3490001.5115240719</v>
      </c>
      <c r="R27" s="23">
        <f t="shared" si="2"/>
        <v>-3335693.9453732152</v>
      </c>
    </row>
    <row r="28" spans="1:18">
      <c r="A28" s="694" t="s">
        <v>138</v>
      </c>
      <c r="B28" s="706">
        <v>19</v>
      </c>
      <c r="C28" s="693">
        <f>VLOOKUP(B28,[65]New!$O$1:$AJ$37,2,0)</f>
        <v>96.210696940476979</v>
      </c>
      <c r="D28" s="1156">
        <f>VLOOKUP(B28,[65]New!$A$1:$AJ$37,17,0)</f>
        <v>73.120129674762509</v>
      </c>
      <c r="E28" s="1156"/>
      <c r="F28" s="42"/>
      <c r="G28" s="1826">
        <f t="shared" ref="G28:G30" si="5">G27</f>
        <v>2.5156472990380321</v>
      </c>
      <c r="H28" s="704">
        <f t="shared" ref="H28:H38" si="6">F28*G28</f>
        <v>0</v>
      </c>
      <c r="I28" s="1221">
        <v>932</v>
      </c>
      <c r="J28" s="42">
        <v>68991.085382440157</v>
      </c>
      <c r="K28" s="693">
        <v>2.4861599893409911</v>
      </c>
      <c r="L28" s="704">
        <v>171522.87609903084</v>
      </c>
      <c r="M28" s="705">
        <f t="shared" si="0"/>
        <v>-171522.87609903084</v>
      </c>
      <c r="N28" s="23">
        <f t="shared" si="1"/>
        <v>-171522.87609903084</v>
      </c>
      <c r="O28" s="23">
        <f t="shared" si="4"/>
        <v>-171522.87609903084</v>
      </c>
      <c r="Q28" s="23">
        <f>+[64]Grasmere!$H28</f>
        <v>4540212.7487537721</v>
      </c>
      <c r="R28" s="23">
        <f t="shared" si="2"/>
        <v>-4368689.8726547416</v>
      </c>
    </row>
    <row r="29" spans="1:18">
      <c r="A29" s="694"/>
      <c r="B29" s="706">
        <v>20</v>
      </c>
      <c r="C29" s="693">
        <f>VLOOKUP(B29,[65]New!$O$1:$AJ$37,2,0)</f>
        <v>109.25790325435123</v>
      </c>
      <c r="D29" s="1156">
        <f>VLOOKUP(B29,[65]New!$A$1:$AJ$37,17,0)</f>
        <v>83.036006473306941</v>
      </c>
      <c r="E29" s="1156"/>
      <c r="F29" s="42"/>
      <c r="G29" s="1826">
        <f t="shared" si="5"/>
        <v>2.5156472990380321</v>
      </c>
      <c r="H29" s="704">
        <f t="shared" si="6"/>
        <v>0</v>
      </c>
      <c r="I29" s="1221">
        <v>908</v>
      </c>
      <c r="J29" s="42">
        <v>76329.499510613532</v>
      </c>
      <c r="K29" s="693">
        <v>2.4861599893409911</v>
      </c>
      <c r="L29" s="704">
        <v>189767.34768971012</v>
      </c>
      <c r="M29" s="705">
        <f t="shared" si="0"/>
        <v>-189767.34768971012</v>
      </c>
      <c r="N29" s="23">
        <f t="shared" si="1"/>
        <v>-189767.34768971012</v>
      </c>
      <c r="O29" s="23">
        <f t="shared" si="4"/>
        <v>-189767.34768971012</v>
      </c>
      <c r="Q29" s="23">
        <f>+[64]Grasmere!$H29</f>
        <v>4931006.4962438764</v>
      </c>
      <c r="R29" s="23">
        <f t="shared" si="2"/>
        <v>-4741239.1485541658</v>
      </c>
    </row>
    <row r="30" spans="1:18">
      <c r="A30" s="694"/>
      <c r="B30" s="706">
        <v>21</v>
      </c>
      <c r="C30" s="693">
        <f>VLOOKUP(B30,[65]New!$O$1:$AJ$37,2,0)</f>
        <v>115.23372294009519</v>
      </c>
      <c r="D30" s="1156">
        <f>VLOOKUP(B30,[65]New!$A$1:$AJ$37,17,0)</f>
        <v>87.577629434472342</v>
      </c>
      <c r="E30" s="1156"/>
      <c r="F30" s="42"/>
      <c r="G30" s="1826">
        <f t="shared" si="5"/>
        <v>2.5156472990380321</v>
      </c>
      <c r="H30" s="704">
        <f t="shared" si="6"/>
        <v>0</v>
      </c>
      <c r="I30" s="1221">
        <v>964</v>
      </c>
      <c r="J30" s="42">
        <v>85469.336295788482</v>
      </c>
      <c r="K30" s="693">
        <v>2.4861599893409911</v>
      </c>
      <c r="L30" s="704">
        <v>212490.44421411908</v>
      </c>
      <c r="M30" s="705">
        <f t="shared" si="0"/>
        <v>-212490.44421411908</v>
      </c>
      <c r="N30" s="23">
        <f t="shared" si="1"/>
        <v>-212490.44421411908</v>
      </c>
      <c r="O30" s="23">
        <f t="shared" si="4"/>
        <v>-212490.44421411908</v>
      </c>
      <c r="Q30" s="23">
        <f>+[64]Grasmere!$H30</f>
        <v>5152252.9408287127</v>
      </c>
      <c r="R30" s="23">
        <f t="shared" si="2"/>
        <v>-4939762.496614594</v>
      </c>
    </row>
    <row r="31" spans="1:18">
      <c r="A31" s="694"/>
      <c r="B31" s="706">
        <v>22</v>
      </c>
      <c r="C31" s="693">
        <f>VLOOKUP(B31,[65]New!$O$1:$AJ$37,2,0)</f>
        <v>122.2205600540908</v>
      </c>
      <c r="D31" s="1156">
        <f>VLOOKUP(B31,[65]New!$A$1:$AJ$37,17,0)</f>
        <v>92.887625641109011</v>
      </c>
      <c r="E31" s="1156"/>
      <c r="F31" s="42"/>
      <c r="G31" s="1826">
        <f>G30</f>
        <v>2.5156472990380321</v>
      </c>
      <c r="H31" s="704">
        <f t="shared" si="6"/>
        <v>0</v>
      </c>
      <c r="I31" s="1221">
        <v>905</v>
      </c>
      <c r="J31" s="42">
        <v>85103.329843692511</v>
      </c>
      <c r="K31" s="693">
        <v>2.4861599893409911</v>
      </c>
      <c r="L31" s="704">
        <v>211580.49361707742</v>
      </c>
      <c r="M31" s="705">
        <f t="shared" si="0"/>
        <v>-211580.49361707742</v>
      </c>
      <c r="N31" s="23">
        <f t="shared" si="1"/>
        <v>-211580.49361707742</v>
      </c>
      <c r="O31" s="23">
        <f t="shared" si="4"/>
        <v>-211580.49361707742</v>
      </c>
      <c r="Q31" s="23">
        <f>+[64]Grasmere!$H31</f>
        <v>6358609.7683951026</v>
      </c>
      <c r="R31" s="23">
        <f t="shared" si="2"/>
        <v>-6147029.2747780252</v>
      </c>
    </row>
    <row r="32" spans="1:18">
      <c r="A32" s="694"/>
      <c r="B32" s="706">
        <v>23</v>
      </c>
      <c r="C32" s="693">
        <f>VLOOKUP(B32,[65]New!$O$1:$AJ$37,2,0)</f>
        <v>127.18536231158298</v>
      </c>
      <c r="D32" s="1156">
        <f>VLOOKUP(B32,[65]New!$A$1:$AJ$37,17,0)</f>
        <v>96.660875356803061</v>
      </c>
      <c r="E32" s="1156"/>
      <c r="F32" s="42"/>
      <c r="G32" s="1826">
        <f>G31</f>
        <v>2.5156472990380321</v>
      </c>
      <c r="H32" s="704">
        <f>F32*G32</f>
        <v>0</v>
      </c>
      <c r="I32" s="1221">
        <v>929</v>
      </c>
      <c r="J32" s="42">
        <v>90908.93078733419</v>
      </c>
      <c r="K32" s="693">
        <v>2.4861599893409911</v>
      </c>
      <c r="L32" s="704">
        <v>226014.14639723967</v>
      </c>
      <c r="M32" s="705">
        <f t="shared" si="0"/>
        <v>-226014.14639723967</v>
      </c>
      <c r="N32" s="23">
        <f t="shared" si="1"/>
        <v>-226014.14639723967</v>
      </c>
      <c r="O32" s="23">
        <f t="shared" si="4"/>
        <v>-226014.14639723967</v>
      </c>
      <c r="Q32" s="23">
        <f>+[64]Grasmere!$H32</f>
        <v>6543994.3450394263</v>
      </c>
      <c r="R32" s="23">
        <f t="shared" si="2"/>
        <v>-6317980.1986421868</v>
      </c>
    </row>
    <row r="33" spans="1:27">
      <c r="A33" s="694"/>
      <c r="B33" s="706">
        <v>24</v>
      </c>
      <c r="C33" s="693">
        <f>VLOOKUP(B33,[65]New!$O$1:$AJ$37,2,0)</f>
        <v>133.16118199732691</v>
      </c>
      <c r="D33" s="1156">
        <f>VLOOKUP(B33,[65]New!$A$1:$AJ$37,17,0)</f>
        <v>101.20249831796845</v>
      </c>
      <c r="E33" s="1156"/>
      <c r="F33" s="42"/>
      <c r="G33" s="1826">
        <f t="shared" ref="G33:G34" si="7">G32</f>
        <v>2.5156472990380321</v>
      </c>
      <c r="H33" s="704">
        <f t="shared" si="6"/>
        <v>0</v>
      </c>
      <c r="I33" s="1221">
        <v>0</v>
      </c>
      <c r="J33" s="42">
        <v>0</v>
      </c>
      <c r="K33" s="693">
        <v>2.4861599893409911</v>
      </c>
      <c r="L33" s="625">
        <v>0</v>
      </c>
      <c r="M33" s="705">
        <f t="shared" si="0"/>
        <v>0</v>
      </c>
      <c r="N33" s="23">
        <f t="shared" si="1"/>
        <v>0</v>
      </c>
      <c r="Q33" s="23">
        <f>+[64]Grasmere!$H33</f>
        <v>6773356.6879104692</v>
      </c>
      <c r="R33" s="23">
        <f t="shared" si="2"/>
        <v>-6773356.6879104692</v>
      </c>
    </row>
    <row r="34" spans="1:27">
      <c r="A34" s="694"/>
      <c r="B34" s="706">
        <v>25</v>
      </c>
      <c r="C34" s="693">
        <f>VLOOKUP(B34,[65]New!$O$1:$AJ$37,2,0)</f>
        <v>139.13700168307082</v>
      </c>
      <c r="D34" s="1156">
        <f>VLOOKUP(B34,[65]New!$A$1:$AJ$37,17,0)</f>
        <v>105.74412127913382</v>
      </c>
      <c r="E34" s="1156"/>
      <c r="F34" s="42"/>
      <c r="G34" s="1826">
        <f t="shared" si="7"/>
        <v>2.5156472990380321</v>
      </c>
      <c r="H34" s="704">
        <f t="shared" si="6"/>
        <v>0</v>
      </c>
      <c r="I34" s="1221">
        <v>0</v>
      </c>
      <c r="J34" s="42">
        <v>0</v>
      </c>
      <c r="K34" s="693">
        <v>2.4861599893409911</v>
      </c>
      <c r="L34" s="625">
        <v>0</v>
      </c>
      <c r="M34" s="705">
        <f t="shared" si="0"/>
        <v>0</v>
      </c>
      <c r="N34" s="23">
        <f t="shared" si="1"/>
        <v>0</v>
      </c>
      <c r="Q34" s="23">
        <f>+[64]Grasmere!$H34</f>
        <v>0</v>
      </c>
      <c r="R34" s="23">
        <f t="shared" si="2"/>
        <v>0</v>
      </c>
    </row>
    <row r="35" spans="1:27">
      <c r="A35" s="694"/>
      <c r="B35" s="706">
        <v>26</v>
      </c>
      <c r="C35" s="693">
        <f>VLOOKUP(B35,[65]New!$O$1:$AJ$37,2,0)</f>
        <v>145.11282136881471</v>
      </c>
      <c r="D35" s="1156">
        <f>VLOOKUP(B35,[65]New!$A$1:$AJ$37,17,0)</f>
        <v>110.28574424029918</v>
      </c>
      <c r="E35" s="1156"/>
      <c r="F35" s="42"/>
      <c r="G35" s="693">
        <f t="shared" ref="G35:G44" si="8">+G34</f>
        <v>2.5156472990380321</v>
      </c>
      <c r="H35" s="704">
        <f t="shared" si="6"/>
        <v>0</v>
      </c>
      <c r="I35" s="1221">
        <v>0</v>
      </c>
      <c r="J35" s="42">
        <v>0</v>
      </c>
      <c r="K35" s="693">
        <v>2.4861599893409911</v>
      </c>
      <c r="L35" s="625">
        <v>0</v>
      </c>
      <c r="M35" s="705">
        <f t="shared" si="0"/>
        <v>0</v>
      </c>
      <c r="N35" s="23">
        <f t="shared" si="1"/>
        <v>0</v>
      </c>
    </row>
    <row r="36" spans="1:27">
      <c r="A36" s="694" t="s">
        <v>138</v>
      </c>
      <c r="B36" s="706">
        <v>27</v>
      </c>
      <c r="C36" s="693">
        <f>VLOOKUP(B36,[65]New!$O$1:$AJ$37,2,0)</f>
        <v>151.08864105455865</v>
      </c>
      <c r="D36" s="1156">
        <f>VLOOKUP(B36,[65]New!$A$1:$AJ$37,17,0)</f>
        <v>114.82736720146457</v>
      </c>
      <c r="E36" s="1156"/>
      <c r="F36" s="42"/>
      <c r="G36" s="693">
        <f t="shared" si="8"/>
        <v>2.5156472990380321</v>
      </c>
      <c r="H36" s="704">
        <f t="shared" si="6"/>
        <v>0</v>
      </c>
      <c r="I36" s="1221">
        <v>0</v>
      </c>
      <c r="J36" s="42">
        <v>0</v>
      </c>
      <c r="K36" s="693">
        <v>2.4861599893409911</v>
      </c>
      <c r="L36" s="625">
        <v>0</v>
      </c>
      <c r="M36" s="705">
        <f>+H36-L36</f>
        <v>0</v>
      </c>
    </row>
    <row r="37" spans="1:27">
      <c r="A37" s="694"/>
      <c r="B37" s="713">
        <f>+B36+1</f>
        <v>28</v>
      </c>
      <c r="C37" s="693">
        <f>VLOOKUP(B37,[65]New!$O$1:$AJ$37,2,0)</f>
        <v>157.06446074030256</v>
      </c>
      <c r="D37" s="1156">
        <f>VLOOKUP(B37,[65]New!$A$1:$AJ$37,17,0)</f>
        <v>119.36899016262994</v>
      </c>
      <c r="E37" s="1156"/>
      <c r="F37" s="42"/>
      <c r="G37" s="693">
        <f t="shared" si="8"/>
        <v>2.5156472990380321</v>
      </c>
      <c r="H37" s="704">
        <f t="shared" si="6"/>
        <v>0</v>
      </c>
      <c r="I37" s="1221">
        <v>0</v>
      </c>
      <c r="J37" s="42">
        <v>0</v>
      </c>
      <c r="K37" s="693">
        <v>2.4861599893409911</v>
      </c>
      <c r="L37" s="625">
        <v>0</v>
      </c>
      <c r="M37" s="705">
        <f t="shared" si="0"/>
        <v>0</v>
      </c>
    </row>
    <row r="38" spans="1:27">
      <c r="A38" s="694"/>
      <c r="B38" s="713">
        <f>+B37+1</f>
        <v>29</v>
      </c>
      <c r="C38" s="693">
        <f>VLOOKUP(B38,[65]New!$O$1:$AJ$37,2,0)</f>
        <v>163.04028042604648</v>
      </c>
      <c r="D38" s="1156">
        <f>VLOOKUP(B38,[65]New!$A$1:$AJ$37,17,0)</f>
        <v>123.91061312379532</v>
      </c>
      <c r="E38" s="1156"/>
      <c r="F38" s="42"/>
      <c r="G38" s="693">
        <f t="shared" si="8"/>
        <v>2.5156472990380321</v>
      </c>
      <c r="H38" s="704">
        <f t="shared" si="6"/>
        <v>0</v>
      </c>
      <c r="I38" s="1221">
        <v>0</v>
      </c>
      <c r="J38" s="42">
        <v>0</v>
      </c>
      <c r="K38" s="693">
        <v>2.4861599893409911</v>
      </c>
      <c r="L38" s="625">
        <v>0</v>
      </c>
      <c r="M38" s="705">
        <f t="shared" si="0"/>
        <v>0</v>
      </c>
    </row>
    <row r="39" spans="1:27">
      <c r="A39" s="694"/>
      <c r="B39" s="713">
        <f>+B38+1</f>
        <v>30</v>
      </c>
      <c r="C39" s="693">
        <f>VLOOKUP(B39,[65]New!$O$1:$AJ$37,2,0)</f>
        <v>169.01610011179039</v>
      </c>
      <c r="D39" s="1156">
        <f>VLOOKUP(B39,[65]New!$A$1:$AJ$37,17,0)</f>
        <v>128.4522360849607</v>
      </c>
      <c r="E39" s="1156"/>
      <c r="F39" s="42"/>
      <c r="G39" s="693">
        <f t="shared" si="8"/>
        <v>2.5156472990380321</v>
      </c>
      <c r="H39" s="42">
        <f t="shared" ref="H39:H42" si="9">+F39*G39</f>
        <v>0</v>
      </c>
      <c r="I39" s="1221">
        <v>0</v>
      </c>
      <c r="J39" s="42">
        <v>0</v>
      </c>
      <c r="K39" s="693">
        <v>2.4861599893409911</v>
      </c>
      <c r="L39" s="625">
        <v>0</v>
      </c>
      <c r="M39" s="705">
        <f t="shared" si="0"/>
        <v>0</v>
      </c>
    </row>
    <row r="40" spans="1:27">
      <c r="A40" s="694"/>
      <c r="B40" s="1050">
        <f>+B39+1</f>
        <v>31</v>
      </c>
      <c r="C40" s="693">
        <f>VLOOKUP(B40,[65]New!$O$1:$AJ$37,2,0)</f>
        <v>174.99191979753434</v>
      </c>
      <c r="D40" s="1156">
        <f>VLOOKUP(B40,[65]New!$A$1:$AJ$37,17,0)</f>
        <v>132.99385904612609</v>
      </c>
      <c r="E40" s="1156"/>
      <c r="F40" s="630"/>
      <c r="G40" s="709">
        <f t="shared" si="8"/>
        <v>2.5156472990380321</v>
      </c>
      <c r="H40" s="630">
        <f t="shared" si="9"/>
        <v>0</v>
      </c>
      <c r="I40" s="1206">
        <v>0</v>
      </c>
      <c r="J40" s="42">
        <v>0</v>
      </c>
      <c r="K40" s="693">
        <v>2.4861599893409911</v>
      </c>
      <c r="L40" s="625">
        <v>0</v>
      </c>
      <c r="M40" s="705">
        <f t="shared" si="0"/>
        <v>0</v>
      </c>
    </row>
    <row r="41" spans="1:27">
      <c r="A41" s="694" t="s">
        <v>50</v>
      </c>
      <c r="B41" s="1051"/>
      <c r="C41" s="1051"/>
      <c r="D41" s="1855">
        <v>150</v>
      </c>
      <c r="E41" s="1055"/>
      <c r="F41" s="34"/>
      <c r="G41" s="1053">
        <f>+[67]Sheet1!$B$13</f>
        <v>2.0499999999999998</v>
      </c>
      <c r="H41" s="630">
        <f>+F41*G41</f>
        <v>0</v>
      </c>
      <c r="I41" s="1206">
        <v>790</v>
      </c>
      <c r="J41" s="1850">
        <v>118500</v>
      </c>
      <c r="K41" s="1851">
        <v>2.04</v>
      </c>
      <c r="L41" s="630">
        <v>241740</v>
      </c>
      <c r="M41" s="705"/>
    </row>
    <row r="42" spans="1:27">
      <c r="A42" s="694" t="s">
        <v>1669</v>
      </c>
      <c r="B42" s="1051"/>
      <c r="C42" s="1051"/>
      <c r="D42" s="1855">
        <f>+D41</f>
        <v>150</v>
      </c>
      <c r="E42" s="1055"/>
      <c r="F42" s="34"/>
      <c r="G42" s="1053">
        <f t="shared" si="8"/>
        <v>2.0499999999999998</v>
      </c>
      <c r="H42" s="630">
        <f t="shared" si="9"/>
        <v>0</v>
      </c>
      <c r="I42" s="1306">
        <v>0</v>
      </c>
      <c r="J42" s="1850">
        <v>0</v>
      </c>
      <c r="K42" s="1851">
        <v>2.04</v>
      </c>
      <c r="L42" s="630">
        <v>0</v>
      </c>
      <c r="M42" s="705"/>
    </row>
    <row r="43" spans="1:27">
      <c r="A43" s="694" t="s">
        <v>55</v>
      </c>
      <c r="B43" s="1051"/>
      <c r="C43" s="1051"/>
      <c r="D43" s="1855">
        <v>150</v>
      </c>
      <c r="E43" s="1055"/>
      <c r="F43" s="34"/>
      <c r="G43" s="1053">
        <f t="shared" si="8"/>
        <v>2.0499999999999998</v>
      </c>
      <c r="H43" s="630">
        <f>+F43*G43</f>
        <v>0</v>
      </c>
      <c r="I43" s="1306">
        <v>1886</v>
      </c>
      <c r="J43" s="1850">
        <v>282900</v>
      </c>
      <c r="K43" s="1851">
        <v>2.04</v>
      </c>
      <c r="L43" s="630">
        <v>577116</v>
      </c>
      <c r="M43" s="705"/>
      <c r="S43" s="23">
        <v>3</v>
      </c>
      <c r="T43" s="23">
        <v>-940.49999999627505</v>
      </c>
      <c r="U43" s="23">
        <f>-S43*150</f>
        <v>-450</v>
      </c>
    </row>
    <row r="44" spans="1:27">
      <c r="A44" s="694" t="s">
        <v>79</v>
      </c>
      <c r="B44" s="713"/>
      <c r="C44" s="713"/>
      <c r="D44" s="1673">
        <v>150</v>
      </c>
      <c r="E44" s="1857"/>
      <c r="F44" s="42"/>
      <c r="G44" s="693">
        <f t="shared" si="8"/>
        <v>2.0499999999999998</v>
      </c>
      <c r="H44" s="630">
        <f>+F44*G44</f>
        <v>0</v>
      </c>
      <c r="I44" s="1306">
        <v>10</v>
      </c>
      <c r="J44" s="1850">
        <v>1500</v>
      </c>
      <c r="K44" s="1851">
        <v>2.04</v>
      </c>
      <c r="L44" s="630">
        <v>3060</v>
      </c>
      <c r="M44" s="705"/>
    </row>
    <row r="45" spans="1:27" s="31" customFormat="1">
      <c r="A45" s="824"/>
      <c r="B45" s="823"/>
      <c r="C45" s="1737"/>
      <c r="D45" s="1146"/>
      <c r="E45" s="656">
        <f>SUM(E9:E44)</f>
        <v>0</v>
      </c>
      <c r="F45" s="636">
        <f>SUM(F9:F44)</f>
        <v>0</v>
      </c>
      <c r="G45" s="1158">
        <f>+G30</f>
        <v>2.5156472990380321</v>
      </c>
      <c r="H45" s="636">
        <f>SUM(H9:H44)</f>
        <v>2528527.8523916933</v>
      </c>
      <c r="I45" s="418">
        <f>SUM(I9:I44)</f>
        <v>25644</v>
      </c>
      <c r="J45" s="700">
        <f>SUM(J9:J44)</f>
        <v>1173322.2452364862</v>
      </c>
      <c r="K45" s="700">
        <f>+K33</f>
        <v>2.4861599893409911</v>
      </c>
      <c r="L45" s="700">
        <f>SUM(L9:L44)</f>
        <v>2956706.0606079996</v>
      </c>
      <c r="M45" s="61">
        <f>+H45-L45</f>
        <v>-428178.20821630629</v>
      </c>
      <c r="N45" s="31">
        <f>SUM(N9:N44)</f>
        <v>393737.79178369406</v>
      </c>
      <c r="O45" s="31">
        <f>SUM(O9:O32)</f>
        <v>393737.79178369406</v>
      </c>
      <c r="Q45" s="31">
        <f>+[64]Grasmere!$H35</f>
        <v>60868632.619628184</v>
      </c>
      <c r="R45" s="31">
        <f>+L45-Q45</f>
        <v>-57911926.559020184</v>
      </c>
      <c r="S45" s="31">
        <f>+H45-Q45</f>
        <v>-58340104.767236494</v>
      </c>
      <c r="U45" s="31">
        <f>+'[68]Gras gilts boars and sows'!$O$46</f>
        <v>-14166027.798389792</v>
      </c>
      <c r="V45" s="31">
        <f>+S45-U45</f>
        <v>-44174076.968846701</v>
      </c>
      <c r="W45" s="31">
        <f>+H45-L45</f>
        <v>-428178.20821630629</v>
      </c>
      <c r="X45" s="31">
        <f>-'[68]total pig movement'!$D$8</f>
        <v>-41276710.651861966</v>
      </c>
      <c r="Y45" s="31">
        <f>-'[68]total pig movement'!$B$12-'[68]total pig movement'!$B$13-'[68]total pig movement'!$B$14</f>
        <v>36297583.903082371</v>
      </c>
      <c r="Z45" s="31" t="s">
        <v>138</v>
      </c>
      <c r="AA45" s="31">
        <f>SUM(W45:Z45)</f>
        <v>-5407304.9569959044</v>
      </c>
    </row>
    <row r="46" spans="1:27">
      <c r="A46" s="694"/>
      <c r="B46" s="706"/>
      <c r="C46" s="706"/>
      <c r="D46" s="42"/>
      <c r="E46" s="1218"/>
      <c r="F46" s="687"/>
      <c r="G46" s="688" t="s">
        <v>138</v>
      </c>
      <c r="H46" s="689"/>
      <c r="I46" s="1675">
        <f>'[69]Grasmere Valuation '!$E$45</f>
        <v>25644</v>
      </c>
      <c r="J46" s="687"/>
      <c r="K46" s="688" t="s">
        <v>138</v>
      </c>
      <c r="L46" s="1675">
        <f>'[69]Grasmere Valuation '!$H$45</f>
        <v>2956706.0606079996</v>
      </c>
      <c r="M46" s="705">
        <f>+H46-L46</f>
        <v>-2956706.0606079996</v>
      </c>
      <c r="O46" s="23">
        <f>H46-L46</f>
        <v>-2956706.0606079996</v>
      </c>
      <c r="Q46" s="23">
        <f>+[64]Grasmere!$H38</f>
        <v>0</v>
      </c>
      <c r="R46" s="23">
        <f t="shared" si="2"/>
        <v>2956706.0606079996</v>
      </c>
    </row>
    <row r="47" spans="1:27">
      <c r="A47" s="717" t="s">
        <v>1670</v>
      </c>
      <c r="B47" s="718"/>
      <c r="C47" s="718"/>
      <c r="D47" s="1160">
        <v>0</v>
      </c>
      <c r="E47" s="1219">
        <f>+'Grasmere Imported Valuation'!B9</f>
        <v>0</v>
      </c>
      <c r="F47" s="42"/>
      <c r="G47" s="693">
        <f>+'Grasmere Imported Valuation'!C7</f>
        <v>9687.7527272727275</v>
      </c>
      <c r="H47" s="1673">
        <f>+E47*G47</f>
        <v>0</v>
      </c>
      <c r="I47" s="722">
        <v>0</v>
      </c>
      <c r="J47" s="42"/>
      <c r="K47" s="385">
        <v>9687.7527272727275</v>
      </c>
      <c r="L47" s="625">
        <v>0</v>
      </c>
      <c r="M47" s="705">
        <f t="shared" si="0"/>
        <v>0</v>
      </c>
      <c r="N47" s="23">
        <f t="shared" ref="N47:N63" si="10">+E47-I47</f>
        <v>0</v>
      </c>
      <c r="O47" s="23">
        <f>H47-L47</f>
        <v>0</v>
      </c>
      <c r="Q47" s="23">
        <f>+[64]Grasmere!$H43</f>
        <v>58126.516363636365</v>
      </c>
      <c r="R47" s="23">
        <f t="shared" si="2"/>
        <v>-58126.516363636365</v>
      </c>
    </row>
    <row r="48" spans="1:27">
      <c r="A48" s="723"/>
      <c r="B48" s="713"/>
      <c r="C48" s="713"/>
      <c r="D48" s="705"/>
      <c r="E48" s="1219" t="s">
        <v>138</v>
      </c>
      <c r="F48" s="42"/>
      <c r="G48" s="693"/>
      <c r="H48" s="625"/>
      <c r="I48" s="722" t="s">
        <v>138</v>
      </c>
      <c r="J48" s="42"/>
      <c r="K48" s="693"/>
      <c r="L48" s="625"/>
      <c r="M48" s="705">
        <f t="shared" si="0"/>
        <v>0</v>
      </c>
      <c r="N48" s="23" t="s">
        <v>138</v>
      </c>
      <c r="O48" s="23">
        <f>H48-L48</f>
        <v>0</v>
      </c>
      <c r="Q48" s="23">
        <f>+[64]Grasmere!$H44</f>
        <v>0</v>
      </c>
      <c r="R48" s="23">
        <f t="shared" si="2"/>
        <v>0</v>
      </c>
    </row>
    <row r="49" spans="1:18">
      <c r="A49" s="717" t="s">
        <v>1671</v>
      </c>
      <c r="B49" s="718"/>
      <c r="C49" s="718"/>
      <c r="D49" s="1160">
        <v>0</v>
      </c>
      <c r="E49" s="1219">
        <f>+'Grasmere Imported Valuation'!AL9</f>
        <v>0</v>
      </c>
      <c r="F49" s="693"/>
      <c r="G49" s="693">
        <f>+'Grasmere Imported Valuation'!AM7</f>
        <v>9761.5333333333328</v>
      </c>
      <c r="H49" s="1673">
        <f>+E49*G49</f>
        <v>0</v>
      </c>
      <c r="I49" s="722">
        <v>0</v>
      </c>
      <c r="J49" s="42"/>
      <c r="K49" s="385">
        <v>9761.5333333333328</v>
      </c>
      <c r="L49" s="625">
        <v>0</v>
      </c>
      <c r="M49" s="705">
        <f t="shared" si="0"/>
        <v>0</v>
      </c>
      <c r="N49" s="23">
        <f t="shared" si="10"/>
        <v>0</v>
      </c>
      <c r="O49" s="23">
        <f>H49-L49</f>
        <v>0</v>
      </c>
      <c r="Q49" s="23">
        <f>+[64]Grasmere!$H45</f>
        <v>195230.66666666666</v>
      </c>
      <c r="R49" s="23">
        <f t="shared" si="2"/>
        <v>-195230.66666666666</v>
      </c>
    </row>
    <row r="50" spans="1:18" ht="13.5" customHeight="1">
      <c r="A50" s="694"/>
      <c r="B50" s="706"/>
      <c r="C50" s="706"/>
      <c r="D50" s="42"/>
      <c r="E50" s="1219" t="s">
        <v>138</v>
      </c>
      <c r="F50" s="42"/>
      <c r="G50" s="693"/>
      <c r="H50" s="625" t="s">
        <v>138</v>
      </c>
      <c r="I50" s="722" t="s">
        <v>138</v>
      </c>
      <c r="J50" s="42"/>
      <c r="K50" s="693"/>
      <c r="L50" s="625" t="s">
        <v>138</v>
      </c>
      <c r="M50" s="705">
        <v>0</v>
      </c>
      <c r="N50" s="23" t="s">
        <v>138</v>
      </c>
      <c r="O50" s="23" t="s">
        <v>138</v>
      </c>
      <c r="Q50" s="23">
        <v>0</v>
      </c>
      <c r="R50" s="23" t="e">
        <f t="shared" si="2"/>
        <v>#VALUE!</v>
      </c>
    </row>
    <row r="51" spans="1:18">
      <c r="A51" s="717" t="s">
        <v>1672</v>
      </c>
      <c r="B51" s="718"/>
      <c r="C51" s="718"/>
      <c r="D51" s="1160">
        <v>0</v>
      </c>
      <c r="E51" s="1220">
        <f>+'Grasmere Imported Valuation'!J9</f>
        <v>0</v>
      </c>
      <c r="F51" s="42" t="s">
        <v>138</v>
      </c>
      <c r="G51" s="693">
        <f>+'Grasmere Imported Valuation'!K7</f>
        <v>8391.5645454545465</v>
      </c>
      <c r="H51" s="1673">
        <f>+E51*G51</f>
        <v>0</v>
      </c>
      <c r="I51" s="712">
        <v>0</v>
      </c>
      <c r="J51" s="42" t="s">
        <v>138</v>
      </c>
      <c r="K51" s="385">
        <v>8391.5645454545465</v>
      </c>
      <c r="L51" s="625">
        <v>0</v>
      </c>
      <c r="M51" s="705">
        <f t="shared" si="0"/>
        <v>0</v>
      </c>
      <c r="N51" s="23">
        <f t="shared" si="10"/>
        <v>0</v>
      </c>
      <c r="O51" s="23">
        <f t="shared" ref="O51:O61" si="11">H51-L51</f>
        <v>0</v>
      </c>
      <c r="Q51" s="23">
        <f>+[64]Grasmere!$H53</f>
        <v>58740.951818181828</v>
      </c>
      <c r="R51" s="23">
        <f t="shared" si="2"/>
        <v>-58740.951818181828</v>
      </c>
    </row>
    <row r="52" spans="1:18">
      <c r="A52" s="719"/>
      <c r="B52" s="713"/>
      <c r="C52" s="713"/>
      <c r="D52" s="705"/>
      <c r="E52" s="1220" t="s">
        <v>138</v>
      </c>
      <c r="F52" s="42"/>
      <c r="G52" s="693"/>
      <c r="H52" s="625"/>
      <c r="I52" s="712" t="s">
        <v>138</v>
      </c>
      <c r="J52" s="42"/>
      <c r="K52" s="693"/>
      <c r="L52" s="625"/>
      <c r="M52" s="705">
        <f t="shared" si="0"/>
        <v>0</v>
      </c>
      <c r="N52" s="23" t="s">
        <v>138</v>
      </c>
      <c r="O52" s="23">
        <f t="shared" si="11"/>
        <v>0</v>
      </c>
      <c r="Q52" s="23">
        <f>+[64]Grasmere!$H54</f>
        <v>0</v>
      </c>
      <c r="R52" s="23">
        <f t="shared" si="2"/>
        <v>0</v>
      </c>
    </row>
    <row r="53" spans="1:18">
      <c r="A53" s="717" t="s">
        <v>1673</v>
      </c>
      <c r="B53" s="718"/>
      <c r="C53" s="718"/>
      <c r="D53" s="1160"/>
      <c r="E53" s="1220">
        <f>+'Grasmere Imported Valuation'!N9</f>
        <v>0</v>
      </c>
      <c r="F53" s="42" t="s">
        <v>138</v>
      </c>
      <c r="G53" s="693">
        <f>+'Grasmere Imported Valuation'!O7</f>
        <v>8584.0190000000002</v>
      </c>
      <c r="H53" s="1673">
        <f>+E53*G53</f>
        <v>0</v>
      </c>
      <c r="I53" s="712">
        <v>0</v>
      </c>
      <c r="J53" s="42" t="s">
        <v>138</v>
      </c>
      <c r="K53" s="385">
        <v>8584.0190000000002</v>
      </c>
      <c r="L53" s="625">
        <v>0</v>
      </c>
      <c r="M53" s="705">
        <f t="shared" si="0"/>
        <v>0</v>
      </c>
      <c r="N53" s="23">
        <f t="shared" si="10"/>
        <v>0</v>
      </c>
      <c r="O53" s="23">
        <f t="shared" si="11"/>
        <v>0</v>
      </c>
      <c r="Q53" s="23">
        <f>+[64]Grasmere!$H55</f>
        <v>103008.228</v>
      </c>
      <c r="R53" s="23">
        <f t="shared" si="2"/>
        <v>-103008.228</v>
      </c>
    </row>
    <row r="54" spans="1:18">
      <c r="A54" s="719"/>
      <c r="B54" s="713"/>
      <c r="C54" s="713"/>
      <c r="D54" s="705"/>
      <c r="E54" s="1220" t="s">
        <v>138</v>
      </c>
      <c r="F54" s="42"/>
      <c r="G54" s="693"/>
      <c r="H54" s="625"/>
      <c r="I54" s="712" t="s">
        <v>138</v>
      </c>
      <c r="J54" s="42"/>
      <c r="K54" s="693"/>
      <c r="L54" s="625"/>
      <c r="M54" s="705">
        <f t="shared" si="0"/>
        <v>0</v>
      </c>
      <c r="N54" s="23" t="s">
        <v>138</v>
      </c>
      <c r="O54" s="23">
        <f t="shared" si="11"/>
        <v>0</v>
      </c>
      <c r="Q54" s="23">
        <f>+[64]Grasmere!$H56</f>
        <v>0</v>
      </c>
      <c r="R54" s="23">
        <f t="shared" si="2"/>
        <v>0</v>
      </c>
    </row>
    <row r="55" spans="1:18">
      <c r="A55" s="717" t="s">
        <v>1674</v>
      </c>
      <c r="B55" s="718"/>
      <c r="C55" s="718"/>
      <c r="D55" s="1160"/>
      <c r="E55" s="1220">
        <f>+'Grasmere Imported Valuation'!R9</f>
        <v>0</v>
      </c>
      <c r="F55" s="42" t="s">
        <v>138</v>
      </c>
      <c r="G55" s="693">
        <f>+'Grasmere Imported Valuation'!S7</f>
        <v>7053.0254545454545</v>
      </c>
      <c r="H55" s="1673">
        <f>+E55*G55</f>
        <v>0</v>
      </c>
      <c r="I55" s="712">
        <v>0</v>
      </c>
      <c r="J55" s="42" t="s">
        <v>138</v>
      </c>
      <c r="K55" s="385">
        <v>7053.0254545454545</v>
      </c>
      <c r="L55" s="625">
        <v>0</v>
      </c>
      <c r="M55" s="705">
        <f t="shared" si="0"/>
        <v>0</v>
      </c>
      <c r="N55" s="23">
        <f t="shared" si="10"/>
        <v>0</v>
      </c>
      <c r="O55" s="23">
        <f t="shared" si="11"/>
        <v>0</v>
      </c>
      <c r="Q55" s="23">
        <f>+[64]Grasmere!$H57</f>
        <v>91689.330909090902</v>
      </c>
      <c r="R55" s="23">
        <f t="shared" si="2"/>
        <v>-91689.330909090902</v>
      </c>
    </row>
    <row r="56" spans="1:18">
      <c r="A56" s="719"/>
      <c r="B56" s="713"/>
      <c r="C56" s="713"/>
      <c r="D56" s="705"/>
      <c r="E56" s="1220" t="s">
        <v>138</v>
      </c>
      <c r="F56" s="42"/>
      <c r="G56" s="693"/>
      <c r="H56" s="625"/>
      <c r="I56" s="712" t="s">
        <v>138</v>
      </c>
      <c r="J56" s="42"/>
      <c r="K56" s="693"/>
      <c r="L56" s="625"/>
      <c r="M56" s="705">
        <f t="shared" si="0"/>
        <v>0</v>
      </c>
      <c r="N56" s="23" t="s">
        <v>138</v>
      </c>
      <c r="O56" s="23">
        <f t="shared" si="11"/>
        <v>0</v>
      </c>
      <c r="Q56" s="23">
        <f>+[64]Grasmere!$H58</f>
        <v>0</v>
      </c>
      <c r="R56" s="23">
        <f t="shared" si="2"/>
        <v>0</v>
      </c>
    </row>
    <row r="57" spans="1:18">
      <c r="A57" s="717" t="s">
        <v>1675</v>
      </c>
      <c r="B57" s="718"/>
      <c r="C57" s="718"/>
      <c r="D57" s="1160"/>
      <c r="E57" s="1220">
        <f>+'Grasmere Imported Valuation'!Z9</f>
        <v>0</v>
      </c>
      <c r="F57" s="42"/>
      <c r="G57" s="693">
        <f>+'Grasmere Imported Valuation'!AA7</f>
        <v>8392.9954366188013</v>
      </c>
      <c r="H57" s="1673">
        <f>+G57*E57</f>
        <v>0</v>
      </c>
      <c r="I57" s="712">
        <v>0</v>
      </c>
      <c r="J57" s="42"/>
      <c r="K57" s="385">
        <v>8392.9954366188013</v>
      </c>
      <c r="L57" s="625">
        <v>0</v>
      </c>
      <c r="M57" s="705">
        <f t="shared" si="0"/>
        <v>0</v>
      </c>
      <c r="N57" s="23">
        <f t="shared" si="10"/>
        <v>0</v>
      </c>
      <c r="O57" s="23">
        <f t="shared" si="11"/>
        <v>0</v>
      </c>
      <c r="Q57" s="23">
        <f>+[64]Grasmere!$H59</f>
        <v>125894.93154928202</v>
      </c>
      <c r="R57" s="23">
        <f t="shared" si="2"/>
        <v>-125894.93154928202</v>
      </c>
    </row>
    <row r="58" spans="1:18">
      <c r="A58" s="719"/>
      <c r="B58" s="713"/>
      <c r="C58" s="713"/>
      <c r="D58" s="705"/>
      <c r="E58" s="1220" t="s">
        <v>138</v>
      </c>
      <c r="F58" s="42"/>
      <c r="G58" s="693"/>
      <c r="H58" s="625"/>
      <c r="I58" s="712" t="s">
        <v>138</v>
      </c>
      <c r="J58" s="42"/>
      <c r="K58" s="693"/>
      <c r="L58" s="625"/>
      <c r="M58" s="705">
        <f t="shared" si="0"/>
        <v>0</v>
      </c>
      <c r="N58" s="23" t="s">
        <v>138</v>
      </c>
      <c r="O58" s="23">
        <f t="shared" si="11"/>
        <v>0</v>
      </c>
      <c r="Q58" s="23">
        <f>+[64]Grasmere!$H60</f>
        <v>0</v>
      </c>
      <c r="R58" s="23">
        <f t="shared" si="2"/>
        <v>0</v>
      </c>
    </row>
    <row r="59" spans="1:18">
      <c r="A59" s="717" t="s">
        <v>1676</v>
      </c>
      <c r="B59" s="718"/>
      <c r="C59" s="718"/>
      <c r="D59" s="1160"/>
      <c r="E59" s="1220">
        <f>+'Grasmere Imported Valuation'!AD9</f>
        <v>0</v>
      </c>
      <c r="F59" s="42"/>
      <c r="G59" s="693">
        <f>+'Grasmere Imported Valuation'!AE7</f>
        <v>9222.8913131313129</v>
      </c>
      <c r="H59" s="1673">
        <f>+E59*G59</f>
        <v>0</v>
      </c>
      <c r="I59" s="712">
        <v>0</v>
      </c>
      <c r="J59" s="42"/>
      <c r="K59" s="385">
        <v>9222.8913131313129</v>
      </c>
      <c r="L59" s="625">
        <v>0</v>
      </c>
      <c r="M59" s="705">
        <f t="shared" si="0"/>
        <v>0</v>
      </c>
      <c r="N59" s="23">
        <f t="shared" si="10"/>
        <v>0</v>
      </c>
      <c r="O59" s="23">
        <f t="shared" si="11"/>
        <v>0</v>
      </c>
      <c r="Q59" s="23">
        <f>+[64]Grasmere!$H61</f>
        <v>119897.58707070707</v>
      </c>
      <c r="R59" s="23">
        <f t="shared" si="2"/>
        <v>-119897.58707070707</v>
      </c>
    </row>
    <row r="60" spans="1:18">
      <c r="A60" s="719"/>
      <c r="B60" s="713"/>
      <c r="C60" s="713"/>
      <c r="D60" s="705"/>
      <c r="E60" s="1220" t="s">
        <v>138</v>
      </c>
      <c r="F60" s="42"/>
      <c r="G60" s="693"/>
      <c r="H60" s="625"/>
      <c r="I60" s="712" t="s">
        <v>138</v>
      </c>
      <c r="J60" s="42"/>
      <c r="K60" s="693"/>
      <c r="L60" s="625"/>
      <c r="M60" s="705">
        <f t="shared" si="0"/>
        <v>0</v>
      </c>
      <c r="N60" s="23" t="s">
        <v>138</v>
      </c>
      <c r="O60" s="23">
        <f t="shared" si="11"/>
        <v>0</v>
      </c>
      <c r="Q60" s="23">
        <f>+[64]Grasmere!$H62</f>
        <v>0</v>
      </c>
      <c r="R60" s="23">
        <f t="shared" si="2"/>
        <v>0</v>
      </c>
    </row>
    <row r="61" spans="1:18">
      <c r="A61" s="717" t="s">
        <v>1677</v>
      </c>
      <c r="B61" s="718"/>
      <c r="C61" s="718"/>
      <c r="D61" s="1160"/>
      <c r="E61" s="1220">
        <f>+'Grasmere Imported Valuation'!AH9</f>
        <v>0</v>
      </c>
      <c r="F61" s="42"/>
      <c r="G61" s="386">
        <f>+'Grasmere Imported Valuation'!AI7</f>
        <v>10017.025</v>
      </c>
      <c r="H61" s="1673">
        <f>+E61*G61</f>
        <v>0</v>
      </c>
      <c r="I61" s="712">
        <v>0</v>
      </c>
      <c r="J61" s="42"/>
      <c r="K61" s="385">
        <v>10017.025</v>
      </c>
      <c r="L61" s="625">
        <v>0</v>
      </c>
      <c r="M61" s="705">
        <f t="shared" si="0"/>
        <v>0</v>
      </c>
      <c r="N61" s="23">
        <f t="shared" si="10"/>
        <v>0</v>
      </c>
      <c r="O61" s="23">
        <f t="shared" si="11"/>
        <v>0</v>
      </c>
      <c r="Q61" s="23">
        <f>+[64]Grasmere!$H63</f>
        <v>170289.42499999999</v>
      </c>
      <c r="R61" s="23">
        <f t="shared" si="2"/>
        <v>-170289.42499999999</v>
      </c>
    </row>
    <row r="62" spans="1:18">
      <c r="A62" s="719"/>
      <c r="B62" s="713"/>
      <c r="C62" s="713"/>
      <c r="D62" s="705"/>
      <c r="E62" s="1220"/>
      <c r="F62" s="42"/>
      <c r="G62" s="386"/>
      <c r="H62" s="625"/>
      <c r="I62" s="712"/>
      <c r="J62" s="42"/>
      <c r="K62" s="693"/>
      <c r="L62" s="625"/>
      <c r="M62" s="705">
        <f t="shared" si="0"/>
        <v>0</v>
      </c>
      <c r="Q62" s="23">
        <f>+[64]Grasmere!$H64</f>
        <v>0</v>
      </c>
      <c r="R62" s="23">
        <f t="shared" si="2"/>
        <v>0</v>
      </c>
    </row>
    <row r="63" spans="1:18">
      <c r="A63" s="717" t="s">
        <v>1678</v>
      </c>
      <c r="B63" s="718"/>
      <c r="C63" s="718"/>
      <c r="D63" s="1160"/>
      <c r="E63" s="1220">
        <f>+'Grasmere Imported Valuation'!AP9</f>
        <v>0</v>
      </c>
      <c r="F63" s="42"/>
      <c r="G63" s="386">
        <f>+'Grasmere Imported Valuation'!AQ7</f>
        <v>8399.1235584543974</v>
      </c>
      <c r="H63" s="1673">
        <f>+E63*G63</f>
        <v>0</v>
      </c>
      <c r="I63" s="712">
        <v>0</v>
      </c>
      <c r="J63" s="42"/>
      <c r="K63" s="385">
        <v>8399.1235584543974</v>
      </c>
      <c r="L63" s="625">
        <v>0</v>
      </c>
      <c r="M63" s="705">
        <f t="shared" si="0"/>
        <v>0</v>
      </c>
      <c r="N63" s="23">
        <f t="shared" si="10"/>
        <v>0</v>
      </c>
      <c r="O63" s="23">
        <f>H63-L63</f>
        <v>0</v>
      </c>
      <c r="Q63" s="23">
        <f>+[64]Grasmere!$H65</f>
        <v>293969.32454590389</v>
      </c>
      <c r="R63" s="23">
        <f t="shared" si="2"/>
        <v>-293969.32454590389</v>
      </c>
    </row>
    <row r="64" spans="1:18">
      <c r="A64" s="719"/>
      <c r="B64" s="713"/>
      <c r="C64" s="713"/>
      <c r="D64" s="705"/>
      <c r="E64" s="1220"/>
      <c r="F64" s="42"/>
      <c r="G64" s="386"/>
      <c r="H64" s="625"/>
      <c r="I64" s="712"/>
      <c r="J64" s="42"/>
      <c r="K64" s="386"/>
      <c r="L64" s="625"/>
      <c r="M64" s="705">
        <f t="shared" si="0"/>
        <v>0</v>
      </c>
      <c r="Q64" s="23">
        <f>+[64]Grasmere!$H66</f>
        <v>0</v>
      </c>
      <c r="R64" s="23">
        <f t="shared" si="2"/>
        <v>0</v>
      </c>
    </row>
    <row r="65" spans="1:19">
      <c r="A65" s="717" t="s">
        <v>1679</v>
      </c>
      <c r="B65" s="718"/>
      <c r="C65" s="718"/>
      <c r="D65" s="1160"/>
      <c r="E65" s="1220">
        <f>+'Grasmere Imported Valuation'!AT9</f>
        <v>0</v>
      </c>
      <c r="F65" s="42"/>
      <c r="G65" s="386">
        <f>+'Grasmere Imported Valuation'!AU7</f>
        <v>16046.636819943167</v>
      </c>
      <c r="H65" s="1673">
        <f>+E65*G65</f>
        <v>0</v>
      </c>
      <c r="I65" s="712">
        <v>1</v>
      </c>
      <c r="J65" s="42"/>
      <c r="K65" s="385">
        <v>16046.636819943167</v>
      </c>
      <c r="L65" s="625">
        <v>16046.636819943167</v>
      </c>
      <c r="M65" s="705">
        <f t="shared" si="0"/>
        <v>-16046.636819943167</v>
      </c>
      <c r="N65" s="23">
        <f>+E65-I65</f>
        <v>-1</v>
      </c>
      <c r="O65" s="23">
        <f>H65-L65</f>
        <v>-16046.636819943167</v>
      </c>
      <c r="Q65" s="23">
        <f>+[64]Grasmere!$H67</f>
        <v>1861409.8711134074</v>
      </c>
      <c r="R65" s="23">
        <f t="shared" si="2"/>
        <v>-1845363.2342934643</v>
      </c>
      <c r="S65" s="23">
        <v>0</v>
      </c>
    </row>
    <row r="66" spans="1:19">
      <c r="A66" s="719"/>
      <c r="B66" s="713"/>
      <c r="C66" s="713"/>
      <c r="D66" s="705"/>
      <c r="E66" s="1220"/>
      <c r="F66" s="42"/>
      <c r="G66" s="386"/>
      <c r="H66" s="625"/>
      <c r="I66" s="712"/>
      <c r="J66" s="42"/>
      <c r="K66" s="385"/>
      <c r="L66" s="625"/>
      <c r="M66" s="705">
        <f t="shared" si="0"/>
        <v>0</v>
      </c>
    </row>
    <row r="67" spans="1:19">
      <c r="A67" s="717" t="s">
        <v>1680</v>
      </c>
      <c r="B67" s="718"/>
      <c r="C67" s="718"/>
      <c r="D67" s="1160"/>
      <c r="E67" s="1220">
        <f>+'Grasmere Imported Valuation'!BB9</f>
        <v>0</v>
      </c>
      <c r="F67" s="42"/>
      <c r="G67" s="386">
        <f>+'Grasmere Imported Valuation'!BC7</f>
        <v>199948.32943761846</v>
      </c>
      <c r="H67" s="1673">
        <f>+E67*G67</f>
        <v>0</v>
      </c>
      <c r="I67" s="712">
        <v>10</v>
      </c>
      <c r="J67" s="42"/>
      <c r="K67" s="386">
        <v>199948.32943761846</v>
      </c>
      <c r="L67" s="625">
        <v>1999483.2943761847</v>
      </c>
      <c r="M67" s="705">
        <f t="shared" si="0"/>
        <v>-1999483.2943761847</v>
      </c>
      <c r="N67" s="23">
        <f>+E67-I67</f>
        <v>-10</v>
      </c>
      <c r="O67" s="23">
        <f>H67-L67</f>
        <v>-1999483.2943761847</v>
      </c>
    </row>
    <row r="68" spans="1:19" s="74" customFormat="1">
      <c r="A68" s="719"/>
      <c r="B68" s="713"/>
      <c r="C68" s="713"/>
      <c r="D68" s="705"/>
      <c r="E68" s="1221"/>
      <c r="F68" s="705"/>
      <c r="G68" s="386"/>
      <c r="H68" s="704"/>
      <c r="I68" s="707"/>
      <c r="J68" s="705"/>
      <c r="K68" s="386"/>
      <c r="L68" s="625"/>
      <c r="M68" s="705">
        <f t="shared" si="0"/>
        <v>0</v>
      </c>
    </row>
    <row r="69" spans="1:19">
      <c r="A69" s="717" t="s">
        <v>1681</v>
      </c>
      <c r="B69" s="718"/>
      <c r="C69" s="718"/>
      <c r="D69" s="1160"/>
      <c r="E69" s="1221">
        <f>+'Grasmere Imported Valuation'!BF9</f>
        <v>0</v>
      </c>
      <c r="F69" s="42"/>
      <c r="G69" s="386">
        <f>+'Grasmere Imported Valuation'!BG7</f>
        <v>234317.26664502168</v>
      </c>
      <c r="H69" s="1673">
        <f>+E69*G69</f>
        <v>0</v>
      </c>
      <c r="I69" s="712">
        <v>3</v>
      </c>
      <c r="J69" s="42"/>
      <c r="K69" s="386">
        <v>234317.26664502168</v>
      </c>
      <c r="L69" s="625">
        <v>702951.79993506498</v>
      </c>
      <c r="M69" s="705">
        <f t="shared" si="0"/>
        <v>-702951.79993506498</v>
      </c>
      <c r="P69" s="23">
        <f>+L69</f>
        <v>702951.79993506498</v>
      </c>
      <c r="Q69" s="23">
        <f>+H69+'Richlands Valuation'!H78</f>
        <v>0</v>
      </c>
      <c r="R69" s="23">
        <f>+P69-Q69</f>
        <v>702951.79993506498</v>
      </c>
    </row>
    <row r="70" spans="1:19" s="74" customFormat="1">
      <c r="A70" s="719"/>
      <c r="B70" s="713"/>
      <c r="C70" s="713"/>
      <c r="D70" s="705"/>
      <c r="E70" s="1221"/>
      <c r="F70" s="705"/>
      <c r="G70" s="386"/>
      <c r="H70" s="704"/>
      <c r="I70" s="707"/>
      <c r="J70" s="705"/>
      <c r="K70" s="386"/>
      <c r="L70" s="704"/>
      <c r="M70" s="705"/>
    </row>
    <row r="71" spans="1:19">
      <c r="A71" s="717" t="s">
        <v>1682</v>
      </c>
      <c r="B71" s="718"/>
      <c r="C71" s="718"/>
      <c r="D71" s="1160"/>
      <c r="E71" s="1221">
        <f>+'Grasmere Imported Valuation'!BJ9</f>
        <v>1</v>
      </c>
      <c r="F71" s="42"/>
      <c r="G71" s="386">
        <f>+'Grasmere Imported Valuation'!BK7</f>
        <v>300760.73609469831</v>
      </c>
      <c r="H71" s="1673">
        <f>+E71*G71</f>
        <v>300760.73609469831</v>
      </c>
      <c r="I71" s="712">
        <v>13</v>
      </c>
      <c r="J71" s="42"/>
      <c r="K71" s="386">
        <v>300760.73609469831</v>
      </c>
      <c r="L71" s="625">
        <v>3909889.569231078</v>
      </c>
      <c r="M71" s="705"/>
    </row>
    <row r="72" spans="1:19" s="74" customFormat="1">
      <c r="A72" s="719"/>
      <c r="B72" s="713"/>
      <c r="C72" s="713"/>
      <c r="D72" s="705"/>
      <c r="E72" s="1221"/>
      <c r="F72" s="705"/>
      <c r="G72" s="386"/>
      <c r="H72" s="704"/>
      <c r="I72" s="707"/>
      <c r="J72" s="705"/>
      <c r="K72" s="386"/>
      <c r="L72" s="704"/>
      <c r="M72" s="705"/>
    </row>
    <row r="73" spans="1:19">
      <c r="A73" s="717" t="s">
        <v>1683</v>
      </c>
      <c r="B73" s="718"/>
      <c r="C73" s="718"/>
      <c r="D73" s="1160"/>
      <c r="E73" s="1221">
        <f>+'Grasmere Imported Valuation'!BN9</f>
        <v>1</v>
      </c>
      <c r="F73" s="42"/>
      <c r="G73" s="386">
        <f>+'Grasmere Imported Valuation'!BO7</f>
        <v>454374.45382046868</v>
      </c>
      <c r="H73" s="1673">
        <f>+E73*G73</f>
        <v>454374.45382046868</v>
      </c>
      <c r="I73" s="712">
        <v>25</v>
      </c>
      <c r="J73" s="42"/>
      <c r="K73" s="386">
        <v>454374.45382046868</v>
      </c>
      <c r="L73" s="625">
        <v>11359361.345511718</v>
      </c>
      <c r="M73" s="705"/>
    </row>
    <row r="74" spans="1:19" s="74" customFormat="1">
      <c r="A74" s="719"/>
      <c r="B74" s="713"/>
      <c r="C74" s="713"/>
      <c r="D74" s="705"/>
      <c r="E74" s="1221"/>
      <c r="F74" s="705"/>
      <c r="G74" s="386"/>
      <c r="H74" s="704"/>
      <c r="I74" s="707"/>
      <c r="J74" s="705"/>
      <c r="K74" s="386"/>
      <c r="L74" s="704"/>
      <c r="M74" s="705"/>
    </row>
    <row r="75" spans="1:19">
      <c r="A75" s="717" t="s">
        <v>1684</v>
      </c>
      <c r="B75" s="718"/>
      <c r="C75" s="718"/>
      <c r="D75" s="1160"/>
      <c r="E75" s="1221">
        <f>+'Grasmere Imported Valuation'!BR9</f>
        <v>1</v>
      </c>
      <c r="F75" s="42"/>
      <c r="G75" s="386">
        <f>+'Grasmere Imported Valuation'!BS7</f>
        <v>678679.52865999355</v>
      </c>
      <c r="H75" s="1673">
        <f>+E75*G75</f>
        <v>678679.52865999355</v>
      </c>
      <c r="I75" s="712">
        <v>34</v>
      </c>
      <c r="J75" s="42"/>
      <c r="K75" s="386">
        <v>678679.52865999355</v>
      </c>
      <c r="L75" s="625">
        <v>23075103.974439781</v>
      </c>
      <c r="M75" s="705"/>
    </row>
    <row r="76" spans="1:19" s="74" customFormat="1">
      <c r="A76" s="719"/>
      <c r="B76" s="713"/>
      <c r="C76" s="713"/>
      <c r="D76" s="705"/>
      <c r="E76" s="1221"/>
      <c r="F76" s="705"/>
      <c r="G76" s="386"/>
      <c r="H76" s="704"/>
      <c r="I76" s="707"/>
      <c r="J76" s="705"/>
      <c r="K76" s="386"/>
      <c r="L76" s="705"/>
      <c r="M76" s="705"/>
    </row>
    <row r="77" spans="1:19">
      <c r="A77" s="717" t="s">
        <v>1685</v>
      </c>
      <c r="B77" s="718"/>
      <c r="C77" s="718"/>
      <c r="D77" s="1160"/>
      <c r="E77" s="1221">
        <f>'Grasmere Imported Valuation'!BV9</f>
        <v>4</v>
      </c>
      <c r="F77" s="42"/>
      <c r="G77" s="386">
        <f>+'Grasmere Imported Valuation'!BW7</f>
        <v>1928201.8379708324</v>
      </c>
      <c r="H77" s="1673">
        <f>+E77*G77</f>
        <v>7712807.3518833295</v>
      </c>
      <c r="I77" s="712">
        <v>35</v>
      </c>
      <c r="J77" s="42"/>
      <c r="K77" s="386">
        <v>1928201.8379708324</v>
      </c>
      <c r="L77" s="42">
        <v>67487064.328979135</v>
      </c>
      <c r="M77" s="705"/>
    </row>
    <row r="78" spans="1:19" s="74" customFormat="1">
      <c r="A78" s="719"/>
      <c r="B78" s="713"/>
      <c r="C78" s="713"/>
      <c r="D78" s="705"/>
      <c r="E78" s="1221"/>
      <c r="F78" s="705"/>
      <c r="G78" s="386"/>
      <c r="H78" s="704"/>
      <c r="I78" s="707"/>
      <c r="J78" s="705"/>
      <c r="K78" s="386"/>
      <c r="L78" s="705"/>
      <c r="M78" s="705"/>
    </row>
    <row r="79" spans="1:19">
      <c r="A79" s="717" t="s">
        <v>1686</v>
      </c>
      <c r="B79" s="718"/>
      <c r="C79" s="718"/>
      <c r="D79" s="1160"/>
      <c r="E79" s="1221">
        <f>'Grasmere Imported Valuation'!CD9</f>
        <v>8</v>
      </c>
      <c r="F79" s="42"/>
      <c r="G79" s="386">
        <f>+'Grasmere Imported Valuation'!CE7</f>
        <v>1718030.6987312208</v>
      </c>
      <c r="H79" s="1673">
        <f>+E79*G79</f>
        <v>13744245.589849766</v>
      </c>
      <c r="I79" s="712">
        <v>36</v>
      </c>
      <c r="J79" s="42"/>
      <c r="K79" s="386">
        <v>1718030.6987312208</v>
      </c>
      <c r="L79" s="42">
        <v>61849105.15432395</v>
      </c>
      <c r="M79" s="705"/>
    </row>
    <row r="80" spans="1:19" s="74" customFormat="1">
      <c r="A80" s="719"/>
      <c r="B80" s="713"/>
      <c r="C80" s="713"/>
      <c r="D80" s="705"/>
      <c r="E80" s="1221"/>
      <c r="F80" s="705"/>
      <c r="G80" s="386"/>
      <c r="H80" s="704"/>
      <c r="I80" s="707"/>
      <c r="J80" s="705"/>
      <c r="K80" s="386"/>
      <c r="L80" s="705"/>
      <c r="M80" s="705"/>
    </row>
    <row r="81" spans="1:23" s="74" customFormat="1">
      <c r="A81" s="717" t="s">
        <v>1687</v>
      </c>
      <c r="B81" s="718"/>
      <c r="C81" s="718"/>
      <c r="D81" s="1160"/>
      <c r="E81" s="1221">
        <f>'Grasmere Imported Valuation'!CH9</f>
        <v>10</v>
      </c>
      <c r="F81" s="705"/>
      <c r="G81" s="386">
        <f>'Grasmere Imported Valuation'!CI7</f>
        <v>4481824.7167510167</v>
      </c>
      <c r="H81" s="1673">
        <f>+E81*G81</f>
        <v>44818247.167510167</v>
      </c>
      <c r="I81" s="707">
        <v>46</v>
      </c>
      <c r="J81" s="705"/>
      <c r="K81" s="386">
        <v>4481824.7167510167</v>
      </c>
      <c r="L81" s="705">
        <v>206163936.97054678</v>
      </c>
      <c r="M81" s="705"/>
    </row>
    <row r="82" spans="1:23" s="74" customFormat="1">
      <c r="A82" s="719"/>
      <c r="B82" s="713"/>
      <c r="C82" s="713"/>
      <c r="D82" s="705"/>
      <c r="E82" s="1221"/>
      <c r="F82" s="705"/>
      <c r="G82" s="386"/>
      <c r="H82" s="704"/>
      <c r="I82" s="707"/>
      <c r="J82" s="705"/>
      <c r="K82" s="386"/>
      <c r="L82" s="705"/>
      <c r="M82" s="705"/>
    </row>
    <row r="83" spans="1:23" s="74" customFormat="1">
      <c r="A83" s="717" t="s">
        <v>1688</v>
      </c>
      <c r="B83" s="718"/>
      <c r="C83" s="718"/>
      <c r="D83" s="1160"/>
      <c r="E83" s="1221">
        <f>'Grasmere Imported Valuation'!CL9</f>
        <v>13</v>
      </c>
      <c r="F83" s="705"/>
      <c r="G83" s="386">
        <f>'Grasmere Imported Valuation'!CN7</f>
        <v>151215.79704927831</v>
      </c>
      <c r="H83" s="1673"/>
      <c r="I83" s="707">
        <v>52</v>
      </c>
      <c r="J83" s="705"/>
      <c r="K83" s="386">
        <v>151215.79704927831</v>
      </c>
      <c r="L83" s="705"/>
      <c r="M83" s="705"/>
    </row>
    <row r="84" spans="1:23" s="74" customFormat="1">
      <c r="A84" s="719"/>
      <c r="B84" s="719"/>
      <c r="C84" s="719"/>
      <c r="D84" s="719"/>
      <c r="E84" s="1221"/>
      <c r="F84" s="705"/>
      <c r="G84" s="386"/>
      <c r="H84" s="1673"/>
      <c r="I84" s="707"/>
      <c r="J84" s="705"/>
      <c r="K84" s="386"/>
      <c r="L84" s="705"/>
      <c r="M84" s="705"/>
    </row>
    <row r="85" spans="1:23" s="74" customFormat="1">
      <c r="A85" s="717" t="s">
        <v>1689</v>
      </c>
      <c r="B85" s="718"/>
      <c r="C85" s="718"/>
      <c r="D85" s="1160"/>
      <c r="E85" s="1221">
        <f>'Grasmere Imported Valuation'!CP9</f>
        <v>22</v>
      </c>
      <c r="F85" s="705"/>
      <c r="G85" s="386"/>
      <c r="H85" s="1673"/>
      <c r="I85" s="707">
        <v>63</v>
      </c>
      <c r="J85" s="705"/>
      <c r="K85" s="386"/>
      <c r="L85" s="705"/>
      <c r="M85" s="705"/>
    </row>
    <row r="86" spans="1:23" s="74" customFormat="1">
      <c r="A86" s="719"/>
      <c r="B86" s="719"/>
      <c r="C86" s="719"/>
      <c r="D86" s="719"/>
      <c r="E86" s="1221"/>
      <c r="F86" s="705"/>
      <c r="G86" s="386"/>
      <c r="H86" s="1673"/>
      <c r="I86" s="707"/>
      <c r="J86" s="705"/>
      <c r="K86" s="386"/>
      <c r="L86" s="705"/>
      <c r="M86" s="705"/>
    </row>
    <row r="87" spans="1:23" s="74" customFormat="1">
      <c r="A87" s="717" t="s">
        <v>1690</v>
      </c>
      <c r="B87" s="718"/>
      <c r="C87" s="718"/>
      <c r="D87" s="1160"/>
      <c r="E87" s="1221">
        <f>'Grasmere Imported Valuation'!CT9</f>
        <v>14</v>
      </c>
      <c r="F87" s="705"/>
      <c r="G87" s="386"/>
      <c r="H87" s="1673"/>
      <c r="I87" s="707">
        <v>62</v>
      </c>
      <c r="J87" s="705"/>
      <c r="K87" s="386"/>
      <c r="L87" s="705"/>
      <c r="M87" s="705"/>
    </row>
    <row r="88" spans="1:23" s="74" customFormat="1">
      <c r="A88" s="717"/>
      <c r="B88" s="718"/>
      <c r="C88" s="718"/>
      <c r="D88" s="1160"/>
      <c r="E88" s="1221"/>
      <c r="F88" s="705"/>
      <c r="G88" s="386"/>
      <c r="H88" s="1673"/>
      <c r="I88" s="707"/>
      <c r="J88" s="705"/>
      <c r="K88" s="386"/>
      <c r="L88" s="705"/>
      <c r="M88" s="705"/>
    </row>
    <row r="89" spans="1:23" s="74" customFormat="1">
      <c r="A89" s="717" t="s">
        <v>1691</v>
      </c>
      <c r="B89" s="718"/>
      <c r="C89" s="718"/>
      <c r="D89" s="1160"/>
      <c r="E89" s="1221">
        <f>'Grasmere Imported Valuation'!CX9</f>
        <v>21</v>
      </c>
      <c r="F89" s="705"/>
      <c r="G89" s="386"/>
      <c r="H89" s="1673"/>
      <c r="I89" s="707"/>
      <c r="J89" s="705"/>
      <c r="K89" s="386"/>
      <c r="L89" s="705"/>
      <c r="M89" s="705"/>
    </row>
    <row r="90" spans="1:23" s="74" customFormat="1">
      <c r="A90" s="717"/>
      <c r="B90" s="718"/>
      <c r="C90" s="718"/>
      <c r="D90" s="1160"/>
      <c r="E90" s="1221"/>
      <c r="F90" s="705"/>
      <c r="G90" s="386"/>
      <c r="H90" s="1673"/>
      <c r="I90" s="707"/>
      <c r="J90" s="705"/>
      <c r="K90" s="386"/>
      <c r="L90" s="705"/>
      <c r="M90" s="705"/>
    </row>
    <row r="91" spans="1:23" s="74" customFormat="1">
      <c r="A91" s="717" t="s">
        <v>1692</v>
      </c>
      <c r="B91" s="718"/>
      <c r="C91" s="718"/>
      <c r="D91" s="1160"/>
      <c r="E91" s="1221">
        <f>'Grasmere Imported Valuation'!DB9</f>
        <v>23</v>
      </c>
      <c r="F91" s="705"/>
      <c r="G91" s="386"/>
      <c r="H91" s="1673"/>
      <c r="I91" s="707"/>
      <c r="J91" s="705"/>
      <c r="K91" s="386"/>
      <c r="L91" s="705"/>
      <c r="M91" s="705"/>
    </row>
    <row r="92" spans="1:23" s="74" customFormat="1">
      <c r="A92" s="717"/>
      <c r="B92" s="718"/>
      <c r="C92" s="718"/>
      <c r="D92" s="1160"/>
      <c r="E92" s="1221"/>
      <c r="F92" s="705"/>
      <c r="G92" s="386"/>
      <c r="H92" s="1673"/>
      <c r="I92" s="707"/>
      <c r="J92" s="705"/>
      <c r="K92" s="386"/>
      <c r="L92" s="705"/>
      <c r="M92" s="705"/>
    </row>
    <row r="93" spans="1:23" s="74" customFormat="1">
      <c r="A93" s="717"/>
      <c r="B93" s="718"/>
      <c r="C93" s="718"/>
      <c r="D93" s="1160"/>
      <c r="E93" s="1221"/>
      <c r="F93" s="705"/>
      <c r="G93" s="386"/>
      <c r="H93" s="1673"/>
      <c r="I93" s="707"/>
      <c r="J93" s="705"/>
      <c r="K93" s="386"/>
      <c r="L93" s="705"/>
      <c r="M93" s="705"/>
    </row>
    <row r="94" spans="1:23" s="31" customFormat="1">
      <c r="A94" s="694"/>
      <c r="B94" s="786" t="s">
        <v>207</v>
      </c>
      <c r="C94" s="1056">
        <f>+E94-D94</f>
        <v>0</v>
      </c>
      <c r="D94" s="737">
        <f>+'Grasmere Imported Valuation'!DN9</f>
        <v>118</v>
      </c>
      <c r="E94" s="1672">
        <f>SUM(E47:E91)</f>
        <v>118</v>
      </c>
      <c r="F94" s="695" t="s">
        <v>138</v>
      </c>
      <c r="G94" s="696"/>
      <c r="H94" s="1642">
        <f>SUM(H47:H81)</f>
        <v>67709114.827818424</v>
      </c>
      <c r="I94" s="1672">
        <f>SUM(I47:I87)</f>
        <v>380</v>
      </c>
      <c r="J94" s="695" t="s">
        <v>138</v>
      </c>
      <c r="K94" s="696"/>
      <c r="L94" s="1642">
        <f>SUM(L47:L81)</f>
        <v>376562943.07416362</v>
      </c>
      <c r="M94" s="61">
        <f>+H94-L94</f>
        <v>-308853828.24634516</v>
      </c>
      <c r="O94" s="31">
        <f>H94-L94</f>
        <v>-308853828.24634516</v>
      </c>
      <c r="Q94" s="31">
        <f>+[64]Grasmere!$H68</f>
        <v>0</v>
      </c>
      <c r="R94" s="31">
        <f t="shared" si="2"/>
        <v>376562943.07416362</v>
      </c>
      <c r="S94" s="31">
        <v>0</v>
      </c>
    </row>
    <row r="95" spans="1:23">
      <c r="A95" s="694"/>
      <c r="B95" s="706"/>
      <c r="C95" s="706"/>
      <c r="D95" s="42"/>
      <c r="E95" s="1220"/>
      <c r="F95" s="42"/>
      <c r="G95" s="693"/>
      <c r="H95" s="725"/>
      <c r="I95" s="712"/>
      <c r="J95" s="42"/>
      <c r="K95" s="693"/>
      <c r="L95" s="725"/>
      <c r="M95" s="705"/>
    </row>
    <row r="96" spans="1:23">
      <c r="A96" s="717" t="s">
        <v>1693</v>
      </c>
      <c r="B96" s="718"/>
      <c r="C96" s="718"/>
      <c r="D96" s="1160"/>
      <c r="E96" s="1220">
        <f>+'Grasmere Imported Valuation'!F21</f>
        <v>0</v>
      </c>
      <c r="F96" s="42"/>
      <c r="G96" s="726">
        <f>+'Grasmere Imported Valuation'!G19</f>
        <v>11049.845000000001</v>
      </c>
      <c r="H96" s="1674">
        <f>+E96*G96</f>
        <v>0</v>
      </c>
      <c r="I96" s="712">
        <v>0</v>
      </c>
      <c r="J96" s="42"/>
      <c r="K96" s="385">
        <v>11049.845000000001</v>
      </c>
      <c r="L96" s="725">
        <v>0</v>
      </c>
      <c r="M96" s="705">
        <f t="shared" ref="M96:M114" si="12">+H96-L96</f>
        <v>0</v>
      </c>
      <c r="N96" s="23">
        <f t="shared" ref="N96:N112" si="13">+E96-I96</f>
        <v>0</v>
      </c>
      <c r="O96" s="23">
        <f>H96-L96</f>
        <v>0</v>
      </c>
      <c r="Q96" s="23">
        <f>+[64]Grasmere!$H91</f>
        <v>33149.535000000003</v>
      </c>
      <c r="R96" s="23">
        <f t="shared" ref="R96:R144" si="14">+L96-Q96</f>
        <v>-33149.535000000003</v>
      </c>
      <c r="W96" s="23" t="s">
        <v>138</v>
      </c>
    </row>
    <row r="97" spans="1:25">
      <c r="A97" s="694"/>
      <c r="B97" s="706"/>
      <c r="C97" s="706"/>
      <c r="D97" s="42"/>
      <c r="E97" s="1220" t="s">
        <v>138</v>
      </c>
      <c r="F97" s="42"/>
      <c r="G97" s="726"/>
      <c r="H97" s="725"/>
      <c r="I97" s="712" t="s">
        <v>138</v>
      </c>
      <c r="J97" s="42"/>
      <c r="K97" s="693"/>
      <c r="L97" s="725"/>
      <c r="M97" s="705">
        <v>0</v>
      </c>
      <c r="O97" s="23">
        <v>0</v>
      </c>
      <c r="Q97" s="23">
        <f>+[64]Grasmere!$H92</f>
        <v>0</v>
      </c>
      <c r="R97" s="23" t="s">
        <v>138</v>
      </c>
    </row>
    <row r="98" spans="1:25">
      <c r="A98" s="717" t="s">
        <v>1694</v>
      </c>
      <c r="B98" s="718"/>
      <c r="C98" s="718"/>
      <c r="D98" s="1160"/>
      <c r="E98" s="1220">
        <f>+'Grasmere Imported Valuation'!Z21</f>
        <v>1</v>
      </c>
      <c r="F98" s="42"/>
      <c r="G98" s="726">
        <f>+'Grasmere Imported Valuation'!AA19</f>
        <v>7817.9226160729513</v>
      </c>
      <c r="H98" s="1674">
        <f>+E98*G98</f>
        <v>7817.9226160729513</v>
      </c>
      <c r="I98" s="712">
        <v>3</v>
      </c>
      <c r="J98" s="42"/>
      <c r="K98" s="385">
        <v>7817.9226160729513</v>
      </c>
      <c r="L98" s="725">
        <v>23453.767848218853</v>
      </c>
      <c r="M98" s="705">
        <f t="shared" si="12"/>
        <v>-15635.845232145901</v>
      </c>
      <c r="N98" s="23">
        <f t="shared" si="13"/>
        <v>-2</v>
      </c>
      <c r="O98" s="23">
        <f>H98-L98</f>
        <v>-15635.845232145901</v>
      </c>
      <c r="Q98" s="23">
        <f>+[64]Grasmere!$H93</f>
        <v>54725.458312510658</v>
      </c>
      <c r="R98" s="23">
        <f t="shared" si="14"/>
        <v>-31271.690464291805</v>
      </c>
      <c r="W98" s="23">
        <f>SUM(W96:W97)</f>
        <v>0</v>
      </c>
    </row>
    <row r="99" spans="1:25">
      <c r="A99" s="694"/>
      <c r="B99" s="706"/>
      <c r="C99" s="706"/>
      <c r="D99" s="42"/>
      <c r="E99" s="1220" t="s">
        <v>138</v>
      </c>
      <c r="F99" s="42"/>
      <c r="G99" s="726"/>
      <c r="H99" s="725"/>
      <c r="I99" s="712" t="s">
        <v>138</v>
      </c>
      <c r="J99" s="42"/>
      <c r="K99" s="693"/>
      <c r="L99" s="725"/>
      <c r="M99" s="705">
        <v>0</v>
      </c>
      <c r="O99" s="23">
        <v>0</v>
      </c>
      <c r="Q99" s="23">
        <f>+[64]Grasmere!$H94</f>
        <v>0</v>
      </c>
      <c r="R99" s="23" t="s">
        <v>138</v>
      </c>
    </row>
    <row r="100" spans="1:25">
      <c r="A100" s="717" t="s">
        <v>1695</v>
      </c>
      <c r="B100" s="718"/>
      <c r="C100" s="718"/>
      <c r="D100" s="1160"/>
      <c r="E100" s="1220">
        <f>+'Grasmere Imported Valuation'!AD21</f>
        <v>0</v>
      </c>
      <c r="F100" s="42"/>
      <c r="G100" s="726">
        <f>+'Grasmere Imported Valuation'!AE19</f>
        <v>9815.8719999999994</v>
      </c>
      <c r="H100" s="1674">
        <f>+E100*G100</f>
        <v>0</v>
      </c>
      <c r="I100" s="712">
        <v>0</v>
      </c>
      <c r="J100" s="42"/>
      <c r="K100" s="385">
        <v>9815.8719999999994</v>
      </c>
      <c r="L100" s="725">
        <v>0</v>
      </c>
      <c r="M100" s="705">
        <f t="shared" si="12"/>
        <v>0</v>
      </c>
      <c r="N100" s="23">
        <f t="shared" si="13"/>
        <v>0</v>
      </c>
      <c r="O100" s="23">
        <f>H100-L100</f>
        <v>0</v>
      </c>
      <c r="Q100" s="23">
        <f>+[64]Grasmere!$H95</f>
        <v>39263.487999999998</v>
      </c>
      <c r="R100" s="23">
        <f t="shared" si="14"/>
        <v>-39263.487999999998</v>
      </c>
    </row>
    <row r="101" spans="1:25">
      <c r="A101" s="694"/>
      <c r="B101" s="706"/>
      <c r="C101" s="706"/>
      <c r="D101" s="42"/>
      <c r="E101" s="1220" t="s">
        <v>138</v>
      </c>
      <c r="F101" s="42"/>
      <c r="G101" s="726"/>
      <c r="H101" s="725"/>
      <c r="I101" s="712" t="s">
        <v>138</v>
      </c>
      <c r="J101" s="42"/>
      <c r="K101" s="693"/>
      <c r="L101" s="725"/>
      <c r="M101" s="705">
        <v>0</v>
      </c>
      <c r="O101" s="23">
        <v>0</v>
      </c>
      <c r="Q101" s="23">
        <f>+[64]Grasmere!$H96</f>
        <v>0</v>
      </c>
      <c r="R101" s="23" t="s">
        <v>138</v>
      </c>
    </row>
    <row r="102" spans="1:25">
      <c r="A102" s="717" t="s">
        <v>1696</v>
      </c>
      <c r="B102" s="718"/>
      <c r="C102" s="718"/>
      <c r="D102" s="1160"/>
      <c r="E102" s="1220">
        <f>+'Richlands Imported Valuation'!B37</f>
        <v>0</v>
      </c>
      <c r="F102" s="42"/>
      <c r="G102" s="726">
        <f>+'Richlands Imported Valuation'!C35</f>
        <v>0</v>
      </c>
      <c r="H102" s="1674">
        <f>+E102*G102</f>
        <v>0</v>
      </c>
      <c r="I102" s="712">
        <v>0</v>
      </c>
      <c r="J102" s="42"/>
      <c r="K102" s="385">
        <v>14987.008573253488</v>
      </c>
      <c r="L102" s="725">
        <v>0</v>
      </c>
      <c r="M102" s="705">
        <f t="shared" si="12"/>
        <v>0</v>
      </c>
      <c r="N102" s="23">
        <f t="shared" si="13"/>
        <v>0</v>
      </c>
      <c r="O102" s="23">
        <f>H102-L102</f>
        <v>0</v>
      </c>
      <c r="Q102" s="23">
        <f>+[64]Grasmere!$H97</f>
        <v>44961.025719760466</v>
      </c>
      <c r="R102" s="23">
        <f t="shared" si="14"/>
        <v>-44961.025719760466</v>
      </c>
    </row>
    <row r="103" spans="1:25">
      <c r="A103" s="694"/>
      <c r="B103" s="706"/>
      <c r="C103" s="706"/>
      <c r="D103" s="42"/>
      <c r="E103" s="1220" t="s">
        <v>138</v>
      </c>
      <c r="F103" s="42"/>
      <c r="G103" s="726"/>
      <c r="H103" s="725"/>
      <c r="I103" s="712" t="s">
        <v>138</v>
      </c>
      <c r="J103" s="42"/>
      <c r="K103" s="693"/>
      <c r="L103" s="725"/>
      <c r="M103" s="705">
        <v>0</v>
      </c>
      <c r="O103" s="23">
        <v>0</v>
      </c>
      <c r="Q103" s="23">
        <f>+[64]Grasmere!$H98</f>
        <v>0</v>
      </c>
      <c r="R103" s="23" t="s">
        <v>138</v>
      </c>
    </row>
    <row r="104" spans="1:25">
      <c r="A104" s="717" t="s">
        <v>1697</v>
      </c>
      <c r="B104" s="718"/>
      <c r="C104" s="718"/>
      <c r="D104" s="1160"/>
      <c r="E104" s="1220">
        <f>+'Grasmere Imported Valuation'!V21</f>
        <v>0</v>
      </c>
      <c r="F104" s="42"/>
      <c r="G104" s="726">
        <f>+'Grasmere Imported Valuation'!W19</f>
        <v>10835.36</v>
      </c>
      <c r="H104" s="1674">
        <f>+E104*G104</f>
        <v>0</v>
      </c>
      <c r="I104" s="712">
        <v>0</v>
      </c>
      <c r="J104" s="42"/>
      <c r="K104" s="385">
        <v>10835.36</v>
      </c>
      <c r="L104" s="725">
        <v>0</v>
      </c>
      <c r="M104" s="705">
        <f t="shared" si="12"/>
        <v>0</v>
      </c>
      <c r="N104" s="23">
        <f t="shared" si="13"/>
        <v>0</v>
      </c>
      <c r="O104" s="23">
        <f>H104-L104</f>
        <v>0</v>
      </c>
      <c r="Q104" s="23">
        <f>+[64]Grasmere!$H99</f>
        <v>43341.440000000002</v>
      </c>
      <c r="R104" s="23">
        <f t="shared" si="14"/>
        <v>-43341.440000000002</v>
      </c>
    </row>
    <row r="105" spans="1:25">
      <c r="A105" s="694"/>
      <c r="B105" s="706"/>
      <c r="C105" s="706"/>
      <c r="D105" s="42"/>
      <c r="E105" s="1220"/>
      <c r="F105" s="42"/>
      <c r="G105" s="726"/>
      <c r="H105" s="725"/>
      <c r="I105" s="712"/>
      <c r="J105" s="42"/>
      <c r="K105" s="693"/>
      <c r="L105" s="725"/>
      <c r="M105" s="705">
        <f t="shared" si="12"/>
        <v>0</v>
      </c>
      <c r="Q105" s="23">
        <f>+[64]Grasmere!$H100</f>
        <v>0</v>
      </c>
      <c r="R105" s="23">
        <f t="shared" si="14"/>
        <v>0</v>
      </c>
    </row>
    <row r="106" spans="1:25">
      <c r="A106" s="717" t="s">
        <v>1698</v>
      </c>
      <c r="B106" s="718"/>
      <c r="C106" s="718"/>
      <c r="D106" s="1160"/>
      <c r="E106" s="1221">
        <f>+'Grasmere Imported Valuation'!AP21</f>
        <v>1</v>
      </c>
      <c r="F106" s="42"/>
      <c r="G106" s="726">
        <f>+'Grasmere Imported Valuation'!AQ19</f>
        <v>7358.9425580510087</v>
      </c>
      <c r="H106" s="1674">
        <f>+E106*G106</f>
        <v>7358.9425580510087</v>
      </c>
      <c r="I106" s="712">
        <v>1</v>
      </c>
      <c r="J106" s="42"/>
      <c r="K106" s="385">
        <v>7358.9425580510087</v>
      </c>
      <c r="L106" s="725">
        <v>7358.9425580510087</v>
      </c>
      <c r="M106" s="705">
        <f t="shared" si="12"/>
        <v>0</v>
      </c>
      <c r="N106" s="23">
        <f t="shared" si="13"/>
        <v>0</v>
      </c>
      <c r="O106" s="23">
        <f>H106-L106</f>
        <v>0</v>
      </c>
      <c r="Q106" s="23">
        <f>+[64]Grasmere!$H101</f>
        <v>29435.770232204035</v>
      </c>
      <c r="R106" s="23">
        <f t="shared" si="14"/>
        <v>-22076.827674153028</v>
      </c>
    </row>
    <row r="107" spans="1:25">
      <c r="A107" s="694"/>
      <c r="B107" s="706"/>
      <c r="C107" s="706"/>
      <c r="D107" s="42"/>
      <c r="E107" s="1220"/>
      <c r="F107" s="42"/>
      <c r="G107" s="726"/>
      <c r="H107" s="725"/>
      <c r="I107" s="712"/>
      <c r="J107" s="42"/>
      <c r="K107" s="726"/>
      <c r="L107" s="725"/>
      <c r="M107" s="705">
        <f t="shared" si="12"/>
        <v>0</v>
      </c>
      <c r="Q107" s="23">
        <f>+[64]Grasmere!$H102</f>
        <v>0</v>
      </c>
      <c r="R107" s="23">
        <f t="shared" si="14"/>
        <v>0</v>
      </c>
    </row>
    <row r="108" spans="1:25">
      <c r="A108" s="717" t="s">
        <v>1699</v>
      </c>
      <c r="B108" s="718"/>
      <c r="C108" s="718"/>
      <c r="D108" s="1160"/>
      <c r="E108" s="1221">
        <f>+'Grasmere Imported Valuation'!AT21</f>
        <v>1</v>
      </c>
      <c r="F108" s="42"/>
      <c r="G108" s="726">
        <f>+'Grasmere Imported Valuation'!AU19</f>
        <v>16377.627951668586</v>
      </c>
      <c r="H108" s="1674">
        <f>+E108*G108</f>
        <v>16377.627951668586</v>
      </c>
      <c r="I108" s="712">
        <v>1</v>
      </c>
      <c r="J108" s="42"/>
      <c r="K108" s="385">
        <v>16377.627951668586</v>
      </c>
      <c r="L108" s="725">
        <v>16377.627951668586</v>
      </c>
      <c r="M108" s="705">
        <f t="shared" si="12"/>
        <v>0</v>
      </c>
      <c r="N108" s="23">
        <f t="shared" si="13"/>
        <v>0</v>
      </c>
      <c r="Q108" s="23">
        <f>+[64]Grasmere!$H103</f>
        <v>163776.27951668587</v>
      </c>
      <c r="R108" s="23">
        <f t="shared" si="14"/>
        <v>-147398.6515650173</v>
      </c>
    </row>
    <row r="109" spans="1:25">
      <c r="A109" s="694"/>
      <c r="B109" s="706"/>
      <c r="C109" s="706"/>
      <c r="D109" s="42"/>
      <c r="E109" s="1220"/>
      <c r="F109" s="42"/>
      <c r="G109" s="726"/>
      <c r="H109" s="725"/>
      <c r="I109" s="712"/>
      <c r="J109" s="42"/>
      <c r="K109" s="385"/>
      <c r="L109" s="725"/>
      <c r="M109" s="705">
        <f t="shared" si="12"/>
        <v>0</v>
      </c>
      <c r="Q109" s="23">
        <f>+[64]Grasmere!$H104</f>
        <v>0</v>
      </c>
      <c r="R109" s="23">
        <f t="shared" si="14"/>
        <v>0</v>
      </c>
    </row>
    <row r="110" spans="1:25">
      <c r="A110" s="717" t="s">
        <v>1700</v>
      </c>
      <c r="B110" s="718"/>
      <c r="C110" s="718"/>
      <c r="D110" s="1160"/>
      <c r="E110" s="1221">
        <f>+'Grasmere Imported Valuation'!AX21</f>
        <v>1</v>
      </c>
      <c r="F110" s="42"/>
      <c r="G110" s="726">
        <f>+'Grasmere Imported Valuation'!AY19</f>
        <v>76871.666666666672</v>
      </c>
      <c r="H110" s="1674">
        <f>+E110*G110</f>
        <v>76871.666666666672</v>
      </c>
      <c r="I110" s="712">
        <v>1</v>
      </c>
      <c r="J110" s="42"/>
      <c r="K110" s="726">
        <v>76871.666666666672</v>
      </c>
      <c r="L110" s="725">
        <v>76871.666666666672</v>
      </c>
      <c r="M110" s="705">
        <f>+H110-L110</f>
        <v>0</v>
      </c>
      <c r="N110" s="23">
        <f t="shared" si="13"/>
        <v>0</v>
      </c>
      <c r="Q110" s="23">
        <f>+[64]Grasmere!$H105</f>
        <v>461230</v>
      </c>
      <c r="R110" s="23">
        <f t="shared" si="14"/>
        <v>-384358.33333333331</v>
      </c>
      <c r="Y110" s="23">
        <f>49-24-5-8</f>
        <v>12</v>
      </c>
    </row>
    <row r="111" spans="1:25">
      <c r="A111" s="694"/>
      <c r="B111" s="706"/>
      <c r="C111" s="706"/>
      <c r="D111" s="42"/>
      <c r="E111" s="1220"/>
      <c r="F111" s="42"/>
      <c r="G111" s="726"/>
      <c r="H111" s="725"/>
      <c r="I111" s="712"/>
      <c r="J111" s="42"/>
      <c r="K111" s="726"/>
      <c r="L111" s="725"/>
      <c r="M111" s="705">
        <f t="shared" si="12"/>
        <v>0</v>
      </c>
    </row>
    <row r="112" spans="1:25">
      <c r="A112" s="717" t="s">
        <v>1701</v>
      </c>
      <c r="B112" s="718"/>
      <c r="C112" s="718"/>
      <c r="D112" s="1160"/>
      <c r="E112" s="1220">
        <f>+'Grasmere Imported Valuation'!BB21</f>
        <v>0</v>
      </c>
      <c r="F112" s="42"/>
      <c r="G112" s="726">
        <f>+'Grasmere Imported Valuation'!BC19</f>
        <v>192558.29391729325</v>
      </c>
      <c r="H112" s="1674">
        <f>+E112*G112</f>
        <v>0</v>
      </c>
      <c r="I112" s="712">
        <v>2</v>
      </c>
      <c r="J112" s="42"/>
      <c r="K112" s="726">
        <v>192558.29391729325</v>
      </c>
      <c r="L112" s="725">
        <v>385116.58783458651</v>
      </c>
      <c r="M112" s="705">
        <f t="shared" si="12"/>
        <v>-385116.58783458651</v>
      </c>
      <c r="N112" s="23">
        <f t="shared" si="13"/>
        <v>-2</v>
      </c>
    </row>
    <row r="113" spans="1:13" s="74" customFormat="1">
      <c r="A113" s="719"/>
      <c r="B113" s="713"/>
      <c r="C113" s="713"/>
      <c r="D113" s="705"/>
      <c r="E113" s="1221"/>
      <c r="F113" s="705"/>
      <c r="G113" s="726"/>
      <c r="H113" s="725"/>
      <c r="I113" s="707"/>
      <c r="J113" s="705"/>
      <c r="K113" s="726"/>
      <c r="L113" s="725"/>
      <c r="M113" s="705">
        <f t="shared" si="12"/>
        <v>0</v>
      </c>
    </row>
    <row r="114" spans="1:13">
      <c r="A114" s="717" t="s">
        <v>1702</v>
      </c>
      <c r="B114" s="718"/>
      <c r="C114" s="718"/>
      <c r="D114" s="1160"/>
      <c r="E114" s="1220">
        <f>+'Grasmere Imported Valuation'!BF21</f>
        <v>0</v>
      </c>
      <c r="F114" s="42"/>
      <c r="G114" s="726">
        <f>+'Grasmere Imported Valuation'!BG19</f>
        <v>261154.31712121217</v>
      </c>
      <c r="H114" s="1674">
        <f>+E114*G114</f>
        <v>0</v>
      </c>
      <c r="I114" s="712">
        <v>1</v>
      </c>
      <c r="J114" s="42"/>
      <c r="K114" s="726">
        <v>261154.31712121217</v>
      </c>
      <c r="L114" s="725">
        <v>261154.31712121217</v>
      </c>
      <c r="M114" s="705">
        <f t="shared" si="12"/>
        <v>-261154.31712121217</v>
      </c>
    </row>
    <row r="115" spans="1:13" s="1492" customFormat="1">
      <c r="A115" s="694"/>
      <c r="B115" s="706"/>
      <c r="C115" s="706"/>
      <c r="D115" s="42"/>
      <c r="E115" s="1220"/>
      <c r="F115" s="42"/>
      <c r="G115" s="726"/>
      <c r="H115" s="725"/>
      <c r="I115" s="712"/>
      <c r="J115" s="42"/>
      <c r="K115" s="726"/>
      <c r="L115" s="725"/>
      <c r="M115" s="1491"/>
    </row>
    <row r="116" spans="1:13">
      <c r="A116" s="717" t="s">
        <v>1703</v>
      </c>
      <c r="B116" s="718"/>
      <c r="C116" s="718"/>
      <c r="D116" s="1160"/>
      <c r="E116" s="1220">
        <f>+'Grasmere Imported Valuation'!BJ21</f>
        <v>0</v>
      </c>
      <c r="F116" s="42"/>
      <c r="G116" s="726">
        <f>+'Grasmere Imported Valuation'!BK19</f>
        <v>285116.59484520816</v>
      </c>
      <c r="H116" s="1674">
        <f>+E116*G116</f>
        <v>0</v>
      </c>
      <c r="I116" s="712">
        <v>1</v>
      </c>
      <c r="J116" s="42"/>
      <c r="K116" s="726">
        <v>285116.59484520816</v>
      </c>
      <c r="L116" s="725">
        <v>285116.59484520816</v>
      </c>
      <c r="M116" s="705"/>
    </row>
    <row r="117" spans="1:13" s="74" customFormat="1">
      <c r="A117" s="61"/>
      <c r="B117" s="713"/>
      <c r="C117" s="713"/>
      <c r="D117" s="705"/>
      <c r="E117" s="1221"/>
      <c r="F117" s="705"/>
      <c r="G117" s="726"/>
      <c r="H117" s="725"/>
      <c r="I117" s="707"/>
      <c r="J117" s="705"/>
      <c r="K117" s="726"/>
      <c r="L117" s="725"/>
      <c r="M117" s="705"/>
    </row>
    <row r="118" spans="1:13">
      <c r="A118" s="717" t="s">
        <v>1704</v>
      </c>
      <c r="B118" s="718"/>
      <c r="C118" s="718"/>
      <c r="D118" s="1160"/>
      <c r="E118" s="1220">
        <f>+'Grasmere Imported Valuation'!BN21</f>
        <v>0</v>
      </c>
      <c r="F118" s="42"/>
      <c r="G118" s="726">
        <f>+'Grasmere Imported Valuation'!BO19</f>
        <v>309484.57765520358</v>
      </c>
      <c r="H118" s="1674">
        <f>+E118*G118</f>
        <v>0</v>
      </c>
      <c r="I118" s="712">
        <v>0</v>
      </c>
      <c r="J118" s="42"/>
      <c r="K118" s="726">
        <v>309484.57765520358</v>
      </c>
      <c r="L118" s="725">
        <v>0</v>
      </c>
      <c r="M118" s="705"/>
    </row>
    <row r="119" spans="1:13" s="74" customFormat="1">
      <c r="A119" s="61"/>
      <c r="B119" s="713"/>
      <c r="C119" s="713"/>
      <c r="D119" s="704"/>
      <c r="E119" s="707"/>
      <c r="F119" s="705"/>
      <c r="G119" s="726"/>
      <c r="H119" s="725"/>
      <c r="I119" s="707"/>
      <c r="J119" s="705"/>
      <c r="K119" s="726"/>
      <c r="L119" s="725"/>
      <c r="M119" s="705"/>
    </row>
    <row r="120" spans="1:13">
      <c r="A120" s="1337" t="s">
        <v>1705</v>
      </c>
      <c r="B120" s="718"/>
      <c r="C120" s="718"/>
      <c r="D120" s="1734"/>
      <c r="E120" s="712">
        <f>+'Grasmere Imported Valuation'!BR21</f>
        <v>0</v>
      </c>
      <c r="F120" s="42"/>
      <c r="G120" s="726">
        <f>+'Grasmere Imported Valuation'!BS19</f>
        <v>708067.95992681163</v>
      </c>
      <c r="H120" s="1674">
        <f>+E120*G120</f>
        <v>0</v>
      </c>
      <c r="I120" s="712">
        <v>3</v>
      </c>
      <c r="J120" s="42"/>
      <c r="K120" s="726">
        <v>708067.95992681163</v>
      </c>
      <c r="L120" s="725">
        <v>2124203.879780435</v>
      </c>
      <c r="M120" s="705"/>
    </row>
    <row r="121" spans="1:13" s="74" customFormat="1">
      <c r="A121" s="61"/>
      <c r="B121" s="713"/>
      <c r="C121" s="713"/>
      <c r="D121" s="704"/>
      <c r="E121" s="707"/>
      <c r="F121" s="705"/>
      <c r="G121" s="726"/>
      <c r="H121" s="725"/>
      <c r="I121" s="707"/>
      <c r="J121" s="705"/>
      <c r="K121" s="726"/>
      <c r="L121" s="725"/>
      <c r="M121" s="705"/>
    </row>
    <row r="122" spans="1:13">
      <c r="A122" s="1337" t="s">
        <v>1706</v>
      </c>
      <c r="B122" s="718"/>
      <c r="C122" s="718"/>
      <c r="D122" s="1734"/>
      <c r="E122" s="712">
        <f>+'Grasmere Imported Valuation'!BZ21</f>
        <v>0</v>
      </c>
      <c r="F122" s="42"/>
      <c r="G122" s="726">
        <f>+'Grasmere Imported Valuation'!CA19</f>
        <v>1945534.0347603799</v>
      </c>
      <c r="H122" s="1674">
        <f>+E122*G122</f>
        <v>0</v>
      </c>
      <c r="I122" s="712">
        <v>3</v>
      </c>
      <c r="J122" s="42"/>
      <c r="K122" s="726">
        <v>1945534.0347603799</v>
      </c>
      <c r="L122" s="725">
        <v>5836602.1042811396</v>
      </c>
      <c r="M122" s="705"/>
    </row>
    <row r="123" spans="1:13" s="74" customFormat="1">
      <c r="A123" s="61"/>
      <c r="B123" s="713"/>
      <c r="C123" s="713"/>
      <c r="D123" s="704"/>
      <c r="E123" s="707"/>
      <c r="F123" s="705"/>
      <c r="G123" s="726"/>
      <c r="H123" s="725"/>
      <c r="I123" s="707"/>
      <c r="J123" s="705"/>
      <c r="K123" s="726"/>
      <c r="L123" s="725"/>
      <c r="M123" s="705"/>
    </row>
    <row r="124" spans="1:13">
      <c r="A124" s="1337" t="s">
        <v>1707</v>
      </c>
      <c r="B124" s="718"/>
      <c r="C124" s="718"/>
      <c r="D124" s="1734"/>
      <c r="E124" s="712">
        <f>+'Grasmere Imported Valuation'!CD21</f>
        <v>0</v>
      </c>
      <c r="F124" s="42"/>
      <c r="G124" s="726">
        <f>+'Grasmere Imported Valuation'!CE19</f>
        <v>1310142.0875361108</v>
      </c>
      <c r="H124" s="1674">
        <f>+E124*G124</f>
        <v>0</v>
      </c>
      <c r="I124" s="712">
        <v>1</v>
      </c>
      <c r="J124" s="42"/>
      <c r="K124" s="726">
        <v>1310142.0875361108</v>
      </c>
      <c r="L124" s="725">
        <v>1310142.0875361108</v>
      </c>
      <c r="M124" s="705"/>
    </row>
    <row r="125" spans="1:13">
      <c r="A125" s="1337"/>
      <c r="B125" s="718"/>
      <c r="C125" s="718"/>
      <c r="D125" s="1734"/>
      <c r="E125" s="712"/>
      <c r="F125" s="42"/>
      <c r="G125" s="726"/>
      <c r="H125" s="1674"/>
      <c r="I125" s="712"/>
      <c r="J125" s="42"/>
      <c r="K125" s="726"/>
      <c r="L125" s="725"/>
      <c r="M125" s="705"/>
    </row>
    <row r="126" spans="1:13">
      <c r="A126" s="1337" t="s">
        <v>1708</v>
      </c>
      <c r="B126" s="718"/>
      <c r="C126" s="718"/>
      <c r="D126" s="1734"/>
      <c r="E126" s="712">
        <f>'Grasmere Imported Valuation'!CH21</f>
        <v>1</v>
      </c>
      <c r="F126" s="42"/>
      <c r="G126" s="726">
        <f>'Grasmere Imported Valuation'!CI19</f>
        <v>4433598.130629871</v>
      </c>
      <c r="H126" s="1674">
        <f>+E126*G126</f>
        <v>4433598.130629871</v>
      </c>
      <c r="I126" s="712">
        <v>5</v>
      </c>
      <c r="J126" s="42"/>
      <c r="K126" s="726">
        <v>4433598.130629871</v>
      </c>
      <c r="L126" s="725">
        <v>22167990.653149355</v>
      </c>
      <c r="M126" s="705"/>
    </row>
    <row r="127" spans="1:13" s="74" customFormat="1">
      <c r="A127" s="61"/>
      <c r="B127" s="713"/>
      <c r="C127" s="713"/>
      <c r="D127" s="704"/>
      <c r="E127" s="707"/>
      <c r="F127" s="705"/>
      <c r="G127" s="726"/>
      <c r="H127" s="725"/>
      <c r="I127" s="707"/>
      <c r="J127" s="705"/>
      <c r="K127" s="726"/>
      <c r="L127" s="725"/>
      <c r="M127" s="705"/>
    </row>
    <row r="128" spans="1:13">
      <c r="A128" s="1337" t="s">
        <v>1709</v>
      </c>
      <c r="B128" s="718"/>
      <c r="C128" s="718"/>
      <c r="D128" s="1734"/>
      <c r="E128" s="712">
        <f>'Grasmere Imported Valuation'!CL21</f>
        <v>1</v>
      </c>
      <c r="F128" s="42"/>
      <c r="G128" s="726">
        <f>'Grasmere Imported Valuation'!CM19</f>
        <v>167.05821019531521</v>
      </c>
      <c r="H128" s="1674">
        <f>E128*G128</f>
        <v>167.05821019531521</v>
      </c>
      <c r="I128" s="712">
        <v>3</v>
      </c>
      <c r="J128" s="42"/>
      <c r="K128" s="726">
        <v>167.05821019531521</v>
      </c>
      <c r="L128" s="725">
        <v>501.17463058594564</v>
      </c>
      <c r="M128" s="705"/>
    </row>
    <row r="129" spans="1:19">
      <c r="A129" s="712"/>
      <c r="B129" s="712"/>
      <c r="C129" s="712"/>
      <c r="D129" s="712"/>
      <c r="E129" s="712"/>
      <c r="F129" s="42"/>
      <c r="G129" s="726"/>
      <c r="H129" s="1674"/>
      <c r="I129" s="712"/>
      <c r="J129" s="42"/>
      <c r="K129" s="726"/>
      <c r="L129" s="725"/>
      <c r="M129" s="705"/>
    </row>
    <row r="130" spans="1:19">
      <c r="A130" s="1337" t="s">
        <v>1710</v>
      </c>
      <c r="B130" s="718"/>
      <c r="C130" s="718"/>
      <c r="D130" s="1734"/>
      <c r="E130" s="712">
        <f>'Grasmere Imported Valuation'!CP21</f>
        <v>4</v>
      </c>
      <c r="F130" s="42"/>
      <c r="G130" s="726">
        <f>'Grasmere Imported Valuation'!CQ19</f>
        <v>2640.7277044547914</v>
      </c>
      <c r="H130" s="1674">
        <f>E130*G130</f>
        <v>10562.910817819165</v>
      </c>
      <c r="I130" s="712">
        <v>7</v>
      </c>
      <c r="J130" s="42"/>
      <c r="K130" s="726">
        <v>2640.7277044547914</v>
      </c>
      <c r="L130" s="725">
        <v>18485.093931183539</v>
      </c>
      <c r="M130" s="705"/>
    </row>
    <row r="131" spans="1:19">
      <c r="A131" s="712"/>
      <c r="B131" s="712"/>
      <c r="C131" s="712"/>
      <c r="D131" s="712"/>
      <c r="E131" s="712"/>
      <c r="F131" s="42"/>
      <c r="G131" s="726"/>
      <c r="H131" s="1674"/>
      <c r="I131" s="712"/>
      <c r="J131" s="42"/>
      <c r="K131" s="726"/>
      <c r="L131" s="725"/>
      <c r="M131" s="705"/>
    </row>
    <row r="132" spans="1:19">
      <c r="A132" s="1337" t="s">
        <v>1711</v>
      </c>
      <c r="B132" s="718"/>
      <c r="C132" s="718"/>
      <c r="D132" s="1734"/>
      <c r="E132" s="712">
        <f>'Grasmere Imported Valuation'!CT21</f>
        <v>0</v>
      </c>
      <c r="F132" s="42"/>
      <c r="G132" s="726">
        <f>'Grasmere Imported Valuation'!CU19</f>
        <v>3031.3260040427031</v>
      </c>
      <c r="H132" s="1674">
        <f>E132*G132</f>
        <v>0</v>
      </c>
      <c r="I132" s="712">
        <v>3</v>
      </c>
      <c r="J132" s="42"/>
      <c r="K132" s="726">
        <v>3031.3260040427031</v>
      </c>
      <c r="L132" s="725">
        <v>9093.9780121281092</v>
      </c>
      <c r="M132" s="705"/>
    </row>
    <row r="133" spans="1:19">
      <c r="A133" s="1337"/>
      <c r="B133" s="718"/>
      <c r="C133" s="718"/>
      <c r="D133" s="1734"/>
      <c r="E133" s="712"/>
      <c r="F133" s="42"/>
      <c r="G133" s="726"/>
      <c r="H133" s="1674"/>
      <c r="I133" s="712"/>
      <c r="J133" s="42"/>
      <c r="K133" s="726"/>
      <c r="L133" s="725"/>
      <c r="M133" s="705"/>
    </row>
    <row r="134" spans="1:19">
      <c r="A134" s="1337" t="s">
        <v>1712</v>
      </c>
      <c r="B134" s="718"/>
      <c r="C134" s="718"/>
      <c r="D134" s="1734"/>
      <c r="E134" s="712">
        <f>'Grasmere Imported Valuation'!CX21</f>
        <v>2</v>
      </c>
      <c r="F134" s="42"/>
      <c r="G134" s="726"/>
      <c r="H134" s="1674"/>
      <c r="I134" s="712"/>
      <c r="J134" s="42"/>
      <c r="K134" s="726"/>
      <c r="L134" s="725"/>
      <c r="M134" s="705"/>
    </row>
    <row r="135" spans="1:19">
      <c r="A135" s="1337"/>
      <c r="B135" s="718"/>
      <c r="C135" s="718"/>
      <c r="D135" s="1734"/>
      <c r="E135" s="712"/>
      <c r="F135" s="42"/>
      <c r="G135" s="726"/>
      <c r="H135" s="1674"/>
      <c r="I135" s="712"/>
      <c r="J135" s="42"/>
      <c r="K135" s="726"/>
      <c r="L135" s="725"/>
      <c r="M135" s="705"/>
    </row>
    <row r="136" spans="1:19">
      <c r="A136" s="1337" t="s">
        <v>1713</v>
      </c>
      <c r="B136" s="718"/>
      <c r="C136" s="718"/>
      <c r="D136" s="1734"/>
      <c r="E136" s="712">
        <f>'Grasmere Imported Valuation'!DB23</f>
        <v>4</v>
      </c>
      <c r="F136" s="42"/>
      <c r="G136" s="726"/>
      <c r="H136" s="1674"/>
      <c r="I136" s="712"/>
      <c r="J136" s="42"/>
      <c r="K136" s="726"/>
      <c r="L136" s="725"/>
      <c r="M136" s="705"/>
    </row>
    <row r="137" spans="1:19">
      <c r="A137" s="1337"/>
      <c r="B137" s="718"/>
      <c r="C137" s="718"/>
      <c r="D137" s="1734"/>
      <c r="E137" s="712"/>
      <c r="F137" s="42"/>
      <c r="G137" s="726"/>
      <c r="H137" s="1674"/>
      <c r="I137" s="712"/>
      <c r="J137" s="42"/>
      <c r="K137" s="726"/>
      <c r="L137" s="725"/>
      <c r="M137" s="705"/>
    </row>
    <row r="138" spans="1:19">
      <c r="A138" s="1337" t="s">
        <v>1714</v>
      </c>
      <c r="B138" s="718"/>
      <c r="C138" s="718"/>
      <c r="D138" s="1734"/>
      <c r="E138" s="712">
        <f>'Grasmere Imported Valuation'!DF23</f>
        <v>4</v>
      </c>
      <c r="F138" s="42"/>
      <c r="G138" s="726"/>
      <c r="H138" s="1674"/>
      <c r="I138" s="712"/>
      <c r="J138" s="42"/>
      <c r="K138" s="726"/>
      <c r="L138" s="725"/>
      <c r="M138" s="705"/>
    </row>
    <row r="139" spans="1:19">
      <c r="A139" s="1337"/>
      <c r="B139" s="718"/>
      <c r="C139" s="718"/>
      <c r="D139" s="1734"/>
      <c r="E139" s="712"/>
      <c r="F139" s="42"/>
      <c r="G139" s="726"/>
      <c r="H139" s="1674"/>
      <c r="I139" s="712"/>
      <c r="J139" s="42"/>
      <c r="K139" s="726"/>
      <c r="L139" s="725"/>
      <c r="M139" s="705"/>
    </row>
    <row r="140" spans="1:19">
      <c r="A140" s="1337" t="s">
        <v>1715</v>
      </c>
      <c r="B140" s="718"/>
      <c r="C140" s="718"/>
      <c r="D140" s="1734"/>
      <c r="E140" s="712">
        <f>'Grasmere Imported Valuation'!DJ23</f>
        <v>8</v>
      </c>
      <c r="F140" s="42"/>
      <c r="G140" s="726"/>
      <c r="H140" s="1674"/>
      <c r="I140" s="712"/>
      <c r="J140" s="42"/>
      <c r="K140" s="726"/>
      <c r="L140" s="725"/>
      <c r="M140" s="705"/>
    </row>
    <row r="141" spans="1:19">
      <c r="A141" s="1337"/>
      <c r="B141" s="718"/>
      <c r="C141" s="718"/>
      <c r="D141" s="1734"/>
      <c r="E141" s="712"/>
      <c r="F141" s="42"/>
      <c r="G141" s="726"/>
      <c r="H141" s="1674"/>
      <c r="I141" s="712"/>
      <c r="J141" s="42"/>
      <c r="K141" s="726"/>
      <c r="L141" s="725"/>
      <c r="M141" s="705"/>
    </row>
    <row r="142" spans="1:19">
      <c r="A142" s="1337"/>
      <c r="B142" s="718"/>
      <c r="C142" s="718"/>
      <c r="D142" s="1734"/>
      <c r="E142" s="712"/>
      <c r="F142" s="42"/>
      <c r="G142" s="726"/>
      <c r="H142" s="1674"/>
      <c r="I142" s="712"/>
      <c r="J142" s="42"/>
      <c r="K142" s="726"/>
      <c r="L142" s="725"/>
      <c r="M142" s="705"/>
    </row>
    <row r="143" spans="1:19" s="31" customFormat="1">
      <c r="A143" s="824"/>
      <c r="B143" s="779" t="s">
        <v>207</v>
      </c>
      <c r="C143" s="826">
        <f>+D143-E143</f>
        <v>0</v>
      </c>
      <c r="D143" s="1735">
        <f>+'Richlands Imported Valuation'!AP37+'Grasmere Imported Valuation'!DN21</f>
        <v>28</v>
      </c>
      <c r="E143" s="418">
        <f>SUM(E96:E140)</f>
        <v>28</v>
      </c>
      <c r="F143" s="700"/>
      <c r="G143" s="701"/>
      <c r="H143" s="659">
        <f>SUM(H96:H132)</f>
        <v>4552754.2594503444</v>
      </c>
      <c r="I143" s="418">
        <f>SUM(I96:I132)</f>
        <v>35</v>
      </c>
      <c r="J143" s="700"/>
      <c r="K143" s="701"/>
      <c r="L143" s="702">
        <f>SUM(L96:L132)</f>
        <v>32522468.476146553</v>
      </c>
      <c r="M143" s="61">
        <f>+H143-L143</f>
        <v>-27969714.21669621</v>
      </c>
      <c r="O143" s="31">
        <f>H143-L143</f>
        <v>-27969714.21669621</v>
      </c>
      <c r="Q143" s="31">
        <f>+[64]Grasmere!$H106</f>
        <v>0</v>
      </c>
      <c r="R143" s="31">
        <f t="shared" si="14"/>
        <v>32522468.476146553</v>
      </c>
    </row>
    <row r="144" spans="1:19">
      <c r="A144" s="692"/>
      <c r="B144" s="706"/>
      <c r="C144" s="706"/>
      <c r="D144" s="623" t="s">
        <v>138</v>
      </c>
      <c r="E144" s="729">
        <f>+E45+E94+E143</f>
        <v>146</v>
      </c>
      <c r="F144" s="42"/>
      <c r="G144" s="693"/>
      <c r="H144" s="737">
        <f>+H45+H94+H143</f>
        <v>74790396.93966046</v>
      </c>
      <c r="I144" s="1307">
        <f>+I45+I94+I143</f>
        <v>26059</v>
      </c>
      <c r="J144" s="687"/>
      <c r="K144" s="688"/>
      <c r="L144" s="632">
        <f>+L45+L94+L143</f>
        <v>412042117.61091816</v>
      </c>
      <c r="M144" s="695">
        <v>0</v>
      </c>
      <c r="O144" s="23">
        <f>SUM(O46:O143)</f>
        <v>-341811414.30007762</v>
      </c>
      <c r="Q144" s="23">
        <f>+[64]Grasmere!$H107</f>
        <v>89202029.61313425</v>
      </c>
      <c r="R144" s="23">
        <f t="shared" si="14"/>
        <v>322840087.9977839</v>
      </c>
      <c r="S144" s="23">
        <f>SUM(S9:S143)</f>
        <v>-58340101.767236494</v>
      </c>
    </row>
    <row r="145" spans="1:19">
      <c r="A145" s="692"/>
      <c r="B145" s="706"/>
      <c r="C145" s="706"/>
      <c r="D145" s="623"/>
      <c r="E145" s="728">
        <f>SUM('Summary Total Pigs'!AF12:AF17)</f>
        <v>27719</v>
      </c>
      <c r="F145" s="42"/>
      <c r="G145" s="693"/>
      <c r="H145" s="625"/>
      <c r="I145" s="729">
        <f>'[70]Grasmere Valuation '!$E$128</f>
        <v>27084</v>
      </c>
      <c r="J145" s="42"/>
      <c r="K145" s="693"/>
      <c r="L145" s="622">
        <f>'[70]Grasmere Valuation '!$H$128</f>
        <v>411912579.24516362</v>
      </c>
      <c r="M145" s="42"/>
      <c r="O145" s="23">
        <f>SUM(O47:O144)</f>
        <v>-680666122.5395472</v>
      </c>
      <c r="P145" s="23">
        <f>+O144+O45</f>
        <v>-341417676.50829393</v>
      </c>
      <c r="Q145" s="23">
        <f>+[64]Grasmere!$H108</f>
        <v>0</v>
      </c>
      <c r="R145" s="23" t="s">
        <v>138</v>
      </c>
      <c r="S145" s="23">
        <f>+'[68]Gras gilts boars and sows'!$O$46+'[68]Gras gilts boars and sows'!$O$58</f>
        <v>-8758772.9566965029</v>
      </c>
    </row>
    <row r="146" spans="1:19">
      <c r="A146" s="730"/>
      <c r="B146" s="779" t="s">
        <v>207</v>
      </c>
      <c r="C146" s="826">
        <f>+E146-D146</f>
        <v>-27578</v>
      </c>
      <c r="D146" s="659">
        <f>'Grasmere Imported Boars'!D32+'Grasmere Imported Boars'!D33+'Grasmere Imported Boars'!D34+'Grasmere Imported Boars'!D35+'Grasmere Imported Boars'!D36</f>
        <v>5</v>
      </c>
      <c r="E146" s="20">
        <f>+E144-E145</f>
        <v>-27573</v>
      </c>
      <c r="F146" s="731" t="s">
        <v>1716</v>
      </c>
      <c r="G146" s="732"/>
      <c r="H146" s="615" t="s">
        <v>138</v>
      </c>
      <c r="I146" s="733">
        <f>+I144-I145</f>
        <v>-1025</v>
      </c>
      <c r="J146" s="630"/>
      <c r="K146" s="709"/>
      <c r="L146" s="1495">
        <f>+L144-L145</f>
        <v>129538.36575454473</v>
      </c>
      <c r="M146" s="42" t="s">
        <v>207</v>
      </c>
      <c r="Q146" s="23" t="str">
        <f>+[64]Grasmere!$H109</f>
        <v xml:space="preserve"> </v>
      </c>
      <c r="R146" s="23" t="s">
        <v>138</v>
      </c>
      <c r="S146" s="23">
        <f>+S144-S145</f>
        <v>-49581328.810539991</v>
      </c>
    </row>
    <row r="147" spans="1:19" hidden="1">
      <c r="A147" s="42"/>
      <c r="B147" s="42"/>
      <c r="C147" s="693"/>
      <c r="D147" s="42"/>
      <c r="E147" s="654"/>
      <c r="F147" s="695"/>
      <c r="G147" s="693"/>
      <c r="H147" s="42">
        <f>+H144-H45</f>
        <v>72261869.08726877</v>
      </c>
      <c r="I147" s="42"/>
      <c r="J147" s="42"/>
      <c r="K147" s="693"/>
      <c r="L147" s="42"/>
      <c r="M147" s="42"/>
    </row>
    <row r="148" spans="1:19" hidden="1">
      <c r="A148" s="42"/>
      <c r="B148" s="42"/>
      <c r="C148" s="693"/>
      <c r="D148" s="42"/>
      <c r="E148" s="654"/>
      <c r="F148" s="695"/>
      <c r="G148" s="693" t="s">
        <v>138</v>
      </c>
      <c r="H148" s="42"/>
      <c r="I148" s="42"/>
      <c r="J148" s="42"/>
      <c r="K148" s="693"/>
      <c r="L148" s="42"/>
      <c r="M148" s="42"/>
    </row>
    <row r="149" spans="1:19" hidden="1">
      <c r="A149" s="695" t="s">
        <v>1717</v>
      </c>
      <c r="B149" s="696" t="s">
        <v>181</v>
      </c>
      <c r="C149" s="695" t="s">
        <v>183</v>
      </c>
      <c r="D149" s="695" t="s">
        <v>205</v>
      </c>
      <c r="E149" s="31"/>
      <c r="F149" s="695" t="s">
        <v>180</v>
      </c>
      <c r="G149" s="696" t="s">
        <v>1717</v>
      </c>
      <c r="H149" s="696" t="s">
        <v>181</v>
      </c>
      <c r="I149" s="31" t="s">
        <v>183</v>
      </c>
      <c r="J149" s="31" t="s">
        <v>205</v>
      </c>
      <c r="K149" s="31" t="s">
        <v>180</v>
      </c>
      <c r="L149" s="42" t="s">
        <v>1718</v>
      </c>
      <c r="M149" s="42" t="s">
        <v>1719</v>
      </c>
    </row>
    <row r="150" spans="1:19" hidden="1">
      <c r="A150" s="23" t="s">
        <v>127</v>
      </c>
      <c r="B150" s="726">
        <f>SUM(F14:F40)</f>
        <v>0</v>
      </c>
      <c r="C150" s="705">
        <f>SUM(H14:H40)</f>
        <v>1824464.8506103558</v>
      </c>
      <c r="D150" s="705" t="e">
        <f t="shared" ref="D150:D155" si="15">+C150/B150</f>
        <v>#DIV/0!</v>
      </c>
      <c r="E150" s="74">
        <f t="shared" ref="E150:E155" si="16">+B150+B158</f>
        <v>0</v>
      </c>
      <c r="F150" s="738">
        <f>+E45</f>
        <v>0</v>
      </c>
      <c r="G150" s="693" t="s">
        <v>127</v>
      </c>
      <c r="H150" s="23">
        <f>SUM(F14:F40)</f>
        <v>0</v>
      </c>
      <c r="I150" s="23">
        <f>SUM(H14:H40)</f>
        <v>1824464.8506103558</v>
      </c>
      <c r="J150" s="23" t="e">
        <f t="shared" ref="J150:J155" si="17">+I150/H150</f>
        <v>#DIV/0!</v>
      </c>
      <c r="K150" s="87">
        <f>SUM(E14:E40)</f>
        <v>0</v>
      </c>
      <c r="L150" s="42" t="e">
        <f t="shared" ref="L150:L155" si="18">+B150/K150</f>
        <v>#DIV/0!</v>
      </c>
      <c r="M150" s="42">
        <f>+'[71]Grasmere Valuation '!B102/'[71]Grasmere Valuation '!K102</f>
        <v>34.207757387672231</v>
      </c>
      <c r="N150" s="1188" t="e">
        <f t="shared" ref="N150:N155" si="19">+L150/M150-1</f>
        <v>#DIV/0!</v>
      </c>
      <c r="O150" s="23">
        <f>+'[71]Grasmere Valuation '!K102</f>
        <v>16992</v>
      </c>
      <c r="P150" s="23">
        <f t="shared" ref="P150:P155" si="20">+K150-O150</f>
        <v>-16992</v>
      </c>
    </row>
    <row r="151" spans="1:19" hidden="1">
      <c r="A151" s="734" t="s">
        <v>186</v>
      </c>
      <c r="B151" s="726">
        <f>SUM('Villa Valuation'!F14:F41)</f>
        <v>139413.92944116221</v>
      </c>
      <c r="C151" s="705">
        <f>SUM('Villa Valuation'!H14:H41)</f>
        <v>483377.10102342634</v>
      </c>
      <c r="D151" s="705">
        <f t="shared" si="15"/>
        <v>3.4672080685268196</v>
      </c>
      <c r="E151" s="74">
        <f t="shared" si="16"/>
        <v>225813.92944116221</v>
      </c>
      <c r="F151" s="738">
        <f>+'Villa Valuation'!E42</f>
        <v>4177</v>
      </c>
      <c r="G151" s="693" t="s">
        <v>186</v>
      </c>
      <c r="H151" s="23">
        <f>SUM('Villa Valuation'!F14:F31)</f>
        <v>135134.94149978165</v>
      </c>
      <c r="I151" s="23">
        <f>SUM('Villa Valuation'!H14:H31)</f>
        <v>472654.94987430749</v>
      </c>
      <c r="J151" s="23">
        <f t="shared" si="17"/>
        <v>3.4976516408605631</v>
      </c>
      <c r="K151" s="87">
        <f>SUM('Villa Valuation'!E14:E31)</f>
        <v>3118</v>
      </c>
      <c r="L151" s="42">
        <f t="shared" si="18"/>
        <v>44.712613675805713</v>
      </c>
      <c r="M151" s="42">
        <f>+'[71]Grasmere Valuation '!B103/'[71]Grasmere Valuation '!K103</f>
        <v>33.752677851209739</v>
      </c>
      <c r="N151" s="1188">
        <f t="shared" si="19"/>
        <v>0.32471307529761395</v>
      </c>
      <c r="O151" s="23">
        <f>+'[71]Grasmere Valuation '!K103</f>
        <v>2965</v>
      </c>
      <c r="P151" s="23">
        <f t="shared" si="20"/>
        <v>153</v>
      </c>
    </row>
    <row r="152" spans="1:19" hidden="1">
      <c r="A152" s="654" t="s">
        <v>187</v>
      </c>
      <c r="B152" s="385">
        <f>SUM('Lionhead Valuation'!F14:F41,'Lionhead Ext. Valuation'!F14:F41)</f>
        <v>554936.91718456498</v>
      </c>
      <c r="C152" s="726">
        <f>SUM('Lionhead Valuation'!H14:H41,'Lionhead Ext. Valuation'!H14:H41)</f>
        <v>2238197.0873637907</v>
      </c>
      <c r="D152" s="705">
        <f t="shared" si="15"/>
        <v>4.0332459745499234</v>
      </c>
      <c r="E152" s="74">
        <f t="shared" si="16"/>
        <v>766736.91718456498</v>
      </c>
      <c r="F152" s="738">
        <f>+'Lionhead Valuation'!E42+'Lionhead Ext. Valuation'!E42</f>
        <v>16824</v>
      </c>
      <c r="G152" s="693" t="s">
        <v>187</v>
      </c>
      <c r="H152" s="23">
        <f>SUM('Lionhead Valuation'!F14:F41,'Lionhead Ext. Valuation'!F14:F41)</f>
        <v>554936.91718456498</v>
      </c>
      <c r="I152" s="23">
        <f>SUM('Lionhead Valuation'!H14:H41,'Lionhead Ext. Valuation'!H14:H41)</f>
        <v>2238197.0873637907</v>
      </c>
      <c r="J152" s="23">
        <f t="shared" si="17"/>
        <v>4.0332459745499234</v>
      </c>
      <c r="K152" s="87">
        <f>SUM('Lionhead Valuation'!E14:E41,'Lionhead Ext. Valuation'!E14:E41)</f>
        <v>14489</v>
      </c>
      <c r="L152" s="42">
        <f t="shared" si="18"/>
        <v>38.300567132622334</v>
      </c>
      <c r="M152" s="42">
        <f>+'[71]Grasmere Valuation '!B104/'[71]Grasmere Valuation '!K104</f>
        <v>32.091038481861617</v>
      </c>
      <c r="N152" s="1188">
        <f t="shared" si="19"/>
        <v>0.19349727975523279</v>
      </c>
      <c r="O152" s="23">
        <f>+'[71]Grasmere Valuation '!K104</f>
        <v>12231</v>
      </c>
      <c r="P152" s="23">
        <f t="shared" si="20"/>
        <v>2258</v>
      </c>
    </row>
    <row r="153" spans="1:19" hidden="1">
      <c r="A153" s="654" t="s">
        <v>189</v>
      </c>
      <c r="B153" s="385">
        <f>SUM('Richlands Valuation'!F14:F41)</f>
        <v>346079.2136637732</v>
      </c>
      <c r="C153" s="726">
        <f>SUM('Richlands Valuation'!H14:H41)</f>
        <v>1469497.2170861713</v>
      </c>
      <c r="D153" s="705">
        <f t="shared" si="15"/>
        <v>4.2461296693589743</v>
      </c>
      <c r="E153" s="74">
        <f t="shared" si="16"/>
        <v>535379.21366377315</v>
      </c>
      <c r="F153" s="738">
        <f>+'Richlands Valuation'!E42</f>
        <v>11745</v>
      </c>
      <c r="G153" s="693" t="s">
        <v>189</v>
      </c>
      <c r="H153" s="23">
        <f>SUM('Richlands Valuation'!F14:F30)</f>
        <v>345390.52943898318</v>
      </c>
      <c r="I153" s="23">
        <f>SUM('Richlands Valuation'!H14:H30)</f>
        <v>1467770.3011290308</v>
      </c>
      <c r="J153" s="23">
        <f t="shared" si="17"/>
        <v>4.249596257063347</v>
      </c>
      <c r="K153" s="87">
        <f>SUM('Richlands Valuation'!E14:E30)</f>
        <v>9622</v>
      </c>
      <c r="L153" s="42">
        <f t="shared" si="18"/>
        <v>35.967492586133154</v>
      </c>
      <c r="M153" s="42">
        <f>+'[71]Grasmere Valuation '!B105/'[71]Grasmere Valuation '!K105</f>
        <v>29.424889717974281</v>
      </c>
      <c r="N153" s="1188">
        <f t="shared" si="19"/>
        <v>0.22234927406243776</v>
      </c>
      <c r="O153" s="23">
        <f>+'[71]Grasmere Valuation '!K105</f>
        <v>8929</v>
      </c>
      <c r="P153" s="23">
        <f t="shared" si="20"/>
        <v>693</v>
      </c>
    </row>
    <row r="154" spans="1:19" hidden="1">
      <c r="A154" s="654" t="s">
        <v>190</v>
      </c>
      <c r="B154" s="734">
        <f>SUM('Learig Valuation'!F14:F40)</f>
        <v>306954.4170631101</v>
      </c>
      <c r="C154" s="693">
        <f>SUM('Learig Valuation'!H14:H40)</f>
        <v>1197268.7653196421</v>
      </c>
      <c r="D154" s="705">
        <f t="shared" si="15"/>
        <v>3.9004773958782377</v>
      </c>
      <c r="E154" s="74">
        <f t="shared" si="16"/>
        <v>306954.4170631101</v>
      </c>
      <c r="F154" s="654"/>
      <c r="G154" s="693" t="s">
        <v>190</v>
      </c>
      <c r="H154" s="23">
        <f>SUM('Learig Valuation'!F14:F40)</f>
        <v>306954.4170631101</v>
      </c>
      <c r="I154" s="23">
        <f>SUM('Learig Valuation'!H14:H40)</f>
        <v>1197268.7653196421</v>
      </c>
      <c r="J154" s="23">
        <f t="shared" si="17"/>
        <v>3.9004773958782377</v>
      </c>
      <c r="K154" s="87">
        <f>SUM('Learig Valuation'!E14:E40)</f>
        <v>7263</v>
      </c>
      <c r="L154" s="42">
        <f t="shared" si="18"/>
        <v>42.262758786053986</v>
      </c>
      <c r="M154" s="42">
        <f>+'[71]Grasmere Valuation '!B106/'[71]Grasmere Valuation '!K106</f>
        <v>46.158442001253135</v>
      </c>
      <c r="N154" s="1188">
        <f t="shared" si="19"/>
        <v>-8.4398065582312887E-2</v>
      </c>
      <c r="O154" s="23">
        <f>+'[71]Grasmere Valuation '!K106</f>
        <v>1841</v>
      </c>
      <c r="P154" s="23">
        <f t="shared" si="20"/>
        <v>5422</v>
      </c>
    </row>
    <row r="155" spans="1:19" hidden="1">
      <c r="A155" s="654"/>
      <c r="B155" s="695">
        <f>SUM(B150:B154)</f>
        <v>1347384.4773526103</v>
      </c>
      <c r="C155" s="695">
        <f>SUM(C150:C154)</f>
        <v>7212805.0214033853</v>
      </c>
      <c r="D155" s="42">
        <f t="shared" si="15"/>
        <v>5.3531899340085651</v>
      </c>
      <c r="E155" s="23">
        <f t="shared" si="16"/>
        <v>1834884.4773526103</v>
      </c>
      <c r="F155" s="737">
        <f>SUM(F150:F154)</f>
        <v>32746</v>
      </c>
      <c r="G155" s="693"/>
      <c r="H155" s="31">
        <f>SUM(H150:H154)</f>
        <v>1342416.80518644</v>
      </c>
      <c r="I155" s="31">
        <f>SUM(I150:I154)</f>
        <v>7200355.9542971272</v>
      </c>
      <c r="J155" s="23">
        <f t="shared" si="17"/>
        <v>5.3637260249413474</v>
      </c>
      <c r="K155" s="1238">
        <f>SUM(K150:K154)</f>
        <v>34492</v>
      </c>
      <c r="L155" s="695">
        <f t="shared" si="18"/>
        <v>39.063680776777524</v>
      </c>
      <c r="M155" s="695">
        <f>+'[71]Grasmere Valuation '!B107/'[71]Grasmere Valuation '!K107</f>
        <v>33.091692514733275</v>
      </c>
      <c r="N155" s="1188">
        <f t="shared" si="19"/>
        <v>0.18046790019535464</v>
      </c>
      <c r="O155" s="23">
        <f>+'[71]Grasmere Valuation '!K107</f>
        <v>42958</v>
      </c>
      <c r="P155" s="23">
        <f t="shared" si="20"/>
        <v>-8466</v>
      </c>
    </row>
    <row r="156" spans="1:19" hidden="1">
      <c r="A156" s="654"/>
      <c r="B156" s="695"/>
      <c r="C156" s="695"/>
      <c r="D156" s="42"/>
      <c r="F156" s="42"/>
      <c r="G156" s="693"/>
      <c r="K156" s="87"/>
      <c r="L156" s="42"/>
      <c r="M156" s="42"/>
    </row>
    <row r="157" spans="1:19" ht="26.45" hidden="1">
      <c r="A157" s="735" t="s">
        <v>1720</v>
      </c>
      <c r="B157" s="696" t="s">
        <v>181</v>
      </c>
      <c r="C157" s="695" t="s">
        <v>183</v>
      </c>
      <c r="D157" s="695" t="s">
        <v>205</v>
      </c>
      <c r="E157" s="31"/>
      <c r="F157" s="695" t="s">
        <v>180</v>
      </c>
      <c r="G157" s="1281" t="s">
        <v>1721</v>
      </c>
      <c r="H157" s="696" t="s">
        <v>181</v>
      </c>
      <c r="I157" s="695" t="s">
        <v>183</v>
      </c>
      <c r="J157" s="695" t="s">
        <v>205</v>
      </c>
      <c r="K157" s="695" t="s">
        <v>180</v>
      </c>
      <c r="M157" s="42"/>
    </row>
    <row r="158" spans="1:19" hidden="1">
      <c r="A158" s="654" t="str">
        <f>+A150</f>
        <v>Grasmere</v>
      </c>
      <c r="B158" s="734">
        <f>+F41+F43+F44</f>
        <v>0</v>
      </c>
      <c r="C158" s="734">
        <f>+H41+H43+H44</f>
        <v>0</v>
      </c>
      <c r="D158" s="42" t="e">
        <f>+C158/B158</f>
        <v>#DIV/0!</v>
      </c>
      <c r="E158" s="23">
        <f>+B158</f>
        <v>0</v>
      </c>
      <c r="F158" s="654">
        <f>+E143+E94</f>
        <v>146</v>
      </c>
      <c r="G158" s="654" t="str">
        <f>+G150</f>
        <v>Grasmere</v>
      </c>
      <c r="H158" s="23">
        <f>+F41+F43+F44</f>
        <v>0</v>
      </c>
      <c r="I158" s="23">
        <f>+H41+H43+H44</f>
        <v>0</v>
      </c>
      <c r="J158" s="23" t="e">
        <f t="shared" ref="J158:J163" si="21">+I158/H158</f>
        <v>#DIV/0!</v>
      </c>
      <c r="K158" s="87">
        <f>+E41+E43+E44</f>
        <v>0</v>
      </c>
      <c r="L158" s="42"/>
      <c r="M158" s="42"/>
    </row>
    <row r="159" spans="1:19" hidden="1">
      <c r="A159" s="654" t="str">
        <f>+A151</f>
        <v>Villa</v>
      </c>
      <c r="B159" s="734">
        <f>SUM('Villa Valuation'!F44:F48)</f>
        <v>86400</v>
      </c>
      <c r="C159" s="734">
        <f>SUM('Villa Valuation'!H44:H48)</f>
        <v>177120</v>
      </c>
      <c r="D159" s="42">
        <f>+C159/B159</f>
        <v>2.0499999999999998</v>
      </c>
      <c r="E159" s="23">
        <f>+B159</f>
        <v>86400</v>
      </c>
      <c r="F159" s="654">
        <f>+'Villa Valuation'!E44+'Villa Valuation'!E46+'Villa Valuation'!E48</f>
        <v>576</v>
      </c>
      <c r="G159" s="693" t="str">
        <f>+G151</f>
        <v>Villa</v>
      </c>
      <c r="H159" s="23">
        <f>+'Villa Valuation'!F44+'Villa Valuation'!F46+'Villa Valuation'!F48</f>
        <v>86400</v>
      </c>
      <c r="I159" s="23">
        <f>+'Villa Valuation'!H44+'Villa Valuation'!H46+'Villa Valuation'!H48</f>
        <v>177120</v>
      </c>
      <c r="J159" s="23">
        <f t="shared" si="21"/>
        <v>2.0499999999999998</v>
      </c>
      <c r="K159" s="87">
        <f>+'Villa Valuation'!E44+'Villa Valuation'!E46+'Villa Valuation'!E48</f>
        <v>576</v>
      </c>
      <c r="L159" s="42"/>
      <c r="M159" s="42"/>
    </row>
    <row r="160" spans="1:19" hidden="1">
      <c r="A160" s="654" t="str">
        <f>+A152</f>
        <v>Lionshead</v>
      </c>
      <c r="B160" s="385">
        <f>SUM('Lionhead Valuation'!F55:F60,'Lionhead Ext. Valuation'!F44:F49)</f>
        <v>211800</v>
      </c>
      <c r="C160" s="385">
        <f>SUM('Lionhead Valuation'!H55:H60,'Lionhead Ext. Valuation'!H44:H49)</f>
        <v>434190</v>
      </c>
      <c r="D160" s="705">
        <f>+C160/B160</f>
        <v>2.0499999999999998</v>
      </c>
      <c r="E160" s="74">
        <f>+B160</f>
        <v>211800</v>
      </c>
      <c r="F160" s="738">
        <f>+'Lionhead Valuation'!E55+'Lionhead Valuation'!E57+'Lionhead Valuation'!E59+'Lionhead Ext. Valuation'!E44+'Lionhead Ext. Valuation'!E46+'Lionhead Ext. Valuation'!E48</f>
        <v>1412</v>
      </c>
      <c r="G160" s="654" t="str">
        <f>+G152</f>
        <v>Lionshead</v>
      </c>
      <c r="H160" s="23">
        <f>+'Lionhead Valuation'!F55+'Lionhead Valuation'!F57+'Lionhead Valuation'!F59+'Lionhead Ext. Valuation'!F44+'Lionhead Ext. Valuation'!F46+'Lionhead Ext. Valuation'!F48</f>
        <v>211800</v>
      </c>
      <c r="I160" s="23">
        <f>+'Lionhead Valuation'!H55+'Lionhead Valuation'!H57+'Lionhead Valuation'!H59+'Lionhead Ext. Valuation'!H44+'Lionhead Ext. Valuation'!H46+'Lionhead Ext. Valuation'!H48</f>
        <v>434190</v>
      </c>
      <c r="J160" s="23">
        <f t="shared" si="21"/>
        <v>2.0499999999999998</v>
      </c>
      <c r="K160" s="87">
        <f>+'Lionhead Valuation'!E55+'Lionhead Valuation'!E57+'Lionhead Valuation'!E59+'Lionhead Ext. Valuation'!E44+'Lionhead Ext. Valuation'!E46+'Lionhead Ext. Valuation'!E48</f>
        <v>1412</v>
      </c>
      <c r="L160" s="42"/>
      <c r="M160" s="42"/>
    </row>
    <row r="161" spans="1:14" hidden="1">
      <c r="A161" s="654" t="str">
        <f>+A153</f>
        <v>Richlands</v>
      </c>
      <c r="B161" s="734">
        <f>SUM('Richlands Valuation'!F82:F87)</f>
        <v>189300</v>
      </c>
      <c r="C161" s="736">
        <f>SUM('Richlands Valuation'!H82:H87)</f>
        <v>388065</v>
      </c>
      <c r="D161" s="42">
        <f>+C161/B161</f>
        <v>2.0499999999999998</v>
      </c>
      <c r="E161" s="23">
        <f>+B161</f>
        <v>189300</v>
      </c>
      <c r="F161" s="654">
        <f>+'Richlands Valuation'!E82+'Richlands Valuation'!E84+'Richlands Valuation'!E86</f>
        <v>1262</v>
      </c>
      <c r="G161" s="654" t="str">
        <f>+G153</f>
        <v>Richlands</v>
      </c>
      <c r="H161" s="23">
        <f>+'Richlands Valuation'!F82+'Richlands Valuation'!F84+'Richlands Valuation'!F86</f>
        <v>189300</v>
      </c>
      <c r="I161" s="23">
        <f>+'Richlands Valuation'!H82+'Richlands Valuation'!H84+'Richlands Valuation'!H86</f>
        <v>388065</v>
      </c>
      <c r="J161" s="23">
        <f t="shared" si="21"/>
        <v>2.0499999999999998</v>
      </c>
      <c r="K161" s="87">
        <f>+'Richlands Valuation'!E82+'Richlands Valuation'!E84+'Richlands Valuation'!E86</f>
        <v>1262</v>
      </c>
      <c r="L161" s="42"/>
      <c r="M161" s="42"/>
    </row>
    <row r="162" spans="1:14" hidden="1">
      <c r="A162" s="654" t="str">
        <f>+A154</f>
        <v>Learig</v>
      </c>
      <c r="B162" s="695"/>
      <c r="C162" s="693"/>
      <c r="D162" s="42"/>
      <c r="E162" s="23">
        <f>+B162+F205</f>
        <v>0</v>
      </c>
      <c r="F162" s="654"/>
      <c r="G162" s="693" t="s">
        <v>190</v>
      </c>
      <c r="H162" s="23">
        <f>+'Learig Valuation'!F41+'Learig Valuation'!F42+'Learig Valuation'!F43+'Learig Valuation'!F44</f>
        <v>0</v>
      </c>
      <c r="I162" s="23">
        <f>+'Learig Valuation'!H41+'Learig Valuation'!H42+'Learig Valuation'!H43+'Learig Valuation'!H44</f>
        <v>0</v>
      </c>
      <c r="J162" s="23">
        <f>IFERROR(I162/H162,0)</f>
        <v>0</v>
      </c>
      <c r="K162" s="23">
        <f>+'Learig Valuation'!E41+'Learig Valuation'!E42+'Learig Valuation'!E43+'Learig Valuation'!E44</f>
        <v>0</v>
      </c>
      <c r="L162" s="42"/>
      <c r="M162" s="42"/>
    </row>
    <row r="163" spans="1:14" hidden="1">
      <c r="A163" s="654"/>
      <c r="B163" s="695">
        <f>SUM(B158:B162)</f>
        <v>487500</v>
      </c>
      <c r="C163" s="695">
        <f>SUM(C158:C162)</f>
        <v>999375</v>
      </c>
      <c r="D163" s="42">
        <f>+C163/B163</f>
        <v>2.0499999999999998</v>
      </c>
      <c r="E163" s="23">
        <f>+B163+F206</f>
        <v>487500</v>
      </c>
      <c r="F163" s="737">
        <f>SUM(F158:F162)</f>
        <v>3396</v>
      </c>
      <c r="G163" s="693"/>
      <c r="H163" s="31">
        <f>SUM(H158:H162)</f>
        <v>487500</v>
      </c>
      <c r="I163" s="31">
        <f>SUM(I158:I162)</f>
        <v>999375</v>
      </c>
      <c r="J163" s="23">
        <f t="shared" si="21"/>
        <v>2.0499999999999998</v>
      </c>
      <c r="K163" s="1238">
        <f>SUM(K158:K162)</f>
        <v>3250</v>
      </c>
      <c r="L163" s="42"/>
      <c r="M163" s="42"/>
    </row>
    <row r="164" spans="1:14" hidden="1">
      <c r="A164" s="654"/>
      <c r="B164" s="695"/>
      <c r="C164" s="695"/>
      <c r="D164" s="42"/>
      <c r="F164" s="654"/>
      <c r="G164" s="693"/>
      <c r="L164" s="42"/>
      <c r="M164" s="42"/>
    </row>
    <row r="165" spans="1:14" ht="26.45" hidden="1">
      <c r="A165" s="654"/>
      <c r="B165" s="695">
        <f>+B155+B163</f>
        <v>1834884.4773526103</v>
      </c>
      <c r="C165" s="695">
        <f>+C155+C163</f>
        <v>8212180.0214033853</v>
      </c>
      <c r="D165" s="42">
        <f>+C165/B165</f>
        <v>4.4755842249273377</v>
      </c>
      <c r="F165" s="737">
        <f>+F155+F163</f>
        <v>36142</v>
      </c>
      <c r="G165" s="1240" t="s">
        <v>1722</v>
      </c>
      <c r="H165" s="696" t="s">
        <v>181</v>
      </c>
      <c r="I165" s="695" t="s">
        <v>183</v>
      </c>
      <c r="J165" s="695" t="s">
        <v>205</v>
      </c>
      <c r="K165" s="695" t="s">
        <v>180</v>
      </c>
      <c r="L165" s="31" t="s">
        <v>200</v>
      </c>
      <c r="M165" s="695" t="s">
        <v>183</v>
      </c>
    </row>
    <row r="166" spans="1:14" hidden="1">
      <c r="A166" s="654"/>
      <c r="B166" s="695"/>
      <c r="C166" s="695"/>
      <c r="D166" s="42"/>
      <c r="F166" s="94">
        <f>+'Summary Total Pigs'!AF192</f>
        <v>92393</v>
      </c>
      <c r="G166" s="693" t="s">
        <v>127</v>
      </c>
      <c r="I166" s="23">
        <f>SUM(H47:H69,H96:H114)</f>
        <v>108426.15979245922</v>
      </c>
      <c r="K166" s="87">
        <f>SUM(E47:E69,E96:E114)</f>
        <v>4</v>
      </c>
      <c r="L166" s="42">
        <f>SUM('Summary Valuation'!C30:C44,'Summary Valuation'!C68:C92)</f>
        <v>-384300.13932897139</v>
      </c>
      <c r="M166" s="42">
        <f>+I166+L166</f>
        <v>-275873.97953651217</v>
      </c>
    </row>
    <row r="167" spans="1:14" hidden="1">
      <c r="A167" s="737" t="s">
        <v>1723</v>
      </c>
      <c r="B167" s="695"/>
      <c r="C167" s="695"/>
      <c r="D167" s="42"/>
      <c r="F167" s="1239">
        <f>+F165-F166</f>
        <v>-56251</v>
      </c>
      <c r="G167" s="693" t="s">
        <v>186</v>
      </c>
      <c r="I167" s="23">
        <v>0</v>
      </c>
      <c r="K167" s="23">
        <v>0</v>
      </c>
      <c r="L167" s="42">
        <v>0</v>
      </c>
      <c r="M167" s="42">
        <v>0</v>
      </c>
    </row>
    <row r="168" spans="1:14" hidden="1">
      <c r="A168" s="654" t="str">
        <f>+A158</f>
        <v>Grasmere</v>
      </c>
      <c r="B168" s="695"/>
      <c r="C168" s="734">
        <f>+H9</f>
        <v>435825.55067264562</v>
      </c>
      <c r="D168" s="42"/>
      <c r="F168" s="42"/>
      <c r="G168" s="693" t="s">
        <v>187</v>
      </c>
      <c r="I168" s="23">
        <v>0</v>
      </c>
      <c r="K168" s="23">
        <v>0</v>
      </c>
      <c r="L168" s="42">
        <v>0</v>
      </c>
      <c r="M168" s="42">
        <v>0</v>
      </c>
    </row>
    <row r="169" spans="1:14" hidden="1">
      <c r="A169" s="654" t="str">
        <f>+A159</f>
        <v>Villa</v>
      </c>
      <c r="B169" s="695"/>
      <c r="C169" s="734">
        <f>+'Villa Valuation'!H9</f>
        <v>78870.421524663689</v>
      </c>
      <c r="D169" s="42"/>
      <c r="F169" s="42"/>
      <c r="G169" s="693" t="s">
        <v>189</v>
      </c>
      <c r="I169" s="23">
        <f>SUM('Richlands Valuation'!H44:H80)</f>
        <v>0</v>
      </c>
      <c r="K169" s="87">
        <f>SUM('Richlands Valuation'!E44:E80)</f>
        <v>6</v>
      </c>
      <c r="L169" s="42">
        <f>SUM('Summary Valuation'!C46:C66)</f>
        <v>0</v>
      </c>
      <c r="M169" s="42">
        <f>+I169+L169</f>
        <v>0</v>
      </c>
    </row>
    <row r="170" spans="1:14" hidden="1">
      <c r="A170" s="654" t="str">
        <f>+A160</f>
        <v>Lionshead</v>
      </c>
      <c r="B170" s="695"/>
      <c r="C170" s="734">
        <f>+'Lionhead Valuation'!H9+'Lionhead Ext. Valuation'!H9</f>
        <v>216111.49955156946</v>
      </c>
      <c r="D170" s="42"/>
      <c r="F170" s="42"/>
      <c r="G170" s="693"/>
      <c r="L170" s="42"/>
      <c r="M170" s="42"/>
    </row>
    <row r="171" spans="1:14" hidden="1">
      <c r="A171" s="654" t="str">
        <f>+A161</f>
        <v>Richlands</v>
      </c>
      <c r="B171" s="695"/>
      <c r="C171" s="734">
        <f>+'Richlands Valuation'!H9</f>
        <v>198132.13901345298</v>
      </c>
      <c r="D171" s="42"/>
      <c r="F171" s="42"/>
      <c r="G171" s="693"/>
      <c r="H171" s="31">
        <f>SUM(H166:H170)</f>
        <v>0</v>
      </c>
      <c r="I171" s="31">
        <f>SUM(I166:I170)</f>
        <v>108426.15979245922</v>
      </c>
      <c r="J171" s="31"/>
      <c r="K171" s="1238">
        <f>SUM(K166:K170)</f>
        <v>10</v>
      </c>
      <c r="L171" s="1238">
        <f>SUM(L166:L170)</f>
        <v>-384300.13932897139</v>
      </c>
      <c r="M171" s="1238">
        <f>SUM(M166:M170)</f>
        <v>-275873.97953651217</v>
      </c>
    </row>
    <row r="172" spans="1:14" hidden="1">
      <c r="A172" s="654" t="str">
        <f>+A162</f>
        <v>Learig</v>
      </c>
      <c r="B172" s="695"/>
      <c r="C172" s="695">
        <f>SUM(C168:C171)</f>
        <v>928939.61076233163</v>
      </c>
      <c r="D172" s="42"/>
      <c r="F172" s="42"/>
      <c r="G172" s="693"/>
      <c r="L172" s="42"/>
      <c r="M172" s="42"/>
    </row>
    <row r="173" spans="1:14" hidden="1">
      <c r="A173" s="654"/>
      <c r="B173" s="695"/>
      <c r="C173" s="695"/>
      <c r="D173" s="42"/>
      <c r="F173" s="42"/>
      <c r="G173" s="696" t="s">
        <v>384</v>
      </c>
      <c r="L173" s="42"/>
      <c r="M173" s="42"/>
    </row>
    <row r="174" spans="1:14" hidden="1">
      <c r="A174" s="737" t="s">
        <v>384</v>
      </c>
      <c r="B174" s="695"/>
      <c r="C174" s="695"/>
      <c r="D174" s="42"/>
      <c r="F174" s="42"/>
      <c r="G174" s="693" t="str">
        <f>+G166</f>
        <v>Grasmere</v>
      </c>
      <c r="I174" s="23">
        <f>SUM(H10:H13)</f>
        <v>268237.45110869186</v>
      </c>
      <c r="K174" s="87">
        <f>SUM(E10:E13)</f>
        <v>0</v>
      </c>
      <c r="L174" s="42"/>
      <c r="M174" s="42"/>
      <c r="N174" s="23">
        <f>+L171-M174</f>
        <v>-384300.13932897139</v>
      </c>
    </row>
    <row r="175" spans="1:14" hidden="1">
      <c r="A175" s="738" t="str">
        <f>+A168</f>
        <v>Grasmere</v>
      </c>
      <c r="B175" s="61"/>
      <c r="C175" s="385">
        <f>SUM(H10:H13)</f>
        <v>268237.45110869186</v>
      </c>
      <c r="D175" s="42"/>
      <c r="F175" s="42"/>
      <c r="G175" s="693" t="str">
        <f>+G167</f>
        <v>Villa</v>
      </c>
      <c r="I175" s="23">
        <f>SUM('Villa Valuation'!H10:H13)</f>
        <v>47296.478421950342</v>
      </c>
      <c r="K175" s="87">
        <f>SUM('Villa Valuation'!E10:E13)</f>
        <v>1017</v>
      </c>
      <c r="L175" s="42"/>
      <c r="M175" s="42"/>
    </row>
    <row r="176" spans="1:14" hidden="1">
      <c r="A176" s="654" t="str">
        <f>+A169</f>
        <v>Villa</v>
      </c>
      <c r="B176" s="695"/>
      <c r="C176" s="734">
        <f>SUM('Villa Valuation'!H10:H13)</f>
        <v>47296.478421950342</v>
      </c>
      <c r="D176" s="42"/>
      <c r="F176" s="42"/>
      <c r="G176" s="693" t="str">
        <f>+G168</f>
        <v>Lionshead</v>
      </c>
      <c r="I176" s="23">
        <f>SUM('Lionhead Valuation'!H10:H13,'Lionhead Ext. Valuation'!H10:H13)</f>
        <v>132985.26670174461</v>
      </c>
      <c r="K176" s="87">
        <f>SUM('Lionhead Valuation'!E10:E13,'Lionhead Ext. Valuation'!E10:E13)</f>
        <v>2335</v>
      </c>
      <c r="L176" s="42"/>
      <c r="M176" s="42"/>
    </row>
    <row r="177" spans="1:13" hidden="1">
      <c r="A177" s="654" t="str">
        <f>+A170</f>
        <v>Lionshead</v>
      </c>
      <c r="B177" s="695"/>
      <c r="C177" s="734">
        <f>SUM('Lionhead Valuation'!H10:H13)+SUM('Lionhead Ext. Valuation'!H10:H14)</f>
        <v>137773.97683887652</v>
      </c>
      <c r="D177" s="42"/>
      <c r="F177" s="42"/>
      <c r="G177" s="693" t="str">
        <f>+G169</f>
        <v>Richlands</v>
      </c>
      <c r="I177" s="23">
        <f>SUM('Richlands Valuation'!H10:H13)</f>
        <v>120956.50051938978</v>
      </c>
      <c r="K177" s="87">
        <f>SUM('Richlands Valuation'!E10:E13)</f>
        <v>2116</v>
      </c>
      <c r="L177" s="42"/>
      <c r="M177" s="42"/>
    </row>
    <row r="178" spans="1:13" hidden="1">
      <c r="A178" s="654" t="str">
        <f>+A171</f>
        <v>Richlands</v>
      </c>
      <c r="B178" s="695"/>
      <c r="C178" s="734">
        <f>SUM('Richlands Valuation'!H10:H13)</f>
        <v>120956.50051938978</v>
      </c>
      <c r="D178" s="42"/>
      <c r="F178" s="42"/>
      <c r="G178" s="693"/>
      <c r="L178" s="42"/>
      <c r="M178" s="42"/>
    </row>
    <row r="179" spans="1:13" hidden="1">
      <c r="A179" s="654"/>
      <c r="B179" s="695"/>
      <c r="C179" s="695">
        <f>SUM(C175:C178)</f>
        <v>574264.40688890847</v>
      </c>
      <c r="D179" s="42"/>
      <c r="F179" s="42"/>
      <c r="G179" s="693"/>
      <c r="I179" s="31">
        <f>SUM(I174:I178)</f>
        <v>569475.69675177662</v>
      </c>
      <c r="J179" s="31"/>
      <c r="K179" s="1238">
        <f>SUM(K174:K178)</f>
        <v>5468</v>
      </c>
      <c r="L179" s="42"/>
      <c r="M179" s="42"/>
    </row>
    <row r="180" spans="1:13" hidden="1">
      <c r="A180" s="654"/>
      <c r="B180" s="695"/>
      <c r="C180" s="695"/>
      <c r="D180" s="42"/>
      <c r="F180" s="42"/>
      <c r="G180" s="693"/>
      <c r="I180" s="31"/>
      <c r="J180" s="31"/>
      <c r="K180" s="31"/>
      <c r="L180" s="42"/>
      <c r="M180" s="42"/>
    </row>
    <row r="181" spans="1:13" hidden="1">
      <c r="A181" s="654"/>
      <c r="B181" s="695"/>
      <c r="C181" s="695"/>
      <c r="D181" s="42"/>
      <c r="F181" s="42"/>
      <c r="G181" s="696" t="s">
        <v>202</v>
      </c>
      <c r="I181" s="695">
        <f>+'Cattle Valuation'!G21</f>
        <v>48511.464</v>
      </c>
      <c r="J181" s="31"/>
      <c r="K181" s="31">
        <f>+K179+K155</f>
        <v>39960</v>
      </c>
      <c r="L181" s="42"/>
      <c r="M181" s="42"/>
    </row>
    <row r="182" spans="1:13" hidden="1">
      <c r="A182" s="654"/>
      <c r="B182" s="695"/>
      <c r="C182" s="695"/>
      <c r="D182" s="42"/>
      <c r="F182" s="42"/>
      <c r="G182" s="696"/>
      <c r="I182" s="695"/>
      <c r="J182" s="31"/>
      <c r="K182" s="31"/>
      <c r="L182" s="42"/>
      <c r="M182" s="42"/>
    </row>
    <row r="183" spans="1:13" hidden="1">
      <c r="A183" s="654"/>
      <c r="B183" s="695"/>
      <c r="C183" s="695"/>
      <c r="D183" s="42"/>
      <c r="F183" s="42"/>
      <c r="G183" s="696" t="s">
        <v>179</v>
      </c>
      <c r="I183" s="695"/>
      <c r="J183" s="31"/>
      <c r="K183" s="31"/>
      <c r="L183" s="42"/>
      <c r="M183" s="42"/>
    </row>
    <row r="184" spans="1:13" hidden="1">
      <c r="A184" s="654"/>
      <c r="B184" s="695"/>
      <c r="C184" s="695"/>
      <c r="D184" s="42"/>
      <c r="F184" s="42"/>
      <c r="G184" s="736" t="str">
        <f>+G174</f>
        <v>Grasmere</v>
      </c>
      <c r="I184" s="734">
        <f>+H9</f>
        <v>435825.55067264562</v>
      </c>
      <c r="J184" s="31"/>
      <c r="K184" s="31"/>
      <c r="L184" s="42"/>
      <c r="M184" s="42"/>
    </row>
    <row r="185" spans="1:13" hidden="1">
      <c r="A185" s="654"/>
      <c r="B185" s="695"/>
      <c r="C185" s="695"/>
      <c r="D185" s="42"/>
      <c r="F185" s="42"/>
      <c r="G185" s="736" t="str">
        <f>+G175</f>
        <v>Villa</v>
      </c>
      <c r="I185" s="734">
        <f>+'Villa Valuation'!H9</f>
        <v>78870.421524663689</v>
      </c>
      <c r="J185" s="31"/>
      <c r="K185" s="31"/>
      <c r="L185" s="42"/>
      <c r="M185" s="42"/>
    </row>
    <row r="186" spans="1:13" hidden="1">
      <c r="A186" s="654"/>
      <c r="B186" s="695"/>
      <c r="C186" s="695"/>
      <c r="D186" s="42"/>
      <c r="F186" s="42"/>
      <c r="G186" s="736" t="str">
        <f>+G176</f>
        <v>Lionshead</v>
      </c>
      <c r="I186" s="734">
        <f>+'Lionhead Valuation'!H9+'Lionhead Ext. Valuation'!H9</f>
        <v>216111.49955156946</v>
      </c>
      <c r="J186" s="31"/>
      <c r="K186" s="31"/>
      <c r="L186" s="42"/>
      <c r="M186" s="42"/>
    </row>
    <row r="187" spans="1:13" hidden="1">
      <c r="A187" s="654"/>
      <c r="B187" s="695"/>
      <c r="C187" s="695"/>
      <c r="D187" s="42"/>
      <c r="F187" s="42"/>
      <c r="G187" s="736" t="str">
        <f>+G177</f>
        <v>Richlands</v>
      </c>
      <c r="I187" s="734">
        <f>+'Richlands Valuation'!H9</f>
        <v>198132.13901345298</v>
      </c>
      <c r="J187" s="31"/>
      <c r="K187" s="31"/>
      <c r="L187" s="42"/>
      <c r="M187" s="42"/>
    </row>
    <row r="188" spans="1:13" hidden="1">
      <c r="A188" s="654"/>
      <c r="B188" s="695"/>
      <c r="C188" s="695"/>
      <c r="D188" s="42"/>
      <c r="F188" s="42"/>
      <c r="G188" s="693"/>
      <c r="L188" s="42"/>
      <c r="M188" s="42"/>
    </row>
    <row r="189" spans="1:13" hidden="1">
      <c r="A189" s="654"/>
      <c r="B189" s="695"/>
      <c r="C189" s="695"/>
      <c r="D189" s="42"/>
      <c r="F189" s="42"/>
      <c r="G189" s="693"/>
      <c r="I189" s="31">
        <f>SUM(I184:I188)</f>
        <v>928939.61076233163</v>
      </c>
      <c r="L189" s="42"/>
      <c r="M189" s="42"/>
    </row>
    <row r="190" spans="1:13" hidden="1">
      <c r="A190" s="654"/>
      <c r="B190" s="695"/>
      <c r="C190" s="695"/>
      <c r="D190" s="42"/>
      <c r="F190" s="42"/>
      <c r="G190" s="696" t="s">
        <v>1724</v>
      </c>
      <c r="I190" s="31"/>
      <c r="L190" s="42"/>
      <c r="M190" s="42"/>
    </row>
    <row r="191" spans="1:13" hidden="1">
      <c r="A191" s="737" t="s">
        <v>202</v>
      </c>
      <c r="B191" s="695"/>
      <c r="C191" s="695">
        <f>+'Cattle Valuation'!G21</f>
        <v>48511.464</v>
      </c>
      <c r="D191" s="42"/>
      <c r="F191" s="42"/>
      <c r="G191" s="693" t="str">
        <f>+G174</f>
        <v>Grasmere</v>
      </c>
      <c r="K191" s="87">
        <f>+K150+K158+K166+K174</f>
        <v>4</v>
      </c>
      <c r="L191" s="654">
        <f>+'Summary Total Pigs'!AF18+'Summary Total Pigs'!AF133</f>
        <v>27821</v>
      </c>
      <c r="M191" s="654">
        <f>+K191-L191</f>
        <v>-27817</v>
      </c>
    </row>
    <row r="192" spans="1:13" hidden="1">
      <c r="A192" s="654"/>
      <c r="B192" s="695"/>
      <c r="C192" s="695"/>
      <c r="D192" s="42"/>
      <c r="F192" s="42"/>
      <c r="G192" s="693" t="str">
        <f>+G175</f>
        <v>Villa</v>
      </c>
      <c r="K192" s="87">
        <f>+K151+K159+K167+K175</f>
        <v>4711</v>
      </c>
      <c r="L192" s="654">
        <f>+'Summary Total Pigs'!AF95</f>
        <v>4753</v>
      </c>
      <c r="M192" s="42">
        <f>+K192-L192</f>
        <v>-42</v>
      </c>
    </row>
    <row r="193" spans="1:13" hidden="1">
      <c r="A193" s="654" t="s">
        <v>1725</v>
      </c>
      <c r="B193" s="695"/>
      <c r="C193" s="734">
        <f>+C155+C163+C172+C179+C191</f>
        <v>9763895.5030546244</v>
      </c>
      <c r="D193" s="42">
        <f>+'[72]Total Pigs'!$D$111+'[72]Total Pigs'!$D$113</f>
        <v>334778521.80997092</v>
      </c>
      <c r="E193" s="23">
        <f>+C193-D193</f>
        <v>-325014626.3069163</v>
      </c>
      <c r="F193" s="42"/>
      <c r="G193" s="693" t="str">
        <f>+G176</f>
        <v>Lionshead</v>
      </c>
      <c r="K193" s="87">
        <f>+K152+K160+K168+K176</f>
        <v>18236</v>
      </c>
      <c r="L193" s="654">
        <f>+'Summary Total Pigs'!AF75+'Summary Total Pigs'!AF56</f>
        <v>18242</v>
      </c>
      <c r="M193" s="42">
        <f>+K193-L193</f>
        <v>-6</v>
      </c>
    </row>
    <row r="194" spans="1:13" hidden="1">
      <c r="A194" s="654" t="s">
        <v>1726</v>
      </c>
      <c r="B194" s="695"/>
      <c r="C194" s="1161">
        <f>+'[72]Total Pigs'!$D$114+'[72]Total Pigs'!$D$115</f>
        <v>149098619.58309737</v>
      </c>
      <c r="D194" s="1160">
        <f>+C194</f>
        <v>149098619.58309737</v>
      </c>
      <c r="E194" s="42"/>
      <c r="F194" s="42"/>
      <c r="G194" s="693" t="str">
        <f>+G177</f>
        <v>Richlands</v>
      </c>
      <c r="K194" s="87">
        <f>+K153+K161+K169+K177</f>
        <v>13006</v>
      </c>
      <c r="L194" s="654">
        <f>+'Summary Total Pigs'!AF114</f>
        <v>13017</v>
      </c>
      <c r="M194" s="42">
        <f>+K194-L194</f>
        <v>-11</v>
      </c>
    </row>
    <row r="195" spans="1:13" hidden="1">
      <c r="A195" s="654" t="s">
        <v>1609</v>
      </c>
      <c r="B195" s="695"/>
      <c r="C195" s="693">
        <v>1230000</v>
      </c>
      <c r="D195" s="42">
        <f>+C195</f>
        <v>1230000</v>
      </c>
      <c r="E195" s="42"/>
      <c r="F195" s="42"/>
      <c r="G195" s="696" t="s">
        <v>71</v>
      </c>
      <c r="H195" s="31"/>
      <c r="I195" s="31"/>
      <c r="J195" s="31"/>
      <c r="K195" s="1238">
        <f>SUM(K191:K194)</f>
        <v>35957</v>
      </c>
      <c r="L195" s="737">
        <f>SUM(L191:L194)</f>
        <v>63833</v>
      </c>
      <c r="M195" s="695">
        <f>SUM(M191:M194)</f>
        <v>-27876</v>
      </c>
    </row>
    <row r="196" spans="1:13" hidden="1">
      <c r="A196" s="654"/>
      <c r="B196" s="695"/>
      <c r="C196" s="693">
        <f>SUM(C193:C195)</f>
        <v>160092515.08615199</v>
      </c>
      <c r="D196" s="693">
        <f>SUM(D193:D195)</f>
        <v>485107141.39306831</v>
      </c>
      <c r="E196" s="42"/>
      <c r="F196" s="42"/>
      <c r="G196" s="693"/>
      <c r="L196" s="42"/>
      <c r="M196" s="42"/>
    </row>
    <row r="197" spans="1:13" hidden="1">
      <c r="A197" s="654"/>
      <c r="B197" s="695"/>
      <c r="C197" s="693"/>
      <c r="D197" s="693"/>
      <c r="E197" s="42"/>
      <c r="F197" s="42"/>
      <c r="G197" s="696" t="s">
        <v>204</v>
      </c>
      <c r="L197" s="42"/>
      <c r="M197" s="42"/>
    </row>
    <row r="198" spans="1:13" hidden="1">
      <c r="A198" s="42"/>
      <c r="B198" s="42"/>
      <c r="C198" s="693"/>
      <c r="D198" s="42"/>
      <c r="E198" s="654"/>
      <c r="F198" s="695"/>
      <c r="G198" s="693" t="str">
        <f>+G191</f>
        <v>Grasmere</v>
      </c>
      <c r="H198" s="42"/>
      <c r="I198" s="734">
        <f>+I150+I158+I166+I174+I184</f>
        <v>2636954.0121841524</v>
      </c>
      <c r="J198" s="42">
        <f>+'Summary Valuation'!C6</f>
        <v>76879976.279434115</v>
      </c>
      <c r="K198" s="693">
        <f t="shared" ref="K198:K203" si="22">+I198-J198</f>
        <v>-74243022.267249957</v>
      </c>
      <c r="L198" s="42"/>
      <c r="M198" s="42"/>
    </row>
    <row r="199" spans="1:13" hidden="1">
      <c r="A199" s="42"/>
      <c r="B199" s="42"/>
      <c r="C199" s="693"/>
      <c r="D199" s="42"/>
      <c r="E199" s="654"/>
      <c r="F199" s="695"/>
      <c r="G199" s="693" t="str">
        <f>+G192</f>
        <v>Villa</v>
      </c>
      <c r="H199" s="42"/>
      <c r="I199" s="734">
        <f>+I151+I159+I167+I175+I185</f>
        <v>775941.84982092155</v>
      </c>
      <c r="J199" s="42">
        <f>+'Summary Valuation'!C22</f>
        <v>786664.00097004033</v>
      </c>
      <c r="K199" s="693">
        <f t="shared" si="22"/>
        <v>-10722.151149118785</v>
      </c>
      <c r="L199" s="42"/>
      <c r="M199" s="42"/>
    </row>
    <row r="200" spans="1:13" hidden="1">
      <c r="E200" s="654"/>
      <c r="F200" s="42"/>
      <c r="G200" s="693" t="str">
        <f>+G193</f>
        <v>Lionshead</v>
      </c>
      <c r="H200" s="42"/>
      <c r="I200" s="734">
        <f>+I152+I160+I168+I176+I186</f>
        <v>3021483.8536171047</v>
      </c>
      <c r="J200" s="42">
        <f>+'Summary Valuation'!C23+'Summary Valuation'!C25</f>
        <v>3021483.8536171047</v>
      </c>
      <c r="K200" s="693">
        <f t="shared" si="22"/>
        <v>0</v>
      </c>
      <c r="L200" s="42"/>
      <c r="M200" s="42"/>
    </row>
    <row r="201" spans="1:13" hidden="1">
      <c r="E201" s="654"/>
      <c r="F201" s="42"/>
      <c r="G201" s="693" t="str">
        <f>+G194</f>
        <v>Richlands</v>
      </c>
      <c r="H201" s="42"/>
      <c r="I201" s="734">
        <f>+I153+I161+I169+I177+I187</f>
        <v>2174923.9406618737</v>
      </c>
      <c r="J201" s="42">
        <f>+'Summary Valuation'!C24</f>
        <v>2176650.8566190144</v>
      </c>
      <c r="K201" s="693">
        <f t="shared" si="22"/>
        <v>-1726.9159571407363</v>
      </c>
      <c r="L201" s="42"/>
      <c r="M201" s="42"/>
    </row>
    <row r="202" spans="1:13" hidden="1">
      <c r="E202" s="87"/>
      <c r="G202" s="90" t="s">
        <v>202</v>
      </c>
      <c r="I202" s="42">
        <f>+I181</f>
        <v>48511.464</v>
      </c>
      <c r="J202" s="23">
        <f>+'Summary Valuation'!C15</f>
        <v>48511.464</v>
      </c>
      <c r="K202" s="693">
        <f t="shared" si="22"/>
        <v>0</v>
      </c>
    </row>
    <row r="203" spans="1:13" hidden="1">
      <c r="E203" s="87"/>
      <c r="I203" s="695">
        <f>SUM(I198:I202)</f>
        <v>8657815.1202840526</v>
      </c>
      <c r="J203" s="31">
        <f>+'Summary Valuation'!C27</f>
        <v>84110555.219959915</v>
      </c>
      <c r="K203" s="31">
        <f t="shared" si="22"/>
        <v>-75452740.099675864</v>
      </c>
      <c r="L203" s="31"/>
    </row>
    <row r="204" spans="1:13" hidden="1">
      <c r="E204" s="87"/>
      <c r="G204" s="90" t="s">
        <v>1727</v>
      </c>
      <c r="I204" s="42"/>
    </row>
    <row r="205" spans="1:13" hidden="1">
      <c r="E205" s="87"/>
      <c r="G205" s="90" t="s">
        <v>1728</v>
      </c>
      <c r="I205" s="42">
        <f>+'Summary Imported Valuation'!D6+'Summary Imported Valuation'!D13</f>
        <v>-25779722.18035626</v>
      </c>
    </row>
    <row r="206" spans="1:13" hidden="1">
      <c r="E206" s="87"/>
      <c r="G206" s="743" t="s">
        <v>71</v>
      </c>
      <c r="H206" s="31"/>
      <c r="I206" s="31">
        <f>SUM(I203:I205)</f>
        <v>-17121907.060072206</v>
      </c>
      <c r="J206" s="31">
        <f>+'Summary Valuation'!C108</f>
        <v>12231125.632974677</v>
      </c>
      <c r="K206" s="31">
        <f>+I206-J206</f>
        <v>-29353032.693046883</v>
      </c>
    </row>
    <row r="207" spans="1:13" hidden="1">
      <c r="E207" s="87"/>
      <c r="I207" s="23">
        <f>+'Total Pigs'!G315</f>
        <v>16274268.132431434</v>
      </c>
    </row>
    <row r="208" spans="1:13">
      <c r="E208" s="87"/>
      <c r="I208" s="23">
        <f>+I206-I207</f>
        <v>-33396175.192503639</v>
      </c>
    </row>
    <row r="209" spans="5:8">
      <c r="E209" s="87"/>
    </row>
    <row r="210" spans="5:8">
      <c r="E210" s="87"/>
    </row>
    <row r="217" spans="5:8">
      <c r="H217" s="90"/>
    </row>
    <row r="221" spans="5:8">
      <c r="G221" s="23"/>
    </row>
    <row r="226" spans="7:7">
      <c r="G226" s="23"/>
    </row>
  </sheetData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6">
    <tabColor theme="3" tint="0.39997558519241921"/>
  </sheetPr>
  <dimension ref="A1:P38"/>
  <sheetViews>
    <sheetView view="pageBreakPreview" zoomScaleNormal="100" zoomScaleSheetLayoutView="100" workbookViewId="0">
      <selection activeCell="G24" sqref="G24"/>
    </sheetView>
  </sheetViews>
  <sheetFormatPr defaultColWidth="9.140625" defaultRowHeight="13.15"/>
  <cols>
    <col min="1" max="1" width="29.28515625" style="1" customWidth="1"/>
    <col min="2" max="2" width="8.5703125" style="822" bestFit="1" customWidth="1"/>
    <col min="3" max="3" width="10.85546875" customWidth="1"/>
    <col min="4" max="4" width="7.85546875" style="283" bestFit="1" customWidth="1"/>
    <col min="5" max="5" width="16.7109375" customWidth="1"/>
    <col min="6" max="6" width="13.5703125" bestFit="1" customWidth="1"/>
    <col min="7" max="7" width="19.140625" customWidth="1"/>
    <col min="9" max="9" width="11.5703125" bestFit="1" customWidth="1"/>
    <col min="10" max="10" width="12.85546875" bestFit="1" customWidth="1"/>
    <col min="11" max="11" width="13.7109375" bestFit="1" customWidth="1"/>
    <col min="15" max="15" width="10.85546875" bestFit="1" customWidth="1"/>
  </cols>
  <sheetData>
    <row r="1" spans="1:16" s="142" customFormat="1" ht="15.6">
      <c r="A1" s="51" t="s">
        <v>82</v>
      </c>
      <c r="B1" s="803"/>
      <c r="C1" s="131"/>
      <c r="D1" s="803"/>
      <c r="E1" s="131"/>
      <c r="F1" s="131"/>
      <c r="G1" s="131"/>
      <c r="H1" s="131"/>
      <c r="I1" s="131"/>
    </row>
    <row r="2" spans="1:16" s="131" customFormat="1" ht="15.6">
      <c r="A2" s="51"/>
      <c r="B2" s="803"/>
      <c r="D2" s="803"/>
      <c r="G2" s="675">
        <f>+'Summary Total Pigs'!C3</f>
        <v>46226</v>
      </c>
    </row>
    <row r="3" spans="1:16" s="142" customFormat="1" ht="15.6">
      <c r="A3" s="51" t="s">
        <v>1757</v>
      </c>
      <c r="B3" s="803"/>
      <c r="C3" s="131"/>
      <c r="D3" s="803"/>
      <c r="E3" s="131"/>
      <c r="F3" s="131"/>
      <c r="G3" s="131"/>
      <c r="H3" s="131"/>
      <c r="I3" s="131"/>
    </row>
    <row r="4" spans="1:16" s="142" customFormat="1" ht="15.6">
      <c r="A4" s="51"/>
      <c r="B4" s="803"/>
      <c r="C4" s="131"/>
      <c r="D4" s="803"/>
      <c r="E4" s="131"/>
      <c r="F4" s="131"/>
      <c r="G4" s="131"/>
      <c r="H4" s="804" t="s">
        <v>1758</v>
      </c>
      <c r="I4" s="804"/>
    </row>
    <row r="5" spans="1:16" s="142" customFormat="1" ht="15.6">
      <c r="A5" s="51" t="s">
        <v>1759</v>
      </c>
      <c r="B5" s="803"/>
      <c r="C5" s="131"/>
      <c r="D5" s="803"/>
      <c r="E5" s="131"/>
      <c r="F5" s="131"/>
      <c r="G5" s="131"/>
      <c r="H5" s="131"/>
      <c r="I5" s="131"/>
    </row>
    <row r="6" spans="1:16" s="142" customFormat="1" ht="15.6">
      <c r="A6" s="131"/>
      <c r="B6" s="803" t="s">
        <v>1760</v>
      </c>
      <c r="C6" s="803" t="s">
        <v>1761</v>
      </c>
      <c r="D6" s="803" t="s">
        <v>1762</v>
      </c>
      <c r="E6" s="131" t="s">
        <v>1763</v>
      </c>
      <c r="F6" s="131" t="s">
        <v>1764</v>
      </c>
      <c r="G6" s="803" t="s">
        <v>183</v>
      </c>
      <c r="H6" s="131"/>
      <c r="I6" s="131"/>
      <c r="O6" s="805"/>
    </row>
    <row r="7" spans="1:16" s="142" customFormat="1" ht="15.6">
      <c r="A7" s="131"/>
      <c r="B7" s="803"/>
      <c r="C7" s="131"/>
      <c r="D7" s="803"/>
      <c r="E7" s="131"/>
      <c r="F7" s="131"/>
      <c r="G7" s="131"/>
      <c r="O7" s="805"/>
    </row>
    <row r="8" spans="1:16" s="142" customFormat="1" ht="15">
      <c r="A8" s="300" t="s">
        <v>1765</v>
      </c>
      <c r="B8" s="806">
        <f>+[74]Cattle!$B8</f>
        <v>113</v>
      </c>
      <c r="C8" s="807">
        <f>+B8*49%</f>
        <v>55.37</v>
      </c>
      <c r="D8" s="806">
        <f>+'Cattle Mvnt'!$N$11+'Cattle Mvnt'!$N$12</f>
        <v>26</v>
      </c>
      <c r="E8" s="806">
        <f>+D8*B8</f>
        <v>2938</v>
      </c>
      <c r="F8" s="808">
        <f>+[75]Sheet1!$F5</f>
        <v>1.7</v>
      </c>
      <c r="G8" s="809">
        <f>+F8*E8</f>
        <v>4994.5999999999995</v>
      </c>
      <c r="I8" s="805"/>
      <c r="J8" s="810"/>
      <c r="K8" s="811"/>
      <c r="L8" s="810"/>
      <c r="M8" s="810"/>
      <c r="N8" s="810"/>
      <c r="O8" s="805"/>
      <c r="P8" s="812"/>
    </row>
    <row r="9" spans="1:16" s="142" customFormat="1" ht="15">
      <c r="A9" s="300" t="s">
        <v>439</v>
      </c>
      <c r="B9" s="806">
        <f>+[74]Cattle!$B9</f>
        <v>190</v>
      </c>
      <c r="C9" s="807">
        <f t="shared" ref="C9:C15" si="0">+B9*49%</f>
        <v>93.1</v>
      </c>
      <c r="D9" s="806">
        <f>+'Cattle Mvnt'!$N$13</f>
        <v>8</v>
      </c>
      <c r="E9" s="806">
        <f>+D9*B9</f>
        <v>1520</v>
      </c>
      <c r="F9" s="808">
        <f>+[75]Sheet1!$F6</f>
        <v>2.36</v>
      </c>
      <c r="G9" s="809">
        <f t="shared" ref="G9:G17" si="1">+F9*E9</f>
        <v>3587.2</v>
      </c>
      <c r="I9" s="805"/>
      <c r="J9" s="810"/>
      <c r="K9" s="811"/>
      <c r="L9" s="810"/>
      <c r="M9" s="810"/>
      <c r="N9" s="810"/>
      <c r="O9" s="805"/>
      <c r="P9" s="812"/>
    </row>
    <row r="10" spans="1:16" s="142" customFormat="1" ht="15">
      <c r="A10" s="300" t="s">
        <v>440</v>
      </c>
      <c r="B10" s="806">
        <f>+[74]Cattle!$B10</f>
        <v>170</v>
      </c>
      <c r="C10" s="807">
        <f>+B10*49%</f>
        <v>83.3</v>
      </c>
      <c r="D10" s="806">
        <f>+'Cattle Mvnt'!$N$14</f>
        <v>1</v>
      </c>
      <c r="E10" s="806">
        <f>+D10*B10</f>
        <v>170</v>
      </c>
      <c r="F10" s="808">
        <f>+[75]Sheet1!$F7</f>
        <v>1.74</v>
      </c>
      <c r="G10" s="809">
        <f t="shared" si="1"/>
        <v>295.8</v>
      </c>
      <c r="I10" s="805"/>
      <c r="J10" s="810"/>
      <c r="K10" s="811"/>
      <c r="L10" s="810"/>
      <c r="M10" s="810"/>
      <c r="N10" s="810"/>
      <c r="O10" s="805"/>
      <c r="P10" s="812"/>
    </row>
    <row r="11" spans="1:16" s="142" customFormat="1" ht="15">
      <c r="A11" s="300" t="s">
        <v>1766</v>
      </c>
      <c r="B11" s="806">
        <v>193.7</v>
      </c>
      <c r="C11" s="807"/>
      <c r="D11" s="806">
        <f>+'Cattle Mvnt'!N15</f>
        <v>6</v>
      </c>
      <c r="E11" s="806">
        <f>+D11*B11</f>
        <v>1162.1999999999998</v>
      </c>
      <c r="F11" s="808">
        <f>+[75]Sheet1!$F8</f>
        <v>2.2200000000000002</v>
      </c>
      <c r="G11" s="809">
        <f t="shared" si="1"/>
        <v>2580.0839999999998</v>
      </c>
      <c r="I11" s="805"/>
      <c r="J11" s="810"/>
      <c r="K11" s="811"/>
      <c r="L11" s="810"/>
      <c r="M11" s="810"/>
      <c r="N11" s="810"/>
      <c r="O11" s="805"/>
      <c r="P11" s="812"/>
    </row>
    <row r="12" spans="1:16" ht="15">
      <c r="A12" s="300" t="s">
        <v>442</v>
      </c>
      <c r="B12" s="806">
        <f>+[74]Cattle!$B11</f>
        <v>292</v>
      </c>
      <c r="C12" s="807">
        <f t="shared" si="0"/>
        <v>143.07999999999998</v>
      </c>
      <c r="D12" s="806">
        <f>+'Cattle Mvnt'!$N$16</f>
        <v>2</v>
      </c>
      <c r="E12" s="806">
        <f t="shared" ref="E12:E14" si="2">+D12*B12</f>
        <v>584</v>
      </c>
      <c r="F12" s="808">
        <f>+[75]Sheet1!$F9</f>
        <v>2.37</v>
      </c>
      <c r="G12" s="809">
        <f t="shared" si="1"/>
        <v>1384.0800000000002</v>
      </c>
      <c r="I12" s="805"/>
      <c r="J12" s="810"/>
      <c r="K12" s="811"/>
      <c r="L12" s="810"/>
      <c r="M12" s="810"/>
      <c r="N12" s="810"/>
      <c r="O12" s="805"/>
      <c r="P12" s="812"/>
    </row>
    <row r="13" spans="1:16" s="142" customFormat="1" ht="15">
      <c r="A13" s="300" t="s">
        <v>1767</v>
      </c>
      <c r="B13" s="806">
        <f>+[74]Cattle!$B12</f>
        <v>273</v>
      </c>
      <c r="C13" s="807">
        <f t="shared" si="0"/>
        <v>133.77000000000001</v>
      </c>
      <c r="D13" s="806">
        <f>+'Cattle Mvnt'!$N$20</f>
        <v>10</v>
      </c>
      <c r="E13" s="806">
        <f t="shared" si="2"/>
        <v>2730</v>
      </c>
      <c r="F13" s="808">
        <f>+[75]Sheet1!$F10</f>
        <v>2.2200000000000002</v>
      </c>
      <c r="G13" s="809">
        <f t="shared" si="1"/>
        <v>6060.6</v>
      </c>
      <c r="I13" s="805"/>
      <c r="J13" s="810"/>
      <c r="K13" s="811"/>
      <c r="L13" s="810"/>
      <c r="M13" s="810"/>
      <c r="N13" s="810"/>
      <c r="O13" s="805"/>
      <c r="P13" s="812"/>
    </row>
    <row r="14" spans="1:16" s="142" customFormat="1" ht="15">
      <c r="A14" s="300" t="s">
        <v>1768</v>
      </c>
      <c r="B14" s="806">
        <f>+[74]Cattle!$B13</f>
        <v>244</v>
      </c>
      <c r="C14" s="807">
        <f t="shared" si="0"/>
        <v>119.56</v>
      </c>
      <c r="D14" s="806">
        <f>+'Cattle Mvnt'!$N$18</f>
        <v>59</v>
      </c>
      <c r="E14" s="806">
        <f t="shared" si="2"/>
        <v>14396</v>
      </c>
      <c r="F14" s="808">
        <f>+[75]Sheet1!$F11</f>
        <v>1.7</v>
      </c>
      <c r="G14" s="809">
        <f t="shared" si="1"/>
        <v>24473.200000000001</v>
      </c>
      <c r="I14" s="805"/>
      <c r="J14" s="810"/>
      <c r="K14" s="811"/>
      <c r="L14" s="810"/>
      <c r="M14" s="810"/>
      <c r="N14" s="810"/>
      <c r="O14" s="805"/>
      <c r="P14" s="812"/>
    </row>
    <row r="15" spans="1:16" s="142" customFormat="1" ht="15">
      <c r="A15" s="300" t="s">
        <v>1769</v>
      </c>
      <c r="B15" s="806">
        <f>+[74]Cattle!$B14</f>
        <v>230</v>
      </c>
      <c r="C15" s="807">
        <f t="shared" si="0"/>
        <v>112.7</v>
      </c>
      <c r="D15" s="806">
        <f>+'Cattle Mvnt'!N19</f>
        <v>11</v>
      </c>
      <c r="E15" s="806">
        <f>+D15*B15</f>
        <v>2530</v>
      </c>
      <c r="F15" s="808">
        <f>+[75]Sheet1!$F12</f>
        <v>2.0299999999999998</v>
      </c>
      <c r="G15" s="809">
        <f t="shared" si="1"/>
        <v>5135.8999999999996</v>
      </c>
      <c r="I15" s="805"/>
      <c r="J15" s="810"/>
      <c r="K15" s="811"/>
      <c r="L15" s="810"/>
      <c r="M15" s="810"/>
      <c r="N15" s="805"/>
      <c r="O15" s="805"/>
      <c r="P15" s="812"/>
    </row>
    <row r="16" spans="1:16" s="142" customFormat="1" ht="15">
      <c r="A16" s="300" t="s">
        <v>1770</v>
      </c>
      <c r="B16" s="806">
        <f>+B10</f>
        <v>170</v>
      </c>
      <c r="C16" s="807"/>
      <c r="D16" s="806">
        <v>0</v>
      </c>
      <c r="E16" s="806">
        <f>+D16*B16</f>
        <v>0</v>
      </c>
      <c r="F16" s="808">
        <f>+[75]Sheet1!$F13</f>
        <v>1.74</v>
      </c>
      <c r="G16" s="809">
        <f t="shared" si="1"/>
        <v>0</v>
      </c>
      <c r="I16" s="805"/>
      <c r="J16" s="810"/>
      <c r="K16" s="811"/>
      <c r="L16" s="810"/>
      <c r="M16" s="810"/>
      <c r="N16" s="805"/>
      <c r="O16" s="805"/>
      <c r="P16" s="812"/>
    </row>
    <row r="17" spans="1:16" s="142" customFormat="1" ht="15">
      <c r="A17" s="300" t="s">
        <v>1771</v>
      </c>
      <c r="B17" s="806">
        <f>+B13</f>
        <v>273</v>
      </c>
      <c r="C17" s="807"/>
      <c r="D17" s="806">
        <f>'Cattle Mvnt'!N17</f>
        <v>0</v>
      </c>
      <c r="E17" s="806">
        <f>+D17*B17</f>
        <v>0</v>
      </c>
      <c r="F17" s="808">
        <f>+[75]Sheet1!$F14</f>
        <v>1.24</v>
      </c>
      <c r="G17" s="809">
        <f t="shared" si="1"/>
        <v>0</v>
      </c>
      <c r="I17" s="805"/>
      <c r="J17" s="810"/>
      <c r="K17" s="811"/>
      <c r="L17" s="810"/>
      <c r="M17" s="810"/>
      <c r="N17" s="805"/>
      <c r="O17" s="805"/>
      <c r="P17" s="812"/>
    </row>
    <row r="18" spans="1:16" s="142" customFormat="1" ht="15">
      <c r="A18" s="300" t="s">
        <v>138</v>
      </c>
      <c r="B18" s="806"/>
      <c r="C18" s="807"/>
      <c r="D18" s="806"/>
      <c r="E18" s="806"/>
      <c r="F18" s="808"/>
      <c r="G18" s="809"/>
      <c r="I18" s="805"/>
      <c r="J18" s="810"/>
      <c r="K18" s="811"/>
      <c r="L18" s="810"/>
      <c r="M18" s="810"/>
      <c r="N18" s="805"/>
      <c r="O18" s="805"/>
      <c r="P18" s="812"/>
    </row>
    <row r="19" spans="1:16" s="142" customFormat="1" ht="15">
      <c r="A19" s="300"/>
      <c r="B19" s="806"/>
      <c r="C19" s="807"/>
      <c r="D19" s="806"/>
      <c r="E19" s="806"/>
      <c r="F19" s="808"/>
      <c r="G19" s="809"/>
      <c r="I19" s="805"/>
      <c r="J19" s="810"/>
      <c r="K19" s="811"/>
      <c r="L19" s="810"/>
      <c r="M19" s="810"/>
      <c r="N19" s="805"/>
      <c r="O19" s="805"/>
      <c r="P19" s="812"/>
    </row>
    <row r="20" spans="1:16" s="142" customFormat="1" ht="15">
      <c r="A20" s="300"/>
      <c r="B20" s="806"/>
      <c r="C20" s="807"/>
      <c r="D20" s="806"/>
      <c r="E20" s="806"/>
      <c r="F20" s="808"/>
      <c r="G20" s="809"/>
      <c r="J20" s="810"/>
      <c r="K20" s="811"/>
      <c r="L20" s="810"/>
      <c r="M20" s="810"/>
      <c r="N20" s="805"/>
      <c r="O20" s="805"/>
      <c r="P20" s="812"/>
    </row>
    <row r="21" spans="1:16" s="142" customFormat="1" ht="16.149999999999999" thickBot="1">
      <c r="A21" s="131"/>
      <c r="B21" s="813"/>
      <c r="C21" s="814"/>
      <c r="D21" s="815">
        <f>SUM(D8:D20)</f>
        <v>123</v>
      </c>
      <c r="E21" s="815">
        <f>SUM(E8:E20)</f>
        <v>26030.2</v>
      </c>
      <c r="F21" s="815"/>
      <c r="G21" s="1241">
        <f>SUM(G8:G20)</f>
        <v>48511.464</v>
      </c>
      <c r="J21" s="807"/>
      <c r="K21" s="811"/>
      <c r="L21" s="810"/>
      <c r="M21" s="810"/>
      <c r="N21" s="810"/>
      <c r="O21" s="805"/>
      <c r="P21" s="812"/>
    </row>
    <row r="22" spans="1:16" s="142" customFormat="1" ht="16.149999999999999" thickTop="1">
      <c r="A22" s="131"/>
      <c r="B22" s="816"/>
      <c r="D22" s="806">
        <f>+'Cattle Mvnt'!N21</f>
        <v>123</v>
      </c>
      <c r="E22" s="817"/>
      <c r="F22" s="812"/>
      <c r="J22" s="818"/>
      <c r="K22" s="811"/>
    </row>
    <row r="23" spans="1:16" s="142" customFormat="1" ht="15.6">
      <c r="A23" s="131"/>
      <c r="B23" s="819"/>
      <c r="D23" s="820">
        <f>+D21-D22</f>
        <v>0</v>
      </c>
    </row>
    <row r="24" spans="1:16" s="142" customFormat="1" ht="15.6">
      <c r="A24" s="131"/>
      <c r="B24" s="816"/>
      <c r="D24" s="816"/>
      <c r="E24" s="805"/>
      <c r="F24" s="1242">
        <f>+[75]Sheet1!$A$21</f>
        <v>46174</v>
      </c>
      <c r="G24" s="1853">
        <f>'[2]Cattle Valuation'!$G$21</f>
        <v>48511.464</v>
      </c>
    </row>
    <row r="25" spans="1:16" s="142" customFormat="1" ht="15.6">
      <c r="A25" s="131"/>
      <c r="B25" s="816"/>
      <c r="D25" s="816"/>
      <c r="E25" s="818"/>
      <c r="G25" s="818">
        <f>+G21-G24</f>
        <v>0</v>
      </c>
    </row>
    <row r="26" spans="1:16" s="142" customFormat="1" ht="15.6">
      <c r="A26" s="131"/>
      <c r="B26" s="816"/>
      <c r="D26" s="816"/>
    </row>
    <row r="27" spans="1:16" s="142" customFormat="1" ht="15.6">
      <c r="A27" s="131"/>
      <c r="B27" s="821"/>
      <c r="D27" s="816"/>
    </row>
    <row r="28" spans="1:16" s="142" customFormat="1" ht="15.6">
      <c r="A28" s="131"/>
      <c r="B28" s="821"/>
      <c r="D28" s="816"/>
    </row>
    <row r="29" spans="1:16" s="142" customFormat="1" ht="15.6">
      <c r="A29" s="131"/>
      <c r="B29" s="816"/>
      <c r="D29" s="816"/>
    </row>
    <row r="30" spans="1:16" s="142" customFormat="1" ht="15.6">
      <c r="A30" s="131"/>
      <c r="B30" s="816"/>
      <c r="D30" s="816"/>
    </row>
    <row r="31" spans="1:16" s="142" customFormat="1" ht="15.6">
      <c r="A31" s="131"/>
      <c r="B31" s="816"/>
      <c r="D31" s="816"/>
    </row>
    <row r="32" spans="1:16" s="142" customFormat="1" ht="15.6">
      <c r="A32" s="131"/>
      <c r="B32" s="816"/>
      <c r="D32" s="816"/>
    </row>
    <row r="33" spans="1:4" s="142" customFormat="1" ht="15.6">
      <c r="A33" s="131"/>
      <c r="B33" s="816"/>
      <c r="D33" s="816"/>
    </row>
    <row r="34" spans="1:4" s="142" customFormat="1" ht="15.6">
      <c r="A34" s="131"/>
      <c r="B34" s="816"/>
      <c r="D34" s="816"/>
    </row>
    <row r="35" spans="1:4" s="142" customFormat="1" ht="15.6">
      <c r="A35" s="131"/>
      <c r="B35" s="816"/>
      <c r="D35" s="816"/>
    </row>
    <row r="36" spans="1:4" s="142" customFormat="1" ht="15.6">
      <c r="A36" s="131"/>
      <c r="B36" s="816"/>
      <c r="D36" s="816"/>
    </row>
    <row r="37" spans="1:4" s="142" customFormat="1" ht="15.6">
      <c r="A37" s="131"/>
      <c r="B37" s="816"/>
      <c r="D37" s="816"/>
    </row>
    <row r="38" spans="1:4" s="142" customFormat="1" ht="15.6">
      <c r="A38" s="131"/>
      <c r="B38" s="816"/>
      <c r="D38" s="816"/>
    </row>
  </sheetData>
  <pageMargins left="0.7" right="0.7" top="0.75" bottom="0.75" header="0.3" footer="0.3"/>
  <pageSetup paperSize="9" scale="83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7">
    <tabColor theme="6" tint="-0.249977111117893"/>
  </sheetPr>
  <dimension ref="A1:BA94"/>
  <sheetViews>
    <sheetView view="pageBreakPreview" zoomScale="72" zoomScaleNormal="60" zoomScaleSheetLayoutView="72" workbookViewId="0">
      <pane xSplit="1" ySplit="3" topLeftCell="AI37" activePane="bottomRight" state="frozen"/>
      <selection pane="bottomRight" activeCell="AK71" sqref="AK71"/>
      <selection pane="bottomLeft" activeCell="A4" sqref="A4"/>
      <selection pane="topRight" activeCell="B1" sqref="B1"/>
    </sheetView>
  </sheetViews>
  <sheetFormatPr defaultColWidth="9.140625" defaultRowHeight="15"/>
  <cols>
    <col min="1" max="1" width="36.28515625" style="142" bestFit="1" customWidth="1"/>
    <col min="2" max="2" width="23" style="142" bestFit="1" customWidth="1"/>
    <col min="3" max="3" width="22.28515625" style="142" bestFit="1" customWidth="1"/>
    <col min="4" max="4" width="23.42578125" style="142" bestFit="1" customWidth="1"/>
    <col min="5" max="5" width="22.28515625" style="142" bestFit="1" customWidth="1"/>
    <col min="6" max="6" width="24" style="142" bestFit="1" customWidth="1"/>
    <col min="7" max="11" width="22.28515625" style="142" bestFit="1" customWidth="1"/>
    <col min="12" max="17" width="21.85546875" style="142" bestFit="1" customWidth="1"/>
    <col min="18" max="18" width="23.42578125" style="142" bestFit="1" customWidth="1"/>
    <col min="19" max="19" width="22.28515625" style="142" bestFit="1" customWidth="1"/>
    <col min="20" max="20" width="23.42578125" style="142" bestFit="1" customWidth="1"/>
    <col min="21" max="21" width="22.5703125" style="142" bestFit="1" customWidth="1"/>
    <col min="22" max="22" width="23" style="142" bestFit="1" customWidth="1"/>
    <col min="23" max="25" width="23.42578125" style="142" bestFit="1" customWidth="1"/>
    <col min="26" max="26" width="24" style="142" bestFit="1" customWidth="1"/>
    <col min="27" max="27" width="23.42578125" style="142" bestFit="1" customWidth="1"/>
    <col min="28" max="28" width="23" style="142" bestFit="1" customWidth="1"/>
    <col min="29" max="32" width="23.42578125" style="142" bestFit="1" customWidth="1"/>
    <col min="33" max="33" width="23" style="142" bestFit="1" customWidth="1"/>
    <col min="34" max="34" width="24" style="142" bestFit="1" customWidth="1"/>
    <col min="35" max="35" width="23.42578125" style="142" customWidth="1"/>
    <col min="36" max="36" width="23.42578125" style="142" bestFit="1" customWidth="1"/>
    <col min="37" max="38" width="23" style="142" bestFit="1" customWidth="1"/>
    <col min="39" max="39" width="23.42578125" style="142" bestFit="1" customWidth="1"/>
    <col min="40" max="40" width="24" style="142" bestFit="1" customWidth="1"/>
    <col min="41" max="41" width="23" style="142" bestFit="1" customWidth="1"/>
    <col min="42" max="42" width="23.28515625" style="142" customWidth="1"/>
    <col min="43" max="43" width="21.28515625" style="142" bestFit="1" customWidth="1"/>
    <col min="44" max="44" width="21.85546875" style="142" bestFit="1" customWidth="1"/>
    <col min="45" max="45" width="22.7109375" style="142" bestFit="1" customWidth="1"/>
    <col min="46" max="47" width="23.42578125" style="142" bestFit="1" customWidth="1"/>
    <col min="48" max="48" width="18.28515625" style="142" bestFit="1" customWidth="1"/>
    <col min="49" max="49" width="23.42578125" style="142" bestFit="1" customWidth="1"/>
    <col min="50" max="50" width="9.140625" style="142"/>
    <col min="51" max="51" width="10.42578125" style="142" bestFit="1" customWidth="1"/>
    <col min="52" max="52" width="14" style="142" bestFit="1" customWidth="1"/>
    <col min="53" max="53" width="12.42578125" style="142" bestFit="1" customWidth="1"/>
    <col min="54" max="16384" width="9.140625" style="142"/>
  </cols>
  <sheetData>
    <row r="1" spans="1:53">
      <c r="AU1" s="1057"/>
    </row>
    <row r="2" spans="1:53" s="131" customFormat="1" ht="15.6">
      <c r="A2" s="1066" t="s">
        <v>1772</v>
      </c>
      <c r="B2" s="131">
        <v>1</v>
      </c>
      <c r="C2" s="131">
        <f t="shared" ref="C2:AO2" si="0">B2+1</f>
        <v>2</v>
      </c>
      <c r="D2" s="131">
        <f t="shared" si="0"/>
        <v>3</v>
      </c>
      <c r="E2" s="131">
        <f t="shared" si="0"/>
        <v>4</v>
      </c>
      <c r="F2" s="131">
        <f t="shared" si="0"/>
        <v>5</v>
      </c>
      <c r="G2" s="131">
        <f t="shared" si="0"/>
        <v>6</v>
      </c>
      <c r="H2" s="131">
        <f t="shared" si="0"/>
        <v>7</v>
      </c>
      <c r="I2" s="131">
        <f t="shared" si="0"/>
        <v>8</v>
      </c>
      <c r="J2" s="131">
        <f t="shared" si="0"/>
        <v>9</v>
      </c>
      <c r="K2" s="131">
        <f t="shared" si="0"/>
        <v>10</v>
      </c>
      <c r="L2" s="131">
        <f t="shared" si="0"/>
        <v>11</v>
      </c>
      <c r="M2" s="131">
        <f t="shared" si="0"/>
        <v>12</v>
      </c>
      <c r="N2" s="131">
        <f t="shared" si="0"/>
        <v>13</v>
      </c>
      <c r="O2" s="131">
        <f t="shared" si="0"/>
        <v>14</v>
      </c>
      <c r="P2" s="131">
        <f t="shared" si="0"/>
        <v>15</v>
      </c>
      <c r="Q2" s="131">
        <f t="shared" si="0"/>
        <v>16</v>
      </c>
      <c r="R2" s="131">
        <f t="shared" si="0"/>
        <v>17</v>
      </c>
      <c r="S2" s="131">
        <f t="shared" si="0"/>
        <v>18</v>
      </c>
      <c r="T2" s="131">
        <f t="shared" si="0"/>
        <v>19</v>
      </c>
      <c r="U2" s="131">
        <f t="shared" si="0"/>
        <v>20</v>
      </c>
      <c r="V2" s="131">
        <f t="shared" si="0"/>
        <v>21</v>
      </c>
      <c r="W2" s="131">
        <f t="shared" si="0"/>
        <v>22</v>
      </c>
      <c r="X2" s="131">
        <f t="shared" si="0"/>
        <v>23</v>
      </c>
      <c r="Y2" s="131">
        <f t="shared" si="0"/>
        <v>24</v>
      </c>
      <c r="Z2" s="131">
        <f t="shared" si="0"/>
        <v>25</v>
      </c>
      <c r="AA2" s="131">
        <f t="shared" si="0"/>
        <v>26</v>
      </c>
      <c r="AB2" s="131">
        <f t="shared" si="0"/>
        <v>27</v>
      </c>
      <c r="AC2" s="131">
        <f t="shared" si="0"/>
        <v>28</v>
      </c>
      <c r="AD2" s="131">
        <f t="shared" si="0"/>
        <v>29</v>
      </c>
      <c r="AE2" s="131">
        <f t="shared" si="0"/>
        <v>30</v>
      </c>
      <c r="AF2" s="131">
        <f t="shared" si="0"/>
        <v>31</v>
      </c>
      <c r="AG2" s="131">
        <f t="shared" si="0"/>
        <v>32</v>
      </c>
      <c r="AH2" s="131">
        <f t="shared" si="0"/>
        <v>33</v>
      </c>
      <c r="AI2" s="131">
        <f t="shared" si="0"/>
        <v>34</v>
      </c>
      <c r="AJ2" s="131">
        <f t="shared" si="0"/>
        <v>35</v>
      </c>
      <c r="AK2" s="131">
        <f t="shared" si="0"/>
        <v>36</v>
      </c>
      <c r="AL2" s="131">
        <f t="shared" si="0"/>
        <v>37</v>
      </c>
      <c r="AM2" s="131">
        <f t="shared" si="0"/>
        <v>38</v>
      </c>
      <c r="AN2" s="131">
        <f t="shared" si="0"/>
        <v>39</v>
      </c>
      <c r="AO2" s="131">
        <f t="shared" si="0"/>
        <v>40</v>
      </c>
      <c r="AR2" s="1499"/>
      <c r="AU2" s="1086"/>
    </row>
    <row r="3" spans="1:53" s="131" customFormat="1" ht="15.6">
      <c r="B3" s="130" t="s">
        <v>1773</v>
      </c>
      <c r="C3" s="130" t="s">
        <v>1773</v>
      </c>
      <c r="D3" s="130" t="s">
        <v>1773</v>
      </c>
      <c r="E3" s="130" t="s">
        <v>1773</v>
      </c>
      <c r="F3" s="130" t="s">
        <v>1773</v>
      </c>
      <c r="G3" s="130" t="s">
        <v>1773</v>
      </c>
      <c r="H3" s="130" t="s">
        <v>1773</v>
      </c>
      <c r="I3" s="130" t="s">
        <v>1773</v>
      </c>
      <c r="J3" s="130" t="s">
        <v>1773</v>
      </c>
      <c r="K3" s="130" t="s">
        <v>1773</v>
      </c>
      <c r="L3" s="130" t="s">
        <v>1773</v>
      </c>
      <c r="M3" s="130" t="s">
        <v>1773</v>
      </c>
      <c r="N3" s="130" t="s">
        <v>1773</v>
      </c>
      <c r="O3" s="130" t="s">
        <v>1773</v>
      </c>
      <c r="P3" s="130" t="s">
        <v>1773</v>
      </c>
      <c r="Q3" s="130" t="s">
        <v>1773</v>
      </c>
      <c r="R3" s="130" t="s">
        <v>1774</v>
      </c>
      <c r="S3" s="130" t="s">
        <v>1775</v>
      </c>
      <c r="T3" s="130" t="s">
        <v>1775</v>
      </c>
      <c r="U3" s="130" t="s">
        <v>1775</v>
      </c>
      <c r="V3" s="130" t="s">
        <v>1776</v>
      </c>
      <c r="W3" s="130" t="s">
        <v>1777</v>
      </c>
      <c r="X3" s="130" t="s">
        <v>1777</v>
      </c>
      <c r="Y3" s="130" t="s">
        <v>1777</v>
      </c>
      <c r="Z3" s="130" t="s">
        <v>108</v>
      </c>
      <c r="AA3" s="130" t="s">
        <v>108</v>
      </c>
      <c r="AB3" s="130" t="s">
        <v>108</v>
      </c>
      <c r="AC3" s="130" t="s">
        <v>108</v>
      </c>
      <c r="AD3" s="130" t="s">
        <v>1778</v>
      </c>
      <c r="AE3" s="130" t="s">
        <v>1778</v>
      </c>
      <c r="AF3" s="130" t="s">
        <v>1779</v>
      </c>
      <c r="AG3" s="130" t="s">
        <v>1779</v>
      </c>
      <c r="AH3" s="130" t="s">
        <v>1780</v>
      </c>
      <c r="AI3" s="130" t="s">
        <v>1780</v>
      </c>
      <c r="AJ3" s="130" t="s">
        <v>1780</v>
      </c>
      <c r="AK3" s="130" t="s">
        <v>1781</v>
      </c>
      <c r="AL3" s="130" t="s">
        <v>1781</v>
      </c>
      <c r="AM3" s="130" t="s">
        <v>1781</v>
      </c>
      <c r="AN3" s="130" t="s">
        <v>1781</v>
      </c>
      <c r="AO3" s="130" t="s">
        <v>1781</v>
      </c>
      <c r="AR3" s="1085"/>
      <c r="AU3" s="1086"/>
    </row>
    <row r="4" spans="1:53" ht="15.6">
      <c r="A4" s="1066" t="s">
        <v>1782</v>
      </c>
      <c r="B4" s="1066">
        <f t="shared" ref="B4:R4" si="1">C4-1</f>
        <v>23</v>
      </c>
      <c r="C4" s="1066">
        <f t="shared" si="1"/>
        <v>24</v>
      </c>
      <c r="D4" s="1066">
        <f t="shared" si="1"/>
        <v>25</v>
      </c>
      <c r="E4" s="1066">
        <f t="shared" si="1"/>
        <v>26</v>
      </c>
      <c r="F4" s="1066">
        <f t="shared" si="1"/>
        <v>27</v>
      </c>
      <c r="G4" s="1066">
        <f t="shared" si="1"/>
        <v>28</v>
      </c>
      <c r="H4" s="1066">
        <f t="shared" si="1"/>
        <v>29</v>
      </c>
      <c r="I4" s="1066">
        <f t="shared" si="1"/>
        <v>30</v>
      </c>
      <c r="J4" s="1066">
        <f t="shared" si="1"/>
        <v>31</v>
      </c>
      <c r="K4" s="1066">
        <f t="shared" si="1"/>
        <v>32</v>
      </c>
      <c r="L4" s="1066">
        <f t="shared" si="1"/>
        <v>33</v>
      </c>
      <c r="M4" s="1066">
        <f t="shared" si="1"/>
        <v>34</v>
      </c>
      <c r="N4" s="1066">
        <f t="shared" si="1"/>
        <v>35</v>
      </c>
      <c r="O4" s="1066">
        <f t="shared" si="1"/>
        <v>36</v>
      </c>
      <c r="P4" s="1066">
        <f t="shared" si="1"/>
        <v>37</v>
      </c>
      <c r="Q4" s="1066">
        <f t="shared" si="1"/>
        <v>38</v>
      </c>
      <c r="R4" s="1066">
        <f t="shared" si="1"/>
        <v>39</v>
      </c>
      <c r="S4" s="1067">
        <v>40</v>
      </c>
      <c r="T4" s="1066">
        <f t="shared" ref="T4:AE4" si="2">S4+1</f>
        <v>41</v>
      </c>
      <c r="U4" s="1066">
        <f t="shared" si="2"/>
        <v>42</v>
      </c>
      <c r="V4" s="1066">
        <f t="shared" si="2"/>
        <v>43</v>
      </c>
      <c r="W4" s="1066">
        <f t="shared" si="2"/>
        <v>44</v>
      </c>
      <c r="X4" s="1066">
        <f t="shared" si="2"/>
        <v>45</v>
      </c>
      <c r="Y4" s="1066">
        <f t="shared" si="2"/>
        <v>46</v>
      </c>
      <c r="Z4" s="1066">
        <f t="shared" si="2"/>
        <v>47</v>
      </c>
      <c r="AA4" s="1066">
        <f t="shared" si="2"/>
        <v>48</v>
      </c>
      <c r="AB4" s="1066">
        <f t="shared" si="2"/>
        <v>49</v>
      </c>
      <c r="AC4" s="1066">
        <f t="shared" si="2"/>
        <v>50</v>
      </c>
      <c r="AD4" s="1066">
        <f t="shared" si="2"/>
        <v>51</v>
      </c>
      <c r="AE4" s="1066">
        <f t="shared" si="2"/>
        <v>52</v>
      </c>
      <c r="AF4" s="1066">
        <v>1</v>
      </c>
      <c r="AG4" s="1066">
        <f t="shared" ref="AG4:AO5" si="3">AF4+1</f>
        <v>2</v>
      </c>
      <c r="AH4" s="1066">
        <f t="shared" si="3"/>
        <v>3</v>
      </c>
      <c r="AI4" s="1066">
        <f t="shared" si="3"/>
        <v>4</v>
      </c>
      <c r="AJ4" s="1066">
        <f t="shared" si="3"/>
        <v>5</v>
      </c>
      <c r="AK4" s="1066">
        <f t="shared" si="3"/>
        <v>6</v>
      </c>
      <c r="AL4" s="1066">
        <f t="shared" si="3"/>
        <v>7</v>
      </c>
      <c r="AM4" s="1066">
        <f t="shared" si="3"/>
        <v>8</v>
      </c>
      <c r="AN4" s="1066">
        <f t="shared" si="3"/>
        <v>9</v>
      </c>
      <c r="AO4" s="1066">
        <f t="shared" si="3"/>
        <v>10</v>
      </c>
      <c r="AP4" s="1066"/>
      <c r="AQ4" s="1066"/>
      <c r="AR4" s="1066"/>
      <c r="AS4" s="1066"/>
      <c r="AT4" s="1066"/>
      <c r="AU4" s="1068"/>
      <c r="AV4" s="1066"/>
      <c r="AW4" s="1066"/>
      <c r="AX4" s="1066"/>
    </row>
    <row r="5" spans="1:53" ht="31.15">
      <c r="A5" s="1066" t="s">
        <v>1783</v>
      </c>
      <c r="B5" s="1066">
        <v>-16</v>
      </c>
      <c r="C5" s="1066">
        <f t="shared" ref="C5:S5" si="4">B5+1</f>
        <v>-15</v>
      </c>
      <c r="D5" s="1066">
        <f t="shared" si="4"/>
        <v>-14</v>
      </c>
      <c r="E5" s="1066">
        <f t="shared" si="4"/>
        <v>-13</v>
      </c>
      <c r="F5" s="1066">
        <f t="shared" si="4"/>
        <v>-12</v>
      </c>
      <c r="G5" s="1066">
        <f t="shared" si="4"/>
        <v>-11</v>
      </c>
      <c r="H5" s="1066">
        <f t="shared" si="4"/>
        <v>-10</v>
      </c>
      <c r="I5" s="1066">
        <f t="shared" si="4"/>
        <v>-9</v>
      </c>
      <c r="J5" s="1066">
        <f t="shared" si="4"/>
        <v>-8</v>
      </c>
      <c r="K5" s="1066">
        <f t="shared" si="4"/>
        <v>-7</v>
      </c>
      <c r="L5" s="1066">
        <f t="shared" si="4"/>
        <v>-6</v>
      </c>
      <c r="M5" s="1066">
        <f t="shared" si="4"/>
        <v>-5</v>
      </c>
      <c r="N5" s="1066">
        <f t="shared" si="4"/>
        <v>-4</v>
      </c>
      <c r="O5" s="1066">
        <f t="shared" si="4"/>
        <v>-3</v>
      </c>
      <c r="P5" s="1066">
        <f t="shared" si="4"/>
        <v>-2</v>
      </c>
      <c r="Q5" s="1066">
        <f t="shared" si="4"/>
        <v>-1</v>
      </c>
      <c r="R5" s="1066">
        <f t="shared" si="4"/>
        <v>0</v>
      </c>
      <c r="S5" s="1066">
        <f t="shared" si="4"/>
        <v>1</v>
      </c>
      <c r="T5" s="1066">
        <f t="shared" ref="T5:AE5" si="5">S5+1</f>
        <v>2</v>
      </c>
      <c r="U5" s="1066">
        <f t="shared" si="5"/>
        <v>3</v>
      </c>
      <c r="V5" s="1066">
        <f t="shared" si="5"/>
        <v>4</v>
      </c>
      <c r="W5" s="1066">
        <f t="shared" si="5"/>
        <v>5</v>
      </c>
      <c r="X5" s="1066">
        <f t="shared" si="5"/>
        <v>6</v>
      </c>
      <c r="Y5" s="1066">
        <f t="shared" si="5"/>
        <v>7</v>
      </c>
      <c r="Z5" s="1066">
        <f t="shared" si="5"/>
        <v>8</v>
      </c>
      <c r="AA5" s="1066">
        <f t="shared" si="5"/>
        <v>9</v>
      </c>
      <c r="AB5" s="1066">
        <f t="shared" si="5"/>
        <v>10</v>
      </c>
      <c r="AC5" s="1066">
        <f t="shared" si="5"/>
        <v>11</v>
      </c>
      <c r="AD5" s="1066">
        <f t="shared" si="5"/>
        <v>12</v>
      </c>
      <c r="AE5" s="1066">
        <f t="shared" si="5"/>
        <v>13</v>
      </c>
      <c r="AF5" s="1066">
        <f>AE5+1</f>
        <v>14</v>
      </c>
      <c r="AG5" s="1066">
        <f t="shared" si="3"/>
        <v>15</v>
      </c>
      <c r="AH5" s="1066">
        <f t="shared" si="3"/>
        <v>16</v>
      </c>
      <c r="AI5" s="1066">
        <f t="shared" si="3"/>
        <v>17</v>
      </c>
      <c r="AJ5" s="1066">
        <f t="shared" si="3"/>
        <v>18</v>
      </c>
      <c r="AK5" s="1066">
        <f t="shared" si="3"/>
        <v>19</v>
      </c>
      <c r="AL5" s="1066">
        <f t="shared" si="3"/>
        <v>20</v>
      </c>
      <c r="AM5" s="1066">
        <f t="shared" si="3"/>
        <v>21</v>
      </c>
      <c r="AN5" s="1066">
        <f t="shared" si="3"/>
        <v>22</v>
      </c>
      <c r="AO5" s="1066">
        <f t="shared" si="3"/>
        <v>23</v>
      </c>
      <c r="AP5" s="130" t="s">
        <v>1784</v>
      </c>
      <c r="AQ5" s="130" t="s">
        <v>1784</v>
      </c>
      <c r="AR5" s="130" t="s">
        <v>1784</v>
      </c>
      <c r="AS5" s="130" t="s">
        <v>1784</v>
      </c>
      <c r="AT5" s="130" t="s">
        <v>1784</v>
      </c>
      <c r="AU5" s="1069" t="s">
        <v>71</v>
      </c>
      <c r="AV5" s="1601" t="s">
        <v>1785</v>
      </c>
      <c r="AX5" s="817"/>
    </row>
    <row r="6" spans="1:53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Q6" s="1066"/>
      <c r="AS6" s="1066"/>
      <c r="AU6" s="1057"/>
    </row>
    <row r="7" spans="1:53" ht="15.6">
      <c r="A7" s="1066" t="s">
        <v>1786</v>
      </c>
      <c r="B7" s="807"/>
      <c r="C7" s="807"/>
      <c r="D7" s="807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  <c r="U7" s="807"/>
      <c r="V7" s="807"/>
      <c r="W7" s="807">
        <f>'[2]Grasmere Pig Cost'!S29</f>
        <v>1022</v>
      </c>
      <c r="X7" s="807">
        <f>'[2]Grasmere Pig Cost'!T29</f>
        <v>1483</v>
      </c>
      <c r="Y7" s="807">
        <f>'[2]Grasmere Pig Cost'!U29</f>
        <v>1359</v>
      </c>
      <c r="Z7" s="807">
        <f>'[2]Grasmere Pig Cost'!V29</f>
        <v>1396</v>
      </c>
      <c r="AA7" s="807">
        <f>'[2]Grasmere Pig Cost'!W29</f>
        <v>1085</v>
      </c>
      <c r="AB7" s="807">
        <f>'[2]Grasmere Pig Cost'!X29</f>
        <v>1059</v>
      </c>
      <c r="AC7" s="807">
        <f>'[2]Grasmere Pig Cost'!Y29</f>
        <v>1130</v>
      </c>
      <c r="AD7" s="807">
        <f>'[2]Grasmere Pig Cost'!Z29</f>
        <v>1063</v>
      </c>
      <c r="AE7" s="807">
        <f>'[2]Grasmere Pig Cost'!AA29</f>
        <v>998</v>
      </c>
      <c r="AF7" s="807">
        <f>'[2]Grasmere Pig Cost'!AB29</f>
        <v>1045</v>
      </c>
      <c r="AG7" s="807">
        <f>'[2]Grasmere Pig Cost'!AC29</f>
        <v>1039</v>
      </c>
      <c r="AH7" s="807">
        <f>'[2]Grasmere Pig Cost'!AD29</f>
        <v>991</v>
      </c>
      <c r="AI7" s="807">
        <f>'[2]Grasmere Pig Cost'!AE29</f>
        <v>983</v>
      </c>
      <c r="AJ7" s="807">
        <f>'[2]Grasmere Pig Cost'!AF29</f>
        <v>1015</v>
      </c>
      <c r="AK7" s="807">
        <f>'[2]Grasmere Pig Cost'!AG29</f>
        <v>985</v>
      </c>
      <c r="AL7" s="807">
        <f>'[2]Grasmere Pig Cost'!AH29</f>
        <v>977</v>
      </c>
      <c r="AM7" s="807">
        <f>'[2]Grasmere Pig Cost'!AI29</f>
        <v>1051</v>
      </c>
      <c r="AN7" s="807">
        <f>'[2]Grasmere Pig Cost'!AJ29</f>
        <v>971</v>
      </c>
      <c r="AO7" s="807">
        <f>'[2]Grasmere Pig Cost'!AK29</f>
        <v>1027</v>
      </c>
      <c r="AP7" s="807">
        <f>'[2]Grasmere Pig Cost'!AL29</f>
        <v>1045</v>
      </c>
      <c r="AQ7" s="807">
        <f>'[2]Grasmere Pig Cost'!AM29</f>
        <v>1031</v>
      </c>
      <c r="AR7" s="807">
        <f>'[2]Grasmere Pig Cost'!AN29</f>
        <v>947</v>
      </c>
      <c r="AS7" s="807">
        <f>'[2]Grasmere Pig Cost'!AO29</f>
        <v>967</v>
      </c>
      <c r="AT7" s="807">
        <f>'[2]Grasmere Pig Cost'!AP29</f>
        <v>0</v>
      </c>
      <c r="AU7" s="807">
        <f>SUM(W7:AT7)</f>
        <v>24669</v>
      </c>
      <c r="AV7" s="807">
        <f>'[2]Grasmere Pig Cost'!AU29</f>
        <v>24669</v>
      </c>
      <c r="AW7" s="818">
        <f>SUM('Summary Total Pigs'!C12:C14)-AV7</f>
        <v>0</v>
      </c>
      <c r="AX7" s="818"/>
    </row>
    <row r="8" spans="1:53" ht="15.6">
      <c r="A8" s="1066" t="s">
        <v>1787</v>
      </c>
      <c r="B8" s="807"/>
      <c r="C8" s="807"/>
      <c r="D8" s="807"/>
      <c r="E8" s="807"/>
      <c r="F8" s="807"/>
      <c r="G8" s="807"/>
      <c r="H8" s="807"/>
      <c r="I8" s="807"/>
      <c r="J8" s="807"/>
      <c r="K8" s="807"/>
      <c r="L8" s="807"/>
      <c r="M8" s="807"/>
      <c r="N8" s="807"/>
      <c r="O8" s="807"/>
      <c r="P8" s="807"/>
      <c r="Q8" s="807"/>
      <c r="R8" s="807"/>
      <c r="S8" s="807">
        <f>163-14+416-35+517-34</f>
        <v>1013</v>
      </c>
      <c r="T8" s="807">
        <f>172-15+217-13+378-40+503-41+195-8+114-11+65-6</f>
        <v>1510</v>
      </c>
      <c r="U8" s="807">
        <f>1681-174</f>
        <v>1507</v>
      </c>
      <c r="V8" s="807">
        <f>1751-174</f>
        <v>1577</v>
      </c>
      <c r="W8" s="807">
        <f>394-31+199-12</f>
        <v>550</v>
      </c>
      <c r="X8" s="807"/>
      <c r="Y8" s="807"/>
      <c r="Z8" s="807"/>
      <c r="AA8" s="807"/>
      <c r="AB8" s="807"/>
      <c r="AC8" s="807"/>
      <c r="AD8" s="807"/>
      <c r="AE8" s="807"/>
      <c r="AF8" s="807"/>
      <c r="AG8" s="807"/>
      <c r="AH8" s="807"/>
      <c r="AI8" s="807"/>
      <c r="AJ8" s="807"/>
      <c r="AK8" s="807"/>
      <c r="AL8" s="807"/>
      <c r="AM8" s="807"/>
      <c r="AN8" s="807"/>
      <c r="AO8" s="807"/>
      <c r="AP8" s="807"/>
      <c r="AQ8" s="1066"/>
      <c r="AS8" s="1066"/>
      <c r="AT8" s="807"/>
      <c r="AU8" s="807">
        <f>SUM(S8:AT8)</f>
        <v>6157</v>
      </c>
      <c r="AV8" s="817">
        <f>SUM('Summary Total Pigs'!J12:J14)</f>
        <v>6157</v>
      </c>
      <c r="AW8" s="818">
        <f>SUM('Summary Total Pigs'!J12:J14)-AV8</f>
        <v>0</v>
      </c>
      <c r="AX8" s="818"/>
      <c r="AY8" s="817"/>
    </row>
    <row r="9" spans="1:53" ht="15.6">
      <c r="A9" s="1066" t="s">
        <v>212</v>
      </c>
      <c r="B9" s="807"/>
      <c r="C9" s="807"/>
      <c r="D9" s="807"/>
      <c r="E9" s="807"/>
      <c r="F9" s="807"/>
      <c r="G9" s="807"/>
      <c r="H9" s="807"/>
      <c r="I9" s="807"/>
      <c r="J9" s="807"/>
      <c r="K9" s="807"/>
      <c r="L9" s="807"/>
      <c r="M9" s="807"/>
      <c r="N9" s="807"/>
      <c r="O9" s="807"/>
      <c r="P9" s="807"/>
      <c r="Q9" s="807"/>
      <c r="R9" s="807"/>
      <c r="S9" s="1283"/>
      <c r="T9" s="1283">
        <v>9</v>
      </c>
      <c r="U9" s="1881"/>
      <c r="V9" s="1882">
        <v>11</v>
      </c>
      <c r="W9" s="1883">
        <f>55+14</f>
        <v>69</v>
      </c>
      <c r="X9" s="807">
        <v>56</v>
      </c>
      <c r="Y9" s="807">
        <v>32</v>
      </c>
      <c r="Z9" s="807">
        <v>60</v>
      </c>
      <c r="AA9" s="807"/>
      <c r="AB9" s="807"/>
      <c r="AC9" s="807"/>
      <c r="AD9" s="807"/>
      <c r="AE9" s="807"/>
      <c r="AF9" s="807"/>
      <c r="AG9" s="807"/>
      <c r="AH9" s="807"/>
      <c r="AI9" s="807"/>
      <c r="AJ9" s="807"/>
      <c r="AK9" s="807"/>
      <c r="AL9" s="807"/>
      <c r="AM9" s="807"/>
      <c r="AN9" s="807"/>
      <c r="AO9" s="1283">
        <v>16</v>
      </c>
      <c r="AP9" s="807"/>
      <c r="AQ9" s="1066"/>
      <c r="AS9" s="1066"/>
      <c r="AT9" s="807"/>
      <c r="AU9" s="807">
        <f>SUM(S9:AT9)</f>
        <v>253</v>
      </c>
      <c r="AV9" s="817">
        <f>SUM('Summary Total Pigs'!D12:D14)+'Grasmere Batch Mvnt'!I27+'Grasmere Batch Mvnt'!H99+'Grasmere Batch Mvnt'!H113-AV20</f>
        <v>8698</v>
      </c>
      <c r="AW9" s="818">
        <f>SUM('Summary Total Pigs'!J13:J15)-AV9</f>
        <v>-8698</v>
      </c>
      <c r="AX9" s="818"/>
    </row>
    <row r="10" spans="1:53" ht="15.6">
      <c r="A10" s="1066" t="s">
        <v>1788</v>
      </c>
      <c r="B10" s="807"/>
      <c r="C10" s="807"/>
      <c r="D10" s="807"/>
      <c r="E10" s="807"/>
      <c r="F10" s="807"/>
      <c r="G10" s="807"/>
      <c r="H10" s="807"/>
      <c r="I10" s="807"/>
      <c r="J10" s="807"/>
      <c r="K10" s="807"/>
      <c r="L10" s="807"/>
      <c r="M10" s="807"/>
      <c r="N10" s="807"/>
      <c r="O10" s="807"/>
      <c r="P10" s="807"/>
      <c r="Q10" s="807"/>
      <c r="R10" s="807"/>
      <c r="S10" s="807"/>
      <c r="T10" s="1881"/>
      <c r="U10" s="1882">
        <f>-11-9</f>
        <v>-20</v>
      </c>
      <c r="V10" s="1785">
        <f>-55-14</f>
        <v>-69</v>
      </c>
      <c r="W10" s="1739">
        <v>-56</v>
      </c>
      <c r="X10" s="1751">
        <v>-60</v>
      </c>
      <c r="Y10" s="1880"/>
      <c r="Z10" s="1739">
        <v>-32</v>
      </c>
      <c r="AA10" s="807"/>
      <c r="AB10" s="807"/>
      <c r="AC10" s="807"/>
      <c r="AD10" s="807"/>
      <c r="AE10" s="807"/>
      <c r="AF10" s="807"/>
      <c r="AG10" s="807"/>
      <c r="AH10" s="807"/>
      <c r="AI10" s="807"/>
      <c r="AJ10" s="807"/>
      <c r="AK10" s="807"/>
      <c r="AL10" s="807"/>
      <c r="AM10" s="807"/>
      <c r="AN10" s="807"/>
      <c r="AO10" s="807"/>
      <c r="AP10" s="807"/>
      <c r="AQ10" s="1066"/>
      <c r="AS10" s="1811">
        <v>-16</v>
      </c>
      <c r="AT10" s="807"/>
      <c r="AU10" s="807">
        <f>SUM(S10:AT10)</f>
        <v>-253</v>
      </c>
      <c r="AV10" s="817">
        <f>SUM('Summary Total Pigs'!N12:N14)</f>
        <v>-8698</v>
      </c>
      <c r="AW10" s="818">
        <f>SUM('Summary Total Pigs'!J14:J16)-AV10</f>
        <v>8698</v>
      </c>
      <c r="AX10" s="818"/>
    </row>
    <row r="11" spans="1:53" ht="15.6">
      <c r="A11" s="1066" t="s">
        <v>1789</v>
      </c>
      <c r="B11" s="1282">
        <f t="shared" ref="B11:AR11" si="6">SUM(B7:B10)</f>
        <v>0</v>
      </c>
      <c r="C11" s="1282">
        <f t="shared" si="6"/>
        <v>0</v>
      </c>
      <c r="D11" s="1282">
        <f t="shared" si="6"/>
        <v>0</v>
      </c>
      <c r="E11" s="1282">
        <f t="shared" si="6"/>
        <v>0</v>
      </c>
      <c r="F11" s="1282">
        <f t="shared" si="6"/>
        <v>0</v>
      </c>
      <c r="G11" s="1282">
        <f t="shared" si="6"/>
        <v>0</v>
      </c>
      <c r="H11" s="1282">
        <f t="shared" si="6"/>
        <v>0</v>
      </c>
      <c r="I11" s="1282">
        <f t="shared" si="6"/>
        <v>0</v>
      </c>
      <c r="J11" s="1282">
        <f t="shared" si="6"/>
        <v>0</v>
      </c>
      <c r="K11" s="1282">
        <f t="shared" si="6"/>
        <v>0</v>
      </c>
      <c r="L11" s="1282">
        <f t="shared" si="6"/>
        <v>0</v>
      </c>
      <c r="M11" s="1282">
        <f t="shared" si="6"/>
        <v>0</v>
      </c>
      <c r="N11" s="1282">
        <f t="shared" si="6"/>
        <v>0</v>
      </c>
      <c r="O11" s="1282">
        <f t="shared" si="6"/>
        <v>0</v>
      </c>
      <c r="P11" s="1282">
        <f t="shared" si="6"/>
        <v>0</v>
      </c>
      <c r="Q11" s="1282">
        <f t="shared" si="6"/>
        <v>0</v>
      </c>
      <c r="R11" s="1282">
        <f t="shared" si="6"/>
        <v>0</v>
      </c>
      <c r="S11" s="1282">
        <f t="shared" si="6"/>
        <v>1013</v>
      </c>
      <c r="T11" s="1282">
        <f t="shared" si="6"/>
        <v>1519</v>
      </c>
      <c r="U11" s="1282">
        <f t="shared" si="6"/>
        <v>1487</v>
      </c>
      <c r="V11" s="1282">
        <f t="shared" ref="V11" si="7">SUM(V7:V10)</f>
        <v>1519</v>
      </c>
      <c r="W11" s="1282">
        <f t="shared" ref="W11" si="8">SUM(W7:W10)</f>
        <v>1585</v>
      </c>
      <c r="X11" s="1282">
        <f t="shared" si="6"/>
        <v>1479</v>
      </c>
      <c r="Y11" s="1282">
        <f t="shared" si="6"/>
        <v>1391</v>
      </c>
      <c r="Z11" s="1282">
        <f t="shared" si="6"/>
        <v>1424</v>
      </c>
      <c r="AA11" s="1282">
        <f t="shared" si="6"/>
        <v>1085</v>
      </c>
      <c r="AB11" s="1282">
        <f t="shared" si="6"/>
        <v>1059</v>
      </c>
      <c r="AC11" s="1282">
        <f t="shared" si="6"/>
        <v>1130</v>
      </c>
      <c r="AD11" s="1282">
        <f t="shared" si="6"/>
        <v>1063</v>
      </c>
      <c r="AE11" s="1282">
        <f t="shared" si="6"/>
        <v>998</v>
      </c>
      <c r="AF11" s="1282">
        <f t="shared" si="6"/>
        <v>1045</v>
      </c>
      <c r="AG11" s="1282">
        <f t="shared" si="6"/>
        <v>1039</v>
      </c>
      <c r="AH11" s="1282">
        <f t="shared" si="6"/>
        <v>991</v>
      </c>
      <c r="AI11" s="1282">
        <f t="shared" si="6"/>
        <v>983</v>
      </c>
      <c r="AJ11" s="1282">
        <f t="shared" si="6"/>
        <v>1015</v>
      </c>
      <c r="AK11" s="1282">
        <f t="shared" si="6"/>
        <v>985</v>
      </c>
      <c r="AL11" s="1282">
        <f t="shared" si="6"/>
        <v>977</v>
      </c>
      <c r="AM11" s="1282">
        <f t="shared" si="6"/>
        <v>1051</v>
      </c>
      <c r="AN11" s="1282">
        <f t="shared" si="6"/>
        <v>971</v>
      </c>
      <c r="AO11" s="1282">
        <f t="shared" si="6"/>
        <v>1043</v>
      </c>
      <c r="AP11" s="1282">
        <f t="shared" si="6"/>
        <v>1045</v>
      </c>
      <c r="AQ11" s="1066">
        <f t="shared" si="6"/>
        <v>1031</v>
      </c>
      <c r="AR11" s="142">
        <f t="shared" si="6"/>
        <v>947</v>
      </c>
      <c r="AS11" s="1066">
        <f>SUM(AS7:AS10)</f>
        <v>951</v>
      </c>
      <c r="AT11" s="1282">
        <f>SUM(AT7:AT10)</f>
        <v>0</v>
      </c>
      <c r="AU11" s="1579">
        <f>SUM(S11:AT11)</f>
        <v>30826</v>
      </c>
      <c r="AV11" s="1579">
        <f>SUM(AV7:AV10)</f>
        <v>30826</v>
      </c>
      <c r="AW11" s="1170">
        <f>+AU11-AV11</f>
        <v>0</v>
      </c>
      <c r="AX11" s="1066"/>
      <c r="AY11" s="818"/>
    </row>
    <row r="12" spans="1:53" ht="15.6">
      <c r="A12" s="142" t="s">
        <v>1790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Y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1739"/>
      <c r="AL12" s="1739"/>
      <c r="AM12" s="1739"/>
      <c r="AN12" s="807"/>
      <c r="AO12" s="807"/>
      <c r="AP12" s="807"/>
      <c r="AQ12" s="1066"/>
      <c r="AS12" s="1066"/>
      <c r="AT12" s="807"/>
      <c r="AU12" s="807">
        <f>SUM(B12:AT12)</f>
        <v>0</v>
      </c>
      <c r="AV12" s="817">
        <f>SUM('Summary Total Pigs'!O12:O14,'Summary Total Pigs'!P127:P129)</f>
        <v>0</v>
      </c>
      <c r="AW12" s="1170">
        <f t="shared" ref="AW12:AW20" si="9">+AU12-AV12</f>
        <v>0</v>
      </c>
      <c r="AY12" s="817"/>
    </row>
    <row r="13" spans="1:53" ht="15.6">
      <c r="A13" s="142" t="s">
        <v>1791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/>
      <c r="X13" s="807"/>
      <c r="Y13" s="807"/>
      <c r="Z13" s="807"/>
      <c r="AA13" s="807"/>
      <c r="AB13" s="807"/>
      <c r="AC13" s="807"/>
      <c r="AD13" s="807"/>
      <c r="AE13" s="807"/>
      <c r="AF13" s="807"/>
      <c r="AG13" s="807"/>
      <c r="AH13" s="807"/>
      <c r="AI13" s="807"/>
      <c r="AJ13" s="807"/>
      <c r="AK13" s="807"/>
      <c r="AL13" s="807"/>
      <c r="AM13" s="807"/>
      <c r="AN13" s="807"/>
      <c r="AO13" s="807"/>
      <c r="AP13" s="807"/>
      <c r="AQ13" s="1066"/>
      <c r="AS13" s="1066"/>
      <c r="AT13" s="807"/>
      <c r="AU13" s="807">
        <f t="shared" ref="AU13:AU27" si="10">SUM(B13:AT13)</f>
        <v>0</v>
      </c>
      <c r="AV13" s="817">
        <f>SUM('Summary Total Pigs'!P12:P14)</f>
        <v>0</v>
      </c>
      <c r="AW13" s="1170">
        <f t="shared" si="9"/>
        <v>0</v>
      </c>
      <c r="AY13" s="817"/>
      <c r="BA13" s="817"/>
    </row>
    <row r="14" spans="1:53" ht="15.6">
      <c r="A14" s="142" t="s">
        <v>1792</v>
      </c>
      <c r="B14" s="807"/>
      <c r="C14" s="807"/>
      <c r="D14" s="807"/>
      <c r="E14" s="807"/>
      <c r="F14" s="807"/>
      <c r="G14" s="807"/>
      <c r="H14" s="807"/>
      <c r="I14" s="807"/>
      <c r="J14" s="807"/>
      <c r="K14" s="807"/>
      <c r="L14" s="807"/>
      <c r="M14" s="807"/>
      <c r="N14" s="807"/>
      <c r="O14" s="807"/>
      <c r="P14" s="807"/>
      <c r="Q14" s="807"/>
      <c r="R14" s="807"/>
      <c r="S14" s="807"/>
      <c r="T14" s="807"/>
      <c r="U14" s="807"/>
      <c r="V14" s="807"/>
      <c r="W14" s="807"/>
      <c r="X14" s="807"/>
      <c r="Y14" s="807"/>
      <c r="Z14" s="807"/>
      <c r="AA14" s="807"/>
      <c r="AB14" s="807"/>
      <c r="AC14" s="807"/>
      <c r="AD14" s="807"/>
      <c r="AE14" s="807"/>
      <c r="AF14" s="807"/>
      <c r="AG14" s="807"/>
      <c r="AH14" s="807"/>
      <c r="AI14" s="807"/>
      <c r="AJ14" s="807"/>
      <c r="AK14" s="807"/>
      <c r="AL14" s="807"/>
      <c r="AM14" s="807"/>
      <c r="AN14" s="807"/>
      <c r="AO14" s="1739"/>
      <c r="AP14" s="807"/>
      <c r="AQ14" s="1066"/>
      <c r="AS14" s="1066"/>
      <c r="AT14" s="807"/>
      <c r="AU14" s="807">
        <f t="shared" si="10"/>
        <v>0</v>
      </c>
      <c r="AV14" s="817">
        <f>SUM('Summary Total Pigs'!Q12:Q14,'Summary Total Pigs'!O146:O148)</f>
        <v>0</v>
      </c>
      <c r="AW14" s="1170">
        <f t="shared" si="9"/>
        <v>0</v>
      </c>
    </row>
    <row r="15" spans="1:53" ht="15.6">
      <c r="A15" s="142" t="s">
        <v>1793</v>
      </c>
      <c r="B15" s="807"/>
      <c r="C15" s="807"/>
      <c r="D15" s="807"/>
      <c r="E15" s="807"/>
      <c r="F15" s="807"/>
      <c r="G15" s="807"/>
      <c r="H15" s="807"/>
      <c r="I15" s="807"/>
      <c r="J15" s="807"/>
      <c r="K15" s="807"/>
      <c r="L15" s="807"/>
      <c r="M15" s="807"/>
      <c r="N15" s="807"/>
      <c r="O15" s="807"/>
      <c r="P15" s="807"/>
      <c r="Q15" s="807"/>
      <c r="R15" s="807"/>
      <c r="S15" s="807"/>
      <c r="T15" s="807"/>
      <c r="U15" s="807"/>
      <c r="V15" s="807"/>
      <c r="W15" s="807">
        <v>-311</v>
      </c>
      <c r="X15" s="807">
        <v>-320</v>
      </c>
      <c r="Y15" s="1739">
        <v>-280</v>
      </c>
      <c r="Z15" s="807">
        <v>-292</v>
      </c>
      <c r="AA15" s="807"/>
      <c r="AB15" s="807"/>
      <c r="AC15" s="807"/>
      <c r="AD15" s="807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1739"/>
      <c r="AP15" s="807"/>
      <c r="AQ15" s="1066"/>
      <c r="AS15" s="1066"/>
      <c r="AT15" s="807"/>
      <c r="AU15" s="807">
        <f t="shared" si="10"/>
        <v>-1203</v>
      </c>
      <c r="AV15" s="817">
        <f>SUM('Summary Total Pigs'!R12:R14)</f>
        <v>-1203</v>
      </c>
      <c r="AW15" s="1170">
        <f>+AU15-AV15</f>
        <v>0</v>
      </c>
    </row>
    <row r="16" spans="1:53" ht="15.6">
      <c r="A16" s="142" t="s">
        <v>1794</v>
      </c>
      <c r="B16" s="807"/>
      <c r="C16" s="807"/>
      <c r="D16" s="807"/>
      <c r="E16" s="807"/>
      <c r="F16" s="807"/>
      <c r="G16" s="807"/>
      <c r="H16" s="807"/>
      <c r="I16" s="807"/>
      <c r="J16" s="807"/>
      <c r="K16" s="807"/>
      <c r="L16" s="807"/>
      <c r="M16" s="807"/>
      <c r="N16" s="807"/>
      <c r="O16" s="807"/>
      <c r="P16" s="807"/>
      <c r="Q16" s="807"/>
      <c r="R16" s="807"/>
      <c r="S16" s="807"/>
      <c r="T16" s="807"/>
      <c r="U16" s="807"/>
      <c r="V16" s="807"/>
      <c r="W16" s="807"/>
      <c r="X16" s="807"/>
      <c r="Y16" s="807"/>
      <c r="Z16" s="807"/>
      <c r="AA16" s="807"/>
      <c r="AB16" s="807"/>
      <c r="AC16" s="807"/>
      <c r="AD16" s="807"/>
      <c r="AE16" s="807"/>
      <c r="AF16" s="807"/>
      <c r="AG16" s="807"/>
      <c r="AH16" s="807"/>
      <c r="AI16" s="807"/>
      <c r="AJ16" s="807"/>
      <c r="AK16" s="807"/>
      <c r="AL16" s="807"/>
      <c r="AM16" s="807"/>
      <c r="AN16" s="807"/>
      <c r="AO16" s="1739"/>
      <c r="AP16" s="807"/>
      <c r="AQ16" s="1066"/>
      <c r="AS16" s="1066"/>
      <c r="AT16" s="807"/>
      <c r="AU16" s="807">
        <f t="shared" si="10"/>
        <v>0</v>
      </c>
      <c r="AV16" s="817">
        <f>SUM('Summary Total Pigs'!S12:S14,'Summary Total Pigs'!S127:S129)</f>
        <v>0</v>
      </c>
      <c r="AW16" s="1170">
        <f>+AU16-AV16</f>
        <v>0</v>
      </c>
    </row>
    <row r="17" spans="1:51" ht="15.6">
      <c r="A17" s="142" t="s">
        <v>1795</v>
      </c>
      <c r="B17" s="807"/>
      <c r="C17" s="807"/>
      <c r="D17" s="807"/>
      <c r="E17" s="807"/>
      <c r="F17" s="807"/>
      <c r="G17" s="807"/>
      <c r="H17" s="807"/>
      <c r="I17" s="807"/>
      <c r="J17" s="807"/>
      <c r="K17" s="807"/>
      <c r="L17" s="807"/>
      <c r="M17" s="807"/>
      <c r="N17" s="807"/>
      <c r="O17" s="807"/>
      <c r="P17" s="807"/>
      <c r="Q17" s="807"/>
      <c r="R17" s="807"/>
      <c r="S17" s="807"/>
      <c r="T17" s="807"/>
      <c r="U17" s="807"/>
      <c r="V17" s="807"/>
      <c r="W17" s="807"/>
      <c r="X17" s="807"/>
      <c r="Y17" s="807"/>
      <c r="Z17" s="807"/>
      <c r="AA17" s="807"/>
      <c r="AB17" s="807"/>
      <c r="AC17" s="807"/>
      <c r="AD17" s="807"/>
      <c r="AE17" s="807"/>
      <c r="AF17" s="807"/>
      <c r="AG17" s="807"/>
      <c r="AH17" s="807"/>
      <c r="AI17" s="807"/>
      <c r="AJ17" s="807"/>
      <c r="AK17" s="807"/>
      <c r="AL17" s="807"/>
      <c r="AM17" s="807"/>
      <c r="AN17" s="807"/>
      <c r="AO17" s="1739"/>
      <c r="AP17" s="807"/>
      <c r="AQ17" s="1066"/>
      <c r="AS17" s="1066"/>
      <c r="AT17" s="807"/>
      <c r="AU17" s="807">
        <f t="shared" si="10"/>
        <v>0</v>
      </c>
      <c r="AV17" s="817">
        <f>SUM('Summary Total Pigs'!U12:U14,'Summary Total Pigs'!U127:U129)</f>
        <v>0</v>
      </c>
      <c r="AW17" s="1170">
        <f t="shared" ref="AW17:AW19" si="11">+AU17-AV17</f>
        <v>0</v>
      </c>
    </row>
    <row r="18" spans="1:51" ht="15.6">
      <c r="A18" s="142" t="s">
        <v>1796</v>
      </c>
      <c r="B18" s="807"/>
      <c r="C18" s="807"/>
      <c r="D18" s="807"/>
      <c r="E18" s="807"/>
      <c r="F18" s="807"/>
      <c r="G18" s="807"/>
      <c r="H18" s="807"/>
      <c r="I18" s="807"/>
      <c r="J18" s="807"/>
      <c r="K18" s="807"/>
      <c r="L18" s="807"/>
      <c r="M18" s="807"/>
      <c r="N18" s="807"/>
      <c r="O18" s="807"/>
      <c r="P18" s="807"/>
      <c r="Q18" s="807"/>
      <c r="R18" s="807"/>
      <c r="S18" s="807"/>
      <c r="T18" s="807"/>
      <c r="U18" s="807"/>
      <c r="V18" s="807"/>
      <c r="W18" s="807"/>
      <c r="X18" s="807"/>
      <c r="Y18" s="807"/>
      <c r="Z18" s="807"/>
      <c r="AA18" s="807"/>
      <c r="AB18" s="807"/>
      <c r="AC18" s="807"/>
      <c r="AD18" s="807"/>
      <c r="AE18" s="807"/>
      <c r="AF18" s="807"/>
      <c r="AG18" s="807"/>
      <c r="AH18" s="807"/>
      <c r="AI18" s="807"/>
      <c r="AJ18" s="807"/>
      <c r="AK18" s="807"/>
      <c r="AL18" s="807"/>
      <c r="AM18" s="807"/>
      <c r="AN18" s="807"/>
      <c r="AO18" s="1739"/>
      <c r="AP18" s="807"/>
      <c r="AQ18" s="1066"/>
      <c r="AS18" s="1066"/>
      <c r="AT18" s="807"/>
      <c r="AU18" s="807">
        <f>SUM(B18:AT18)</f>
        <v>0</v>
      </c>
      <c r="AV18" s="817"/>
      <c r="AW18" s="1170">
        <f>+AU18-AV18</f>
        <v>0</v>
      </c>
    </row>
    <row r="19" spans="1:51" ht="15.6">
      <c r="B19" s="807"/>
      <c r="C19" s="807"/>
      <c r="D19" s="807"/>
      <c r="E19" s="807"/>
      <c r="F19" s="807"/>
      <c r="G19" s="807"/>
      <c r="H19" s="807"/>
      <c r="I19" s="807"/>
      <c r="J19" s="807"/>
      <c r="K19" s="807"/>
      <c r="L19" s="807"/>
      <c r="M19" s="807"/>
      <c r="N19" s="807"/>
      <c r="O19" s="807"/>
      <c r="P19" s="807"/>
      <c r="Q19" s="807"/>
      <c r="R19" s="807"/>
      <c r="S19" s="807"/>
      <c r="T19" s="807"/>
      <c r="U19" s="807"/>
      <c r="V19" s="807"/>
      <c r="W19" s="807"/>
      <c r="X19" s="807"/>
      <c r="Y19" s="807"/>
      <c r="Z19" s="807"/>
      <c r="AA19" s="807"/>
      <c r="AB19" s="807"/>
      <c r="AC19" s="807"/>
      <c r="AD19" s="807"/>
      <c r="AE19" s="807"/>
      <c r="AF19" s="807"/>
      <c r="AG19" s="807"/>
      <c r="AH19" s="807"/>
      <c r="AI19" s="807"/>
      <c r="AJ19" s="807"/>
      <c r="AK19" s="807"/>
      <c r="AL19" s="807"/>
      <c r="AM19" s="807"/>
      <c r="AN19" s="807"/>
      <c r="AO19" s="1739"/>
      <c r="AP19" s="807"/>
      <c r="AQ19" s="1066"/>
      <c r="AS19" s="1066"/>
      <c r="AT19" s="807"/>
      <c r="AU19" s="807">
        <f>SUM(B19:AT19)</f>
        <v>0</v>
      </c>
      <c r="AV19" s="817"/>
      <c r="AW19" s="1170">
        <f t="shared" si="11"/>
        <v>0</v>
      </c>
    </row>
    <row r="20" spans="1:51" ht="13.5" customHeight="1">
      <c r="A20" s="142" t="s">
        <v>1797</v>
      </c>
      <c r="B20" s="807"/>
      <c r="C20" s="807"/>
      <c r="D20" s="807"/>
      <c r="E20" s="807"/>
      <c r="F20" s="807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  <c r="V20" s="807"/>
      <c r="W20" s="807"/>
      <c r="X20" s="807"/>
      <c r="Y20" s="807"/>
      <c r="Z20" s="807"/>
      <c r="AA20" s="807"/>
      <c r="AB20" s="807"/>
      <c r="AC20" s="807"/>
      <c r="AD20" s="807"/>
      <c r="AE20" s="807"/>
      <c r="AF20" s="807"/>
      <c r="AG20" s="807"/>
      <c r="AH20" s="807"/>
      <c r="AI20" s="807"/>
      <c r="AJ20" s="807"/>
      <c r="AK20" s="807"/>
      <c r="AL20" s="807"/>
      <c r="AM20" s="807"/>
      <c r="AN20" s="807"/>
      <c r="AO20" s="1739"/>
      <c r="AP20" s="1877">
        <v>-2</v>
      </c>
      <c r="AQ20" s="1066"/>
      <c r="AR20" s="142">
        <v>-2</v>
      </c>
      <c r="AS20" s="1066"/>
      <c r="AT20" s="807"/>
      <c r="AU20" s="807">
        <f>SUM(B20:AT20)</f>
        <v>-4</v>
      </c>
      <c r="AV20" s="817">
        <f>-'Summary Total Pigs'!D17</f>
        <v>-4</v>
      </c>
      <c r="AW20" s="1170">
        <f t="shared" si="9"/>
        <v>0</v>
      </c>
    </row>
    <row r="21" spans="1:51" ht="13.5" customHeight="1">
      <c r="A21" s="142" t="s">
        <v>1798</v>
      </c>
      <c r="B21" s="807"/>
      <c r="C21" s="807"/>
      <c r="D21" s="807"/>
      <c r="E21" s="807"/>
      <c r="F21" s="807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/>
      <c r="T21" s="807"/>
      <c r="U21" s="807"/>
      <c r="V21" s="807"/>
      <c r="W21" s="807"/>
      <c r="X21" s="807"/>
      <c r="Y21" s="807"/>
      <c r="Z21" s="807"/>
      <c r="AA21" s="807"/>
      <c r="AB21" s="807"/>
      <c r="AC21" s="807"/>
      <c r="AD21" s="807"/>
      <c r="AE21" s="807"/>
      <c r="AF21" s="807"/>
      <c r="AG21" s="807"/>
      <c r="AH21" s="807"/>
      <c r="AI21" s="807"/>
      <c r="AJ21" s="807"/>
      <c r="AK21" s="807"/>
      <c r="AL21" s="807"/>
      <c r="AM21" s="807"/>
      <c r="AN21" s="807"/>
      <c r="AO21" s="1739"/>
      <c r="AP21" s="807"/>
      <c r="AQ21" s="1066"/>
      <c r="AS21" s="1066"/>
      <c r="AT21" s="807"/>
      <c r="AU21" s="807">
        <f t="shared" si="10"/>
        <v>0</v>
      </c>
      <c r="AV21" s="817">
        <v>0</v>
      </c>
      <c r="AW21" s="1170">
        <f>+AU21-AV21</f>
        <v>0</v>
      </c>
    </row>
    <row r="22" spans="1:51" ht="13.5" customHeight="1">
      <c r="A22" s="142" t="s">
        <v>1799</v>
      </c>
      <c r="B22" s="807"/>
      <c r="C22" s="807"/>
      <c r="D22" s="807"/>
      <c r="E22" s="807"/>
      <c r="F22" s="807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7"/>
      <c r="AB22" s="807"/>
      <c r="AC22" s="807"/>
      <c r="AD22" s="1878"/>
      <c r="AE22" s="1878">
        <f>-1-1-1</f>
        <v>-3</v>
      </c>
      <c r="AF22" s="1878">
        <f>-1-1-1</f>
        <v>-3</v>
      </c>
      <c r="AG22" s="1878">
        <f>-1-1-1-1-1</f>
        <v>-5</v>
      </c>
      <c r="AH22" s="807"/>
      <c r="AI22" s="807"/>
      <c r="AJ22" s="807">
        <f>-1-1</f>
        <v>-2</v>
      </c>
      <c r="AK22" s="807">
        <v>-1</v>
      </c>
      <c r="AL22" s="807">
        <v>-1</v>
      </c>
      <c r="AM22" s="807">
        <f>-1-1</f>
        <v>-2</v>
      </c>
      <c r="AN22" s="807"/>
      <c r="AO22" s="1739">
        <v>26</v>
      </c>
      <c r="AP22" s="807">
        <v>-1</v>
      </c>
      <c r="AQ22" s="1811">
        <f>-1-2-2</f>
        <v>-5</v>
      </c>
      <c r="AR22" s="1812">
        <v>-1</v>
      </c>
      <c r="AS22" s="1813">
        <v>-2</v>
      </c>
      <c r="AT22" s="807"/>
      <c r="AU22" s="807">
        <f>SUM(B22:AT22)</f>
        <v>0</v>
      </c>
      <c r="AV22" s="817"/>
      <c r="AW22" s="1170"/>
    </row>
    <row r="23" spans="1:51" ht="15.6">
      <c r="A23" s="142" t="s">
        <v>1800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1739"/>
      <c r="X23" s="807"/>
      <c r="Y23" s="807"/>
      <c r="Z23" s="807"/>
      <c r="AA23" s="807"/>
      <c r="AB23" s="807"/>
      <c r="AC23" s="807"/>
      <c r="AD23" s="807"/>
      <c r="AE23" s="807"/>
      <c r="AF23" s="807"/>
      <c r="AG23" s="807"/>
      <c r="AH23" s="807"/>
      <c r="AI23" s="807"/>
      <c r="AJ23" s="807"/>
      <c r="AK23" s="807"/>
      <c r="AL23" s="807"/>
      <c r="AM23" s="807"/>
      <c r="AN23" s="807"/>
      <c r="AO23" s="1739"/>
      <c r="AP23" s="807"/>
      <c r="AQ23" s="1811"/>
      <c r="AR23" s="1812"/>
      <c r="AS23" s="1813"/>
      <c r="AT23" s="807"/>
      <c r="AU23" s="807">
        <f>SUM(B23:AT23)</f>
        <v>0</v>
      </c>
      <c r="AV23" s="817">
        <f>-SUM('Grasmere Batch Mvnt'!I27,'Summary Total Pigs'!D130)-'Grasmere Batch Mvnt'!F103-'Grasmere Batch Mvnt'!H113-'Grasmere Batch Mvnt'!H99</f>
        <v>0</v>
      </c>
      <c r="AW23" s="1170">
        <f>+AU23-AV23</f>
        <v>0</v>
      </c>
      <c r="AX23" s="818"/>
    </row>
    <row r="24" spans="1:51" ht="15.6">
      <c r="A24" s="142" t="s">
        <v>169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>
        <f>-2-7-12</f>
        <v>-21</v>
      </c>
      <c r="T24" s="807">
        <f>-1-3-11-12-10-14-9-3-2-6</f>
        <v>-71</v>
      </c>
      <c r="U24" s="807">
        <v>-114</v>
      </c>
      <c r="V24" s="807">
        <f>-60-45-25-6</f>
        <v>-136</v>
      </c>
      <c r="W24" s="807">
        <f>-20-12-14-11-8-5-2-7-3-1-2-6-3-2-3-2-2-1-2-1-4-3-3-2</f>
        <v>-119</v>
      </c>
      <c r="X24" s="807">
        <f>-10-4-7-6-5-4-3-3-4-5-1-2-3-1-1-2-1-1</f>
        <v>-63</v>
      </c>
      <c r="Y24" s="807">
        <v>-7</v>
      </c>
      <c r="Z24" s="807">
        <f>-14-2-6-3-2-1-2-2-3-1-1-1-1-2-1</f>
        <v>-42</v>
      </c>
      <c r="AA24" s="807">
        <f>-1-1-1-2-2-1-1</f>
        <v>-9</v>
      </c>
      <c r="AB24" s="807">
        <v>-7</v>
      </c>
      <c r="AC24" s="807">
        <f>-5-3</f>
        <v>-8</v>
      </c>
      <c r="AD24" s="807">
        <v>-2</v>
      </c>
      <c r="AE24" s="807">
        <f>-1-1-1-1-1-2</f>
        <v>-7</v>
      </c>
      <c r="AF24" s="807">
        <f>-1-1-1</f>
        <v>-3</v>
      </c>
      <c r="AG24" s="807">
        <f>-2-1</f>
        <v>-3</v>
      </c>
      <c r="AH24" s="807">
        <v>-1</v>
      </c>
      <c r="AI24" s="807">
        <f>-1-1-1-1</f>
        <v>-4</v>
      </c>
      <c r="AJ24" s="1283">
        <f>-1-1-2</f>
        <v>-4</v>
      </c>
      <c r="AK24" s="807">
        <f>-1-1-1-1-1</f>
        <v>-5</v>
      </c>
      <c r="AL24" s="807">
        <f>-1-1</f>
        <v>-2</v>
      </c>
      <c r="AM24" s="807">
        <v>-12</v>
      </c>
      <c r="AN24" s="807">
        <v>-9</v>
      </c>
      <c r="AO24" s="1739">
        <f>-9-11</f>
        <v>-20</v>
      </c>
      <c r="AP24" s="807">
        <v>-6</v>
      </c>
      <c r="AQ24" s="1811">
        <f>-1-2-1</f>
        <v>-4</v>
      </c>
      <c r="AR24" s="1812">
        <f>-'[3]Sales USD'!$AZ$5</f>
        <v>-4</v>
      </c>
      <c r="AS24" s="1813">
        <f>-'[3]Sales USD'!$AY$5</f>
        <v>-2</v>
      </c>
      <c r="AT24" s="807"/>
      <c r="AU24" s="807">
        <f t="shared" si="10"/>
        <v>-685</v>
      </c>
      <c r="AV24" s="817">
        <f>SUM('Summary Total Pigs'!W12:W14,'Summary Total Pigs'!Y12:Y14)</f>
        <v>-685</v>
      </c>
      <c r="AW24" s="1170">
        <f>+AU24-AV24</f>
        <v>0</v>
      </c>
      <c r="AX24" s="818"/>
    </row>
    <row r="25" spans="1:51" ht="15.6">
      <c r="A25" s="142" t="s">
        <v>229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1739"/>
      <c r="Z25" s="807"/>
      <c r="AA25" s="807"/>
      <c r="AB25" s="807"/>
      <c r="AC25" s="807"/>
      <c r="AD25" s="807"/>
      <c r="AE25" s="807"/>
      <c r="AF25" s="807"/>
      <c r="AG25" s="1887"/>
      <c r="AH25" s="807"/>
      <c r="AI25" s="807"/>
      <c r="AJ25" s="807"/>
      <c r="AK25" s="807"/>
      <c r="AL25" s="807"/>
      <c r="AM25" s="807"/>
      <c r="AN25" s="807"/>
      <c r="AO25" s="1739">
        <v>-2</v>
      </c>
      <c r="AP25" s="807"/>
      <c r="AQ25" s="1811">
        <v>-1</v>
      </c>
      <c r="AR25" s="1812"/>
      <c r="AS25" s="1813">
        <v>-2</v>
      </c>
      <c r="AT25" s="807"/>
      <c r="AU25" s="807">
        <f t="shared" si="10"/>
        <v>-5</v>
      </c>
      <c r="AV25" s="817">
        <f>SUM('Summary Total Pigs'!Z12:Z14)</f>
        <v>-5</v>
      </c>
      <c r="AW25" s="1170">
        <f>+AU25-AV25</f>
        <v>0</v>
      </c>
      <c r="AX25" s="818"/>
    </row>
    <row r="26" spans="1:51" ht="13.5" customHeight="1">
      <c r="A26" s="142" t="s">
        <v>231</v>
      </c>
      <c r="B26" s="807"/>
      <c r="C26" s="807"/>
      <c r="D26" s="807"/>
      <c r="E26" s="807"/>
      <c r="F26" s="807"/>
      <c r="G26" s="807"/>
      <c r="H26" s="807"/>
      <c r="I26" s="807"/>
      <c r="J26" s="807"/>
      <c r="K26" s="807"/>
      <c r="L26" s="807"/>
      <c r="M26" s="807"/>
      <c r="N26" s="807"/>
      <c r="O26" s="807"/>
      <c r="P26" s="807"/>
      <c r="Q26" s="807"/>
      <c r="R26" s="807"/>
      <c r="S26" s="807"/>
      <c r="T26" s="807"/>
      <c r="U26" s="807"/>
      <c r="V26" s="807"/>
      <c r="W26" s="807"/>
      <c r="X26" s="807"/>
      <c r="Y26" s="1739"/>
      <c r="Z26" s="807"/>
      <c r="AA26" s="807"/>
      <c r="AB26" s="807"/>
      <c r="AC26" s="807"/>
      <c r="AD26" s="807"/>
      <c r="AE26" s="807"/>
      <c r="AF26" s="807"/>
      <c r="AG26" s="807"/>
      <c r="AH26" s="807"/>
      <c r="AI26" s="807"/>
      <c r="AJ26" s="807"/>
      <c r="AK26" s="807"/>
      <c r="AL26" s="807"/>
      <c r="AM26" s="807"/>
      <c r="AN26" s="807"/>
      <c r="AO26" s="1739"/>
      <c r="AP26" s="807"/>
      <c r="AQ26" s="1811"/>
      <c r="AR26" s="1812"/>
      <c r="AS26" s="1813"/>
      <c r="AT26" s="807"/>
      <c r="AU26" s="807">
        <f t="shared" si="10"/>
        <v>0</v>
      </c>
      <c r="AV26" s="817">
        <f>SUM('Summary Total Pigs'!AB12:AB14)</f>
        <v>0</v>
      </c>
      <c r="AW26" s="1170">
        <f t="shared" ref="AW26:AW27" si="12">+AU26-AV26</f>
        <v>0</v>
      </c>
      <c r="AX26" s="818"/>
    </row>
    <row r="27" spans="1:51" ht="15.6">
      <c r="A27" s="142" t="s">
        <v>232</v>
      </c>
      <c r="B27" s="807"/>
      <c r="C27" s="807"/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07"/>
      <c r="V27" s="807"/>
      <c r="W27" s="807"/>
      <c r="X27" s="807"/>
      <c r="Y27" s="1739"/>
      <c r="Z27" s="807"/>
      <c r="AA27" s="807"/>
      <c r="AB27" s="807"/>
      <c r="AC27" s="807"/>
      <c r="AD27" s="807"/>
      <c r="AE27" s="807"/>
      <c r="AF27" s="807"/>
      <c r="AG27" s="807"/>
      <c r="AH27" s="1283"/>
      <c r="AI27" s="1739"/>
      <c r="AJ27" s="807"/>
      <c r="AK27" s="807"/>
      <c r="AL27" s="807"/>
      <c r="AM27" s="807"/>
      <c r="AN27" s="807"/>
      <c r="AO27" s="1739">
        <v>-15</v>
      </c>
      <c r="AP27" s="807"/>
      <c r="AQ27" s="1811">
        <v>-3</v>
      </c>
      <c r="AR27" s="1812"/>
      <c r="AS27" s="1813"/>
      <c r="AT27" s="807"/>
      <c r="AU27" s="807">
        <f t="shared" si="10"/>
        <v>-18</v>
      </c>
      <c r="AV27" s="817">
        <f>SUM('Summary Total Pigs'!AC12:AC14)</f>
        <v>-18</v>
      </c>
      <c r="AW27" s="1170">
        <f t="shared" si="12"/>
        <v>0</v>
      </c>
      <c r="AX27" s="818"/>
    </row>
    <row r="28" spans="1:51" ht="16.149999999999999" thickBot="1">
      <c r="A28" s="1100" t="s">
        <v>1801</v>
      </c>
      <c r="B28" s="1057"/>
      <c r="C28" s="1057"/>
      <c r="D28" s="1057"/>
      <c r="E28" s="1057"/>
      <c r="F28" s="1057"/>
      <c r="G28" s="1057"/>
      <c r="H28" s="1057"/>
      <c r="I28" s="1057"/>
      <c r="J28" s="1057"/>
      <c r="K28" s="1057"/>
      <c r="L28" s="1057"/>
      <c r="M28" s="1057"/>
      <c r="N28" s="1057"/>
      <c r="O28" s="1057"/>
      <c r="P28" s="1057"/>
      <c r="Q28" s="1057"/>
      <c r="R28" s="1057"/>
      <c r="S28" s="807"/>
      <c r="T28" s="807"/>
      <c r="U28" s="807"/>
      <c r="V28" s="807"/>
      <c r="W28" s="807"/>
      <c r="X28" s="807"/>
      <c r="Y28" s="1739"/>
      <c r="Z28" s="807"/>
      <c r="AA28" s="807"/>
      <c r="AB28" s="807"/>
      <c r="AC28" s="807"/>
      <c r="AD28" s="807"/>
      <c r="AE28" s="807"/>
      <c r="AF28" s="807"/>
      <c r="AG28" s="807"/>
      <c r="AH28" s="807"/>
      <c r="AI28" s="807"/>
      <c r="AJ28" s="807"/>
      <c r="AK28" s="807"/>
      <c r="AL28" s="807"/>
      <c r="AM28" s="807"/>
      <c r="AN28" s="807"/>
      <c r="AO28" s="1739">
        <f>-60-4-2-2-5</f>
        <v>-73</v>
      </c>
      <c r="AP28" s="807">
        <f>-60-180-540-256</f>
        <v>-1036</v>
      </c>
      <c r="AQ28" s="1811">
        <f>-179-540-239-60</f>
        <v>-1018</v>
      </c>
      <c r="AR28" s="1812">
        <f>-180-540-224+'[3]Sales USD'!$AZ$5</f>
        <v>-940</v>
      </c>
      <c r="AS28" s="1813">
        <f>-180-540-227+'[3]Sales USD'!$AY$5</f>
        <v>-945</v>
      </c>
      <c r="AT28" s="807"/>
      <c r="AU28" s="807">
        <f>SUM(B28:AT28)</f>
        <v>-4012</v>
      </c>
      <c r="AV28" s="817">
        <f>SUM('Summary Total Pigs'!X12:X14)</f>
        <v>-4012</v>
      </c>
      <c r="AW28" s="1170">
        <f>+AU28-AV28</f>
        <v>0</v>
      </c>
      <c r="AX28" s="818"/>
    </row>
    <row r="29" spans="1:51" ht="16.149999999999999" thickBot="1">
      <c r="A29" s="1070" t="s">
        <v>1802</v>
      </c>
      <c r="B29" s="1071">
        <f t="shared" ref="B29:AT29" si="13">SUM(B11:B28)</f>
        <v>0</v>
      </c>
      <c r="C29" s="1071">
        <f t="shared" si="13"/>
        <v>0</v>
      </c>
      <c r="D29" s="1071">
        <f t="shared" si="13"/>
        <v>0</v>
      </c>
      <c r="E29" s="1071">
        <f t="shared" si="13"/>
        <v>0</v>
      </c>
      <c r="F29" s="1071">
        <f t="shared" si="13"/>
        <v>0</v>
      </c>
      <c r="G29" s="1071">
        <f t="shared" si="13"/>
        <v>0</v>
      </c>
      <c r="H29" s="1071">
        <f t="shared" si="13"/>
        <v>0</v>
      </c>
      <c r="I29" s="1071">
        <f t="shared" si="13"/>
        <v>0</v>
      </c>
      <c r="J29" s="1071">
        <f t="shared" si="13"/>
        <v>0</v>
      </c>
      <c r="K29" s="1071">
        <f t="shared" si="13"/>
        <v>0</v>
      </c>
      <c r="L29" s="1071">
        <f t="shared" si="13"/>
        <v>0</v>
      </c>
      <c r="M29" s="1071">
        <f t="shared" si="13"/>
        <v>0</v>
      </c>
      <c r="N29" s="1071">
        <f t="shared" si="13"/>
        <v>0</v>
      </c>
      <c r="O29" s="1071">
        <f t="shared" si="13"/>
        <v>0</v>
      </c>
      <c r="P29" s="1071">
        <f t="shared" si="13"/>
        <v>0</v>
      </c>
      <c r="Q29" s="1071">
        <f t="shared" si="13"/>
        <v>0</v>
      </c>
      <c r="R29" s="1071">
        <f t="shared" si="13"/>
        <v>0</v>
      </c>
      <c r="S29" s="1071">
        <f t="shared" si="13"/>
        <v>992</v>
      </c>
      <c r="T29" s="1071">
        <f t="shared" si="13"/>
        <v>1448</v>
      </c>
      <c r="U29" s="1071">
        <f t="shared" si="13"/>
        <v>1373</v>
      </c>
      <c r="V29" s="1071">
        <f t="shared" si="13"/>
        <v>1383</v>
      </c>
      <c r="W29" s="1071">
        <f t="shared" si="13"/>
        <v>1155</v>
      </c>
      <c r="X29" s="1071">
        <f t="shared" si="13"/>
        <v>1096</v>
      </c>
      <c r="Y29" s="1071">
        <f t="shared" si="13"/>
        <v>1104</v>
      </c>
      <c r="Z29" s="1071">
        <f t="shared" si="13"/>
        <v>1090</v>
      </c>
      <c r="AA29" s="1071">
        <f t="shared" si="13"/>
        <v>1076</v>
      </c>
      <c r="AB29" s="1071">
        <f t="shared" si="13"/>
        <v>1052</v>
      </c>
      <c r="AC29" s="1071">
        <f t="shared" si="13"/>
        <v>1122</v>
      </c>
      <c r="AD29" s="1071">
        <f t="shared" si="13"/>
        <v>1061</v>
      </c>
      <c r="AE29" s="1071">
        <f t="shared" si="13"/>
        <v>988</v>
      </c>
      <c r="AF29" s="1071">
        <f t="shared" si="13"/>
        <v>1039</v>
      </c>
      <c r="AG29" s="1071">
        <f t="shared" si="13"/>
        <v>1031</v>
      </c>
      <c r="AH29" s="1071">
        <f t="shared" si="13"/>
        <v>990</v>
      </c>
      <c r="AI29" s="1071">
        <f t="shared" si="13"/>
        <v>979</v>
      </c>
      <c r="AJ29" s="1071">
        <f t="shared" si="13"/>
        <v>1009</v>
      </c>
      <c r="AK29" s="1071">
        <f t="shared" si="13"/>
        <v>979</v>
      </c>
      <c r="AL29" s="1071">
        <f t="shared" si="13"/>
        <v>974</v>
      </c>
      <c r="AM29" s="1071">
        <f t="shared" si="13"/>
        <v>1037</v>
      </c>
      <c r="AN29" s="1071">
        <f t="shared" si="13"/>
        <v>962</v>
      </c>
      <c r="AO29" s="1071">
        <f t="shared" si="13"/>
        <v>959</v>
      </c>
      <c r="AP29" s="1071">
        <f t="shared" si="13"/>
        <v>0</v>
      </c>
      <c r="AQ29" s="1071">
        <f t="shared" si="13"/>
        <v>0</v>
      </c>
      <c r="AR29" s="1071">
        <f>SUM(AR11:AR28)</f>
        <v>0</v>
      </c>
      <c r="AS29" s="1071">
        <f t="shared" si="13"/>
        <v>0</v>
      </c>
      <c r="AT29" s="1071">
        <f t="shared" si="13"/>
        <v>0</v>
      </c>
      <c r="AU29" s="1071">
        <f>SUM(AU11:AU28)</f>
        <v>24899</v>
      </c>
      <c r="AV29" s="1071">
        <f>SUM(AV11:AV28)</f>
        <v>24899</v>
      </c>
      <c r="AW29" s="1170">
        <f>SUM('Summary Total Pigs'!AF12:AF14)-AU29</f>
        <v>0</v>
      </c>
      <c r="AX29" s="1059">
        <f>AU33/AU7</f>
        <v>172.42244875711768</v>
      </c>
    </row>
    <row r="30" spans="1:51">
      <c r="F30" s="1769"/>
      <c r="S30" s="1058">
        <f>+'Grasmere Valuation '!E10</f>
        <v>992</v>
      </c>
      <c r="T30" s="1058">
        <f>+'Grasmere Valuation '!E11</f>
        <v>1448</v>
      </c>
      <c r="U30" s="1058">
        <f>+'Grasmere Valuation '!E12</f>
        <v>1373</v>
      </c>
      <c r="V30" s="1058">
        <f>+'Grasmere Valuation '!E13</f>
        <v>1383</v>
      </c>
      <c r="W30" s="1058">
        <f>+'Grasmere Valuation '!E14</f>
        <v>1155</v>
      </c>
      <c r="X30" s="1058">
        <f>+'Grasmere Valuation '!E15</f>
        <v>1096</v>
      </c>
      <c r="Y30" s="1058">
        <f>+'Grasmere Valuation '!E16</f>
        <v>1104</v>
      </c>
      <c r="Z30" s="1058">
        <f>+'Grasmere Valuation '!E17</f>
        <v>1090</v>
      </c>
      <c r="AA30" s="1058">
        <f>+'Grasmere Valuation '!E18</f>
        <v>1076</v>
      </c>
      <c r="AB30" s="1058">
        <f>+'Grasmere Valuation '!E19</f>
        <v>1052</v>
      </c>
      <c r="AC30" s="1058">
        <f>+'Grasmere Valuation '!E20</f>
        <v>1122</v>
      </c>
      <c r="AD30" s="1058">
        <f>+'Grasmere Valuation '!E21</f>
        <v>1061</v>
      </c>
      <c r="AE30" s="1058">
        <f>+'Grasmere Valuation '!E22</f>
        <v>988</v>
      </c>
      <c r="AF30" s="1058">
        <f>+'Grasmere Valuation '!E23</f>
        <v>1039</v>
      </c>
      <c r="AG30" s="1058">
        <f>+'Grasmere Valuation '!E24</f>
        <v>1031</v>
      </c>
      <c r="AH30" s="1058">
        <f>+'Grasmere Valuation '!E25</f>
        <v>990</v>
      </c>
      <c r="AI30" s="1058">
        <f>+'Grasmere Valuation '!E26</f>
        <v>979</v>
      </c>
      <c r="AJ30" s="1058">
        <f>+'Grasmere Valuation '!E27</f>
        <v>1009</v>
      </c>
      <c r="AK30" s="1058">
        <f>+'Grasmere Valuation '!E28</f>
        <v>979</v>
      </c>
      <c r="AL30" s="1058">
        <f>+'Grasmere Valuation '!E29</f>
        <v>974</v>
      </c>
      <c r="AM30" s="1058">
        <f>+'Grasmere Valuation '!E30</f>
        <v>1037</v>
      </c>
      <c r="AN30" s="1058">
        <f>+'Grasmere Valuation '!E31</f>
        <v>962</v>
      </c>
      <c r="AO30" s="1058">
        <f>+'Grasmere Valuation '!E32</f>
        <v>959</v>
      </c>
      <c r="AP30" s="1058">
        <f>+'Grasmere Valuation '!E33</f>
        <v>0</v>
      </c>
      <c r="AQ30" s="1058">
        <f>+'Grasmere Valuation '!E34</f>
        <v>0</v>
      </c>
      <c r="AR30" s="1058">
        <f>+'Grasmere Valuation '!E35</f>
        <v>0</v>
      </c>
      <c r="AS30" s="1058">
        <f>+'Grasmere Valuation '!E36</f>
        <v>0</v>
      </c>
      <c r="AT30" s="1058">
        <f>+'Grasmere Valuation '!E37</f>
        <v>0</v>
      </c>
      <c r="AU30" s="1057">
        <f>SUM(B30:AT30)</f>
        <v>24899</v>
      </c>
      <c r="AV30" s="817">
        <f>SUM('Grasmere Valuation '!E10:E40)</f>
        <v>24899</v>
      </c>
      <c r="AW30" s="1170"/>
      <c r="AX30" s="1059">
        <f>AU62/AU30</f>
        <v>173.69271896449541</v>
      </c>
      <c r="AY30" s="1992">
        <f>AX30/AX29-1</f>
        <v>7.367197348919996E-3</v>
      </c>
    </row>
    <row r="31" spans="1:51">
      <c r="F31" s="1769"/>
      <c r="S31" s="1896">
        <f>+S29-S30</f>
        <v>0</v>
      </c>
      <c r="T31" s="1058">
        <f t="shared" ref="T31:AS31" si="14">+T29-T30</f>
        <v>0</v>
      </c>
      <c r="U31" s="1896">
        <f t="shared" si="14"/>
        <v>0</v>
      </c>
      <c r="V31" s="1058">
        <f t="shared" si="14"/>
        <v>0</v>
      </c>
      <c r="W31" s="1058">
        <f t="shared" si="14"/>
        <v>0</v>
      </c>
      <c r="X31" s="1058">
        <f t="shared" si="14"/>
        <v>0</v>
      </c>
      <c r="Y31" s="1058">
        <f t="shared" si="14"/>
        <v>0</v>
      </c>
      <c r="Z31" s="1058">
        <f t="shared" si="14"/>
        <v>0</v>
      </c>
      <c r="AA31" s="1058">
        <f t="shared" si="14"/>
        <v>0</v>
      </c>
      <c r="AB31" s="1058">
        <f t="shared" si="14"/>
        <v>0</v>
      </c>
      <c r="AC31" s="1058">
        <f t="shared" si="14"/>
        <v>0</v>
      </c>
      <c r="AD31" s="1058">
        <f t="shared" si="14"/>
        <v>0</v>
      </c>
      <c r="AE31" s="1058">
        <f t="shared" si="14"/>
        <v>0</v>
      </c>
      <c r="AF31" s="1058">
        <f t="shared" si="14"/>
        <v>0</v>
      </c>
      <c r="AG31" s="1058">
        <f t="shared" si="14"/>
        <v>0</v>
      </c>
      <c r="AH31" s="1058">
        <f t="shared" si="14"/>
        <v>0</v>
      </c>
      <c r="AI31" s="1058">
        <f t="shared" si="14"/>
        <v>0</v>
      </c>
      <c r="AJ31" s="1058">
        <f t="shared" si="14"/>
        <v>0</v>
      </c>
      <c r="AK31" s="1058">
        <f t="shared" si="14"/>
        <v>0</v>
      </c>
      <c r="AL31" s="1058">
        <f t="shared" si="14"/>
        <v>0</v>
      </c>
      <c r="AM31" s="1058">
        <f>+AM29-AM30</f>
        <v>0</v>
      </c>
      <c r="AN31" s="1058">
        <f t="shared" si="14"/>
        <v>0</v>
      </c>
      <c r="AO31" s="1752">
        <f t="shared" si="14"/>
        <v>0</v>
      </c>
      <c r="AP31" s="1058">
        <f t="shared" si="14"/>
        <v>0</v>
      </c>
      <c r="AQ31" s="1058">
        <f t="shared" si="14"/>
        <v>0</v>
      </c>
      <c r="AR31" s="1058">
        <f t="shared" si="14"/>
        <v>0</v>
      </c>
      <c r="AS31" s="1058">
        <f t="shared" si="14"/>
        <v>0</v>
      </c>
      <c r="AT31" s="1058">
        <f>+AT29-AT30</f>
        <v>0</v>
      </c>
      <c r="AU31" s="1057">
        <f>SUM(B31:AT31)</f>
        <v>0</v>
      </c>
      <c r="AV31" s="817">
        <f>SUM('Summary Total Pigs'!AF12:AF14)</f>
        <v>24899</v>
      </c>
      <c r="AW31" s="1170"/>
    </row>
    <row r="32" spans="1:51" ht="15.6">
      <c r="A32" s="1066" t="s">
        <v>199</v>
      </c>
      <c r="F32" s="1769"/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817"/>
      <c r="AG32" s="817"/>
      <c r="AH32" s="817"/>
      <c r="AI32" s="817"/>
      <c r="AJ32" s="817"/>
      <c r="AK32" s="817"/>
      <c r="AL32" s="817"/>
      <c r="AM32" s="817"/>
      <c r="AN32" s="817"/>
      <c r="AO32" s="817"/>
      <c r="AP32" s="817"/>
      <c r="AQ32" s="817"/>
      <c r="AR32" s="817"/>
      <c r="AS32" s="817"/>
      <c r="AT32" s="817"/>
      <c r="AU32" s="1057"/>
      <c r="AV32" s="817"/>
      <c r="AW32" s="818"/>
    </row>
    <row r="33" spans="1:53">
      <c r="A33" s="142" t="s">
        <v>1803</v>
      </c>
      <c r="B33" s="818"/>
      <c r="C33" s="818"/>
      <c r="D33" s="818"/>
      <c r="E33" s="818"/>
      <c r="F33" s="818">
        <f>'[2]Grasmere Pig Cost'!B62</f>
        <v>13243.318385650224</v>
      </c>
      <c r="G33" s="818">
        <f>'[2]Grasmere Pig Cost'!C62</f>
        <v>13243.318385650224</v>
      </c>
      <c r="H33" s="818">
        <f>'[2]Grasmere Pig Cost'!D62</f>
        <v>13243.318385650224</v>
      </c>
      <c r="I33" s="818">
        <f>'[2]Grasmere Pig Cost'!E62</f>
        <v>13243.318385650224</v>
      </c>
      <c r="J33" s="818">
        <f>'[2]Grasmere Pig Cost'!F62</f>
        <v>12183.852914798206</v>
      </c>
      <c r="K33" s="818">
        <f>'[2]Grasmere Pig Cost'!G62</f>
        <v>21998.651121076229</v>
      </c>
      <c r="L33" s="818">
        <f>'[2]Grasmere Pig Cost'!H62</f>
        <v>21998.651121076229</v>
      </c>
      <c r="M33" s="818">
        <f>'[2]Grasmere Pig Cost'!I62</f>
        <v>21998.651121076229</v>
      </c>
      <c r="N33" s="818">
        <f>'[2]Grasmere Pig Cost'!J62</f>
        <v>21998.651121076229</v>
      </c>
      <c r="O33" s="818">
        <f>'[2]Grasmere Pig Cost'!K62</f>
        <v>31134.039013452915</v>
      </c>
      <c r="P33" s="818">
        <f>'[2]Grasmere Pig Cost'!L62</f>
        <v>31134.039013452915</v>
      </c>
      <c r="Q33" s="818">
        <f>'[2]Grasmere Pig Cost'!M62</f>
        <v>31134.039013452915</v>
      </c>
      <c r="R33" s="818">
        <f>'[2]Grasmere Pig Cost'!N62</f>
        <v>33782.702690582963</v>
      </c>
      <c r="S33" s="818">
        <f>'[2]Grasmere Pig Cost'!O62</f>
        <v>44518.148878923763</v>
      </c>
      <c r="T33" s="818">
        <f>'[2]Grasmere Pig Cost'!P62</f>
        <v>44518.148878923763</v>
      </c>
      <c r="U33" s="818">
        <f>'[2]Grasmere Pig Cost'!Q62</f>
        <v>44518.148878923763</v>
      </c>
      <c r="V33" s="818">
        <f>'[2]Grasmere Pig Cost'!R62</f>
        <v>56172.269058295962</v>
      </c>
      <c r="W33" s="818">
        <f>'[2]Grasmere Pig Cost'!S62</f>
        <v>49359.802418847867</v>
      </c>
      <c r="X33" s="818">
        <f>'[2]Grasmere Pig Cost'!T62</f>
        <v>73565.515797334549</v>
      </c>
      <c r="Y33" s="818">
        <f>'[2]Grasmere Pig Cost'!U62</f>
        <v>77365.766946042437</v>
      </c>
      <c r="Z33" s="818">
        <f>'[2]Grasmere Pig Cost'!V62</f>
        <v>64581.99628629419</v>
      </c>
      <c r="AA33" s="818">
        <f>'[2]Grasmere Pig Cost'!W62</f>
        <v>45084.531168574613</v>
      </c>
      <c r="AB33" s="818">
        <f>'[2]Grasmere Pig Cost'!X62</f>
        <v>54594.335809928823</v>
      </c>
      <c r="AC33" s="818">
        <f>'[2]Grasmere Pig Cost'!Y62</f>
        <v>81070.547557494312</v>
      </c>
      <c r="AD33" s="818">
        <f>'[2]Grasmere Pig Cost'!Z62</f>
        <v>112820.22141870076</v>
      </c>
      <c r="AE33" s="818">
        <f>'[2]Grasmere Pig Cost'!AA62</f>
        <v>104654.90820554663</v>
      </c>
      <c r="AF33" s="818">
        <f>'[2]Grasmere Pig Cost'!AB62</f>
        <v>90314.288392053437</v>
      </c>
      <c r="AG33" s="818">
        <f>'[2]Grasmere Pig Cost'!AC62</f>
        <v>111859.52429763724</v>
      </c>
      <c r="AH33" s="818">
        <f>'[2]Grasmere Pig Cost'!AD62</f>
        <v>151126.80988308456</v>
      </c>
      <c r="AI33" s="818">
        <f>'[2]Grasmere Pig Cost'!AE62</f>
        <v>186330.14965525831</v>
      </c>
      <c r="AJ33" s="818">
        <f>'[2]Grasmere Pig Cost'!AF62</f>
        <v>174927.82151932191</v>
      </c>
      <c r="AK33" s="818">
        <f>'[2]Grasmere Pig Cost'!AG62</f>
        <v>191374.57598545516</v>
      </c>
      <c r="AL33" s="818">
        <f>'[2]Grasmere Pig Cost'!AH62</f>
        <v>210021.08824809693</v>
      </c>
      <c r="AM33" s="818">
        <f>'[2]Grasmere Pig Cost'!AI62</f>
        <v>290773.27683515527</v>
      </c>
      <c r="AN33" s="818">
        <f>'[2]Grasmere Pig Cost'!AJ62</f>
        <v>252535.04954581874</v>
      </c>
      <c r="AO33" s="818">
        <f>'[2]Grasmere Pig Cost'!AK62</f>
        <v>244780.00428946494</v>
      </c>
      <c r="AP33" s="818">
        <f>'[2]Grasmere Pig Cost'!AL62</f>
        <v>261649.54039104198</v>
      </c>
      <c r="AQ33" s="818">
        <f>'[2]Grasmere Pig Cost'!AM62</f>
        <v>332034.40881627233</v>
      </c>
      <c r="AR33" s="818">
        <f>'[2]Grasmere Pig Cost'!AN62</f>
        <v>313011.43963597197</v>
      </c>
      <c r="AS33" s="818">
        <f>'[2]Grasmere Pig Cost'!AO62</f>
        <v>309590.51891822577</v>
      </c>
      <c r="AT33" s="818">
        <f>'[2]Grasmere Pig Cost'!AP62</f>
        <v>0</v>
      </c>
      <c r="AU33" s="1057">
        <f>SUM(B33:AT33)</f>
        <v>4253489.3883893359</v>
      </c>
      <c r="AV33" s="818">
        <f>'[2]Grasmere Pig Cost'!AU62</f>
        <v>4253489.3883893359</v>
      </c>
      <c r="AW33" s="1170">
        <f>+AU33-AV33</f>
        <v>0</v>
      </c>
      <c r="AZ33" s="817"/>
    </row>
    <row r="34" spans="1:53" s="1101" customFormat="1" ht="15.6">
      <c r="A34" s="1066" t="s">
        <v>212</v>
      </c>
      <c r="S34" s="1101">
        <v>0</v>
      </c>
      <c r="T34" s="1101">
        <f>-S35</f>
        <v>0</v>
      </c>
      <c r="U34" s="1101">
        <f>-T35</f>
        <v>0</v>
      </c>
      <c r="V34" s="1101">
        <f>-U35</f>
        <v>590.81816693993051</v>
      </c>
      <c r="W34" s="1101">
        <f>-V35</f>
        <v>2457.7593944340024</v>
      </c>
      <c r="Y34" s="1101">
        <f>-X35-Z35</f>
        <v>4456.7422280338187</v>
      </c>
      <c r="Z34" s="1101">
        <f>-Y35</f>
        <v>0</v>
      </c>
      <c r="AC34" s="1101">
        <f>-AN35/13*3</f>
        <v>0</v>
      </c>
      <c r="AE34" s="1101">
        <v>0</v>
      </c>
      <c r="AF34" s="1101">
        <f>-IFERROR(AF9/(AF9+AG9)*AT35,0)</f>
        <v>0</v>
      </c>
      <c r="AG34" s="1101">
        <f>-IFERROR(AG9/(AG9+AF9)*AT35,0)</f>
        <v>0</v>
      </c>
      <c r="AH34" s="1101">
        <v>0</v>
      </c>
      <c r="AI34" s="1101">
        <v>0</v>
      </c>
      <c r="AJ34" s="1101">
        <v>0</v>
      </c>
      <c r="AK34" s="1101">
        <v>0</v>
      </c>
      <c r="AL34" s="1101">
        <v>0</v>
      </c>
      <c r="AM34" s="1101">
        <v>0</v>
      </c>
      <c r="AN34" s="1101">
        <v>0</v>
      </c>
      <c r="AO34" s="1101">
        <f>-AT35</f>
        <v>0</v>
      </c>
      <c r="AP34" s="1101">
        <f>-AS35</f>
        <v>5122.4904888227638</v>
      </c>
      <c r="AQ34" s="1101">
        <f>-AN35/13*5</f>
        <v>0</v>
      </c>
      <c r="AS34" s="1101">
        <v>0</v>
      </c>
      <c r="AT34" s="1101">
        <v>0</v>
      </c>
      <c r="AU34" s="807">
        <f>SUM(B34:AT34)</f>
        <v>12627.810278230514</v>
      </c>
    </row>
    <row r="35" spans="1:53" s="1101" customFormat="1" ht="15.6">
      <c r="A35" s="1066" t="s">
        <v>1788</v>
      </c>
      <c r="S35" s="1101">
        <f>S33/S8*S10</f>
        <v>0</v>
      </c>
      <c r="T35" s="1101">
        <f>IFERROR(T33/T8*T10,0)</f>
        <v>0</v>
      </c>
      <c r="U35" s="1101">
        <f>U33/U8*U10</f>
        <v>-590.81816693993051</v>
      </c>
      <c r="V35" s="1101">
        <f>V33/V8*V10</f>
        <v>-2457.7593944340024</v>
      </c>
      <c r="W35" s="1101">
        <f>+W10/(W7+W8)*W33</f>
        <v>-1758.3644627579392</v>
      </c>
      <c r="X35" s="1101">
        <f>X33/X7*X10</f>
        <v>-2976.3526283479923</v>
      </c>
      <c r="Y35" s="1101">
        <f>Y33/Y7*Y10</f>
        <v>0</v>
      </c>
      <c r="Z35" s="1101">
        <f>Z33/Z7*Z10</f>
        <v>-1480.3895996858266</v>
      </c>
      <c r="AA35" s="1101">
        <f>+AA10/(AA7+AA8)*AA33</f>
        <v>0</v>
      </c>
      <c r="AB35" s="1101">
        <f t="shared" ref="AB35:AN35" si="15">AB33/AB7*AB10</f>
        <v>0</v>
      </c>
      <c r="AC35" s="1101">
        <f t="shared" si="15"/>
        <v>0</v>
      </c>
      <c r="AD35" s="1101">
        <f t="shared" si="15"/>
        <v>0</v>
      </c>
      <c r="AE35" s="1101">
        <f t="shared" si="15"/>
        <v>0</v>
      </c>
      <c r="AF35" s="1101">
        <f t="shared" si="15"/>
        <v>0</v>
      </c>
      <c r="AG35" s="1101">
        <f t="shared" si="15"/>
        <v>0</v>
      </c>
      <c r="AH35" s="1101">
        <f t="shared" si="15"/>
        <v>0</v>
      </c>
      <c r="AI35" s="1101">
        <f t="shared" si="15"/>
        <v>0</v>
      </c>
      <c r="AJ35" s="1101">
        <f t="shared" si="15"/>
        <v>0</v>
      </c>
      <c r="AK35" s="1101">
        <f t="shared" si="15"/>
        <v>0</v>
      </c>
      <c r="AL35" s="1101">
        <f t="shared" si="15"/>
        <v>0</v>
      </c>
      <c r="AM35" s="1101">
        <f t="shared" si="15"/>
        <v>0</v>
      </c>
      <c r="AN35" s="1101">
        <f t="shared" si="15"/>
        <v>0</v>
      </c>
      <c r="AO35" s="1101">
        <v>0</v>
      </c>
      <c r="AP35" s="1101">
        <f>AP33/AP7*AP10</f>
        <v>0</v>
      </c>
      <c r="AQ35" s="1101">
        <f>AQ33/AQ7*AQ10</f>
        <v>0</v>
      </c>
      <c r="AR35" s="1101">
        <f>AR33/AR7*AR10</f>
        <v>0</v>
      </c>
      <c r="AS35" s="1101">
        <f>AS33/AS7*AS10</f>
        <v>-5122.4904888227638</v>
      </c>
      <c r="AT35" s="1101">
        <f>IFERROR(AT33/AT7*AT10,0)</f>
        <v>0</v>
      </c>
      <c r="AU35" s="807">
        <f>SUM(B35:AT35)</f>
        <v>-14386.174740988456</v>
      </c>
    </row>
    <row r="36" spans="1:53">
      <c r="A36" s="1059" t="s">
        <v>1804</v>
      </c>
      <c r="B36" s="818">
        <f>SUM(B33:B35)</f>
        <v>0</v>
      </c>
      <c r="C36" s="818">
        <f t="shared" ref="C36:AT36" si="16">SUM(C33:C35)</f>
        <v>0</v>
      </c>
      <c r="D36" s="818">
        <f t="shared" si="16"/>
        <v>0</v>
      </c>
      <c r="E36" s="818">
        <f t="shared" si="16"/>
        <v>0</v>
      </c>
      <c r="F36" s="818">
        <f t="shared" si="16"/>
        <v>13243.318385650224</v>
      </c>
      <c r="G36" s="818">
        <f t="shared" si="16"/>
        <v>13243.318385650224</v>
      </c>
      <c r="H36" s="818">
        <f t="shared" si="16"/>
        <v>13243.318385650224</v>
      </c>
      <c r="I36" s="818">
        <f t="shared" si="16"/>
        <v>13243.318385650224</v>
      </c>
      <c r="J36" s="818">
        <f t="shared" si="16"/>
        <v>12183.852914798206</v>
      </c>
      <c r="K36" s="818">
        <f t="shared" si="16"/>
        <v>21998.651121076229</v>
      </c>
      <c r="L36" s="818">
        <f t="shared" si="16"/>
        <v>21998.651121076229</v>
      </c>
      <c r="M36" s="818">
        <f t="shared" si="16"/>
        <v>21998.651121076229</v>
      </c>
      <c r="N36" s="818">
        <f t="shared" si="16"/>
        <v>21998.651121076229</v>
      </c>
      <c r="O36" s="818">
        <f t="shared" si="16"/>
        <v>31134.039013452915</v>
      </c>
      <c r="P36" s="818">
        <f t="shared" si="16"/>
        <v>31134.039013452915</v>
      </c>
      <c r="Q36" s="818">
        <f t="shared" si="16"/>
        <v>31134.039013452915</v>
      </c>
      <c r="R36" s="818">
        <f t="shared" si="16"/>
        <v>33782.702690582963</v>
      </c>
      <c r="S36" s="818">
        <f t="shared" si="16"/>
        <v>44518.148878923763</v>
      </c>
      <c r="T36" s="818">
        <f t="shared" si="16"/>
        <v>44518.148878923763</v>
      </c>
      <c r="U36" s="818">
        <f t="shared" si="16"/>
        <v>43927.330711983835</v>
      </c>
      <c r="V36" s="818">
        <f t="shared" si="16"/>
        <v>54305.327830801885</v>
      </c>
      <c r="W36" s="818">
        <f t="shared" si="16"/>
        <v>50059.197350523929</v>
      </c>
      <c r="X36" s="818">
        <f t="shared" si="16"/>
        <v>70589.163168986561</v>
      </c>
      <c r="Y36" s="818">
        <f t="shared" si="16"/>
        <v>81822.509174076258</v>
      </c>
      <c r="Z36" s="818">
        <f t="shared" si="16"/>
        <v>63101.606686608364</v>
      </c>
      <c r="AA36" s="818">
        <f t="shared" si="16"/>
        <v>45084.531168574613</v>
      </c>
      <c r="AB36" s="818">
        <f t="shared" si="16"/>
        <v>54594.335809928823</v>
      </c>
      <c r="AC36" s="818">
        <f t="shared" si="16"/>
        <v>81070.547557494312</v>
      </c>
      <c r="AD36" s="818">
        <f t="shared" si="16"/>
        <v>112820.22141870076</v>
      </c>
      <c r="AE36" s="818">
        <f t="shared" si="16"/>
        <v>104654.90820554663</v>
      </c>
      <c r="AF36" s="818">
        <f t="shared" si="16"/>
        <v>90314.288392053437</v>
      </c>
      <c r="AG36" s="818">
        <f t="shared" si="16"/>
        <v>111859.52429763724</v>
      </c>
      <c r="AH36" s="818">
        <f t="shared" si="16"/>
        <v>151126.80988308456</v>
      </c>
      <c r="AI36" s="818">
        <f t="shared" si="16"/>
        <v>186330.14965525831</v>
      </c>
      <c r="AJ36" s="818">
        <f t="shared" si="16"/>
        <v>174927.82151932191</v>
      </c>
      <c r="AK36" s="818">
        <f t="shared" si="16"/>
        <v>191374.57598545516</v>
      </c>
      <c r="AL36" s="818">
        <f t="shared" si="16"/>
        <v>210021.08824809693</v>
      </c>
      <c r="AM36" s="818">
        <f t="shared" si="16"/>
        <v>290773.27683515527</v>
      </c>
      <c r="AN36" s="818">
        <f t="shared" si="16"/>
        <v>252535.04954581874</v>
      </c>
      <c r="AO36" s="818">
        <f>SUM(AO33:AO35)</f>
        <v>244780.00428946494</v>
      </c>
      <c r="AP36" s="818">
        <f t="shared" si="16"/>
        <v>266772.03087986476</v>
      </c>
      <c r="AQ36" s="818">
        <f t="shared" si="16"/>
        <v>332034.40881627233</v>
      </c>
      <c r="AR36" s="818">
        <f t="shared" si="16"/>
        <v>313011.43963597197</v>
      </c>
      <c r="AS36" s="818">
        <f t="shared" si="16"/>
        <v>304468.02842940303</v>
      </c>
      <c r="AT36" s="818">
        <f t="shared" si="16"/>
        <v>0</v>
      </c>
      <c r="AU36" s="818">
        <f>SUM(AU33:AU35)</f>
        <v>4251731.0239265775</v>
      </c>
      <c r="AV36" s="817"/>
      <c r="AW36" s="1170"/>
      <c r="AX36" s="818"/>
      <c r="AZ36" s="817"/>
    </row>
    <row r="37" spans="1:53">
      <c r="A37" s="1059" t="s">
        <v>1805</v>
      </c>
      <c r="B37" s="818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>
        <f t="shared" ref="S37:AU37" si="17">IFERROR(S36/S11,0)</f>
        <v>43.946839959450898</v>
      </c>
      <c r="T37" s="818">
        <f t="shared" si="17"/>
        <v>29.307537115815514</v>
      </c>
      <c r="U37" s="818">
        <f t="shared" si="17"/>
        <v>29.540908346996527</v>
      </c>
      <c r="V37" s="818">
        <f t="shared" si="17"/>
        <v>35.750709566031524</v>
      </c>
      <c r="W37" s="818">
        <f t="shared" si="17"/>
        <v>31.583089811056105</v>
      </c>
      <c r="X37" s="818">
        <f t="shared" si="17"/>
        <v>47.727628917502749</v>
      </c>
      <c r="Y37" s="818">
        <f t="shared" si="17"/>
        <v>58.822795955482576</v>
      </c>
      <c r="Z37" s="818">
        <f t="shared" si="17"/>
        <v>44.312926043966549</v>
      </c>
      <c r="AA37" s="818">
        <f t="shared" si="17"/>
        <v>41.552563289008859</v>
      </c>
      <c r="AB37" s="818">
        <f t="shared" si="17"/>
        <v>51.552725032982835</v>
      </c>
      <c r="AC37" s="818">
        <f t="shared" si="17"/>
        <v>71.743847396012669</v>
      </c>
      <c r="AD37" s="818">
        <f t="shared" si="17"/>
        <v>106.13379249172226</v>
      </c>
      <c r="AE37" s="818">
        <f t="shared" si="17"/>
        <v>104.86463748050764</v>
      </c>
      <c r="AF37" s="818">
        <f t="shared" si="17"/>
        <v>86.425156356031991</v>
      </c>
      <c r="AG37" s="818">
        <f t="shared" si="17"/>
        <v>107.66075485816866</v>
      </c>
      <c r="AH37" s="818">
        <f t="shared" si="17"/>
        <v>152.49930361562519</v>
      </c>
      <c r="AI37" s="818">
        <f t="shared" si="17"/>
        <v>189.55254288429126</v>
      </c>
      <c r="AJ37" s="818">
        <f t="shared" si="17"/>
        <v>172.34268129982453</v>
      </c>
      <c r="AK37" s="818">
        <f t="shared" si="17"/>
        <v>194.28890962990371</v>
      </c>
      <c r="AL37" s="818">
        <f t="shared" si="17"/>
        <v>214.96528991616881</v>
      </c>
      <c r="AM37" s="818">
        <f t="shared" si="17"/>
        <v>276.66344132745508</v>
      </c>
      <c r="AN37" s="818">
        <f t="shared" si="17"/>
        <v>260.07729098436533</v>
      </c>
      <c r="AO37" s="818">
        <f t="shared" si="17"/>
        <v>234.68840296209487</v>
      </c>
      <c r="AP37" s="818">
        <f t="shared" si="17"/>
        <v>255.28424007642562</v>
      </c>
      <c r="AQ37" s="818">
        <f t="shared" si="17"/>
        <v>322.05083299347461</v>
      </c>
      <c r="AR37" s="818">
        <f t="shared" si="17"/>
        <v>330.52950331148043</v>
      </c>
      <c r="AS37" s="818">
        <f t="shared" si="17"/>
        <v>320.15565555142274</v>
      </c>
      <c r="AT37" s="818">
        <f t="shared" si="17"/>
        <v>0</v>
      </c>
      <c r="AU37" s="818">
        <f t="shared" si="17"/>
        <v>137.92678336231032</v>
      </c>
      <c r="AV37" s="817"/>
      <c r="AW37" s="1170"/>
      <c r="AZ37" s="817"/>
    </row>
    <row r="38" spans="1:53">
      <c r="B38" s="818"/>
      <c r="C38" s="818"/>
      <c r="D38" s="818"/>
      <c r="E38" s="818"/>
      <c r="F38" s="818"/>
      <c r="G38" s="818"/>
      <c r="H38" s="818"/>
      <c r="I38" s="818"/>
      <c r="J38" s="818"/>
      <c r="K38" s="818"/>
      <c r="L38" s="818"/>
      <c r="M38" s="818"/>
      <c r="N38" s="818"/>
      <c r="O38" s="818"/>
      <c r="P38" s="818"/>
      <c r="Q38" s="818"/>
      <c r="R38" s="818"/>
      <c r="S38" s="818"/>
      <c r="T38" s="818"/>
      <c r="U38" s="818"/>
      <c r="V38" s="818"/>
      <c r="W38" s="818"/>
      <c r="X38" s="818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  <c r="AI38" s="818"/>
      <c r="AJ38" s="818"/>
      <c r="AK38" s="818"/>
      <c r="AL38" s="818"/>
      <c r="AM38" s="818"/>
      <c r="AN38" s="818"/>
      <c r="AO38" s="818"/>
      <c r="AP38" s="818"/>
      <c r="AQ38" s="818"/>
      <c r="AR38" s="818"/>
      <c r="AS38" s="818"/>
      <c r="AT38" s="818"/>
      <c r="AU38" s="1057"/>
      <c r="AV38" s="817"/>
      <c r="AW38" s="1170"/>
      <c r="AZ38" s="817"/>
    </row>
    <row r="39" spans="1:53" ht="15.6">
      <c r="A39" s="1687" t="s">
        <v>1806</v>
      </c>
      <c r="B39" s="818">
        <f t="shared" ref="B39:AU39" si="18">IFERROR(B36+SUM(B45:B56),0)</f>
        <v>0</v>
      </c>
      <c r="C39" s="818">
        <f t="shared" si="18"/>
        <v>0</v>
      </c>
      <c r="D39" s="818">
        <f t="shared" si="18"/>
        <v>0</v>
      </c>
      <c r="E39" s="818">
        <f t="shared" si="18"/>
        <v>0</v>
      </c>
      <c r="F39" s="818">
        <f t="shared" si="18"/>
        <v>13243.318385650224</v>
      </c>
      <c r="G39" s="818">
        <f t="shared" si="18"/>
        <v>13243.318385650224</v>
      </c>
      <c r="H39" s="818">
        <f t="shared" si="18"/>
        <v>13243.318385650224</v>
      </c>
      <c r="I39" s="818">
        <f t="shared" si="18"/>
        <v>13243.318385650224</v>
      </c>
      <c r="J39" s="818">
        <f t="shared" si="18"/>
        <v>12183.852914798206</v>
      </c>
      <c r="K39" s="818">
        <f t="shared" si="18"/>
        <v>21998.651121076229</v>
      </c>
      <c r="L39" s="818">
        <f t="shared" si="18"/>
        <v>21998.651121076229</v>
      </c>
      <c r="M39" s="818">
        <f t="shared" si="18"/>
        <v>21998.651121076229</v>
      </c>
      <c r="N39" s="818">
        <f t="shared" si="18"/>
        <v>21998.651121076229</v>
      </c>
      <c r="O39" s="818">
        <f t="shared" si="18"/>
        <v>31134.039013452915</v>
      </c>
      <c r="P39" s="818">
        <f t="shared" si="18"/>
        <v>31134.039013452915</v>
      </c>
      <c r="Q39" s="818">
        <f t="shared" si="18"/>
        <v>31134.039013452915</v>
      </c>
      <c r="R39" s="818">
        <f t="shared" si="18"/>
        <v>33782.702690582963</v>
      </c>
      <c r="S39" s="818">
        <f t="shared" si="18"/>
        <v>44518.148878923763</v>
      </c>
      <c r="T39" s="818">
        <f t="shared" si="18"/>
        <v>44518.148878923763</v>
      </c>
      <c r="U39" s="818">
        <f t="shared" si="18"/>
        <v>43927.330711983835</v>
      </c>
      <c r="V39" s="818">
        <f t="shared" si="18"/>
        <v>54305.327830801885</v>
      </c>
      <c r="W39" s="818">
        <f t="shared" si="18"/>
        <v>40236.856419285483</v>
      </c>
      <c r="X39" s="818">
        <f t="shared" si="18"/>
        <v>55316.321915385677</v>
      </c>
      <c r="Y39" s="818">
        <f t="shared" si="18"/>
        <v>65352.126306541133</v>
      </c>
      <c r="Z39" s="818">
        <f t="shared" si="18"/>
        <v>50250.858133858063</v>
      </c>
      <c r="AA39" s="818">
        <f t="shared" si="18"/>
        <v>45084.531168574613</v>
      </c>
      <c r="AB39" s="818">
        <f t="shared" si="18"/>
        <v>54594.335809928823</v>
      </c>
      <c r="AC39" s="818">
        <f t="shared" si="18"/>
        <v>81070.547557494312</v>
      </c>
      <c r="AD39" s="818">
        <f t="shared" si="18"/>
        <v>112820.22141870076</v>
      </c>
      <c r="AE39" s="818">
        <f t="shared" si="18"/>
        <v>104340.31429310511</v>
      </c>
      <c r="AF39" s="818">
        <f t="shared" si="18"/>
        <v>90055.012922985334</v>
      </c>
      <c r="AG39" s="818">
        <f t="shared" si="18"/>
        <v>111321.22052334639</v>
      </c>
      <c r="AH39" s="818">
        <f t="shared" si="18"/>
        <v>151126.80988308456</v>
      </c>
      <c r="AI39" s="818">
        <f t="shared" si="18"/>
        <v>186330.14965525831</v>
      </c>
      <c r="AJ39" s="818">
        <f t="shared" si="18"/>
        <v>174583.13615672226</v>
      </c>
      <c r="AK39" s="818">
        <f t="shared" si="18"/>
        <v>191180.28707582527</v>
      </c>
      <c r="AL39" s="818">
        <f t="shared" si="18"/>
        <v>209806.12295818076</v>
      </c>
      <c r="AM39" s="818">
        <f t="shared" si="18"/>
        <v>290219.94995250035</v>
      </c>
      <c r="AN39" s="818">
        <f t="shared" si="18"/>
        <v>252535.04954581874</v>
      </c>
      <c r="AO39" s="818">
        <f t="shared" si="18"/>
        <v>250783.87079842438</v>
      </c>
      <c r="AP39" s="818">
        <f t="shared" si="18"/>
        <v>266006.17815963546</v>
      </c>
      <c r="AQ39" s="818">
        <f t="shared" si="18"/>
        <v>330424.15465130494</v>
      </c>
      <c r="AR39" s="818">
        <f t="shared" si="18"/>
        <v>312019.85112603754</v>
      </c>
      <c r="AS39" s="818">
        <f t="shared" si="18"/>
        <v>303827.71711830021</v>
      </c>
      <c r="AT39" s="818">
        <f t="shared" si="18"/>
        <v>0</v>
      </c>
      <c r="AU39" s="818">
        <f t="shared" si="18"/>
        <v>4196891.1305235773</v>
      </c>
      <c r="AV39" s="817"/>
      <c r="AW39" s="1170"/>
      <c r="AZ39" s="817"/>
    </row>
    <row r="40" spans="1:53" ht="15.6">
      <c r="A40" s="1066" t="s">
        <v>1807</v>
      </c>
      <c r="B40" s="1318">
        <f>B76*$B$68</f>
        <v>8715.7511210762314</v>
      </c>
      <c r="C40" s="1318">
        <f>C76*$B$68</f>
        <v>8715.7511210762314</v>
      </c>
      <c r="D40" s="1318">
        <f>D76*$B$68</f>
        <v>8715.7511210762314</v>
      </c>
      <c r="E40" s="1318">
        <f>E76*$B$68</f>
        <v>8715.7511210762314</v>
      </c>
      <c r="F40" s="1318">
        <f t="shared" ref="F40:P40" si="19">F76*$B$68</f>
        <v>8018.4910313901319</v>
      </c>
      <c r="G40" s="1318">
        <f t="shared" si="19"/>
        <v>8018.4910313901319</v>
      </c>
      <c r="H40" s="1318">
        <f t="shared" si="19"/>
        <v>8018.4910313901319</v>
      </c>
      <c r="I40" s="1318">
        <f t="shared" si="19"/>
        <v>8018.4910313901319</v>
      </c>
      <c r="J40" s="1318">
        <f t="shared" si="19"/>
        <v>8018.4910313901319</v>
      </c>
      <c r="K40" s="1318">
        <f t="shared" si="19"/>
        <v>8018.4910313901319</v>
      </c>
      <c r="L40" s="1318">
        <f t="shared" si="19"/>
        <v>8018.4910313901319</v>
      </c>
      <c r="M40" s="1318">
        <f t="shared" si="19"/>
        <v>8018.4910313901319</v>
      </c>
      <c r="N40" s="1318">
        <f t="shared" si="19"/>
        <v>9761.6412556053783</v>
      </c>
      <c r="O40" s="1318">
        <f t="shared" si="19"/>
        <v>9761.6412556053783</v>
      </c>
      <c r="P40" s="1318">
        <f t="shared" si="19"/>
        <v>9761.6412556053783</v>
      </c>
      <c r="Q40" s="1318">
        <f>Q76*$B$68</f>
        <v>9761.6412556053783</v>
      </c>
      <c r="R40" s="1318">
        <f>R76*$B$68</f>
        <v>17431.502242152463</v>
      </c>
      <c r="S40" s="1317">
        <f>S76*$D$68</f>
        <v>14777.419354838708</v>
      </c>
      <c r="T40" s="1317">
        <f>T76*$D$68</f>
        <v>27091.93548387097</v>
      </c>
      <c r="U40" s="1317">
        <f>U76*$D$68</f>
        <v>34480.645161290318</v>
      </c>
      <c r="V40" s="1319">
        <f>V76*'Feed Cost &amp; Allocation'!B73+'Feed Cost &amp; Allocation'!U73+'Feed Cost &amp; Allocation'!Y73+'Feed Cost &amp; Allocation'!Z73</f>
        <v>22041.5</v>
      </c>
      <c r="W40" s="1060">
        <f>W76*$F$68</f>
        <v>11812.988809113654</v>
      </c>
      <c r="X40" s="1060">
        <f>X76*$F$68</f>
        <v>20356.712111305307</v>
      </c>
      <c r="Y40" s="1060">
        <f>Y76*$F$68</f>
        <v>18860.999079581034</v>
      </c>
      <c r="Z40" s="1551">
        <f>Z7/(Z7+AA7+AB7+AC7)*('Feed Cost &amp; Allocation'!D73+'Feed Cost &amp; Allocation'!E73)</f>
        <v>52703.633404710919</v>
      </c>
      <c r="AA40" s="1551">
        <f>AA7/(Z7+AA7+AB7+AC7)*('Feed Cost &amp; Allocation'!D73+'Feed Cost &amp; Allocation'!E73)</f>
        <v>40962.35117773019</v>
      </c>
      <c r="AB40" s="1551">
        <f>AB7/(AA7+AB7+AC7+Z7)*('Feed Cost &amp; Allocation'!D73+'Feed Cost &amp; Allocation'!E73)</f>
        <v>39980.764882226977</v>
      </c>
      <c r="AC40" s="1551">
        <f>AC7/(AB7+AC7+AA7+Z7)*('Feed Cost &amp; Allocation'!D73+'Feed Cost &amp; Allocation'!E73)</f>
        <v>42661.250535331907</v>
      </c>
      <c r="AD40" s="1320">
        <f>(AD7/(AD7+AE7))*'Feed Cost &amp; Allocation'!F73</f>
        <v>68381.175642891802</v>
      </c>
      <c r="AE40" s="1320">
        <f>'Feed Cost &amp; Allocation'!F73-AD40</f>
        <v>64199.824357108198</v>
      </c>
      <c r="AF40" s="1553">
        <f>AF7/(AF7+AG7)*'Feed Cost &amp; Allocation'!G73</f>
        <v>82504.856046065252</v>
      </c>
      <c r="AG40" s="1553">
        <f>AG7/(AF7+AG7)*'Feed Cost &amp; Allocation'!G73</f>
        <v>82031.143953934748</v>
      </c>
      <c r="AH40" s="1554">
        <f>AH7/(AH7+AI7+AJ7)*'Feed Cost &amp; Allocation'!H73</f>
        <v>86137.726630980251</v>
      </c>
      <c r="AI40" s="1554">
        <f>AI7/(AH7+AI7+AJ7)*'Feed Cost &amp; Allocation'!H73</f>
        <v>85442.366577450637</v>
      </c>
      <c r="AJ40" s="1680">
        <f>AJ7/(AH7+AI7+AJ7)*'Feed Cost &amp; Allocation'!H73</f>
        <v>88223.806791569077</v>
      </c>
      <c r="AK40" s="1552">
        <f>AK7/(AK7+AL7+AM7+AN7+AO7)*('Feed Cost &amp; Allocation'!J73+'Feed Cost &amp; Allocation'!AF73)</f>
        <v>75293.431450808217</v>
      </c>
      <c r="AL40" s="1552">
        <f>AL7/(AK7+AL7+AM7+AN7+AO7)*('Feed Cost &amp; Allocation'!J73+'Feed Cost &amp; Allocation'!AF73)</f>
        <v>74681.911195370194</v>
      </c>
      <c r="AM40" s="1552">
        <f>AM7/(AK7+AM7+AN7+AO7+AL7)*('Feed Cost &amp; Allocation'!J73+'Feed Cost &amp; Allocation'!AF73)</f>
        <v>80338.473558172016</v>
      </c>
      <c r="AN40" s="1552">
        <f>AN7/(+AK7+AN7+AO7+AL7+AM7)*('Feed Cost &amp; Allocation'!J73+'Feed Cost &amp; Allocation'!AF73)</f>
        <v>74223.271003791655</v>
      </c>
      <c r="AO40" s="1552">
        <f>AO7/(AK7+AO7+AN7+AL7+AM7)*('Feed Cost &amp; Allocation'!J73+'Feed Cost &amp; Allocation'!AF73)</f>
        <v>78503.912791857918</v>
      </c>
      <c r="AP40" s="818"/>
      <c r="AQ40" s="818"/>
      <c r="AR40" s="818"/>
      <c r="AS40" s="818"/>
      <c r="AT40" s="818"/>
      <c r="AU40" s="807">
        <f>SUM(B40:AT40)</f>
        <v>1421181.1</v>
      </c>
      <c r="AV40" s="1199">
        <f>+AU40-'Feed Cost &amp; Allocation'!AY73+'Feed Cost &amp; Allocation'!R73+'Feed Cost &amp; Allocation'!Q73+'Feed Cost &amp; Allocation'!P73+'Feed Cost &amp; Allocation'!W73+'Feed Cost &amp; Allocation'!X73+'Feed Cost &amp; Allocation'!AB73-F67</f>
        <v>8.8675733422860503E-11</v>
      </c>
      <c r="AW40" s="1088">
        <f>+'Feed Cost &amp; Allocation'!P73+'Feed Cost &amp; Allocation'!Q73+'Feed Cost &amp; Allocation'!R73+'Feed Cost &amp; Allocation'!W73+'Feed Cost &amp; Allocation'!X73+'Feed Cost &amp; Allocation'!AB73+'Feed Cost &amp; Allocation'!AI73-'Grasmere Pig Cost'!F67</f>
        <v>45852.9</v>
      </c>
      <c r="AX40" s="818"/>
      <c r="BA40" s="818"/>
    </row>
    <row r="41" spans="1:53" ht="15.6">
      <c r="A41" s="1790" t="s">
        <v>1808</v>
      </c>
      <c r="B41" s="1318">
        <f>SUM(B39:B40)</f>
        <v>8715.7511210762314</v>
      </c>
      <c r="C41" s="1318">
        <f t="shared" ref="C41:AT41" si="20">SUM(C39:C40)</f>
        <v>8715.7511210762314</v>
      </c>
      <c r="D41" s="1318">
        <f t="shared" si="20"/>
        <v>8715.7511210762314</v>
      </c>
      <c r="E41" s="1318">
        <f t="shared" si="20"/>
        <v>8715.7511210762314</v>
      </c>
      <c r="F41" s="1318">
        <f t="shared" si="20"/>
        <v>21261.809417040356</v>
      </c>
      <c r="G41" s="1318">
        <f t="shared" si="20"/>
        <v>21261.809417040356</v>
      </c>
      <c r="H41" s="1318">
        <f t="shared" si="20"/>
        <v>21261.809417040356</v>
      </c>
      <c r="I41" s="1318">
        <f t="shared" si="20"/>
        <v>21261.809417040356</v>
      </c>
      <c r="J41" s="1318">
        <f t="shared" si="20"/>
        <v>20202.343946188339</v>
      </c>
      <c r="K41" s="1318">
        <f t="shared" si="20"/>
        <v>30017.14215246636</v>
      </c>
      <c r="L41" s="1318">
        <f t="shared" si="20"/>
        <v>30017.14215246636</v>
      </c>
      <c r="M41" s="1318">
        <f t="shared" si="20"/>
        <v>30017.14215246636</v>
      </c>
      <c r="N41" s="1318">
        <f t="shared" si="20"/>
        <v>31760.292376681609</v>
      </c>
      <c r="O41" s="1318">
        <f t="shared" si="20"/>
        <v>40895.680269058292</v>
      </c>
      <c r="P41" s="1318">
        <f t="shared" si="20"/>
        <v>40895.680269058292</v>
      </c>
      <c r="Q41" s="1318">
        <f t="shared" si="20"/>
        <v>40895.680269058292</v>
      </c>
      <c r="R41" s="1318">
        <f t="shared" si="20"/>
        <v>51214.204932735425</v>
      </c>
      <c r="S41" s="1317">
        <f t="shared" si="20"/>
        <v>59295.568233762475</v>
      </c>
      <c r="T41" s="1317">
        <f t="shared" si="20"/>
        <v>71610.084362794732</v>
      </c>
      <c r="U41" s="1317">
        <f t="shared" si="20"/>
        <v>78407.975873274147</v>
      </c>
      <c r="V41" s="1319">
        <f>SUM(V39:V40)</f>
        <v>76346.827830801893</v>
      </c>
      <c r="W41" s="1060">
        <f t="shared" si="20"/>
        <v>52049.845228399136</v>
      </c>
      <c r="X41" s="1060">
        <f t="shared" si="20"/>
        <v>75673.034026690992</v>
      </c>
      <c r="Y41" s="1060">
        <f t="shared" si="20"/>
        <v>84213.125386122163</v>
      </c>
      <c r="Z41" s="1551">
        <f t="shared" si="20"/>
        <v>102954.49153856898</v>
      </c>
      <c r="AA41" s="1551">
        <f t="shared" si="20"/>
        <v>86046.882346304803</v>
      </c>
      <c r="AB41" s="1551">
        <f t="shared" si="20"/>
        <v>94575.1006921558</v>
      </c>
      <c r="AC41" s="1551">
        <f t="shared" si="20"/>
        <v>123731.79809282621</v>
      </c>
      <c r="AD41" s="1320">
        <f t="shared" si="20"/>
        <v>181201.39706159255</v>
      </c>
      <c r="AE41" s="1320">
        <f t="shared" si="20"/>
        <v>168540.13865021331</v>
      </c>
      <c r="AF41" s="1553">
        <f t="shared" si="20"/>
        <v>172559.86896905059</v>
      </c>
      <c r="AG41" s="1553">
        <f t="shared" si="20"/>
        <v>193352.36447728114</v>
      </c>
      <c r="AH41" s="1554">
        <f t="shared" si="20"/>
        <v>237264.53651406482</v>
      </c>
      <c r="AI41" s="1554">
        <f t="shared" si="20"/>
        <v>271772.51623270893</v>
      </c>
      <c r="AJ41" s="1554">
        <f t="shared" si="20"/>
        <v>262806.94294829131</v>
      </c>
      <c r="AK41" s="1552">
        <f t="shared" si="20"/>
        <v>266473.71852663346</v>
      </c>
      <c r="AL41" s="1552">
        <f t="shared" si="20"/>
        <v>284488.03415355098</v>
      </c>
      <c r="AM41" s="1552">
        <f t="shared" si="20"/>
        <v>370558.42351067235</v>
      </c>
      <c r="AN41" s="1552">
        <f t="shared" si="20"/>
        <v>326758.32054961042</v>
      </c>
      <c r="AO41" s="1552">
        <f t="shared" si="20"/>
        <v>329287.78359028231</v>
      </c>
      <c r="AP41" s="818">
        <f>SUM(AP39:AP40)</f>
        <v>266006.17815963546</v>
      </c>
      <c r="AQ41" s="818">
        <f t="shared" si="20"/>
        <v>330424.15465130494</v>
      </c>
      <c r="AR41" s="818">
        <f t="shared" si="20"/>
        <v>312019.85112603754</v>
      </c>
      <c r="AS41" s="818">
        <f t="shared" si="20"/>
        <v>303827.71711830021</v>
      </c>
      <c r="AT41" s="818">
        <f t="shared" si="20"/>
        <v>0</v>
      </c>
      <c r="AU41" s="807">
        <f>SUM(AU39:AU40)</f>
        <v>5618072.230523577</v>
      </c>
      <c r="AV41" s="818"/>
    </row>
    <row r="42" spans="1:53" ht="15.6">
      <c r="A42" s="1790"/>
      <c r="B42" s="1318"/>
      <c r="C42" s="1318"/>
      <c r="D42" s="1318"/>
      <c r="E42" s="1318"/>
      <c r="F42" s="1318"/>
      <c r="G42" s="1318"/>
      <c r="H42" s="1318"/>
      <c r="I42" s="1318"/>
      <c r="J42" s="1318"/>
      <c r="K42" s="1318"/>
      <c r="L42" s="1318"/>
      <c r="M42" s="1318"/>
      <c r="N42" s="1318"/>
      <c r="O42" s="1318"/>
      <c r="P42" s="1318"/>
      <c r="Q42" s="1318"/>
      <c r="R42" s="1318"/>
      <c r="S42" s="1317"/>
      <c r="T42" s="1317"/>
      <c r="U42" s="1317"/>
      <c r="V42" s="1319"/>
      <c r="W42" s="1060"/>
      <c r="X42" s="1060"/>
      <c r="Y42" s="1060"/>
      <c r="Z42" s="1551"/>
      <c r="AA42" s="1551"/>
      <c r="AB42" s="1551"/>
      <c r="AC42" s="1551"/>
      <c r="AD42" s="1320"/>
      <c r="AE42" s="1320"/>
      <c r="AF42" s="1553"/>
      <c r="AG42" s="1553"/>
      <c r="AH42" s="1554"/>
      <c r="AI42" s="1554"/>
      <c r="AJ42" s="1554"/>
      <c r="AK42" s="1552"/>
      <c r="AL42" s="1552"/>
      <c r="AM42" s="1552"/>
      <c r="AN42" s="1552"/>
      <c r="AO42" s="1552"/>
      <c r="AP42" s="818"/>
      <c r="AQ42" s="818"/>
      <c r="AR42" s="818"/>
      <c r="AS42" s="818"/>
      <c r="AT42" s="818"/>
      <c r="AU42" s="807"/>
      <c r="AV42" s="818"/>
      <c r="AW42" s="818">
        <f>SUM('Feed Cost &amp; Allocation'!P73:R73,'Feed Cost &amp; Allocation'!W73:X73,'Feed Cost &amp; Allocation'!AB73)-F67</f>
        <v>45852.9</v>
      </c>
    </row>
    <row r="43" spans="1:53" ht="15.6">
      <c r="A43" s="1790" t="s">
        <v>1809</v>
      </c>
      <c r="S43" s="1074">
        <f t="shared" ref="S43:AU43" si="21">IFERROR(S41/SUM(S11:S23),0)</f>
        <v>58.534618197198888</v>
      </c>
      <c r="T43" s="1074">
        <f t="shared" si="21"/>
        <v>47.142912681234186</v>
      </c>
      <c r="U43" s="1074">
        <f t="shared" si="21"/>
        <v>52.728968307514556</v>
      </c>
      <c r="V43" s="1074">
        <f t="shared" si="21"/>
        <v>50.261242811587813</v>
      </c>
      <c r="W43" s="1074">
        <f t="shared" si="21"/>
        <v>40.855451513657094</v>
      </c>
      <c r="X43" s="1074">
        <f t="shared" si="21"/>
        <v>65.291660074798088</v>
      </c>
      <c r="Y43" s="1074">
        <f t="shared" si="21"/>
        <v>75.79939278678863</v>
      </c>
      <c r="Z43" s="1074">
        <f t="shared" si="21"/>
        <v>90.94919747223409</v>
      </c>
      <c r="AA43" s="1074">
        <f t="shared" si="21"/>
        <v>79.305882346824703</v>
      </c>
      <c r="AB43" s="1074">
        <f t="shared" si="21"/>
        <v>89.306044090798679</v>
      </c>
      <c r="AC43" s="1074">
        <f t="shared" si="21"/>
        <v>109.49716645382851</v>
      </c>
      <c r="AD43" s="1074">
        <f t="shared" si="21"/>
        <v>170.46227381146994</v>
      </c>
      <c r="AE43" s="1074">
        <f t="shared" si="21"/>
        <v>169.38707402031488</v>
      </c>
      <c r="AF43" s="1074">
        <f t="shared" si="21"/>
        <v>165.60448077644011</v>
      </c>
      <c r="AG43" s="1074">
        <f t="shared" si="21"/>
        <v>186.99454978460457</v>
      </c>
      <c r="AH43" s="1074">
        <f t="shared" si="21"/>
        <v>239.41931030682625</v>
      </c>
      <c r="AI43" s="1074">
        <f t="shared" si="21"/>
        <v>276.47254957549228</v>
      </c>
      <c r="AJ43" s="1074">
        <f t="shared" si="21"/>
        <v>259.43429708617111</v>
      </c>
      <c r="AK43" s="1074">
        <f t="shared" si="21"/>
        <v>270.80662451893642</v>
      </c>
      <c r="AL43" s="1074">
        <f t="shared" si="21"/>
        <v>291.48364155076945</v>
      </c>
      <c r="AM43" s="1074">
        <f t="shared" si="21"/>
        <v>353.2492121169422</v>
      </c>
      <c r="AN43" s="1074">
        <f t="shared" si="21"/>
        <v>336.51732291411992</v>
      </c>
      <c r="AO43" s="1074">
        <f>IFERROR(AO41/SUM(AO11:AO23),0)</f>
        <v>308.03347389175144</v>
      </c>
      <c r="AP43" s="1074">
        <f t="shared" si="21"/>
        <v>255.28424007642559</v>
      </c>
      <c r="AQ43" s="1074">
        <f t="shared" si="21"/>
        <v>322.05083299347461</v>
      </c>
      <c r="AR43" s="1074">
        <f t="shared" si="21"/>
        <v>330.52950331148043</v>
      </c>
      <c r="AS43" s="1074">
        <f t="shared" si="21"/>
        <v>320.15565555142274</v>
      </c>
      <c r="AT43" s="1074">
        <f t="shared" si="21"/>
        <v>0</v>
      </c>
      <c r="AU43" s="1074">
        <f t="shared" si="21"/>
        <v>189.67798475720238</v>
      </c>
      <c r="AY43" s="817"/>
    </row>
    <row r="44" spans="1:53" ht="15.6">
      <c r="A44" s="1790"/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74"/>
      <c r="AJ44" s="1074"/>
      <c r="AK44" s="1074"/>
      <c r="AL44" s="1074"/>
      <c r="AM44" s="1074"/>
      <c r="AN44" s="1074"/>
      <c r="AO44" s="1074"/>
      <c r="AP44" s="1074"/>
      <c r="AQ44" s="1074"/>
      <c r="AR44" s="1074"/>
      <c r="AS44" s="1074"/>
      <c r="AT44" s="1074"/>
      <c r="AU44" s="1074"/>
      <c r="AY44" s="817"/>
    </row>
    <row r="45" spans="1:53" ht="15.6">
      <c r="A45" s="142" t="str">
        <f t="shared" ref="A45:A61" si="22">+A12</f>
        <v>Transfers Lionshead</v>
      </c>
      <c r="S45" s="1059">
        <f t="shared" ref="S45:AT45" si="23">S12*S37</f>
        <v>0</v>
      </c>
      <c r="T45" s="1059">
        <f t="shared" si="23"/>
        <v>0</v>
      </c>
      <c r="U45" s="1059">
        <f t="shared" si="23"/>
        <v>0</v>
      </c>
      <c r="V45" s="1059">
        <f t="shared" si="23"/>
        <v>0</v>
      </c>
      <c r="W45" s="1059">
        <f t="shared" si="23"/>
        <v>0</v>
      </c>
      <c r="X45" s="1059">
        <f t="shared" si="23"/>
        <v>0</v>
      </c>
      <c r="Y45" s="1059">
        <f t="shared" si="23"/>
        <v>0</v>
      </c>
      <c r="Z45" s="1059">
        <f t="shared" si="23"/>
        <v>0</v>
      </c>
      <c r="AA45" s="1059">
        <f t="shared" si="23"/>
        <v>0</v>
      </c>
      <c r="AB45" s="1059">
        <f t="shared" si="23"/>
        <v>0</v>
      </c>
      <c r="AC45" s="1059">
        <f t="shared" si="23"/>
        <v>0</v>
      </c>
      <c r="AD45" s="1059">
        <f t="shared" si="23"/>
        <v>0</v>
      </c>
      <c r="AE45" s="1059">
        <f t="shared" si="23"/>
        <v>0</v>
      </c>
      <c r="AF45" s="1059">
        <f t="shared" si="23"/>
        <v>0</v>
      </c>
      <c r="AG45" s="1059">
        <f t="shared" si="23"/>
        <v>0</v>
      </c>
      <c r="AH45" s="1059">
        <f t="shared" si="23"/>
        <v>0</v>
      </c>
      <c r="AI45" s="1059">
        <f t="shared" si="23"/>
        <v>0</v>
      </c>
      <c r="AJ45" s="1059">
        <f t="shared" si="23"/>
        <v>0</v>
      </c>
      <c r="AK45" s="1059">
        <f t="shared" si="23"/>
        <v>0</v>
      </c>
      <c r="AL45" s="1059">
        <f t="shared" si="23"/>
        <v>0</v>
      </c>
      <c r="AM45" s="1059">
        <f t="shared" si="23"/>
        <v>0</v>
      </c>
      <c r="AN45" s="1059">
        <f t="shared" si="23"/>
        <v>0</v>
      </c>
      <c r="AO45" s="1059">
        <f t="shared" si="23"/>
        <v>0</v>
      </c>
      <c r="AP45" s="1059">
        <f t="shared" si="23"/>
        <v>0</v>
      </c>
      <c r="AQ45" s="1059">
        <f t="shared" si="23"/>
        <v>0</v>
      </c>
      <c r="AR45" s="1059">
        <f t="shared" si="23"/>
        <v>0</v>
      </c>
      <c r="AS45" s="1059">
        <f t="shared" si="23"/>
        <v>0</v>
      </c>
      <c r="AT45" s="1059">
        <f t="shared" si="23"/>
        <v>0</v>
      </c>
      <c r="AU45" s="1282">
        <f>SUM(B45:AT45)</f>
        <v>0</v>
      </c>
      <c r="AZ45" s="1091"/>
    </row>
    <row r="46" spans="1:53" ht="15.6">
      <c r="A46" s="142" t="str">
        <f t="shared" si="22"/>
        <v>Transfers Lionshead Ext.</v>
      </c>
      <c r="S46" s="1059">
        <f t="shared" ref="S46:AT46" si="24">S13*S37</f>
        <v>0</v>
      </c>
      <c r="T46" s="1059">
        <f t="shared" si="24"/>
        <v>0</v>
      </c>
      <c r="U46" s="1059">
        <f t="shared" si="24"/>
        <v>0</v>
      </c>
      <c r="V46" s="1059">
        <f t="shared" si="24"/>
        <v>0</v>
      </c>
      <c r="W46" s="1059">
        <f t="shared" si="24"/>
        <v>0</v>
      </c>
      <c r="X46" s="1059">
        <f t="shared" si="24"/>
        <v>0</v>
      </c>
      <c r="Y46" s="1059">
        <f t="shared" si="24"/>
        <v>0</v>
      </c>
      <c r="Z46" s="1059">
        <f t="shared" si="24"/>
        <v>0</v>
      </c>
      <c r="AA46" s="1059">
        <f t="shared" si="24"/>
        <v>0</v>
      </c>
      <c r="AB46" s="1059">
        <f t="shared" si="24"/>
        <v>0</v>
      </c>
      <c r="AC46" s="1059">
        <f t="shared" si="24"/>
        <v>0</v>
      </c>
      <c r="AD46" s="1059">
        <f t="shared" si="24"/>
        <v>0</v>
      </c>
      <c r="AE46" s="1059">
        <f t="shared" si="24"/>
        <v>0</v>
      </c>
      <c r="AF46" s="1059">
        <f t="shared" si="24"/>
        <v>0</v>
      </c>
      <c r="AG46" s="1059">
        <f t="shared" si="24"/>
        <v>0</v>
      </c>
      <c r="AH46" s="1059">
        <f t="shared" si="24"/>
        <v>0</v>
      </c>
      <c r="AI46" s="1059">
        <f t="shared" si="24"/>
        <v>0</v>
      </c>
      <c r="AJ46" s="1059">
        <f t="shared" si="24"/>
        <v>0</v>
      </c>
      <c r="AK46" s="1059">
        <f t="shared" si="24"/>
        <v>0</v>
      </c>
      <c r="AL46" s="1059">
        <f t="shared" si="24"/>
        <v>0</v>
      </c>
      <c r="AM46" s="1059">
        <f t="shared" si="24"/>
        <v>0</v>
      </c>
      <c r="AN46" s="1059">
        <f t="shared" si="24"/>
        <v>0</v>
      </c>
      <c r="AO46" s="1059">
        <f t="shared" si="24"/>
        <v>0</v>
      </c>
      <c r="AP46" s="1059">
        <f t="shared" si="24"/>
        <v>0</v>
      </c>
      <c r="AQ46" s="1059">
        <f t="shared" si="24"/>
        <v>0</v>
      </c>
      <c r="AR46" s="1059">
        <f t="shared" si="24"/>
        <v>0</v>
      </c>
      <c r="AS46" s="1059">
        <f t="shared" si="24"/>
        <v>0</v>
      </c>
      <c r="AT46" s="1059">
        <f t="shared" si="24"/>
        <v>0</v>
      </c>
      <c r="AU46" s="1282">
        <f t="shared" ref="AU46:AU60" si="25">SUM(B46:AT46)</f>
        <v>0</v>
      </c>
    </row>
    <row r="47" spans="1:53" ht="15.6">
      <c r="A47" s="142" t="str">
        <f t="shared" si="22"/>
        <v>Transfers  Richlands</v>
      </c>
      <c r="S47" s="1059">
        <f t="shared" ref="S47:AT47" si="26">S14*S37</f>
        <v>0</v>
      </c>
      <c r="T47" s="1059">
        <f t="shared" si="26"/>
        <v>0</v>
      </c>
      <c r="U47" s="1059">
        <f t="shared" si="26"/>
        <v>0</v>
      </c>
      <c r="V47" s="1059">
        <f t="shared" si="26"/>
        <v>0</v>
      </c>
      <c r="W47" s="1059">
        <f t="shared" si="26"/>
        <v>0</v>
      </c>
      <c r="X47" s="1059">
        <f t="shared" si="26"/>
        <v>0</v>
      </c>
      <c r="Y47" s="1059">
        <f t="shared" si="26"/>
        <v>0</v>
      </c>
      <c r="Z47" s="1059">
        <f t="shared" si="26"/>
        <v>0</v>
      </c>
      <c r="AA47" s="1059">
        <f t="shared" si="26"/>
        <v>0</v>
      </c>
      <c r="AB47" s="1059">
        <f t="shared" si="26"/>
        <v>0</v>
      </c>
      <c r="AC47" s="1059">
        <f t="shared" si="26"/>
        <v>0</v>
      </c>
      <c r="AD47" s="1059">
        <f t="shared" si="26"/>
        <v>0</v>
      </c>
      <c r="AE47" s="1059">
        <f t="shared" si="26"/>
        <v>0</v>
      </c>
      <c r="AF47" s="1059">
        <f t="shared" si="26"/>
        <v>0</v>
      </c>
      <c r="AG47" s="1059">
        <f t="shared" si="26"/>
        <v>0</v>
      </c>
      <c r="AH47" s="1059">
        <f t="shared" si="26"/>
        <v>0</v>
      </c>
      <c r="AI47" s="1059">
        <f t="shared" si="26"/>
        <v>0</v>
      </c>
      <c r="AJ47" s="1059">
        <f t="shared" si="26"/>
        <v>0</v>
      </c>
      <c r="AK47" s="1059">
        <f t="shared" si="26"/>
        <v>0</v>
      </c>
      <c r="AL47" s="1059">
        <f t="shared" si="26"/>
        <v>0</v>
      </c>
      <c r="AM47" s="1059">
        <f t="shared" si="26"/>
        <v>0</v>
      </c>
      <c r="AN47" s="1059">
        <f t="shared" si="26"/>
        <v>0</v>
      </c>
      <c r="AO47" s="1059">
        <f t="shared" si="26"/>
        <v>0</v>
      </c>
      <c r="AP47" s="1059">
        <f t="shared" si="26"/>
        <v>0</v>
      </c>
      <c r="AQ47" s="1059">
        <f t="shared" si="26"/>
        <v>0</v>
      </c>
      <c r="AR47" s="1059">
        <f t="shared" si="26"/>
        <v>0</v>
      </c>
      <c r="AS47" s="1059">
        <f t="shared" si="26"/>
        <v>0</v>
      </c>
      <c r="AT47" s="1059">
        <f t="shared" si="26"/>
        <v>0</v>
      </c>
      <c r="AU47" s="1282">
        <f t="shared" si="25"/>
        <v>0</v>
      </c>
    </row>
    <row r="48" spans="1:53" ht="15.6">
      <c r="A48" s="142" t="str">
        <f t="shared" si="22"/>
        <v>Transfers Learig</v>
      </c>
      <c r="S48" s="1059">
        <f t="shared" ref="S48:Y48" si="27">S15*S37</f>
        <v>0</v>
      </c>
      <c r="T48" s="1059">
        <f t="shared" si="27"/>
        <v>0</v>
      </c>
      <c r="U48" s="1059">
        <f t="shared" si="27"/>
        <v>0</v>
      </c>
      <c r="V48" s="1059">
        <f t="shared" si="27"/>
        <v>0</v>
      </c>
      <c r="W48" s="1059">
        <f t="shared" si="27"/>
        <v>-9822.3409312384483</v>
      </c>
      <c r="X48" s="1059">
        <f t="shared" si="27"/>
        <v>-15272.84125360088</v>
      </c>
      <c r="Y48" s="1059">
        <f t="shared" si="27"/>
        <v>-16470.382867535121</v>
      </c>
      <c r="Z48" s="1059">
        <f>Z15*Z37+(2*Z37)</f>
        <v>-12850.748552750299</v>
      </c>
      <c r="AA48" s="1059">
        <f t="shared" ref="AA48:AT48" si="28">AA15*AA37</f>
        <v>0</v>
      </c>
      <c r="AB48" s="1059">
        <f t="shared" si="28"/>
        <v>0</v>
      </c>
      <c r="AC48" s="1059">
        <f t="shared" si="28"/>
        <v>0</v>
      </c>
      <c r="AD48" s="1059">
        <f t="shared" si="28"/>
        <v>0</v>
      </c>
      <c r="AE48" s="1059">
        <f t="shared" si="28"/>
        <v>0</v>
      </c>
      <c r="AF48" s="1059">
        <f t="shared" si="28"/>
        <v>0</v>
      </c>
      <c r="AG48" s="1059">
        <f t="shared" si="28"/>
        <v>0</v>
      </c>
      <c r="AH48" s="1059">
        <f t="shared" si="28"/>
        <v>0</v>
      </c>
      <c r="AI48" s="1059">
        <f t="shared" si="28"/>
        <v>0</v>
      </c>
      <c r="AJ48" s="1059">
        <f t="shared" si="28"/>
        <v>0</v>
      </c>
      <c r="AK48" s="1059">
        <f t="shared" si="28"/>
        <v>0</v>
      </c>
      <c r="AL48" s="1059">
        <f t="shared" si="28"/>
        <v>0</v>
      </c>
      <c r="AM48" s="1059">
        <f t="shared" si="28"/>
        <v>0</v>
      </c>
      <c r="AN48" s="1059">
        <f t="shared" si="28"/>
        <v>0</v>
      </c>
      <c r="AO48" s="1059">
        <f t="shared" si="28"/>
        <v>0</v>
      </c>
      <c r="AP48" s="1059">
        <f t="shared" si="28"/>
        <v>0</v>
      </c>
      <c r="AQ48" s="1059">
        <f t="shared" si="28"/>
        <v>0</v>
      </c>
      <c r="AR48" s="1059">
        <f t="shared" si="28"/>
        <v>0</v>
      </c>
      <c r="AS48" s="1059">
        <f t="shared" si="28"/>
        <v>0</v>
      </c>
      <c r="AT48" s="1059">
        <f t="shared" si="28"/>
        <v>0</v>
      </c>
      <c r="AU48" s="1282">
        <f>SUM(B48:AT48)</f>
        <v>-54416.313605124757</v>
      </c>
      <c r="AW48" s="142">
        <v>-3288.0092479586601</v>
      </c>
    </row>
    <row r="49" spans="1:50" ht="15.6">
      <c r="A49" s="142" t="str">
        <f t="shared" si="22"/>
        <v>Transfers Villa</v>
      </c>
      <c r="S49" s="1059">
        <f t="shared" ref="S49:AT49" si="29">S16*S37</f>
        <v>0</v>
      </c>
      <c r="T49" s="1059">
        <f t="shared" si="29"/>
        <v>0</v>
      </c>
      <c r="U49" s="1059">
        <f t="shared" si="29"/>
        <v>0</v>
      </c>
      <c r="V49" s="1059">
        <f t="shared" si="29"/>
        <v>0</v>
      </c>
      <c r="W49" s="1059">
        <f t="shared" si="29"/>
        <v>0</v>
      </c>
      <c r="X49" s="1059">
        <f t="shared" si="29"/>
        <v>0</v>
      </c>
      <c r="Y49" s="1059">
        <f t="shared" si="29"/>
        <v>0</v>
      </c>
      <c r="Z49" s="1059">
        <f t="shared" si="29"/>
        <v>0</v>
      </c>
      <c r="AA49" s="1059">
        <f t="shared" si="29"/>
        <v>0</v>
      </c>
      <c r="AB49" s="1059">
        <f t="shared" si="29"/>
        <v>0</v>
      </c>
      <c r="AC49" s="1059">
        <f t="shared" si="29"/>
        <v>0</v>
      </c>
      <c r="AD49" s="1059">
        <f t="shared" si="29"/>
        <v>0</v>
      </c>
      <c r="AE49" s="1059">
        <f t="shared" si="29"/>
        <v>0</v>
      </c>
      <c r="AF49" s="1059">
        <f t="shared" si="29"/>
        <v>0</v>
      </c>
      <c r="AG49" s="1059">
        <f t="shared" si="29"/>
        <v>0</v>
      </c>
      <c r="AH49" s="1059">
        <f t="shared" si="29"/>
        <v>0</v>
      </c>
      <c r="AI49" s="1059">
        <f t="shared" si="29"/>
        <v>0</v>
      </c>
      <c r="AJ49" s="1059">
        <f t="shared" si="29"/>
        <v>0</v>
      </c>
      <c r="AK49" s="1059">
        <f t="shared" si="29"/>
        <v>0</v>
      </c>
      <c r="AL49" s="1059">
        <f t="shared" si="29"/>
        <v>0</v>
      </c>
      <c r="AM49" s="1059">
        <f t="shared" si="29"/>
        <v>0</v>
      </c>
      <c r="AN49" s="1059">
        <f t="shared" si="29"/>
        <v>0</v>
      </c>
      <c r="AO49" s="1059">
        <f t="shared" si="29"/>
        <v>0</v>
      </c>
      <c r="AP49" s="1059">
        <f t="shared" si="29"/>
        <v>0</v>
      </c>
      <c r="AQ49" s="1059">
        <f t="shared" si="29"/>
        <v>0</v>
      </c>
      <c r="AR49" s="1059">
        <f t="shared" si="29"/>
        <v>0</v>
      </c>
      <c r="AS49" s="1059">
        <f t="shared" si="29"/>
        <v>0</v>
      </c>
      <c r="AT49" s="1059">
        <f t="shared" si="29"/>
        <v>0</v>
      </c>
      <c r="AU49" s="1282">
        <f t="shared" si="25"/>
        <v>0</v>
      </c>
    </row>
    <row r="50" spans="1:50" ht="15.6">
      <c r="A50" s="142" t="str">
        <f t="shared" si="22"/>
        <v>Transfers Porta</v>
      </c>
      <c r="S50" s="1059">
        <f>S17*S37</f>
        <v>0</v>
      </c>
      <c r="T50" s="1059">
        <f t="shared" ref="T50:AT50" si="30">T17*T37</f>
        <v>0</v>
      </c>
      <c r="U50" s="1059">
        <f t="shared" si="30"/>
        <v>0</v>
      </c>
      <c r="V50" s="1059">
        <f t="shared" si="30"/>
        <v>0</v>
      </c>
      <c r="W50" s="1059">
        <f t="shared" si="30"/>
        <v>0</v>
      </c>
      <c r="X50" s="1059">
        <f t="shared" si="30"/>
        <v>0</v>
      </c>
      <c r="Y50" s="1059">
        <f t="shared" si="30"/>
        <v>0</v>
      </c>
      <c r="Z50" s="1059">
        <f t="shared" si="30"/>
        <v>0</v>
      </c>
      <c r="AA50" s="1059">
        <f t="shared" si="30"/>
        <v>0</v>
      </c>
      <c r="AB50" s="1059">
        <f t="shared" si="30"/>
        <v>0</v>
      </c>
      <c r="AC50" s="1059">
        <f t="shared" si="30"/>
        <v>0</v>
      </c>
      <c r="AD50" s="1059">
        <f t="shared" si="30"/>
        <v>0</v>
      </c>
      <c r="AE50" s="1059">
        <f t="shared" si="30"/>
        <v>0</v>
      </c>
      <c r="AF50" s="1059">
        <f t="shared" si="30"/>
        <v>0</v>
      </c>
      <c r="AG50" s="1059">
        <f t="shared" si="30"/>
        <v>0</v>
      </c>
      <c r="AH50" s="1059">
        <f t="shared" si="30"/>
        <v>0</v>
      </c>
      <c r="AI50" s="1059">
        <f t="shared" si="30"/>
        <v>0</v>
      </c>
      <c r="AJ50" s="1059">
        <f t="shared" si="30"/>
        <v>0</v>
      </c>
      <c r="AK50" s="1059">
        <f t="shared" si="30"/>
        <v>0</v>
      </c>
      <c r="AL50" s="1059">
        <f t="shared" si="30"/>
        <v>0</v>
      </c>
      <c r="AM50" s="1059">
        <f t="shared" si="30"/>
        <v>0</v>
      </c>
      <c r="AN50" s="1059">
        <f t="shared" si="30"/>
        <v>0</v>
      </c>
      <c r="AO50" s="1059">
        <f t="shared" si="30"/>
        <v>0</v>
      </c>
      <c r="AP50" s="1059">
        <f t="shared" si="30"/>
        <v>0</v>
      </c>
      <c r="AQ50" s="1059">
        <f t="shared" si="30"/>
        <v>0</v>
      </c>
      <c r="AR50" s="1059">
        <f t="shared" si="30"/>
        <v>0</v>
      </c>
      <c r="AS50" s="1059">
        <f t="shared" si="30"/>
        <v>0</v>
      </c>
      <c r="AT50" s="1059">
        <f t="shared" si="30"/>
        <v>0</v>
      </c>
      <c r="AU50" s="1282">
        <f>SUM(B50:AT50)</f>
        <v>0</v>
      </c>
    </row>
    <row r="51" spans="1:50" ht="15.6">
      <c r="A51" s="142" t="str">
        <f t="shared" si="22"/>
        <v>Transfers Multiplier</v>
      </c>
      <c r="S51" s="1059"/>
      <c r="T51" s="1059"/>
      <c r="U51" s="1059"/>
      <c r="V51" s="1059"/>
      <c r="W51" s="1059"/>
      <c r="X51" s="1059"/>
      <c r="Y51" s="1059"/>
      <c r="Z51" s="1059"/>
      <c r="AA51" s="1059"/>
      <c r="AB51" s="1059"/>
      <c r="AC51" s="1059"/>
      <c r="AD51" s="1059"/>
      <c r="AE51" s="1059"/>
      <c r="AF51" s="1059"/>
      <c r="AG51" s="1059"/>
      <c r="AH51" s="1059"/>
      <c r="AI51" s="1059"/>
      <c r="AJ51" s="1059"/>
      <c r="AK51" s="1059"/>
      <c r="AL51" s="1059"/>
      <c r="AM51" s="1059"/>
      <c r="AN51" s="1059"/>
      <c r="AO51" s="1059"/>
      <c r="AP51" s="1059"/>
      <c r="AQ51" s="1059"/>
      <c r="AR51" s="1059"/>
      <c r="AS51" s="1059"/>
      <c r="AT51" s="1059"/>
      <c r="AU51" s="1282">
        <f>SUM(B51:AT51)</f>
        <v>0</v>
      </c>
    </row>
    <row r="52" spans="1:50" ht="15.6">
      <c r="A52" s="142">
        <f t="shared" si="22"/>
        <v>0</v>
      </c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59"/>
      <c r="AJ52" s="1059"/>
      <c r="AK52" s="1059"/>
      <c r="AL52" s="1059"/>
      <c r="AM52" s="1059"/>
      <c r="AN52" s="1059"/>
      <c r="AO52" s="1059"/>
      <c r="AP52" s="1059"/>
      <c r="AQ52" s="1059"/>
      <c r="AR52" s="1059"/>
      <c r="AS52" s="1059"/>
      <c r="AT52" s="1059"/>
      <c r="AU52" s="1282"/>
    </row>
    <row r="53" spans="1:50" s="1059" customFormat="1" ht="15.6">
      <c r="A53" s="142" t="str">
        <f t="shared" si="22"/>
        <v>Transfers  Boars</v>
      </c>
      <c r="S53" s="1059">
        <f>S20*S37</f>
        <v>0</v>
      </c>
      <c r="T53" s="1059">
        <f>T20*T37</f>
        <v>0</v>
      </c>
      <c r="U53" s="1059">
        <f>U20*U37</f>
        <v>0</v>
      </c>
      <c r="V53" s="1059">
        <f>V20*V37</f>
        <v>0</v>
      </c>
      <c r="W53" s="1059">
        <f>IFERROR(W20*W37,0)</f>
        <v>0</v>
      </c>
      <c r="X53" s="1059">
        <f t="shared" ref="X53:AT53" si="31">X20*X37</f>
        <v>0</v>
      </c>
      <c r="Y53" s="1059">
        <f t="shared" si="31"/>
        <v>0</v>
      </c>
      <c r="Z53" s="1059">
        <f t="shared" si="31"/>
        <v>0</v>
      </c>
      <c r="AA53" s="1059">
        <f t="shared" si="31"/>
        <v>0</v>
      </c>
      <c r="AB53" s="1059">
        <f t="shared" si="31"/>
        <v>0</v>
      </c>
      <c r="AC53" s="1059">
        <f t="shared" si="31"/>
        <v>0</v>
      </c>
      <c r="AD53" s="1059">
        <f t="shared" si="31"/>
        <v>0</v>
      </c>
      <c r="AE53" s="1059">
        <f t="shared" si="31"/>
        <v>0</v>
      </c>
      <c r="AF53" s="1059">
        <f t="shared" si="31"/>
        <v>0</v>
      </c>
      <c r="AG53" s="1059">
        <f t="shared" si="31"/>
        <v>0</v>
      </c>
      <c r="AH53" s="1059">
        <f t="shared" si="31"/>
        <v>0</v>
      </c>
      <c r="AI53" s="1059">
        <f t="shared" si="31"/>
        <v>0</v>
      </c>
      <c r="AJ53" s="1059">
        <f t="shared" si="31"/>
        <v>0</v>
      </c>
      <c r="AK53" s="1059">
        <f t="shared" si="31"/>
        <v>0</v>
      </c>
      <c r="AL53" s="1059">
        <f t="shared" si="31"/>
        <v>0</v>
      </c>
      <c r="AM53" s="1059">
        <f t="shared" si="31"/>
        <v>0</v>
      </c>
      <c r="AN53" s="1059">
        <f t="shared" si="31"/>
        <v>0</v>
      </c>
      <c r="AO53" s="1059">
        <f t="shared" si="31"/>
        <v>0</v>
      </c>
      <c r="AP53" s="1059">
        <f t="shared" si="31"/>
        <v>-510.56848015285124</v>
      </c>
      <c r="AQ53" s="1059">
        <f t="shared" si="31"/>
        <v>0</v>
      </c>
      <c r="AR53" s="1059">
        <f t="shared" si="31"/>
        <v>-661.05900662296085</v>
      </c>
      <c r="AS53" s="1059">
        <f t="shared" si="31"/>
        <v>0</v>
      </c>
      <c r="AT53" s="1059">
        <f t="shared" si="31"/>
        <v>0</v>
      </c>
      <c r="AU53" s="1282">
        <f t="shared" si="25"/>
        <v>-1171.627486775812</v>
      </c>
    </row>
    <row r="54" spans="1:50" ht="15.6">
      <c r="A54" s="142" t="str">
        <f t="shared" si="22"/>
        <v>Transfers Grower</v>
      </c>
      <c r="S54" s="1059">
        <f t="shared" ref="S54:AT54" si="32">S21*S37</f>
        <v>0</v>
      </c>
      <c r="T54" s="1059">
        <f t="shared" si="32"/>
        <v>0</v>
      </c>
      <c r="U54" s="1059">
        <f t="shared" si="32"/>
        <v>0</v>
      </c>
      <c r="V54" s="1059">
        <f t="shared" si="32"/>
        <v>0</v>
      </c>
      <c r="W54" s="1059">
        <f t="shared" si="32"/>
        <v>0</v>
      </c>
      <c r="X54" s="1059">
        <f t="shared" si="32"/>
        <v>0</v>
      </c>
      <c r="Y54" s="1059">
        <f t="shared" si="32"/>
        <v>0</v>
      </c>
      <c r="Z54" s="1059">
        <f t="shared" si="32"/>
        <v>0</v>
      </c>
      <c r="AA54" s="1059">
        <f t="shared" si="32"/>
        <v>0</v>
      </c>
      <c r="AB54" s="1059">
        <f t="shared" si="32"/>
        <v>0</v>
      </c>
      <c r="AC54" s="1059">
        <f t="shared" si="32"/>
        <v>0</v>
      </c>
      <c r="AD54" s="1059">
        <f t="shared" si="32"/>
        <v>0</v>
      </c>
      <c r="AE54" s="1059">
        <f t="shared" si="32"/>
        <v>0</v>
      </c>
      <c r="AF54" s="1059">
        <f t="shared" si="32"/>
        <v>0</v>
      </c>
      <c r="AG54" s="1059">
        <f t="shared" si="32"/>
        <v>0</v>
      </c>
      <c r="AH54" s="1059">
        <f t="shared" si="32"/>
        <v>0</v>
      </c>
      <c r="AI54" s="1059">
        <f t="shared" si="32"/>
        <v>0</v>
      </c>
      <c r="AJ54" s="1059">
        <f t="shared" si="32"/>
        <v>0</v>
      </c>
      <c r="AK54" s="1059">
        <f t="shared" si="32"/>
        <v>0</v>
      </c>
      <c r="AL54" s="1059">
        <f t="shared" si="32"/>
        <v>0</v>
      </c>
      <c r="AM54" s="1059">
        <f t="shared" si="32"/>
        <v>0</v>
      </c>
      <c r="AN54" s="1059">
        <f t="shared" si="32"/>
        <v>0</v>
      </c>
      <c r="AO54" s="1059">
        <f t="shared" si="32"/>
        <v>0</v>
      </c>
      <c r="AP54" s="1059">
        <f t="shared" si="32"/>
        <v>0</v>
      </c>
      <c r="AQ54" s="1059">
        <f t="shared" si="32"/>
        <v>0</v>
      </c>
      <c r="AR54" s="1059">
        <f t="shared" si="32"/>
        <v>0</v>
      </c>
      <c r="AS54" s="1059">
        <f t="shared" si="32"/>
        <v>0</v>
      </c>
      <c r="AT54" s="1059">
        <f t="shared" si="32"/>
        <v>0</v>
      </c>
      <c r="AU54" s="1282">
        <f>SUM(B54:AT54)</f>
        <v>0</v>
      </c>
    </row>
    <row r="55" spans="1:50" ht="15.6">
      <c r="A55" s="142" t="str">
        <f t="shared" si="22"/>
        <v>Transfer to Sick Block</v>
      </c>
      <c r="S55" s="1059">
        <f t="shared" ref="S55:AN55" si="33">S22*S37</f>
        <v>0</v>
      </c>
      <c r="T55" s="1059">
        <f t="shared" si="33"/>
        <v>0</v>
      </c>
      <c r="U55" s="1059">
        <f t="shared" si="33"/>
        <v>0</v>
      </c>
      <c r="V55" s="1059">
        <f t="shared" si="33"/>
        <v>0</v>
      </c>
      <c r="W55" s="1059">
        <f t="shared" si="33"/>
        <v>0</v>
      </c>
      <c r="X55" s="1059">
        <f t="shared" si="33"/>
        <v>0</v>
      </c>
      <c r="Y55" s="1059">
        <f t="shared" si="33"/>
        <v>0</v>
      </c>
      <c r="Z55" s="1059">
        <f t="shared" si="33"/>
        <v>0</v>
      </c>
      <c r="AA55" s="1059">
        <f t="shared" si="33"/>
        <v>0</v>
      </c>
      <c r="AB55" s="1059">
        <f t="shared" si="33"/>
        <v>0</v>
      </c>
      <c r="AC55" s="1059">
        <f t="shared" si="33"/>
        <v>0</v>
      </c>
      <c r="AD55" s="1059">
        <f t="shared" si="33"/>
        <v>0</v>
      </c>
      <c r="AE55" s="1059">
        <f t="shared" si="33"/>
        <v>-314.59391244152289</v>
      </c>
      <c r="AF55" s="1059">
        <f t="shared" si="33"/>
        <v>-259.27546906809596</v>
      </c>
      <c r="AG55" s="1059">
        <f t="shared" si="33"/>
        <v>-538.30377429084331</v>
      </c>
      <c r="AH55" s="1059">
        <f t="shared" si="33"/>
        <v>0</v>
      </c>
      <c r="AI55" s="1059">
        <f t="shared" si="33"/>
        <v>0</v>
      </c>
      <c r="AJ55" s="1059">
        <f t="shared" si="33"/>
        <v>-344.68536259964907</v>
      </c>
      <c r="AK55" s="1059">
        <f t="shared" si="33"/>
        <v>-194.28890962990371</v>
      </c>
      <c r="AL55" s="1059">
        <f t="shared" si="33"/>
        <v>-214.96528991616881</v>
      </c>
      <c r="AM55" s="1059">
        <f t="shared" si="33"/>
        <v>-553.32688265491015</v>
      </c>
      <c r="AN55" s="1059">
        <f t="shared" si="33"/>
        <v>0</v>
      </c>
      <c r="AO55" s="1059">
        <f>AO22*AO37-AW55</f>
        <v>6003.8665089594351</v>
      </c>
      <c r="AP55" s="1059">
        <f>AP22*AP37</f>
        <v>-255.28424007642562</v>
      </c>
      <c r="AQ55" s="1059">
        <f>AQ22*AQ37</f>
        <v>-1610.2541649673731</v>
      </c>
      <c r="AR55" s="1059">
        <f>AR22*AR37</f>
        <v>-330.52950331148043</v>
      </c>
      <c r="AS55" s="1059">
        <f>AS22*AS37</f>
        <v>-640.31131110284548</v>
      </c>
      <c r="AT55" s="1059">
        <f>AT22*AT37</f>
        <v>0</v>
      </c>
      <c r="AU55" s="1282">
        <f>SUM(B55:AT55)</f>
        <v>748.04768890021671</v>
      </c>
      <c r="AW55" s="1059">
        <v>98.031968055031825</v>
      </c>
      <c r="AX55" s="142" t="s">
        <v>412</v>
      </c>
    </row>
    <row r="56" spans="1:50" ht="15.6">
      <c r="A56" s="142" t="str">
        <f t="shared" si="22"/>
        <v>Transfers Gilts</v>
      </c>
      <c r="S56" s="1059">
        <f t="shared" ref="S56:AT56" si="34">S23*S37</f>
        <v>0</v>
      </c>
      <c r="T56" s="1059">
        <f t="shared" si="34"/>
        <v>0</v>
      </c>
      <c r="U56" s="1059">
        <f t="shared" si="34"/>
        <v>0</v>
      </c>
      <c r="V56" s="1059">
        <f t="shared" si="34"/>
        <v>0</v>
      </c>
      <c r="W56" s="1059">
        <f t="shared" si="34"/>
        <v>0</v>
      </c>
      <c r="X56" s="1059">
        <f t="shared" si="34"/>
        <v>0</v>
      </c>
      <c r="Y56" s="1059">
        <f t="shared" si="34"/>
        <v>0</v>
      </c>
      <c r="Z56" s="1059">
        <f t="shared" si="34"/>
        <v>0</v>
      </c>
      <c r="AA56" s="1059">
        <f t="shared" si="34"/>
        <v>0</v>
      </c>
      <c r="AB56" s="1059">
        <f t="shared" si="34"/>
        <v>0</v>
      </c>
      <c r="AC56" s="1059">
        <f t="shared" si="34"/>
        <v>0</v>
      </c>
      <c r="AD56" s="1059">
        <f t="shared" si="34"/>
        <v>0</v>
      </c>
      <c r="AE56" s="1059">
        <f t="shared" si="34"/>
        <v>0</v>
      </c>
      <c r="AF56" s="1059">
        <f t="shared" si="34"/>
        <v>0</v>
      </c>
      <c r="AG56" s="1059">
        <f t="shared" si="34"/>
        <v>0</v>
      </c>
      <c r="AH56" s="1059">
        <f t="shared" si="34"/>
        <v>0</v>
      </c>
      <c r="AI56" s="1059">
        <f t="shared" si="34"/>
        <v>0</v>
      </c>
      <c r="AJ56" s="1059">
        <f t="shared" si="34"/>
        <v>0</v>
      </c>
      <c r="AK56" s="1059">
        <f t="shared" si="34"/>
        <v>0</v>
      </c>
      <c r="AL56" s="1059">
        <f t="shared" si="34"/>
        <v>0</v>
      </c>
      <c r="AM56" s="1059">
        <f t="shared" si="34"/>
        <v>0</v>
      </c>
      <c r="AN56" s="1059">
        <f t="shared" si="34"/>
        <v>0</v>
      </c>
      <c r="AO56" s="1059">
        <f t="shared" si="34"/>
        <v>0</v>
      </c>
      <c r="AP56" s="1059">
        <f t="shared" si="34"/>
        <v>0</v>
      </c>
      <c r="AQ56" s="1059">
        <f t="shared" si="34"/>
        <v>0</v>
      </c>
      <c r="AR56" s="1059">
        <f t="shared" si="34"/>
        <v>0</v>
      </c>
      <c r="AS56" s="1059">
        <f t="shared" si="34"/>
        <v>0</v>
      </c>
      <c r="AT56" s="1059">
        <f t="shared" si="34"/>
        <v>0</v>
      </c>
      <c r="AU56" s="1282">
        <f t="shared" si="25"/>
        <v>0</v>
      </c>
    </row>
    <row r="57" spans="1:50" ht="15.6">
      <c r="A57" s="142" t="str">
        <f t="shared" si="22"/>
        <v>Mortality</v>
      </c>
      <c r="S57" s="1059">
        <f t="shared" ref="S57:AT57" si="35">S24*S43</f>
        <v>-1229.2269821411767</v>
      </c>
      <c r="T57" s="1059">
        <f t="shared" si="35"/>
        <v>-3347.1468003676273</v>
      </c>
      <c r="U57" s="1059">
        <f t="shared" si="35"/>
        <v>-6011.1023870566596</v>
      </c>
      <c r="V57" s="1059">
        <f t="shared" si="35"/>
        <v>-6835.529022375943</v>
      </c>
      <c r="W57" s="1059">
        <f t="shared" si="35"/>
        <v>-4861.7987301251942</v>
      </c>
      <c r="X57" s="1059">
        <f t="shared" si="35"/>
        <v>-4113.3745847122791</v>
      </c>
      <c r="Y57" s="1059">
        <f t="shared" si="35"/>
        <v>-530.5957495075204</v>
      </c>
      <c r="Z57" s="1059">
        <f t="shared" si="35"/>
        <v>-3819.8662938338316</v>
      </c>
      <c r="AA57" s="1059">
        <f t="shared" si="35"/>
        <v>-713.75294112142228</v>
      </c>
      <c r="AB57" s="1059">
        <f t="shared" si="35"/>
        <v>-625.14230863559078</v>
      </c>
      <c r="AC57" s="1059">
        <f t="shared" si="35"/>
        <v>-875.9773316306281</v>
      </c>
      <c r="AD57" s="1059">
        <f t="shared" si="35"/>
        <v>-340.92454762293988</v>
      </c>
      <c r="AE57" s="1059">
        <f t="shared" si="35"/>
        <v>-1185.7095181422042</v>
      </c>
      <c r="AF57" s="1059">
        <f t="shared" si="35"/>
        <v>-496.81344232932031</v>
      </c>
      <c r="AG57" s="1059">
        <f t="shared" si="35"/>
        <v>-560.98364935381369</v>
      </c>
      <c r="AH57" s="1059">
        <f t="shared" si="35"/>
        <v>-239.41931030682625</v>
      </c>
      <c r="AI57" s="1059">
        <f t="shared" si="35"/>
        <v>-1105.8901983019691</v>
      </c>
      <c r="AJ57" s="1059">
        <f t="shared" si="35"/>
        <v>-1037.7371883446845</v>
      </c>
      <c r="AK57" s="1059">
        <f t="shared" si="35"/>
        <v>-1354.033122594682</v>
      </c>
      <c r="AL57" s="1059">
        <f t="shared" si="35"/>
        <v>-582.9672831015389</v>
      </c>
      <c r="AM57" s="1059">
        <f t="shared" si="35"/>
        <v>-4238.9905454033069</v>
      </c>
      <c r="AN57" s="1059">
        <f t="shared" si="35"/>
        <v>-3028.6559062270794</v>
      </c>
      <c r="AO57" s="1059">
        <f t="shared" si="35"/>
        <v>-6160.6694778350284</v>
      </c>
      <c r="AP57" s="1059">
        <f t="shared" si="35"/>
        <v>-1531.7054404585535</v>
      </c>
      <c r="AQ57" s="1059">
        <f t="shared" si="35"/>
        <v>-1288.2033319738985</v>
      </c>
      <c r="AR57" s="1059">
        <f t="shared" si="35"/>
        <v>-1322.1180132459217</v>
      </c>
      <c r="AS57" s="1059">
        <f t="shared" si="35"/>
        <v>-640.31131110284548</v>
      </c>
      <c r="AT57" s="1059">
        <f t="shared" si="35"/>
        <v>0</v>
      </c>
      <c r="AU57" s="1282">
        <f>SUM(B57:AT57)</f>
        <v>-58078.645417852487</v>
      </c>
    </row>
    <row r="58" spans="1:50" ht="15.6">
      <c r="A58" s="142" t="str">
        <f t="shared" si="22"/>
        <v>Rations</v>
      </c>
      <c r="S58" s="1059">
        <f t="shared" ref="S58:AT58" si="36">S25*S43</f>
        <v>0</v>
      </c>
      <c r="T58" s="1059">
        <f t="shared" si="36"/>
        <v>0</v>
      </c>
      <c r="U58" s="1059">
        <f t="shared" si="36"/>
        <v>0</v>
      </c>
      <c r="V58" s="1059">
        <f t="shared" si="36"/>
        <v>0</v>
      </c>
      <c r="W58" s="1059">
        <f t="shared" si="36"/>
        <v>0</v>
      </c>
      <c r="X58" s="1059">
        <f t="shared" si="36"/>
        <v>0</v>
      </c>
      <c r="Y58" s="1059">
        <f t="shared" si="36"/>
        <v>0</v>
      </c>
      <c r="Z58" s="1059">
        <f t="shared" si="36"/>
        <v>0</v>
      </c>
      <c r="AA58" s="1059">
        <f t="shared" si="36"/>
        <v>0</v>
      </c>
      <c r="AB58" s="1059">
        <f t="shared" si="36"/>
        <v>0</v>
      </c>
      <c r="AC58" s="1059">
        <f t="shared" si="36"/>
        <v>0</v>
      </c>
      <c r="AD58" s="1059">
        <f t="shared" si="36"/>
        <v>0</v>
      </c>
      <c r="AE58" s="1059">
        <f t="shared" si="36"/>
        <v>0</v>
      </c>
      <c r="AF58" s="1059">
        <f t="shared" si="36"/>
        <v>0</v>
      </c>
      <c r="AG58" s="1059">
        <f t="shared" si="36"/>
        <v>0</v>
      </c>
      <c r="AH58" s="1059">
        <f t="shared" si="36"/>
        <v>0</v>
      </c>
      <c r="AI58" s="1059">
        <f t="shared" si="36"/>
        <v>0</v>
      </c>
      <c r="AJ58" s="1059">
        <f t="shared" si="36"/>
        <v>0</v>
      </c>
      <c r="AK58" s="1059">
        <f t="shared" si="36"/>
        <v>0</v>
      </c>
      <c r="AL58" s="1059">
        <f t="shared" si="36"/>
        <v>0</v>
      </c>
      <c r="AM58" s="1059">
        <f t="shared" si="36"/>
        <v>0</v>
      </c>
      <c r="AN58" s="1059">
        <f t="shared" si="36"/>
        <v>0</v>
      </c>
      <c r="AO58" s="1059">
        <f t="shared" si="36"/>
        <v>-616.06694778350288</v>
      </c>
      <c r="AP58" s="1059">
        <f t="shared" si="36"/>
        <v>0</v>
      </c>
      <c r="AQ58" s="1059">
        <f t="shared" si="36"/>
        <v>-322.05083299347461</v>
      </c>
      <c r="AR58" s="1059">
        <f t="shared" si="36"/>
        <v>0</v>
      </c>
      <c r="AS58" s="1059">
        <f t="shared" si="36"/>
        <v>-640.31131110284548</v>
      </c>
      <c r="AT58" s="1059">
        <f t="shared" si="36"/>
        <v>0</v>
      </c>
      <c r="AU58" s="1282">
        <f t="shared" si="25"/>
        <v>-1578.4290918798229</v>
      </c>
    </row>
    <row r="59" spans="1:50" ht="15.6">
      <c r="A59" s="142" t="str">
        <f t="shared" si="22"/>
        <v>Pet Food</v>
      </c>
      <c r="S59" s="1059">
        <f t="shared" ref="S59:AT59" si="37">S26*S43</f>
        <v>0</v>
      </c>
      <c r="T59" s="1059">
        <f t="shared" si="37"/>
        <v>0</v>
      </c>
      <c r="U59" s="1059">
        <f t="shared" si="37"/>
        <v>0</v>
      </c>
      <c r="V59" s="1059">
        <f t="shared" si="37"/>
        <v>0</v>
      </c>
      <c r="W59" s="1059">
        <f t="shared" si="37"/>
        <v>0</v>
      </c>
      <c r="X59" s="1059">
        <f t="shared" si="37"/>
        <v>0</v>
      </c>
      <c r="Y59" s="1059">
        <f t="shared" si="37"/>
        <v>0</v>
      </c>
      <c r="Z59" s="1059">
        <f t="shared" si="37"/>
        <v>0</v>
      </c>
      <c r="AA59" s="1059">
        <f t="shared" si="37"/>
        <v>0</v>
      </c>
      <c r="AB59" s="1059">
        <f t="shared" si="37"/>
        <v>0</v>
      </c>
      <c r="AC59" s="1059">
        <f t="shared" si="37"/>
        <v>0</v>
      </c>
      <c r="AD59" s="1059">
        <f t="shared" si="37"/>
        <v>0</v>
      </c>
      <c r="AE59" s="1059">
        <f t="shared" si="37"/>
        <v>0</v>
      </c>
      <c r="AF59" s="1059">
        <f t="shared" si="37"/>
        <v>0</v>
      </c>
      <c r="AG59" s="1059">
        <f t="shared" si="37"/>
        <v>0</v>
      </c>
      <c r="AH59" s="1059">
        <f t="shared" si="37"/>
        <v>0</v>
      </c>
      <c r="AI59" s="1059">
        <f t="shared" si="37"/>
        <v>0</v>
      </c>
      <c r="AJ59" s="1059">
        <f t="shared" si="37"/>
        <v>0</v>
      </c>
      <c r="AK59" s="1059">
        <f t="shared" si="37"/>
        <v>0</v>
      </c>
      <c r="AL59" s="1059">
        <f t="shared" si="37"/>
        <v>0</v>
      </c>
      <c r="AM59" s="1059">
        <f t="shared" si="37"/>
        <v>0</v>
      </c>
      <c r="AN59" s="1059">
        <f t="shared" si="37"/>
        <v>0</v>
      </c>
      <c r="AO59" s="1059">
        <f t="shared" si="37"/>
        <v>0</v>
      </c>
      <c r="AP59" s="1059">
        <f t="shared" si="37"/>
        <v>0</v>
      </c>
      <c r="AQ59" s="1059">
        <f t="shared" si="37"/>
        <v>0</v>
      </c>
      <c r="AR59" s="1059">
        <f t="shared" si="37"/>
        <v>0</v>
      </c>
      <c r="AS59" s="1059">
        <f t="shared" si="37"/>
        <v>0</v>
      </c>
      <c r="AT59" s="1059">
        <f t="shared" si="37"/>
        <v>0</v>
      </c>
      <c r="AU59" s="1282">
        <f t="shared" si="25"/>
        <v>0</v>
      </c>
    </row>
    <row r="60" spans="1:50" ht="15.6">
      <c r="A60" s="142" t="str">
        <f t="shared" si="22"/>
        <v>Farm Sales</v>
      </c>
      <c r="S60" s="1059">
        <f t="shared" ref="S60:AT60" si="38">S27*S43</f>
        <v>0</v>
      </c>
      <c r="T60" s="1059">
        <f t="shared" si="38"/>
        <v>0</v>
      </c>
      <c r="U60" s="1059">
        <f t="shared" si="38"/>
        <v>0</v>
      </c>
      <c r="V60" s="1059">
        <f t="shared" si="38"/>
        <v>0</v>
      </c>
      <c r="W60" s="1059">
        <f t="shared" si="38"/>
        <v>0</v>
      </c>
      <c r="X60" s="1059">
        <f t="shared" si="38"/>
        <v>0</v>
      </c>
      <c r="Y60" s="1059">
        <f t="shared" si="38"/>
        <v>0</v>
      </c>
      <c r="Z60" s="1059">
        <f t="shared" si="38"/>
        <v>0</v>
      </c>
      <c r="AA60" s="1059">
        <f t="shared" si="38"/>
        <v>0</v>
      </c>
      <c r="AB60" s="1059">
        <f t="shared" si="38"/>
        <v>0</v>
      </c>
      <c r="AC60" s="1059">
        <f t="shared" si="38"/>
        <v>0</v>
      </c>
      <c r="AD60" s="1059">
        <f t="shared" si="38"/>
        <v>0</v>
      </c>
      <c r="AE60" s="1059">
        <f t="shared" si="38"/>
        <v>0</v>
      </c>
      <c r="AF60" s="1059">
        <f t="shared" si="38"/>
        <v>0</v>
      </c>
      <c r="AG60" s="1059">
        <f t="shared" si="38"/>
        <v>0</v>
      </c>
      <c r="AH60" s="1059">
        <f t="shared" si="38"/>
        <v>0</v>
      </c>
      <c r="AI60" s="1059">
        <f t="shared" si="38"/>
        <v>0</v>
      </c>
      <c r="AJ60" s="1059">
        <f t="shared" si="38"/>
        <v>0</v>
      </c>
      <c r="AK60" s="1059">
        <f t="shared" si="38"/>
        <v>0</v>
      </c>
      <c r="AL60" s="1059">
        <f t="shared" si="38"/>
        <v>0</v>
      </c>
      <c r="AM60" s="1059">
        <f t="shared" si="38"/>
        <v>0</v>
      </c>
      <c r="AN60" s="1059">
        <f>AN27*AN43</f>
        <v>0</v>
      </c>
      <c r="AO60" s="1059">
        <f t="shared" si="38"/>
        <v>-4620.5021083762713</v>
      </c>
      <c r="AP60" s="1059">
        <f t="shared" si="38"/>
        <v>0</v>
      </c>
      <c r="AQ60" s="1059">
        <f t="shared" si="38"/>
        <v>-966.15249898042384</v>
      </c>
      <c r="AR60" s="1059">
        <f t="shared" si="38"/>
        <v>0</v>
      </c>
      <c r="AS60" s="1059">
        <f t="shared" si="38"/>
        <v>0</v>
      </c>
      <c r="AT60" s="1059">
        <f t="shared" si="38"/>
        <v>0</v>
      </c>
      <c r="AU60" s="1282">
        <f t="shared" si="25"/>
        <v>-5586.6546073566951</v>
      </c>
    </row>
    <row r="61" spans="1:50" ht="16.149999999999999" thickBot="1">
      <c r="A61" s="142" t="str">
        <f t="shared" si="22"/>
        <v xml:space="preserve"> Colcom Sales</v>
      </c>
      <c r="S61" s="1059">
        <f t="shared" ref="S61:AT61" si="39">S28*S43</f>
        <v>0</v>
      </c>
      <c r="T61" s="1059">
        <f t="shared" si="39"/>
        <v>0</v>
      </c>
      <c r="U61" s="1059">
        <f t="shared" si="39"/>
        <v>0</v>
      </c>
      <c r="V61" s="1059">
        <f t="shared" si="39"/>
        <v>0</v>
      </c>
      <c r="W61" s="1059">
        <f t="shared" si="39"/>
        <v>0</v>
      </c>
      <c r="X61" s="1059">
        <f t="shared" si="39"/>
        <v>0</v>
      </c>
      <c r="Y61" s="1059">
        <f t="shared" si="39"/>
        <v>0</v>
      </c>
      <c r="Z61" s="1059">
        <f t="shared" si="39"/>
        <v>0</v>
      </c>
      <c r="AA61" s="1059">
        <f t="shared" si="39"/>
        <v>0</v>
      </c>
      <c r="AB61" s="1059">
        <f t="shared" si="39"/>
        <v>0</v>
      </c>
      <c r="AC61" s="1059">
        <f t="shared" si="39"/>
        <v>0</v>
      </c>
      <c r="AD61" s="1059">
        <f t="shared" si="39"/>
        <v>0</v>
      </c>
      <c r="AE61" s="1059">
        <f t="shared" si="39"/>
        <v>0</v>
      </c>
      <c r="AF61" s="1059">
        <f t="shared" si="39"/>
        <v>0</v>
      </c>
      <c r="AG61" s="1059">
        <f t="shared" si="39"/>
        <v>0</v>
      </c>
      <c r="AH61" s="1059">
        <f t="shared" si="39"/>
        <v>0</v>
      </c>
      <c r="AI61" s="1059">
        <f t="shared" si="39"/>
        <v>0</v>
      </c>
      <c r="AJ61" s="1059">
        <f t="shared" si="39"/>
        <v>0</v>
      </c>
      <c r="AK61" s="1059">
        <f t="shared" si="39"/>
        <v>0</v>
      </c>
      <c r="AL61" s="1059">
        <f t="shared" si="39"/>
        <v>0</v>
      </c>
      <c r="AM61" s="1059">
        <f t="shared" si="39"/>
        <v>0</v>
      </c>
      <c r="AN61" s="1059">
        <f t="shared" si="39"/>
        <v>0</v>
      </c>
      <c r="AO61" s="1059">
        <f t="shared" si="39"/>
        <v>-22486.443594097855</v>
      </c>
      <c r="AP61" s="1059">
        <f t="shared" si="39"/>
        <v>-264474.47271917691</v>
      </c>
      <c r="AQ61" s="1059">
        <f t="shared" si="39"/>
        <v>-327847.74798735714</v>
      </c>
      <c r="AR61" s="1059">
        <f t="shared" si="39"/>
        <v>-310697.73311279161</v>
      </c>
      <c r="AS61" s="1059">
        <f t="shared" si="39"/>
        <v>-302547.09449609451</v>
      </c>
      <c r="AT61" s="1059">
        <f t="shared" si="39"/>
        <v>0</v>
      </c>
      <c r="AU61" s="1282">
        <f>SUM(B61:AT61)</f>
        <v>-1228053.4919095179</v>
      </c>
    </row>
    <row r="62" spans="1:50" ht="16.149999999999999" thickBot="1">
      <c r="A62" s="1070" t="s">
        <v>1810</v>
      </c>
      <c r="B62" s="1318">
        <f t="shared" ref="B62:AT62" si="40">SUM(B57:B61)+B41</f>
        <v>8715.7511210762314</v>
      </c>
      <c r="C62" s="1318">
        <f t="shared" si="40"/>
        <v>8715.7511210762314</v>
      </c>
      <c r="D62" s="1318">
        <f t="shared" si="40"/>
        <v>8715.7511210762314</v>
      </c>
      <c r="E62" s="1318">
        <f t="shared" si="40"/>
        <v>8715.7511210762314</v>
      </c>
      <c r="F62" s="1318">
        <f t="shared" si="40"/>
        <v>21261.809417040356</v>
      </c>
      <c r="G62" s="1318">
        <f t="shared" si="40"/>
        <v>21261.809417040356</v>
      </c>
      <c r="H62" s="1318">
        <f t="shared" si="40"/>
        <v>21261.809417040356</v>
      </c>
      <c r="I62" s="1318">
        <f t="shared" si="40"/>
        <v>21261.809417040356</v>
      </c>
      <c r="J62" s="1318">
        <f t="shared" si="40"/>
        <v>20202.343946188339</v>
      </c>
      <c r="K62" s="1318">
        <f t="shared" si="40"/>
        <v>30017.14215246636</v>
      </c>
      <c r="L62" s="1318">
        <f t="shared" si="40"/>
        <v>30017.14215246636</v>
      </c>
      <c r="M62" s="1318">
        <f t="shared" si="40"/>
        <v>30017.14215246636</v>
      </c>
      <c r="N62" s="1318">
        <f t="shared" si="40"/>
        <v>31760.292376681609</v>
      </c>
      <c r="O62" s="1318">
        <f t="shared" si="40"/>
        <v>40895.680269058292</v>
      </c>
      <c r="P62" s="1318">
        <f t="shared" si="40"/>
        <v>40895.680269058292</v>
      </c>
      <c r="Q62" s="1318">
        <f t="shared" si="40"/>
        <v>40895.680269058292</v>
      </c>
      <c r="R62" s="1318">
        <f t="shared" si="40"/>
        <v>51214.204932735425</v>
      </c>
      <c r="S62" s="1317">
        <f t="shared" si="40"/>
        <v>58066.341251621299</v>
      </c>
      <c r="T62" s="1317">
        <f t="shared" si="40"/>
        <v>68262.937562427105</v>
      </c>
      <c r="U62" s="1317">
        <f t="shared" si="40"/>
        <v>72396.87348621749</v>
      </c>
      <c r="V62" s="1319">
        <f t="shared" si="40"/>
        <v>69511.298808425956</v>
      </c>
      <c r="W62" s="1060">
        <f t="shared" si="40"/>
        <v>47188.046498273943</v>
      </c>
      <c r="X62" s="1060">
        <f t="shared" si="40"/>
        <v>71559.659441978714</v>
      </c>
      <c r="Y62" s="1060">
        <f t="shared" si="40"/>
        <v>83682.529636614636</v>
      </c>
      <c r="Z62" s="1551">
        <f t="shared" si="40"/>
        <v>99134.625244735143</v>
      </c>
      <c r="AA62" s="1551">
        <f t="shared" si="40"/>
        <v>85333.129405183383</v>
      </c>
      <c r="AB62" s="1551">
        <f t="shared" si="40"/>
        <v>93949.958383520207</v>
      </c>
      <c r="AC62" s="1551">
        <f t="shared" si="40"/>
        <v>122855.82076119559</v>
      </c>
      <c r="AD62" s="1320">
        <f t="shared" si="40"/>
        <v>180860.47251396961</v>
      </c>
      <c r="AE62" s="1320">
        <f t="shared" si="40"/>
        <v>167354.42913207112</v>
      </c>
      <c r="AF62" s="1553">
        <f t="shared" si="40"/>
        <v>172063.05552672126</v>
      </c>
      <c r="AG62" s="1553">
        <f t="shared" si="40"/>
        <v>192791.38082792732</v>
      </c>
      <c r="AH62" s="1554">
        <f t="shared" si="40"/>
        <v>237025.11720375798</v>
      </c>
      <c r="AI62" s="1554">
        <f t="shared" si="40"/>
        <v>270666.62603440695</v>
      </c>
      <c r="AJ62" s="1554">
        <f t="shared" si="40"/>
        <v>261769.20575994664</v>
      </c>
      <c r="AK62" s="1552">
        <f t="shared" si="40"/>
        <v>265119.68540403876</v>
      </c>
      <c r="AL62" s="1552">
        <f t="shared" si="40"/>
        <v>283905.06687044946</v>
      </c>
      <c r="AM62" s="1552">
        <f t="shared" si="40"/>
        <v>366319.43296526902</v>
      </c>
      <c r="AN62" s="1552">
        <f t="shared" si="40"/>
        <v>323729.66464338335</v>
      </c>
      <c r="AO62" s="1552">
        <f>SUM(AO57:AO61)+AO41</f>
        <v>295404.10146218969</v>
      </c>
      <c r="AP62" s="818">
        <f>SUM(AP57:AP61)+AP41</f>
        <v>0</v>
      </c>
      <c r="AQ62" s="818">
        <f t="shared" si="40"/>
        <v>0</v>
      </c>
      <c r="AR62" s="818">
        <f t="shared" si="40"/>
        <v>0</v>
      </c>
      <c r="AS62" s="818">
        <f t="shared" si="40"/>
        <v>0</v>
      </c>
      <c r="AT62" s="818">
        <f t="shared" si="40"/>
        <v>0</v>
      </c>
      <c r="AU62" s="807">
        <f>SUM(B62:AT62)</f>
        <v>4324775.009496971</v>
      </c>
      <c r="AV62" s="1066"/>
      <c r="AW62" s="1084"/>
      <c r="AX62" s="1066"/>
    </row>
    <row r="63" spans="1:50" ht="15.6">
      <c r="A63" s="1075"/>
      <c r="B63" s="1064"/>
      <c r="C63" s="1064"/>
      <c r="D63" s="1064"/>
      <c r="E63" s="1064"/>
      <c r="F63" s="1064"/>
      <c r="G63" s="1064"/>
      <c r="H63" s="1064"/>
      <c r="I63" s="1064"/>
      <c r="J63" s="1064"/>
      <c r="K63" s="1064"/>
      <c r="L63" s="1064"/>
      <c r="M63" s="1064"/>
      <c r="N63" s="1064"/>
      <c r="O63" s="1064"/>
      <c r="P63" s="1064"/>
      <c r="Q63" s="1064"/>
      <c r="R63" s="1064"/>
      <c r="S63" s="1064"/>
      <c r="T63" s="1064"/>
      <c r="U63" s="1064"/>
      <c r="V63" s="1064"/>
      <c r="W63" s="1064"/>
      <c r="X63" s="1064"/>
      <c r="Y63" s="1064"/>
      <c r="Z63" s="1064"/>
      <c r="AA63" s="1064"/>
      <c r="AB63" s="1064"/>
      <c r="AC63" s="1064"/>
      <c r="AD63" s="1064"/>
      <c r="AE63" s="1064"/>
      <c r="AF63" s="1064"/>
      <c r="AG63" s="1064"/>
      <c r="AH63" s="1064"/>
      <c r="AI63" s="1064"/>
      <c r="AJ63" s="1064"/>
      <c r="AK63" s="1064"/>
      <c r="AL63" s="1064"/>
      <c r="AM63" s="1064"/>
      <c r="AN63" s="1064"/>
      <c r="AO63" s="1061"/>
      <c r="AP63" s="1061"/>
      <c r="AQ63" s="1061"/>
      <c r="AR63" s="1061"/>
      <c r="AS63" s="1061"/>
      <c r="AT63" s="1061"/>
      <c r="AU63" s="1062">
        <v>55</v>
      </c>
      <c r="AV63" s="1061"/>
      <c r="AW63" s="1061"/>
      <c r="AX63" s="1061"/>
    </row>
    <row r="64" spans="1:50" ht="15.6">
      <c r="A64" s="1075" t="s">
        <v>1811</v>
      </c>
      <c r="B64" s="1061"/>
      <c r="C64" s="1061"/>
      <c r="D64" s="1075" t="s">
        <v>1812</v>
      </c>
      <c r="E64" s="1061"/>
      <c r="F64" s="1075" t="s">
        <v>62</v>
      </c>
      <c r="G64" s="1061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1"/>
      <c r="X64" s="1061"/>
      <c r="Y64" s="1061"/>
      <c r="Z64" s="1061"/>
      <c r="AA64" s="1061"/>
      <c r="AB64" s="1061"/>
      <c r="AC64" s="1061"/>
      <c r="AD64" s="1061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244"/>
      <c r="AP64" s="1061"/>
      <c r="AQ64" s="1061"/>
      <c r="AR64" s="1061"/>
      <c r="AS64" s="1061"/>
      <c r="AT64" s="1061"/>
      <c r="AU64" s="1062"/>
      <c r="AV64" s="1061"/>
      <c r="AW64" s="1061"/>
      <c r="AX64" s="1061"/>
    </row>
    <row r="65" spans="1:50">
      <c r="A65" s="1061" t="s">
        <v>1813</v>
      </c>
      <c r="B65" s="1064">
        <f>+'Feed Cost &amp; Allocation'!T73+'Feed Cost &amp; Allocation'!I73</f>
        <v>16519</v>
      </c>
      <c r="C65" s="1061"/>
      <c r="D65" s="1061"/>
      <c r="E65" s="1061"/>
      <c r="F65" s="1061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244"/>
      <c r="AP65" s="1061"/>
      <c r="AQ65" s="1061"/>
      <c r="AR65" s="1061"/>
      <c r="AS65" s="1061"/>
      <c r="AT65" s="1061"/>
      <c r="AU65" s="1062"/>
      <c r="AV65" s="1061"/>
      <c r="AW65" s="1061"/>
      <c r="AX65" s="1061"/>
    </row>
    <row r="66" spans="1:50">
      <c r="A66" s="1061" t="s">
        <v>60</v>
      </c>
      <c r="B66" s="1064">
        <f>+'Feed Cost &amp; Allocation'!K73+'Feed Cost &amp; Allocation'!N73+'Feed Cost &amp; Allocation'!AE73</f>
        <v>138970</v>
      </c>
      <c r="C66" s="1061"/>
      <c r="D66" s="1064">
        <f>+'Feed Cost &amp; Allocation'!L73+'Feed Cost &amp; Allocation'!AD73</f>
        <v>56238</v>
      </c>
      <c r="E66" s="1061"/>
      <c r="F66" s="1064">
        <f>+'Feed Cost &amp; Allocation'!C73+'Feed Cost &amp; Allocation'!V73+'Feed Cost &amp; Allocation'!AA73+'Feed Cost &amp; Allocation'!AC73+'Feed Cost &amp; Allocation'!AG73</f>
        <v>51030.7</v>
      </c>
      <c r="G66" s="1061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061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1"/>
      <c r="AW66" s="1061"/>
      <c r="AX66" s="1061"/>
    </row>
    <row r="67" spans="1:50">
      <c r="A67" s="1061" t="s">
        <v>1814</v>
      </c>
      <c r="B67" s="1064">
        <f>+'Feed Cost &amp; Allocation'!O73</f>
        <v>0</v>
      </c>
      <c r="C67" s="1061"/>
      <c r="D67" s="1064">
        <f>+'Feed Cost &amp; Allocation'!M73</f>
        <v>20112</v>
      </c>
      <c r="E67" s="1061"/>
      <c r="F67" s="1064">
        <f>SUM(W23:Z23)/(SUM(W29:Z29)-SUM(W23:Z23))*F66</f>
        <v>0</v>
      </c>
      <c r="G67" s="1061"/>
      <c r="H67" s="1061"/>
      <c r="I67" s="1061"/>
      <c r="J67" s="1061"/>
      <c r="K67" s="1061"/>
      <c r="L67" s="1061"/>
      <c r="M67" s="1061"/>
      <c r="N67" s="1061"/>
      <c r="O67" s="1061"/>
      <c r="P67" s="1061"/>
      <c r="Q67" s="1061"/>
      <c r="R67" s="1061"/>
      <c r="S67" s="1061"/>
      <c r="T67" s="1061"/>
      <c r="U67" s="1061"/>
      <c r="V67" s="1061"/>
      <c r="W67" s="1061"/>
      <c r="X67" s="1061"/>
      <c r="Y67" s="1061"/>
      <c r="Z67" s="1061"/>
      <c r="AA67" s="1061"/>
      <c r="AB67" s="1061"/>
      <c r="AC67" s="1061"/>
      <c r="AD67" s="1061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  <c r="AR67" s="1061"/>
      <c r="AS67" s="1061"/>
      <c r="AT67" s="1061"/>
      <c r="AU67" s="1062"/>
      <c r="AV67" s="1061"/>
      <c r="AW67" s="1061"/>
      <c r="AX67" s="1061"/>
    </row>
    <row r="68" spans="1:50" ht="15.6">
      <c r="A68" s="1075" t="s">
        <v>71</v>
      </c>
      <c r="B68" s="1076">
        <f>SUM(B65:B67)</f>
        <v>155489</v>
      </c>
      <c r="C68" s="1061"/>
      <c r="D68" s="1076">
        <f>SUM(D65:D67)</f>
        <v>76350</v>
      </c>
      <c r="E68" s="1061"/>
      <c r="F68" s="1498">
        <f>SUM(F66:F67)</f>
        <v>51030.7</v>
      </c>
      <c r="G68" s="1061"/>
      <c r="H68" s="1061"/>
      <c r="I68" s="1061"/>
      <c r="J68" s="1061"/>
      <c r="K68" s="1061"/>
      <c r="L68" s="1061"/>
      <c r="M68" s="1061"/>
      <c r="N68" s="1061"/>
      <c r="O68" s="1061"/>
      <c r="P68" s="1061"/>
      <c r="Q68" s="1061"/>
      <c r="R68" s="1061"/>
      <c r="S68" s="1061"/>
      <c r="T68" s="1061"/>
      <c r="U68" s="1061"/>
      <c r="V68" s="1061"/>
      <c r="W68" s="1061"/>
      <c r="X68" s="1061"/>
      <c r="Y68" s="1061"/>
      <c r="Z68" s="1061"/>
      <c r="AA68" s="1061"/>
      <c r="AB68" s="1061"/>
      <c r="AC68" s="1061"/>
      <c r="AD68" s="1061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  <c r="AR68" s="1061"/>
      <c r="AS68" s="1061"/>
      <c r="AT68" s="1061"/>
      <c r="AU68" s="1062"/>
      <c r="AV68" s="1061"/>
      <c r="AW68" s="1061"/>
      <c r="AX68" s="1061"/>
    </row>
    <row r="69" spans="1:50">
      <c r="AU69" s="1057"/>
    </row>
    <row r="70" spans="1:50" ht="15.6">
      <c r="A70" s="1077" t="s">
        <v>1815</v>
      </c>
      <c r="B70" s="1077" t="str">
        <f t="shared" ref="B70:AA70" si="41">B3</f>
        <v>DRY SOW</v>
      </c>
      <c r="C70" s="1077" t="str">
        <f t="shared" si="41"/>
        <v>DRY SOW</v>
      </c>
      <c r="D70" s="1077" t="str">
        <f t="shared" si="41"/>
        <v>DRY SOW</v>
      </c>
      <c r="E70" s="1078" t="str">
        <f t="shared" si="41"/>
        <v>DRY SOW</v>
      </c>
      <c r="F70" s="1078" t="str">
        <f t="shared" si="41"/>
        <v>DRY SOW</v>
      </c>
      <c r="G70" s="1078" t="str">
        <f t="shared" si="41"/>
        <v>DRY SOW</v>
      </c>
      <c r="H70" s="1078" t="str">
        <f t="shared" si="41"/>
        <v>DRY SOW</v>
      </c>
      <c r="I70" s="1078" t="str">
        <f t="shared" si="41"/>
        <v>DRY SOW</v>
      </c>
      <c r="J70" s="1078" t="str">
        <f t="shared" si="41"/>
        <v>DRY SOW</v>
      </c>
      <c r="K70" s="1078" t="str">
        <f t="shared" si="41"/>
        <v>DRY SOW</v>
      </c>
      <c r="L70" s="1078" t="str">
        <f t="shared" si="41"/>
        <v>DRY SOW</v>
      </c>
      <c r="M70" s="1078" t="str">
        <f t="shared" si="41"/>
        <v>DRY SOW</v>
      </c>
      <c r="N70" s="1078" t="str">
        <f t="shared" si="41"/>
        <v>DRY SOW</v>
      </c>
      <c r="O70" s="1078" t="str">
        <f t="shared" si="41"/>
        <v>DRY SOW</v>
      </c>
      <c r="P70" s="1078" t="str">
        <f t="shared" si="41"/>
        <v>DRY SOW</v>
      </c>
      <c r="Q70" s="1078" t="str">
        <f t="shared" si="41"/>
        <v>DRY SOW</v>
      </c>
      <c r="R70" s="1078" t="str">
        <f t="shared" si="41"/>
        <v>Flush</v>
      </c>
      <c r="S70" s="1078" t="str">
        <f t="shared" si="41"/>
        <v>LACTATE</v>
      </c>
      <c r="T70" s="1078" t="str">
        <f t="shared" si="41"/>
        <v>LACTATE</v>
      </c>
      <c r="U70" s="1078" t="str">
        <f t="shared" si="41"/>
        <v>LACTATE</v>
      </c>
      <c r="V70" s="1078" t="str">
        <f t="shared" si="41"/>
        <v>Early Wean</v>
      </c>
      <c r="W70" s="1078" t="str">
        <f t="shared" si="41"/>
        <v>CREEP</v>
      </c>
      <c r="X70" s="1078" t="str">
        <f t="shared" si="41"/>
        <v>CREEP</v>
      </c>
      <c r="Y70" s="1078" t="str">
        <f t="shared" si="41"/>
        <v>CREEP</v>
      </c>
      <c r="Z70" s="1078" t="str">
        <f t="shared" si="41"/>
        <v>WEANER</v>
      </c>
      <c r="AA70" s="1078" t="str">
        <f t="shared" si="41"/>
        <v>WEANER</v>
      </c>
      <c r="AB70" s="1078" t="str">
        <f>AA70</f>
        <v>WEANER</v>
      </c>
      <c r="AC70" s="1078" t="str">
        <f>AB70</f>
        <v>WEANER</v>
      </c>
      <c r="AD70" s="1078" t="str">
        <f t="shared" ref="AD70:AN70" si="42">AD3</f>
        <v>GROWER 1</v>
      </c>
      <c r="AE70" s="1078" t="str">
        <f t="shared" si="42"/>
        <v>GROWER 1</v>
      </c>
      <c r="AF70" s="1078" t="str">
        <f t="shared" si="42"/>
        <v>GROWER 2</v>
      </c>
      <c r="AG70" s="1078" t="str">
        <f t="shared" si="42"/>
        <v>GROWER 2</v>
      </c>
      <c r="AH70" s="1078" t="str">
        <f t="shared" si="42"/>
        <v>GROWER 3</v>
      </c>
      <c r="AI70" s="1078" t="str">
        <f t="shared" si="42"/>
        <v>GROWER 3</v>
      </c>
      <c r="AJ70" s="1078" t="str">
        <f t="shared" si="42"/>
        <v>GROWER 3</v>
      </c>
      <c r="AK70" s="1078" t="str">
        <f t="shared" si="42"/>
        <v>FINISHER</v>
      </c>
      <c r="AL70" s="1078" t="str">
        <f t="shared" si="42"/>
        <v>FINISHER</v>
      </c>
      <c r="AM70" s="1078" t="str">
        <f t="shared" si="42"/>
        <v>FINISHER</v>
      </c>
      <c r="AN70" s="1078" t="str">
        <f t="shared" si="42"/>
        <v>FINISHER</v>
      </c>
      <c r="AO70" s="1078" t="s">
        <v>71</v>
      </c>
      <c r="AP70" s="1079"/>
      <c r="AQ70" s="1079"/>
      <c r="AR70" s="1079"/>
      <c r="AS70" s="1066"/>
      <c r="AT70" s="1066"/>
      <c r="AU70" s="1068"/>
      <c r="AV70" s="1066"/>
      <c r="AW70" s="1066"/>
      <c r="AX70" s="1066"/>
    </row>
    <row r="71" spans="1:50" ht="15.6">
      <c r="A71" s="1077" t="s">
        <v>1816</v>
      </c>
      <c r="B71" s="1077">
        <v>7</v>
      </c>
      <c r="C71" s="1077">
        <v>7</v>
      </c>
      <c r="D71" s="1077">
        <v>7</v>
      </c>
      <c r="E71" s="1077">
        <v>7</v>
      </c>
      <c r="F71" s="1077">
        <v>7</v>
      </c>
      <c r="G71" s="1077">
        <v>7</v>
      </c>
      <c r="H71" s="1077">
        <v>7</v>
      </c>
      <c r="I71" s="1077">
        <v>7</v>
      </c>
      <c r="J71" s="1077">
        <v>7</v>
      </c>
      <c r="K71" s="1077">
        <v>7</v>
      </c>
      <c r="L71" s="1077">
        <v>7</v>
      </c>
      <c r="M71" s="1077">
        <v>7</v>
      </c>
      <c r="N71" s="1077">
        <v>7</v>
      </c>
      <c r="O71" s="1077">
        <v>7</v>
      </c>
      <c r="P71" s="1077">
        <v>7</v>
      </c>
      <c r="Q71" s="1077">
        <v>7</v>
      </c>
      <c r="R71" s="1077">
        <v>7</v>
      </c>
      <c r="S71" s="1077">
        <v>7</v>
      </c>
      <c r="T71" s="1077">
        <v>7</v>
      </c>
      <c r="U71" s="1077">
        <v>7</v>
      </c>
      <c r="V71" s="1077">
        <v>7</v>
      </c>
      <c r="W71" s="1077">
        <v>7</v>
      </c>
      <c r="X71" s="1077">
        <v>7</v>
      </c>
      <c r="Y71" s="1077">
        <v>7</v>
      </c>
      <c r="Z71" s="1077">
        <v>7</v>
      </c>
      <c r="AA71" s="1077">
        <v>7</v>
      </c>
      <c r="AB71" s="1077">
        <v>7</v>
      </c>
      <c r="AC71" s="1077">
        <v>7</v>
      </c>
      <c r="AD71" s="1077">
        <v>7</v>
      </c>
      <c r="AE71" s="1077">
        <v>7</v>
      </c>
      <c r="AF71" s="1077">
        <v>7</v>
      </c>
      <c r="AG71" s="1077">
        <v>7</v>
      </c>
      <c r="AH71" s="1077">
        <v>7</v>
      </c>
      <c r="AI71" s="1077">
        <v>7</v>
      </c>
      <c r="AJ71" s="1077">
        <v>7</v>
      </c>
      <c r="AK71" s="1077">
        <v>7</v>
      </c>
      <c r="AL71" s="1077">
        <v>7</v>
      </c>
      <c r="AM71" s="1077">
        <v>7</v>
      </c>
      <c r="AN71" s="1077">
        <v>7</v>
      </c>
      <c r="AO71" s="1077"/>
      <c r="AP71" s="1066"/>
      <c r="AQ71" s="1066"/>
      <c r="AR71" s="1066"/>
      <c r="AS71" s="1066"/>
      <c r="AT71" s="1066"/>
      <c r="AU71" s="1068"/>
      <c r="AV71" s="1066"/>
      <c r="AW71" s="1066"/>
      <c r="AX71" s="1066"/>
    </row>
    <row r="72" spans="1:50" ht="15.6">
      <c r="A72" s="1077" t="s">
        <v>1817</v>
      </c>
      <c r="B72" s="1077">
        <v>2.5</v>
      </c>
      <c r="C72" s="1077">
        <v>2.5</v>
      </c>
      <c r="D72" s="1077">
        <v>2.5</v>
      </c>
      <c r="E72" s="1077">
        <v>2.5</v>
      </c>
      <c r="F72" s="1077">
        <v>2.2999999999999998</v>
      </c>
      <c r="G72" s="1077">
        <v>2.2999999999999998</v>
      </c>
      <c r="H72" s="1077">
        <v>2.2999999999999998</v>
      </c>
      <c r="I72" s="1077">
        <v>2.2999999999999998</v>
      </c>
      <c r="J72" s="1077">
        <v>2.2999999999999998</v>
      </c>
      <c r="K72" s="1077">
        <v>2.2999999999999998</v>
      </c>
      <c r="L72" s="1077">
        <v>2.2999999999999998</v>
      </c>
      <c r="M72" s="1077">
        <v>2.2999999999999998</v>
      </c>
      <c r="N72" s="1077">
        <v>2.8</v>
      </c>
      <c r="O72" s="1077">
        <v>2.8</v>
      </c>
      <c r="P72" s="1077">
        <v>2.8</v>
      </c>
      <c r="Q72" s="1077">
        <v>2.8</v>
      </c>
      <c r="R72" s="1077">
        <v>5</v>
      </c>
      <c r="S72" s="1080">
        <v>3</v>
      </c>
      <c r="T72" s="1080">
        <v>5.5</v>
      </c>
      <c r="U72" s="1080">
        <v>7</v>
      </c>
      <c r="V72" s="1080">
        <v>9.5</v>
      </c>
      <c r="W72" s="1077">
        <v>0.35</v>
      </c>
      <c r="X72" s="1077">
        <v>0.5</v>
      </c>
      <c r="Y72" s="1077">
        <v>0.6</v>
      </c>
      <c r="Z72" s="1077">
        <v>0.9</v>
      </c>
      <c r="AA72" s="1077">
        <v>1.1000000000000001</v>
      </c>
      <c r="AB72" s="1077">
        <v>1.2</v>
      </c>
      <c r="AC72" s="1080">
        <v>1.4</v>
      </c>
      <c r="AD72" s="1080">
        <v>1.6</v>
      </c>
      <c r="AE72" s="1080">
        <v>1.8</v>
      </c>
      <c r="AF72" s="1080">
        <v>2</v>
      </c>
      <c r="AG72" s="1080">
        <v>2.2000000000000002</v>
      </c>
      <c r="AH72" s="1080">
        <v>2.2999999999999998</v>
      </c>
      <c r="AI72" s="1080">
        <v>2.4</v>
      </c>
      <c r="AJ72" s="1080">
        <v>2.5</v>
      </c>
      <c r="AK72" s="1080">
        <v>2.7</v>
      </c>
      <c r="AL72" s="1080">
        <v>2.9</v>
      </c>
      <c r="AM72" s="1080">
        <v>3</v>
      </c>
      <c r="AN72" s="1080">
        <v>3</v>
      </c>
      <c r="AO72" s="1080"/>
      <c r="AP72" s="1073"/>
      <c r="AQ72" s="1073"/>
      <c r="AR72" s="1073"/>
      <c r="AS72" s="1066"/>
      <c r="AT72" s="1066"/>
      <c r="AU72" s="1068"/>
      <c r="AV72" s="1066"/>
      <c r="AW72" s="1066"/>
      <c r="AX72" s="1066"/>
    </row>
    <row r="73" spans="1:50" ht="15.6">
      <c r="A73" s="1077" t="s">
        <v>1818</v>
      </c>
      <c r="B73" s="1081">
        <f>'Summary Total Pigs'!AF16/17*5</f>
        <v>633.82352941176475</v>
      </c>
      <c r="C73" s="1081">
        <f>B73</f>
        <v>633.82352941176475</v>
      </c>
      <c r="D73" s="1081">
        <f t="shared" ref="D73:R73" si="43">C73</f>
        <v>633.82352941176475</v>
      </c>
      <c r="E73" s="1081">
        <f t="shared" si="43"/>
        <v>633.82352941176475</v>
      </c>
      <c r="F73" s="1081">
        <f t="shared" si="43"/>
        <v>633.82352941176475</v>
      </c>
      <c r="G73" s="1081">
        <f t="shared" si="43"/>
        <v>633.82352941176475</v>
      </c>
      <c r="H73" s="1081">
        <f t="shared" si="43"/>
        <v>633.82352941176475</v>
      </c>
      <c r="I73" s="1081">
        <f t="shared" si="43"/>
        <v>633.82352941176475</v>
      </c>
      <c r="J73" s="1081">
        <f t="shared" si="43"/>
        <v>633.82352941176475</v>
      </c>
      <c r="K73" s="1081">
        <f t="shared" si="43"/>
        <v>633.82352941176475</v>
      </c>
      <c r="L73" s="1081">
        <f t="shared" si="43"/>
        <v>633.82352941176475</v>
      </c>
      <c r="M73" s="1081">
        <f t="shared" si="43"/>
        <v>633.82352941176475</v>
      </c>
      <c r="N73" s="1081">
        <f t="shared" si="43"/>
        <v>633.82352941176475</v>
      </c>
      <c r="O73" s="1081">
        <f t="shared" si="43"/>
        <v>633.82352941176475</v>
      </c>
      <c r="P73" s="1081">
        <f t="shared" si="43"/>
        <v>633.82352941176475</v>
      </c>
      <c r="Q73" s="1081">
        <f t="shared" si="43"/>
        <v>633.82352941176475</v>
      </c>
      <c r="R73" s="1081">
        <f t="shared" si="43"/>
        <v>633.82352941176475</v>
      </c>
      <c r="S73" s="1081">
        <f>R73</f>
        <v>633.82352941176475</v>
      </c>
      <c r="T73" s="1081">
        <f>S73</f>
        <v>633.82352941176475</v>
      </c>
      <c r="U73" s="1081">
        <f>T73</f>
        <v>633.82352941176475</v>
      </c>
      <c r="V73" s="1081">
        <f>U73</f>
        <v>633.82352941176475</v>
      </c>
      <c r="W73" s="1081">
        <f>SUM(W7:Z7)</f>
        <v>5260</v>
      </c>
      <c r="X73" s="1081">
        <f>SUM(W7:AA7)</f>
        <v>6345</v>
      </c>
      <c r="Y73" s="1081">
        <f t="shared" ref="Y73:AN73" si="44">SUM(Y7:AB7)</f>
        <v>4899</v>
      </c>
      <c r="Z73" s="1081">
        <f t="shared" si="44"/>
        <v>4670</v>
      </c>
      <c r="AA73" s="1081">
        <f t="shared" si="44"/>
        <v>4337</v>
      </c>
      <c r="AB73" s="1081">
        <f t="shared" si="44"/>
        <v>4250</v>
      </c>
      <c r="AC73" s="1081">
        <f t="shared" si="44"/>
        <v>4236</v>
      </c>
      <c r="AD73" s="1081">
        <f t="shared" si="44"/>
        <v>4145</v>
      </c>
      <c r="AE73" s="1081">
        <f t="shared" si="44"/>
        <v>4073</v>
      </c>
      <c r="AF73" s="1081">
        <f t="shared" si="44"/>
        <v>4058</v>
      </c>
      <c r="AG73" s="1081">
        <f t="shared" si="44"/>
        <v>4028</v>
      </c>
      <c r="AH73" s="1081">
        <f t="shared" si="44"/>
        <v>3974</v>
      </c>
      <c r="AI73" s="1081">
        <f t="shared" si="44"/>
        <v>3960</v>
      </c>
      <c r="AJ73" s="1081">
        <f t="shared" si="44"/>
        <v>4028</v>
      </c>
      <c r="AK73" s="1081">
        <f t="shared" si="44"/>
        <v>3984</v>
      </c>
      <c r="AL73" s="1081">
        <f t="shared" si="44"/>
        <v>4026</v>
      </c>
      <c r="AM73" s="1081">
        <f t="shared" si="44"/>
        <v>4094</v>
      </c>
      <c r="AN73" s="1081">
        <f t="shared" si="44"/>
        <v>4074</v>
      </c>
      <c r="AO73" s="1081"/>
      <c r="AP73" s="1066"/>
      <c r="AQ73" s="1066"/>
      <c r="AR73" s="1066"/>
      <c r="AS73" s="1066"/>
      <c r="AT73" s="1066"/>
      <c r="AU73" s="1068"/>
      <c r="AV73" s="1066"/>
      <c r="AW73" s="1066"/>
      <c r="AX73" s="1066"/>
    </row>
    <row r="74" spans="1:50" ht="15.6">
      <c r="A74" s="1077" t="s">
        <v>1819</v>
      </c>
      <c r="B74" s="1081">
        <f>B71*B72*B73</f>
        <v>11091.911764705883</v>
      </c>
      <c r="C74" s="1081">
        <f t="shared" ref="C74:Q74" si="45">C71*C72*C73</f>
        <v>11091.911764705883</v>
      </c>
      <c r="D74" s="1081">
        <f t="shared" si="45"/>
        <v>11091.911764705883</v>
      </c>
      <c r="E74" s="1081">
        <f t="shared" si="45"/>
        <v>11091.911764705883</v>
      </c>
      <c r="F74" s="1081">
        <f t="shared" si="45"/>
        <v>10204.558823529411</v>
      </c>
      <c r="G74" s="1081">
        <f t="shared" si="45"/>
        <v>10204.558823529411</v>
      </c>
      <c r="H74" s="1081">
        <f>H71*H72*H73</f>
        <v>10204.558823529411</v>
      </c>
      <c r="I74" s="1081">
        <f t="shared" si="45"/>
        <v>10204.558823529411</v>
      </c>
      <c r="J74" s="1081">
        <f t="shared" si="45"/>
        <v>10204.558823529411</v>
      </c>
      <c r="K74" s="1081">
        <f t="shared" si="45"/>
        <v>10204.558823529411</v>
      </c>
      <c r="L74" s="1081">
        <f t="shared" si="45"/>
        <v>10204.558823529411</v>
      </c>
      <c r="M74" s="1081">
        <f t="shared" si="45"/>
        <v>10204.558823529411</v>
      </c>
      <c r="N74" s="1081">
        <f t="shared" si="45"/>
        <v>12422.941176470587</v>
      </c>
      <c r="O74" s="1081">
        <f t="shared" si="45"/>
        <v>12422.941176470587</v>
      </c>
      <c r="P74" s="1081">
        <f t="shared" si="45"/>
        <v>12422.941176470587</v>
      </c>
      <c r="Q74" s="1081">
        <f t="shared" si="45"/>
        <v>12422.941176470587</v>
      </c>
      <c r="R74" s="1081">
        <f>R71*R72*R73</f>
        <v>22183.823529411766</v>
      </c>
      <c r="S74" s="1081">
        <f>S71*S72*S73</f>
        <v>13310.294117647059</v>
      </c>
      <c r="T74" s="1081">
        <f t="shared" ref="T74:AN74" si="46">T71*T72*T73</f>
        <v>24402.205882352944</v>
      </c>
      <c r="U74" s="1081">
        <f t="shared" si="46"/>
        <v>31057.352941176472</v>
      </c>
      <c r="V74" s="1081">
        <f>V71*V72*V73</f>
        <v>42149.264705882357</v>
      </c>
      <c r="W74" s="1081">
        <f>W71*W72*W73</f>
        <v>12886.999999999998</v>
      </c>
      <c r="X74" s="1081">
        <f>X71*X72*X73</f>
        <v>22207.5</v>
      </c>
      <c r="Y74" s="1081">
        <f t="shared" si="46"/>
        <v>20575.8</v>
      </c>
      <c r="Z74" s="1081">
        <f>Z71*Z72*Z73</f>
        <v>29421</v>
      </c>
      <c r="AA74" s="1081">
        <f t="shared" si="46"/>
        <v>33394.9</v>
      </c>
      <c r="AB74" s="1081">
        <f t="shared" si="46"/>
        <v>35700</v>
      </c>
      <c r="AC74" s="1081">
        <f t="shared" si="46"/>
        <v>41512.799999999996</v>
      </c>
      <c r="AD74" s="1081">
        <f>AD71*AD72*AD73</f>
        <v>46424.000000000007</v>
      </c>
      <c r="AE74" s="1081">
        <f t="shared" si="46"/>
        <v>51319.799999999996</v>
      </c>
      <c r="AF74" s="1081">
        <f t="shared" si="46"/>
        <v>56812</v>
      </c>
      <c r="AG74" s="1081">
        <f t="shared" si="46"/>
        <v>62031.200000000012</v>
      </c>
      <c r="AH74" s="1081">
        <f t="shared" si="46"/>
        <v>63981.399999999994</v>
      </c>
      <c r="AI74" s="1081">
        <f>AI71*AI72*AI73</f>
        <v>66528</v>
      </c>
      <c r="AJ74" s="1081">
        <f t="shared" si="46"/>
        <v>70490</v>
      </c>
      <c r="AK74" s="1081">
        <f t="shared" si="46"/>
        <v>75297.600000000006</v>
      </c>
      <c r="AL74" s="1081">
        <f t="shared" si="46"/>
        <v>81727.8</v>
      </c>
      <c r="AM74" s="1081">
        <f t="shared" si="46"/>
        <v>85974</v>
      </c>
      <c r="AN74" s="1081">
        <f t="shared" si="46"/>
        <v>85554</v>
      </c>
      <c r="AO74" s="1081">
        <f>SUM(B74:AN74)</f>
        <v>1250637.6235294119</v>
      </c>
      <c r="AP74" s="1066"/>
      <c r="AQ74" s="1066"/>
      <c r="AR74" s="1066"/>
      <c r="AS74" s="1066"/>
      <c r="AT74" s="1066"/>
      <c r="AU74" s="1068"/>
      <c r="AV74" s="1066"/>
      <c r="AW74" s="1066"/>
      <c r="AX74" s="1066"/>
    </row>
    <row r="75" spans="1:50" ht="15.6">
      <c r="A75" s="1077"/>
      <c r="B75" s="1081"/>
      <c r="C75" s="1081"/>
      <c r="D75" s="1081"/>
      <c r="E75" s="1081"/>
      <c r="F75" s="1081"/>
      <c r="G75" s="1081"/>
      <c r="H75" s="1081"/>
      <c r="I75" s="1081"/>
      <c r="J75" s="1081"/>
      <c r="K75" s="1081"/>
      <c r="L75" s="1081"/>
      <c r="M75" s="1081"/>
      <c r="N75" s="1081"/>
      <c r="O75" s="1081"/>
      <c r="P75" s="1081"/>
      <c r="Q75" s="1081"/>
      <c r="R75" s="1081">
        <f>SUM(B74:R74)</f>
        <v>197879.70588235298</v>
      </c>
      <c r="S75" s="1081"/>
      <c r="T75" s="1081"/>
      <c r="U75" s="1081">
        <f>SUM(S74:U74)</f>
        <v>68769.852941176476</v>
      </c>
      <c r="V75" s="1081">
        <f>+V74</f>
        <v>42149.264705882357</v>
      </c>
      <c r="W75" s="1081"/>
      <c r="X75" s="1081"/>
      <c r="Y75" s="1081">
        <f>SUM(W74:Y74)</f>
        <v>55670.3</v>
      </c>
      <c r="Z75" s="1081"/>
      <c r="AA75" s="1081">
        <v>0</v>
      </c>
      <c r="AB75" s="1081"/>
      <c r="AC75" s="1081">
        <f>SUM(Z74:AC74)</f>
        <v>140028.69999999998</v>
      </c>
      <c r="AD75" s="1081"/>
      <c r="AE75" s="1081">
        <f>SUM(AD74:AE74)</f>
        <v>97743.8</v>
      </c>
      <c r="AF75" s="1081"/>
      <c r="AG75" s="1081">
        <f>SUM(AF74:AG74)</f>
        <v>118843.20000000001</v>
      </c>
      <c r="AH75" s="1081"/>
      <c r="AI75" s="1081">
        <f>SUM(AH74:AI74)</f>
        <v>130509.4</v>
      </c>
      <c r="AJ75" s="1081"/>
      <c r="AK75" s="1081"/>
      <c r="AL75" s="1081"/>
      <c r="AM75" s="1081"/>
      <c r="AN75" s="1081">
        <f>SUM(AJ74:AN74)</f>
        <v>399043.4</v>
      </c>
      <c r="AO75" s="1081">
        <f>SUM(B75:AN75)</f>
        <v>1250637.6235294119</v>
      </c>
      <c r="AP75" s="1066"/>
      <c r="AQ75" s="1066"/>
      <c r="AR75" s="1066"/>
      <c r="AS75" s="1066"/>
      <c r="AT75" s="1066"/>
      <c r="AU75" s="1068"/>
      <c r="AV75" s="1066"/>
      <c r="AW75" s="1066"/>
      <c r="AX75" s="1066"/>
    </row>
    <row r="76" spans="1:50" ht="15.6">
      <c r="A76" s="1077" t="s">
        <v>1820</v>
      </c>
      <c r="B76" s="1082">
        <f>B74/$R$75</f>
        <v>5.6053811659192813E-2</v>
      </c>
      <c r="C76" s="1082">
        <f t="shared" ref="C76:O76" si="47">C74/$R$75</f>
        <v>5.6053811659192813E-2</v>
      </c>
      <c r="D76" s="1082">
        <f t="shared" si="47"/>
        <v>5.6053811659192813E-2</v>
      </c>
      <c r="E76" s="1082">
        <f t="shared" si="47"/>
        <v>5.6053811659192813E-2</v>
      </c>
      <c r="F76" s="1082">
        <f t="shared" si="47"/>
        <v>5.1569506726457381E-2</v>
      </c>
      <c r="G76" s="1082">
        <f t="shared" si="47"/>
        <v>5.1569506726457381E-2</v>
      </c>
      <c r="H76" s="1082">
        <f t="shared" si="47"/>
        <v>5.1569506726457381E-2</v>
      </c>
      <c r="I76" s="1082">
        <f t="shared" si="47"/>
        <v>5.1569506726457381E-2</v>
      </c>
      <c r="J76" s="1082">
        <f t="shared" si="47"/>
        <v>5.1569506726457381E-2</v>
      </c>
      <c r="K76" s="1082">
        <f t="shared" si="47"/>
        <v>5.1569506726457381E-2</v>
      </c>
      <c r="L76" s="1082">
        <f t="shared" si="47"/>
        <v>5.1569506726457381E-2</v>
      </c>
      <c r="M76" s="1082">
        <f t="shared" si="47"/>
        <v>5.1569506726457381E-2</v>
      </c>
      <c r="N76" s="1082">
        <f t="shared" si="47"/>
        <v>6.2780269058295951E-2</v>
      </c>
      <c r="O76" s="1082">
        <f t="shared" si="47"/>
        <v>6.2780269058295951E-2</v>
      </c>
      <c r="P76" s="1082">
        <f>P74/$R$75</f>
        <v>6.2780269058295951E-2</v>
      </c>
      <c r="Q76" s="1082">
        <f>Q74/$R$75</f>
        <v>6.2780269058295951E-2</v>
      </c>
      <c r="R76" s="1082">
        <f>R74/$R$75</f>
        <v>0.11210762331838563</v>
      </c>
      <c r="S76" s="1082">
        <f>S74/$U$75</f>
        <v>0.19354838709677419</v>
      </c>
      <c r="T76" s="1082">
        <f>T74/$U$75</f>
        <v>0.35483870967741937</v>
      </c>
      <c r="U76" s="1082">
        <f>U74/$U$75</f>
        <v>0.45161290322580644</v>
      </c>
      <c r="V76" s="1082">
        <f>V74/$V$75</f>
        <v>1</v>
      </c>
      <c r="W76" s="1082">
        <f>W74/$Y$75</f>
        <v>0.23148788492248107</v>
      </c>
      <c r="X76" s="1082">
        <f>X74/$Y$75</f>
        <v>0.39891108903670358</v>
      </c>
      <c r="Y76" s="1082">
        <f>Y74/$Y$75</f>
        <v>0.36960102604081529</v>
      </c>
      <c r="Z76" s="1082">
        <f>Z74/$AC$75</f>
        <v>0.21010692807974368</v>
      </c>
      <c r="AA76" s="1082">
        <f>AA74/$AC$75</f>
        <v>0.23848611034737882</v>
      </c>
      <c r="AB76" s="1082">
        <f>AB74/$AC$75</f>
        <v>0.25494773571417861</v>
      </c>
      <c r="AC76" s="1082">
        <f>AC74/$AC$75</f>
        <v>0.29645922585869899</v>
      </c>
      <c r="AD76" s="1082">
        <f>AD74/$AE$75</f>
        <v>0.47495595628571846</v>
      </c>
      <c r="AE76" s="1082">
        <f>AE74/$AE$75</f>
        <v>0.52504404371428159</v>
      </c>
      <c r="AF76" s="1082">
        <f>AF74/$AG$75</f>
        <v>0.47804165488643857</v>
      </c>
      <c r="AG76" s="1082">
        <f>AG74/$AG$75</f>
        <v>0.52195834511356143</v>
      </c>
      <c r="AH76" s="1082">
        <f>AH74/$AI$75</f>
        <v>0.4902436146361871</v>
      </c>
      <c r="AI76" s="1082">
        <f>AI74/$AI$75</f>
        <v>0.50975638536381285</v>
      </c>
      <c r="AJ76" s="1082">
        <f>AJ74/$AN$75</f>
        <v>0.17664745238237242</v>
      </c>
      <c r="AK76" s="1082">
        <f>AK74/$AN$75</f>
        <v>0.18869526472559126</v>
      </c>
      <c r="AL76" s="1082">
        <f>AL74/$AN$75</f>
        <v>0.20480930144440429</v>
      </c>
      <c r="AM76" s="1082">
        <f>AM74/$AN$75</f>
        <v>0.21545024927113191</v>
      </c>
      <c r="AN76" s="1082">
        <f>AN74/$AN$75</f>
        <v>0.2143977321765001</v>
      </c>
      <c r="AO76" s="1065"/>
      <c r="AU76" s="1057"/>
    </row>
    <row r="77" spans="1:50">
      <c r="A77" s="1065"/>
      <c r="B77" s="1065"/>
      <c r="C77" s="1065"/>
      <c r="D77" s="1065"/>
      <c r="E77" s="1065"/>
      <c r="F77" s="1065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5"/>
      <c r="AD77" s="1065"/>
      <c r="AE77" s="1065"/>
      <c r="AF77" s="1065"/>
      <c r="AG77" s="1065"/>
      <c r="AH77" s="1065"/>
      <c r="AI77" s="1065"/>
      <c r="AJ77" s="1065"/>
      <c r="AK77" s="1065"/>
      <c r="AL77" s="1065"/>
      <c r="AM77" s="1065"/>
      <c r="AN77" s="1065"/>
      <c r="AO77" s="1065"/>
      <c r="AU77" s="1057"/>
    </row>
    <row r="78" spans="1:50">
      <c r="A78" s="1065"/>
      <c r="B78" s="1065"/>
      <c r="C78" s="1065"/>
      <c r="D78" s="1065"/>
      <c r="E78" s="1065"/>
      <c r="F78" s="1065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5"/>
      <c r="AD78" s="1065"/>
      <c r="AE78" s="1065"/>
      <c r="AF78" s="1065"/>
      <c r="AG78" s="1065"/>
      <c r="AH78" s="1065"/>
      <c r="AI78" s="1065"/>
      <c r="AJ78" s="1065"/>
      <c r="AK78" s="1065"/>
      <c r="AL78" s="1065"/>
      <c r="AM78" s="1065"/>
      <c r="AN78" s="1065"/>
      <c r="AO78" s="1065"/>
      <c r="AU78" s="1057"/>
    </row>
    <row r="79" spans="1:50" ht="15.6">
      <c r="A79" s="1081" t="s">
        <v>1821</v>
      </c>
      <c r="B79" s="1081"/>
      <c r="C79" s="1081"/>
      <c r="D79" s="1081"/>
      <c r="E79" s="1081"/>
      <c r="F79" s="1081"/>
      <c r="G79" s="1081"/>
      <c r="H79" s="1081"/>
      <c r="I79" s="1081"/>
      <c r="J79" s="1081"/>
      <c r="K79" s="1081"/>
      <c r="L79" s="1081"/>
      <c r="M79" s="1081"/>
      <c r="N79" s="1081"/>
      <c r="O79" s="1081"/>
      <c r="P79" s="1081"/>
      <c r="Q79" s="1081">
        <f>SUM(B74:Q74)</f>
        <v>175695.8823529412</v>
      </c>
      <c r="R79" s="1081">
        <f>R74</f>
        <v>22183.823529411766</v>
      </c>
      <c r="S79" s="1081">
        <f>S74</f>
        <v>13310.294117647059</v>
      </c>
      <c r="T79" s="1081">
        <f>T73*T71*T72</f>
        <v>24402.205882352944</v>
      </c>
      <c r="U79" s="1081">
        <f>U73*U71*U72</f>
        <v>31057.352941176472</v>
      </c>
      <c r="V79" s="1081">
        <f>V73*V71*V72</f>
        <v>42149.264705882357</v>
      </c>
      <c r="W79" s="1081">
        <f>W74</f>
        <v>12886.999999999998</v>
      </c>
      <c r="X79" s="1081"/>
      <c r="Y79" s="1081">
        <f>Y75</f>
        <v>55670.3</v>
      </c>
      <c r="Z79" s="1081"/>
      <c r="AA79" s="1081"/>
      <c r="AB79" s="1081"/>
      <c r="AC79" s="1081">
        <f>AC75</f>
        <v>140028.69999999998</v>
      </c>
      <c r="AD79" s="1081"/>
      <c r="AE79" s="1081">
        <f>AE75</f>
        <v>97743.8</v>
      </c>
      <c r="AF79" s="1081"/>
      <c r="AG79" s="1081">
        <f>AG75</f>
        <v>118843.20000000001</v>
      </c>
      <c r="AH79" s="1081"/>
      <c r="AI79" s="1081"/>
      <c r="AJ79" s="1081">
        <f>AJ75</f>
        <v>0</v>
      </c>
      <c r="AK79" s="1081"/>
      <c r="AL79" s="1081"/>
      <c r="AM79" s="1081"/>
      <c r="AN79" s="1081">
        <f>AN75</f>
        <v>399043.4</v>
      </c>
      <c r="AO79" s="1081">
        <f>SUM(B79:AN79)</f>
        <v>1133015.2235294119</v>
      </c>
      <c r="AP79" s="1068"/>
      <c r="AQ79" s="1068"/>
      <c r="AR79" s="1068"/>
      <c r="AS79" s="1068"/>
      <c r="AT79" s="1068"/>
      <c r="AU79" s="1068"/>
      <c r="AV79" s="1068"/>
      <c r="AW79" s="1068"/>
      <c r="AX79" s="1068"/>
    </row>
    <row r="80" spans="1:50" ht="15.6">
      <c r="A80" s="1081" t="s">
        <v>1822</v>
      </c>
      <c r="B80" s="1081"/>
      <c r="C80" s="1081"/>
      <c r="D80" s="1081"/>
      <c r="E80" s="1081"/>
      <c r="F80" s="1081"/>
      <c r="G80" s="1081"/>
      <c r="H80" s="1081"/>
      <c r="I80" s="1081"/>
      <c r="J80" s="1081"/>
      <c r="K80" s="1081"/>
      <c r="L80" s="1081"/>
      <c r="M80" s="1081"/>
      <c r="N80" s="1081"/>
      <c r="O80" s="1081"/>
      <c r="P80" s="1081"/>
      <c r="Q80" s="1081">
        <f>'[4]Feed Costing &amp; Appotionment '!K122+'[4]Feed Costing &amp; Appotionment '!O122</f>
        <v>273392.90000000002</v>
      </c>
      <c r="R80" s="1081">
        <f>'[4]Feed Costing &amp; Appotionment '!T122</f>
        <v>47127.5</v>
      </c>
      <c r="S80" s="1081">
        <f>'[4]Feed Costing &amp; Appotionment '!N122</f>
        <v>17559.5</v>
      </c>
      <c r="T80" s="1081"/>
      <c r="U80" s="1081"/>
      <c r="V80" s="1081">
        <f>'[4]Feed Costing &amp; Appotionment '!L122+'[4]Feed Costing &amp; Appotionment '!M122</f>
        <v>117633</v>
      </c>
      <c r="W80" s="1081">
        <f>'[4]Feed Costing &amp; Appotionment '!B122</f>
        <v>29254.2</v>
      </c>
      <c r="X80" s="1081"/>
      <c r="Y80" s="1081">
        <f>'[4]Feed Costing &amp; Appotionment '!C122</f>
        <v>126974</v>
      </c>
      <c r="Z80" s="1081"/>
      <c r="AA80" s="1081"/>
      <c r="AB80" s="1081"/>
      <c r="AC80" s="1081">
        <f>'[4]Feed Costing &amp; Appotionment '!D122+'[4]Feed Costing &amp; Appotionment '!E122</f>
        <v>243037.40000000002</v>
      </c>
      <c r="AD80" s="1081"/>
      <c r="AE80" s="1081">
        <f>'[4]Feed Costing &amp; Appotionment '!F122</f>
        <v>176588.4</v>
      </c>
      <c r="AF80" s="1081"/>
      <c r="AG80" s="1081">
        <f>'[4]Feed Costing &amp; Appotionment '!G122</f>
        <v>59290</v>
      </c>
      <c r="AH80" s="1081"/>
      <c r="AI80" s="1081"/>
      <c r="AJ80" s="1081">
        <f>'[4]Feed Costing &amp; Appotionment '!H122</f>
        <v>949048.7</v>
      </c>
      <c r="AK80" s="1081"/>
      <c r="AL80" s="1081"/>
      <c r="AM80" s="1081"/>
      <c r="AN80" s="1081">
        <f>'[4]Feed Costing &amp; Appotionment '!J122</f>
        <v>710118.55</v>
      </c>
      <c r="AO80" s="1081">
        <f>SUM(B80:AN80)</f>
        <v>2750024.1500000004</v>
      </c>
      <c r="AP80" s="1068">
        <f>AO80-'[4]Feed Costing &amp; Appotionment '!U122+'[4]Feed Costing &amp; Appotionment '!P122+'[4]Feed Costing &amp; Appotionment '!Q122+'[4]Feed Costing &amp; Appotionment '!R122</f>
        <v>1.8917489796876907E-10</v>
      </c>
      <c r="AQ80" s="1068"/>
      <c r="AR80" s="1068"/>
      <c r="AS80" s="1068"/>
      <c r="AT80" s="1068"/>
      <c r="AU80" s="1068"/>
      <c r="AV80" s="1068"/>
      <c r="AW80" s="1068"/>
      <c r="AX80" s="1068"/>
    </row>
    <row r="81" spans="1:50" ht="15.6">
      <c r="A81" s="1081" t="s">
        <v>1823</v>
      </c>
      <c r="B81" s="1081"/>
      <c r="C81" s="1081"/>
      <c r="D81" s="1081"/>
      <c r="E81" s="1081"/>
      <c r="F81" s="1081"/>
      <c r="G81" s="1081"/>
      <c r="H81" s="1081"/>
      <c r="I81" s="1081"/>
      <c r="J81" s="1081"/>
      <c r="K81" s="1081"/>
      <c r="L81" s="1081"/>
      <c r="M81" s="1081"/>
      <c r="N81" s="1081"/>
      <c r="O81" s="1081"/>
      <c r="P81" s="1081"/>
      <c r="Q81" s="1081">
        <f>Q79-Q80</f>
        <v>-97697.017647058819</v>
      </c>
      <c r="R81" s="1081">
        <f>R79-R80</f>
        <v>-24943.676470588234</v>
      </c>
      <c r="S81" s="1081">
        <f>S79-S80</f>
        <v>-4249.2058823529405</v>
      </c>
      <c r="T81" s="1081"/>
      <c r="U81" s="1081"/>
      <c r="V81" s="1081">
        <f>SUM(T79:V79)-V80</f>
        <v>-20024.176470588223</v>
      </c>
      <c r="W81" s="1081">
        <f>W79-W80</f>
        <v>-16367.200000000003</v>
      </c>
      <c r="X81" s="1081">
        <f>X79-X80</f>
        <v>0</v>
      </c>
      <c r="Y81" s="1081">
        <f>Y79-Y80</f>
        <v>-71303.7</v>
      </c>
      <c r="Z81" s="1081"/>
      <c r="AA81" s="1081"/>
      <c r="AB81" s="1081"/>
      <c r="AC81" s="1081">
        <f>AC79-AC80</f>
        <v>-103008.70000000004</v>
      </c>
      <c r="AD81" s="1081"/>
      <c r="AE81" s="1081">
        <f>AE79-AE80</f>
        <v>-78844.599999999991</v>
      </c>
      <c r="AF81" s="1081"/>
      <c r="AG81" s="1081">
        <f>AG79-AG80</f>
        <v>59553.200000000012</v>
      </c>
      <c r="AH81" s="1081"/>
      <c r="AI81" s="1081"/>
      <c r="AJ81" s="1081">
        <f>AJ79-AJ80</f>
        <v>-949048.7</v>
      </c>
      <c r="AK81" s="1081"/>
      <c r="AL81" s="1081"/>
      <c r="AM81" s="1081"/>
      <c r="AN81" s="1081">
        <f>AN79-AN80</f>
        <v>-311075.15000000002</v>
      </c>
      <c r="AO81" s="1081">
        <f>SUM(B81:AN81)</f>
        <v>-1617008.9264705884</v>
      </c>
      <c r="AP81" s="1068">
        <f>AO80-'[4]Feed Costing &amp; Appotionment '!U122</f>
        <v>-86697.799999999814</v>
      </c>
      <c r="AQ81" s="1068"/>
      <c r="AR81" s="1068"/>
      <c r="AS81" s="1068"/>
      <c r="AT81" s="1068"/>
      <c r="AU81" s="1068"/>
      <c r="AV81" s="1068"/>
      <c r="AW81" s="1068"/>
      <c r="AX81" s="1068"/>
    </row>
    <row r="82" spans="1:50" ht="15.6">
      <c r="A82" s="1081" t="s">
        <v>1824</v>
      </c>
      <c r="B82" s="1077"/>
      <c r="C82" s="1077"/>
      <c r="D82" s="1077"/>
      <c r="E82" s="1077"/>
      <c r="F82" s="1077"/>
      <c r="G82" s="1077"/>
      <c r="H82" s="1077"/>
      <c r="I82" s="1077"/>
      <c r="J82" s="1077"/>
      <c r="K82" s="1077"/>
      <c r="L82" s="1077"/>
      <c r="M82" s="1077"/>
      <c r="N82" s="1077"/>
      <c r="O82" s="1077"/>
      <c r="P82" s="1077"/>
      <c r="Q82" s="1083">
        <f>('[4]Feed Costing &amp; Appotionment '!K123+'[4]Feed Costing &amp; Appotionment '!O123)/('[4]Feed Costing &amp; Appotionment '!K122+'[4]Feed Costing &amp; Appotionment '!O122)</f>
        <v>0.33022565021567968</v>
      </c>
      <c r="R82" s="1080">
        <f>'[4]Feed Costing &amp; Appotionment '!T124</f>
        <v>0.37880590011098036</v>
      </c>
      <c r="S82" s="1080">
        <f>'[4]Feed Costing &amp; Appotionment '!N124</f>
        <v>0.36773334194341661</v>
      </c>
      <c r="T82" s="1077"/>
      <c r="U82" s="1077"/>
      <c r="V82" s="1080">
        <f>('[4]Feed Costing &amp; Appotionment '!M123+'[4]Feed Costing &amp; Appotionment '!L123)/('[4]Feed Costing &amp; Appotionment '!L122+'[4]Feed Costing &amp; Appotionment '!M122)</f>
        <v>0.38986305594770371</v>
      </c>
      <c r="W82" s="1080">
        <f>'[4]Feed Costing &amp; Appotionment '!B124</f>
        <v>0.70516028376225237</v>
      </c>
      <c r="X82" s="1077"/>
      <c r="Y82" s="1080">
        <f>'[4]Feed Costing &amp; Appotionment '!C124</f>
        <v>0.553048745740369</v>
      </c>
      <c r="Z82" s="1077"/>
      <c r="AA82" s="1080"/>
      <c r="AB82" s="1077"/>
      <c r="AC82" s="1080">
        <f>'[4]Feed Costing &amp; Appotionment '!D124</f>
        <v>0.45761789674138609</v>
      </c>
      <c r="AD82" s="1077"/>
      <c r="AE82" s="1080">
        <f>'[4]Feed Costing &amp; Appotionment '!F124</f>
        <v>0.36072118784213153</v>
      </c>
      <c r="AF82" s="1077"/>
      <c r="AG82" s="1080">
        <f>'[4]Feed Costing &amp; Appotionment '!G124</f>
        <v>0.35277419368699731</v>
      </c>
      <c r="AH82" s="1077"/>
      <c r="AI82" s="1077"/>
      <c r="AJ82" s="1080">
        <f>'[4]Feed Costing &amp; Appotionment '!H124</f>
        <v>0.32545898419719504</v>
      </c>
      <c r="AK82" s="1077"/>
      <c r="AL82" s="1077"/>
      <c r="AM82" s="1077"/>
      <c r="AN82" s="1080">
        <f>'[4]Feed Costing &amp; Appotionment '!J124</f>
        <v>0.34727367194923103</v>
      </c>
      <c r="AO82" s="1083">
        <f>AO83/AO81</f>
        <v>0.35468660185399098</v>
      </c>
      <c r="AP82" s="1068">
        <f>'[4]Feed Costing &amp; Appotionment '!P122+'[4]Feed Costing &amp; Appotionment '!Q122+'[4]Feed Costing &amp; Appotionment '!R122</f>
        <v>86697.8</v>
      </c>
      <c r="AQ82" s="1066"/>
      <c r="AR82" s="1066"/>
      <c r="AS82" s="1066"/>
      <c r="AT82" s="1066"/>
      <c r="AU82" s="1068"/>
      <c r="AV82" s="1066"/>
      <c r="AW82" s="1066"/>
      <c r="AX82" s="1066"/>
    </row>
    <row r="83" spans="1:50" ht="15.6">
      <c r="A83" s="1081" t="s">
        <v>1825</v>
      </c>
      <c r="B83" s="1077"/>
      <c r="C83" s="1077"/>
      <c r="D83" s="1077"/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83">
        <f>Q81*Q82</f>
        <v>-32262.061176632731</v>
      </c>
      <c r="R83" s="1083">
        <f>R81*R82</f>
        <v>-9448.8118175182572</v>
      </c>
      <c r="S83" s="1083">
        <f>S81*S82</f>
        <v>-1562.5746797232712</v>
      </c>
      <c r="T83" s="1077"/>
      <c r="U83" s="1077"/>
      <c r="V83" s="1083">
        <f>V81*V82</f>
        <v>-7806.6866316596288</v>
      </c>
      <c r="W83" s="1083">
        <f>W81*W82</f>
        <v>-11541.499396393539</v>
      </c>
      <c r="X83" s="1077"/>
      <c r="Y83" s="1083">
        <f>Y81*Y82</f>
        <v>-39434.421851647545</v>
      </c>
      <c r="Z83" s="1077"/>
      <c r="AA83" s="1083"/>
      <c r="AB83" s="1077"/>
      <c r="AC83" s="1083">
        <f>AC81*AC82</f>
        <v>-47138.624640064438</v>
      </c>
      <c r="AD83" s="1077"/>
      <c r="AE83" s="1083">
        <f>AE81*AE82</f>
        <v>-28440.91776693772</v>
      </c>
      <c r="AF83" s="1077"/>
      <c r="AG83" s="1083">
        <f>AG81*AG82</f>
        <v>21008.832111480493</v>
      </c>
      <c r="AH83" s="1077"/>
      <c r="AI83" s="1077"/>
      <c r="AJ83" s="1083">
        <f>AJ81*AJ82</f>
        <v>-308876.42585566849</v>
      </c>
      <c r="AK83" s="1077"/>
      <c r="AL83" s="1077"/>
      <c r="AM83" s="1077"/>
      <c r="AN83" s="1083">
        <f>AN81*AN82</f>
        <v>-108028.20959265785</v>
      </c>
      <c r="AO83" s="1081">
        <f>SUM(B83:AN83)</f>
        <v>-573531.40129742294</v>
      </c>
      <c r="AP83" s="1084">
        <f>SUM(AP81:AP82)</f>
        <v>1.8917489796876907E-10</v>
      </c>
      <c r="AQ83" s="1066"/>
      <c r="AR83" s="1066"/>
      <c r="AS83" s="1066"/>
      <c r="AT83" s="1066"/>
      <c r="AU83" s="1068"/>
      <c r="AV83" s="1066"/>
      <c r="AW83" s="1066"/>
      <c r="AX83" s="1066"/>
    </row>
    <row r="84" spans="1:50" ht="15.6">
      <c r="A84" s="1282"/>
      <c r="B84" s="1066"/>
      <c r="C84" s="1066"/>
      <c r="D84" s="1066"/>
      <c r="E84" s="1066"/>
      <c r="F84" s="1066"/>
      <c r="G84" s="1066"/>
      <c r="H84" s="1066"/>
      <c r="I84" s="1066"/>
      <c r="J84" s="1066"/>
      <c r="K84" s="1066"/>
      <c r="L84" s="1066"/>
      <c r="M84" s="1066"/>
      <c r="N84" s="1066"/>
      <c r="O84" s="1066"/>
      <c r="P84" s="1066"/>
      <c r="Q84" s="1097"/>
      <c r="R84" s="1097"/>
      <c r="S84" s="1097"/>
      <c r="T84" s="1066"/>
      <c r="U84" s="1066"/>
      <c r="V84" s="1097"/>
      <c r="W84" s="1097"/>
      <c r="X84" s="1066"/>
      <c r="Y84" s="1097"/>
      <c r="Z84" s="1066"/>
      <c r="AA84" s="1097"/>
      <c r="AB84" s="1066"/>
      <c r="AC84" s="1097"/>
      <c r="AD84" s="1066"/>
      <c r="AE84" s="1097"/>
      <c r="AF84" s="1066"/>
      <c r="AG84" s="1097"/>
      <c r="AH84" s="1066"/>
      <c r="AI84" s="1066"/>
      <c r="AJ84" s="1097"/>
      <c r="AK84" s="1066"/>
      <c r="AL84" s="1066"/>
      <c r="AM84" s="1066"/>
      <c r="AN84" s="1097"/>
      <c r="AO84" s="1282"/>
      <c r="AP84" s="1084"/>
      <c r="AQ84" s="1066"/>
      <c r="AR84" s="1066"/>
      <c r="AS84" s="1066"/>
      <c r="AT84" s="1066"/>
      <c r="AU84" s="1282"/>
      <c r="AV84" s="1066"/>
      <c r="AW84" s="1066"/>
      <c r="AX84" s="1066"/>
    </row>
    <row r="85" spans="1:50" ht="15.6">
      <c r="A85" s="1282"/>
      <c r="B85" s="1066"/>
      <c r="C85" s="1066"/>
      <c r="D85" s="1066"/>
      <c r="E85" s="1066"/>
      <c r="F85" s="1066"/>
      <c r="G85" s="1066"/>
      <c r="H85" s="1066"/>
      <c r="I85" s="1066"/>
      <c r="J85" s="1066"/>
      <c r="K85" s="1066"/>
      <c r="L85" s="1066"/>
      <c r="M85" s="1066"/>
      <c r="N85" s="1066"/>
      <c r="O85" s="1066"/>
      <c r="P85" s="1066"/>
      <c r="Q85" s="1097"/>
      <c r="R85" s="1097"/>
      <c r="S85" s="1097"/>
      <c r="T85" s="1066"/>
      <c r="U85" s="1066"/>
      <c r="V85" s="1097"/>
      <c r="W85" s="1097"/>
      <c r="X85" s="1066"/>
      <c r="Y85" s="1097"/>
      <c r="Z85" s="1066"/>
      <c r="AA85" s="1097"/>
      <c r="AB85" s="1066"/>
      <c r="AC85" s="1097"/>
      <c r="AD85" s="1066"/>
      <c r="AE85" s="1097"/>
      <c r="AF85" s="1066"/>
      <c r="AG85" s="1097"/>
      <c r="AH85" s="1066"/>
      <c r="AI85" s="1066"/>
      <c r="AJ85" s="1097"/>
      <c r="AK85" s="1066"/>
      <c r="AL85" s="1066"/>
      <c r="AM85" s="1066"/>
      <c r="AN85" s="1097"/>
      <c r="AO85" s="1282"/>
      <c r="AP85" s="1084"/>
      <c r="AQ85" s="1066"/>
      <c r="AR85" s="1066"/>
      <c r="AS85" s="1066"/>
      <c r="AT85" s="1066"/>
      <c r="AU85" s="1282"/>
      <c r="AV85" s="1066"/>
      <c r="AW85" s="1066"/>
      <c r="AX85" s="1066"/>
    </row>
    <row r="86" spans="1:50" ht="15.6">
      <c r="A86" s="131" t="s">
        <v>1816</v>
      </c>
      <c r="B86" s="1716">
        <v>7</v>
      </c>
      <c r="C86" s="1716">
        <v>7</v>
      </c>
      <c r="D86" s="1716">
        <v>7</v>
      </c>
      <c r="E86" s="1716">
        <v>7</v>
      </c>
      <c r="F86" s="1716">
        <v>7</v>
      </c>
      <c r="G86" s="1716">
        <v>7</v>
      </c>
      <c r="H86" s="1716">
        <v>7</v>
      </c>
      <c r="I86" s="1716">
        <v>7</v>
      </c>
      <c r="J86" s="1716">
        <v>7</v>
      </c>
      <c r="K86" s="1716">
        <v>7</v>
      </c>
      <c r="L86" s="1716">
        <v>7</v>
      </c>
      <c r="M86" s="1716">
        <v>7</v>
      </c>
      <c r="N86" s="1716">
        <v>7</v>
      </c>
      <c r="O86" s="1716">
        <v>7</v>
      </c>
      <c r="P86" s="1716">
        <v>7</v>
      </c>
      <c r="Q86" s="1717">
        <v>7</v>
      </c>
      <c r="R86" s="1717">
        <v>7</v>
      </c>
      <c r="S86" s="1709">
        <v>3</v>
      </c>
      <c r="T86" s="1710">
        <v>7</v>
      </c>
      <c r="U86" s="1710">
        <v>7</v>
      </c>
      <c r="V86" s="1709">
        <v>7</v>
      </c>
      <c r="W86" s="1709">
        <v>4</v>
      </c>
      <c r="X86" s="1710">
        <v>7</v>
      </c>
      <c r="Y86" s="1709">
        <v>7</v>
      </c>
      <c r="Z86" s="1710">
        <v>7</v>
      </c>
      <c r="AA86" s="1709">
        <v>7</v>
      </c>
      <c r="AB86" s="1710">
        <v>7</v>
      </c>
      <c r="AC86" s="1709">
        <v>7</v>
      </c>
      <c r="AD86" s="1710">
        <v>7</v>
      </c>
      <c r="AE86" s="1709">
        <v>7</v>
      </c>
      <c r="AF86" s="1710">
        <v>7</v>
      </c>
      <c r="AG86" s="1709">
        <v>7</v>
      </c>
      <c r="AH86" s="1710">
        <v>7</v>
      </c>
      <c r="AI86" s="1710">
        <v>7</v>
      </c>
      <c r="AJ86" s="1709">
        <v>7</v>
      </c>
      <c r="AK86" s="1710">
        <v>7</v>
      </c>
      <c r="AL86" s="1710">
        <v>7</v>
      </c>
      <c r="AM86" s="1710">
        <v>7</v>
      </c>
      <c r="AN86" s="1709">
        <v>7</v>
      </c>
      <c r="AO86" s="1709">
        <v>1</v>
      </c>
      <c r="AP86" s="1084"/>
      <c r="AQ86" s="1066"/>
      <c r="AR86" s="1066"/>
      <c r="AS86" s="1066"/>
      <c r="AT86" s="1066"/>
      <c r="AU86" s="1282"/>
      <c r="AV86" s="1066"/>
      <c r="AW86" s="1066"/>
      <c r="AX86" s="1066"/>
    </row>
    <row r="87" spans="1:50" ht="15.6">
      <c r="A87" s="131" t="s">
        <v>1815</v>
      </c>
      <c r="B87" s="1711" t="s">
        <v>1773</v>
      </c>
      <c r="C87" s="1711" t="s">
        <v>1773</v>
      </c>
      <c r="D87" s="1711" t="s">
        <v>1773</v>
      </c>
      <c r="E87" s="1711" t="s">
        <v>1773</v>
      </c>
      <c r="F87" s="1711" t="s">
        <v>1773</v>
      </c>
      <c r="G87" s="1711" t="s">
        <v>1773</v>
      </c>
      <c r="H87" s="1711" t="s">
        <v>1773</v>
      </c>
      <c r="I87" s="1711" t="s">
        <v>1773</v>
      </c>
      <c r="J87" s="1711" t="s">
        <v>1773</v>
      </c>
      <c r="K87" s="1711" t="s">
        <v>1773</v>
      </c>
      <c r="L87" s="1711" t="s">
        <v>1773</v>
      </c>
      <c r="M87" s="1711" t="s">
        <v>1773</v>
      </c>
      <c r="N87" s="1711" t="s">
        <v>1773</v>
      </c>
      <c r="O87" s="1711" t="s">
        <v>1773</v>
      </c>
      <c r="P87" s="1711" t="s">
        <v>1773</v>
      </c>
      <c r="Q87" s="1711" t="s">
        <v>1773</v>
      </c>
      <c r="R87" s="1711" t="s">
        <v>1826</v>
      </c>
      <c r="S87" s="1711" t="s">
        <v>1775</v>
      </c>
      <c r="T87" s="1711" t="s">
        <v>1775</v>
      </c>
      <c r="U87" s="1711" t="s">
        <v>1775</v>
      </c>
      <c r="V87" s="1711" t="s">
        <v>1775</v>
      </c>
      <c r="W87" s="1711" t="s">
        <v>1775</v>
      </c>
      <c r="X87" s="1711" t="s">
        <v>1776</v>
      </c>
      <c r="Y87" s="1711" t="s">
        <v>1777</v>
      </c>
      <c r="Z87" s="1711" t="s">
        <v>1777</v>
      </c>
      <c r="AA87" s="1711" t="s">
        <v>108</v>
      </c>
      <c r="AB87" s="1711" t="s">
        <v>108</v>
      </c>
      <c r="AC87" s="1711" t="s">
        <v>108</v>
      </c>
      <c r="AD87" s="1711" t="s">
        <v>1778</v>
      </c>
      <c r="AE87" s="1711" t="s">
        <v>1778</v>
      </c>
      <c r="AF87" s="1711" t="s">
        <v>1779</v>
      </c>
      <c r="AG87" s="1711" t="s">
        <v>1779</v>
      </c>
      <c r="AH87" s="1711" t="s">
        <v>1780</v>
      </c>
      <c r="AI87" s="1711" t="s">
        <v>1780</v>
      </c>
      <c r="AJ87" s="1711" t="s">
        <v>1780</v>
      </c>
      <c r="AK87" s="1711" t="s">
        <v>1781</v>
      </c>
      <c r="AL87" s="1711" t="s">
        <v>1781</v>
      </c>
      <c r="AM87" s="1711" t="s">
        <v>1781</v>
      </c>
      <c r="AN87" s="1711" t="s">
        <v>1781</v>
      </c>
      <c r="AO87" s="1711" t="s">
        <v>1781</v>
      </c>
      <c r="AU87" s="807"/>
    </row>
    <row r="88" spans="1:50" ht="15.6">
      <c r="A88" s="131" t="s">
        <v>323</v>
      </c>
      <c r="B88" s="1711">
        <v>-16</v>
      </c>
      <c r="C88" s="1711">
        <v>-15</v>
      </c>
      <c r="D88" s="1711">
        <v>-14</v>
      </c>
      <c r="E88" s="1711">
        <v>-13</v>
      </c>
      <c r="F88" s="1711">
        <v>-12</v>
      </c>
      <c r="G88" s="1711">
        <v>-11</v>
      </c>
      <c r="H88" s="1711">
        <v>-10</v>
      </c>
      <c r="I88" s="1711">
        <v>-9</v>
      </c>
      <c r="J88" s="1711">
        <v>-8</v>
      </c>
      <c r="K88" s="1711">
        <v>-7</v>
      </c>
      <c r="L88" s="1711">
        <v>-6</v>
      </c>
      <c r="M88" s="1711">
        <v>-5</v>
      </c>
      <c r="N88" s="1711">
        <v>-4</v>
      </c>
      <c r="O88" s="1711">
        <v>-3</v>
      </c>
      <c r="P88" s="1711">
        <v>-2</v>
      </c>
      <c r="Q88" s="1711">
        <v>-1</v>
      </c>
      <c r="R88" s="1711">
        <v>0</v>
      </c>
      <c r="S88" s="276">
        <v>1</v>
      </c>
      <c r="T88" s="276">
        <v>2</v>
      </c>
      <c r="U88" s="276">
        <v>3</v>
      </c>
      <c r="V88" s="276">
        <v>4</v>
      </c>
      <c r="W88" s="276">
        <v>5</v>
      </c>
      <c r="X88" s="276">
        <v>6</v>
      </c>
      <c r="Y88" s="276">
        <v>7</v>
      </c>
      <c r="Z88" s="276">
        <v>8</v>
      </c>
      <c r="AA88" s="276">
        <v>9</v>
      </c>
      <c r="AB88" s="276">
        <v>10</v>
      </c>
      <c r="AC88" s="276">
        <v>11</v>
      </c>
      <c r="AD88" s="276">
        <v>12</v>
      </c>
      <c r="AE88" s="276">
        <v>13</v>
      </c>
      <c r="AF88" s="276">
        <v>14</v>
      </c>
      <c r="AG88" s="276">
        <v>15</v>
      </c>
      <c r="AH88" s="276">
        <v>16</v>
      </c>
      <c r="AI88" s="276">
        <v>17</v>
      </c>
      <c r="AJ88" s="276">
        <v>18</v>
      </c>
      <c r="AK88" s="276">
        <v>19</v>
      </c>
      <c r="AL88" s="276">
        <v>20</v>
      </c>
      <c r="AM88" s="276">
        <v>21</v>
      </c>
      <c r="AN88" s="276">
        <v>22</v>
      </c>
      <c r="AO88" s="276">
        <v>23</v>
      </c>
    </row>
    <row r="89" spans="1:50" ht="16.149999999999999" thickBot="1">
      <c r="A89" s="131"/>
      <c r="B89" s="1718">
        <f>+B90*B86</f>
        <v>17.5</v>
      </c>
      <c r="C89" s="1718">
        <f t="shared" ref="C89:R89" si="48">+C90*C86</f>
        <v>17.5</v>
      </c>
      <c r="D89" s="1718">
        <f t="shared" si="48"/>
        <v>17.5</v>
      </c>
      <c r="E89" s="1718">
        <f t="shared" si="48"/>
        <v>17.5</v>
      </c>
      <c r="F89" s="1718">
        <f t="shared" si="48"/>
        <v>16.099999999999998</v>
      </c>
      <c r="G89" s="1718">
        <f t="shared" si="48"/>
        <v>16.099999999999998</v>
      </c>
      <c r="H89" s="1718">
        <f t="shared" si="48"/>
        <v>16.099999999999998</v>
      </c>
      <c r="I89" s="1718">
        <f t="shared" si="48"/>
        <v>16.099999999999998</v>
      </c>
      <c r="J89" s="1718">
        <f t="shared" si="48"/>
        <v>16.099999999999998</v>
      </c>
      <c r="K89" s="1718">
        <f t="shared" si="48"/>
        <v>16.099999999999998</v>
      </c>
      <c r="L89" s="1718">
        <f t="shared" si="48"/>
        <v>16.099999999999998</v>
      </c>
      <c r="M89" s="1718">
        <f t="shared" si="48"/>
        <v>16.099999999999998</v>
      </c>
      <c r="N89" s="1718">
        <f t="shared" si="48"/>
        <v>19.599999999999998</v>
      </c>
      <c r="O89" s="1718">
        <f t="shared" si="48"/>
        <v>19.599999999999998</v>
      </c>
      <c r="P89" s="1718">
        <f t="shared" si="48"/>
        <v>19.599999999999998</v>
      </c>
      <c r="Q89" s="1718">
        <f t="shared" si="48"/>
        <v>19.599999999999998</v>
      </c>
      <c r="R89" s="1718">
        <f t="shared" si="48"/>
        <v>35</v>
      </c>
      <c r="S89" s="1698">
        <v>0.3</v>
      </c>
      <c r="T89" s="1699">
        <v>1.8</v>
      </c>
      <c r="U89" s="1699">
        <v>2.5</v>
      </c>
      <c r="V89" s="1699">
        <v>3.5</v>
      </c>
      <c r="W89" s="1700">
        <v>2</v>
      </c>
      <c r="X89" s="1701">
        <v>4.5</v>
      </c>
      <c r="Y89" s="1702">
        <v>6</v>
      </c>
      <c r="Z89" s="1702">
        <v>7</v>
      </c>
      <c r="AA89" s="1703">
        <v>10.5</v>
      </c>
      <c r="AB89" s="1703">
        <v>11.9</v>
      </c>
      <c r="AC89" s="1703">
        <v>13.3</v>
      </c>
      <c r="AD89" s="1704">
        <v>15.4</v>
      </c>
      <c r="AE89" s="1704">
        <v>17.5</v>
      </c>
      <c r="AF89" s="1705">
        <v>18.2</v>
      </c>
      <c r="AG89" s="1705">
        <v>18.899999999999999</v>
      </c>
      <c r="AH89" s="1706">
        <v>20.3</v>
      </c>
      <c r="AI89" s="1706">
        <v>21.7</v>
      </c>
      <c r="AJ89" s="1706">
        <v>21.7</v>
      </c>
      <c r="AK89" s="1707">
        <v>21.7</v>
      </c>
      <c r="AL89" s="1707">
        <v>21.7</v>
      </c>
      <c r="AM89" s="1707">
        <v>21.7</v>
      </c>
      <c r="AN89" s="1708">
        <v>21.7</v>
      </c>
      <c r="AO89" s="1708">
        <v>3.1</v>
      </c>
    </row>
    <row r="90" spans="1:50" ht="15.6">
      <c r="A90" s="131" t="s">
        <v>1817</v>
      </c>
      <c r="B90" s="142">
        <v>2.5</v>
      </c>
      <c r="C90" s="142">
        <v>2.5</v>
      </c>
      <c r="D90" s="142">
        <v>2.5</v>
      </c>
      <c r="E90" s="142">
        <v>2.5</v>
      </c>
      <c r="F90" s="142">
        <v>2.2999999999999998</v>
      </c>
      <c r="G90" s="142">
        <v>2.2999999999999998</v>
      </c>
      <c r="H90" s="142">
        <v>2.2999999999999998</v>
      </c>
      <c r="I90" s="142">
        <v>2.2999999999999998</v>
      </c>
      <c r="J90" s="142">
        <v>2.2999999999999998</v>
      </c>
      <c r="K90" s="142">
        <v>2.2999999999999998</v>
      </c>
      <c r="L90" s="142">
        <v>2.2999999999999998</v>
      </c>
      <c r="M90" s="142">
        <v>2.2999999999999998</v>
      </c>
      <c r="N90" s="142">
        <v>2.8</v>
      </c>
      <c r="O90" s="142">
        <v>2.8</v>
      </c>
      <c r="P90" s="142">
        <v>2.8</v>
      </c>
      <c r="Q90" s="142">
        <v>2.8</v>
      </c>
      <c r="R90" s="142">
        <v>5</v>
      </c>
      <c r="S90" s="1712">
        <f>+S89/S86</f>
        <v>9.9999999999999992E-2</v>
      </c>
      <c r="T90" s="1712">
        <f t="shared" ref="T90:AD90" si="49">+T89/T86</f>
        <v>0.25714285714285717</v>
      </c>
      <c r="U90" s="1712">
        <f t="shared" si="49"/>
        <v>0.35714285714285715</v>
      </c>
      <c r="V90" s="1712">
        <f t="shared" si="49"/>
        <v>0.5</v>
      </c>
      <c r="W90" s="1712">
        <f>+W89/W86</f>
        <v>0.5</v>
      </c>
      <c r="X90" s="1712">
        <f t="shared" si="49"/>
        <v>0.6428571428571429</v>
      </c>
      <c r="Y90" s="1712">
        <f t="shared" si="49"/>
        <v>0.8571428571428571</v>
      </c>
      <c r="Z90" s="1712">
        <f t="shared" si="49"/>
        <v>1</v>
      </c>
      <c r="AA90" s="1712">
        <f t="shared" si="49"/>
        <v>1.5</v>
      </c>
      <c r="AB90" s="1712">
        <f t="shared" si="49"/>
        <v>1.7</v>
      </c>
      <c r="AC90" s="1712">
        <f t="shared" si="49"/>
        <v>1.9000000000000001</v>
      </c>
      <c r="AD90" s="1712">
        <f t="shared" si="49"/>
        <v>2.2000000000000002</v>
      </c>
      <c r="AE90" s="1712">
        <f>+AE89/AE86</f>
        <v>2.5</v>
      </c>
      <c r="AF90" s="1712">
        <f t="shared" ref="AF90" si="50">+AF89/AF86</f>
        <v>2.6</v>
      </c>
      <c r="AG90" s="1712">
        <f t="shared" ref="AG90" si="51">+AG89/AG86</f>
        <v>2.6999999999999997</v>
      </c>
      <c r="AH90" s="1712">
        <f t="shared" ref="AH90" si="52">+AH89/AH86</f>
        <v>2.9</v>
      </c>
      <c r="AI90" s="1712">
        <f t="shared" ref="AI90" si="53">+AI89/AI86</f>
        <v>3.1</v>
      </c>
      <c r="AJ90" s="1712">
        <f t="shared" ref="AJ90" si="54">+AJ89/AJ86</f>
        <v>3.1</v>
      </c>
      <c r="AK90" s="1712">
        <f>+AK89/AK86</f>
        <v>3.1</v>
      </c>
      <c r="AL90" s="1712">
        <f t="shared" ref="AL90" si="55">+AL89/AL86</f>
        <v>3.1</v>
      </c>
      <c r="AM90" s="1712">
        <f t="shared" ref="AM90" si="56">+AM89/AM86</f>
        <v>3.1</v>
      </c>
      <c r="AN90" s="1712">
        <f t="shared" ref="AN90" si="57">+AN89/AN86</f>
        <v>3.1</v>
      </c>
      <c r="AO90" s="1712">
        <f t="shared" ref="AO90" si="58">+AO89/AO86</f>
        <v>3.1</v>
      </c>
    </row>
    <row r="91" spans="1:50" ht="15.6">
      <c r="B91" s="1081">
        <f>'Summary Total Pigs'!AF16/17*4</f>
        <v>507.05882352941177</v>
      </c>
      <c r="C91" s="817">
        <f>+B91</f>
        <v>507.05882352941177</v>
      </c>
      <c r="D91" s="817">
        <f t="shared" ref="D91:R91" si="59">+C91</f>
        <v>507.05882352941177</v>
      </c>
      <c r="E91" s="817">
        <f t="shared" si="59"/>
        <v>507.05882352941177</v>
      </c>
      <c r="F91" s="817">
        <f t="shared" si="59"/>
        <v>507.05882352941177</v>
      </c>
      <c r="G91" s="817">
        <f t="shared" si="59"/>
        <v>507.05882352941177</v>
      </c>
      <c r="H91" s="817">
        <f t="shared" si="59"/>
        <v>507.05882352941177</v>
      </c>
      <c r="I91" s="817">
        <f t="shared" si="59"/>
        <v>507.05882352941177</v>
      </c>
      <c r="J91" s="817">
        <f t="shared" si="59"/>
        <v>507.05882352941177</v>
      </c>
      <c r="K91" s="817">
        <f t="shared" si="59"/>
        <v>507.05882352941177</v>
      </c>
      <c r="L91" s="817">
        <f t="shared" si="59"/>
        <v>507.05882352941177</v>
      </c>
      <c r="M91" s="817">
        <f t="shared" si="59"/>
        <v>507.05882352941177</v>
      </c>
      <c r="N91" s="817">
        <f t="shared" si="59"/>
        <v>507.05882352941177</v>
      </c>
      <c r="O91" s="817">
        <f t="shared" si="59"/>
        <v>507.05882352941177</v>
      </c>
      <c r="P91" s="817">
        <f t="shared" si="59"/>
        <v>507.05882352941177</v>
      </c>
      <c r="Q91" s="817">
        <f t="shared" si="59"/>
        <v>507.05882352941177</v>
      </c>
      <c r="R91" s="817">
        <f t="shared" si="59"/>
        <v>507.05882352941177</v>
      </c>
      <c r="S91" s="817">
        <f>+R91</f>
        <v>507.05882352941177</v>
      </c>
      <c r="T91" s="817">
        <f t="shared" ref="T91" si="60">+S91</f>
        <v>507.05882352941177</v>
      </c>
      <c r="U91" s="817">
        <f t="shared" ref="U91" si="61">+T91</f>
        <v>507.05882352941177</v>
      </c>
      <c r="V91" s="817">
        <f t="shared" ref="V91" si="62">+U91</f>
        <v>507.05882352941177</v>
      </c>
      <c r="W91" s="1059">
        <f t="shared" ref="W91:AO91" si="63">SUM(W7:Z7)</f>
        <v>5260</v>
      </c>
      <c r="X91" s="1059">
        <f t="shared" si="63"/>
        <v>5323</v>
      </c>
      <c r="Y91" s="1059">
        <f t="shared" si="63"/>
        <v>4899</v>
      </c>
      <c r="Z91" s="1059">
        <f t="shared" si="63"/>
        <v>4670</v>
      </c>
      <c r="AA91" s="1059">
        <f t="shared" si="63"/>
        <v>4337</v>
      </c>
      <c r="AB91" s="1059">
        <f t="shared" si="63"/>
        <v>4250</v>
      </c>
      <c r="AC91" s="1059">
        <f t="shared" si="63"/>
        <v>4236</v>
      </c>
      <c r="AD91" s="1059">
        <f t="shared" si="63"/>
        <v>4145</v>
      </c>
      <c r="AE91" s="1059">
        <f t="shared" si="63"/>
        <v>4073</v>
      </c>
      <c r="AF91" s="1059">
        <f t="shared" si="63"/>
        <v>4058</v>
      </c>
      <c r="AG91" s="1059">
        <f t="shared" si="63"/>
        <v>4028</v>
      </c>
      <c r="AH91" s="1059">
        <f t="shared" si="63"/>
        <v>3974</v>
      </c>
      <c r="AI91" s="1059">
        <f t="shared" si="63"/>
        <v>3960</v>
      </c>
      <c r="AJ91" s="1059">
        <f t="shared" si="63"/>
        <v>4028</v>
      </c>
      <c r="AK91" s="1059">
        <f t="shared" si="63"/>
        <v>3984</v>
      </c>
      <c r="AL91" s="1059">
        <f t="shared" si="63"/>
        <v>4026</v>
      </c>
      <c r="AM91" s="1059">
        <f t="shared" si="63"/>
        <v>4094</v>
      </c>
      <c r="AN91" s="1059">
        <f t="shared" si="63"/>
        <v>4074</v>
      </c>
      <c r="AO91" s="1059">
        <f t="shared" si="63"/>
        <v>4050</v>
      </c>
    </row>
    <row r="92" spans="1:50">
      <c r="B92" s="1059">
        <f t="shared" ref="B92" si="64">+B86*B90*B91</f>
        <v>8873.5294117647063</v>
      </c>
      <c r="C92" s="1059">
        <f t="shared" ref="C92" si="65">+C86*C90*C91</f>
        <v>8873.5294117647063</v>
      </c>
      <c r="D92" s="1059">
        <f t="shared" ref="D92" si="66">+D86*D90*D91</f>
        <v>8873.5294117647063</v>
      </c>
      <c r="E92" s="1059">
        <f t="shared" ref="E92" si="67">+E86*E90*E91</f>
        <v>8873.5294117647063</v>
      </c>
      <c r="F92" s="1059">
        <f t="shared" ref="F92" si="68">+F86*F90*F91</f>
        <v>8163.6470588235288</v>
      </c>
      <c r="G92" s="1059">
        <f t="shared" ref="G92" si="69">+G86*G90*G91</f>
        <v>8163.6470588235288</v>
      </c>
      <c r="H92" s="1059">
        <f t="shared" ref="H92" si="70">+H86*H90*H91</f>
        <v>8163.6470588235288</v>
      </c>
      <c r="I92" s="1059">
        <f t="shared" ref="I92" si="71">+I86*I90*I91</f>
        <v>8163.6470588235288</v>
      </c>
      <c r="J92" s="1059">
        <f t="shared" ref="J92" si="72">+J86*J90*J91</f>
        <v>8163.6470588235288</v>
      </c>
      <c r="K92" s="1059">
        <f t="shared" ref="K92" si="73">+K86*K90*K91</f>
        <v>8163.6470588235288</v>
      </c>
      <c r="L92" s="1059">
        <f t="shared" ref="L92" si="74">+L86*L90*L91</f>
        <v>8163.6470588235288</v>
      </c>
      <c r="M92" s="1059">
        <f t="shared" ref="M92" si="75">+M86*M90*M91</f>
        <v>8163.6470588235288</v>
      </c>
      <c r="N92" s="1059">
        <f t="shared" ref="N92" si="76">+N86*N90*N91</f>
        <v>9938.3529411764703</v>
      </c>
      <c r="O92" s="1059">
        <f t="shared" ref="O92" si="77">+O86*O90*O91</f>
        <v>9938.3529411764703</v>
      </c>
      <c r="P92" s="1059">
        <f t="shared" ref="P92" si="78">+P86*P90*P91</f>
        <v>9938.3529411764703</v>
      </c>
      <c r="Q92" s="1059">
        <f t="shared" ref="Q92" si="79">+Q86*Q90*Q91</f>
        <v>9938.3529411764703</v>
      </c>
      <c r="R92" s="1059">
        <f t="shared" ref="R92" si="80">+R86*R90*R91</f>
        <v>17747.058823529413</v>
      </c>
      <c r="S92" s="1059">
        <f>+S86*S90*S91</f>
        <v>152.11764705882354</v>
      </c>
      <c r="T92" s="1059">
        <f>+T86*T90*T91</f>
        <v>912.70588235294133</v>
      </c>
      <c r="U92" s="1059">
        <f>+U86*U90*U91</f>
        <v>1267.6470588235295</v>
      </c>
      <c r="V92" s="1059">
        <f>+V86*V90*V91</f>
        <v>1774.7058823529412</v>
      </c>
      <c r="W92" s="1059">
        <f t="shared" ref="W92:X92" si="81">+W86*W90*W91</f>
        <v>10520</v>
      </c>
      <c r="X92" s="1059">
        <f t="shared" si="81"/>
        <v>23953.5</v>
      </c>
      <c r="Y92" s="1059">
        <f>+Y86*Y90*Y91</f>
        <v>29394</v>
      </c>
      <c r="Z92" s="1059">
        <f>+Z86*Z90*Z91</f>
        <v>32690</v>
      </c>
      <c r="AA92" s="1059">
        <f t="shared" ref="AA92:AC92" si="82">+AA86*AA90*AA91</f>
        <v>45538.5</v>
      </c>
      <c r="AB92" s="1059">
        <f t="shared" si="82"/>
        <v>50575</v>
      </c>
      <c r="AC92" s="1059">
        <f t="shared" si="82"/>
        <v>56338.8</v>
      </c>
      <c r="AD92" s="1059">
        <f>+AD86*AD90*AD91</f>
        <v>63833.000000000007</v>
      </c>
      <c r="AE92" s="1059">
        <f>+AE86*AE90*AE91</f>
        <v>71277.5</v>
      </c>
      <c r="AF92" s="1059">
        <f t="shared" ref="AF92" si="83">+AF86*AF90*AF91</f>
        <v>73855.599999999991</v>
      </c>
      <c r="AG92" s="1059">
        <f t="shared" ref="AG92" si="84">+AG86*AG90*AG91</f>
        <v>76129.2</v>
      </c>
      <c r="AH92" s="1059">
        <f t="shared" ref="AH92" si="85">+AH86*AH90*AH91</f>
        <v>80672.2</v>
      </c>
      <c r="AI92" s="1059">
        <f t="shared" ref="AI92" si="86">+AI86*AI90*AI91</f>
        <v>85932</v>
      </c>
      <c r="AJ92" s="1059">
        <f t="shared" ref="AJ92" si="87">+AJ86*AJ90*AJ91</f>
        <v>87407.599999999991</v>
      </c>
      <c r="AK92" s="1059">
        <f t="shared" ref="AK92" si="88">+AK86*AK90*AK91</f>
        <v>86452.800000000003</v>
      </c>
      <c r="AL92" s="1059">
        <f t="shared" ref="AL92" si="89">+AL86*AL90*AL91</f>
        <v>87364.2</v>
      </c>
      <c r="AM92" s="1059">
        <f t="shared" ref="AM92" si="90">+AM86*AM90*AM91</f>
        <v>88839.8</v>
      </c>
      <c r="AN92" s="1059">
        <f t="shared" ref="AN92" si="91">+AN86*AN90*AN91</f>
        <v>88405.8</v>
      </c>
      <c r="AO92" s="1059">
        <f t="shared" ref="AO92" si="92">+AO86*AO90*AO91</f>
        <v>12555</v>
      </c>
    </row>
    <row r="93" spans="1:50">
      <c r="R93" s="818">
        <f>SUM(B92:R92)</f>
        <v>158303.76470588235</v>
      </c>
      <c r="W93" s="818">
        <f>SUM(S92:W92)</f>
        <v>14627.176470588236</v>
      </c>
      <c r="X93" s="818">
        <f>SUM(X92)</f>
        <v>23953.5</v>
      </c>
      <c r="Z93" s="818">
        <f>SUM(Y92:Z92)</f>
        <v>62084</v>
      </c>
      <c r="AC93" s="818">
        <f>SUM(AA92:AC92)</f>
        <v>152452.29999999999</v>
      </c>
      <c r="AE93" s="818">
        <f>SUM(AD92:AE92)</f>
        <v>135110.5</v>
      </c>
      <c r="AG93" s="818">
        <f>SUM(AF92:AG92)</f>
        <v>149984.79999999999</v>
      </c>
      <c r="AJ93" s="818">
        <f>SUM(AH92:AJ92)</f>
        <v>254011.8</v>
      </c>
      <c r="AO93" s="818">
        <f>SUM(AK92:AO92)</f>
        <v>363617.6</v>
      </c>
    </row>
    <row r="94" spans="1:50" ht="15.6">
      <c r="B94" s="1715">
        <f>+B92/$R$93</f>
        <v>5.6053811659192827E-2</v>
      </c>
      <c r="C94" s="1715">
        <f t="shared" ref="C94:R94" si="93">+C92/$R$93</f>
        <v>5.6053811659192827E-2</v>
      </c>
      <c r="D94" s="1715">
        <f t="shared" si="93"/>
        <v>5.6053811659192827E-2</v>
      </c>
      <c r="E94" s="1715">
        <f t="shared" si="93"/>
        <v>5.6053811659192827E-2</v>
      </c>
      <c r="F94" s="1715">
        <f t="shared" si="93"/>
        <v>5.1569506726457395E-2</v>
      </c>
      <c r="G94" s="1715">
        <f t="shared" si="93"/>
        <v>5.1569506726457395E-2</v>
      </c>
      <c r="H94" s="1715">
        <f t="shared" si="93"/>
        <v>5.1569506726457395E-2</v>
      </c>
      <c r="I94" s="1715">
        <f t="shared" si="93"/>
        <v>5.1569506726457395E-2</v>
      </c>
      <c r="J94" s="1715">
        <f t="shared" si="93"/>
        <v>5.1569506726457395E-2</v>
      </c>
      <c r="K94" s="1715">
        <f t="shared" si="93"/>
        <v>5.1569506726457395E-2</v>
      </c>
      <c r="L94" s="1715">
        <f t="shared" si="93"/>
        <v>5.1569506726457395E-2</v>
      </c>
      <c r="M94" s="1715">
        <f t="shared" si="93"/>
        <v>5.1569506726457395E-2</v>
      </c>
      <c r="N94" s="1715">
        <f t="shared" si="93"/>
        <v>6.2780269058295965E-2</v>
      </c>
      <c r="O94" s="1715">
        <f t="shared" si="93"/>
        <v>6.2780269058295965E-2</v>
      </c>
      <c r="P94" s="1715">
        <f t="shared" si="93"/>
        <v>6.2780269058295965E-2</v>
      </c>
      <c r="Q94" s="1715">
        <f t="shared" si="93"/>
        <v>6.2780269058295965E-2</v>
      </c>
      <c r="R94" s="1715">
        <f t="shared" si="93"/>
        <v>0.11210762331838565</v>
      </c>
      <c r="S94" s="1715">
        <f>+S92/W93</f>
        <v>1.0399658974833307E-2</v>
      </c>
      <c r="T94" s="1715">
        <f>+T92/W93</f>
        <v>6.2397953848999856E-2</v>
      </c>
      <c r="U94" s="1715">
        <f>+U92/W93</f>
        <v>8.6663824790277566E-2</v>
      </c>
      <c r="V94" s="1715">
        <f>+V92/W93</f>
        <v>0.12132935470638859</v>
      </c>
      <c r="W94" s="1715">
        <f>+W92/W93</f>
        <v>0.71920920767950069</v>
      </c>
      <c r="X94" s="1715">
        <f>+X92/X93</f>
        <v>1</v>
      </c>
      <c r="Y94" s="1715">
        <f>+Y92/Z93</f>
        <v>0.47345531860060563</v>
      </c>
      <c r="Z94" s="1715">
        <f>+Z92/Z93</f>
        <v>0.52654468139939437</v>
      </c>
      <c r="AA94" s="1715">
        <f>+AA92/AC93</f>
        <v>0.29870654624430071</v>
      </c>
      <c r="AB94" s="1715">
        <f>+AB92/AC93</f>
        <v>0.33174310915610983</v>
      </c>
      <c r="AC94" s="1715">
        <f>+AC92/AC93</f>
        <v>0.36955034459958958</v>
      </c>
      <c r="AD94" s="1715">
        <f>+AD92/AE93</f>
        <v>0.47245032769473883</v>
      </c>
      <c r="AE94" s="1715">
        <f>+AE92/AE93</f>
        <v>0.52754967230526129</v>
      </c>
      <c r="AF94" s="1715">
        <f>+AF92/AG93</f>
        <v>0.49242056528394873</v>
      </c>
      <c r="AG94" s="1715">
        <f>+AG92/AG93</f>
        <v>0.50757943471605127</v>
      </c>
      <c r="AH94" s="1715">
        <f>+AH92/AJ93</f>
        <v>0.31759233232471878</v>
      </c>
      <c r="AI94" s="1715">
        <f>+AI92/AJ93</f>
        <v>0.33829924436581293</v>
      </c>
      <c r="AJ94" s="1715">
        <f>+AJ92/AJ93</f>
        <v>0.34410842330946828</v>
      </c>
      <c r="AK94" s="1715">
        <f>+AK92/AO93</f>
        <v>0.23775746828536354</v>
      </c>
      <c r="AL94" s="1715">
        <f>+AL92/AO93</f>
        <v>0.24026394761969719</v>
      </c>
      <c r="AM94" s="1715">
        <f>+AM92/AO93</f>
        <v>0.24432205701814216</v>
      </c>
      <c r="AN94" s="1715">
        <f>+AN92/AO93</f>
        <v>0.24312849543036422</v>
      </c>
      <c r="AO94" s="1715">
        <f>+AO92/AO93</f>
        <v>3.4528031646432956E-2</v>
      </c>
    </row>
  </sheetData>
  <pageMargins left="0.7" right="0.7" top="0.75" bottom="0.75" header="0.3" footer="0.3"/>
  <pageSetup paperSize="9" scale="10" orientation="portrait" r:id="rId1"/>
  <colBreaks count="1" manualBreakCount="1">
    <brk id="38" max="93" man="1"/>
  </colBreaks>
  <legacy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8">
    <tabColor theme="6" tint="-0.249977111117893"/>
  </sheetPr>
  <dimension ref="A1:BA87"/>
  <sheetViews>
    <sheetView view="pageBreakPreview" zoomScale="85" zoomScaleNormal="100" zoomScaleSheetLayoutView="85" workbookViewId="0">
      <pane xSplit="1" ySplit="3" topLeftCell="V24" activePane="bottomRight" state="frozen"/>
      <selection pane="bottomRight" activeCell="X39" sqref="X39"/>
      <selection pane="bottomLeft" activeCell="A4" sqref="A4"/>
      <selection pane="topRight" activeCell="B1" sqref="B1"/>
    </sheetView>
  </sheetViews>
  <sheetFormatPr defaultColWidth="9.140625" defaultRowHeight="15"/>
  <cols>
    <col min="1" max="1" width="36.28515625" style="142" bestFit="1" customWidth="1"/>
    <col min="2" max="2" width="23" style="142" bestFit="1" customWidth="1"/>
    <col min="3" max="3" width="22.28515625" style="142" bestFit="1" customWidth="1"/>
    <col min="4" max="4" width="23.42578125" style="142" bestFit="1" customWidth="1"/>
    <col min="5" max="5" width="22.28515625" style="142" bestFit="1" customWidth="1"/>
    <col min="6" max="6" width="24" style="142" bestFit="1" customWidth="1"/>
    <col min="7" max="11" width="22.28515625" style="142" bestFit="1" customWidth="1"/>
    <col min="12" max="17" width="21.85546875" style="142" bestFit="1" customWidth="1"/>
    <col min="18" max="18" width="23.42578125" style="142" bestFit="1" customWidth="1"/>
    <col min="19" max="19" width="22.28515625" style="142" bestFit="1" customWidth="1"/>
    <col min="20" max="20" width="23.42578125" style="142" bestFit="1" customWidth="1"/>
    <col min="21" max="21" width="22.5703125" style="142" bestFit="1" customWidth="1"/>
    <col min="22" max="22" width="23" style="142" bestFit="1" customWidth="1"/>
    <col min="23" max="25" width="23.42578125" style="142" bestFit="1" customWidth="1"/>
    <col min="26" max="26" width="24" style="142" bestFit="1" customWidth="1"/>
    <col min="27" max="27" width="23.42578125" style="142" bestFit="1" customWidth="1"/>
    <col min="28" max="28" width="23" style="142" bestFit="1" customWidth="1"/>
    <col min="29" max="32" width="23.42578125" style="142" bestFit="1" customWidth="1"/>
    <col min="33" max="33" width="23" style="142" bestFit="1" customWidth="1"/>
    <col min="34" max="34" width="24" style="142" bestFit="1" customWidth="1"/>
    <col min="35" max="35" width="23.42578125" style="142" customWidth="1"/>
    <col min="36" max="36" width="23.42578125" style="142" bestFit="1" customWidth="1"/>
    <col min="37" max="38" width="23" style="142" bestFit="1" customWidth="1"/>
    <col min="39" max="39" width="23.42578125" style="142" bestFit="1" customWidth="1"/>
    <col min="40" max="40" width="24" style="142" bestFit="1" customWidth="1"/>
    <col min="41" max="41" width="23" style="142" bestFit="1" customWidth="1"/>
    <col min="42" max="42" width="23.28515625" style="142" bestFit="1" customWidth="1"/>
    <col min="43" max="43" width="21.28515625" style="142" bestFit="1" customWidth="1"/>
    <col min="44" max="44" width="21.85546875" style="142" bestFit="1" customWidth="1"/>
    <col min="45" max="45" width="22.7109375" style="142" bestFit="1" customWidth="1"/>
    <col min="46" max="47" width="23.42578125" style="142" bestFit="1" customWidth="1"/>
    <col min="48" max="48" width="18.28515625" style="142" bestFit="1" customWidth="1"/>
    <col min="49" max="49" width="23.42578125" style="142" bestFit="1" customWidth="1"/>
    <col min="50" max="50" width="9.140625" style="142"/>
    <col min="51" max="51" width="10.42578125" style="142" bestFit="1" customWidth="1"/>
    <col min="52" max="52" width="14" style="142" bestFit="1" customWidth="1"/>
    <col min="53" max="16384" width="9.140625" style="142"/>
  </cols>
  <sheetData>
    <row r="1" spans="1:53">
      <c r="AU1" s="1057"/>
    </row>
    <row r="2" spans="1:53" s="131" customFormat="1" ht="15.6">
      <c r="A2" s="1066" t="s">
        <v>1772</v>
      </c>
      <c r="B2" s="131">
        <v>1</v>
      </c>
      <c r="C2" s="131">
        <f t="shared" ref="C2:AO2" si="0">B2+1</f>
        <v>2</v>
      </c>
      <c r="D2" s="131">
        <f t="shared" si="0"/>
        <v>3</v>
      </c>
      <c r="E2" s="131">
        <f t="shared" si="0"/>
        <v>4</v>
      </c>
      <c r="F2" s="131">
        <f t="shared" si="0"/>
        <v>5</v>
      </c>
      <c r="G2" s="131">
        <f t="shared" si="0"/>
        <v>6</v>
      </c>
      <c r="H2" s="131">
        <f t="shared" si="0"/>
        <v>7</v>
      </c>
      <c r="I2" s="131">
        <f t="shared" si="0"/>
        <v>8</v>
      </c>
      <c r="J2" s="131">
        <f t="shared" si="0"/>
        <v>9</v>
      </c>
      <c r="K2" s="131">
        <f t="shared" si="0"/>
        <v>10</v>
      </c>
      <c r="L2" s="131">
        <f t="shared" si="0"/>
        <v>11</v>
      </c>
      <c r="M2" s="131">
        <f t="shared" si="0"/>
        <v>12</v>
      </c>
      <c r="N2" s="131">
        <f t="shared" si="0"/>
        <v>13</v>
      </c>
      <c r="O2" s="131">
        <f t="shared" si="0"/>
        <v>14</v>
      </c>
      <c r="P2" s="131">
        <f t="shared" si="0"/>
        <v>15</v>
      </c>
      <c r="Q2" s="131">
        <f t="shared" si="0"/>
        <v>16</v>
      </c>
      <c r="R2" s="131">
        <f t="shared" si="0"/>
        <v>17</v>
      </c>
      <c r="S2" s="131">
        <f t="shared" si="0"/>
        <v>18</v>
      </c>
      <c r="T2" s="131">
        <f t="shared" si="0"/>
        <v>19</v>
      </c>
      <c r="U2" s="131">
        <f t="shared" si="0"/>
        <v>20</v>
      </c>
      <c r="V2" s="131">
        <f t="shared" si="0"/>
        <v>21</v>
      </c>
      <c r="W2" s="131">
        <f t="shared" si="0"/>
        <v>22</v>
      </c>
      <c r="X2" s="131">
        <f t="shared" si="0"/>
        <v>23</v>
      </c>
      <c r="Y2" s="131">
        <f t="shared" si="0"/>
        <v>24</v>
      </c>
      <c r="Z2" s="131">
        <f t="shared" si="0"/>
        <v>25</v>
      </c>
      <c r="AA2" s="131">
        <f t="shared" si="0"/>
        <v>26</v>
      </c>
      <c r="AB2" s="131">
        <f t="shared" si="0"/>
        <v>27</v>
      </c>
      <c r="AC2" s="131">
        <f t="shared" si="0"/>
        <v>28</v>
      </c>
      <c r="AD2" s="131">
        <f t="shared" si="0"/>
        <v>29</v>
      </c>
      <c r="AE2" s="131">
        <f t="shared" si="0"/>
        <v>30</v>
      </c>
      <c r="AF2" s="131">
        <f t="shared" si="0"/>
        <v>31</v>
      </c>
      <c r="AG2" s="131">
        <f t="shared" si="0"/>
        <v>32</v>
      </c>
      <c r="AH2" s="131">
        <f t="shared" si="0"/>
        <v>33</v>
      </c>
      <c r="AI2" s="131">
        <f t="shared" si="0"/>
        <v>34</v>
      </c>
      <c r="AJ2" s="131">
        <f t="shared" si="0"/>
        <v>35</v>
      </c>
      <c r="AK2" s="131">
        <f t="shared" si="0"/>
        <v>36</v>
      </c>
      <c r="AL2" s="131">
        <f t="shared" si="0"/>
        <v>37</v>
      </c>
      <c r="AM2" s="131">
        <f t="shared" si="0"/>
        <v>38</v>
      </c>
      <c r="AN2" s="131">
        <f t="shared" si="0"/>
        <v>39</v>
      </c>
      <c r="AO2" s="131">
        <f t="shared" si="0"/>
        <v>40</v>
      </c>
      <c r="AR2" s="1499"/>
      <c r="AU2" s="1086"/>
    </row>
    <row r="3" spans="1:53" s="131" customFormat="1" ht="15.6">
      <c r="B3" s="130" t="s">
        <v>1773</v>
      </c>
      <c r="C3" s="130" t="s">
        <v>1773</v>
      </c>
      <c r="D3" s="130" t="s">
        <v>1773</v>
      </c>
      <c r="E3" s="130" t="s">
        <v>1773</v>
      </c>
      <c r="F3" s="130" t="s">
        <v>1773</v>
      </c>
      <c r="G3" s="130" t="s">
        <v>1773</v>
      </c>
      <c r="H3" s="130" t="s">
        <v>1773</v>
      </c>
      <c r="I3" s="130" t="s">
        <v>1773</v>
      </c>
      <c r="J3" s="130" t="s">
        <v>1773</v>
      </c>
      <c r="K3" s="130" t="s">
        <v>1773</v>
      </c>
      <c r="L3" s="130" t="s">
        <v>1773</v>
      </c>
      <c r="M3" s="130" t="s">
        <v>1773</v>
      </c>
      <c r="N3" s="130" t="s">
        <v>1773</v>
      </c>
      <c r="O3" s="130" t="s">
        <v>1773</v>
      </c>
      <c r="P3" s="130" t="s">
        <v>1773</v>
      </c>
      <c r="Q3" s="130" t="s">
        <v>1773</v>
      </c>
      <c r="R3" s="130" t="s">
        <v>1774</v>
      </c>
      <c r="S3" s="130" t="s">
        <v>1775</v>
      </c>
      <c r="T3" s="130" t="s">
        <v>1775</v>
      </c>
      <c r="U3" s="130" t="s">
        <v>1775</v>
      </c>
      <c r="V3" s="130" t="s">
        <v>1776</v>
      </c>
      <c r="W3" s="130" t="s">
        <v>1777</v>
      </c>
      <c r="X3" s="130" t="s">
        <v>1777</v>
      </c>
      <c r="Y3" s="130" t="s">
        <v>1777</v>
      </c>
      <c r="Z3" s="130" t="s">
        <v>108</v>
      </c>
      <c r="AA3" s="130" t="s">
        <v>108</v>
      </c>
      <c r="AB3" s="130" t="s">
        <v>108</v>
      </c>
      <c r="AC3" s="130" t="s">
        <v>108</v>
      </c>
      <c r="AD3" s="130" t="s">
        <v>1778</v>
      </c>
      <c r="AE3" s="130" t="s">
        <v>1778</v>
      </c>
      <c r="AF3" s="130" t="s">
        <v>1779</v>
      </c>
      <c r="AG3" s="130" t="s">
        <v>1779</v>
      </c>
      <c r="AH3" s="130" t="s">
        <v>1780</v>
      </c>
      <c r="AI3" s="130" t="s">
        <v>1780</v>
      </c>
      <c r="AJ3" s="130" t="s">
        <v>1780</v>
      </c>
      <c r="AK3" s="130" t="s">
        <v>1781</v>
      </c>
      <c r="AL3" s="130" t="s">
        <v>1781</v>
      </c>
      <c r="AM3" s="130" t="s">
        <v>1781</v>
      </c>
      <c r="AN3" s="130" t="s">
        <v>1781</v>
      </c>
      <c r="AO3" s="130" t="s">
        <v>1781</v>
      </c>
      <c r="AR3" s="1085"/>
      <c r="AU3" s="1086"/>
    </row>
    <row r="4" spans="1:53" ht="15.6">
      <c r="A4" s="1066" t="s">
        <v>1782</v>
      </c>
      <c r="B4" s="1066">
        <f t="shared" ref="B4:R4" si="1">C4-1</f>
        <v>23</v>
      </c>
      <c r="C4" s="1066">
        <f t="shared" si="1"/>
        <v>24</v>
      </c>
      <c r="D4" s="1066">
        <f t="shared" si="1"/>
        <v>25</v>
      </c>
      <c r="E4" s="1066">
        <f t="shared" si="1"/>
        <v>26</v>
      </c>
      <c r="F4" s="1066">
        <f t="shared" si="1"/>
        <v>27</v>
      </c>
      <c r="G4" s="1066">
        <f t="shared" si="1"/>
        <v>28</v>
      </c>
      <c r="H4" s="1066">
        <f t="shared" si="1"/>
        <v>29</v>
      </c>
      <c r="I4" s="1066">
        <f t="shared" si="1"/>
        <v>30</v>
      </c>
      <c r="J4" s="1066">
        <f t="shared" si="1"/>
        <v>31</v>
      </c>
      <c r="K4" s="1066">
        <f t="shared" si="1"/>
        <v>32</v>
      </c>
      <c r="L4" s="1066">
        <f t="shared" si="1"/>
        <v>33</v>
      </c>
      <c r="M4" s="1066">
        <f t="shared" si="1"/>
        <v>34</v>
      </c>
      <c r="N4" s="1066">
        <f t="shared" si="1"/>
        <v>35</v>
      </c>
      <c r="O4" s="1066">
        <f t="shared" si="1"/>
        <v>36</v>
      </c>
      <c r="P4" s="1066">
        <f t="shared" si="1"/>
        <v>37</v>
      </c>
      <c r="Q4" s="1066">
        <f t="shared" si="1"/>
        <v>38</v>
      </c>
      <c r="R4" s="1066">
        <f t="shared" si="1"/>
        <v>39</v>
      </c>
      <c r="S4" s="1067">
        <v>40</v>
      </c>
      <c r="T4" s="1066">
        <f t="shared" ref="T4:AE5" si="2">S4+1</f>
        <v>41</v>
      </c>
      <c r="U4" s="1066">
        <f t="shared" si="2"/>
        <v>42</v>
      </c>
      <c r="V4" s="1066">
        <f t="shared" si="2"/>
        <v>43</v>
      </c>
      <c r="W4" s="1066">
        <f t="shared" si="2"/>
        <v>44</v>
      </c>
      <c r="X4" s="1066">
        <f t="shared" si="2"/>
        <v>45</v>
      </c>
      <c r="Y4" s="1066">
        <f t="shared" si="2"/>
        <v>46</v>
      </c>
      <c r="Z4" s="1066">
        <f t="shared" si="2"/>
        <v>47</v>
      </c>
      <c r="AA4" s="1066">
        <f t="shared" si="2"/>
        <v>48</v>
      </c>
      <c r="AB4" s="1066">
        <f t="shared" si="2"/>
        <v>49</v>
      </c>
      <c r="AC4" s="1066">
        <f t="shared" si="2"/>
        <v>50</v>
      </c>
      <c r="AD4" s="1066">
        <f t="shared" si="2"/>
        <v>51</v>
      </c>
      <c r="AE4" s="1066">
        <f t="shared" si="2"/>
        <v>52</v>
      </c>
      <c r="AF4" s="1066">
        <v>1</v>
      </c>
      <c r="AG4" s="1066">
        <f t="shared" ref="AG4:AO5" si="3">AF4+1</f>
        <v>2</v>
      </c>
      <c r="AH4" s="1066">
        <f t="shared" si="3"/>
        <v>3</v>
      </c>
      <c r="AI4" s="1066">
        <f t="shared" si="3"/>
        <v>4</v>
      </c>
      <c r="AJ4" s="1066">
        <f t="shared" si="3"/>
        <v>5</v>
      </c>
      <c r="AK4" s="1066">
        <f t="shared" si="3"/>
        <v>6</v>
      </c>
      <c r="AL4" s="1066">
        <f t="shared" si="3"/>
        <v>7</v>
      </c>
      <c r="AM4" s="1066">
        <f t="shared" si="3"/>
        <v>8</v>
      </c>
      <c r="AN4" s="1066">
        <f t="shared" si="3"/>
        <v>9</v>
      </c>
      <c r="AO4" s="1066">
        <f t="shared" si="3"/>
        <v>10</v>
      </c>
      <c r="AP4" s="1066"/>
      <c r="AQ4" s="1066"/>
      <c r="AR4" s="1066"/>
      <c r="AS4" s="1066"/>
      <c r="AT4" s="1066"/>
      <c r="AU4" s="1068"/>
      <c r="AV4" s="1066"/>
      <c r="AW4" s="1066"/>
      <c r="AX4" s="1066"/>
    </row>
    <row r="5" spans="1:53" ht="31.15">
      <c r="A5" s="1066" t="s">
        <v>1783</v>
      </c>
      <c r="B5" s="1066">
        <v>-16</v>
      </c>
      <c r="C5" s="1066">
        <f t="shared" ref="C5:S5" si="4">B5+1</f>
        <v>-15</v>
      </c>
      <c r="D5" s="1066">
        <f t="shared" si="4"/>
        <v>-14</v>
      </c>
      <c r="E5" s="1066">
        <f t="shared" si="4"/>
        <v>-13</v>
      </c>
      <c r="F5" s="1066">
        <f t="shared" si="4"/>
        <v>-12</v>
      </c>
      <c r="G5" s="1066">
        <f t="shared" si="4"/>
        <v>-11</v>
      </c>
      <c r="H5" s="1066">
        <f t="shared" si="4"/>
        <v>-10</v>
      </c>
      <c r="I5" s="1066">
        <f t="shared" si="4"/>
        <v>-9</v>
      </c>
      <c r="J5" s="1066">
        <f t="shared" si="4"/>
        <v>-8</v>
      </c>
      <c r="K5" s="1066">
        <f t="shared" si="4"/>
        <v>-7</v>
      </c>
      <c r="L5" s="1066">
        <f t="shared" si="4"/>
        <v>-6</v>
      </c>
      <c r="M5" s="1066">
        <f t="shared" si="4"/>
        <v>-5</v>
      </c>
      <c r="N5" s="1066">
        <f t="shared" si="4"/>
        <v>-4</v>
      </c>
      <c r="O5" s="1066">
        <f t="shared" si="4"/>
        <v>-3</v>
      </c>
      <c r="P5" s="1066">
        <f t="shared" si="4"/>
        <v>-2</v>
      </c>
      <c r="Q5" s="1066">
        <f t="shared" si="4"/>
        <v>-1</v>
      </c>
      <c r="R5" s="1066">
        <f t="shared" si="4"/>
        <v>0</v>
      </c>
      <c r="S5" s="1066">
        <f t="shared" si="4"/>
        <v>1</v>
      </c>
      <c r="T5" s="1066">
        <f t="shared" si="2"/>
        <v>2</v>
      </c>
      <c r="U5" s="1066">
        <f t="shared" si="2"/>
        <v>3</v>
      </c>
      <c r="V5" s="1066">
        <f t="shared" si="2"/>
        <v>4</v>
      </c>
      <c r="W5" s="1066">
        <f t="shared" si="2"/>
        <v>5</v>
      </c>
      <c r="X5" s="1066">
        <f t="shared" si="2"/>
        <v>6</v>
      </c>
      <c r="Y5" s="1066">
        <f t="shared" si="2"/>
        <v>7</v>
      </c>
      <c r="Z5" s="1066">
        <f t="shared" si="2"/>
        <v>8</v>
      </c>
      <c r="AA5" s="1066">
        <f t="shared" si="2"/>
        <v>9</v>
      </c>
      <c r="AB5" s="1066">
        <f t="shared" si="2"/>
        <v>10</v>
      </c>
      <c r="AC5" s="1066">
        <f t="shared" si="2"/>
        <v>11</v>
      </c>
      <c r="AD5" s="1066">
        <f t="shared" si="2"/>
        <v>12</v>
      </c>
      <c r="AE5" s="1066">
        <f t="shared" si="2"/>
        <v>13</v>
      </c>
      <c r="AF5" s="1066">
        <f>AE5+1</f>
        <v>14</v>
      </c>
      <c r="AG5" s="1066">
        <f t="shared" si="3"/>
        <v>15</v>
      </c>
      <c r="AH5" s="1066">
        <f t="shared" si="3"/>
        <v>16</v>
      </c>
      <c r="AI5" s="1066">
        <f t="shared" si="3"/>
        <v>17</v>
      </c>
      <c r="AJ5" s="1066">
        <f t="shared" si="3"/>
        <v>18</v>
      </c>
      <c r="AK5" s="1066">
        <f t="shared" si="3"/>
        <v>19</v>
      </c>
      <c r="AL5" s="1066">
        <f t="shared" si="3"/>
        <v>20</v>
      </c>
      <c r="AM5" s="1066">
        <f t="shared" si="3"/>
        <v>21</v>
      </c>
      <c r="AN5" s="1066">
        <f t="shared" si="3"/>
        <v>22</v>
      </c>
      <c r="AO5" s="1066">
        <f t="shared" si="3"/>
        <v>23</v>
      </c>
      <c r="AP5" s="130" t="s">
        <v>1784</v>
      </c>
      <c r="AQ5" s="130" t="s">
        <v>1784</v>
      </c>
      <c r="AR5" s="130" t="s">
        <v>1784</v>
      </c>
      <c r="AS5" s="130" t="s">
        <v>1784</v>
      </c>
      <c r="AT5" s="130" t="s">
        <v>1784</v>
      </c>
      <c r="AU5" s="1069" t="s">
        <v>71</v>
      </c>
      <c r="AV5" s="1601" t="s">
        <v>1785</v>
      </c>
      <c r="AX5" s="817"/>
    </row>
    <row r="6" spans="1:53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U6" s="1057"/>
    </row>
    <row r="7" spans="1:53" ht="15.6">
      <c r="A7" s="1066" t="s">
        <v>1786</v>
      </c>
      <c r="B7" s="807"/>
      <c r="C7" s="807"/>
      <c r="D7" s="807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1739"/>
      <c r="T7" s="1739"/>
      <c r="U7" s="1739"/>
      <c r="V7" s="1739"/>
      <c r="W7" s="1739">
        <f>+'[76]Grasmere Pig Cost'!S26</f>
        <v>709</v>
      </c>
      <c r="X7" s="807">
        <f>+'[77]Grasmere Pig Cost'!S26</f>
        <v>1246</v>
      </c>
      <c r="Y7" s="807">
        <f>+'[77]Grasmere Pig Cost'!T26</f>
        <v>1239</v>
      </c>
      <c r="Z7" s="807">
        <f>+'[77]Grasmere Pig Cost'!U26</f>
        <v>1269</v>
      </c>
      <c r="AA7" s="807">
        <f>+'[77]Grasmere Pig Cost'!V26</f>
        <v>1224</v>
      </c>
      <c r="AB7" s="807">
        <f>+'[77]Grasmere Pig Cost'!W26</f>
        <v>1167</v>
      </c>
      <c r="AC7" s="807">
        <f>+'[77]Grasmere Pig Cost'!X26</f>
        <v>1010</v>
      </c>
      <c r="AD7" s="807">
        <f>+'[77]Grasmere Pig Cost'!Y26</f>
        <v>1066</v>
      </c>
      <c r="AE7" s="807">
        <f>+'[77]Grasmere Pig Cost'!Z26</f>
        <v>939</v>
      </c>
      <c r="AF7" s="807">
        <f>+'[77]Grasmere Pig Cost'!AA26</f>
        <v>944</v>
      </c>
      <c r="AG7" s="807">
        <f>+'[77]Grasmere Pig Cost'!AB26</f>
        <v>841</v>
      </c>
      <c r="AH7" s="807">
        <f>+'[77]Grasmere Pig Cost'!AC26</f>
        <v>949</v>
      </c>
      <c r="AI7" s="807">
        <f>+'[77]Grasmere Pig Cost'!AD26</f>
        <v>931</v>
      </c>
      <c r="AJ7" s="807">
        <f>+'[77]Grasmere Pig Cost'!AE26</f>
        <v>937</v>
      </c>
      <c r="AK7" s="807">
        <f>+'[77]Grasmere Pig Cost'!AF26</f>
        <v>919</v>
      </c>
      <c r="AL7" s="807">
        <f>+'[77]Grasmere Pig Cost'!AG26</f>
        <v>900</v>
      </c>
      <c r="AM7" s="807">
        <f>+'[77]Grasmere Pig Cost'!AH26</f>
        <v>912</v>
      </c>
      <c r="AN7" s="807">
        <f>+'[77]Grasmere Pig Cost'!AI26</f>
        <v>917</v>
      </c>
      <c r="AO7" s="807">
        <f>+'[77]Grasmere Pig Cost'!AJ26</f>
        <v>924</v>
      </c>
      <c r="AP7" s="807">
        <f>+'[77]Grasmere Pig Cost'!AK26</f>
        <v>949</v>
      </c>
      <c r="AQ7" s="807">
        <f>+'[77]Grasmere Pig Cost'!AL26</f>
        <v>869</v>
      </c>
      <c r="AR7" s="807">
        <f>+'[77]Grasmere Pig Cost'!AM26</f>
        <v>943</v>
      </c>
      <c r="AS7" s="807">
        <f>+'[77]Grasmere Pig Cost'!AN26</f>
        <v>922</v>
      </c>
      <c r="AT7" s="807">
        <f>+'[77]Grasmere Pig Cost'!AO26</f>
        <v>947</v>
      </c>
      <c r="AU7" s="807">
        <f>SUM(W7:AT7)</f>
        <v>23673</v>
      </c>
      <c r="AV7" s="1744">
        <f>+'[77]Grasmere Pig Cost'!$AU$26</f>
        <v>22964</v>
      </c>
      <c r="AW7" s="818">
        <f>AU7-AV7</f>
        <v>709</v>
      </c>
      <c r="AX7" s="818"/>
    </row>
    <row r="8" spans="1:53" ht="15.6">
      <c r="A8" s="1066" t="s">
        <v>1787</v>
      </c>
      <c r="B8" s="807"/>
      <c r="C8" s="807"/>
      <c r="D8" s="807"/>
      <c r="E8" s="807"/>
      <c r="F8" s="807"/>
      <c r="G8" s="807"/>
      <c r="H8" s="807"/>
      <c r="I8" s="807"/>
      <c r="J8" s="807"/>
      <c r="K8" s="807"/>
      <c r="L8" s="807"/>
      <c r="M8" s="807"/>
      <c r="N8" s="807"/>
      <c r="O8" s="807"/>
      <c r="P8" s="807"/>
      <c r="Q8" s="807"/>
      <c r="R8" s="807"/>
      <c r="S8" s="1739">
        <f>203+525+512+248-29-42-49-32</f>
        <v>1336</v>
      </c>
      <c r="T8" s="1739">
        <f>141+202+262+465+222+175+92-19-10-21-66-15-28-26</f>
        <v>1374</v>
      </c>
      <c r="U8" s="1739">
        <f>58+53+281+385+205+277+264+84-6-7-17-31-21-33-37-13</f>
        <v>1442</v>
      </c>
      <c r="V8" s="1739">
        <f>55+130+194+228+221+408+95+92+181-2-16-17-23-10-40-10-6-10</f>
        <v>1470</v>
      </c>
      <c r="W8" s="1739">
        <f>206+388+108-33-39-14</f>
        <v>616</v>
      </c>
      <c r="X8" s="807"/>
      <c r="Y8" s="807"/>
      <c r="Z8" s="807"/>
      <c r="AA8" s="807"/>
      <c r="AB8" s="807"/>
      <c r="AC8" s="807"/>
      <c r="AD8" s="807"/>
      <c r="AE8" s="807"/>
      <c r="AF8" s="807"/>
      <c r="AG8" s="807"/>
      <c r="AH8" s="807"/>
      <c r="AI8" s="807"/>
      <c r="AJ8" s="807"/>
      <c r="AK8" s="807"/>
      <c r="AL8" s="807"/>
      <c r="AM8" s="807"/>
      <c r="AN8" s="807"/>
      <c r="AO8" s="807"/>
      <c r="AP8" s="807"/>
      <c r="AQ8" s="1740"/>
      <c r="AR8" s="1740"/>
      <c r="AS8" s="1739"/>
      <c r="AT8" s="807"/>
      <c r="AU8" s="807">
        <f>SUM(S8:AT8)</f>
        <v>6238</v>
      </c>
      <c r="AV8" s="817">
        <f>SUM('Summary Total Pigs'!J12:J14)</f>
        <v>6157</v>
      </c>
      <c r="AW8" s="818">
        <f>SUM('Summary Total Pigs'!J12:J14)-AV8</f>
        <v>0</v>
      </c>
      <c r="AX8" s="818"/>
      <c r="AY8" s="817"/>
    </row>
    <row r="9" spans="1:53" ht="15.6">
      <c r="A9" s="1066" t="s">
        <v>212</v>
      </c>
      <c r="B9" s="807"/>
      <c r="C9" s="807"/>
      <c r="D9" s="807"/>
      <c r="E9" s="807"/>
      <c r="F9" s="807"/>
      <c r="G9" s="807"/>
      <c r="H9" s="807"/>
      <c r="I9" s="807"/>
      <c r="J9" s="807"/>
      <c r="K9" s="807"/>
      <c r="L9" s="807"/>
      <c r="M9" s="807"/>
      <c r="N9" s="807"/>
      <c r="O9" s="807"/>
      <c r="P9" s="807"/>
      <c r="Q9" s="807"/>
      <c r="R9" s="807"/>
      <c r="S9" s="1751"/>
      <c r="T9" s="1751">
        <f>31+12</f>
        <v>43</v>
      </c>
      <c r="U9" s="1751">
        <f>70</f>
        <v>70</v>
      </c>
      <c r="V9" s="1751">
        <f>79+44</f>
        <v>123</v>
      </c>
      <c r="W9" s="1751">
        <f>97+74+39</f>
        <v>210</v>
      </c>
      <c r="X9" s="1283">
        <f>101+74</f>
        <v>175</v>
      </c>
      <c r="Y9" s="1283">
        <f>101</f>
        <v>101</v>
      </c>
      <c r="Z9" s="807"/>
      <c r="AA9" s="807"/>
      <c r="AB9" s="807"/>
      <c r="AC9" s="807"/>
      <c r="AD9" s="807"/>
      <c r="AE9" s="807"/>
      <c r="AF9" s="807"/>
      <c r="AG9" s="807"/>
      <c r="AH9" s="807"/>
      <c r="AI9" s="807"/>
      <c r="AJ9" s="807"/>
      <c r="AK9" s="807"/>
      <c r="AL9" s="807"/>
      <c r="AM9" s="807"/>
      <c r="AN9" s="807"/>
      <c r="AO9" s="807">
        <v>12</v>
      </c>
      <c r="AP9" s="807"/>
      <c r="AQ9" s="1740"/>
      <c r="AR9" s="1740"/>
      <c r="AS9" s="1739"/>
      <c r="AT9" s="807"/>
      <c r="AU9" s="807">
        <f>SUM(S9:AT9)</f>
        <v>734</v>
      </c>
      <c r="AV9" s="817">
        <f>SUM('Summary Total Pigs'!D12:D14)+'Grasmere Batch Mvnt'!I27-AV17</f>
        <v>8694</v>
      </c>
      <c r="AW9" s="818"/>
      <c r="AX9" s="818"/>
    </row>
    <row r="10" spans="1:53" ht="15.6">
      <c r="A10" s="1066" t="s">
        <v>1788</v>
      </c>
      <c r="B10" s="807"/>
      <c r="C10" s="807"/>
      <c r="D10" s="807"/>
      <c r="E10" s="807"/>
      <c r="F10" s="807"/>
      <c r="G10" s="807"/>
      <c r="H10" s="807"/>
      <c r="I10" s="807"/>
      <c r="J10" s="807"/>
      <c r="K10" s="807"/>
      <c r="L10" s="807"/>
      <c r="M10" s="807"/>
      <c r="N10" s="807"/>
      <c r="O10" s="807"/>
      <c r="P10" s="807"/>
      <c r="Q10" s="807"/>
      <c r="R10" s="807"/>
      <c r="S10" s="1739">
        <f>-31-12</f>
        <v>-43</v>
      </c>
      <c r="T10" s="1739">
        <f>-70</f>
        <v>-70</v>
      </c>
      <c r="U10" s="1739">
        <f>-79-44</f>
        <v>-123</v>
      </c>
      <c r="V10" s="1739">
        <f>-97-74-39</f>
        <v>-210</v>
      </c>
      <c r="W10" s="1739">
        <f>-101-74</f>
        <v>-175</v>
      </c>
      <c r="X10" s="807">
        <f>-101</f>
        <v>-101</v>
      </c>
      <c r="Y10" s="807"/>
      <c r="Z10" s="807"/>
      <c r="AA10" s="807"/>
      <c r="AB10" s="807"/>
      <c r="AC10" s="807"/>
      <c r="AD10" s="807"/>
      <c r="AE10" s="807"/>
      <c r="AF10" s="807"/>
      <c r="AG10" s="807"/>
      <c r="AH10" s="807"/>
      <c r="AI10" s="807"/>
      <c r="AJ10" s="807"/>
      <c r="AK10" s="807"/>
      <c r="AL10" s="807"/>
      <c r="AM10" s="807"/>
      <c r="AN10" s="807"/>
      <c r="AO10" s="807"/>
      <c r="AP10" s="807"/>
      <c r="AQ10" s="1740"/>
      <c r="AR10" s="1740"/>
      <c r="AS10" s="1739">
        <v>-12</v>
      </c>
      <c r="AT10" s="807"/>
      <c r="AU10" s="807">
        <f t="shared" ref="AU10" si="5">SUM(S10:AT10)</f>
        <v>-734</v>
      </c>
      <c r="AV10" s="817">
        <f>SUM('Summary Total Pigs'!N12:N14)</f>
        <v>-8698</v>
      </c>
      <c r="AW10" s="818"/>
      <c r="AX10" s="818"/>
    </row>
    <row r="11" spans="1:53" ht="15.6">
      <c r="A11" s="1066" t="s">
        <v>1789</v>
      </c>
      <c r="B11" s="1282">
        <f t="shared" ref="B11:AT11" si="6">SUM(B7:B10)</f>
        <v>0</v>
      </c>
      <c r="C11" s="1282">
        <f t="shared" si="6"/>
        <v>0</v>
      </c>
      <c r="D11" s="1282">
        <f t="shared" si="6"/>
        <v>0</v>
      </c>
      <c r="E11" s="1282">
        <f t="shared" si="6"/>
        <v>0</v>
      </c>
      <c r="F11" s="1282">
        <f t="shared" si="6"/>
        <v>0</v>
      </c>
      <c r="G11" s="1282">
        <f t="shared" si="6"/>
        <v>0</v>
      </c>
      <c r="H11" s="1282">
        <f t="shared" si="6"/>
        <v>0</v>
      </c>
      <c r="I11" s="1282">
        <f t="shared" si="6"/>
        <v>0</v>
      </c>
      <c r="J11" s="1282">
        <f t="shared" si="6"/>
        <v>0</v>
      </c>
      <c r="K11" s="1282">
        <f t="shared" si="6"/>
        <v>0</v>
      </c>
      <c r="L11" s="1282">
        <f t="shared" si="6"/>
        <v>0</v>
      </c>
      <c r="M11" s="1282">
        <f t="shared" si="6"/>
        <v>0</v>
      </c>
      <c r="N11" s="1282">
        <f t="shared" si="6"/>
        <v>0</v>
      </c>
      <c r="O11" s="1282">
        <f t="shared" si="6"/>
        <v>0</v>
      </c>
      <c r="P11" s="1282">
        <f t="shared" si="6"/>
        <v>0</v>
      </c>
      <c r="Q11" s="1282">
        <f t="shared" si="6"/>
        <v>0</v>
      </c>
      <c r="R11" s="1282">
        <f t="shared" si="6"/>
        <v>0</v>
      </c>
      <c r="S11" s="1282">
        <f t="shared" si="6"/>
        <v>1293</v>
      </c>
      <c r="T11" s="1282">
        <f t="shared" si="6"/>
        <v>1347</v>
      </c>
      <c r="U11" s="1282">
        <f t="shared" si="6"/>
        <v>1389</v>
      </c>
      <c r="V11" s="1282">
        <f t="shared" si="6"/>
        <v>1383</v>
      </c>
      <c r="W11" s="1282">
        <f t="shared" si="6"/>
        <v>1360</v>
      </c>
      <c r="X11" s="1282">
        <f t="shared" si="6"/>
        <v>1320</v>
      </c>
      <c r="Y11" s="1282">
        <f t="shared" si="6"/>
        <v>1340</v>
      </c>
      <c r="Z11" s="1282">
        <f t="shared" si="6"/>
        <v>1269</v>
      </c>
      <c r="AA11" s="1282">
        <f t="shared" si="6"/>
        <v>1224</v>
      </c>
      <c r="AB11" s="1282">
        <f t="shared" si="6"/>
        <v>1167</v>
      </c>
      <c r="AC11" s="1282">
        <f t="shared" si="6"/>
        <v>1010</v>
      </c>
      <c r="AD11" s="1282">
        <f t="shared" si="6"/>
        <v>1066</v>
      </c>
      <c r="AE11" s="1282">
        <f t="shared" si="6"/>
        <v>939</v>
      </c>
      <c r="AF11" s="1282">
        <f t="shared" si="6"/>
        <v>944</v>
      </c>
      <c r="AG11" s="1282">
        <f t="shared" si="6"/>
        <v>841</v>
      </c>
      <c r="AH11" s="1282">
        <f t="shared" si="6"/>
        <v>949</v>
      </c>
      <c r="AI11" s="1282">
        <f t="shared" si="6"/>
        <v>931</v>
      </c>
      <c r="AJ11" s="1282">
        <f t="shared" si="6"/>
        <v>937</v>
      </c>
      <c r="AK11" s="1282">
        <f t="shared" si="6"/>
        <v>919</v>
      </c>
      <c r="AL11" s="1282">
        <f t="shared" si="6"/>
        <v>900</v>
      </c>
      <c r="AM11" s="1282">
        <f t="shared" si="6"/>
        <v>912</v>
      </c>
      <c r="AN11" s="1282">
        <f t="shared" si="6"/>
        <v>917</v>
      </c>
      <c r="AO11" s="1282">
        <f t="shared" si="6"/>
        <v>936</v>
      </c>
      <c r="AP11" s="1282">
        <f t="shared" si="6"/>
        <v>949</v>
      </c>
      <c r="AQ11" s="1743">
        <f t="shared" si="6"/>
        <v>869</v>
      </c>
      <c r="AR11" s="1743">
        <f t="shared" si="6"/>
        <v>943</v>
      </c>
      <c r="AS11" s="1750">
        <f t="shared" si="6"/>
        <v>910</v>
      </c>
      <c r="AT11" s="1282">
        <f t="shared" si="6"/>
        <v>947</v>
      </c>
      <c r="AU11" s="1579">
        <f>SUM(S11:AT11)</f>
        <v>29911</v>
      </c>
      <c r="AV11" s="1579">
        <f>SUM(AV7:AV10)</f>
        <v>29117</v>
      </c>
      <c r="AW11" s="1170">
        <f>+AU11-AV11</f>
        <v>794</v>
      </c>
      <c r="AX11" s="1066"/>
      <c r="AY11" s="818"/>
    </row>
    <row r="12" spans="1:53">
      <c r="A12" s="142" t="s">
        <v>1790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Y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807"/>
      <c r="AL12" s="807"/>
      <c r="AM12" s="807"/>
      <c r="AN12" s="807"/>
      <c r="AO12" s="807"/>
      <c r="AP12" s="807"/>
      <c r="AQ12" s="1740"/>
      <c r="AR12" s="1740"/>
      <c r="AS12" s="1739"/>
      <c r="AT12" s="807"/>
      <c r="AU12" s="807">
        <f>SUM(B12:AT12)</f>
        <v>0</v>
      </c>
      <c r="AV12" s="817">
        <f>SUM('Summary Total Pigs'!O12:O14,'Summary Total Pigs'!P127:P129)</f>
        <v>0</v>
      </c>
      <c r="AW12" s="1170">
        <f t="shared" ref="AW12:AW18" si="7">+AU12-AV12</f>
        <v>0</v>
      </c>
      <c r="AY12" s="817"/>
    </row>
    <row r="13" spans="1:53">
      <c r="A13" s="142" t="s">
        <v>1791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/>
      <c r="X13" s="807"/>
      <c r="Y13" s="807"/>
      <c r="Z13" s="807"/>
      <c r="AA13" s="807"/>
      <c r="AB13" s="807"/>
      <c r="AC13" s="807"/>
      <c r="AD13" s="807"/>
      <c r="AE13" s="807"/>
      <c r="AF13" s="807"/>
      <c r="AG13" s="807"/>
      <c r="AH13" s="807"/>
      <c r="AI13" s="807"/>
      <c r="AJ13" s="807"/>
      <c r="AK13" s="807"/>
      <c r="AL13" s="807"/>
      <c r="AM13" s="807"/>
      <c r="AN13" s="807"/>
      <c r="AO13" s="807"/>
      <c r="AP13" s="807"/>
      <c r="AQ13" s="1740"/>
      <c r="AR13" s="1740"/>
      <c r="AS13" s="1739"/>
      <c r="AT13" s="807"/>
      <c r="AU13" s="807">
        <f>SUM(B13:AT13)</f>
        <v>0</v>
      </c>
      <c r="AV13" s="817">
        <f>SUM('Summary Total Pigs'!P12:P14)</f>
        <v>0</v>
      </c>
      <c r="AW13" s="1170">
        <f t="shared" si="7"/>
        <v>0</v>
      </c>
      <c r="AY13" s="817"/>
      <c r="BA13" s="817"/>
    </row>
    <row r="14" spans="1:53">
      <c r="A14" s="142" t="s">
        <v>1792</v>
      </c>
      <c r="B14" s="807"/>
      <c r="C14" s="807"/>
      <c r="D14" s="807"/>
      <c r="E14" s="807"/>
      <c r="F14" s="807"/>
      <c r="G14" s="807"/>
      <c r="H14" s="807"/>
      <c r="I14" s="807"/>
      <c r="J14" s="807"/>
      <c r="K14" s="807"/>
      <c r="L14" s="807"/>
      <c r="M14" s="807"/>
      <c r="N14" s="807"/>
      <c r="O14" s="807"/>
      <c r="P14" s="807"/>
      <c r="Q14" s="807"/>
      <c r="R14" s="807"/>
      <c r="S14" s="807"/>
      <c r="T14" s="807"/>
      <c r="U14" s="807"/>
      <c r="V14" s="807"/>
      <c r="W14" s="807"/>
      <c r="X14" s="807"/>
      <c r="Y14" s="807"/>
      <c r="Z14" s="807"/>
      <c r="AA14" s="807"/>
      <c r="AB14" s="807"/>
      <c r="AC14" s="807"/>
      <c r="AD14" s="807"/>
      <c r="AE14" s="807"/>
      <c r="AF14" s="807"/>
      <c r="AG14" s="807"/>
      <c r="AH14" s="807"/>
      <c r="AI14" s="807"/>
      <c r="AJ14" s="807"/>
      <c r="AK14" s="807"/>
      <c r="AL14" s="807"/>
      <c r="AM14" s="807"/>
      <c r="AN14" s="807"/>
      <c r="AO14" s="807"/>
      <c r="AP14" s="807"/>
      <c r="AQ14" s="1740"/>
      <c r="AR14" s="1740"/>
      <c r="AS14" s="1739"/>
      <c r="AT14" s="807"/>
      <c r="AU14" s="807">
        <f>SUM(B14:AT14)</f>
        <v>0</v>
      </c>
      <c r="AV14" s="817">
        <f>SUM('Summary Total Pigs'!Q12:Q14,'Summary Total Pigs'!O146:O148)</f>
        <v>0</v>
      </c>
      <c r="AW14" s="1170">
        <f t="shared" si="7"/>
        <v>0</v>
      </c>
    </row>
    <row r="15" spans="1:53">
      <c r="A15" s="142" t="s">
        <v>1793</v>
      </c>
      <c r="B15" s="807"/>
      <c r="C15" s="807"/>
      <c r="D15" s="807"/>
      <c r="E15" s="807"/>
      <c r="F15" s="807"/>
      <c r="G15" s="807"/>
      <c r="H15" s="807"/>
      <c r="I15" s="807"/>
      <c r="J15" s="807"/>
      <c r="K15" s="807"/>
      <c r="L15" s="807"/>
      <c r="M15" s="807"/>
      <c r="N15" s="807"/>
      <c r="O15" s="807"/>
      <c r="P15" s="807"/>
      <c r="Q15" s="807"/>
      <c r="R15" s="807"/>
      <c r="S15" s="807"/>
      <c r="T15" s="807"/>
      <c r="U15" s="807"/>
      <c r="V15" s="807"/>
      <c r="W15" s="807"/>
      <c r="X15" s="807">
        <f>-208</f>
        <v>-208</v>
      </c>
      <c r="Y15" s="807">
        <f>-150</f>
        <v>-150</v>
      </c>
      <c r="Z15" s="807">
        <f>-230</f>
        <v>-230</v>
      </c>
      <c r="AA15" s="807">
        <v>-270</v>
      </c>
      <c r="AB15" s="807"/>
      <c r="AC15" s="807"/>
      <c r="AD15" s="807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807"/>
      <c r="AP15" s="807"/>
      <c r="AQ15" s="1740"/>
      <c r="AR15" s="1740"/>
      <c r="AS15" s="1739"/>
      <c r="AT15" s="807"/>
      <c r="AU15" s="807">
        <f>SUM(B15:AT15)</f>
        <v>-858</v>
      </c>
      <c r="AV15" s="817">
        <f>SUM('Summary Total Pigs'!R12:R14)</f>
        <v>-1203</v>
      </c>
      <c r="AW15" s="1170">
        <f t="shared" si="7"/>
        <v>345</v>
      </c>
    </row>
    <row r="16" spans="1:53">
      <c r="A16" s="142" t="s">
        <v>1794</v>
      </c>
      <c r="B16" s="807"/>
      <c r="C16" s="807"/>
      <c r="D16" s="807"/>
      <c r="E16" s="807"/>
      <c r="F16" s="807"/>
      <c r="G16" s="807"/>
      <c r="H16" s="807"/>
      <c r="I16" s="807"/>
      <c r="J16" s="807"/>
      <c r="K16" s="807"/>
      <c r="L16" s="807"/>
      <c r="M16" s="807"/>
      <c r="N16" s="807"/>
      <c r="O16" s="807"/>
      <c r="P16" s="807"/>
      <c r="Q16" s="807"/>
      <c r="R16" s="807"/>
      <c r="S16" s="807"/>
      <c r="T16" s="807"/>
      <c r="U16" s="807"/>
      <c r="V16" s="807"/>
      <c r="W16" s="807"/>
      <c r="X16" s="807"/>
      <c r="Y16" s="807"/>
      <c r="Z16" s="807"/>
      <c r="AA16" s="807"/>
      <c r="AB16" s="807"/>
      <c r="AC16" s="807"/>
      <c r="AD16" s="807"/>
      <c r="AE16" s="807"/>
      <c r="AF16" s="807"/>
      <c r="AG16" s="807"/>
      <c r="AH16" s="807"/>
      <c r="AI16" s="807"/>
      <c r="AJ16" s="807"/>
      <c r="AK16" s="807"/>
      <c r="AL16" s="807"/>
      <c r="AM16" s="807"/>
      <c r="AN16" s="807"/>
      <c r="AO16" s="807"/>
      <c r="AP16" s="807"/>
      <c r="AQ16" s="1740"/>
      <c r="AR16" s="1740"/>
      <c r="AS16" s="1739"/>
      <c r="AT16" s="807"/>
      <c r="AU16" s="807">
        <f t="shared" ref="AU16:AU25" si="8">SUM(B16:AT16)</f>
        <v>0</v>
      </c>
      <c r="AV16" s="817"/>
      <c r="AW16" s="1170">
        <f t="shared" si="7"/>
        <v>0</v>
      </c>
    </row>
    <row r="17" spans="1:52" ht="13.5" customHeight="1">
      <c r="A17" s="142" t="s">
        <v>1797</v>
      </c>
      <c r="B17" s="807"/>
      <c r="C17" s="807"/>
      <c r="D17" s="807"/>
      <c r="E17" s="807"/>
      <c r="F17" s="807"/>
      <c r="G17" s="807"/>
      <c r="H17" s="807"/>
      <c r="I17" s="807"/>
      <c r="J17" s="807"/>
      <c r="K17" s="807"/>
      <c r="L17" s="807"/>
      <c r="M17" s="807"/>
      <c r="N17" s="807"/>
      <c r="O17" s="807"/>
      <c r="P17" s="807"/>
      <c r="Q17" s="807"/>
      <c r="R17" s="807"/>
      <c r="S17" s="807"/>
      <c r="T17" s="807"/>
      <c r="U17" s="807"/>
      <c r="V17" s="807"/>
      <c r="W17" s="807"/>
      <c r="X17" s="807"/>
      <c r="Y17" s="807"/>
      <c r="Z17" s="807"/>
      <c r="AA17" s="807"/>
      <c r="AB17" s="807"/>
      <c r="AC17" s="807"/>
      <c r="AD17" s="807"/>
      <c r="AE17" s="807"/>
      <c r="AF17" s="807"/>
      <c r="AG17" s="807"/>
      <c r="AH17" s="807"/>
      <c r="AI17" s="807"/>
      <c r="AJ17" s="807"/>
      <c r="AK17" s="807"/>
      <c r="AL17" s="807"/>
      <c r="AM17" s="807"/>
      <c r="AN17" s="807"/>
      <c r="AO17" s="807"/>
      <c r="AP17" s="807"/>
      <c r="AQ17" s="1740"/>
      <c r="AR17" s="1740"/>
      <c r="AS17" s="1739"/>
      <c r="AT17" s="807"/>
      <c r="AU17" s="807">
        <f t="shared" si="8"/>
        <v>0</v>
      </c>
      <c r="AV17" s="817">
        <v>0</v>
      </c>
      <c r="AW17" s="1170">
        <f t="shared" si="7"/>
        <v>0</v>
      </c>
    </row>
    <row r="18" spans="1:52" ht="13.5" customHeight="1">
      <c r="A18" s="142" t="s">
        <v>1798</v>
      </c>
      <c r="B18" s="807"/>
      <c r="C18" s="807"/>
      <c r="D18" s="807"/>
      <c r="E18" s="807"/>
      <c r="F18" s="807"/>
      <c r="G18" s="807"/>
      <c r="H18" s="807"/>
      <c r="I18" s="807"/>
      <c r="J18" s="807"/>
      <c r="K18" s="807"/>
      <c r="L18" s="807"/>
      <c r="M18" s="807"/>
      <c r="N18" s="807"/>
      <c r="O18" s="807"/>
      <c r="P18" s="807"/>
      <c r="Q18" s="807"/>
      <c r="R18" s="807"/>
      <c r="S18" s="807"/>
      <c r="T18" s="807"/>
      <c r="U18" s="807"/>
      <c r="V18" s="807"/>
      <c r="W18" s="807"/>
      <c r="X18" s="807"/>
      <c r="Y18" s="807"/>
      <c r="Z18" s="807"/>
      <c r="AA18" s="807"/>
      <c r="AB18" s="807"/>
      <c r="AC18" s="807"/>
      <c r="AD18" s="807"/>
      <c r="AE18" s="807"/>
      <c r="AF18" s="807"/>
      <c r="AG18" s="807"/>
      <c r="AH18" s="807"/>
      <c r="AI18" s="807"/>
      <c r="AJ18" s="807"/>
      <c r="AK18" s="807"/>
      <c r="AL18" s="807"/>
      <c r="AM18" s="807"/>
      <c r="AN18" s="807"/>
      <c r="AO18" s="807"/>
      <c r="AP18" s="807"/>
      <c r="AQ18" s="1740"/>
      <c r="AR18" s="1740"/>
      <c r="AS18" s="1739"/>
      <c r="AT18" s="807"/>
      <c r="AU18" s="807">
        <f>SUM(B18:AT18)</f>
        <v>0</v>
      </c>
      <c r="AV18" s="817">
        <v>0</v>
      </c>
      <c r="AW18" s="1170">
        <f t="shared" si="7"/>
        <v>0</v>
      </c>
    </row>
    <row r="19" spans="1:52" ht="13.5" customHeight="1">
      <c r="A19" s="142" t="s">
        <v>1799</v>
      </c>
      <c r="B19" s="807"/>
      <c r="C19" s="807"/>
      <c r="D19" s="807"/>
      <c r="E19" s="807"/>
      <c r="F19" s="807"/>
      <c r="G19" s="807"/>
      <c r="H19" s="807"/>
      <c r="I19" s="807"/>
      <c r="J19" s="807"/>
      <c r="K19" s="807"/>
      <c r="L19" s="807"/>
      <c r="M19" s="807"/>
      <c r="N19" s="807"/>
      <c r="O19" s="807"/>
      <c r="P19" s="807"/>
      <c r="Q19" s="807"/>
      <c r="R19" s="807"/>
      <c r="S19" s="807"/>
      <c r="T19" s="807"/>
      <c r="U19" s="807"/>
      <c r="V19" s="807"/>
      <c r="W19" s="807"/>
      <c r="X19" s="807"/>
      <c r="Y19" s="807"/>
      <c r="Z19" s="807"/>
      <c r="AA19" s="807"/>
      <c r="AB19" s="807"/>
      <c r="AC19" s="807"/>
      <c r="AD19" s="807"/>
      <c r="AE19" s="807"/>
      <c r="AF19" s="807">
        <f>-2</f>
        <v>-2</v>
      </c>
      <c r="AG19" s="807">
        <f>-1-1-1</f>
        <v>-3</v>
      </c>
      <c r="AH19" s="807">
        <f>-1</f>
        <v>-1</v>
      </c>
      <c r="AI19" s="807">
        <f>-1-2</f>
        <v>-3</v>
      </c>
      <c r="AJ19" s="807">
        <v>-2</v>
      </c>
      <c r="AK19" s="807">
        <f>-3-2-3</f>
        <v>-8</v>
      </c>
      <c r="AL19" s="807">
        <f>-3-3-1-1-1</f>
        <v>-9</v>
      </c>
      <c r="AM19" s="807">
        <f>-1-1-1-1-1-1-1-1</f>
        <v>-8</v>
      </c>
      <c r="AN19" s="807">
        <f>-1-1</f>
        <v>-2</v>
      </c>
      <c r="AO19" s="1740">
        <f>-2+69</f>
        <v>67</v>
      </c>
      <c r="AP19" s="807">
        <f>-1-9</f>
        <v>-10</v>
      </c>
      <c r="AQ19" s="1740">
        <f>-2-5</f>
        <v>-7</v>
      </c>
      <c r="AR19" s="1740">
        <f>-12</f>
        <v>-12</v>
      </c>
      <c r="AS19" s="1739"/>
      <c r="AT19" s="807"/>
      <c r="AU19" s="807">
        <f>SUM(B19:AT19)</f>
        <v>0</v>
      </c>
      <c r="AV19" s="817"/>
      <c r="AW19" s="1170"/>
    </row>
    <row r="20" spans="1:52">
      <c r="A20" s="142" t="s">
        <v>1800</v>
      </c>
      <c r="B20" s="807"/>
      <c r="C20" s="807"/>
      <c r="D20" s="807"/>
      <c r="E20" s="807"/>
      <c r="F20" s="807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  <c r="V20" s="807"/>
      <c r="W20" s="807">
        <f>-47</f>
        <v>-47</v>
      </c>
      <c r="X20" s="807">
        <f>-52</f>
        <v>-52</v>
      </c>
      <c r="Y20" s="807">
        <f>-48</f>
        <v>-48</v>
      </c>
      <c r="Z20" s="807">
        <f>-33</f>
        <v>-33</v>
      </c>
      <c r="AA20" s="807"/>
      <c r="AB20" s="807"/>
      <c r="AC20" s="807"/>
      <c r="AD20" s="807"/>
      <c r="AE20" s="807"/>
      <c r="AF20" s="807"/>
      <c r="AG20" s="807"/>
      <c r="AH20" s="807"/>
      <c r="AI20" s="807"/>
      <c r="AJ20" s="807"/>
      <c r="AK20" s="807"/>
      <c r="AL20" s="807"/>
      <c r="AM20" s="807"/>
      <c r="AN20" s="807"/>
      <c r="AO20" s="807"/>
      <c r="AP20" s="807"/>
      <c r="AQ20" s="1740"/>
      <c r="AR20" s="1740"/>
      <c r="AS20" s="1739"/>
      <c r="AT20" s="807"/>
      <c r="AU20" s="807">
        <f>SUM(B20:AT20)</f>
        <v>-180</v>
      </c>
      <c r="AV20" s="817">
        <f>-SUM('Grasmere Batch Mvnt'!I27,'Summary Total Pigs'!D130)</f>
        <v>0</v>
      </c>
      <c r="AW20" s="1170">
        <f t="shared" ref="AW20:AW25" si="9">+AU20-AV20</f>
        <v>-180</v>
      </c>
      <c r="AX20" s="818"/>
    </row>
    <row r="21" spans="1:52">
      <c r="A21" s="142" t="s">
        <v>169</v>
      </c>
      <c r="B21" s="807"/>
      <c r="C21" s="807"/>
      <c r="D21" s="807"/>
      <c r="E21" s="807"/>
      <c r="F21" s="807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>
        <f>-1-11-19-16</f>
        <v>-47</v>
      </c>
      <c r="T21" s="807">
        <f>-1-7-7-12-13-21-16-17-7-3-4</f>
        <v>-108</v>
      </c>
      <c r="U21" s="807">
        <f>-1-6-14-14-9-15-19-7-3-8-5-5-5-4-3-2</f>
        <v>-120</v>
      </c>
      <c r="V21" s="807">
        <f>-1-3-4-11-20-17-29-14-8-9-2-3-5-5-4-2-7-3-3-2-4-2-1</f>
        <v>-159</v>
      </c>
      <c r="W21" s="807">
        <f>-16-23-22-12-4-13-2-5-3-1-5-2-2-4-2-1-3-2-2-3-3-1-2-13</f>
        <v>-146</v>
      </c>
      <c r="X21" s="807">
        <f>-6-3-2-4-3-1-1-2-7-4-1-4-1-2-1-7-13-1-1-1</f>
        <v>-65</v>
      </c>
      <c r="Y21" s="807">
        <f>-6-1-4-1-3-3-5-12-2-1-1-1-2-1</f>
        <v>-43</v>
      </c>
      <c r="Z21" s="807">
        <f>-2-2-5-4-1-1-1-1</f>
        <v>-17</v>
      </c>
      <c r="AA21" s="807">
        <f>-1-6-1-1-2-1-2-1-1-1-1-2-2-2</f>
        <v>-24</v>
      </c>
      <c r="AB21" s="807">
        <f>-1-2-1-1</f>
        <v>-5</v>
      </c>
      <c r="AC21" s="807">
        <f>-1-1-1-1-1-1</f>
        <v>-6</v>
      </c>
      <c r="AD21" s="807">
        <f>-1-3-1-1</f>
        <v>-6</v>
      </c>
      <c r="AE21" s="807">
        <f>-1-1-1-1-1-1</f>
        <v>-6</v>
      </c>
      <c r="AF21" s="807">
        <f>-1</f>
        <v>-1</v>
      </c>
      <c r="AG21" s="807">
        <f>-1-1</f>
        <v>-2</v>
      </c>
      <c r="AH21" s="807">
        <f>-1-1</f>
        <v>-2</v>
      </c>
      <c r="AI21" s="807">
        <f>-1-1-1</f>
        <v>-3</v>
      </c>
      <c r="AJ21" s="1283">
        <f>-1-2-1-1</f>
        <v>-5</v>
      </c>
      <c r="AK21" s="807">
        <f>-1-1</f>
        <v>-2</v>
      </c>
      <c r="AL21" s="807">
        <f>-1-1-1-1-1</f>
        <v>-5</v>
      </c>
      <c r="AM21" s="807">
        <f>-1-1-1-2-1-1-1-1</f>
        <v>-9</v>
      </c>
      <c r="AN21" s="807">
        <f>-2-1-1-1-1-1-1</f>
        <v>-8</v>
      </c>
      <c r="AO21" s="807">
        <f>-2-1-2-1-1-2-1-1-15</f>
        <v>-26</v>
      </c>
      <c r="AP21" s="807">
        <f>-2-1-2</f>
        <v>-5</v>
      </c>
      <c r="AQ21" s="1740">
        <f>-1-2-1</f>
        <v>-4</v>
      </c>
      <c r="AR21" s="1740">
        <f>-1-1-4</f>
        <v>-6</v>
      </c>
      <c r="AS21" s="1739">
        <f>-1-1</f>
        <v>-2</v>
      </c>
      <c r="AT21" s="807"/>
      <c r="AU21" s="807">
        <f t="shared" si="8"/>
        <v>-832</v>
      </c>
      <c r="AV21" s="817">
        <f>SUM('Summary Total Pigs'!W12:W14,'Summary Total Pigs'!Y12:Y14)</f>
        <v>-685</v>
      </c>
      <c r="AW21" s="1170">
        <f t="shared" si="9"/>
        <v>-147</v>
      </c>
      <c r="AX21" s="818"/>
    </row>
    <row r="22" spans="1:52">
      <c r="A22" s="142" t="s">
        <v>229</v>
      </c>
      <c r="B22" s="807"/>
      <c r="C22" s="807"/>
      <c r="D22" s="807"/>
      <c r="E22" s="807"/>
      <c r="F22" s="807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7"/>
      <c r="AB22" s="807"/>
      <c r="AC22" s="807"/>
      <c r="AD22" s="807"/>
      <c r="AE22" s="807"/>
      <c r="AF22" s="807"/>
      <c r="AG22" s="807"/>
      <c r="AH22" s="807"/>
      <c r="AI22" s="807"/>
      <c r="AJ22" s="807"/>
      <c r="AK22" s="807"/>
      <c r="AL22" s="807"/>
      <c r="AM22" s="807"/>
      <c r="AN22" s="807"/>
      <c r="AO22" s="807">
        <f>-51+15</f>
        <v>-36</v>
      </c>
      <c r="AP22" s="807">
        <f>-8</f>
        <v>-8</v>
      </c>
      <c r="AQ22" s="1740">
        <f>-15</f>
        <v>-15</v>
      </c>
      <c r="AR22" s="1740">
        <f>-2</f>
        <v>-2</v>
      </c>
      <c r="AS22" s="1739">
        <f>-14</f>
        <v>-14</v>
      </c>
      <c r="AT22" s="807"/>
      <c r="AU22" s="807">
        <f t="shared" si="8"/>
        <v>-75</v>
      </c>
      <c r="AV22" s="817">
        <f>SUM('Summary Total Pigs'!Z12:Z14)</f>
        <v>-5</v>
      </c>
      <c r="AW22" s="1170">
        <f t="shared" si="9"/>
        <v>-70</v>
      </c>
      <c r="AX22" s="818"/>
    </row>
    <row r="23" spans="1:52" ht="13.5" customHeight="1">
      <c r="A23" s="142" t="s">
        <v>231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/>
      <c r="AD23" s="807"/>
      <c r="AE23" s="807"/>
      <c r="AF23" s="807"/>
      <c r="AG23" s="807"/>
      <c r="AH23" s="807"/>
      <c r="AI23" s="807"/>
      <c r="AJ23" s="807"/>
      <c r="AK23" s="807"/>
      <c r="AL23" s="807"/>
      <c r="AM23" s="807"/>
      <c r="AN23" s="807"/>
      <c r="AO23" s="807">
        <f>-15</f>
        <v>-15</v>
      </c>
      <c r="AP23" s="807"/>
      <c r="AQ23" s="1740"/>
      <c r="AR23" s="1740"/>
      <c r="AS23" s="1739"/>
      <c r="AT23" s="807"/>
      <c r="AU23" s="807">
        <f t="shared" si="8"/>
        <v>-15</v>
      </c>
      <c r="AV23" s="817">
        <f>SUM('Summary Total Pigs'!AB12:AB14)</f>
        <v>0</v>
      </c>
      <c r="AW23" s="1170">
        <f t="shared" si="9"/>
        <v>-15</v>
      </c>
      <c r="AX23" s="818"/>
    </row>
    <row r="24" spans="1:52">
      <c r="A24" s="142" t="s">
        <v>232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/>
      <c r="T24" s="807"/>
      <c r="U24" s="807"/>
      <c r="V24" s="807"/>
      <c r="W24" s="807"/>
      <c r="X24" s="807"/>
      <c r="Y24" s="807"/>
      <c r="Z24" s="807"/>
      <c r="AA24" s="807"/>
      <c r="AB24" s="807"/>
      <c r="AC24" s="807"/>
      <c r="AD24" s="807"/>
      <c r="AE24" s="807"/>
      <c r="AF24" s="807"/>
      <c r="AG24" s="807"/>
      <c r="AH24" s="807"/>
      <c r="AI24" s="807"/>
      <c r="AJ24" s="807"/>
      <c r="AK24" s="807"/>
      <c r="AL24" s="807"/>
      <c r="AM24" s="807"/>
      <c r="AN24" s="1739">
        <f>-3</f>
        <v>-3</v>
      </c>
      <c r="AO24" s="807"/>
      <c r="AP24" s="807">
        <f>-13</f>
        <v>-13</v>
      </c>
      <c r="AQ24" s="1740">
        <f>-3</f>
        <v>-3</v>
      </c>
      <c r="AR24" s="1740">
        <f>-1</f>
        <v>-1</v>
      </c>
      <c r="AS24" s="1739"/>
      <c r="AT24" s="807"/>
      <c r="AU24" s="807">
        <f t="shared" si="8"/>
        <v>-20</v>
      </c>
      <c r="AV24" s="817">
        <f>SUM('Summary Total Pigs'!AC12:AC14)</f>
        <v>-18</v>
      </c>
      <c r="AW24" s="1170">
        <f t="shared" si="9"/>
        <v>-2</v>
      </c>
      <c r="AX24" s="818"/>
    </row>
    <row r="25" spans="1:52" ht="15.6" thickBot="1">
      <c r="A25" s="1100" t="s">
        <v>1801</v>
      </c>
      <c r="B25" s="1057"/>
      <c r="C25" s="1057"/>
      <c r="D25" s="1057"/>
      <c r="E25" s="1057"/>
      <c r="F25" s="1057"/>
      <c r="G25" s="1057"/>
      <c r="H25" s="1057"/>
      <c r="I25" s="1057"/>
      <c r="J25" s="1057"/>
      <c r="K25" s="1057"/>
      <c r="L25" s="1057"/>
      <c r="M25" s="1057"/>
      <c r="N25" s="1057"/>
      <c r="O25" s="1057"/>
      <c r="P25" s="1057"/>
      <c r="Q25" s="1057"/>
      <c r="R25" s="105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/>
      <c r="AO25" s="807"/>
      <c r="AP25" s="807">
        <f>-189-189-192-191-177+2</f>
        <v>-936</v>
      </c>
      <c r="AQ25" s="1740">
        <f>-190-191-173-173-173</f>
        <v>-900</v>
      </c>
      <c r="AR25" s="1740">
        <f>-190-190-170-172-156+4</f>
        <v>-874</v>
      </c>
      <c r="AS25" s="1739">
        <f>-168-168-167-190-43-179+1</f>
        <v>-914</v>
      </c>
      <c r="AT25" s="807"/>
      <c r="AU25" s="807">
        <f t="shared" si="8"/>
        <v>-3624</v>
      </c>
      <c r="AV25" s="817">
        <f>SUM('Summary Total Pigs'!X12:X14)</f>
        <v>-4012</v>
      </c>
      <c r="AW25" s="1170">
        <f t="shared" si="9"/>
        <v>388</v>
      </c>
      <c r="AX25" s="818"/>
    </row>
    <row r="26" spans="1:52" ht="16.149999999999999" thickBot="1">
      <c r="A26" s="1070" t="s">
        <v>1802</v>
      </c>
      <c r="B26" s="1071">
        <f t="shared" ref="B26:AR26" si="10">SUM(B11:B25)</f>
        <v>0</v>
      </c>
      <c r="C26" s="1071">
        <f t="shared" si="10"/>
        <v>0</v>
      </c>
      <c r="D26" s="1071">
        <f t="shared" si="10"/>
        <v>0</v>
      </c>
      <c r="E26" s="1071">
        <f t="shared" si="10"/>
        <v>0</v>
      </c>
      <c r="F26" s="1071">
        <f t="shared" si="10"/>
        <v>0</v>
      </c>
      <c r="G26" s="1071">
        <f t="shared" si="10"/>
        <v>0</v>
      </c>
      <c r="H26" s="1071">
        <f t="shared" si="10"/>
        <v>0</v>
      </c>
      <c r="I26" s="1071">
        <f t="shared" si="10"/>
        <v>0</v>
      </c>
      <c r="J26" s="1071">
        <f t="shared" si="10"/>
        <v>0</v>
      </c>
      <c r="K26" s="1071">
        <f t="shared" si="10"/>
        <v>0</v>
      </c>
      <c r="L26" s="1071">
        <f t="shared" si="10"/>
        <v>0</v>
      </c>
      <c r="M26" s="1071">
        <f t="shared" si="10"/>
        <v>0</v>
      </c>
      <c r="N26" s="1071">
        <f t="shared" si="10"/>
        <v>0</v>
      </c>
      <c r="O26" s="1071">
        <f t="shared" si="10"/>
        <v>0</v>
      </c>
      <c r="P26" s="1071">
        <f t="shared" si="10"/>
        <v>0</v>
      </c>
      <c r="Q26" s="1071">
        <f t="shared" si="10"/>
        <v>0</v>
      </c>
      <c r="R26" s="1071">
        <f t="shared" si="10"/>
        <v>0</v>
      </c>
      <c r="S26" s="1071">
        <f>SUM(S11:S25)</f>
        <v>1246</v>
      </c>
      <c r="T26" s="1071">
        <f>SUM(T11:T25)</f>
        <v>1239</v>
      </c>
      <c r="U26" s="1071">
        <f t="shared" si="10"/>
        <v>1269</v>
      </c>
      <c r="V26" s="1071">
        <f t="shared" si="10"/>
        <v>1224</v>
      </c>
      <c r="W26" s="1071">
        <f t="shared" si="10"/>
        <v>1167</v>
      </c>
      <c r="X26" s="1071">
        <f t="shared" si="10"/>
        <v>995</v>
      </c>
      <c r="Y26" s="1071">
        <f t="shared" si="10"/>
        <v>1099</v>
      </c>
      <c r="Z26" s="1071">
        <f t="shared" si="10"/>
        <v>989</v>
      </c>
      <c r="AA26" s="1071">
        <f t="shared" si="10"/>
        <v>930</v>
      </c>
      <c r="AB26" s="1071">
        <f t="shared" si="10"/>
        <v>1162</v>
      </c>
      <c r="AC26" s="1071">
        <f t="shared" si="10"/>
        <v>1004</v>
      </c>
      <c r="AD26" s="1071">
        <f t="shared" si="10"/>
        <v>1060</v>
      </c>
      <c r="AE26" s="1071">
        <f t="shared" si="10"/>
        <v>933</v>
      </c>
      <c r="AF26" s="1071">
        <f t="shared" si="10"/>
        <v>941</v>
      </c>
      <c r="AG26" s="1071">
        <f t="shared" si="10"/>
        <v>836</v>
      </c>
      <c r="AH26" s="1071">
        <f t="shared" si="10"/>
        <v>946</v>
      </c>
      <c r="AI26" s="1071">
        <f t="shared" si="10"/>
        <v>925</v>
      </c>
      <c r="AJ26" s="1071">
        <f t="shared" si="10"/>
        <v>930</v>
      </c>
      <c r="AK26" s="1071">
        <f t="shared" si="10"/>
        <v>909</v>
      </c>
      <c r="AL26" s="1071">
        <f t="shared" si="10"/>
        <v>886</v>
      </c>
      <c r="AM26" s="1071">
        <f t="shared" si="10"/>
        <v>895</v>
      </c>
      <c r="AN26" s="1071">
        <f t="shared" si="10"/>
        <v>904</v>
      </c>
      <c r="AO26" s="1071">
        <f>SUM(AO11:AO25)</f>
        <v>926</v>
      </c>
      <c r="AP26" s="1071">
        <f>SUM(AP11:AP25)</f>
        <v>-23</v>
      </c>
      <c r="AQ26" s="1071">
        <f>SUM(AQ11:AQ25)</f>
        <v>-60</v>
      </c>
      <c r="AR26" s="1071">
        <f t="shared" si="10"/>
        <v>48</v>
      </c>
      <c r="AS26" s="1071">
        <f>SUM(AS11:AS25)</f>
        <v>-20</v>
      </c>
      <c r="AT26" s="1071">
        <f>SUM(AT11:AT25)</f>
        <v>947</v>
      </c>
      <c r="AU26" s="1071">
        <f>SUM(AU11:AU25)</f>
        <v>24307</v>
      </c>
      <c r="AV26" s="1071">
        <f>SUM(AV11:AV25)</f>
        <v>23194</v>
      </c>
      <c r="AW26" s="1170">
        <f>SUM('Summary Total Pigs'!AF12:AF14)-AU26</f>
        <v>592</v>
      </c>
    </row>
    <row r="27" spans="1:52">
      <c r="S27" s="1058">
        <f>+'Grasmere Valuation '!E10</f>
        <v>992</v>
      </c>
      <c r="T27" s="1058">
        <f>+'Grasmere Valuation '!E11</f>
        <v>1448</v>
      </c>
      <c r="U27" s="1058">
        <f>+'Grasmere Valuation '!E12</f>
        <v>1373</v>
      </c>
      <c r="V27" s="1058">
        <f>+'Grasmere Valuation '!E13</f>
        <v>1383</v>
      </c>
      <c r="W27" s="1058">
        <f>+'Grasmere Valuation '!E14</f>
        <v>1155</v>
      </c>
      <c r="X27" s="1058">
        <f>+'Grasmere Valuation '!E15</f>
        <v>1096</v>
      </c>
      <c r="Y27" s="1058">
        <f>+'Grasmere Valuation '!E16</f>
        <v>1104</v>
      </c>
      <c r="Z27" s="1058">
        <f>+'Grasmere Valuation '!E17</f>
        <v>1090</v>
      </c>
      <c r="AA27" s="1058">
        <f>+'Grasmere Valuation '!E18</f>
        <v>1076</v>
      </c>
      <c r="AB27" s="1058">
        <f>+'Grasmere Valuation '!E19</f>
        <v>1052</v>
      </c>
      <c r="AC27" s="1058">
        <f>+'Grasmere Valuation '!E20</f>
        <v>1122</v>
      </c>
      <c r="AD27" s="1058">
        <f>+'Grasmere Valuation '!E21</f>
        <v>1061</v>
      </c>
      <c r="AE27" s="1058">
        <f>+'Grasmere Valuation '!E22</f>
        <v>988</v>
      </c>
      <c r="AF27" s="1058">
        <f>+'Grasmere Valuation '!E23</f>
        <v>1039</v>
      </c>
      <c r="AG27" s="1058">
        <f>+'Grasmere Valuation '!E24</f>
        <v>1031</v>
      </c>
      <c r="AH27" s="1058">
        <f>+'Grasmere Valuation '!E25</f>
        <v>990</v>
      </c>
      <c r="AI27" s="1058">
        <f>+'Grasmere Valuation '!E26</f>
        <v>979</v>
      </c>
      <c r="AJ27" s="1058">
        <f>+'Grasmere Valuation '!E27</f>
        <v>1009</v>
      </c>
      <c r="AK27" s="1058">
        <f>+'Grasmere Valuation '!E28</f>
        <v>979</v>
      </c>
      <c r="AL27" s="1058">
        <f>+'Grasmere Valuation '!E29</f>
        <v>974</v>
      </c>
      <c r="AM27" s="1058">
        <f>+'Grasmere Valuation '!E30</f>
        <v>1037</v>
      </c>
      <c r="AN27" s="1058">
        <f>+'Grasmere Valuation '!E31</f>
        <v>962</v>
      </c>
      <c r="AO27" s="1058">
        <f>+'Grasmere Valuation '!E32</f>
        <v>959</v>
      </c>
      <c r="AP27" s="1058">
        <f>+'Grasmere Valuation '!E33</f>
        <v>0</v>
      </c>
      <c r="AQ27" s="1058">
        <f>+'Grasmere Valuation '!E34</f>
        <v>0</v>
      </c>
      <c r="AR27" s="1058">
        <f>+'Grasmere Valuation '!E35</f>
        <v>0</v>
      </c>
      <c r="AS27" s="1058">
        <f>+'Grasmere Valuation '!E36</f>
        <v>0</v>
      </c>
      <c r="AT27" s="1058">
        <f>+'Grasmere Valuation '!E37</f>
        <v>0</v>
      </c>
      <c r="AU27" s="1057">
        <f>SUM(B27:AT27)</f>
        <v>24899</v>
      </c>
      <c r="AV27" s="817">
        <f>SUM('Grasmere Valuation '!E10:E40)</f>
        <v>24899</v>
      </c>
      <c r="AW27" s="1170"/>
    </row>
    <row r="28" spans="1:52">
      <c r="S28" s="1058">
        <f>+S26-S27</f>
        <v>254</v>
      </c>
      <c r="T28" s="1058">
        <f t="shared" ref="T28:AT28" si="11">+T26-T27</f>
        <v>-209</v>
      </c>
      <c r="U28" s="1058">
        <f t="shared" si="11"/>
        <v>-104</v>
      </c>
      <c r="V28" s="1058">
        <f t="shared" si="11"/>
        <v>-159</v>
      </c>
      <c r="W28" s="1058">
        <f t="shared" si="11"/>
        <v>12</v>
      </c>
      <c r="X28" s="1058">
        <f t="shared" si="11"/>
        <v>-101</v>
      </c>
      <c r="Y28" s="1058">
        <f t="shared" si="11"/>
        <v>-5</v>
      </c>
      <c r="Z28" s="1058">
        <f t="shared" si="11"/>
        <v>-101</v>
      </c>
      <c r="AA28" s="1058">
        <f t="shared" si="11"/>
        <v>-146</v>
      </c>
      <c r="AB28" s="1058">
        <f t="shared" si="11"/>
        <v>110</v>
      </c>
      <c r="AC28" s="1058">
        <f t="shared" si="11"/>
        <v>-118</v>
      </c>
      <c r="AD28" s="1058">
        <f t="shared" si="11"/>
        <v>-1</v>
      </c>
      <c r="AE28" s="1058">
        <f t="shared" si="11"/>
        <v>-55</v>
      </c>
      <c r="AF28" s="1058">
        <f t="shared" si="11"/>
        <v>-98</v>
      </c>
      <c r="AG28" s="1058">
        <f t="shared" si="11"/>
        <v>-195</v>
      </c>
      <c r="AH28" s="1058">
        <f t="shared" si="11"/>
        <v>-44</v>
      </c>
      <c r="AI28" s="1058">
        <f t="shared" si="11"/>
        <v>-54</v>
      </c>
      <c r="AJ28" s="1058">
        <f t="shared" si="11"/>
        <v>-79</v>
      </c>
      <c r="AK28" s="1058">
        <f t="shared" si="11"/>
        <v>-70</v>
      </c>
      <c r="AL28" s="1058">
        <f t="shared" si="11"/>
        <v>-88</v>
      </c>
      <c r="AM28" s="1058">
        <f t="shared" si="11"/>
        <v>-142</v>
      </c>
      <c r="AN28" s="1058">
        <f t="shared" si="11"/>
        <v>-58</v>
      </c>
      <c r="AO28" s="1752">
        <f t="shared" si="11"/>
        <v>-33</v>
      </c>
      <c r="AP28" s="1058">
        <f t="shared" si="11"/>
        <v>-23</v>
      </c>
      <c r="AQ28" s="1058">
        <f t="shared" si="11"/>
        <v>-60</v>
      </c>
      <c r="AR28" s="1058">
        <f t="shared" si="11"/>
        <v>48</v>
      </c>
      <c r="AS28" s="1058">
        <f t="shared" si="11"/>
        <v>-20</v>
      </c>
      <c r="AT28" s="1058">
        <f t="shared" si="11"/>
        <v>947</v>
      </c>
      <c r="AU28" s="1057">
        <f>SUM(B28:AT28)</f>
        <v>-592</v>
      </c>
      <c r="AV28" s="817">
        <f>SUM('Summary Total Pigs'!AF12:AF14)</f>
        <v>24899</v>
      </c>
      <c r="AW28" s="1170"/>
    </row>
    <row r="29" spans="1:52" ht="15.6">
      <c r="A29" s="1066" t="s">
        <v>199</v>
      </c>
      <c r="F29" s="1769"/>
      <c r="S29" s="817"/>
      <c r="T29" s="817"/>
      <c r="U29" s="817"/>
      <c r="V29" s="817"/>
      <c r="W29" s="817"/>
      <c r="X29" s="817"/>
      <c r="Y29" s="817"/>
      <c r="Z29" s="817"/>
      <c r="AA29" s="817"/>
      <c r="AB29" s="817"/>
      <c r="AC29" s="817"/>
      <c r="AD29" s="817"/>
      <c r="AE29" s="817"/>
      <c r="AF29" s="817"/>
      <c r="AG29" s="817"/>
      <c r="AH29" s="817"/>
      <c r="AI29" s="817"/>
      <c r="AJ29" s="817"/>
      <c r="AK29" s="817"/>
      <c r="AL29" s="817"/>
      <c r="AM29" s="817"/>
      <c r="AN29" s="817"/>
      <c r="AO29" s="817"/>
      <c r="AP29" s="817"/>
      <c r="AQ29" s="817"/>
      <c r="AR29" s="817"/>
      <c r="AS29" s="817"/>
      <c r="AT29" s="817"/>
      <c r="AU29" s="1057"/>
      <c r="AV29" s="817"/>
      <c r="AW29" s="818"/>
    </row>
    <row r="30" spans="1:52">
      <c r="A30" s="142" t="s">
        <v>1803</v>
      </c>
      <c r="B30" s="818"/>
      <c r="C30" s="818"/>
      <c r="D30" s="818"/>
      <c r="E30" s="818"/>
      <c r="F30" s="1060"/>
      <c r="G30" s="818">
        <f>+'[77]Grasmere Pig Cost'!B53</f>
        <v>2108967.1022918983</v>
      </c>
      <c r="H30" s="818">
        <f>+'[77]Grasmere Pig Cost'!C53</f>
        <v>2108967.1022918983</v>
      </c>
      <c r="I30" s="818">
        <f>+'[77]Grasmere Pig Cost'!D53</f>
        <v>2108967.1022918983</v>
      </c>
      <c r="J30" s="818">
        <f>+'[77]Grasmere Pig Cost'!E53</f>
        <v>2108967.1022918983</v>
      </c>
      <c r="K30" s="818">
        <f>+'[77]Grasmere Pig Cost'!F53</f>
        <v>3971233.9457747443</v>
      </c>
      <c r="L30" s="818">
        <f>+'[77]Grasmere Pig Cost'!G53</f>
        <v>3971233.9457747443</v>
      </c>
      <c r="M30" s="818">
        <f>+'[77]Grasmere Pig Cost'!H53</f>
        <v>3971233.9457747443</v>
      </c>
      <c r="N30" s="818">
        <f>+'[77]Grasmere Pig Cost'!I53</f>
        <v>3971233.9457747443</v>
      </c>
      <c r="O30" s="818">
        <f>+'[77]Grasmere Pig Cost'!J53</f>
        <v>6295362.677397049</v>
      </c>
      <c r="P30" s="818">
        <f>+'[77]Grasmere Pig Cost'!K53</f>
        <v>6295362.677397049</v>
      </c>
      <c r="Q30" s="818">
        <f>+'[77]Grasmere Pig Cost'!L53</f>
        <v>6295362.677397049</v>
      </c>
      <c r="R30" s="818">
        <f>+'[77]Grasmere Pig Cost'!M53</f>
        <v>6295362.677397049</v>
      </c>
      <c r="S30" s="818">
        <f>+'[77]Grasmere Pig Cost'!N53</f>
        <v>6518227.5003709793</v>
      </c>
      <c r="T30" s="818">
        <f>+'[77]Grasmere Pig Cost'!O53</f>
        <v>8502156.0069268756</v>
      </c>
      <c r="U30" s="818">
        <f>+'[77]Grasmere Pig Cost'!P53</f>
        <v>8502156.0069268756</v>
      </c>
      <c r="V30" s="818">
        <f>+'[77]Grasmere Pig Cost'!Q53</f>
        <v>8502156.0069268756</v>
      </c>
      <c r="W30" s="818">
        <f>+'[77]Grasmere Pig Cost'!R53</f>
        <v>10764243.899276987</v>
      </c>
      <c r="X30" s="818">
        <f>+'[77]Grasmere Pig Cost'!S53</f>
        <v>11492712.657556728</v>
      </c>
      <c r="Y30" s="818">
        <f>+'[77]Grasmere Pig Cost'!T53</f>
        <v>13926553.766259775</v>
      </c>
      <c r="Z30" s="818">
        <f>+'[77]Grasmere Pig Cost'!U53</f>
        <v>15411232.684708843</v>
      </c>
      <c r="AA30" s="818">
        <f>+'[77]Grasmere Pig Cost'!V53</f>
        <v>17846400.361557946</v>
      </c>
      <c r="AB30" s="818">
        <f>+'[77]Grasmere Pig Cost'!W53</f>
        <v>11983327.528362531</v>
      </c>
      <c r="AC30" s="818">
        <f>+'[77]Grasmere Pig Cost'!X53</f>
        <v>16337005.85237585</v>
      </c>
      <c r="AD30" s="818">
        <f>+'[77]Grasmere Pig Cost'!Y53</f>
        <v>18992720.491035692</v>
      </c>
      <c r="AE30" s="818">
        <f>+'[77]Grasmere Pig Cost'!Z53</f>
        <v>26165623.995955117</v>
      </c>
      <c r="AF30" s="818">
        <f>+'[77]Grasmere Pig Cost'!AA53</f>
        <v>22500320.0108767</v>
      </c>
      <c r="AG30" s="818">
        <f>+'[77]Grasmere Pig Cost'!AB53</f>
        <v>25319165.526393589</v>
      </c>
      <c r="AH30" s="818">
        <f>+'[77]Grasmere Pig Cost'!AC53</f>
        <v>30550472.654249322</v>
      </c>
      <c r="AI30" s="818">
        <f>+'[77]Grasmere Pig Cost'!AD53</f>
        <v>39263792.168004915</v>
      </c>
      <c r="AJ30" s="818">
        <f>+'[77]Grasmere Pig Cost'!AE53</f>
        <v>35260844.801694304</v>
      </c>
      <c r="AK30" s="818">
        <f>+'[77]Grasmere Pig Cost'!AF53</f>
        <v>38341063.53972137</v>
      </c>
      <c r="AL30" s="818">
        <f>+'[77]Grasmere Pig Cost'!AG53</f>
        <v>42814335.592647754</v>
      </c>
      <c r="AM30" s="818">
        <f>+'[77]Grasmere Pig Cost'!AH53</f>
        <v>54431737.536433913</v>
      </c>
      <c r="AN30" s="818">
        <f>+'[77]Grasmere Pig Cost'!AI53</f>
        <v>57131364.048621945</v>
      </c>
      <c r="AO30" s="818">
        <f>+'[77]Grasmere Pig Cost'!AJ53</f>
        <v>54691450.85611663</v>
      </c>
      <c r="AP30" s="818">
        <f>+'[77]Grasmere Pig Cost'!AK53</f>
        <v>58315032.689254895</v>
      </c>
      <c r="AQ30" s="818">
        <f>+'[77]Grasmere Pig Cost'!AL53</f>
        <v>58366890.728710264</v>
      </c>
      <c r="AR30" s="818">
        <f>+'[77]Grasmere Pig Cost'!AM53</f>
        <v>70481541.985478923</v>
      </c>
      <c r="AS30" s="818">
        <f>+'[77]Grasmere Pig Cost'!AN53</f>
        <v>66735761.269328125</v>
      </c>
      <c r="AT30" s="818">
        <f>+'[77]Grasmere Pig Cost'!AO53</f>
        <v>65162428.378545783</v>
      </c>
      <c r="AU30" s="1057">
        <f>SUM(B30:AT30)</f>
        <v>943812973.44617426</v>
      </c>
      <c r="AV30" s="817">
        <f>+'[77]Grasmere Pig Cost'!$AU$53</f>
        <v>943812973.44617426</v>
      </c>
      <c r="AW30" s="1170">
        <f>+AU30-AV30</f>
        <v>0</v>
      </c>
      <c r="AZ30" s="817"/>
    </row>
    <row r="31" spans="1:52" ht="15.6">
      <c r="A31" s="1066" t="s">
        <v>212</v>
      </c>
      <c r="B31" s="1101"/>
      <c r="C31" s="1101"/>
      <c r="D31" s="1101"/>
      <c r="E31" s="1101"/>
      <c r="F31" s="1511"/>
      <c r="G31" s="1101"/>
      <c r="H31" s="1101"/>
      <c r="I31" s="1101"/>
      <c r="J31" s="1101"/>
      <c r="K31" s="1101"/>
      <c r="L31" s="1101"/>
      <c r="M31" s="1101"/>
      <c r="N31" s="1101"/>
      <c r="O31" s="1101"/>
      <c r="P31" s="1101"/>
      <c r="Q31" s="1101"/>
      <c r="R31" s="1101"/>
      <c r="S31" s="1101">
        <f>-T32/-T10*S9</f>
        <v>0</v>
      </c>
      <c r="T31" s="1101">
        <f>S30/S8*T9</f>
        <v>209793.25038619171</v>
      </c>
      <c r="U31" s="1101">
        <f>-T32/-T10*U9</f>
        <v>433152.0527546443</v>
      </c>
      <c r="V31" s="1101">
        <f>-U32/-U10*V9</f>
        <v>725218.57756727154</v>
      </c>
      <c r="W31" s="1101">
        <f>+W9/(V7+V8)*V30</f>
        <v>1214593.7152752678</v>
      </c>
      <c r="X31" s="1101">
        <f t="shared" ref="X31:Y31" si="12">-W32</f>
        <v>1421692.5904705455</v>
      </c>
      <c r="Y31" s="1101">
        <f t="shared" si="12"/>
        <v>931592.27802024828</v>
      </c>
      <c r="Z31" s="1101">
        <f>-V32/-V10*Z9</f>
        <v>0</v>
      </c>
      <c r="AA31" s="1101">
        <f>-Z32</f>
        <v>0</v>
      </c>
      <c r="AB31" s="1101"/>
      <c r="AC31" s="1101">
        <f>-AN32/13*3</f>
        <v>0</v>
      </c>
      <c r="AD31" s="1101"/>
      <c r="AE31" s="1101">
        <f>-AN32/13*3</f>
        <v>0</v>
      </c>
      <c r="AF31" s="1101"/>
      <c r="AG31" s="1101"/>
      <c r="AH31" s="1101"/>
      <c r="AI31" s="1101"/>
      <c r="AJ31" s="1101"/>
      <c r="AK31" s="1101"/>
      <c r="AL31" s="1101"/>
      <c r="AM31" s="1101"/>
      <c r="AN31" s="1101"/>
      <c r="AO31" s="1101">
        <f>-AS32</f>
        <v>868578.237778674</v>
      </c>
      <c r="AP31" s="1101"/>
      <c r="AQ31" s="1101">
        <f>-AN32/13*5</f>
        <v>0</v>
      </c>
      <c r="AR31" s="1101"/>
      <c r="AS31" s="1101"/>
      <c r="AT31" s="1101">
        <v>0</v>
      </c>
      <c r="AU31" s="807">
        <f>SUM(B31:AT31)</f>
        <v>5804620.7022528434</v>
      </c>
      <c r="AV31" s="1101"/>
      <c r="AW31" s="1101">
        <f>AV31+AV32</f>
        <v>0</v>
      </c>
      <c r="AZ31" s="817"/>
    </row>
    <row r="32" spans="1:52" ht="15.6">
      <c r="A32" s="1066" t="s">
        <v>1788</v>
      </c>
      <c r="B32" s="1101"/>
      <c r="C32" s="1101"/>
      <c r="D32" s="1101"/>
      <c r="E32" s="1101"/>
      <c r="F32" s="1101"/>
      <c r="G32" s="1101"/>
      <c r="H32" s="1101"/>
      <c r="I32" s="1101"/>
      <c r="J32" s="1101"/>
      <c r="K32" s="1101"/>
      <c r="L32" s="1101"/>
      <c r="M32" s="1101"/>
      <c r="N32" s="1101"/>
      <c r="O32" s="1101"/>
      <c r="P32" s="1101"/>
      <c r="Q32" s="1101"/>
      <c r="R32" s="1101"/>
      <c r="S32" s="1101">
        <f>S30/S8*S10</f>
        <v>-209793.25038619171</v>
      </c>
      <c r="T32" s="1101">
        <f>T30/T8*T10</f>
        <v>-433152.0527546443</v>
      </c>
      <c r="U32" s="1101">
        <f>U30/U8*U10</f>
        <v>-725218.57756727154</v>
      </c>
      <c r="V32" s="1101">
        <f>V30/V8*V10</f>
        <v>-1214593.7152752678</v>
      </c>
      <c r="W32" s="1101">
        <f>+W10/(W7+W8)*W30</f>
        <v>-1421692.5904705455</v>
      </c>
      <c r="X32" s="1101">
        <f>+X10/(X7+X8)*X30</f>
        <v>-931592.27802024828</v>
      </c>
      <c r="Y32" s="1101">
        <f>+Y10/(Y7+Y8)*Y30</f>
        <v>0</v>
      </c>
      <c r="Z32" s="1101">
        <f>+Z10/(Z7+Z8)*Z30</f>
        <v>0</v>
      </c>
      <c r="AA32" s="1101">
        <f>+AA10/(AA7+AA8)*AA30</f>
        <v>0</v>
      </c>
      <c r="AB32" s="1101">
        <f t="shared" ref="AB32:AS32" si="13">AB30/AB7*AB10</f>
        <v>0</v>
      </c>
      <c r="AC32" s="1101">
        <f t="shared" si="13"/>
        <v>0</v>
      </c>
      <c r="AD32" s="1101">
        <f t="shared" si="13"/>
        <v>0</v>
      </c>
      <c r="AE32" s="1101">
        <f t="shared" si="13"/>
        <v>0</v>
      </c>
      <c r="AF32" s="1101">
        <f t="shared" si="13"/>
        <v>0</v>
      </c>
      <c r="AG32" s="1101">
        <f t="shared" si="13"/>
        <v>0</v>
      </c>
      <c r="AH32" s="1101">
        <f t="shared" si="13"/>
        <v>0</v>
      </c>
      <c r="AI32" s="1101">
        <f t="shared" si="13"/>
        <v>0</v>
      </c>
      <c r="AJ32" s="1101">
        <f t="shared" si="13"/>
        <v>0</v>
      </c>
      <c r="AK32" s="1101">
        <f t="shared" si="13"/>
        <v>0</v>
      </c>
      <c r="AL32" s="1101">
        <f t="shared" si="13"/>
        <v>0</v>
      </c>
      <c r="AM32" s="1101">
        <f t="shared" si="13"/>
        <v>0</v>
      </c>
      <c r="AN32" s="1101">
        <f t="shared" si="13"/>
        <v>0</v>
      </c>
      <c r="AO32" s="1101">
        <f t="shared" si="13"/>
        <v>0</v>
      </c>
      <c r="AP32" s="1101">
        <f t="shared" si="13"/>
        <v>0</v>
      </c>
      <c r="AQ32" s="1101">
        <f t="shared" si="13"/>
        <v>0</v>
      </c>
      <c r="AR32" s="1101">
        <f t="shared" si="13"/>
        <v>0</v>
      </c>
      <c r="AS32" s="1101">
        <f t="shared" si="13"/>
        <v>-868578.237778674</v>
      </c>
      <c r="AT32" s="1101">
        <v>0</v>
      </c>
      <c r="AU32" s="807">
        <f t="shared" ref="AU32" si="14">SUM(B32:AT32)</f>
        <v>-5804620.7022528434</v>
      </c>
      <c r="AV32" s="1101"/>
      <c r="AW32" s="1101">
        <f>AV32+AV31</f>
        <v>0</v>
      </c>
      <c r="AZ32" s="817"/>
    </row>
    <row r="33" spans="1:52">
      <c r="A33" s="1059" t="s">
        <v>1804</v>
      </c>
      <c r="B33" s="1059">
        <f>SUM(B30:B32)</f>
        <v>0</v>
      </c>
      <c r="C33" s="1059">
        <f t="shared" ref="C33:AT33" si="15">SUM(C30:C32)</f>
        <v>0</v>
      </c>
      <c r="D33" s="1059">
        <f t="shared" si="15"/>
        <v>0</v>
      </c>
      <c r="E33" s="1059">
        <f t="shared" si="15"/>
        <v>0</v>
      </c>
      <c r="F33" s="1059">
        <f>SUM(F30:F32)</f>
        <v>0</v>
      </c>
      <c r="G33" s="1059">
        <f>SUM(G30:G32)</f>
        <v>2108967.1022918983</v>
      </c>
      <c r="H33" s="1059">
        <f>SUM(H30:H32)</f>
        <v>2108967.1022918983</v>
      </c>
      <c r="I33" s="1059">
        <f t="shared" si="15"/>
        <v>2108967.1022918983</v>
      </c>
      <c r="J33" s="1059">
        <f t="shared" si="15"/>
        <v>2108967.1022918983</v>
      </c>
      <c r="K33" s="1059">
        <f>SUM(K30:K32)</f>
        <v>3971233.9457747443</v>
      </c>
      <c r="L33" s="1059">
        <f t="shared" si="15"/>
        <v>3971233.9457747443</v>
      </c>
      <c r="M33" s="1059">
        <f t="shared" si="15"/>
        <v>3971233.9457747443</v>
      </c>
      <c r="N33" s="1059">
        <f t="shared" si="15"/>
        <v>3971233.9457747443</v>
      </c>
      <c r="O33" s="1059">
        <f t="shared" si="15"/>
        <v>6295362.677397049</v>
      </c>
      <c r="P33" s="1059">
        <f t="shared" si="15"/>
        <v>6295362.677397049</v>
      </c>
      <c r="Q33" s="1059">
        <f t="shared" si="15"/>
        <v>6295362.677397049</v>
      </c>
      <c r="R33" s="1059">
        <f t="shared" si="15"/>
        <v>6295362.677397049</v>
      </c>
      <c r="S33" s="1059">
        <f>SUM(S30:S32)</f>
        <v>6308434.2499847878</v>
      </c>
      <c r="T33" s="1059">
        <f t="shared" si="15"/>
        <v>8278797.2045584228</v>
      </c>
      <c r="U33" s="1059">
        <f t="shared" si="15"/>
        <v>8210089.482114248</v>
      </c>
      <c r="V33" s="1059">
        <f t="shared" si="15"/>
        <v>8012780.8692188794</v>
      </c>
      <c r="W33" s="1059">
        <f t="shared" si="15"/>
        <v>10557145.024081709</v>
      </c>
      <c r="X33" s="1059">
        <f>SUM(X30:X32)</f>
        <v>11982812.970007025</v>
      </c>
      <c r="Y33" s="1059">
        <f>SUM(Y30:Y32)</f>
        <v>14858146.044280022</v>
      </c>
      <c r="Z33" s="1059">
        <f>SUM(Z30:Z32)</f>
        <v>15411232.684708843</v>
      </c>
      <c r="AA33" s="1059">
        <f t="shared" si="15"/>
        <v>17846400.361557946</v>
      </c>
      <c r="AB33" s="1059">
        <f t="shared" si="15"/>
        <v>11983327.528362531</v>
      </c>
      <c r="AC33" s="1059">
        <f t="shared" si="15"/>
        <v>16337005.85237585</v>
      </c>
      <c r="AD33" s="1059">
        <f t="shared" si="15"/>
        <v>18992720.491035692</v>
      </c>
      <c r="AE33" s="1059">
        <f t="shared" si="15"/>
        <v>26165623.995955117</v>
      </c>
      <c r="AF33" s="1059">
        <f t="shared" si="15"/>
        <v>22500320.0108767</v>
      </c>
      <c r="AG33" s="1059">
        <f t="shared" si="15"/>
        <v>25319165.526393589</v>
      </c>
      <c r="AH33" s="1059">
        <f t="shared" si="15"/>
        <v>30550472.654249322</v>
      </c>
      <c r="AI33" s="1059">
        <f t="shared" si="15"/>
        <v>39263792.168004915</v>
      </c>
      <c r="AJ33" s="1059">
        <f t="shared" si="15"/>
        <v>35260844.801694304</v>
      </c>
      <c r="AK33" s="1059">
        <f t="shared" si="15"/>
        <v>38341063.53972137</v>
      </c>
      <c r="AL33" s="1059">
        <f t="shared" si="15"/>
        <v>42814335.592647754</v>
      </c>
      <c r="AM33" s="1059">
        <f t="shared" si="15"/>
        <v>54431737.536433913</v>
      </c>
      <c r="AN33" s="1059">
        <f t="shared" si="15"/>
        <v>57131364.048621945</v>
      </c>
      <c r="AO33" s="1059">
        <f t="shared" si="15"/>
        <v>55560029.093895301</v>
      </c>
      <c r="AP33" s="1059">
        <f>SUM(AP30:AP32)</f>
        <v>58315032.689254895</v>
      </c>
      <c r="AQ33" s="1059">
        <f t="shared" si="15"/>
        <v>58366890.728710264</v>
      </c>
      <c r="AR33" s="1059">
        <f t="shared" si="15"/>
        <v>70481541.985478923</v>
      </c>
      <c r="AS33" s="1059">
        <f t="shared" si="15"/>
        <v>65867183.031549454</v>
      </c>
      <c r="AT33" s="1059">
        <f t="shared" si="15"/>
        <v>65162428.378545783</v>
      </c>
      <c r="AU33" s="1059">
        <f>SUM(AU30:AU32)</f>
        <v>943812973.44617426</v>
      </c>
      <c r="AV33" s="1059"/>
      <c r="AW33" s="1738"/>
      <c r="AZ33" s="817"/>
    </row>
    <row r="34" spans="1:52">
      <c r="A34" s="1059" t="s">
        <v>1805</v>
      </c>
      <c r="B34" s="1059"/>
      <c r="C34" s="1059"/>
      <c r="D34" s="1059"/>
      <c r="E34" s="1059"/>
      <c r="F34" s="1059"/>
      <c r="G34" s="1059"/>
      <c r="H34" s="1059"/>
      <c r="I34" s="1059"/>
      <c r="J34" s="1059"/>
      <c r="K34" s="1059"/>
      <c r="L34" s="1059"/>
      <c r="M34" s="1059"/>
      <c r="N34" s="1059"/>
      <c r="O34" s="1059"/>
      <c r="P34" s="1059"/>
      <c r="Q34" s="1059"/>
      <c r="R34" s="1059"/>
      <c r="S34" s="1059">
        <f>S33/S11</f>
        <v>4878.9127996788766</v>
      </c>
      <c r="T34" s="1059">
        <f t="shared" ref="T34:AS34" si="16">T33/T11</f>
        <v>6146.1003745793787</v>
      </c>
      <c r="U34" s="1059">
        <f t="shared" si="16"/>
        <v>5910.7915637971546</v>
      </c>
      <c r="V34" s="1059">
        <f t="shared" si="16"/>
        <v>5793.7678013151699</v>
      </c>
      <c r="W34" s="1059">
        <f t="shared" si="16"/>
        <v>7762.6066353541974</v>
      </c>
      <c r="X34" s="1059">
        <f>X33/X11</f>
        <v>9077.8886136416859</v>
      </c>
      <c r="Y34" s="1059">
        <f t="shared" si="16"/>
        <v>11088.168689761211</v>
      </c>
      <c r="Z34" s="1059">
        <f t="shared" si="16"/>
        <v>12144.391398509726</v>
      </c>
      <c r="AA34" s="1059">
        <f t="shared" si="16"/>
        <v>14580.392452253223</v>
      </c>
      <c r="AB34" s="1059">
        <f t="shared" si="16"/>
        <v>10268.489741527448</v>
      </c>
      <c r="AC34" s="1059">
        <f t="shared" si="16"/>
        <v>16175.25331918401</v>
      </c>
      <c r="AD34" s="1059">
        <f t="shared" si="16"/>
        <v>17816.810967200461</v>
      </c>
      <c r="AE34" s="1059">
        <f t="shared" si="16"/>
        <v>27865.414266192882</v>
      </c>
      <c r="AF34" s="1059">
        <f t="shared" si="16"/>
        <v>23835.08475728464</v>
      </c>
      <c r="AG34" s="1059">
        <f t="shared" si="16"/>
        <v>30106.023218066097</v>
      </c>
      <c r="AH34" s="1059">
        <f t="shared" si="16"/>
        <v>32192.278876975048</v>
      </c>
      <c r="AI34" s="1059">
        <f t="shared" si="16"/>
        <v>42173.783209457484</v>
      </c>
      <c r="AJ34" s="1059">
        <f t="shared" si="16"/>
        <v>37631.63799540481</v>
      </c>
      <c r="AK34" s="1059">
        <f t="shared" si="16"/>
        <v>41720.41734463696</v>
      </c>
      <c r="AL34" s="1059">
        <f t="shared" si="16"/>
        <v>47571.483991830835</v>
      </c>
      <c r="AM34" s="1059">
        <f t="shared" si="16"/>
        <v>59683.922737317887</v>
      </c>
      <c r="AN34" s="1059">
        <f t="shared" si="16"/>
        <v>62302.468973415424</v>
      </c>
      <c r="AO34" s="1059">
        <f t="shared" si="16"/>
        <v>59359.005442195834</v>
      </c>
      <c r="AP34" s="1059">
        <f t="shared" si="16"/>
        <v>61448.928018182189</v>
      </c>
      <c r="AQ34" s="1059">
        <f t="shared" si="16"/>
        <v>67165.581966294892</v>
      </c>
      <c r="AR34" s="1059">
        <f t="shared" si="16"/>
        <v>74741.826071557705</v>
      </c>
      <c r="AS34" s="1059">
        <f t="shared" si="16"/>
        <v>72381.519814889514</v>
      </c>
      <c r="AT34" s="1059">
        <v>0</v>
      </c>
      <c r="AU34" s="1059">
        <f>AU33/AU11</f>
        <v>31554.042775105288</v>
      </c>
      <c r="AV34" s="1059"/>
      <c r="AW34" s="1738"/>
      <c r="AZ34" s="817"/>
    </row>
    <row r="35" spans="1:52">
      <c r="B35" s="818"/>
      <c r="C35" s="818"/>
      <c r="D35" s="818"/>
      <c r="E35" s="818"/>
      <c r="F35" s="818"/>
      <c r="G35" s="818"/>
      <c r="H35" s="818"/>
      <c r="I35" s="818"/>
      <c r="J35" s="818"/>
      <c r="K35" s="818"/>
      <c r="L35" s="818"/>
      <c r="M35" s="818"/>
      <c r="N35" s="818"/>
      <c r="O35" s="818"/>
      <c r="P35" s="818"/>
      <c r="Q35" s="818"/>
      <c r="R35" s="818"/>
      <c r="S35" s="818"/>
      <c r="T35" s="818"/>
      <c r="U35" s="818"/>
      <c r="V35" s="818"/>
      <c r="W35" s="818"/>
      <c r="X35" s="818"/>
      <c r="Y35" s="818"/>
      <c r="Z35" s="818"/>
      <c r="AA35" s="818"/>
      <c r="AB35" s="818"/>
      <c r="AC35" s="818"/>
      <c r="AD35" s="818"/>
      <c r="AE35" s="818"/>
      <c r="AF35" s="818"/>
      <c r="AG35" s="818"/>
      <c r="AH35" s="818"/>
      <c r="AI35" s="818"/>
      <c r="AJ35" s="818"/>
      <c r="AK35" s="818"/>
      <c r="AL35" s="818"/>
      <c r="AM35" s="818"/>
      <c r="AN35" s="818"/>
      <c r="AO35" s="818"/>
      <c r="AP35" s="818"/>
      <c r="AQ35" s="818"/>
      <c r="AR35" s="818"/>
      <c r="AS35" s="818"/>
      <c r="AT35" s="818"/>
      <c r="AU35" s="1057"/>
      <c r="AV35" s="817"/>
      <c r="AW35" s="1170"/>
      <c r="AZ35" s="817"/>
    </row>
    <row r="36" spans="1:52" ht="15.6">
      <c r="A36" s="1687" t="s">
        <v>1806</v>
      </c>
      <c r="B36" s="1763">
        <f>B33+SUM(B41:B49)</f>
        <v>0</v>
      </c>
      <c r="C36" s="1763">
        <f t="shared" ref="C36:AU36" si="17">C33+SUM(C41:C49)</f>
        <v>0</v>
      </c>
      <c r="D36" s="1763">
        <f t="shared" si="17"/>
        <v>0</v>
      </c>
      <c r="E36" s="1763">
        <f t="shared" si="17"/>
        <v>0</v>
      </c>
      <c r="F36" s="1763">
        <f t="shared" si="17"/>
        <v>0</v>
      </c>
      <c r="G36" s="1763">
        <f t="shared" si="17"/>
        <v>2108967.1022918983</v>
      </c>
      <c r="H36" s="1763">
        <f t="shared" si="17"/>
        <v>2108967.1022918983</v>
      </c>
      <c r="I36" s="1763">
        <f t="shared" si="17"/>
        <v>2108967.1022918983</v>
      </c>
      <c r="J36" s="1763">
        <f t="shared" si="17"/>
        <v>2108967.1022918983</v>
      </c>
      <c r="K36" s="1763">
        <f t="shared" si="17"/>
        <v>3971233.9457747443</v>
      </c>
      <c r="L36" s="1763">
        <f t="shared" si="17"/>
        <v>3971233.9457747443</v>
      </c>
      <c r="M36" s="1763">
        <f t="shared" si="17"/>
        <v>3971233.9457747443</v>
      </c>
      <c r="N36" s="1763">
        <f t="shared" si="17"/>
        <v>3971233.9457747443</v>
      </c>
      <c r="O36" s="1763">
        <f t="shared" si="17"/>
        <v>6295362.677397049</v>
      </c>
      <c r="P36" s="1763">
        <f t="shared" si="17"/>
        <v>6295362.677397049</v>
      </c>
      <c r="Q36" s="1763">
        <f t="shared" si="17"/>
        <v>6295362.677397049</v>
      </c>
      <c r="R36" s="1763">
        <f t="shared" si="17"/>
        <v>6295362.677397049</v>
      </c>
      <c r="S36" s="1763">
        <f t="shared" si="17"/>
        <v>6308434.2499847878</v>
      </c>
      <c r="T36" s="1763">
        <f t="shared" si="17"/>
        <v>8278797.2045584228</v>
      </c>
      <c r="U36" s="1763">
        <f t="shared" si="17"/>
        <v>8210089.482114248</v>
      </c>
      <c r="V36" s="1763">
        <f t="shared" si="17"/>
        <v>8012780.8692188794</v>
      </c>
      <c r="W36" s="1763">
        <f>W33+SUM(W41:W49)</f>
        <v>10192302.512220062</v>
      </c>
      <c r="X36" s="1763">
        <f>X33+SUM(X41:X49)</f>
        <v>9622561.9304601867</v>
      </c>
      <c r="Y36" s="1763">
        <f t="shared" si="17"/>
        <v>12662688.643707301</v>
      </c>
      <c r="Z36" s="1763">
        <f t="shared" si="17"/>
        <v>12217257.746900786</v>
      </c>
      <c r="AA36" s="1763">
        <f t="shared" si="17"/>
        <v>13909694.399449576</v>
      </c>
      <c r="AB36" s="1763">
        <f t="shared" si="17"/>
        <v>11983327.528362531</v>
      </c>
      <c r="AC36" s="1763">
        <f t="shared" si="17"/>
        <v>16337005.85237585</v>
      </c>
      <c r="AD36" s="1763">
        <f t="shared" si="17"/>
        <v>18992720.491035692</v>
      </c>
      <c r="AE36" s="1763">
        <f t="shared" si="17"/>
        <v>26165623.995955117</v>
      </c>
      <c r="AF36" s="1763">
        <f t="shared" si="17"/>
        <v>22452649.84136213</v>
      </c>
      <c r="AG36" s="1763">
        <f t="shared" si="17"/>
        <v>25228847.456739392</v>
      </c>
      <c r="AH36" s="1763">
        <f t="shared" si="17"/>
        <v>30518280.375372346</v>
      </c>
      <c r="AI36" s="1763">
        <f t="shared" si="17"/>
        <v>39137270.818376541</v>
      </c>
      <c r="AJ36" s="1763">
        <f t="shared" si="17"/>
        <v>35185581.525703497</v>
      </c>
      <c r="AK36" s="1763">
        <f t="shared" si="17"/>
        <v>38007300.200964272</v>
      </c>
      <c r="AL36" s="1763">
        <f t="shared" si="17"/>
        <v>42386192.236721277</v>
      </c>
      <c r="AM36" s="1763">
        <f t="shared" si="17"/>
        <v>53954266.154535368</v>
      </c>
      <c r="AN36" s="1763">
        <f>AN33+SUM(AN41:AN49)</f>
        <v>57006759.110675111</v>
      </c>
      <c r="AO36" s="1763">
        <f t="shared" si="17"/>
        <v>59537082.458522424</v>
      </c>
      <c r="AP36" s="1763">
        <f t="shared" si="17"/>
        <v>57700543.40907307</v>
      </c>
      <c r="AQ36" s="1763">
        <f t="shared" si="17"/>
        <v>57896731.654946201</v>
      </c>
      <c r="AR36" s="1763">
        <f t="shared" si="17"/>
        <v>69584640.072620228</v>
      </c>
      <c r="AS36" s="1763">
        <f t="shared" si="17"/>
        <v>65867183.031549454</v>
      </c>
      <c r="AT36" s="1763">
        <f t="shared" si="17"/>
        <v>65162428.378545783</v>
      </c>
      <c r="AU36" s="1763">
        <f t="shared" si="17"/>
        <v>932021296.53390527</v>
      </c>
      <c r="AV36" s="817"/>
      <c r="AW36" s="1170"/>
      <c r="AZ36" s="817"/>
    </row>
    <row r="37" spans="1:52" ht="15.6">
      <c r="A37" s="1066" t="s">
        <v>1807</v>
      </c>
      <c r="B37" s="1318">
        <f>B69*$B$61</f>
        <v>5303.9237668161441</v>
      </c>
      <c r="C37" s="1318">
        <f>C69*$B$61</f>
        <v>5303.9237668161441</v>
      </c>
      <c r="D37" s="1318">
        <f>D69*$B$61</f>
        <v>5303.9237668161441</v>
      </c>
      <c r="E37" s="1318">
        <f t="shared" ref="E37:R37" si="18">E69*$B$61</f>
        <v>5303.9237668161441</v>
      </c>
      <c r="F37" s="1318">
        <f t="shared" si="18"/>
        <v>4879.6098654708512</v>
      </c>
      <c r="G37" s="1318">
        <f t="shared" si="18"/>
        <v>4879.6098654708512</v>
      </c>
      <c r="H37" s="1318">
        <f t="shared" si="18"/>
        <v>4879.6098654708512</v>
      </c>
      <c r="I37" s="1318">
        <f t="shared" si="18"/>
        <v>4879.6098654708512</v>
      </c>
      <c r="J37" s="1318">
        <f t="shared" si="18"/>
        <v>4879.6098654708512</v>
      </c>
      <c r="K37" s="1318">
        <f t="shared" si="18"/>
        <v>4879.6098654708512</v>
      </c>
      <c r="L37" s="1318">
        <f t="shared" si="18"/>
        <v>4879.6098654708512</v>
      </c>
      <c r="M37" s="1318">
        <f t="shared" si="18"/>
        <v>4879.6098654708512</v>
      </c>
      <c r="N37" s="1318">
        <f t="shared" si="18"/>
        <v>5940.3946188340806</v>
      </c>
      <c r="O37" s="1318">
        <f t="shared" si="18"/>
        <v>5940.3946188340806</v>
      </c>
      <c r="P37" s="1318">
        <f t="shared" si="18"/>
        <v>5940.3946188340806</v>
      </c>
      <c r="Q37" s="1318">
        <f>Q69*$B$61</f>
        <v>5940.3946188340806</v>
      </c>
      <c r="R37" s="1318">
        <f t="shared" si="18"/>
        <v>10607.847533632288</v>
      </c>
      <c r="S37" s="1317">
        <f>S69*$D$61</f>
        <v>14777.419354838708</v>
      </c>
      <c r="T37" s="1317">
        <f>T69*$D$61</f>
        <v>27091.93548387097</v>
      </c>
      <c r="U37" s="1317">
        <f>U69*$D$61</f>
        <v>34480.645161290326</v>
      </c>
      <c r="V37" s="1319">
        <f>V69*'Feed Cost &amp; Allocation'!B73</f>
        <v>0</v>
      </c>
      <c r="W37" s="1060">
        <f>W69*$F$61</f>
        <v>10411.728073842662</v>
      </c>
      <c r="X37" s="1060">
        <f>X69*$F$61</f>
        <v>18953.137721565643</v>
      </c>
      <c r="Y37" s="1060">
        <f>Y69*$F$61</f>
        <v>19592.352037548811</v>
      </c>
      <c r="Z37" s="1551">
        <f>Z7/(Z7+AA7+AB7+AC7)*'Feed Cost &amp; Allocation'!D73</f>
        <v>15788.588222698072</v>
      </c>
      <c r="AA37" s="1551">
        <f>AA7/(Z7+AA7+AB7+AC7)*'Feed Cost &amp; Allocation'!D73</f>
        <v>15228.709207708778</v>
      </c>
      <c r="AB37" s="1551">
        <f>AB7/(AA7+AB7+AC7+Z7)*'Feed Cost &amp; Allocation'!D73</f>
        <v>14519.529122055674</v>
      </c>
      <c r="AC37" s="1551">
        <f>AC7/(AB7+AC7+AA7+Z7)*'Feed Cost &amp; Allocation'!D73</f>
        <v>12566.173447537472</v>
      </c>
      <c r="AD37" s="1320">
        <f>(AD7/(AD7+AE7))*'Feed Cost &amp; Allocation'!F73</f>
        <v>70489.449376558594</v>
      </c>
      <c r="AE37" s="1320">
        <f>'Feed Cost &amp; Allocation'!F73-AD37</f>
        <v>62091.550623441406</v>
      </c>
      <c r="AF37" s="1553">
        <f>AF7/(AF7+AG7)*'Feed Cost &amp; Allocation'!G73</f>
        <v>87015.11708683474</v>
      </c>
      <c r="AG37" s="1553">
        <f>AG7/(AF7+AG7)*'Feed Cost &amp; Allocation'!G73</f>
        <v>77520.88291316526</v>
      </c>
      <c r="AH37" s="1554">
        <f>AH7/(AH7+AI7+AJ7)*'Feed Cost &amp; Allocation'!H73</f>
        <v>87523.571565495207</v>
      </c>
      <c r="AI37" s="1554">
        <f>AI7/(AH7+AI7+AJ7)*'Feed Cost &amp; Allocation'!H73</f>
        <v>85863.482747603819</v>
      </c>
      <c r="AJ37" s="1554">
        <f>AJ7/(AH7+AI7+AJ7)*'Feed Cost &amp; Allocation'!H73</f>
        <v>86416.845686900968</v>
      </c>
      <c r="AK37" s="1552">
        <f>AK7/(AK7+AL7+AM7+AN7+AO7)*'Feed Cost &amp; Allocation'!J73</f>
        <v>0</v>
      </c>
      <c r="AL37" s="1552">
        <f>AL7/(AK7+AL7+AM7+AN7+AO7)*'Feed Cost &amp; Allocation'!J73</f>
        <v>0</v>
      </c>
      <c r="AM37" s="1552">
        <f>AM7/(AK7+AM7+AN7+AO7+AL7)*'Feed Cost &amp; Allocation'!J73</f>
        <v>0</v>
      </c>
      <c r="AN37" s="1552">
        <f>AN7/(+AK7+AN7+AO7+AL7+AM7)*'Feed Cost &amp; Allocation'!J73</f>
        <v>0</v>
      </c>
      <c r="AO37" s="1552">
        <f>AO7/(AK7+AO7+AN7+AL7+AM7)*'Feed Cost &amp; Allocation'!J73</f>
        <v>0</v>
      </c>
      <c r="AP37" s="818">
        <v>0</v>
      </c>
      <c r="AQ37" s="818">
        <v>0</v>
      </c>
      <c r="AR37" s="818">
        <v>0</v>
      </c>
      <c r="AS37" s="818">
        <v>0</v>
      </c>
      <c r="AT37" s="818"/>
      <c r="AU37" s="807">
        <f>SUM(B37:AT37)</f>
        <v>834953.11783295707</v>
      </c>
      <c r="AV37" s="1199">
        <f>+AU37-'Feed Cost &amp; Allocation'!Z73+'Feed Cost &amp; Allocation'!R73+'Feed Cost &amp; Allocation'!Q73+'Feed Cost &amp; Allocation'!P73-F60</f>
        <v>828156.79999999993</v>
      </c>
      <c r="AW37" s="1088">
        <f>+'Feed Cost &amp; Allocation'!P73+'Feed Cost &amp; Allocation'!Q73+'Feed Cost &amp; Allocation'!R73-'Grasmere Pig Cost (2)'!F60</f>
        <v>12207.182167042891</v>
      </c>
      <c r="AX37" s="818"/>
    </row>
    <row r="38" spans="1:52" s="1101" customFormat="1" ht="15.6">
      <c r="A38" s="131" t="s">
        <v>1808</v>
      </c>
      <c r="B38" s="1091">
        <f>SUM(B36:B37)</f>
        <v>5303.9237668161441</v>
      </c>
      <c r="C38" s="1091">
        <f>SUM(C36:C37)</f>
        <v>5303.9237668161441</v>
      </c>
      <c r="D38" s="1091">
        <f>SUM(D36:D37)</f>
        <v>5303.9237668161441</v>
      </c>
      <c r="E38" s="1091">
        <f>SUM(E36:E37)</f>
        <v>5303.9237668161441</v>
      </c>
      <c r="F38" s="1091">
        <f>SUM(F36:F37)</f>
        <v>4879.6098654708512</v>
      </c>
      <c r="G38" s="1091">
        <f t="shared" ref="G38:AT38" si="19">SUM(G36:G37)</f>
        <v>2113846.7121573691</v>
      </c>
      <c r="H38" s="1091">
        <f t="shared" si="19"/>
        <v>2113846.7121573691</v>
      </c>
      <c r="I38" s="1091">
        <f t="shared" si="19"/>
        <v>2113846.7121573691</v>
      </c>
      <c r="J38" s="1091">
        <f t="shared" si="19"/>
        <v>2113846.7121573691</v>
      </c>
      <c r="K38" s="1091">
        <f t="shared" si="19"/>
        <v>3976113.5556402151</v>
      </c>
      <c r="L38" s="1091">
        <f t="shared" si="19"/>
        <v>3976113.5556402151</v>
      </c>
      <c r="M38" s="1091">
        <f t="shared" si="19"/>
        <v>3976113.5556402151</v>
      </c>
      <c r="N38" s="1091">
        <f t="shared" si="19"/>
        <v>3977174.3403935782</v>
      </c>
      <c r="O38" s="1091">
        <f t="shared" si="19"/>
        <v>6301303.0720158834</v>
      </c>
      <c r="P38" s="1091">
        <f t="shared" si="19"/>
        <v>6301303.0720158834</v>
      </c>
      <c r="Q38" s="1091">
        <f t="shared" si="19"/>
        <v>6301303.0720158834</v>
      </c>
      <c r="R38" s="1091">
        <f t="shared" si="19"/>
        <v>6305970.5249306811</v>
      </c>
      <c r="S38" s="1091">
        <f t="shared" si="19"/>
        <v>6323211.6693396261</v>
      </c>
      <c r="T38" s="1091">
        <f>SUM(T36:T37)</f>
        <v>8305889.1400422938</v>
      </c>
      <c r="U38" s="1091">
        <f t="shared" si="19"/>
        <v>8244570.1272755386</v>
      </c>
      <c r="V38" s="1091">
        <f>SUM(V36:V37)</f>
        <v>8012780.8692188794</v>
      </c>
      <c r="W38" s="1091">
        <f>SUM(W36:W37)</f>
        <v>10202714.240293905</v>
      </c>
      <c r="X38" s="1091">
        <f>SUM(X36:X37)</f>
        <v>9641515.0681817532</v>
      </c>
      <c r="Y38" s="1091">
        <f>SUM(Y36:Y37)</f>
        <v>12682280.99574485</v>
      </c>
      <c r="Z38" s="1091">
        <f t="shared" si="19"/>
        <v>12233046.335123483</v>
      </c>
      <c r="AA38" s="1091">
        <f t="shared" si="19"/>
        <v>13924923.108657284</v>
      </c>
      <c r="AB38" s="1091">
        <f t="shared" si="19"/>
        <v>11997847.057484588</v>
      </c>
      <c r="AC38" s="1091">
        <f t="shared" si="19"/>
        <v>16349572.025823388</v>
      </c>
      <c r="AD38" s="1091">
        <f t="shared" si="19"/>
        <v>19063209.940412249</v>
      </c>
      <c r="AE38" s="1091">
        <f t="shared" si="19"/>
        <v>26227715.54657856</v>
      </c>
      <c r="AF38" s="1091">
        <f t="shared" si="19"/>
        <v>22539664.958448965</v>
      </c>
      <c r="AG38" s="1091">
        <f t="shared" si="19"/>
        <v>25306368.339652557</v>
      </c>
      <c r="AH38" s="1091">
        <f t="shared" si="19"/>
        <v>30605803.94693784</v>
      </c>
      <c r="AI38" s="1091">
        <f t="shared" si="19"/>
        <v>39223134.301124148</v>
      </c>
      <c r="AJ38" s="1091">
        <f t="shared" si="19"/>
        <v>35271998.371390395</v>
      </c>
      <c r="AK38" s="1091">
        <f t="shared" si="19"/>
        <v>38007300.200964272</v>
      </c>
      <c r="AL38" s="1091">
        <f t="shared" si="19"/>
        <v>42386192.236721277</v>
      </c>
      <c r="AM38" s="1091">
        <f t="shared" si="19"/>
        <v>53954266.154535368</v>
      </c>
      <c r="AN38" s="1091">
        <f>SUM(AN36:AN37)</f>
        <v>57006759.110675111</v>
      </c>
      <c r="AO38" s="1091">
        <f t="shared" si="19"/>
        <v>59537082.458522424</v>
      </c>
      <c r="AP38" s="1091">
        <f t="shared" si="19"/>
        <v>57700543.40907307</v>
      </c>
      <c r="AQ38" s="1091">
        <f t="shared" si="19"/>
        <v>57896731.654946201</v>
      </c>
      <c r="AR38" s="1091">
        <f t="shared" si="19"/>
        <v>69584640.072620228</v>
      </c>
      <c r="AS38" s="1091">
        <f t="shared" si="19"/>
        <v>65867183.031549454</v>
      </c>
      <c r="AT38" s="1091">
        <f t="shared" si="19"/>
        <v>65162428.378545783</v>
      </c>
      <c r="AU38" s="807">
        <f>SUM(B38:AT38)</f>
        <v>932856249.65173841</v>
      </c>
      <c r="AV38" s="142"/>
      <c r="AW38" s="142"/>
    </row>
    <row r="39" spans="1:52" s="1101" customFormat="1" ht="15.6">
      <c r="A39" s="131" t="s">
        <v>1809</v>
      </c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057">
        <f>S38/SUM(S11:S20)</f>
        <v>4890.3415849494404</v>
      </c>
      <c r="T39" s="1057">
        <f t="shared" ref="T39:AR39" si="20">T38/SUM(T11:T20)</f>
        <v>6166.2131700388227</v>
      </c>
      <c r="U39" s="1057">
        <f t="shared" si="20"/>
        <v>5935.615642386997</v>
      </c>
      <c r="V39" s="1057">
        <f t="shared" si="20"/>
        <v>5793.7678013151699</v>
      </c>
      <c r="W39" s="1057">
        <f t="shared" si="20"/>
        <v>7770.536359705945</v>
      </c>
      <c r="X39" s="1057">
        <f>X38/SUM(X11:X20)</f>
        <v>9095.7689322469378</v>
      </c>
      <c r="Y39" s="1057">
        <f t="shared" si="20"/>
        <v>11105.324864925438</v>
      </c>
      <c r="Z39" s="1057">
        <f t="shared" si="20"/>
        <v>12160.08582020227</v>
      </c>
      <c r="AA39" s="1057">
        <f t="shared" si="20"/>
        <v>14596.355459808474</v>
      </c>
      <c r="AB39" s="1057">
        <f t="shared" si="20"/>
        <v>10280.931497416099</v>
      </c>
      <c r="AC39" s="1057">
        <f t="shared" si="20"/>
        <v>16187.695075072661</v>
      </c>
      <c r="AD39" s="1057">
        <f t="shared" si="20"/>
        <v>17882.936154232881</v>
      </c>
      <c r="AE39" s="1057">
        <f t="shared" si="20"/>
        <v>27931.539453225305</v>
      </c>
      <c r="AF39" s="1057">
        <f t="shared" si="20"/>
        <v>23927.457493045611</v>
      </c>
      <c r="AG39" s="1057">
        <f t="shared" si="20"/>
        <v>30198.530238248874</v>
      </c>
      <c r="AH39" s="1057">
        <f t="shared" si="20"/>
        <v>32284.603319554684</v>
      </c>
      <c r="AI39" s="1057">
        <f t="shared" si="20"/>
        <v>42266.308514142402</v>
      </c>
      <c r="AJ39" s="1057">
        <f t="shared" si="20"/>
        <v>37724.062429294543</v>
      </c>
      <c r="AK39" s="1057">
        <f t="shared" si="20"/>
        <v>41720.41734463696</v>
      </c>
      <c r="AL39" s="1057">
        <f t="shared" si="20"/>
        <v>47571.483991830835</v>
      </c>
      <c r="AM39" s="1057">
        <f t="shared" si="20"/>
        <v>59683.922737317887</v>
      </c>
      <c r="AN39" s="1057">
        <f t="shared" si="20"/>
        <v>62302.468973415424</v>
      </c>
      <c r="AO39" s="1057">
        <f t="shared" si="20"/>
        <v>59359.005442195834</v>
      </c>
      <c r="AP39" s="1057">
        <f>AP38/SUM(AP11:AP20)</f>
        <v>61448.928018182181</v>
      </c>
      <c r="AQ39" s="1057">
        <f>AQ38/SUM(AQ11:AQ20)</f>
        <v>67165.581966294892</v>
      </c>
      <c r="AR39" s="1057">
        <f t="shared" si="20"/>
        <v>74741.826071557705</v>
      </c>
      <c r="AS39" s="1057">
        <f>AS38/SUM(AS11:AS20)</f>
        <v>72381.519814889514</v>
      </c>
      <c r="AT39" s="1057">
        <f>IFERROR(AT38/SUM(AT11:AT20),0)</f>
        <v>68809.322469425329</v>
      </c>
      <c r="AU39" s="1057">
        <f>IFERROR(AU38/SUM(AU11:AU20),0)</f>
        <v>32308.94779384679</v>
      </c>
      <c r="AV39" s="142"/>
      <c r="AW39" s="142"/>
    </row>
    <row r="40" spans="1:52" s="1101" customFormat="1"/>
    <row r="41" spans="1:52">
      <c r="A41" s="1769" t="str">
        <f t="shared" ref="A41:A54" si="21">+A12</f>
        <v>Transfers Lionshead</v>
      </c>
      <c r="S41" s="1059">
        <f t="shared" ref="S41:S49" si="22">S12*$S$34</f>
        <v>0</v>
      </c>
      <c r="T41" s="1059">
        <f t="shared" ref="T41:T49" si="23">T12*$T$34</f>
        <v>0</v>
      </c>
      <c r="U41" s="1059">
        <f t="shared" ref="U41:U49" si="24">U12*$U$34</f>
        <v>0</v>
      </c>
      <c r="V41" s="1059">
        <f t="shared" ref="V41:V49" si="25">V12*$V$34</f>
        <v>0</v>
      </c>
      <c r="W41" s="1059">
        <f t="shared" ref="W41:W49" si="26">W12*$W$34</f>
        <v>0</v>
      </c>
      <c r="X41" s="1059">
        <f t="shared" ref="X41:X49" si="27">X12*$X$34</f>
        <v>0</v>
      </c>
      <c r="Y41" s="1059">
        <f t="shared" ref="Y41:Y49" si="28">Y12*$Y$34</f>
        <v>0</v>
      </c>
      <c r="Z41" s="1059">
        <f t="shared" ref="Z41:Z49" si="29">Z12*$Z$34</f>
        <v>0</v>
      </c>
      <c r="AA41" s="1059">
        <f t="shared" ref="AA41:AA49" si="30">AA12*$AA$34</f>
        <v>0</v>
      </c>
      <c r="AB41" s="1059">
        <f t="shared" ref="AB41:AB49" si="31">AB12*$AB$34</f>
        <v>0</v>
      </c>
      <c r="AC41" s="1059">
        <f t="shared" ref="AC41:AC49" si="32">AC12*$AC$34</f>
        <v>0</v>
      </c>
      <c r="AD41" s="1059">
        <f t="shared" ref="AD41:AD49" si="33">AD12*$AD$34</f>
        <v>0</v>
      </c>
      <c r="AE41" s="1059">
        <f t="shared" ref="AE41:AE49" si="34">AE12*$AE$34</f>
        <v>0</v>
      </c>
      <c r="AF41" s="1059">
        <f t="shared" ref="AF41:AF49" si="35">AF12*$AF$34</f>
        <v>0</v>
      </c>
      <c r="AG41" s="1059">
        <f t="shared" ref="AG41:AG49" si="36">AG12*$AG$34</f>
        <v>0</v>
      </c>
      <c r="AH41" s="1059">
        <f t="shared" ref="AH41:AH49" si="37">AH12*$AH$34</f>
        <v>0</v>
      </c>
      <c r="AI41" s="1059">
        <f t="shared" ref="AI41:AI49" si="38">AI12*$AI$34</f>
        <v>0</v>
      </c>
      <c r="AJ41" s="1059">
        <f t="shared" ref="AJ41:AJ49" si="39">AJ12*$AJ$34</f>
        <v>0</v>
      </c>
      <c r="AK41" s="1059">
        <f t="shared" ref="AK41:AK49" si="40">AK12*$AK$34</f>
        <v>0</v>
      </c>
      <c r="AL41" s="1059">
        <f t="shared" ref="AL41:AL49" si="41">AL12*$AL$34</f>
        <v>0</v>
      </c>
      <c r="AM41" s="1059">
        <f t="shared" ref="AM41:AM49" si="42">AM12*$AM$34</f>
        <v>0</v>
      </c>
      <c r="AN41" s="1059">
        <f t="shared" ref="AN41:AN49" si="43">AN12*$AN$34</f>
        <v>0</v>
      </c>
      <c r="AO41" s="1059">
        <f t="shared" ref="AO41:AO49" si="44">AO12*$AO$34</f>
        <v>0</v>
      </c>
      <c r="AP41" s="1059">
        <f t="shared" ref="AP41:AP49" si="45">AP12*$AP$34</f>
        <v>0</v>
      </c>
      <c r="AQ41" s="1059">
        <f t="shared" ref="AQ41:AQ49" si="46">AQ12*$AQ$34</f>
        <v>0</v>
      </c>
      <c r="AR41" s="1059">
        <f t="shared" ref="AR41:AR49" si="47">AR12*$AR$34</f>
        <v>0</v>
      </c>
      <c r="AS41" s="1059">
        <f t="shared" ref="AS41:AS49" si="48">AS12*$AS$34</f>
        <v>0</v>
      </c>
      <c r="AT41" s="1059">
        <f t="shared" ref="AT41:AT49" si="49">AT12*$AT$34</f>
        <v>0</v>
      </c>
      <c r="AU41" s="1059">
        <f>AU12*AU34</f>
        <v>0</v>
      </c>
      <c r="AZ41" s="1091"/>
    </row>
    <row r="42" spans="1:52" ht="15.6">
      <c r="A42" s="1769" t="str">
        <f t="shared" si="21"/>
        <v>Transfers Lionshead Ext.</v>
      </c>
      <c r="S42" s="1059">
        <f t="shared" si="22"/>
        <v>0</v>
      </c>
      <c r="T42" s="1059">
        <f t="shared" si="23"/>
        <v>0</v>
      </c>
      <c r="U42" s="1059">
        <f t="shared" si="24"/>
        <v>0</v>
      </c>
      <c r="V42" s="1059">
        <f t="shared" si="25"/>
        <v>0</v>
      </c>
      <c r="W42" s="1059">
        <f t="shared" si="26"/>
        <v>0</v>
      </c>
      <c r="X42" s="1059">
        <f t="shared" si="27"/>
        <v>0</v>
      </c>
      <c r="Y42" s="1059">
        <f t="shared" si="28"/>
        <v>0</v>
      </c>
      <c r="Z42" s="1059">
        <f t="shared" si="29"/>
        <v>0</v>
      </c>
      <c r="AA42" s="1059">
        <f t="shared" si="30"/>
        <v>0</v>
      </c>
      <c r="AB42" s="1059">
        <f t="shared" si="31"/>
        <v>0</v>
      </c>
      <c r="AC42" s="1059">
        <f t="shared" si="32"/>
        <v>0</v>
      </c>
      <c r="AD42" s="1059">
        <f t="shared" si="33"/>
        <v>0</v>
      </c>
      <c r="AE42" s="1059">
        <f t="shared" si="34"/>
        <v>0</v>
      </c>
      <c r="AF42" s="1059">
        <f t="shared" si="35"/>
        <v>0</v>
      </c>
      <c r="AG42" s="1059">
        <f t="shared" si="36"/>
        <v>0</v>
      </c>
      <c r="AH42" s="1059">
        <f t="shared" si="37"/>
        <v>0</v>
      </c>
      <c r="AI42" s="1059">
        <f t="shared" si="38"/>
        <v>0</v>
      </c>
      <c r="AJ42" s="1059">
        <f t="shared" si="39"/>
        <v>0</v>
      </c>
      <c r="AK42" s="1059">
        <f t="shared" si="40"/>
        <v>0</v>
      </c>
      <c r="AL42" s="1059">
        <f t="shared" si="41"/>
        <v>0</v>
      </c>
      <c r="AM42" s="1059">
        <f t="shared" si="42"/>
        <v>0</v>
      </c>
      <c r="AN42" s="1059">
        <f t="shared" si="43"/>
        <v>0</v>
      </c>
      <c r="AO42" s="1059">
        <f t="shared" si="44"/>
        <v>0</v>
      </c>
      <c r="AP42" s="1059">
        <f t="shared" si="45"/>
        <v>0</v>
      </c>
      <c r="AQ42" s="1059">
        <f t="shared" si="46"/>
        <v>0</v>
      </c>
      <c r="AR42" s="1059">
        <f t="shared" si="47"/>
        <v>0</v>
      </c>
      <c r="AS42" s="1059">
        <f t="shared" si="48"/>
        <v>0</v>
      </c>
      <c r="AT42" s="1059">
        <f t="shared" si="49"/>
        <v>0</v>
      </c>
      <c r="AU42" s="1282">
        <f t="shared" ref="AU42:AU53" si="50">SUM(B42:AT42)</f>
        <v>0</v>
      </c>
    </row>
    <row r="43" spans="1:52" ht="15.6">
      <c r="A43" s="1769" t="str">
        <f t="shared" si="21"/>
        <v>Transfers  Richlands</v>
      </c>
      <c r="S43" s="1059">
        <f t="shared" si="22"/>
        <v>0</v>
      </c>
      <c r="T43" s="1059">
        <f t="shared" si="23"/>
        <v>0</v>
      </c>
      <c r="U43" s="1059">
        <f t="shared" si="24"/>
        <v>0</v>
      </c>
      <c r="V43" s="1059">
        <f t="shared" si="25"/>
        <v>0</v>
      </c>
      <c r="W43" s="1059">
        <f t="shared" si="26"/>
        <v>0</v>
      </c>
      <c r="X43" s="1059">
        <f t="shared" si="27"/>
        <v>0</v>
      </c>
      <c r="Y43" s="1059">
        <f t="shared" si="28"/>
        <v>0</v>
      </c>
      <c r="Z43" s="1059">
        <f t="shared" si="29"/>
        <v>0</v>
      </c>
      <c r="AA43" s="1059">
        <f t="shared" si="30"/>
        <v>0</v>
      </c>
      <c r="AB43" s="1059">
        <f t="shared" si="31"/>
        <v>0</v>
      </c>
      <c r="AC43" s="1059">
        <f t="shared" si="32"/>
        <v>0</v>
      </c>
      <c r="AD43" s="1059">
        <f t="shared" si="33"/>
        <v>0</v>
      </c>
      <c r="AE43" s="1059">
        <f t="shared" si="34"/>
        <v>0</v>
      </c>
      <c r="AF43" s="1059">
        <f t="shared" si="35"/>
        <v>0</v>
      </c>
      <c r="AG43" s="1059">
        <f t="shared" si="36"/>
        <v>0</v>
      </c>
      <c r="AH43" s="1059">
        <f t="shared" si="37"/>
        <v>0</v>
      </c>
      <c r="AI43" s="1059">
        <f t="shared" si="38"/>
        <v>0</v>
      </c>
      <c r="AJ43" s="1059">
        <f t="shared" si="39"/>
        <v>0</v>
      </c>
      <c r="AK43" s="1059">
        <f t="shared" si="40"/>
        <v>0</v>
      </c>
      <c r="AL43" s="1059">
        <f t="shared" si="41"/>
        <v>0</v>
      </c>
      <c r="AM43" s="1059">
        <f t="shared" si="42"/>
        <v>0</v>
      </c>
      <c r="AN43" s="1059">
        <f t="shared" si="43"/>
        <v>0</v>
      </c>
      <c r="AO43" s="1059">
        <f t="shared" si="44"/>
        <v>0</v>
      </c>
      <c r="AP43" s="1059">
        <f t="shared" si="45"/>
        <v>0</v>
      </c>
      <c r="AQ43" s="1059">
        <f t="shared" si="46"/>
        <v>0</v>
      </c>
      <c r="AR43" s="1059">
        <f t="shared" si="47"/>
        <v>0</v>
      </c>
      <c r="AS43" s="1059">
        <f t="shared" si="48"/>
        <v>0</v>
      </c>
      <c r="AT43" s="1059">
        <f t="shared" si="49"/>
        <v>0</v>
      </c>
      <c r="AU43" s="1282">
        <f t="shared" si="50"/>
        <v>0</v>
      </c>
    </row>
    <row r="44" spans="1:52" ht="15.6">
      <c r="A44" s="1769" t="str">
        <f t="shared" si="21"/>
        <v>Transfers Learig</v>
      </c>
      <c r="S44" s="1059">
        <f t="shared" si="22"/>
        <v>0</v>
      </c>
      <c r="T44" s="1059">
        <f t="shared" si="23"/>
        <v>0</v>
      </c>
      <c r="U44" s="1059">
        <f t="shared" si="24"/>
        <v>0</v>
      </c>
      <c r="V44" s="1059">
        <f t="shared" si="25"/>
        <v>0</v>
      </c>
      <c r="W44" s="1059">
        <f t="shared" si="26"/>
        <v>0</v>
      </c>
      <c r="X44" s="1059">
        <f>X15*$X$34</f>
        <v>-1888200.8316374708</v>
      </c>
      <c r="Y44" s="1059">
        <f t="shared" si="28"/>
        <v>-1663225.3034641817</v>
      </c>
      <c r="Z44" s="1059">
        <f t="shared" si="29"/>
        <v>-2793210.0216572369</v>
      </c>
      <c r="AA44" s="1059">
        <f t="shared" si="30"/>
        <v>-3936705.9621083704</v>
      </c>
      <c r="AB44" s="1059">
        <f t="shared" si="31"/>
        <v>0</v>
      </c>
      <c r="AC44" s="1059">
        <f t="shared" si="32"/>
        <v>0</v>
      </c>
      <c r="AD44" s="1059">
        <f t="shared" si="33"/>
        <v>0</v>
      </c>
      <c r="AE44" s="1059">
        <f t="shared" si="34"/>
        <v>0</v>
      </c>
      <c r="AF44" s="1059">
        <f t="shared" si="35"/>
        <v>0</v>
      </c>
      <c r="AG44" s="1059">
        <f t="shared" si="36"/>
        <v>0</v>
      </c>
      <c r="AH44" s="1059">
        <f t="shared" si="37"/>
        <v>0</v>
      </c>
      <c r="AI44" s="1059">
        <f t="shared" si="38"/>
        <v>0</v>
      </c>
      <c r="AJ44" s="1059">
        <f t="shared" si="39"/>
        <v>0</v>
      </c>
      <c r="AK44" s="1059">
        <f t="shared" si="40"/>
        <v>0</v>
      </c>
      <c r="AL44" s="1059">
        <f t="shared" si="41"/>
        <v>0</v>
      </c>
      <c r="AM44" s="1059">
        <f t="shared" si="42"/>
        <v>0</v>
      </c>
      <c r="AN44" s="1059">
        <f t="shared" si="43"/>
        <v>0</v>
      </c>
      <c r="AO44" s="1059">
        <f t="shared" si="44"/>
        <v>0</v>
      </c>
      <c r="AP44" s="1059">
        <f t="shared" si="45"/>
        <v>0</v>
      </c>
      <c r="AQ44" s="1059">
        <f t="shared" si="46"/>
        <v>0</v>
      </c>
      <c r="AR44" s="1059">
        <f t="shared" si="47"/>
        <v>0</v>
      </c>
      <c r="AS44" s="1059">
        <f t="shared" si="48"/>
        <v>0</v>
      </c>
      <c r="AT44" s="1059">
        <f t="shared" si="49"/>
        <v>0</v>
      </c>
      <c r="AU44" s="1282">
        <f t="shared" si="50"/>
        <v>-10281342.118867259</v>
      </c>
    </row>
    <row r="45" spans="1:52" ht="15.6">
      <c r="A45" s="1769" t="str">
        <f t="shared" si="21"/>
        <v>Transfers Villa</v>
      </c>
      <c r="S45" s="1059">
        <f t="shared" si="22"/>
        <v>0</v>
      </c>
      <c r="T45" s="1059">
        <f t="shared" si="23"/>
        <v>0</v>
      </c>
      <c r="U45" s="1059">
        <f t="shared" si="24"/>
        <v>0</v>
      </c>
      <c r="V45" s="1059">
        <f t="shared" si="25"/>
        <v>0</v>
      </c>
      <c r="W45" s="1059">
        <f t="shared" si="26"/>
        <v>0</v>
      </c>
      <c r="X45" s="1059">
        <f t="shared" si="27"/>
        <v>0</v>
      </c>
      <c r="Y45" s="1059">
        <f t="shared" si="28"/>
        <v>0</v>
      </c>
      <c r="Z45" s="1059">
        <f t="shared" si="29"/>
        <v>0</v>
      </c>
      <c r="AA45" s="1059">
        <f t="shared" si="30"/>
        <v>0</v>
      </c>
      <c r="AB45" s="1059">
        <f t="shared" si="31"/>
        <v>0</v>
      </c>
      <c r="AC45" s="1059">
        <f t="shared" si="32"/>
        <v>0</v>
      </c>
      <c r="AD45" s="1059">
        <f t="shared" si="33"/>
        <v>0</v>
      </c>
      <c r="AE45" s="1059">
        <f t="shared" si="34"/>
        <v>0</v>
      </c>
      <c r="AF45" s="1059">
        <f t="shared" si="35"/>
        <v>0</v>
      </c>
      <c r="AG45" s="1059">
        <f t="shared" si="36"/>
        <v>0</v>
      </c>
      <c r="AH45" s="1059">
        <f t="shared" si="37"/>
        <v>0</v>
      </c>
      <c r="AI45" s="1059">
        <f t="shared" si="38"/>
        <v>0</v>
      </c>
      <c r="AJ45" s="1059">
        <f t="shared" si="39"/>
        <v>0</v>
      </c>
      <c r="AK45" s="1059">
        <f t="shared" si="40"/>
        <v>0</v>
      </c>
      <c r="AL45" s="1059">
        <f t="shared" si="41"/>
        <v>0</v>
      </c>
      <c r="AM45" s="1059">
        <f t="shared" si="42"/>
        <v>0</v>
      </c>
      <c r="AN45" s="1059">
        <f t="shared" si="43"/>
        <v>0</v>
      </c>
      <c r="AO45" s="1059">
        <f t="shared" si="44"/>
        <v>0</v>
      </c>
      <c r="AP45" s="1059">
        <f t="shared" si="45"/>
        <v>0</v>
      </c>
      <c r="AQ45" s="1059">
        <f t="shared" si="46"/>
        <v>0</v>
      </c>
      <c r="AR45" s="1059">
        <f t="shared" si="47"/>
        <v>0</v>
      </c>
      <c r="AS45" s="1059">
        <f t="shared" si="48"/>
        <v>0</v>
      </c>
      <c r="AT45" s="1059">
        <f t="shared" si="49"/>
        <v>0</v>
      </c>
      <c r="AU45" s="1282">
        <f t="shared" si="50"/>
        <v>0</v>
      </c>
    </row>
    <row r="46" spans="1:52" s="1059" customFormat="1" ht="15.6">
      <c r="A46" s="1769" t="str">
        <f t="shared" si="21"/>
        <v>Transfers  Boars</v>
      </c>
      <c r="S46" s="1059">
        <f t="shared" si="22"/>
        <v>0</v>
      </c>
      <c r="T46" s="1059">
        <f t="shared" si="23"/>
        <v>0</v>
      </c>
      <c r="U46" s="1059">
        <f t="shared" si="24"/>
        <v>0</v>
      </c>
      <c r="V46" s="1059">
        <f t="shared" si="25"/>
        <v>0</v>
      </c>
      <c r="W46" s="1059">
        <f t="shared" si="26"/>
        <v>0</v>
      </c>
      <c r="X46" s="1059">
        <f t="shared" si="27"/>
        <v>0</v>
      </c>
      <c r="Y46" s="1059">
        <f t="shared" si="28"/>
        <v>0</v>
      </c>
      <c r="Z46" s="1059">
        <f t="shared" si="29"/>
        <v>0</v>
      </c>
      <c r="AA46" s="1059">
        <f t="shared" si="30"/>
        <v>0</v>
      </c>
      <c r="AB46" s="1059">
        <f t="shared" si="31"/>
        <v>0</v>
      </c>
      <c r="AC46" s="1059">
        <f t="shared" si="32"/>
        <v>0</v>
      </c>
      <c r="AD46" s="1059">
        <f t="shared" si="33"/>
        <v>0</v>
      </c>
      <c r="AE46" s="1059">
        <f t="shared" si="34"/>
        <v>0</v>
      </c>
      <c r="AF46" s="1059">
        <f t="shared" si="35"/>
        <v>0</v>
      </c>
      <c r="AG46" s="1059">
        <f t="shared" si="36"/>
        <v>0</v>
      </c>
      <c r="AH46" s="1059">
        <f t="shared" si="37"/>
        <v>0</v>
      </c>
      <c r="AI46" s="1059">
        <f t="shared" si="38"/>
        <v>0</v>
      </c>
      <c r="AJ46" s="1059">
        <f t="shared" si="39"/>
        <v>0</v>
      </c>
      <c r="AK46" s="1059">
        <f t="shared" si="40"/>
        <v>0</v>
      </c>
      <c r="AL46" s="1059">
        <f t="shared" si="41"/>
        <v>0</v>
      </c>
      <c r="AM46" s="1059">
        <f t="shared" si="42"/>
        <v>0</v>
      </c>
      <c r="AN46" s="1059">
        <f t="shared" si="43"/>
        <v>0</v>
      </c>
      <c r="AO46" s="1059">
        <f t="shared" si="44"/>
        <v>0</v>
      </c>
      <c r="AP46" s="1059">
        <f t="shared" si="45"/>
        <v>0</v>
      </c>
      <c r="AQ46" s="1059">
        <f t="shared" si="46"/>
        <v>0</v>
      </c>
      <c r="AR46" s="1059">
        <f t="shared" si="47"/>
        <v>0</v>
      </c>
      <c r="AS46" s="1059">
        <f t="shared" si="48"/>
        <v>0</v>
      </c>
      <c r="AT46" s="1059">
        <f t="shared" si="49"/>
        <v>0</v>
      </c>
      <c r="AU46" s="1282">
        <f t="shared" si="50"/>
        <v>0</v>
      </c>
    </row>
    <row r="47" spans="1:52" ht="15.6">
      <c r="A47" s="1769" t="str">
        <f t="shared" si="21"/>
        <v>Transfers Grower</v>
      </c>
      <c r="S47" s="1059">
        <f t="shared" si="22"/>
        <v>0</v>
      </c>
      <c r="T47" s="1059">
        <f t="shared" si="23"/>
        <v>0</v>
      </c>
      <c r="U47" s="1059">
        <f t="shared" si="24"/>
        <v>0</v>
      </c>
      <c r="V47" s="1059">
        <f t="shared" si="25"/>
        <v>0</v>
      </c>
      <c r="W47" s="1059">
        <f t="shared" si="26"/>
        <v>0</v>
      </c>
      <c r="X47" s="1059">
        <f t="shared" si="27"/>
        <v>0</v>
      </c>
      <c r="Y47" s="1059">
        <f t="shared" si="28"/>
        <v>0</v>
      </c>
      <c r="Z47" s="1059">
        <f t="shared" si="29"/>
        <v>0</v>
      </c>
      <c r="AA47" s="1059">
        <f t="shared" si="30"/>
        <v>0</v>
      </c>
      <c r="AB47" s="1059">
        <f t="shared" si="31"/>
        <v>0</v>
      </c>
      <c r="AC47" s="1059">
        <f t="shared" si="32"/>
        <v>0</v>
      </c>
      <c r="AD47" s="1059">
        <f t="shared" si="33"/>
        <v>0</v>
      </c>
      <c r="AE47" s="1059">
        <f t="shared" si="34"/>
        <v>0</v>
      </c>
      <c r="AF47" s="1059">
        <f t="shared" si="35"/>
        <v>0</v>
      </c>
      <c r="AG47" s="1059">
        <f t="shared" si="36"/>
        <v>0</v>
      </c>
      <c r="AH47" s="1059">
        <f t="shared" si="37"/>
        <v>0</v>
      </c>
      <c r="AI47" s="1059">
        <f t="shared" si="38"/>
        <v>0</v>
      </c>
      <c r="AJ47" s="1059">
        <f t="shared" si="39"/>
        <v>0</v>
      </c>
      <c r="AK47" s="1059">
        <f t="shared" si="40"/>
        <v>0</v>
      </c>
      <c r="AL47" s="1059">
        <f t="shared" si="41"/>
        <v>0</v>
      </c>
      <c r="AM47" s="1059">
        <f t="shared" si="42"/>
        <v>0</v>
      </c>
      <c r="AN47" s="1059">
        <f t="shared" si="43"/>
        <v>0</v>
      </c>
      <c r="AO47" s="1059">
        <f t="shared" si="44"/>
        <v>0</v>
      </c>
      <c r="AP47" s="1059">
        <f t="shared" si="45"/>
        <v>0</v>
      </c>
      <c r="AQ47" s="1059">
        <f t="shared" si="46"/>
        <v>0</v>
      </c>
      <c r="AR47" s="1059">
        <f t="shared" si="47"/>
        <v>0</v>
      </c>
      <c r="AS47" s="1059">
        <f t="shared" si="48"/>
        <v>0</v>
      </c>
      <c r="AT47" s="1059">
        <f t="shared" si="49"/>
        <v>0</v>
      </c>
      <c r="AU47" s="1282">
        <f t="shared" si="50"/>
        <v>0</v>
      </c>
    </row>
    <row r="48" spans="1:52" ht="15.6">
      <c r="A48" s="1769" t="str">
        <f t="shared" si="21"/>
        <v>Transfer to Sick Block</v>
      </c>
      <c r="S48" s="1059">
        <f t="shared" si="22"/>
        <v>0</v>
      </c>
      <c r="T48" s="1059">
        <f t="shared" si="23"/>
        <v>0</v>
      </c>
      <c r="U48" s="1059">
        <f t="shared" si="24"/>
        <v>0</v>
      </c>
      <c r="V48" s="1059">
        <f t="shared" si="25"/>
        <v>0</v>
      </c>
      <c r="W48" s="1059">
        <f t="shared" si="26"/>
        <v>0</v>
      </c>
      <c r="X48" s="1059">
        <f t="shared" si="27"/>
        <v>0</v>
      </c>
      <c r="Y48" s="1059">
        <f t="shared" si="28"/>
        <v>0</v>
      </c>
      <c r="Z48" s="1059">
        <f t="shared" si="29"/>
        <v>0</v>
      </c>
      <c r="AA48" s="1059">
        <f t="shared" si="30"/>
        <v>0</v>
      </c>
      <c r="AB48" s="1059">
        <f t="shared" si="31"/>
        <v>0</v>
      </c>
      <c r="AC48" s="1059">
        <f t="shared" si="32"/>
        <v>0</v>
      </c>
      <c r="AD48" s="1059">
        <f t="shared" si="33"/>
        <v>0</v>
      </c>
      <c r="AE48" s="1059">
        <f t="shared" si="34"/>
        <v>0</v>
      </c>
      <c r="AF48" s="1059">
        <f t="shared" si="35"/>
        <v>-47670.169514569279</v>
      </c>
      <c r="AG48" s="1059">
        <f>AG19*$AG$34</f>
        <v>-90318.069654198291</v>
      </c>
      <c r="AH48" s="1059">
        <f t="shared" si="37"/>
        <v>-32192.278876975048</v>
      </c>
      <c r="AI48" s="1059">
        <f t="shared" si="38"/>
        <v>-126521.34962837245</v>
      </c>
      <c r="AJ48" s="1059">
        <f t="shared" si="39"/>
        <v>-75263.27599080962</v>
      </c>
      <c r="AK48" s="1059">
        <f t="shared" si="40"/>
        <v>-333763.33875709568</v>
      </c>
      <c r="AL48" s="1059">
        <f t="shared" si="41"/>
        <v>-428143.35592647752</v>
      </c>
      <c r="AM48" s="1059">
        <f t="shared" si="42"/>
        <v>-477471.3818985431</v>
      </c>
      <c r="AN48" s="1059">
        <f t="shared" si="43"/>
        <v>-124604.93794683085</v>
      </c>
      <c r="AO48" s="1059">
        <f t="shared" si="44"/>
        <v>3977053.364627121</v>
      </c>
      <c r="AP48" s="1059">
        <f t="shared" si="45"/>
        <v>-614489.2801818219</v>
      </c>
      <c r="AQ48" s="1059">
        <f t="shared" si="46"/>
        <v>-470159.07376406423</v>
      </c>
      <c r="AR48" s="1059">
        <f t="shared" si="47"/>
        <v>-896901.91285869246</v>
      </c>
      <c r="AS48" s="1059">
        <f t="shared" si="48"/>
        <v>0</v>
      </c>
      <c r="AT48" s="1059">
        <f t="shared" si="49"/>
        <v>0</v>
      </c>
      <c r="AU48" s="1282">
        <f>SUM(B48:AT48)</f>
        <v>259554.93962867046</v>
      </c>
      <c r="AW48" s="1059">
        <v>241348.75251699658</v>
      </c>
      <c r="AX48" s="142" t="s">
        <v>412</v>
      </c>
    </row>
    <row r="49" spans="1:52" ht="15.6">
      <c r="A49" s="1769" t="str">
        <f t="shared" si="21"/>
        <v>Transfers Gilts</v>
      </c>
      <c r="S49" s="1059">
        <f t="shared" si="22"/>
        <v>0</v>
      </c>
      <c r="T49" s="1059">
        <f t="shared" si="23"/>
        <v>0</v>
      </c>
      <c r="U49" s="1059">
        <f t="shared" si="24"/>
        <v>0</v>
      </c>
      <c r="V49" s="1059">
        <f t="shared" si="25"/>
        <v>0</v>
      </c>
      <c r="W49" s="1059">
        <f t="shared" si="26"/>
        <v>-364842.51186164725</v>
      </c>
      <c r="X49" s="1059">
        <f t="shared" si="27"/>
        <v>-472050.20790936769</v>
      </c>
      <c r="Y49" s="1059">
        <f t="shared" si="28"/>
        <v>-532232.09710853815</v>
      </c>
      <c r="Z49" s="1059">
        <f t="shared" si="29"/>
        <v>-400764.91615082097</v>
      </c>
      <c r="AA49" s="1059">
        <f t="shared" si="30"/>
        <v>0</v>
      </c>
      <c r="AB49" s="1059">
        <f t="shared" si="31"/>
        <v>0</v>
      </c>
      <c r="AC49" s="1059">
        <f t="shared" si="32"/>
        <v>0</v>
      </c>
      <c r="AD49" s="1059">
        <f t="shared" si="33"/>
        <v>0</v>
      </c>
      <c r="AE49" s="1059">
        <f t="shared" si="34"/>
        <v>0</v>
      </c>
      <c r="AF49" s="1059">
        <f t="shared" si="35"/>
        <v>0</v>
      </c>
      <c r="AG49" s="1059">
        <f t="shared" si="36"/>
        <v>0</v>
      </c>
      <c r="AH49" s="1059">
        <f t="shared" si="37"/>
        <v>0</v>
      </c>
      <c r="AI49" s="1059">
        <f t="shared" si="38"/>
        <v>0</v>
      </c>
      <c r="AJ49" s="1059">
        <f t="shared" si="39"/>
        <v>0</v>
      </c>
      <c r="AK49" s="1059">
        <f t="shared" si="40"/>
        <v>0</v>
      </c>
      <c r="AL49" s="1059">
        <f t="shared" si="41"/>
        <v>0</v>
      </c>
      <c r="AM49" s="1059">
        <f t="shared" si="42"/>
        <v>0</v>
      </c>
      <c r="AN49" s="1059">
        <f t="shared" si="43"/>
        <v>0</v>
      </c>
      <c r="AO49" s="1059">
        <f t="shared" si="44"/>
        <v>0</v>
      </c>
      <c r="AP49" s="1059">
        <f t="shared" si="45"/>
        <v>0</v>
      </c>
      <c r="AQ49" s="1059">
        <f t="shared" si="46"/>
        <v>0</v>
      </c>
      <c r="AR49" s="1059">
        <f t="shared" si="47"/>
        <v>0</v>
      </c>
      <c r="AS49" s="1059">
        <f t="shared" si="48"/>
        <v>0</v>
      </c>
      <c r="AT49" s="1059">
        <f t="shared" si="49"/>
        <v>0</v>
      </c>
      <c r="AU49" s="1282">
        <f t="shared" si="50"/>
        <v>-1769889.7330303742</v>
      </c>
    </row>
    <row r="50" spans="1:52" ht="15.6">
      <c r="A50" s="1769" t="str">
        <f t="shared" si="21"/>
        <v>Mortality</v>
      </c>
      <c r="S50" s="1059">
        <f>S25*$S$39</f>
        <v>0</v>
      </c>
      <c r="T50" s="1059">
        <f>T21*$T$39</f>
        <v>-665951.02236419288</v>
      </c>
      <c r="U50" s="1059">
        <f>U21*$U$39</f>
        <v>-712273.87708643964</v>
      </c>
      <c r="V50" s="1059">
        <f>V21*$V$39</f>
        <v>-921209.08040911204</v>
      </c>
      <c r="W50" s="1059">
        <f>W21*$W$39</f>
        <v>-1134498.3085170679</v>
      </c>
      <c r="X50" s="1059">
        <f>X21*$X$39</f>
        <v>-591224.98059605097</v>
      </c>
      <c r="Y50" s="1059">
        <f>Y21*$Y$39</f>
        <v>-477528.96919179382</v>
      </c>
      <c r="Z50" s="1059">
        <f>Z21*$Z$39</f>
        <v>-206721.4589434386</v>
      </c>
      <c r="AA50" s="1059">
        <f>AA21*$AA$39</f>
        <v>-350312.53103540337</v>
      </c>
      <c r="AB50" s="1059">
        <f>AB21*$AB$39</f>
        <v>-51404.657487080491</v>
      </c>
      <c r="AC50" s="1059">
        <f>AC21*$AC$39</f>
        <v>-97126.170450435966</v>
      </c>
      <c r="AD50" s="1059">
        <f>AD21*$AD$39</f>
        <v>-107297.61692539728</v>
      </c>
      <c r="AE50" s="1059">
        <f>AE21*$AE$39</f>
        <v>-167589.23671935184</v>
      </c>
      <c r="AF50" s="1059">
        <f>AF21*$AF$39</f>
        <v>-23927.457493045611</v>
      </c>
      <c r="AG50" s="1059">
        <f>AG21*$AG$39</f>
        <v>-60397.060476497747</v>
      </c>
      <c r="AH50" s="1059">
        <f>AH21*$AH$39</f>
        <v>-64569.206639109369</v>
      </c>
      <c r="AI50" s="1059">
        <f>AI21*$AI$39</f>
        <v>-126798.9255424272</v>
      </c>
      <c r="AJ50" s="1059">
        <f>AJ21*$AJ$39</f>
        <v>-188620.31214647272</v>
      </c>
      <c r="AK50" s="1059">
        <f>AK21*$AK$39</f>
        <v>-83440.834689273921</v>
      </c>
      <c r="AL50" s="1059">
        <f>AL21*$AL$39</f>
        <v>-237857.41995915418</v>
      </c>
      <c r="AM50" s="1059">
        <f>AM21*$AM$39</f>
        <v>-537155.30463586096</v>
      </c>
      <c r="AN50" s="1059">
        <f>AN21*$AN$39</f>
        <v>-498419.75178732339</v>
      </c>
      <c r="AO50" s="1059">
        <f>AO21*$AO$39</f>
        <v>-1543334.1414970916</v>
      </c>
      <c r="AP50" s="1059">
        <f>AP21*$AP$39</f>
        <v>-307244.64009091089</v>
      </c>
      <c r="AQ50" s="1059">
        <f>AQ21*$AQ$39</f>
        <v>-268662.32786517957</v>
      </c>
      <c r="AR50" s="1059">
        <f>AR21*$AR$39</f>
        <v>-448450.95642934623</v>
      </c>
      <c r="AS50" s="1059">
        <f>AS21*$AS$39</f>
        <v>-144763.03962977903</v>
      </c>
      <c r="AT50" s="1059">
        <f>AT21*$AT$39</f>
        <v>0</v>
      </c>
      <c r="AU50" s="1282">
        <f t="shared" si="50"/>
        <v>-10016779.288607238</v>
      </c>
    </row>
    <row r="51" spans="1:52" ht="15.6">
      <c r="A51" s="1769" t="str">
        <f t="shared" si="21"/>
        <v>Rations</v>
      </c>
      <c r="S51" s="1059">
        <f>S26*$S$39</f>
        <v>6093365.6148470026</v>
      </c>
      <c r="T51" s="1059">
        <f>T22*$T$39</f>
        <v>0</v>
      </c>
      <c r="U51" s="1059">
        <f>U22*$U$39</f>
        <v>0</v>
      </c>
      <c r="V51" s="1059">
        <f>V22*$V$39</f>
        <v>0</v>
      </c>
      <c r="W51" s="1059">
        <f>W22*$W$39</f>
        <v>0</v>
      </c>
      <c r="X51" s="1059">
        <f>X22*$X$39</f>
        <v>0</v>
      </c>
      <c r="Y51" s="1059">
        <f>Y22*$Y$39</f>
        <v>0</v>
      </c>
      <c r="Z51" s="1059">
        <f>Z22*$Z$39</f>
        <v>0</v>
      </c>
      <c r="AA51" s="1059">
        <f>AA22*$AA$39</f>
        <v>0</v>
      </c>
      <c r="AB51" s="1059">
        <f>AB22*$AB$39</f>
        <v>0</v>
      </c>
      <c r="AC51" s="1059">
        <f>AC22*$AC$39</f>
        <v>0</v>
      </c>
      <c r="AD51" s="1059">
        <f>AD22*$AD$39</f>
        <v>0</v>
      </c>
      <c r="AE51" s="1059">
        <f>AE22*$AE$39</f>
        <v>0</v>
      </c>
      <c r="AF51" s="1059">
        <f>AF22*$AF$39</f>
        <v>0</v>
      </c>
      <c r="AG51" s="1059">
        <f>AG22*$AG$39</f>
        <v>0</v>
      </c>
      <c r="AH51" s="1059">
        <f>AH22*$AH$39</f>
        <v>0</v>
      </c>
      <c r="AI51" s="1059">
        <f>AI22*$AI$39</f>
        <v>0</v>
      </c>
      <c r="AJ51" s="1059">
        <f>AJ22*$AJ$39</f>
        <v>0</v>
      </c>
      <c r="AK51" s="1059">
        <f>AK22*$AK$39</f>
        <v>0</v>
      </c>
      <c r="AL51" s="1059">
        <f>AL22*$AL$39</f>
        <v>0</v>
      </c>
      <c r="AM51" s="1059">
        <f>AM22*$AM$39</f>
        <v>0</v>
      </c>
      <c r="AN51" s="1059">
        <f>AN22*$AN$39</f>
        <v>0</v>
      </c>
      <c r="AO51" s="1059">
        <f>AO22*$AO$39</f>
        <v>-2136924.1959190499</v>
      </c>
      <c r="AP51" s="1059">
        <f>AP22*$AP$39</f>
        <v>-491591.42414545745</v>
      </c>
      <c r="AQ51" s="1059">
        <f>AQ22*$AQ$39</f>
        <v>-1007483.7294944234</v>
      </c>
      <c r="AR51" s="1059">
        <f>AR22*$AR$39</f>
        <v>-149483.65214311541</v>
      </c>
      <c r="AS51" s="1059">
        <f>AS22*$AS$39</f>
        <v>-1013341.2774084532</v>
      </c>
      <c r="AT51" s="1059">
        <f>AT22*$AT$39</f>
        <v>0</v>
      </c>
      <c r="AU51" s="1282">
        <f t="shared" si="50"/>
        <v>1294541.3357365034</v>
      </c>
    </row>
    <row r="52" spans="1:52" ht="15.6">
      <c r="A52" s="1769" t="str">
        <f t="shared" si="21"/>
        <v>Pet Food</v>
      </c>
      <c r="S52" s="1059">
        <f>S27*$S$39</f>
        <v>4851218.8522698451</v>
      </c>
      <c r="T52" s="1059">
        <f>T23*$T$39</f>
        <v>0</v>
      </c>
      <c r="U52" s="1059">
        <f>U23*$U$39</f>
        <v>0</v>
      </c>
      <c r="V52" s="1059">
        <f>V23*$V$39</f>
        <v>0</v>
      </c>
      <c r="W52" s="1059">
        <f>W23*$W$39</f>
        <v>0</v>
      </c>
      <c r="X52" s="1059">
        <f>X23*$X$39</f>
        <v>0</v>
      </c>
      <c r="Y52" s="1059">
        <f>Y23*$Y$39</f>
        <v>0</v>
      </c>
      <c r="Z52" s="1059">
        <f>Z23*$Z$39</f>
        <v>0</v>
      </c>
      <c r="AA52" s="1059">
        <f>AA23*$AA$39</f>
        <v>0</v>
      </c>
      <c r="AB52" s="1059">
        <f>AB23*$AB$39</f>
        <v>0</v>
      </c>
      <c r="AC52" s="1059">
        <f>AC23*$AC$39</f>
        <v>0</v>
      </c>
      <c r="AD52" s="1059">
        <f>AD23*$AD$39</f>
        <v>0</v>
      </c>
      <c r="AE52" s="1059">
        <f>AE23*$AE$39</f>
        <v>0</v>
      </c>
      <c r="AF52" s="1059">
        <f>AF23*$AF$39</f>
        <v>0</v>
      </c>
      <c r="AG52" s="1059">
        <f>AG23*$AG$39</f>
        <v>0</v>
      </c>
      <c r="AH52" s="1059">
        <f>AH23*$AH$39</f>
        <v>0</v>
      </c>
      <c r="AI52" s="1059">
        <f>AI23*$AI$39</f>
        <v>0</v>
      </c>
      <c r="AJ52" s="1059">
        <f>AJ23*$AJ$39</f>
        <v>0</v>
      </c>
      <c r="AK52" s="1059">
        <f>AK23*$AK$39</f>
        <v>0</v>
      </c>
      <c r="AL52" s="1059">
        <f>AL23*$AL$39</f>
        <v>0</v>
      </c>
      <c r="AM52" s="1059">
        <f>AM23*$AM$39</f>
        <v>0</v>
      </c>
      <c r="AN52" s="1059">
        <f>AN23*$AN$39</f>
        <v>0</v>
      </c>
      <c r="AO52" s="1059">
        <f>AO23*$AO$39</f>
        <v>-890385.08163293754</v>
      </c>
      <c r="AP52" s="1059">
        <f>AP23*$AP$39</f>
        <v>0</v>
      </c>
      <c r="AQ52" s="1059">
        <f>AQ23*$AQ$39</f>
        <v>0</v>
      </c>
      <c r="AR52" s="1059">
        <f>AR23*$AR$39</f>
        <v>0</v>
      </c>
      <c r="AS52" s="1059">
        <f>AS23*$AS$39</f>
        <v>0</v>
      </c>
      <c r="AT52" s="1059">
        <f>AT23*$AT$39</f>
        <v>0</v>
      </c>
      <c r="AU52" s="1282">
        <f t="shared" si="50"/>
        <v>3960833.7706369078</v>
      </c>
    </row>
    <row r="53" spans="1:52" ht="15.6">
      <c r="A53" s="1769" t="str">
        <f t="shared" si="21"/>
        <v>Farm Sales</v>
      </c>
      <c r="S53" s="1059">
        <f>S28*$S$39</f>
        <v>1242146.7625771579</v>
      </c>
      <c r="T53" s="1059">
        <f>T24*$T$39</f>
        <v>0</v>
      </c>
      <c r="U53" s="1059">
        <f>U24*$U$39</f>
        <v>0</v>
      </c>
      <c r="V53" s="1059">
        <f>V24*$V$39</f>
        <v>0</v>
      </c>
      <c r="W53" s="1059">
        <f>W24*$W$39</f>
        <v>0</v>
      </c>
      <c r="X53" s="1059">
        <f>X24*$X$39</f>
        <v>0</v>
      </c>
      <c r="Y53" s="1059">
        <f>Y24*$Y$39</f>
        <v>0</v>
      </c>
      <c r="Z53" s="1059">
        <f>Z24*$Z$39</f>
        <v>0</v>
      </c>
      <c r="AA53" s="1059">
        <f>AA24*$AA$39</f>
        <v>0</v>
      </c>
      <c r="AB53" s="1059">
        <f>AB24*$AB$39</f>
        <v>0</v>
      </c>
      <c r="AC53" s="1059">
        <f>AC24*$AC$39</f>
        <v>0</v>
      </c>
      <c r="AD53" s="1059">
        <f>AD24*$AD$39</f>
        <v>0</v>
      </c>
      <c r="AE53" s="1059">
        <f>AE24*$AE$39</f>
        <v>0</v>
      </c>
      <c r="AF53" s="1059">
        <f>AF24*$AF$39</f>
        <v>0</v>
      </c>
      <c r="AG53" s="1059">
        <f>AG24*$AG$39</f>
        <v>0</v>
      </c>
      <c r="AH53" s="1059">
        <f>AH24*$AH$39</f>
        <v>0</v>
      </c>
      <c r="AI53" s="1059">
        <f>AI24*$AI$39</f>
        <v>0</v>
      </c>
      <c r="AJ53" s="1059">
        <f>AJ24*$AJ$39</f>
        <v>0</v>
      </c>
      <c r="AK53" s="1059">
        <f>AK24*$AK$39</f>
        <v>0</v>
      </c>
      <c r="AL53" s="1059">
        <f>AL24*$AL$39</f>
        <v>0</v>
      </c>
      <c r="AM53" s="1059">
        <f>AM24*$AM$39</f>
        <v>0</v>
      </c>
      <c r="AN53" s="1059">
        <f>AN24*$AN$39</f>
        <v>-186907.40692024626</v>
      </c>
      <c r="AO53" s="1059">
        <f>AO24*$AO$39</f>
        <v>0</v>
      </c>
      <c r="AP53" s="1059">
        <f>AP24*$AP$39</f>
        <v>-798836.0642363684</v>
      </c>
      <c r="AQ53" s="1059">
        <f>AQ24*$AQ$39</f>
        <v>-201496.74589888466</v>
      </c>
      <c r="AR53" s="1059">
        <f>AR24*$AR$39</f>
        <v>-74741.826071557705</v>
      </c>
      <c r="AS53" s="1059">
        <f>AS24*$AS$39</f>
        <v>0</v>
      </c>
      <c r="AT53" s="1059">
        <f>AT24*$AT$39</f>
        <v>0</v>
      </c>
      <c r="AU53" s="1282">
        <f t="shared" si="50"/>
        <v>-19835.280549899151</v>
      </c>
    </row>
    <row r="54" spans="1:52" ht="16.149999999999999" thickBot="1">
      <c r="A54" s="1769" t="str">
        <f t="shared" si="21"/>
        <v xml:space="preserve"> Colcom Sales</v>
      </c>
      <c r="S54" s="1059">
        <f>S29*$S$39</f>
        <v>0</v>
      </c>
      <c r="T54" s="1059">
        <f>T25*$T$39</f>
        <v>0</v>
      </c>
      <c r="U54" s="1059">
        <f>U25*$U$39</f>
        <v>0</v>
      </c>
      <c r="V54" s="1059">
        <f>V25*$V$39</f>
        <v>0</v>
      </c>
      <c r="W54" s="1059">
        <f>W25*$W$39</f>
        <v>0</v>
      </c>
      <c r="X54" s="1059">
        <f>X25*$X$39</f>
        <v>0</v>
      </c>
      <c r="Y54" s="1059">
        <f>Y25*$Y$39</f>
        <v>0</v>
      </c>
      <c r="Z54" s="1059">
        <f>Z25*$Z$39</f>
        <v>0</v>
      </c>
      <c r="AA54" s="1059">
        <f>AA25*$AA$39</f>
        <v>0</v>
      </c>
      <c r="AB54" s="1059">
        <f>AB25*$AB$39</f>
        <v>0</v>
      </c>
      <c r="AC54" s="1059">
        <f>AC25*$AC$39</f>
        <v>0</v>
      </c>
      <c r="AD54" s="1059">
        <f>AD25*$AD$39</f>
        <v>0</v>
      </c>
      <c r="AE54" s="1059">
        <f>AE25*$AE$39</f>
        <v>0</v>
      </c>
      <c r="AF54" s="1059">
        <f>AF25*$AF$39</f>
        <v>0</v>
      </c>
      <c r="AG54" s="1059">
        <f>AG25*$AG$39</f>
        <v>0</v>
      </c>
      <c r="AH54" s="1059">
        <f>AH25*$AH$39</f>
        <v>0</v>
      </c>
      <c r="AI54" s="1059">
        <f>AI25*$AI$39</f>
        <v>0</v>
      </c>
      <c r="AJ54" s="1059">
        <f>AJ25*$AJ$39</f>
        <v>0</v>
      </c>
      <c r="AK54" s="1059">
        <f>AK25*$AK$39</f>
        <v>0</v>
      </c>
      <c r="AL54" s="1059">
        <f>AL25*$AL$39</f>
        <v>0</v>
      </c>
      <c r="AM54" s="1059">
        <f>AM25*$AM$39</f>
        <v>0</v>
      </c>
      <c r="AN54" s="1059">
        <f>AN25*$AN$39</f>
        <v>0</v>
      </c>
      <c r="AO54" s="1059">
        <f>AO25*$AO$39</f>
        <v>0</v>
      </c>
      <c r="AP54" s="1059">
        <f>AP25*$AP$39</f>
        <v>-57516196.625018522</v>
      </c>
      <c r="AQ54" s="1059">
        <f>AQ25*$AQ$39</f>
        <v>-60449023.769665405</v>
      </c>
      <c r="AR54" s="1059">
        <f>AR25*$AR$39</f>
        <v>-65324355.986541435</v>
      </c>
      <c r="AS54" s="1059">
        <f>AS25*$AS$39</f>
        <v>-66156709.110809013</v>
      </c>
      <c r="AT54" s="1059">
        <f>AT25*$AT$39</f>
        <v>0</v>
      </c>
      <c r="AU54" s="1282">
        <f>SUM(B54:AT54)</f>
        <v>-249446285.49203438</v>
      </c>
    </row>
    <row r="55" spans="1:52" ht="16.149999999999999" thickBot="1">
      <c r="A55" s="1070" t="s">
        <v>1810</v>
      </c>
      <c r="B55" s="1555">
        <f t="shared" ref="B55:AS55" si="51">SUM(B41:B54)+B38</f>
        <v>5303.9237668161441</v>
      </c>
      <c r="C55" s="1555">
        <f t="shared" si="51"/>
        <v>5303.9237668161441</v>
      </c>
      <c r="D55" s="1555">
        <f t="shared" si="51"/>
        <v>5303.9237668161441</v>
      </c>
      <c r="E55" s="1555">
        <f t="shared" si="51"/>
        <v>5303.9237668161441</v>
      </c>
      <c r="F55" s="1555">
        <f t="shared" si="51"/>
        <v>4879.6098654708512</v>
      </c>
      <c r="G55" s="1555">
        <f t="shared" si="51"/>
        <v>2113846.7121573691</v>
      </c>
      <c r="H55" s="1555">
        <f t="shared" si="51"/>
        <v>2113846.7121573691</v>
      </c>
      <c r="I55" s="1555">
        <f t="shared" si="51"/>
        <v>2113846.7121573691</v>
      </c>
      <c r="J55" s="1555">
        <f t="shared" si="51"/>
        <v>2113846.7121573691</v>
      </c>
      <c r="K55" s="1555">
        <f t="shared" si="51"/>
        <v>3976113.5556402151</v>
      </c>
      <c r="L55" s="1555">
        <f t="shared" si="51"/>
        <v>3976113.5556402151</v>
      </c>
      <c r="M55" s="1555">
        <f t="shared" si="51"/>
        <v>3976113.5556402151</v>
      </c>
      <c r="N55" s="1555">
        <f t="shared" si="51"/>
        <v>3977174.3403935782</v>
      </c>
      <c r="O55" s="1555">
        <f t="shared" si="51"/>
        <v>6301303.0720158834</v>
      </c>
      <c r="P55" s="1555">
        <f t="shared" si="51"/>
        <v>6301303.0720158834</v>
      </c>
      <c r="Q55" s="1555">
        <f t="shared" si="51"/>
        <v>6301303.0720158834</v>
      </c>
      <c r="R55" s="1555">
        <f t="shared" si="51"/>
        <v>6305970.5249306811</v>
      </c>
      <c r="S55" s="1555">
        <f t="shared" si="51"/>
        <v>18509942.899033632</v>
      </c>
      <c r="T55" s="1555">
        <f t="shared" si="51"/>
        <v>7639938.1176781012</v>
      </c>
      <c r="U55" s="1555">
        <f t="shared" si="51"/>
        <v>7532296.2501890995</v>
      </c>
      <c r="V55" s="1555">
        <f t="shared" si="51"/>
        <v>7091571.788809767</v>
      </c>
      <c r="W55" s="1555">
        <f t="shared" si="51"/>
        <v>8703373.41991519</v>
      </c>
      <c r="X55" s="1788">
        <f>SUM(X50:X54)+X38</f>
        <v>9050290.0875857025</v>
      </c>
      <c r="Y55" s="1555">
        <f t="shared" si="51"/>
        <v>10009294.625980336</v>
      </c>
      <c r="Z55" s="1555">
        <f t="shared" si="51"/>
        <v>8832349.9383719862</v>
      </c>
      <c r="AA55" s="1555">
        <f t="shared" si="51"/>
        <v>9637904.615513511</v>
      </c>
      <c r="AB55" s="1555">
        <f t="shared" si="51"/>
        <v>11946442.399997506</v>
      </c>
      <c r="AC55" s="1555">
        <f t="shared" si="51"/>
        <v>16252445.855372952</v>
      </c>
      <c r="AD55" s="1555">
        <f t="shared" si="51"/>
        <v>18955912.323486853</v>
      </c>
      <c r="AE55" s="1555">
        <f t="shared" si="51"/>
        <v>26060126.309859209</v>
      </c>
      <c r="AF55" s="1555">
        <f t="shared" si="51"/>
        <v>22468067.33144135</v>
      </c>
      <c r="AG55" s="1555">
        <f t="shared" si="51"/>
        <v>25155653.20952186</v>
      </c>
      <c r="AH55" s="1555">
        <f t="shared" si="51"/>
        <v>30509042.461421754</v>
      </c>
      <c r="AI55" s="1555">
        <f t="shared" si="51"/>
        <v>38969814.025953345</v>
      </c>
      <c r="AJ55" s="1555">
        <f t="shared" si="51"/>
        <v>35008114.783253111</v>
      </c>
      <c r="AK55" s="1555">
        <f t="shared" si="51"/>
        <v>37590096.0275179</v>
      </c>
      <c r="AL55" s="1555">
        <f t="shared" si="51"/>
        <v>41720191.460835643</v>
      </c>
      <c r="AM55" s="1555">
        <f t="shared" si="51"/>
        <v>52939639.468000963</v>
      </c>
      <c r="AN55" s="1555">
        <f t="shared" si="51"/>
        <v>56196827.014020711</v>
      </c>
      <c r="AO55" s="1555">
        <f t="shared" si="51"/>
        <v>58943492.404100463</v>
      </c>
      <c r="AP55" s="1555">
        <f t="shared" si="51"/>
        <v>-2027814.6246000081</v>
      </c>
      <c r="AQ55" s="1555">
        <f t="shared" si="51"/>
        <v>-4500093.9917417541</v>
      </c>
      <c r="AR55" s="1555">
        <f t="shared" si="51"/>
        <v>2690705.7385760844</v>
      </c>
      <c r="AS55" s="1555">
        <f t="shared" si="51"/>
        <v>-1447630.3962977976</v>
      </c>
      <c r="AT55" s="1555">
        <f>SUM(AT41:AT54)+AT38</f>
        <v>65162428.378545783</v>
      </c>
      <c r="AU55" s="1558">
        <f>SUM(B55:AT55)</f>
        <v>669197298.82419789</v>
      </c>
      <c r="AV55" s="1066"/>
      <c r="AW55" s="1084"/>
      <c r="AX55" s="1066"/>
    </row>
    <row r="56" spans="1:52" ht="15.6">
      <c r="A56" s="1075"/>
      <c r="B56" s="1064"/>
      <c r="C56" s="1064"/>
      <c r="D56" s="1064"/>
      <c r="E56" s="1064"/>
      <c r="F56" s="1064"/>
      <c r="G56" s="1064"/>
      <c r="H56" s="1064"/>
      <c r="I56" s="1064"/>
      <c r="J56" s="1064"/>
      <c r="K56" s="1064"/>
      <c r="L56" s="1064"/>
      <c r="M56" s="1064"/>
      <c r="N56" s="1064"/>
      <c r="O56" s="1064"/>
      <c r="P56" s="1064"/>
      <c r="Q56" s="1064"/>
      <c r="R56" s="1064"/>
      <c r="S56" s="1064"/>
      <c r="T56" s="1064"/>
      <c r="U56" s="1064"/>
      <c r="V56" s="1064"/>
      <c r="W56" s="1064"/>
      <c r="X56" s="1064"/>
      <c r="Y56" s="1064"/>
      <c r="Z56" s="1064"/>
      <c r="AA56" s="1064"/>
      <c r="AB56" s="1064"/>
      <c r="AC56" s="1064"/>
      <c r="AD56" s="1064"/>
      <c r="AE56" s="1064"/>
      <c r="AF56" s="1064"/>
      <c r="AG56" s="1064"/>
      <c r="AH56" s="1064"/>
      <c r="AI56" s="1064"/>
      <c r="AJ56" s="1064"/>
      <c r="AK56" s="1064"/>
      <c r="AL56" s="1064"/>
      <c r="AM56" s="1064"/>
      <c r="AN56" s="1064"/>
      <c r="AO56" s="1061"/>
      <c r="AP56" s="1061"/>
      <c r="AQ56" s="1061"/>
      <c r="AR56" s="1061"/>
      <c r="AS56" s="1061"/>
      <c r="AT56" s="1061"/>
      <c r="AU56" s="1062"/>
      <c r="AV56" s="1061"/>
      <c r="AW56" s="1061"/>
      <c r="AX56" s="1061"/>
    </row>
    <row r="57" spans="1:52" ht="15.6">
      <c r="A57" s="1075" t="s">
        <v>1811</v>
      </c>
      <c r="B57" s="1061"/>
      <c r="C57" s="1061"/>
      <c r="D57" s="1075" t="s">
        <v>1812</v>
      </c>
      <c r="E57" s="1061"/>
      <c r="F57" s="1075" t="s">
        <v>62</v>
      </c>
      <c r="G57" s="1061"/>
      <c r="H57" s="1061"/>
      <c r="I57" s="1061"/>
      <c r="J57" s="1061"/>
      <c r="K57" s="1061"/>
      <c r="L57" s="1061"/>
      <c r="M57" s="1061"/>
      <c r="N57" s="1061"/>
      <c r="O57" s="1061"/>
      <c r="P57" s="1061"/>
      <c r="Q57" s="1061"/>
      <c r="R57" s="1061"/>
      <c r="S57" s="1061"/>
      <c r="T57" s="1061"/>
      <c r="U57" s="1061"/>
      <c r="V57" s="1061"/>
      <c r="W57" s="1061"/>
      <c r="X57" s="1061"/>
      <c r="Y57" s="1061"/>
      <c r="Z57" s="1061"/>
      <c r="AA57" s="1061"/>
      <c r="AB57" s="1061"/>
      <c r="AC57" s="1061"/>
      <c r="AD57" s="1061"/>
      <c r="AE57" s="1061"/>
      <c r="AF57" s="1061"/>
      <c r="AG57" s="1061"/>
      <c r="AH57" s="1061"/>
      <c r="AI57" s="1061"/>
      <c r="AJ57" s="1061"/>
      <c r="AK57" s="1061"/>
      <c r="AL57" s="1061"/>
      <c r="AM57" s="1061"/>
      <c r="AN57" s="1061"/>
      <c r="AO57" s="1244"/>
      <c r="AP57" s="1061"/>
      <c r="AQ57" s="1061"/>
      <c r="AR57" s="1061"/>
      <c r="AS57" s="1061"/>
      <c r="AT57" s="1061"/>
      <c r="AU57" s="1062"/>
      <c r="AV57" s="1061"/>
      <c r="AW57" s="1061"/>
      <c r="AX57" s="1061"/>
    </row>
    <row r="58" spans="1:52">
      <c r="A58" s="1061" t="s">
        <v>1813</v>
      </c>
      <c r="B58" s="1064">
        <f>+'Feed Cost &amp; Allocation'!T73</f>
        <v>0</v>
      </c>
      <c r="C58" s="1061"/>
      <c r="D58" s="1061"/>
      <c r="E58" s="1061"/>
      <c r="F58" s="1061"/>
      <c r="G58" s="1061"/>
      <c r="H58" s="1061"/>
      <c r="I58" s="1061"/>
      <c r="J58" s="1061"/>
      <c r="K58" s="1061"/>
      <c r="L58" s="1061"/>
      <c r="M58" s="1061"/>
      <c r="N58" s="1061"/>
      <c r="O58" s="1061"/>
      <c r="P58" s="1061"/>
      <c r="Q58" s="1061"/>
      <c r="R58" s="1061"/>
      <c r="S58" s="1061"/>
      <c r="T58" s="1061"/>
      <c r="U58" s="1061"/>
      <c r="V58" s="1061"/>
      <c r="W58" s="1061"/>
      <c r="X58" s="1061"/>
      <c r="Y58" s="1061"/>
      <c r="Z58" s="1061"/>
      <c r="AA58" s="1061"/>
      <c r="AB58" s="1061"/>
      <c r="AC58" s="1061"/>
      <c r="AD58" s="1061"/>
      <c r="AE58" s="1061"/>
      <c r="AF58" s="1061"/>
      <c r="AG58" s="1061"/>
      <c r="AH58" s="1061"/>
      <c r="AI58" s="1061"/>
      <c r="AJ58" s="1061"/>
      <c r="AK58" s="1061"/>
      <c r="AL58" s="1061"/>
      <c r="AM58" s="1061"/>
      <c r="AN58" s="1061"/>
      <c r="AO58" s="1244"/>
      <c r="AP58" s="1061"/>
      <c r="AQ58" s="1061"/>
      <c r="AR58" s="1061"/>
      <c r="AS58" s="1061"/>
      <c r="AT58" s="1061"/>
      <c r="AU58" s="1062"/>
      <c r="AV58" s="1061"/>
      <c r="AW58" s="1061"/>
      <c r="AX58" s="1061"/>
    </row>
    <row r="59" spans="1:52">
      <c r="A59" s="1061" t="s">
        <v>60</v>
      </c>
      <c r="B59" s="1064">
        <f>+'Feed Cost &amp; Allocation'!K73</f>
        <v>94622</v>
      </c>
      <c r="C59" s="1061"/>
      <c r="D59" s="1064">
        <f>+'Feed Cost &amp; Allocation'!L73</f>
        <v>56238</v>
      </c>
      <c r="E59" s="1061"/>
      <c r="F59" s="1064">
        <f>+'Feed Cost &amp; Allocation'!C73</f>
        <v>51030.7</v>
      </c>
      <c r="G59" s="1061"/>
      <c r="H59" s="1061"/>
      <c r="I59" s="1061"/>
      <c r="J59" s="1061"/>
      <c r="K59" s="1061"/>
      <c r="L59" s="1061"/>
      <c r="M59" s="1061"/>
      <c r="N59" s="1061"/>
      <c r="O59" s="1061"/>
      <c r="P59" s="1061"/>
      <c r="Q59" s="1061"/>
      <c r="R59" s="1061"/>
      <c r="S59" s="1061"/>
      <c r="T59" s="1061"/>
      <c r="U59" s="1061"/>
      <c r="V59" s="1061"/>
      <c r="W59" s="1061"/>
      <c r="X59" s="1061"/>
      <c r="Y59" s="1061"/>
      <c r="Z59" s="1061"/>
      <c r="AA59" s="1061"/>
      <c r="AB59" s="1061"/>
      <c r="AC59" s="1061"/>
      <c r="AD59" s="1061"/>
      <c r="AE59" s="1061"/>
      <c r="AF59" s="1061"/>
      <c r="AG59" s="1061"/>
      <c r="AH59" s="1061"/>
      <c r="AI59" s="1061"/>
      <c r="AJ59" s="1061"/>
      <c r="AK59" s="1061"/>
      <c r="AL59" s="1061"/>
      <c r="AM59" s="1061"/>
      <c r="AN59" s="1061"/>
      <c r="AO59" s="1061"/>
      <c r="AP59" s="1061"/>
      <c r="AQ59" s="1061"/>
      <c r="AR59" s="1061"/>
      <c r="AS59" s="1061"/>
      <c r="AT59" s="1061"/>
      <c r="AU59" s="1062"/>
      <c r="AV59" s="1061"/>
      <c r="AW59" s="1061"/>
      <c r="AX59" s="1061"/>
      <c r="AZ59" s="817">
        <f>AU55-'Grasmere Pig Cost'!AU62</f>
        <v>664872523.81470096</v>
      </c>
    </row>
    <row r="60" spans="1:52">
      <c r="A60" s="1061" t="s">
        <v>1814</v>
      </c>
      <c r="B60" s="1064">
        <f>+'Feed Cost &amp; Allocation'!O73</f>
        <v>0</v>
      </c>
      <c r="C60" s="1061"/>
      <c r="D60" s="1064">
        <f>+'Feed Cost &amp; Allocation'!M73</f>
        <v>20112</v>
      </c>
      <c r="E60" s="1061"/>
      <c r="F60" s="1064">
        <f>SUM(W20:Z20)/(SUM(W26:Z26)-SUM(W20:Z20))*F59</f>
        <v>-2073.4821670428892</v>
      </c>
      <c r="G60" s="1061"/>
      <c r="H60" s="1061"/>
      <c r="I60" s="1061"/>
      <c r="J60" s="1061"/>
      <c r="K60" s="1061"/>
      <c r="L60" s="1061"/>
      <c r="M60" s="1061"/>
      <c r="N60" s="1061"/>
      <c r="O60" s="1061"/>
      <c r="P60" s="1061"/>
      <c r="Q60" s="1061"/>
      <c r="R60" s="1061"/>
      <c r="S60" s="1061"/>
      <c r="T60" s="1061"/>
      <c r="U60" s="1061"/>
      <c r="V60" s="1061"/>
      <c r="W60" s="1061"/>
      <c r="X60" s="1061"/>
      <c r="Y60" s="1061"/>
      <c r="Z60" s="1061"/>
      <c r="AA60" s="1061"/>
      <c r="AB60" s="1061"/>
      <c r="AC60" s="1061"/>
      <c r="AD60" s="1061"/>
      <c r="AE60" s="1061"/>
      <c r="AF60" s="1061"/>
      <c r="AG60" s="1061"/>
      <c r="AH60" s="1061"/>
      <c r="AI60" s="1061"/>
      <c r="AJ60" s="1061"/>
      <c r="AK60" s="1061"/>
      <c r="AL60" s="1061"/>
      <c r="AM60" s="1061"/>
      <c r="AN60" s="1061"/>
      <c r="AO60" s="1061"/>
      <c r="AP60" s="1061"/>
      <c r="AQ60" s="1061"/>
      <c r="AR60" s="1061"/>
      <c r="AS60" s="1061"/>
      <c r="AT60" s="1061"/>
      <c r="AU60" s="1062"/>
      <c r="AV60" s="1061"/>
      <c r="AW60" s="1061"/>
      <c r="AX60" s="1061"/>
      <c r="AZ60" s="142">
        <f>'Learig Pig Cost (2)'!AU55-'Learig Pig Cost'!AU62</f>
        <v>242436552.08937114</v>
      </c>
    </row>
    <row r="61" spans="1:52" ht="15.6">
      <c r="A61" s="1075" t="s">
        <v>71</v>
      </c>
      <c r="B61" s="1076">
        <f>SUM(B58:B60)</f>
        <v>94622</v>
      </c>
      <c r="C61" s="1061"/>
      <c r="D61" s="1076">
        <f>SUM(D58:D60)</f>
        <v>76350</v>
      </c>
      <c r="E61" s="1061"/>
      <c r="F61" s="1498">
        <f>SUM(F59:F60)</f>
        <v>48957.217832957111</v>
      </c>
      <c r="G61" s="1061"/>
      <c r="H61" s="1061"/>
      <c r="I61" s="1061"/>
      <c r="J61" s="1061"/>
      <c r="K61" s="1061"/>
      <c r="L61" s="1061"/>
      <c r="M61" s="1061"/>
      <c r="N61" s="1061"/>
      <c r="O61" s="1061"/>
      <c r="P61" s="1061"/>
      <c r="Q61" s="1061"/>
      <c r="R61" s="1061"/>
      <c r="S61" s="1061"/>
      <c r="T61" s="1061"/>
      <c r="U61" s="1061"/>
      <c r="V61" s="1061"/>
      <c r="W61" s="1061"/>
      <c r="X61" s="1061"/>
      <c r="Y61" s="1061"/>
      <c r="Z61" s="1061"/>
      <c r="AA61" s="1061"/>
      <c r="AB61" s="1061"/>
      <c r="AC61" s="1061"/>
      <c r="AD61" s="1061"/>
      <c r="AE61" s="1061"/>
      <c r="AF61" s="1061"/>
      <c r="AG61" s="1061"/>
      <c r="AH61" s="1061"/>
      <c r="AI61" s="1061"/>
      <c r="AJ61" s="1061"/>
      <c r="AK61" s="1061"/>
      <c r="AL61" s="1061"/>
      <c r="AM61" s="1061"/>
      <c r="AN61" s="1061"/>
      <c r="AO61" s="1061"/>
      <c r="AP61" s="1061"/>
      <c r="AQ61" s="1061"/>
      <c r="AR61" s="1061"/>
      <c r="AS61" s="1061"/>
      <c r="AT61" s="1061"/>
      <c r="AU61" s="1062"/>
      <c r="AV61" s="1061"/>
      <c r="AW61" s="1061"/>
      <c r="AX61" s="1061"/>
      <c r="AZ61" s="817">
        <f>AZ59+AZ60</f>
        <v>907309075.90407205</v>
      </c>
    </row>
    <row r="62" spans="1:52">
      <c r="AU62" s="1057"/>
    </row>
    <row r="63" spans="1:52" ht="15.6">
      <c r="A63" s="1077" t="s">
        <v>1815</v>
      </c>
      <c r="B63" s="1077" t="str">
        <f t="shared" ref="B63:AA63" si="52">B3</f>
        <v>DRY SOW</v>
      </c>
      <c r="C63" s="1077" t="str">
        <f t="shared" si="52"/>
        <v>DRY SOW</v>
      </c>
      <c r="D63" s="1077" t="str">
        <f t="shared" si="52"/>
        <v>DRY SOW</v>
      </c>
      <c r="E63" s="1078" t="str">
        <f t="shared" si="52"/>
        <v>DRY SOW</v>
      </c>
      <c r="F63" s="1078" t="str">
        <f t="shared" si="52"/>
        <v>DRY SOW</v>
      </c>
      <c r="G63" s="1078" t="str">
        <f t="shared" si="52"/>
        <v>DRY SOW</v>
      </c>
      <c r="H63" s="1078" t="str">
        <f t="shared" si="52"/>
        <v>DRY SOW</v>
      </c>
      <c r="I63" s="1078" t="str">
        <f t="shared" si="52"/>
        <v>DRY SOW</v>
      </c>
      <c r="J63" s="1078" t="str">
        <f t="shared" si="52"/>
        <v>DRY SOW</v>
      </c>
      <c r="K63" s="1078" t="str">
        <f t="shared" si="52"/>
        <v>DRY SOW</v>
      </c>
      <c r="L63" s="1078" t="str">
        <f t="shared" si="52"/>
        <v>DRY SOW</v>
      </c>
      <c r="M63" s="1078" t="str">
        <f t="shared" si="52"/>
        <v>DRY SOW</v>
      </c>
      <c r="N63" s="1078" t="str">
        <f t="shared" si="52"/>
        <v>DRY SOW</v>
      </c>
      <c r="O63" s="1078" t="str">
        <f t="shared" si="52"/>
        <v>DRY SOW</v>
      </c>
      <c r="P63" s="1078" t="str">
        <f t="shared" si="52"/>
        <v>DRY SOW</v>
      </c>
      <c r="Q63" s="1078" t="str">
        <f t="shared" si="52"/>
        <v>DRY SOW</v>
      </c>
      <c r="R63" s="1078" t="str">
        <f t="shared" si="52"/>
        <v>Flush</v>
      </c>
      <c r="S63" s="1078" t="str">
        <f t="shared" si="52"/>
        <v>LACTATE</v>
      </c>
      <c r="T63" s="1078" t="str">
        <f t="shared" si="52"/>
        <v>LACTATE</v>
      </c>
      <c r="U63" s="1078" t="str">
        <f t="shared" si="52"/>
        <v>LACTATE</v>
      </c>
      <c r="V63" s="1078" t="str">
        <f t="shared" si="52"/>
        <v>Early Wean</v>
      </c>
      <c r="W63" s="1078" t="str">
        <f t="shared" si="52"/>
        <v>CREEP</v>
      </c>
      <c r="X63" s="1078" t="str">
        <f t="shared" si="52"/>
        <v>CREEP</v>
      </c>
      <c r="Y63" s="1078" t="str">
        <f t="shared" si="52"/>
        <v>CREEP</v>
      </c>
      <c r="Z63" s="1078" t="str">
        <f t="shared" si="52"/>
        <v>WEANER</v>
      </c>
      <c r="AA63" s="1078" t="str">
        <f t="shared" si="52"/>
        <v>WEANER</v>
      </c>
      <c r="AB63" s="1078" t="str">
        <f>AA63</f>
        <v>WEANER</v>
      </c>
      <c r="AC63" s="1078" t="str">
        <f>AB63</f>
        <v>WEANER</v>
      </c>
      <c r="AD63" s="1078" t="str">
        <f t="shared" ref="AD63:AN63" si="53">AD3</f>
        <v>GROWER 1</v>
      </c>
      <c r="AE63" s="1078" t="str">
        <f t="shared" si="53"/>
        <v>GROWER 1</v>
      </c>
      <c r="AF63" s="1078" t="str">
        <f t="shared" si="53"/>
        <v>GROWER 2</v>
      </c>
      <c r="AG63" s="1078" t="str">
        <f t="shared" si="53"/>
        <v>GROWER 2</v>
      </c>
      <c r="AH63" s="1078" t="str">
        <f t="shared" si="53"/>
        <v>GROWER 3</v>
      </c>
      <c r="AI63" s="1078" t="str">
        <f t="shared" si="53"/>
        <v>GROWER 3</v>
      </c>
      <c r="AJ63" s="1078" t="str">
        <f t="shared" si="53"/>
        <v>GROWER 3</v>
      </c>
      <c r="AK63" s="1078" t="str">
        <f t="shared" si="53"/>
        <v>FINISHER</v>
      </c>
      <c r="AL63" s="1078" t="str">
        <f t="shared" si="53"/>
        <v>FINISHER</v>
      </c>
      <c r="AM63" s="1078" t="str">
        <f t="shared" si="53"/>
        <v>FINISHER</v>
      </c>
      <c r="AN63" s="1078" t="str">
        <f t="shared" si="53"/>
        <v>FINISHER</v>
      </c>
      <c r="AO63" s="1078" t="s">
        <v>71</v>
      </c>
      <c r="AP63" s="1079"/>
      <c r="AQ63" s="1079"/>
      <c r="AR63" s="1079"/>
      <c r="AS63" s="1066"/>
      <c r="AT63" s="1066"/>
      <c r="AU63" s="1068"/>
      <c r="AV63" s="1066"/>
      <c r="AW63" s="1066"/>
      <c r="AX63" s="1066"/>
    </row>
    <row r="64" spans="1:52" ht="15.6">
      <c r="A64" s="1077" t="s">
        <v>1816</v>
      </c>
      <c r="B64" s="1077">
        <v>7</v>
      </c>
      <c r="C64" s="1077">
        <v>7</v>
      </c>
      <c r="D64" s="1077">
        <v>7</v>
      </c>
      <c r="E64" s="1077">
        <v>7</v>
      </c>
      <c r="F64" s="1077">
        <v>7</v>
      </c>
      <c r="G64" s="1077">
        <v>7</v>
      </c>
      <c r="H64" s="1077">
        <v>7</v>
      </c>
      <c r="I64" s="1077">
        <v>7</v>
      </c>
      <c r="J64" s="1077">
        <v>7</v>
      </c>
      <c r="K64" s="1077">
        <v>7</v>
      </c>
      <c r="L64" s="1077">
        <v>7</v>
      </c>
      <c r="M64" s="1077">
        <v>7</v>
      </c>
      <c r="N64" s="1077">
        <v>7</v>
      </c>
      <c r="O64" s="1077">
        <v>7</v>
      </c>
      <c r="P64" s="1077">
        <v>7</v>
      </c>
      <c r="Q64" s="1077">
        <v>7</v>
      </c>
      <c r="R64" s="1077">
        <v>7</v>
      </c>
      <c r="S64" s="1077">
        <v>7</v>
      </c>
      <c r="T64" s="1077">
        <v>7</v>
      </c>
      <c r="U64" s="1077">
        <v>7</v>
      </c>
      <c r="V64" s="1077">
        <v>7</v>
      </c>
      <c r="W64" s="1077">
        <v>7</v>
      </c>
      <c r="X64" s="1077">
        <v>7</v>
      </c>
      <c r="Y64" s="1077">
        <v>7</v>
      </c>
      <c r="Z64" s="1077">
        <v>7</v>
      </c>
      <c r="AA64" s="1077">
        <v>7</v>
      </c>
      <c r="AB64" s="1077">
        <v>7</v>
      </c>
      <c r="AC64" s="1077">
        <v>7</v>
      </c>
      <c r="AD64" s="1077">
        <v>7</v>
      </c>
      <c r="AE64" s="1077">
        <v>7</v>
      </c>
      <c r="AF64" s="1077">
        <v>7</v>
      </c>
      <c r="AG64" s="1077">
        <v>7</v>
      </c>
      <c r="AH64" s="1077">
        <v>7</v>
      </c>
      <c r="AI64" s="1077">
        <v>7</v>
      </c>
      <c r="AJ64" s="1077">
        <v>7</v>
      </c>
      <c r="AK64" s="1077">
        <v>7</v>
      </c>
      <c r="AL64" s="1077">
        <v>7</v>
      </c>
      <c r="AM64" s="1077">
        <v>7</v>
      </c>
      <c r="AN64" s="1077">
        <v>7</v>
      </c>
      <c r="AO64" s="1077"/>
      <c r="AP64" s="1066"/>
      <c r="AQ64" s="1066"/>
      <c r="AR64" s="1066"/>
      <c r="AS64" s="1066"/>
      <c r="AT64" s="1066"/>
      <c r="AU64" s="1068"/>
      <c r="AV64" s="1066"/>
      <c r="AW64" s="1066"/>
      <c r="AX64" s="1066"/>
    </row>
    <row r="65" spans="1:50" ht="15.6">
      <c r="A65" s="1077" t="s">
        <v>1817</v>
      </c>
      <c r="B65" s="1077">
        <v>2.5</v>
      </c>
      <c r="C65" s="1077">
        <v>2.5</v>
      </c>
      <c r="D65" s="1077">
        <v>2.5</v>
      </c>
      <c r="E65" s="1077">
        <v>2.5</v>
      </c>
      <c r="F65" s="1077">
        <v>2.2999999999999998</v>
      </c>
      <c r="G65" s="1077">
        <v>2.2999999999999998</v>
      </c>
      <c r="H65" s="1077">
        <v>2.2999999999999998</v>
      </c>
      <c r="I65" s="1077">
        <v>2.2999999999999998</v>
      </c>
      <c r="J65" s="1077">
        <v>2.2999999999999998</v>
      </c>
      <c r="K65" s="1077">
        <v>2.2999999999999998</v>
      </c>
      <c r="L65" s="1077">
        <v>2.2999999999999998</v>
      </c>
      <c r="M65" s="1077">
        <v>2.2999999999999998</v>
      </c>
      <c r="N65" s="1077">
        <v>2.8</v>
      </c>
      <c r="O65" s="1077">
        <v>2.8</v>
      </c>
      <c r="P65" s="1077">
        <v>2.8</v>
      </c>
      <c r="Q65" s="1077">
        <v>2.8</v>
      </c>
      <c r="R65" s="1077">
        <v>5</v>
      </c>
      <c r="S65" s="1080">
        <v>3</v>
      </c>
      <c r="T65" s="1080">
        <v>5.5</v>
      </c>
      <c r="U65" s="1080">
        <v>7</v>
      </c>
      <c r="V65" s="1080">
        <v>9.5</v>
      </c>
      <c r="W65" s="1077">
        <v>0.35</v>
      </c>
      <c r="X65" s="1077">
        <v>0.5</v>
      </c>
      <c r="Y65" s="1077">
        <v>0.6</v>
      </c>
      <c r="Z65" s="1077">
        <v>0.9</v>
      </c>
      <c r="AA65" s="1077">
        <v>1.1000000000000001</v>
      </c>
      <c r="AB65" s="1077">
        <v>1.2</v>
      </c>
      <c r="AC65" s="1080">
        <v>1.4</v>
      </c>
      <c r="AD65" s="1080">
        <v>1.6</v>
      </c>
      <c r="AE65" s="1080">
        <v>1.8</v>
      </c>
      <c r="AF65" s="1080">
        <v>2</v>
      </c>
      <c r="AG65" s="1080">
        <v>2.2000000000000002</v>
      </c>
      <c r="AH65" s="1080">
        <v>2.2999999999999998</v>
      </c>
      <c r="AI65" s="1080">
        <v>2.4</v>
      </c>
      <c r="AJ65" s="1080">
        <v>2.5</v>
      </c>
      <c r="AK65" s="1080">
        <v>2.7</v>
      </c>
      <c r="AL65" s="1080">
        <v>2.9</v>
      </c>
      <c r="AM65" s="1080">
        <v>3</v>
      </c>
      <c r="AN65" s="1080">
        <v>3</v>
      </c>
      <c r="AO65" s="1080"/>
      <c r="AP65" s="1073"/>
      <c r="AQ65" s="1073"/>
      <c r="AR65" s="1073"/>
      <c r="AS65" s="1066"/>
      <c r="AT65" s="1066"/>
      <c r="AU65" s="1068"/>
      <c r="AV65" s="1066"/>
      <c r="AW65" s="1066"/>
      <c r="AX65" s="1066"/>
    </row>
    <row r="66" spans="1:50" ht="15.6">
      <c r="A66" s="1077" t="s">
        <v>1818</v>
      </c>
      <c r="B66" s="1081">
        <f>'Summary Total Pigs'!AF16/17*4</f>
        <v>507.05882352941177</v>
      </c>
      <c r="C66" s="1081">
        <f>B66</f>
        <v>507.05882352941177</v>
      </c>
      <c r="D66" s="1081">
        <f t="shared" ref="D66:R66" si="54">C66</f>
        <v>507.05882352941177</v>
      </c>
      <c r="E66" s="1081">
        <f t="shared" si="54"/>
        <v>507.05882352941177</v>
      </c>
      <c r="F66" s="1081">
        <f t="shared" si="54"/>
        <v>507.05882352941177</v>
      </c>
      <c r="G66" s="1081">
        <f t="shared" si="54"/>
        <v>507.05882352941177</v>
      </c>
      <c r="H66" s="1081">
        <f t="shared" si="54"/>
        <v>507.05882352941177</v>
      </c>
      <c r="I66" s="1081">
        <f t="shared" si="54"/>
        <v>507.05882352941177</v>
      </c>
      <c r="J66" s="1081">
        <f t="shared" si="54"/>
        <v>507.05882352941177</v>
      </c>
      <c r="K66" s="1081">
        <f t="shared" si="54"/>
        <v>507.05882352941177</v>
      </c>
      <c r="L66" s="1081">
        <f t="shared" si="54"/>
        <v>507.05882352941177</v>
      </c>
      <c r="M66" s="1081">
        <f t="shared" si="54"/>
        <v>507.05882352941177</v>
      </c>
      <c r="N66" s="1081">
        <f t="shared" si="54"/>
        <v>507.05882352941177</v>
      </c>
      <c r="O66" s="1081">
        <f t="shared" si="54"/>
        <v>507.05882352941177</v>
      </c>
      <c r="P66" s="1081">
        <f t="shared" si="54"/>
        <v>507.05882352941177</v>
      </c>
      <c r="Q66" s="1081">
        <f t="shared" si="54"/>
        <v>507.05882352941177</v>
      </c>
      <c r="R66" s="1081">
        <f t="shared" si="54"/>
        <v>507.05882352941177</v>
      </c>
      <c r="S66" s="1081">
        <f>R66</f>
        <v>507.05882352941177</v>
      </c>
      <c r="T66" s="1081">
        <f>S66</f>
        <v>507.05882352941177</v>
      </c>
      <c r="U66" s="1081">
        <f>T66</f>
        <v>507.05882352941177</v>
      </c>
      <c r="V66" s="1081">
        <f>U66</f>
        <v>507.05882352941177</v>
      </c>
      <c r="W66" s="1081">
        <f>SUM(W7:Z7)</f>
        <v>4463</v>
      </c>
      <c r="X66" s="1081">
        <f>SUM(W7:AA7)</f>
        <v>5687</v>
      </c>
      <c r="Y66" s="1081">
        <f t="shared" ref="Y66:AN66" si="55">SUM(Y7:AB7)</f>
        <v>4899</v>
      </c>
      <c r="Z66" s="1081">
        <f t="shared" si="55"/>
        <v>4670</v>
      </c>
      <c r="AA66" s="1081">
        <f t="shared" si="55"/>
        <v>4467</v>
      </c>
      <c r="AB66" s="1081">
        <f t="shared" si="55"/>
        <v>4182</v>
      </c>
      <c r="AC66" s="1081">
        <f t="shared" si="55"/>
        <v>3959</v>
      </c>
      <c r="AD66" s="1081">
        <f t="shared" si="55"/>
        <v>3790</v>
      </c>
      <c r="AE66" s="1081">
        <f t="shared" si="55"/>
        <v>3673</v>
      </c>
      <c r="AF66" s="1081">
        <f t="shared" si="55"/>
        <v>3665</v>
      </c>
      <c r="AG66" s="1081">
        <f t="shared" si="55"/>
        <v>3658</v>
      </c>
      <c r="AH66" s="1081">
        <f t="shared" si="55"/>
        <v>3736</v>
      </c>
      <c r="AI66" s="1081">
        <f t="shared" si="55"/>
        <v>3687</v>
      </c>
      <c r="AJ66" s="1081">
        <f t="shared" si="55"/>
        <v>3668</v>
      </c>
      <c r="AK66" s="1081">
        <f t="shared" si="55"/>
        <v>3648</v>
      </c>
      <c r="AL66" s="1081">
        <f t="shared" si="55"/>
        <v>3653</v>
      </c>
      <c r="AM66" s="1081">
        <f t="shared" si="55"/>
        <v>3702</v>
      </c>
      <c r="AN66" s="1081">
        <f t="shared" si="55"/>
        <v>3659</v>
      </c>
      <c r="AO66" s="1081"/>
      <c r="AP66" s="1066"/>
      <c r="AQ66" s="1066"/>
      <c r="AR66" s="1066"/>
      <c r="AS66" s="1066"/>
      <c r="AT66" s="1066"/>
      <c r="AU66" s="1068"/>
      <c r="AV66" s="1066"/>
      <c r="AW66" s="1066"/>
      <c r="AX66" s="1066"/>
    </row>
    <row r="67" spans="1:50" ht="15.6">
      <c r="A67" s="1077" t="s">
        <v>1819</v>
      </c>
      <c r="B67" s="1081">
        <f>B64*B65*B66</f>
        <v>8873.5294117647063</v>
      </c>
      <c r="C67" s="1081">
        <f t="shared" ref="C67:Q67" si="56">C64*C65*C66</f>
        <v>8873.5294117647063</v>
      </c>
      <c r="D67" s="1081">
        <f t="shared" si="56"/>
        <v>8873.5294117647063</v>
      </c>
      <c r="E67" s="1081">
        <f t="shared" si="56"/>
        <v>8873.5294117647063</v>
      </c>
      <c r="F67" s="1081">
        <f t="shared" si="56"/>
        <v>8163.6470588235288</v>
      </c>
      <c r="G67" s="1081">
        <f t="shared" si="56"/>
        <v>8163.6470588235288</v>
      </c>
      <c r="H67" s="1081">
        <f>H64*H65*H66</f>
        <v>8163.6470588235288</v>
      </c>
      <c r="I67" s="1081">
        <f t="shared" si="56"/>
        <v>8163.6470588235288</v>
      </c>
      <c r="J67" s="1081">
        <f t="shared" si="56"/>
        <v>8163.6470588235288</v>
      </c>
      <c r="K67" s="1081">
        <f t="shared" si="56"/>
        <v>8163.6470588235288</v>
      </c>
      <c r="L67" s="1081">
        <f t="shared" si="56"/>
        <v>8163.6470588235288</v>
      </c>
      <c r="M67" s="1081">
        <f t="shared" si="56"/>
        <v>8163.6470588235288</v>
      </c>
      <c r="N67" s="1081">
        <f t="shared" si="56"/>
        <v>9938.3529411764703</v>
      </c>
      <c r="O67" s="1081">
        <f t="shared" si="56"/>
        <v>9938.3529411764703</v>
      </c>
      <c r="P67" s="1081">
        <f t="shared" si="56"/>
        <v>9938.3529411764703</v>
      </c>
      <c r="Q67" s="1081">
        <f t="shared" si="56"/>
        <v>9938.3529411764703</v>
      </c>
      <c r="R67" s="1081">
        <f>R64*R65*R66</f>
        <v>17747.058823529413</v>
      </c>
      <c r="S67" s="1081">
        <f>S64*S65*S66</f>
        <v>10648.235294117647</v>
      </c>
      <c r="T67" s="1081">
        <f t="shared" ref="T67:AN67" si="57">T64*T65*T66</f>
        <v>19521.764705882353</v>
      </c>
      <c r="U67" s="1081">
        <f t="shared" si="57"/>
        <v>24845.882352941178</v>
      </c>
      <c r="V67" s="1081">
        <f>V64*V65*V66</f>
        <v>33719.411764705881</v>
      </c>
      <c r="W67" s="1081">
        <f>W64*W65*W66</f>
        <v>10934.349999999999</v>
      </c>
      <c r="X67" s="1081">
        <f>X64*X65*X66</f>
        <v>19904.5</v>
      </c>
      <c r="Y67" s="1081">
        <f t="shared" si="57"/>
        <v>20575.8</v>
      </c>
      <c r="Z67" s="1081">
        <f>Z64*Z65*Z66</f>
        <v>29421</v>
      </c>
      <c r="AA67" s="1081">
        <f t="shared" si="57"/>
        <v>34395.9</v>
      </c>
      <c r="AB67" s="1081">
        <f t="shared" si="57"/>
        <v>35128.800000000003</v>
      </c>
      <c r="AC67" s="1081">
        <f t="shared" si="57"/>
        <v>38798.199999999997</v>
      </c>
      <c r="AD67" s="1081">
        <f>AD64*AD65*AD66</f>
        <v>42448.000000000007</v>
      </c>
      <c r="AE67" s="1081">
        <f t="shared" si="57"/>
        <v>46279.799999999996</v>
      </c>
      <c r="AF67" s="1081">
        <f t="shared" si="57"/>
        <v>51310</v>
      </c>
      <c r="AG67" s="1081">
        <f t="shared" si="57"/>
        <v>56333.200000000004</v>
      </c>
      <c r="AH67" s="1081">
        <f t="shared" si="57"/>
        <v>60149.599999999991</v>
      </c>
      <c r="AI67" s="1081">
        <f>AI64*AI65*AI66</f>
        <v>61941.600000000006</v>
      </c>
      <c r="AJ67" s="1081">
        <f t="shared" si="57"/>
        <v>64190</v>
      </c>
      <c r="AK67" s="1081">
        <f t="shared" si="57"/>
        <v>68947.200000000012</v>
      </c>
      <c r="AL67" s="1081">
        <f t="shared" si="57"/>
        <v>74155.900000000009</v>
      </c>
      <c r="AM67" s="1081">
        <f t="shared" si="57"/>
        <v>77742</v>
      </c>
      <c r="AN67" s="1081">
        <f t="shared" si="57"/>
        <v>76839</v>
      </c>
      <c r="AO67" s="1081">
        <f>SUM(B67:AN67)</f>
        <v>1116533.9088235293</v>
      </c>
      <c r="AP67" s="1066"/>
      <c r="AQ67" s="1066"/>
      <c r="AR67" s="1066"/>
      <c r="AS67" s="1066"/>
      <c r="AT67" s="1066"/>
      <c r="AU67" s="1068"/>
      <c r="AV67" s="1066"/>
      <c r="AW67" s="1066"/>
      <c r="AX67" s="1066"/>
    </row>
    <row r="68" spans="1:50" ht="15.6">
      <c r="A68" s="1077"/>
      <c r="B68" s="1081"/>
      <c r="C68" s="1081"/>
      <c r="D68" s="1081"/>
      <c r="E68" s="1081"/>
      <c r="F68" s="1081"/>
      <c r="G68" s="1081"/>
      <c r="H68" s="1081"/>
      <c r="I68" s="1081"/>
      <c r="J68" s="1081"/>
      <c r="K68" s="1081"/>
      <c r="L68" s="1081"/>
      <c r="M68" s="1081"/>
      <c r="N68" s="1081"/>
      <c r="O68" s="1081"/>
      <c r="P68" s="1081"/>
      <c r="Q68" s="1081"/>
      <c r="R68" s="1081">
        <f>SUM(B67:R67)</f>
        <v>158303.76470588235</v>
      </c>
      <c r="S68" s="1081"/>
      <c r="T68" s="1081"/>
      <c r="U68" s="1081">
        <f>SUM(S67:U67)</f>
        <v>55015.882352941175</v>
      </c>
      <c r="V68" s="1081">
        <f>+V67</f>
        <v>33719.411764705881</v>
      </c>
      <c r="W68" s="1081"/>
      <c r="X68" s="1081"/>
      <c r="Y68" s="1081">
        <f>SUM(W67:Y67)</f>
        <v>51414.649999999994</v>
      </c>
      <c r="Z68" s="1081"/>
      <c r="AA68" s="1081">
        <v>0</v>
      </c>
      <c r="AB68" s="1081"/>
      <c r="AC68" s="1081">
        <f>SUM(Z67:AC67)</f>
        <v>137743.90000000002</v>
      </c>
      <c r="AD68" s="1081"/>
      <c r="AE68" s="1081">
        <f>SUM(AD67:AE67)</f>
        <v>88727.8</v>
      </c>
      <c r="AF68" s="1081"/>
      <c r="AG68" s="1081">
        <f>SUM(AF67:AG67)</f>
        <v>107643.20000000001</v>
      </c>
      <c r="AH68" s="1081"/>
      <c r="AI68" s="1081">
        <f>SUM(AH67:AI67)</f>
        <v>122091.2</v>
      </c>
      <c r="AJ68" s="1081"/>
      <c r="AK68" s="1081"/>
      <c r="AL68" s="1081"/>
      <c r="AM68" s="1081"/>
      <c r="AN68" s="1081">
        <f>SUM(AJ67:AN67)</f>
        <v>361874.10000000003</v>
      </c>
      <c r="AO68" s="1081">
        <f>SUM(B68:AN68)</f>
        <v>1116533.9088235295</v>
      </c>
      <c r="AP68" s="1066"/>
      <c r="AQ68" s="1066"/>
      <c r="AR68" s="1066"/>
      <c r="AS68" s="1066"/>
      <c r="AT68" s="1066"/>
      <c r="AU68" s="1068"/>
      <c r="AV68" s="1066"/>
      <c r="AW68" s="1066"/>
      <c r="AX68" s="1066"/>
    </row>
    <row r="69" spans="1:50" ht="15.6">
      <c r="A69" s="1077" t="s">
        <v>1820</v>
      </c>
      <c r="B69" s="1082">
        <f>B67/$R$68</f>
        <v>5.6053811659192827E-2</v>
      </c>
      <c r="C69" s="1082">
        <f t="shared" ref="C69:O69" si="58">C67/$R$68</f>
        <v>5.6053811659192827E-2</v>
      </c>
      <c r="D69" s="1082">
        <f t="shared" si="58"/>
        <v>5.6053811659192827E-2</v>
      </c>
      <c r="E69" s="1082">
        <f t="shared" si="58"/>
        <v>5.6053811659192827E-2</v>
      </c>
      <c r="F69" s="1082">
        <f t="shared" si="58"/>
        <v>5.1569506726457395E-2</v>
      </c>
      <c r="G69" s="1082">
        <f t="shared" si="58"/>
        <v>5.1569506726457395E-2</v>
      </c>
      <c r="H69" s="1082">
        <f t="shared" si="58"/>
        <v>5.1569506726457395E-2</v>
      </c>
      <c r="I69" s="1082">
        <f t="shared" si="58"/>
        <v>5.1569506726457395E-2</v>
      </c>
      <c r="J69" s="1082">
        <f t="shared" si="58"/>
        <v>5.1569506726457395E-2</v>
      </c>
      <c r="K69" s="1082">
        <f t="shared" si="58"/>
        <v>5.1569506726457395E-2</v>
      </c>
      <c r="L69" s="1082">
        <f t="shared" si="58"/>
        <v>5.1569506726457395E-2</v>
      </c>
      <c r="M69" s="1082">
        <f t="shared" si="58"/>
        <v>5.1569506726457395E-2</v>
      </c>
      <c r="N69" s="1082">
        <f t="shared" si="58"/>
        <v>6.2780269058295965E-2</v>
      </c>
      <c r="O69" s="1082">
        <f t="shared" si="58"/>
        <v>6.2780269058295965E-2</v>
      </c>
      <c r="P69" s="1082">
        <f>P67/$R$68</f>
        <v>6.2780269058295965E-2</v>
      </c>
      <c r="Q69" s="1082">
        <f>Q67/$R$68</f>
        <v>6.2780269058295965E-2</v>
      </c>
      <c r="R69" s="1082">
        <f>R67/$R$68</f>
        <v>0.11210762331838565</v>
      </c>
      <c r="S69" s="1082">
        <f>S67/$U$68</f>
        <v>0.19354838709677419</v>
      </c>
      <c r="T69" s="1082">
        <f>T67/$U$68</f>
        <v>0.35483870967741937</v>
      </c>
      <c r="U69" s="1082">
        <f>U67/$U$68</f>
        <v>0.45161290322580649</v>
      </c>
      <c r="V69" s="1082">
        <f>V67/$V$68</f>
        <v>1</v>
      </c>
      <c r="W69" s="1082">
        <f>W67/$Y$68</f>
        <v>0.21266992967957576</v>
      </c>
      <c r="X69" s="1082">
        <f>X67/$Y$68</f>
        <v>0.38713674020925948</v>
      </c>
      <c r="Y69" s="1082">
        <f>Y67/$Y$68</f>
        <v>0.40019333011116487</v>
      </c>
      <c r="Z69" s="1082">
        <f>Z67/$AC$68</f>
        <v>0.21359203565457341</v>
      </c>
      <c r="AA69" s="1082">
        <f>AA67/$AC$68</f>
        <v>0.24970906152649952</v>
      </c>
      <c r="AB69" s="1082">
        <f>AB67/$AC$68</f>
        <v>0.25502980531261271</v>
      </c>
      <c r="AC69" s="1082">
        <f>AC67/$AC$68</f>
        <v>0.28166909750631419</v>
      </c>
      <c r="AD69" s="1082">
        <f>AD67/$AE$68</f>
        <v>0.47840699307319695</v>
      </c>
      <c r="AE69" s="1082">
        <f>AE67/$AE$68</f>
        <v>0.52159300692680299</v>
      </c>
      <c r="AF69" s="1082">
        <f>AF67/$AG$68</f>
        <v>0.47666736031630419</v>
      </c>
      <c r="AG69" s="1082">
        <f>AG67/$AG$68</f>
        <v>0.5233326396836957</v>
      </c>
      <c r="AH69" s="1082">
        <f>AH67/$AI$68</f>
        <v>0.49266122374094112</v>
      </c>
      <c r="AI69" s="1082">
        <f>AI67/$AI$68</f>
        <v>0.50733877625905888</v>
      </c>
      <c r="AJ69" s="1082">
        <f>AJ67/$AN$68</f>
        <v>0.1773821337310407</v>
      </c>
      <c r="AK69" s="1082">
        <f>AK67/$AN$68</f>
        <v>0.19052814224615688</v>
      </c>
      <c r="AL69" s="1082">
        <f>AL67/$AN$68</f>
        <v>0.20492182225807262</v>
      </c>
      <c r="AM69" s="1082">
        <f>AM67/$AN$68</f>
        <v>0.21483162237916445</v>
      </c>
      <c r="AN69" s="1082">
        <f>AN67/$AN$68</f>
        <v>0.21233627938556529</v>
      </c>
      <c r="AO69" s="1065"/>
      <c r="AU69" s="1057"/>
    </row>
    <row r="70" spans="1:50">
      <c r="A70" s="1065"/>
      <c r="B70" s="1065"/>
      <c r="C70" s="1065"/>
      <c r="D70" s="1065"/>
      <c r="E70" s="1065"/>
      <c r="F70" s="1065"/>
      <c r="G70" s="1065"/>
      <c r="H70" s="1065"/>
      <c r="I70" s="1065"/>
      <c r="J70" s="1065"/>
      <c r="K70" s="1065"/>
      <c r="L70" s="1065"/>
      <c r="M70" s="1065"/>
      <c r="N70" s="1065"/>
      <c r="O70" s="1065"/>
      <c r="P70" s="1065"/>
      <c r="Q70" s="1065"/>
      <c r="R70" s="1065"/>
      <c r="S70" s="1065"/>
      <c r="T70" s="1065"/>
      <c r="U70" s="1065"/>
      <c r="V70" s="1065"/>
      <c r="W70" s="1065"/>
      <c r="X70" s="1065"/>
      <c r="Y70" s="1065"/>
      <c r="Z70" s="1065"/>
      <c r="AA70" s="1065"/>
      <c r="AB70" s="1065"/>
      <c r="AC70" s="1065"/>
      <c r="AD70" s="1065"/>
      <c r="AE70" s="1065"/>
      <c r="AF70" s="1065"/>
      <c r="AG70" s="1065"/>
      <c r="AH70" s="1065"/>
      <c r="AI70" s="1065"/>
      <c r="AJ70" s="1065"/>
      <c r="AK70" s="1065"/>
      <c r="AL70" s="1065"/>
      <c r="AM70" s="1065"/>
      <c r="AN70" s="1065"/>
      <c r="AO70" s="1065"/>
      <c r="AU70" s="1057"/>
    </row>
    <row r="71" spans="1:50">
      <c r="A71" s="1065"/>
      <c r="B71" s="1065"/>
      <c r="C71" s="1065"/>
      <c r="D71" s="1065"/>
      <c r="E71" s="1065"/>
      <c r="F71" s="1065"/>
      <c r="G71" s="1065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5"/>
      <c r="AD71" s="1065"/>
      <c r="AE71" s="1065"/>
      <c r="AF71" s="1065"/>
      <c r="AG71" s="1065"/>
      <c r="AH71" s="1065"/>
      <c r="AI71" s="1065"/>
      <c r="AJ71" s="1065"/>
      <c r="AK71" s="1065"/>
      <c r="AL71" s="1065"/>
      <c r="AM71" s="1065"/>
      <c r="AN71" s="1065"/>
      <c r="AO71" s="1065"/>
      <c r="AU71" s="1057"/>
    </row>
    <row r="72" spans="1:50" ht="15.6">
      <c r="A72" s="1081" t="s">
        <v>1821</v>
      </c>
      <c r="B72" s="1081"/>
      <c r="C72" s="1081"/>
      <c r="D72" s="1081"/>
      <c r="E72" s="1081"/>
      <c r="F72" s="1081"/>
      <c r="G72" s="1081"/>
      <c r="H72" s="1081"/>
      <c r="I72" s="1081"/>
      <c r="J72" s="1081"/>
      <c r="K72" s="1081"/>
      <c r="L72" s="1081"/>
      <c r="M72" s="1081"/>
      <c r="N72" s="1081"/>
      <c r="O72" s="1081"/>
      <c r="P72" s="1081"/>
      <c r="Q72" s="1081">
        <f>SUM(B67:Q67)</f>
        <v>140556.70588235295</v>
      </c>
      <c r="R72" s="1081">
        <f>R67</f>
        <v>17747.058823529413</v>
      </c>
      <c r="S72" s="1081">
        <f>S67</f>
        <v>10648.235294117647</v>
      </c>
      <c r="T72" s="1081">
        <f>T66*T64*T65</f>
        <v>19521.764705882353</v>
      </c>
      <c r="U72" s="1081">
        <f>U66*U64*U65</f>
        <v>24845.882352941178</v>
      </c>
      <c r="V72" s="1081">
        <f>V66*V64*V65</f>
        <v>33719.411764705881</v>
      </c>
      <c r="W72" s="1081">
        <f>W67</f>
        <v>10934.349999999999</v>
      </c>
      <c r="X72" s="1081"/>
      <c r="Y72" s="1081">
        <f>Y68</f>
        <v>51414.649999999994</v>
      </c>
      <c r="Z72" s="1081"/>
      <c r="AA72" s="1081"/>
      <c r="AB72" s="1081"/>
      <c r="AC72" s="1081">
        <f>AC68</f>
        <v>137743.90000000002</v>
      </c>
      <c r="AD72" s="1081"/>
      <c r="AE72" s="1081">
        <f>AE68</f>
        <v>88727.8</v>
      </c>
      <c r="AF72" s="1081"/>
      <c r="AG72" s="1081">
        <f>AG68</f>
        <v>107643.20000000001</v>
      </c>
      <c r="AH72" s="1081"/>
      <c r="AI72" s="1081"/>
      <c r="AJ72" s="1081">
        <f>AJ68</f>
        <v>0</v>
      </c>
      <c r="AK72" s="1081"/>
      <c r="AL72" s="1081"/>
      <c r="AM72" s="1081"/>
      <c r="AN72" s="1081">
        <f>AN68</f>
        <v>361874.10000000003</v>
      </c>
      <c r="AO72" s="1081">
        <f>SUM(B72:AN72)</f>
        <v>1005377.0588235296</v>
      </c>
      <c r="AP72" s="1068"/>
      <c r="AQ72" s="1068"/>
      <c r="AR72" s="1068"/>
      <c r="AS72" s="1068"/>
      <c r="AT72" s="1068"/>
      <c r="AU72" s="1068"/>
      <c r="AV72" s="1068"/>
      <c r="AW72" s="1068"/>
      <c r="AX72" s="1068"/>
    </row>
    <row r="73" spans="1:50" ht="15.6">
      <c r="A73" s="1081" t="s">
        <v>1822</v>
      </c>
      <c r="B73" s="1081"/>
      <c r="C73" s="1081"/>
      <c r="D73" s="1081"/>
      <c r="E73" s="1081"/>
      <c r="F73" s="1081"/>
      <c r="G73" s="1081"/>
      <c r="H73" s="1081"/>
      <c r="I73" s="1081"/>
      <c r="J73" s="1081"/>
      <c r="K73" s="1081"/>
      <c r="L73" s="1081"/>
      <c r="M73" s="1081"/>
      <c r="N73" s="1081"/>
      <c r="O73" s="1081"/>
      <c r="P73" s="1081"/>
      <c r="Q73" s="1081">
        <f>'[4]Feed Costing &amp; Appotionment '!K122+'[4]Feed Costing &amp; Appotionment '!O122</f>
        <v>273392.90000000002</v>
      </c>
      <c r="R73" s="1081">
        <f>'[4]Feed Costing &amp; Appotionment '!T122</f>
        <v>47127.5</v>
      </c>
      <c r="S73" s="1081">
        <f>'[4]Feed Costing &amp; Appotionment '!N122</f>
        <v>17559.5</v>
      </c>
      <c r="T73" s="1081"/>
      <c r="U73" s="1081"/>
      <c r="V73" s="1081">
        <f>'[4]Feed Costing &amp; Appotionment '!L122+'[4]Feed Costing &amp; Appotionment '!M122</f>
        <v>117633</v>
      </c>
      <c r="W73" s="1081">
        <f>'[4]Feed Costing &amp; Appotionment '!B122</f>
        <v>29254.2</v>
      </c>
      <c r="X73" s="1081"/>
      <c r="Y73" s="1081">
        <f>'[4]Feed Costing &amp; Appotionment '!C122</f>
        <v>126974</v>
      </c>
      <c r="Z73" s="1081"/>
      <c r="AA73" s="1081"/>
      <c r="AB73" s="1081"/>
      <c r="AC73" s="1081">
        <f>'[4]Feed Costing &amp; Appotionment '!D122+'[4]Feed Costing &amp; Appotionment '!E122</f>
        <v>243037.40000000002</v>
      </c>
      <c r="AD73" s="1081"/>
      <c r="AE73" s="1081">
        <f>'[4]Feed Costing &amp; Appotionment '!F122</f>
        <v>176588.4</v>
      </c>
      <c r="AF73" s="1081"/>
      <c r="AG73" s="1081">
        <f>'[4]Feed Costing &amp; Appotionment '!G122</f>
        <v>59290</v>
      </c>
      <c r="AH73" s="1081"/>
      <c r="AI73" s="1081"/>
      <c r="AJ73" s="1081">
        <f>'[4]Feed Costing &amp; Appotionment '!H122</f>
        <v>949048.7</v>
      </c>
      <c r="AK73" s="1081"/>
      <c r="AL73" s="1081"/>
      <c r="AM73" s="1081"/>
      <c r="AN73" s="1081">
        <f>'[4]Feed Costing &amp; Appotionment '!J122</f>
        <v>710118.55</v>
      </c>
      <c r="AO73" s="1081">
        <f>SUM(B73:AN73)</f>
        <v>2750024.1500000004</v>
      </c>
      <c r="AP73" s="1068">
        <f>AO73-'[4]Feed Costing &amp; Appotionment '!U122+'[4]Feed Costing &amp; Appotionment '!P122+'[4]Feed Costing &amp; Appotionment '!Q122+'[4]Feed Costing &amp; Appotionment '!R122</f>
        <v>1.8917489796876907E-10</v>
      </c>
      <c r="AQ73" s="1068"/>
      <c r="AR73" s="1068"/>
      <c r="AS73" s="1068"/>
      <c r="AT73" s="1068"/>
      <c r="AU73" s="1068"/>
      <c r="AV73" s="1068"/>
      <c r="AW73" s="1068"/>
      <c r="AX73" s="1068"/>
    </row>
    <row r="74" spans="1:50" ht="15.6">
      <c r="A74" s="1081" t="s">
        <v>1823</v>
      </c>
      <c r="B74" s="1081"/>
      <c r="C74" s="1081"/>
      <c r="D74" s="1081"/>
      <c r="E74" s="1081"/>
      <c r="F74" s="1081"/>
      <c r="G74" s="1081"/>
      <c r="H74" s="1081"/>
      <c r="I74" s="1081"/>
      <c r="J74" s="1081"/>
      <c r="K74" s="1081"/>
      <c r="L74" s="1081"/>
      <c r="M74" s="1081"/>
      <c r="N74" s="1081"/>
      <c r="O74" s="1081"/>
      <c r="P74" s="1081"/>
      <c r="Q74" s="1081">
        <f>Q72-Q73</f>
        <v>-132836.19411764707</v>
      </c>
      <c r="R74" s="1081">
        <f>R72-R73</f>
        <v>-29380.441176470587</v>
      </c>
      <c r="S74" s="1081">
        <f>S72-S73</f>
        <v>-6911.2647058823532</v>
      </c>
      <c r="T74" s="1081"/>
      <c r="U74" s="1081"/>
      <c r="V74" s="1081">
        <f>SUM(T72:V72)-V73</f>
        <v>-39545.941176470587</v>
      </c>
      <c r="W74" s="1081">
        <f>W72-W73</f>
        <v>-18319.850000000002</v>
      </c>
      <c r="X74" s="1081">
        <f>X72-X73</f>
        <v>0</v>
      </c>
      <c r="Y74" s="1081">
        <f>Y72-Y73</f>
        <v>-75559.350000000006</v>
      </c>
      <c r="Z74" s="1081"/>
      <c r="AA74" s="1081"/>
      <c r="AB74" s="1081"/>
      <c r="AC74" s="1081">
        <f>AC72-AC73</f>
        <v>-105293.5</v>
      </c>
      <c r="AD74" s="1081"/>
      <c r="AE74" s="1081">
        <f>AE72-AE73</f>
        <v>-87860.599999999991</v>
      </c>
      <c r="AF74" s="1081"/>
      <c r="AG74" s="1081">
        <f>AG72-AG73</f>
        <v>48353.200000000012</v>
      </c>
      <c r="AH74" s="1081"/>
      <c r="AI74" s="1081"/>
      <c r="AJ74" s="1081">
        <f>AJ72-AJ73</f>
        <v>-949048.7</v>
      </c>
      <c r="AK74" s="1081"/>
      <c r="AL74" s="1081"/>
      <c r="AM74" s="1081"/>
      <c r="AN74" s="1081">
        <f>AN72-AN73</f>
        <v>-348244.45</v>
      </c>
      <c r="AO74" s="1081">
        <f>SUM(B74:AN74)</f>
        <v>-1744647.0911764705</v>
      </c>
      <c r="AP74" s="1068">
        <f>AO73-'[4]Feed Costing &amp; Appotionment '!U122</f>
        <v>-86697.799999999814</v>
      </c>
      <c r="AQ74" s="1068"/>
      <c r="AR74" s="1068"/>
      <c r="AS74" s="1068"/>
      <c r="AT74" s="1068"/>
      <c r="AU74" s="1068"/>
      <c r="AV74" s="1068"/>
      <c r="AW74" s="1068"/>
      <c r="AX74" s="1068"/>
    </row>
    <row r="75" spans="1:50" ht="15.6">
      <c r="A75" s="1081" t="s">
        <v>1824</v>
      </c>
      <c r="B75" s="1077"/>
      <c r="C75" s="1077"/>
      <c r="D75" s="1077"/>
      <c r="E75" s="1077"/>
      <c r="F75" s="1077"/>
      <c r="G75" s="1077"/>
      <c r="H75" s="1077"/>
      <c r="I75" s="1077"/>
      <c r="J75" s="1077"/>
      <c r="K75" s="1077"/>
      <c r="L75" s="1077"/>
      <c r="M75" s="1077"/>
      <c r="N75" s="1077"/>
      <c r="O75" s="1077"/>
      <c r="P75" s="1077"/>
      <c r="Q75" s="1083">
        <f>('[4]Feed Costing &amp; Appotionment '!K123+'[4]Feed Costing &amp; Appotionment '!O123)/('[4]Feed Costing &amp; Appotionment '!K122+'[4]Feed Costing &amp; Appotionment '!O122)</f>
        <v>0.33022565021567968</v>
      </c>
      <c r="R75" s="1080">
        <f>'[4]Feed Costing &amp; Appotionment '!T124</f>
        <v>0.37880590011098036</v>
      </c>
      <c r="S75" s="1080">
        <f>'[4]Feed Costing &amp; Appotionment '!N124</f>
        <v>0.36773334194341661</v>
      </c>
      <c r="T75" s="1077"/>
      <c r="U75" s="1077"/>
      <c r="V75" s="1080">
        <f>('[4]Feed Costing &amp; Appotionment '!M123+'[4]Feed Costing &amp; Appotionment '!L123)/('[4]Feed Costing &amp; Appotionment '!L122+'[4]Feed Costing &amp; Appotionment '!M122)</f>
        <v>0.38986305594770371</v>
      </c>
      <c r="W75" s="1080">
        <f>'[4]Feed Costing &amp; Appotionment '!B124</f>
        <v>0.70516028376225237</v>
      </c>
      <c r="X75" s="1077"/>
      <c r="Y75" s="1080">
        <f>'[4]Feed Costing &amp; Appotionment '!C124</f>
        <v>0.553048745740369</v>
      </c>
      <c r="Z75" s="1077"/>
      <c r="AA75" s="1080"/>
      <c r="AB75" s="1077"/>
      <c r="AC75" s="1080">
        <f>'[4]Feed Costing &amp; Appotionment '!D124</f>
        <v>0.45761789674138609</v>
      </c>
      <c r="AD75" s="1077"/>
      <c r="AE75" s="1080">
        <f>'[4]Feed Costing &amp; Appotionment '!F124</f>
        <v>0.36072118784213153</v>
      </c>
      <c r="AF75" s="1077"/>
      <c r="AG75" s="1080">
        <f>'[4]Feed Costing &amp; Appotionment '!G124</f>
        <v>0.35277419368699731</v>
      </c>
      <c r="AH75" s="1077"/>
      <c r="AI75" s="1077"/>
      <c r="AJ75" s="1080">
        <f>'[4]Feed Costing &amp; Appotionment '!H124</f>
        <v>0.32545898419719504</v>
      </c>
      <c r="AK75" s="1077"/>
      <c r="AL75" s="1077"/>
      <c r="AM75" s="1077"/>
      <c r="AN75" s="1080">
        <f>'[4]Feed Costing &amp; Appotionment '!J124</f>
        <v>0.34727367194923103</v>
      </c>
      <c r="AO75" s="1083">
        <f>AO76/AO74</f>
        <v>0.35554067530388866</v>
      </c>
      <c r="AP75" s="1068">
        <f>'[4]Feed Costing &amp; Appotionment '!P122+'[4]Feed Costing &amp; Appotionment '!Q122+'[4]Feed Costing &amp; Appotionment '!R122</f>
        <v>86697.8</v>
      </c>
      <c r="AQ75" s="1066"/>
      <c r="AR75" s="1066"/>
      <c r="AS75" s="1066"/>
      <c r="AT75" s="1066"/>
      <c r="AU75" s="1068"/>
      <c r="AV75" s="1066"/>
      <c r="AW75" s="1066"/>
      <c r="AX75" s="1066"/>
    </row>
    <row r="76" spans="1:50" ht="15.6">
      <c r="A76" s="1081" t="s">
        <v>1825</v>
      </c>
      <c r="B76" s="1077"/>
      <c r="C76" s="1077"/>
      <c r="D76" s="1077"/>
      <c r="E76" s="1077"/>
      <c r="F76" s="1077"/>
      <c r="G76" s="1077"/>
      <c r="H76" s="1077"/>
      <c r="I76" s="1077"/>
      <c r="J76" s="1077"/>
      <c r="K76" s="1077"/>
      <c r="L76" s="1077"/>
      <c r="M76" s="1077"/>
      <c r="N76" s="1077"/>
      <c r="O76" s="1077"/>
      <c r="P76" s="1077"/>
      <c r="Q76" s="1083">
        <f>Q74*Q75</f>
        <v>-43865.918574676245</v>
      </c>
      <c r="R76" s="1083">
        <f>R74*R75</f>
        <v>-11129.484465510652</v>
      </c>
      <c r="S76" s="1083">
        <f>S74*S75</f>
        <v>-2541.5024673497019</v>
      </c>
      <c r="T76" s="1077"/>
      <c r="U76" s="1077"/>
      <c r="V76" s="1083">
        <f>V74*V75</f>
        <v>-15417.501477386952</v>
      </c>
      <c r="W76" s="1083">
        <f>W74*W75</f>
        <v>-12918.4306244819</v>
      </c>
      <c r="X76" s="1077"/>
      <c r="Y76" s="1083">
        <f>Y74*Y75</f>
        <v>-41788.003746457551</v>
      </c>
      <c r="Z76" s="1077"/>
      <c r="AA76" s="1083"/>
      <c r="AB76" s="1077"/>
      <c r="AC76" s="1083">
        <f>AC74*AC75</f>
        <v>-48184.19001053914</v>
      </c>
      <c r="AD76" s="1077"/>
      <c r="AE76" s="1083">
        <f>AE74*AE75</f>
        <v>-31693.17999652238</v>
      </c>
      <c r="AF76" s="1077"/>
      <c r="AG76" s="1083">
        <f>AG74*AG75</f>
        <v>17057.761142186122</v>
      </c>
      <c r="AH76" s="1077"/>
      <c r="AI76" s="1077"/>
      <c r="AJ76" s="1083">
        <f>AJ74*AJ75</f>
        <v>-308876.42585566849</v>
      </c>
      <c r="AK76" s="1077"/>
      <c r="AL76" s="1077"/>
      <c r="AM76" s="1077"/>
      <c r="AN76" s="1083">
        <f>AN74*AN75</f>
        <v>-120936.1288874404</v>
      </c>
      <c r="AO76" s="1081">
        <f>SUM(B76:AN76)</f>
        <v>-620293.00496384734</v>
      </c>
      <c r="AP76" s="1084">
        <f>SUM(AP74:AP75)</f>
        <v>1.8917489796876907E-10</v>
      </c>
      <c r="AQ76" s="1066"/>
      <c r="AR76" s="1066"/>
      <c r="AS76" s="1066"/>
      <c r="AT76" s="1066"/>
      <c r="AU76" s="1068"/>
      <c r="AV76" s="1066"/>
      <c r="AW76" s="1066"/>
      <c r="AX76" s="1066"/>
    </row>
    <row r="77" spans="1:50" ht="15.6">
      <c r="A77" s="1282"/>
      <c r="B77" s="1066"/>
      <c r="C77" s="1066"/>
      <c r="D77" s="1066"/>
      <c r="E77" s="1066"/>
      <c r="F77" s="1066"/>
      <c r="G77" s="1066"/>
      <c r="H77" s="1066"/>
      <c r="I77" s="1066"/>
      <c r="J77" s="1066"/>
      <c r="K77" s="1066"/>
      <c r="L77" s="1066"/>
      <c r="M77" s="1066"/>
      <c r="N77" s="1066"/>
      <c r="O77" s="1066"/>
      <c r="P77" s="1066"/>
      <c r="Q77" s="1097"/>
      <c r="R77" s="1097"/>
      <c r="S77" s="1097"/>
      <c r="T77" s="1066"/>
      <c r="U77" s="1066"/>
      <c r="V77" s="1097"/>
      <c r="W77" s="1097"/>
      <c r="X77" s="1066"/>
      <c r="Y77" s="1097"/>
      <c r="Z77" s="1066"/>
      <c r="AA77" s="1097"/>
      <c r="AB77" s="1066"/>
      <c r="AC77" s="1097"/>
      <c r="AD77" s="1066"/>
      <c r="AE77" s="1097"/>
      <c r="AF77" s="1066"/>
      <c r="AG77" s="1097"/>
      <c r="AH77" s="1066"/>
      <c r="AI77" s="1066"/>
      <c r="AJ77" s="1097"/>
      <c r="AK77" s="1066"/>
      <c r="AL77" s="1066"/>
      <c r="AM77" s="1066"/>
      <c r="AN77" s="1097"/>
      <c r="AO77" s="1282"/>
      <c r="AP77" s="1084"/>
      <c r="AQ77" s="1066"/>
      <c r="AR77" s="1066"/>
      <c r="AS77" s="1066"/>
      <c r="AT77" s="1066"/>
      <c r="AU77" s="1282"/>
      <c r="AV77" s="1066"/>
      <c r="AW77" s="1066"/>
      <c r="AX77" s="1066"/>
    </row>
    <row r="78" spans="1:50" ht="15.6">
      <c r="A78" s="1282"/>
      <c r="B78" s="1066"/>
      <c r="C78" s="1066"/>
      <c r="D78" s="1066"/>
      <c r="E78" s="1066"/>
      <c r="F78" s="1066"/>
      <c r="G78" s="1066"/>
      <c r="H78" s="1066"/>
      <c r="I78" s="1066"/>
      <c r="J78" s="1066"/>
      <c r="K78" s="1066"/>
      <c r="L78" s="1066"/>
      <c r="M78" s="1066"/>
      <c r="N78" s="1066"/>
      <c r="O78" s="1066"/>
      <c r="P78" s="1066"/>
      <c r="Q78" s="1097"/>
      <c r="R78" s="1097"/>
      <c r="S78" s="1097"/>
      <c r="T78" s="1066"/>
      <c r="U78" s="1066"/>
      <c r="V78" s="1097"/>
      <c r="W78" s="1097"/>
      <c r="X78" s="1066"/>
      <c r="Y78" s="1097"/>
      <c r="Z78" s="1066"/>
      <c r="AA78" s="1097"/>
      <c r="AB78" s="1066"/>
      <c r="AC78" s="1097"/>
      <c r="AD78" s="1066"/>
      <c r="AE78" s="1097"/>
      <c r="AF78" s="1066"/>
      <c r="AG78" s="1097"/>
      <c r="AH78" s="1066"/>
      <c r="AI78" s="1066"/>
      <c r="AJ78" s="1097"/>
      <c r="AK78" s="1066"/>
      <c r="AL78" s="1066"/>
      <c r="AM78" s="1066"/>
      <c r="AN78" s="1097"/>
      <c r="AO78" s="1282"/>
      <c r="AP78" s="1084"/>
      <c r="AQ78" s="1066"/>
      <c r="AR78" s="1066"/>
      <c r="AS78" s="1066"/>
      <c r="AT78" s="1066"/>
      <c r="AU78" s="1282"/>
      <c r="AV78" s="1066"/>
      <c r="AW78" s="1066"/>
      <c r="AX78" s="1066"/>
    </row>
    <row r="79" spans="1:50" ht="15.6">
      <c r="A79" s="131" t="s">
        <v>1816</v>
      </c>
      <c r="B79" s="1716">
        <v>7</v>
      </c>
      <c r="C79" s="1716">
        <v>7</v>
      </c>
      <c r="D79" s="1716">
        <v>7</v>
      </c>
      <c r="E79" s="1716">
        <v>7</v>
      </c>
      <c r="F79" s="1716">
        <v>7</v>
      </c>
      <c r="G79" s="1716">
        <v>7</v>
      </c>
      <c r="H79" s="1716">
        <v>7</v>
      </c>
      <c r="I79" s="1716">
        <v>7</v>
      </c>
      <c r="J79" s="1716">
        <v>7</v>
      </c>
      <c r="K79" s="1716">
        <v>7</v>
      </c>
      <c r="L79" s="1716">
        <v>7</v>
      </c>
      <c r="M79" s="1716">
        <v>7</v>
      </c>
      <c r="N79" s="1716">
        <v>7</v>
      </c>
      <c r="O79" s="1716">
        <v>7</v>
      </c>
      <c r="P79" s="1716">
        <v>7</v>
      </c>
      <c r="Q79" s="1717">
        <v>7</v>
      </c>
      <c r="R79" s="1717">
        <v>7</v>
      </c>
      <c r="S79" s="1709">
        <v>3</v>
      </c>
      <c r="T79" s="1710">
        <v>7</v>
      </c>
      <c r="U79" s="1710">
        <v>7</v>
      </c>
      <c r="V79" s="1709">
        <v>7</v>
      </c>
      <c r="W79" s="1709">
        <v>4</v>
      </c>
      <c r="X79" s="1710">
        <v>7</v>
      </c>
      <c r="Y79" s="1709">
        <v>7</v>
      </c>
      <c r="Z79" s="1710">
        <v>7</v>
      </c>
      <c r="AA79" s="1709">
        <v>7</v>
      </c>
      <c r="AB79" s="1710">
        <v>7</v>
      </c>
      <c r="AC79" s="1709">
        <v>7</v>
      </c>
      <c r="AD79" s="1710">
        <v>7</v>
      </c>
      <c r="AE79" s="1709">
        <v>7</v>
      </c>
      <c r="AF79" s="1710">
        <v>7</v>
      </c>
      <c r="AG79" s="1709">
        <v>7</v>
      </c>
      <c r="AH79" s="1710">
        <v>7</v>
      </c>
      <c r="AI79" s="1710">
        <v>7</v>
      </c>
      <c r="AJ79" s="1709">
        <v>7</v>
      </c>
      <c r="AK79" s="1710">
        <v>7</v>
      </c>
      <c r="AL79" s="1710">
        <v>7</v>
      </c>
      <c r="AM79" s="1710">
        <v>7</v>
      </c>
      <c r="AN79" s="1709">
        <v>7</v>
      </c>
      <c r="AO79" s="1709">
        <v>1</v>
      </c>
      <c r="AP79" s="1084"/>
      <c r="AQ79" s="1066"/>
      <c r="AR79" s="1066"/>
      <c r="AS79" s="1066"/>
      <c r="AT79" s="1066"/>
      <c r="AU79" s="1282"/>
      <c r="AV79" s="1066"/>
      <c r="AW79" s="1066"/>
      <c r="AX79" s="1066"/>
    </row>
    <row r="80" spans="1:50" ht="15.6">
      <c r="A80" s="131" t="s">
        <v>1815</v>
      </c>
      <c r="B80" s="1711" t="s">
        <v>1773</v>
      </c>
      <c r="C80" s="1711" t="s">
        <v>1773</v>
      </c>
      <c r="D80" s="1711" t="s">
        <v>1773</v>
      </c>
      <c r="E80" s="1711" t="s">
        <v>1773</v>
      </c>
      <c r="F80" s="1711" t="s">
        <v>1773</v>
      </c>
      <c r="G80" s="1711" t="s">
        <v>1773</v>
      </c>
      <c r="H80" s="1711" t="s">
        <v>1773</v>
      </c>
      <c r="I80" s="1711" t="s">
        <v>1773</v>
      </c>
      <c r="J80" s="1711" t="s">
        <v>1773</v>
      </c>
      <c r="K80" s="1711" t="s">
        <v>1773</v>
      </c>
      <c r="L80" s="1711" t="s">
        <v>1773</v>
      </c>
      <c r="M80" s="1711" t="s">
        <v>1773</v>
      </c>
      <c r="N80" s="1711" t="s">
        <v>1773</v>
      </c>
      <c r="O80" s="1711" t="s">
        <v>1773</v>
      </c>
      <c r="P80" s="1711" t="s">
        <v>1773</v>
      </c>
      <c r="Q80" s="1711" t="s">
        <v>1773</v>
      </c>
      <c r="R80" s="1711" t="s">
        <v>1826</v>
      </c>
      <c r="S80" s="1711" t="s">
        <v>1775</v>
      </c>
      <c r="T80" s="1711" t="s">
        <v>1775</v>
      </c>
      <c r="U80" s="1711" t="s">
        <v>1775</v>
      </c>
      <c r="V80" s="1711" t="s">
        <v>1775</v>
      </c>
      <c r="W80" s="1711" t="s">
        <v>1775</v>
      </c>
      <c r="X80" s="1711" t="s">
        <v>1776</v>
      </c>
      <c r="Y80" s="1711" t="s">
        <v>1777</v>
      </c>
      <c r="Z80" s="1711" t="s">
        <v>1777</v>
      </c>
      <c r="AA80" s="1711" t="s">
        <v>108</v>
      </c>
      <c r="AB80" s="1711" t="s">
        <v>108</v>
      </c>
      <c r="AC80" s="1711" t="s">
        <v>108</v>
      </c>
      <c r="AD80" s="1711" t="s">
        <v>1778</v>
      </c>
      <c r="AE80" s="1711" t="s">
        <v>1778</v>
      </c>
      <c r="AF80" s="1711" t="s">
        <v>1779</v>
      </c>
      <c r="AG80" s="1711" t="s">
        <v>1779</v>
      </c>
      <c r="AH80" s="1711" t="s">
        <v>1780</v>
      </c>
      <c r="AI80" s="1711" t="s">
        <v>1780</v>
      </c>
      <c r="AJ80" s="1711" t="s">
        <v>1780</v>
      </c>
      <c r="AK80" s="1711" t="s">
        <v>1781</v>
      </c>
      <c r="AL80" s="1711" t="s">
        <v>1781</v>
      </c>
      <c r="AM80" s="1711" t="s">
        <v>1781</v>
      </c>
      <c r="AN80" s="1711" t="s">
        <v>1781</v>
      </c>
      <c r="AO80" s="1711" t="s">
        <v>1781</v>
      </c>
      <c r="AU80" s="807"/>
    </row>
    <row r="81" spans="1:41" ht="15.6">
      <c r="A81" s="131" t="s">
        <v>323</v>
      </c>
      <c r="B81" s="1711">
        <v>-16</v>
      </c>
      <c r="C81" s="1711">
        <v>-15</v>
      </c>
      <c r="D81" s="1711">
        <v>-14</v>
      </c>
      <c r="E81" s="1711">
        <v>-13</v>
      </c>
      <c r="F81" s="1711">
        <v>-12</v>
      </c>
      <c r="G81" s="1711">
        <v>-11</v>
      </c>
      <c r="H81" s="1711">
        <v>-10</v>
      </c>
      <c r="I81" s="1711">
        <v>-9</v>
      </c>
      <c r="J81" s="1711">
        <v>-8</v>
      </c>
      <c r="K81" s="1711">
        <v>-7</v>
      </c>
      <c r="L81" s="1711">
        <v>-6</v>
      </c>
      <c r="M81" s="1711">
        <v>-5</v>
      </c>
      <c r="N81" s="1711">
        <v>-4</v>
      </c>
      <c r="O81" s="1711">
        <v>-3</v>
      </c>
      <c r="P81" s="1711">
        <v>-2</v>
      </c>
      <c r="Q81" s="1711">
        <v>-1</v>
      </c>
      <c r="R81" s="1711">
        <v>0</v>
      </c>
      <c r="S81" s="276">
        <v>1</v>
      </c>
      <c r="T81" s="276">
        <v>2</v>
      </c>
      <c r="U81" s="276">
        <v>3</v>
      </c>
      <c r="V81" s="276">
        <v>4</v>
      </c>
      <c r="W81" s="276">
        <v>5</v>
      </c>
      <c r="X81" s="276">
        <v>6</v>
      </c>
      <c r="Y81" s="276">
        <v>7</v>
      </c>
      <c r="Z81" s="276">
        <v>8</v>
      </c>
      <c r="AA81" s="276">
        <v>9</v>
      </c>
      <c r="AB81" s="276">
        <v>10</v>
      </c>
      <c r="AC81" s="276">
        <v>11</v>
      </c>
      <c r="AD81" s="276">
        <v>12</v>
      </c>
      <c r="AE81" s="276">
        <v>13</v>
      </c>
      <c r="AF81" s="276">
        <v>14</v>
      </c>
      <c r="AG81" s="276">
        <v>15</v>
      </c>
      <c r="AH81" s="276">
        <v>16</v>
      </c>
      <c r="AI81" s="276">
        <v>17</v>
      </c>
      <c r="AJ81" s="276">
        <v>18</v>
      </c>
      <c r="AK81" s="276">
        <v>19</v>
      </c>
      <c r="AL81" s="276">
        <v>20</v>
      </c>
      <c r="AM81" s="276">
        <v>21</v>
      </c>
      <c r="AN81" s="276">
        <v>22</v>
      </c>
      <c r="AO81" s="276">
        <v>23</v>
      </c>
    </row>
    <row r="82" spans="1:41" ht="16.149999999999999" thickBot="1">
      <c r="A82" s="131"/>
      <c r="B82" s="1718">
        <f>+B83*B79</f>
        <v>17.5</v>
      </c>
      <c r="C82" s="1718">
        <f t="shared" ref="C82:R82" si="59">+C83*C79</f>
        <v>17.5</v>
      </c>
      <c r="D82" s="1718">
        <f t="shared" si="59"/>
        <v>17.5</v>
      </c>
      <c r="E82" s="1718">
        <f t="shared" si="59"/>
        <v>17.5</v>
      </c>
      <c r="F82" s="1718">
        <f t="shared" si="59"/>
        <v>16.099999999999998</v>
      </c>
      <c r="G82" s="1718">
        <f t="shared" si="59"/>
        <v>16.099999999999998</v>
      </c>
      <c r="H82" s="1718">
        <f t="shared" si="59"/>
        <v>16.099999999999998</v>
      </c>
      <c r="I82" s="1718">
        <f t="shared" si="59"/>
        <v>16.099999999999998</v>
      </c>
      <c r="J82" s="1718">
        <f t="shared" si="59"/>
        <v>16.099999999999998</v>
      </c>
      <c r="K82" s="1718">
        <f t="shared" si="59"/>
        <v>16.099999999999998</v>
      </c>
      <c r="L82" s="1718">
        <f t="shared" si="59"/>
        <v>16.099999999999998</v>
      </c>
      <c r="M82" s="1718">
        <f t="shared" si="59"/>
        <v>16.099999999999998</v>
      </c>
      <c r="N82" s="1718">
        <f t="shared" si="59"/>
        <v>19.599999999999998</v>
      </c>
      <c r="O82" s="1718">
        <f t="shared" si="59"/>
        <v>19.599999999999998</v>
      </c>
      <c r="P82" s="1718">
        <f t="shared" si="59"/>
        <v>19.599999999999998</v>
      </c>
      <c r="Q82" s="1718">
        <f t="shared" si="59"/>
        <v>19.599999999999998</v>
      </c>
      <c r="R82" s="1718">
        <f t="shared" si="59"/>
        <v>35</v>
      </c>
      <c r="S82" s="1698">
        <v>0.3</v>
      </c>
      <c r="T82" s="1699">
        <v>1.8</v>
      </c>
      <c r="U82" s="1699">
        <v>2.5</v>
      </c>
      <c r="V82" s="1699">
        <v>3.5</v>
      </c>
      <c r="W82" s="1700">
        <v>2</v>
      </c>
      <c r="X82" s="1701">
        <v>4.5</v>
      </c>
      <c r="Y82" s="1702">
        <v>6</v>
      </c>
      <c r="Z82" s="1702">
        <v>7</v>
      </c>
      <c r="AA82" s="1703">
        <v>10.5</v>
      </c>
      <c r="AB82" s="1703">
        <v>11.9</v>
      </c>
      <c r="AC82" s="1703">
        <v>13.3</v>
      </c>
      <c r="AD82" s="1704">
        <v>15.4</v>
      </c>
      <c r="AE82" s="1704">
        <v>17.5</v>
      </c>
      <c r="AF82" s="1705">
        <v>18.2</v>
      </c>
      <c r="AG82" s="1705">
        <v>18.899999999999999</v>
      </c>
      <c r="AH82" s="1706">
        <v>20.3</v>
      </c>
      <c r="AI82" s="1706">
        <v>21.7</v>
      </c>
      <c r="AJ82" s="1706">
        <v>21.7</v>
      </c>
      <c r="AK82" s="1707">
        <v>21.7</v>
      </c>
      <c r="AL82" s="1707">
        <v>21.7</v>
      </c>
      <c r="AM82" s="1707">
        <v>21.7</v>
      </c>
      <c r="AN82" s="1708">
        <v>21.7</v>
      </c>
      <c r="AO82" s="1708">
        <v>3.1</v>
      </c>
    </row>
    <row r="83" spans="1:41" ht="15.6">
      <c r="A83" s="131" t="s">
        <v>1817</v>
      </c>
      <c r="B83" s="142">
        <v>2.5</v>
      </c>
      <c r="C83" s="142">
        <v>2.5</v>
      </c>
      <c r="D83" s="142">
        <v>2.5</v>
      </c>
      <c r="E83" s="142">
        <v>2.5</v>
      </c>
      <c r="F83" s="142">
        <v>2.2999999999999998</v>
      </c>
      <c r="G83" s="142">
        <v>2.2999999999999998</v>
      </c>
      <c r="H83" s="142">
        <v>2.2999999999999998</v>
      </c>
      <c r="I83" s="142">
        <v>2.2999999999999998</v>
      </c>
      <c r="J83" s="142">
        <v>2.2999999999999998</v>
      </c>
      <c r="K83" s="142">
        <v>2.2999999999999998</v>
      </c>
      <c r="L83" s="142">
        <v>2.2999999999999998</v>
      </c>
      <c r="M83" s="142">
        <v>2.2999999999999998</v>
      </c>
      <c r="N83" s="142">
        <v>2.8</v>
      </c>
      <c r="O83" s="142">
        <v>2.8</v>
      </c>
      <c r="P83" s="142">
        <v>2.8</v>
      </c>
      <c r="Q83" s="142">
        <v>2.8</v>
      </c>
      <c r="R83" s="142">
        <v>5</v>
      </c>
      <c r="S83" s="1712">
        <f>+S82/S79</f>
        <v>9.9999999999999992E-2</v>
      </c>
      <c r="T83" s="1712">
        <f t="shared" ref="T83:AD83" si="60">+T82/T79</f>
        <v>0.25714285714285717</v>
      </c>
      <c r="U83" s="1712">
        <f t="shared" si="60"/>
        <v>0.35714285714285715</v>
      </c>
      <c r="V83" s="1712">
        <f t="shared" si="60"/>
        <v>0.5</v>
      </c>
      <c r="W83" s="1712">
        <f>+W82/W79</f>
        <v>0.5</v>
      </c>
      <c r="X83" s="1712">
        <f t="shared" si="60"/>
        <v>0.6428571428571429</v>
      </c>
      <c r="Y83" s="1712">
        <f t="shared" si="60"/>
        <v>0.8571428571428571</v>
      </c>
      <c r="Z83" s="1712">
        <f t="shared" si="60"/>
        <v>1</v>
      </c>
      <c r="AA83" s="1712">
        <f t="shared" si="60"/>
        <v>1.5</v>
      </c>
      <c r="AB83" s="1712">
        <f t="shared" si="60"/>
        <v>1.7</v>
      </c>
      <c r="AC83" s="1712">
        <f t="shared" si="60"/>
        <v>1.9000000000000001</v>
      </c>
      <c r="AD83" s="1712">
        <f t="shared" si="60"/>
        <v>2.2000000000000002</v>
      </c>
      <c r="AE83" s="1712">
        <f>+AE82/AE79</f>
        <v>2.5</v>
      </c>
      <c r="AF83" s="1712">
        <f t="shared" ref="AF83:AJ83" si="61">+AF82/AF79</f>
        <v>2.6</v>
      </c>
      <c r="AG83" s="1712">
        <f t="shared" si="61"/>
        <v>2.6999999999999997</v>
      </c>
      <c r="AH83" s="1712">
        <f t="shared" si="61"/>
        <v>2.9</v>
      </c>
      <c r="AI83" s="1712">
        <f t="shared" si="61"/>
        <v>3.1</v>
      </c>
      <c r="AJ83" s="1712">
        <f t="shared" si="61"/>
        <v>3.1</v>
      </c>
      <c r="AK83" s="1712">
        <f>+AK82/AK79</f>
        <v>3.1</v>
      </c>
      <c r="AL83" s="1712">
        <f t="shared" ref="AL83:AO83" si="62">+AL82/AL79</f>
        <v>3.1</v>
      </c>
      <c r="AM83" s="1712">
        <f t="shared" si="62"/>
        <v>3.1</v>
      </c>
      <c r="AN83" s="1712">
        <f t="shared" si="62"/>
        <v>3.1</v>
      </c>
      <c r="AO83" s="1712">
        <f t="shared" si="62"/>
        <v>3.1</v>
      </c>
    </row>
    <row r="84" spans="1:41" ht="15.6">
      <c r="B84" s="1081">
        <f>'Summary Total Pigs'!AF16/17*4</f>
        <v>507.05882352941177</v>
      </c>
      <c r="C84" s="817">
        <f>+B84</f>
        <v>507.05882352941177</v>
      </c>
      <c r="D84" s="817">
        <f t="shared" ref="D84:R84" si="63">+C84</f>
        <v>507.05882352941177</v>
      </c>
      <c r="E84" s="817">
        <f t="shared" si="63"/>
        <v>507.05882352941177</v>
      </c>
      <c r="F84" s="817">
        <f t="shared" si="63"/>
        <v>507.05882352941177</v>
      </c>
      <c r="G84" s="817">
        <f t="shared" si="63"/>
        <v>507.05882352941177</v>
      </c>
      <c r="H84" s="817">
        <f t="shared" si="63"/>
        <v>507.05882352941177</v>
      </c>
      <c r="I84" s="817">
        <f t="shared" si="63"/>
        <v>507.05882352941177</v>
      </c>
      <c r="J84" s="817">
        <f t="shared" si="63"/>
        <v>507.05882352941177</v>
      </c>
      <c r="K84" s="817">
        <f t="shared" si="63"/>
        <v>507.05882352941177</v>
      </c>
      <c r="L84" s="817">
        <f t="shared" si="63"/>
        <v>507.05882352941177</v>
      </c>
      <c r="M84" s="817">
        <f t="shared" si="63"/>
        <v>507.05882352941177</v>
      </c>
      <c r="N84" s="817">
        <f t="shared" si="63"/>
        <v>507.05882352941177</v>
      </c>
      <c r="O84" s="817">
        <f t="shared" si="63"/>
        <v>507.05882352941177</v>
      </c>
      <c r="P84" s="817">
        <f t="shared" si="63"/>
        <v>507.05882352941177</v>
      </c>
      <c r="Q84" s="817">
        <f t="shared" si="63"/>
        <v>507.05882352941177</v>
      </c>
      <c r="R84" s="817">
        <f t="shared" si="63"/>
        <v>507.05882352941177</v>
      </c>
      <c r="S84" s="817">
        <f>+R84</f>
        <v>507.05882352941177</v>
      </c>
      <c r="T84" s="817">
        <f t="shared" ref="T84:V84" si="64">+S84</f>
        <v>507.05882352941177</v>
      </c>
      <c r="U84" s="817">
        <f t="shared" si="64"/>
        <v>507.05882352941177</v>
      </c>
      <c r="V84" s="817">
        <f t="shared" si="64"/>
        <v>507.05882352941177</v>
      </c>
      <c r="W84" s="1059">
        <f t="shared" ref="W84:AO84" si="65">SUM(W7:Z7)</f>
        <v>4463</v>
      </c>
      <c r="X84" s="1059">
        <f t="shared" si="65"/>
        <v>4978</v>
      </c>
      <c r="Y84" s="1059">
        <f t="shared" si="65"/>
        <v>4899</v>
      </c>
      <c r="Z84" s="1059">
        <f t="shared" si="65"/>
        <v>4670</v>
      </c>
      <c r="AA84" s="1059">
        <f t="shared" si="65"/>
        <v>4467</v>
      </c>
      <c r="AB84" s="1059">
        <f t="shared" si="65"/>
        <v>4182</v>
      </c>
      <c r="AC84" s="1059">
        <f t="shared" si="65"/>
        <v>3959</v>
      </c>
      <c r="AD84" s="1059">
        <f t="shared" si="65"/>
        <v>3790</v>
      </c>
      <c r="AE84" s="1059">
        <f t="shared" si="65"/>
        <v>3673</v>
      </c>
      <c r="AF84" s="1059">
        <f t="shared" si="65"/>
        <v>3665</v>
      </c>
      <c r="AG84" s="1059">
        <f t="shared" si="65"/>
        <v>3658</v>
      </c>
      <c r="AH84" s="1059">
        <f t="shared" si="65"/>
        <v>3736</v>
      </c>
      <c r="AI84" s="1059">
        <f t="shared" si="65"/>
        <v>3687</v>
      </c>
      <c r="AJ84" s="1059">
        <f t="shared" si="65"/>
        <v>3668</v>
      </c>
      <c r="AK84" s="1059">
        <f t="shared" si="65"/>
        <v>3648</v>
      </c>
      <c r="AL84" s="1059">
        <f t="shared" si="65"/>
        <v>3653</v>
      </c>
      <c r="AM84" s="1059">
        <f t="shared" si="65"/>
        <v>3702</v>
      </c>
      <c r="AN84" s="1059">
        <f t="shared" si="65"/>
        <v>3659</v>
      </c>
      <c r="AO84" s="1059">
        <f t="shared" si="65"/>
        <v>3685</v>
      </c>
    </row>
    <row r="85" spans="1:41">
      <c r="B85" s="1059">
        <f t="shared" ref="B85:R85" si="66">+B79*B83*B84</f>
        <v>8873.5294117647063</v>
      </c>
      <c r="C85" s="1059">
        <f t="shared" si="66"/>
        <v>8873.5294117647063</v>
      </c>
      <c r="D85" s="1059">
        <f t="shared" si="66"/>
        <v>8873.5294117647063</v>
      </c>
      <c r="E85" s="1059">
        <f t="shared" si="66"/>
        <v>8873.5294117647063</v>
      </c>
      <c r="F85" s="1059">
        <f t="shared" si="66"/>
        <v>8163.6470588235288</v>
      </c>
      <c r="G85" s="1059">
        <f t="shared" si="66"/>
        <v>8163.6470588235288</v>
      </c>
      <c r="H85" s="1059">
        <f t="shared" si="66"/>
        <v>8163.6470588235288</v>
      </c>
      <c r="I85" s="1059">
        <f t="shared" si="66"/>
        <v>8163.6470588235288</v>
      </c>
      <c r="J85" s="1059">
        <f t="shared" si="66"/>
        <v>8163.6470588235288</v>
      </c>
      <c r="K85" s="1059">
        <f t="shared" si="66"/>
        <v>8163.6470588235288</v>
      </c>
      <c r="L85" s="1059">
        <f t="shared" si="66"/>
        <v>8163.6470588235288</v>
      </c>
      <c r="M85" s="1059">
        <f t="shared" si="66"/>
        <v>8163.6470588235288</v>
      </c>
      <c r="N85" s="1059">
        <f t="shared" si="66"/>
        <v>9938.3529411764703</v>
      </c>
      <c r="O85" s="1059">
        <f t="shared" si="66"/>
        <v>9938.3529411764703</v>
      </c>
      <c r="P85" s="1059">
        <f t="shared" si="66"/>
        <v>9938.3529411764703</v>
      </c>
      <c r="Q85" s="1059">
        <f t="shared" si="66"/>
        <v>9938.3529411764703</v>
      </c>
      <c r="R85" s="1059">
        <f t="shared" si="66"/>
        <v>17747.058823529413</v>
      </c>
      <c r="S85" s="1059">
        <f>+S79*S83*S84</f>
        <v>152.11764705882354</v>
      </c>
      <c r="T85" s="1059">
        <f>+T79*T83*T84</f>
        <v>912.70588235294133</v>
      </c>
      <c r="U85" s="1059">
        <f>+U79*U83*U84</f>
        <v>1267.6470588235295</v>
      </c>
      <c r="V85" s="1059">
        <f>+V79*V83*V84</f>
        <v>1774.7058823529412</v>
      </c>
      <c r="W85" s="1059">
        <f t="shared" ref="W85:X85" si="67">+W79*W83*W84</f>
        <v>8926</v>
      </c>
      <c r="X85" s="1059">
        <f t="shared" si="67"/>
        <v>22401</v>
      </c>
      <c r="Y85" s="1059">
        <f>+Y79*Y83*Y84</f>
        <v>29394</v>
      </c>
      <c r="Z85" s="1059">
        <f>+Z79*Z83*Z84</f>
        <v>32690</v>
      </c>
      <c r="AA85" s="1059">
        <f t="shared" ref="AA85:AC85" si="68">+AA79*AA83*AA84</f>
        <v>46903.5</v>
      </c>
      <c r="AB85" s="1059">
        <f t="shared" si="68"/>
        <v>49765.8</v>
      </c>
      <c r="AC85" s="1059">
        <f t="shared" si="68"/>
        <v>52654.700000000004</v>
      </c>
      <c r="AD85" s="1059">
        <f>+AD79*AD83*AD84</f>
        <v>58366.000000000007</v>
      </c>
      <c r="AE85" s="1059">
        <f>+AE79*AE83*AE84</f>
        <v>64277.5</v>
      </c>
      <c r="AF85" s="1059">
        <f t="shared" ref="AF85:AO85" si="69">+AF79*AF83*AF84</f>
        <v>66703</v>
      </c>
      <c r="AG85" s="1059">
        <f t="shared" si="69"/>
        <v>69136.2</v>
      </c>
      <c r="AH85" s="1059">
        <f t="shared" si="69"/>
        <v>75840.800000000003</v>
      </c>
      <c r="AI85" s="1059">
        <f t="shared" si="69"/>
        <v>80007.899999999994</v>
      </c>
      <c r="AJ85" s="1059">
        <f t="shared" si="69"/>
        <v>79595.599999999991</v>
      </c>
      <c r="AK85" s="1059">
        <f t="shared" si="69"/>
        <v>79161.599999999991</v>
      </c>
      <c r="AL85" s="1059">
        <f t="shared" si="69"/>
        <v>79270.099999999991</v>
      </c>
      <c r="AM85" s="1059">
        <f t="shared" si="69"/>
        <v>80333.399999999994</v>
      </c>
      <c r="AN85" s="1059">
        <f t="shared" si="69"/>
        <v>79400.3</v>
      </c>
      <c r="AO85" s="1059">
        <f t="shared" si="69"/>
        <v>11423.5</v>
      </c>
    </row>
    <row r="86" spans="1:41">
      <c r="R86" s="818">
        <f>SUM(B85:R85)</f>
        <v>158303.76470588235</v>
      </c>
      <c r="W86" s="818">
        <f>SUM(S85:W85)</f>
        <v>13033.176470588236</v>
      </c>
      <c r="X86" s="818">
        <f>SUM(X85)</f>
        <v>22401</v>
      </c>
      <c r="Z86" s="818">
        <f>SUM(Y85:Z85)</f>
        <v>62084</v>
      </c>
      <c r="AC86" s="818">
        <f>SUM(AA85:AC85)</f>
        <v>149324</v>
      </c>
      <c r="AE86" s="818">
        <f>SUM(AD85:AE85)</f>
        <v>122643.5</v>
      </c>
      <c r="AG86" s="818">
        <f>SUM(AF85:AG85)</f>
        <v>135839.20000000001</v>
      </c>
      <c r="AJ86" s="818">
        <f>SUM(AH85:AJ85)</f>
        <v>235444.3</v>
      </c>
      <c r="AO86" s="818">
        <f>SUM(AK85:AO85)</f>
        <v>329588.89999999997</v>
      </c>
    </row>
    <row r="87" spans="1:41" ht="15.6">
      <c r="B87" s="1715">
        <f>+B85/$R$86</f>
        <v>5.6053811659192827E-2</v>
      </c>
      <c r="C87" s="1715">
        <f t="shared" ref="C87:R87" si="70">+C85/$R$86</f>
        <v>5.6053811659192827E-2</v>
      </c>
      <c r="D87" s="1715">
        <f t="shared" si="70"/>
        <v>5.6053811659192827E-2</v>
      </c>
      <c r="E87" s="1715">
        <f t="shared" si="70"/>
        <v>5.6053811659192827E-2</v>
      </c>
      <c r="F87" s="1715">
        <f t="shared" si="70"/>
        <v>5.1569506726457395E-2</v>
      </c>
      <c r="G87" s="1715">
        <f t="shared" si="70"/>
        <v>5.1569506726457395E-2</v>
      </c>
      <c r="H87" s="1715">
        <f t="shared" si="70"/>
        <v>5.1569506726457395E-2</v>
      </c>
      <c r="I87" s="1715">
        <f t="shared" si="70"/>
        <v>5.1569506726457395E-2</v>
      </c>
      <c r="J87" s="1715">
        <f t="shared" si="70"/>
        <v>5.1569506726457395E-2</v>
      </c>
      <c r="K87" s="1715">
        <f t="shared" si="70"/>
        <v>5.1569506726457395E-2</v>
      </c>
      <c r="L87" s="1715">
        <f t="shared" si="70"/>
        <v>5.1569506726457395E-2</v>
      </c>
      <c r="M87" s="1715">
        <f t="shared" si="70"/>
        <v>5.1569506726457395E-2</v>
      </c>
      <c r="N87" s="1715">
        <f t="shared" si="70"/>
        <v>6.2780269058295965E-2</v>
      </c>
      <c r="O87" s="1715">
        <f t="shared" si="70"/>
        <v>6.2780269058295965E-2</v>
      </c>
      <c r="P87" s="1715">
        <f t="shared" si="70"/>
        <v>6.2780269058295965E-2</v>
      </c>
      <c r="Q87" s="1715">
        <f t="shared" si="70"/>
        <v>6.2780269058295965E-2</v>
      </c>
      <c r="R87" s="1715">
        <f t="shared" si="70"/>
        <v>0.11210762331838565</v>
      </c>
      <c r="S87" s="1715">
        <f>+S85/W86</f>
        <v>1.1671571193876261E-2</v>
      </c>
      <c r="T87" s="1715">
        <f>+T85/W86</f>
        <v>7.0029427163257579E-2</v>
      </c>
      <c r="U87" s="1715">
        <f>+U85/W86</f>
        <v>9.7263093282302177E-2</v>
      </c>
      <c r="V87" s="1715">
        <f>+V85/W86</f>
        <v>0.13616833059522304</v>
      </c>
      <c r="W87" s="1715">
        <f>+W85/W86</f>
        <v>0.68486757776534091</v>
      </c>
      <c r="X87" s="1715">
        <f>+X85/X86</f>
        <v>1</v>
      </c>
      <c r="Y87" s="1715">
        <f>+Y85/Z86</f>
        <v>0.47345531860060563</v>
      </c>
      <c r="Z87" s="1715">
        <f>+Z85/Z86</f>
        <v>0.52654468139939437</v>
      </c>
      <c r="AA87" s="1715">
        <f>+AA85/AC86</f>
        <v>0.31410556909806864</v>
      </c>
      <c r="AB87" s="1715">
        <f>+AB85/AC86</f>
        <v>0.33327395462216391</v>
      </c>
      <c r="AC87" s="1715">
        <f>+AC85/AC86</f>
        <v>0.3526204762797675</v>
      </c>
      <c r="AD87" s="1715">
        <f>+AD85/AE86</f>
        <v>0.47589966039781978</v>
      </c>
      <c r="AE87" s="1715">
        <f>+AE85/AE86</f>
        <v>0.52410033960218028</v>
      </c>
      <c r="AF87" s="1715">
        <f>+AF85/AG86</f>
        <v>0.49104382240178091</v>
      </c>
      <c r="AG87" s="1715">
        <f>+AG85/AG86</f>
        <v>0.50895617759821898</v>
      </c>
      <c r="AH87" s="1715">
        <f>+AH85/AJ86</f>
        <v>0.32211780026103842</v>
      </c>
      <c r="AI87" s="1715">
        <f>+AI85/AJ86</f>
        <v>0.33981667850952435</v>
      </c>
      <c r="AJ87" s="1715">
        <f>+AJ85/AJ86</f>
        <v>0.33806552122943728</v>
      </c>
      <c r="AK87" s="1715">
        <f>+AK85/AO86</f>
        <v>0.24018284596356249</v>
      </c>
      <c r="AL87" s="1715">
        <f>+AL85/AO86</f>
        <v>0.24051204394322745</v>
      </c>
      <c r="AM87" s="1715">
        <f>+AM85/AO86</f>
        <v>0.24373818414394419</v>
      </c>
      <c r="AN87" s="1715">
        <f>+AN85/AO86</f>
        <v>0.24090708151882545</v>
      </c>
      <c r="AO87" s="1715">
        <f>+AO85/AO86</f>
        <v>3.465984443044047E-2</v>
      </c>
    </row>
  </sheetData>
  <pageMargins left="0.7" right="0.7" top="0.75" bottom="0.75" header="0.3" footer="0.3"/>
  <pageSetup paperSize="9" scale="10" orientation="portrait" r:id="rId1"/>
  <colBreaks count="1" manualBreakCount="1">
    <brk id="48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9">
    <tabColor theme="6" tint="-0.249977111117893"/>
  </sheetPr>
  <dimension ref="A1:AZ95"/>
  <sheetViews>
    <sheetView view="pageBreakPreview" zoomScale="60" zoomScaleNormal="77" workbookViewId="0">
      <pane xSplit="1" ySplit="5" topLeftCell="AF53" activePane="bottomRight" state="frozen"/>
      <selection pane="bottomRight" activeCell="AO62" sqref="AO62"/>
      <selection pane="bottomLeft" activeCell="A6" sqref="A6"/>
      <selection pane="topRight" activeCell="B1" sqref="B1"/>
    </sheetView>
  </sheetViews>
  <sheetFormatPr defaultRowHeight="13.15"/>
  <cols>
    <col min="1" max="1" width="34.5703125" bestFit="1" customWidth="1"/>
    <col min="2" max="2" width="16.28515625" bestFit="1" customWidth="1"/>
    <col min="3" max="3" width="14.85546875" bestFit="1" customWidth="1"/>
    <col min="4" max="4" width="16.28515625" bestFit="1" customWidth="1"/>
    <col min="5" max="5" width="14.85546875" bestFit="1" customWidth="1"/>
    <col min="6" max="6" width="21.5703125" customWidth="1"/>
    <col min="7" max="16" width="14.85546875" bestFit="1" customWidth="1"/>
    <col min="17" max="17" width="18" bestFit="1" customWidth="1"/>
    <col min="18" max="18" width="16.5703125" bestFit="1" customWidth="1"/>
    <col min="19" max="19" width="20.42578125" bestFit="1" customWidth="1"/>
    <col min="20" max="21" width="14.85546875" bestFit="1" customWidth="1"/>
    <col min="22" max="22" width="16.7109375" bestFit="1" customWidth="1"/>
    <col min="23" max="23" width="21.85546875" bestFit="1" customWidth="1"/>
    <col min="24" max="24" width="23" bestFit="1" customWidth="1"/>
    <col min="25" max="27" width="23.42578125" bestFit="1" customWidth="1"/>
    <col min="28" max="28" width="22.28515625" customWidth="1"/>
    <col min="29" max="29" width="23.42578125" bestFit="1" customWidth="1"/>
    <col min="30" max="32" width="22.28515625" bestFit="1" customWidth="1"/>
    <col min="33" max="33" width="23.42578125" bestFit="1" customWidth="1"/>
    <col min="34" max="34" width="22.28515625" bestFit="1" customWidth="1"/>
    <col min="35" max="35" width="23.42578125" bestFit="1" customWidth="1"/>
    <col min="36" max="36" width="22.28515625" bestFit="1" customWidth="1"/>
    <col min="37" max="37" width="23.42578125" bestFit="1" customWidth="1"/>
    <col min="38" max="38" width="22.28515625" bestFit="1" customWidth="1"/>
    <col min="39" max="40" width="23.42578125" bestFit="1" customWidth="1"/>
    <col min="41" max="41" width="22.28515625" bestFit="1" customWidth="1"/>
    <col min="42" max="42" width="23.28515625" bestFit="1" customWidth="1"/>
    <col min="43" max="43" width="21.85546875" bestFit="1" customWidth="1"/>
    <col min="44" max="44" width="23.28515625" bestFit="1" customWidth="1"/>
    <col min="45" max="45" width="22.5703125" bestFit="1" customWidth="1"/>
    <col min="46" max="46" width="22.5703125" customWidth="1"/>
    <col min="47" max="47" width="24.85546875" bestFit="1" customWidth="1"/>
    <col min="48" max="48" width="16.85546875" bestFit="1" customWidth="1"/>
    <col min="49" max="49" width="20.42578125" bestFit="1" customWidth="1"/>
    <col min="50" max="50" width="9.140625" customWidth="1"/>
    <col min="51" max="51" width="11.28515625" bestFit="1" customWidth="1"/>
    <col min="52" max="52" width="9.140625" style="23" customWidth="1"/>
    <col min="53" max="53" width="12.5703125" bestFit="1" customWidth="1"/>
  </cols>
  <sheetData>
    <row r="1" spans="1:52" ht="15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057"/>
      <c r="AV1" s="142"/>
      <c r="AW1" s="142"/>
      <c r="AX1" s="142"/>
    </row>
    <row r="2" spans="1:52" s="1" customFormat="1" ht="15.6">
      <c r="A2" s="1066" t="s">
        <v>1772</v>
      </c>
      <c r="B2" s="131">
        <v>1</v>
      </c>
      <c r="C2" s="131">
        <f t="shared" ref="C2:AO2" si="0">B2+1</f>
        <v>2</v>
      </c>
      <c r="D2" s="131">
        <f t="shared" si="0"/>
        <v>3</v>
      </c>
      <c r="E2" s="131">
        <f t="shared" si="0"/>
        <v>4</v>
      </c>
      <c r="F2" s="131">
        <f t="shared" si="0"/>
        <v>5</v>
      </c>
      <c r="G2" s="131">
        <f t="shared" si="0"/>
        <v>6</v>
      </c>
      <c r="H2" s="131">
        <f t="shared" si="0"/>
        <v>7</v>
      </c>
      <c r="I2" s="131">
        <f t="shared" si="0"/>
        <v>8</v>
      </c>
      <c r="J2" s="131">
        <f t="shared" si="0"/>
        <v>9</v>
      </c>
      <c r="K2" s="131">
        <f t="shared" si="0"/>
        <v>10</v>
      </c>
      <c r="L2" s="131">
        <f t="shared" si="0"/>
        <v>11</v>
      </c>
      <c r="M2" s="131">
        <f t="shared" si="0"/>
        <v>12</v>
      </c>
      <c r="N2" s="131">
        <f t="shared" si="0"/>
        <v>13</v>
      </c>
      <c r="O2" s="131">
        <f t="shared" si="0"/>
        <v>14</v>
      </c>
      <c r="P2" s="131">
        <f t="shared" si="0"/>
        <v>15</v>
      </c>
      <c r="Q2" s="131">
        <f t="shared" si="0"/>
        <v>16</v>
      </c>
      <c r="R2" s="131">
        <f t="shared" si="0"/>
        <v>17</v>
      </c>
      <c r="S2" s="131">
        <f t="shared" si="0"/>
        <v>18</v>
      </c>
      <c r="T2" s="131">
        <f t="shared" si="0"/>
        <v>19</v>
      </c>
      <c r="U2" s="131">
        <f t="shared" si="0"/>
        <v>20</v>
      </c>
      <c r="V2" s="131">
        <f t="shared" si="0"/>
        <v>21</v>
      </c>
      <c r="W2" s="131">
        <f t="shared" si="0"/>
        <v>22</v>
      </c>
      <c r="X2" s="131">
        <f t="shared" si="0"/>
        <v>23</v>
      </c>
      <c r="Y2" s="131">
        <f t="shared" si="0"/>
        <v>24</v>
      </c>
      <c r="Z2" s="131">
        <f t="shared" si="0"/>
        <v>25</v>
      </c>
      <c r="AA2" s="131">
        <f t="shared" si="0"/>
        <v>26</v>
      </c>
      <c r="AB2" s="131">
        <f t="shared" si="0"/>
        <v>27</v>
      </c>
      <c r="AC2" s="131">
        <f t="shared" si="0"/>
        <v>28</v>
      </c>
      <c r="AD2" s="131">
        <f t="shared" si="0"/>
        <v>29</v>
      </c>
      <c r="AE2" s="131">
        <f t="shared" si="0"/>
        <v>30</v>
      </c>
      <c r="AF2" s="131">
        <f t="shared" si="0"/>
        <v>31</v>
      </c>
      <c r="AG2" s="131">
        <f t="shared" si="0"/>
        <v>32</v>
      </c>
      <c r="AH2" s="131">
        <f t="shared" si="0"/>
        <v>33</v>
      </c>
      <c r="AI2" s="131">
        <f t="shared" si="0"/>
        <v>34</v>
      </c>
      <c r="AJ2" s="131">
        <f t="shared" si="0"/>
        <v>35</v>
      </c>
      <c r="AK2" s="131">
        <f t="shared" si="0"/>
        <v>36</v>
      </c>
      <c r="AL2" s="131">
        <f t="shared" si="0"/>
        <v>37</v>
      </c>
      <c r="AM2" s="131">
        <f t="shared" si="0"/>
        <v>38</v>
      </c>
      <c r="AN2" s="131">
        <f t="shared" si="0"/>
        <v>39</v>
      </c>
      <c r="AO2" s="131">
        <f t="shared" si="0"/>
        <v>40</v>
      </c>
      <c r="AP2" s="131"/>
      <c r="AQ2" s="131"/>
      <c r="AR2" s="1499"/>
      <c r="AS2" s="131"/>
      <c r="AT2" s="131"/>
      <c r="AU2" s="1086"/>
      <c r="AV2" s="131"/>
      <c r="AW2" s="131"/>
      <c r="AX2" s="131"/>
      <c r="AZ2" s="31"/>
    </row>
    <row r="3" spans="1:52" ht="15.6">
      <c r="A3" s="131"/>
      <c r="B3" s="130" t="s">
        <v>1773</v>
      </c>
      <c r="C3" s="130" t="s">
        <v>1773</v>
      </c>
      <c r="D3" s="130" t="s">
        <v>1773</v>
      </c>
      <c r="E3" s="130" t="s">
        <v>1773</v>
      </c>
      <c r="F3" s="130" t="s">
        <v>1773</v>
      </c>
      <c r="G3" s="130" t="s">
        <v>1773</v>
      </c>
      <c r="H3" s="130" t="s">
        <v>1773</v>
      </c>
      <c r="I3" s="130" t="s">
        <v>1773</v>
      </c>
      <c r="J3" s="130" t="s">
        <v>1773</v>
      </c>
      <c r="K3" s="130" t="s">
        <v>1773</v>
      </c>
      <c r="L3" s="130" t="s">
        <v>1773</v>
      </c>
      <c r="M3" s="130" t="s">
        <v>1773</v>
      </c>
      <c r="N3" s="130" t="s">
        <v>1773</v>
      </c>
      <c r="O3" s="130" t="s">
        <v>1773</v>
      </c>
      <c r="P3" s="130" t="s">
        <v>1773</v>
      </c>
      <c r="Q3" s="130" t="s">
        <v>1773</v>
      </c>
      <c r="R3" s="130" t="s">
        <v>1774</v>
      </c>
      <c r="S3" s="130" t="s">
        <v>1775</v>
      </c>
      <c r="T3" s="130" t="s">
        <v>1775</v>
      </c>
      <c r="U3" s="130" t="s">
        <v>1775</v>
      </c>
      <c r="V3" s="130" t="s">
        <v>1776</v>
      </c>
      <c r="W3" s="130" t="s">
        <v>1776</v>
      </c>
      <c r="X3" s="130" t="s">
        <v>1777</v>
      </c>
      <c r="Y3" s="130" t="s">
        <v>1777</v>
      </c>
      <c r="Z3" s="130" t="s">
        <v>108</v>
      </c>
      <c r="AA3" s="130" t="s">
        <v>108</v>
      </c>
      <c r="AB3" s="130" t="s">
        <v>108</v>
      </c>
      <c r="AC3" s="130" t="s">
        <v>108</v>
      </c>
      <c r="AD3" s="130" t="s">
        <v>1778</v>
      </c>
      <c r="AE3" s="130" t="s">
        <v>1778</v>
      </c>
      <c r="AF3" s="130" t="s">
        <v>1779</v>
      </c>
      <c r="AG3" s="130" t="s">
        <v>1779</v>
      </c>
      <c r="AH3" s="130" t="s">
        <v>1780</v>
      </c>
      <c r="AI3" s="130" t="s">
        <v>1780</v>
      </c>
      <c r="AJ3" s="130" t="s">
        <v>1781</v>
      </c>
      <c r="AK3" s="130" t="s">
        <v>1781</v>
      </c>
      <c r="AL3" s="130" t="s">
        <v>1781</v>
      </c>
      <c r="AM3" s="130" t="s">
        <v>1781</v>
      </c>
      <c r="AN3" s="130" t="s">
        <v>1781</v>
      </c>
      <c r="AO3" s="130" t="s">
        <v>1781</v>
      </c>
      <c r="AP3" s="131"/>
      <c r="AQ3" s="131"/>
      <c r="AR3" s="1085"/>
      <c r="AS3" s="1085">
        <f>+AS7-335</f>
        <v>78</v>
      </c>
      <c r="AT3" s="131"/>
      <c r="AU3" s="1086"/>
      <c r="AV3" s="131"/>
      <c r="AW3" s="131"/>
      <c r="AX3" s="131"/>
    </row>
    <row r="4" spans="1:52" ht="15.6">
      <c r="A4" s="1066" t="s">
        <v>1782</v>
      </c>
      <c r="B4" s="1066">
        <v>23</v>
      </c>
      <c r="C4" s="1066">
        <v>24</v>
      </c>
      <c r="D4" s="1066">
        <v>25</v>
      </c>
      <c r="E4" s="1066">
        <v>26</v>
      </c>
      <c r="F4" s="1066">
        <v>27</v>
      </c>
      <c r="G4" s="1066">
        <v>28</v>
      </c>
      <c r="H4" s="1066">
        <v>29</v>
      </c>
      <c r="I4" s="1066">
        <v>30</v>
      </c>
      <c r="J4" s="1066">
        <v>31</v>
      </c>
      <c r="K4" s="1066">
        <v>32</v>
      </c>
      <c r="L4" s="1066">
        <v>33</v>
      </c>
      <c r="M4" s="1066">
        <v>34</v>
      </c>
      <c r="N4" s="1066">
        <v>35</v>
      </c>
      <c r="O4" s="1066">
        <v>36</v>
      </c>
      <c r="P4" s="1066">
        <v>37</v>
      </c>
      <c r="Q4" s="1066">
        <v>38</v>
      </c>
      <c r="R4" s="1066">
        <v>39</v>
      </c>
      <c r="S4" s="1067">
        <v>40</v>
      </c>
      <c r="T4" s="1066">
        <v>41</v>
      </c>
      <c r="U4" s="1066">
        <v>42</v>
      </c>
      <c r="V4" s="1066">
        <v>43</v>
      </c>
      <c r="W4" s="1066">
        <v>44</v>
      </c>
      <c r="X4" s="1066">
        <v>45</v>
      </c>
      <c r="Y4" s="1066">
        <v>46</v>
      </c>
      <c r="Z4" s="1066">
        <v>47</v>
      </c>
      <c r="AA4" s="1066">
        <v>48</v>
      </c>
      <c r="AB4" s="1066">
        <v>49</v>
      </c>
      <c r="AC4" s="1066">
        <v>50</v>
      </c>
      <c r="AD4" s="1066">
        <v>51</v>
      </c>
      <c r="AE4" s="1066">
        <v>52</v>
      </c>
      <c r="AF4" s="1066">
        <v>1</v>
      </c>
      <c r="AG4" s="1066">
        <v>2</v>
      </c>
      <c r="AH4" s="1066">
        <v>3</v>
      </c>
      <c r="AI4" s="1066">
        <v>4</v>
      </c>
      <c r="AJ4" s="1066">
        <v>5</v>
      </c>
      <c r="AK4" s="1066">
        <v>6</v>
      </c>
      <c r="AL4" s="1066">
        <v>7</v>
      </c>
      <c r="AM4" s="1066">
        <v>8</v>
      </c>
      <c r="AN4" s="1066">
        <v>9</v>
      </c>
      <c r="AO4" s="1066">
        <v>10</v>
      </c>
      <c r="AP4" s="1066"/>
      <c r="AQ4" s="1066"/>
      <c r="AR4" s="1066"/>
      <c r="AS4" s="1066"/>
      <c r="AT4" s="1066"/>
      <c r="AU4" s="1068"/>
      <c r="AV4" s="1066"/>
      <c r="AW4" s="1066"/>
      <c r="AX4" s="1066"/>
    </row>
    <row r="5" spans="1:52" ht="31.15">
      <c r="A5" s="1066" t="s">
        <v>1783</v>
      </c>
      <c r="B5" s="1066">
        <v>-16</v>
      </c>
      <c r="C5" s="1066">
        <v>-15</v>
      </c>
      <c r="D5" s="1066">
        <v>-14</v>
      </c>
      <c r="E5" s="1066">
        <v>-13</v>
      </c>
      <c r="F5" s="1066">
        <v>-12</v>
      </c>
      <c r="G5" s="1066">
        <v>-11</v>
      </c>
      <c r="H5" s="1066">
        <v>-10</v>
      </c>
      <c r="I5" s="1066">
        <v>-9</v>
      </c>
      <c r="J5" s="1066">
        <v>-8</v>
      </c>
      <c r="K5" s="1066">
        <v>-7</v>
      </c>
      <c r="L5" s="1066">
        <v>-6</v>
      </c>
      <c r="M5" s="1066">
        <v>-5</v>
      </c>
      <c r="N5" s="1066">
        <v>-4</v>
      </c>
      <c r="O5" s="1066">
        <v>-3</v>
      </c>
      <c r="P5" s="1066">
        <v>-2</v>
      </c>
      <c r="Q5" s="1066">
        <v>-1</v>
      </c>
      <c r="R5" s="1066">
        <v>0</v>
      </c>
      <c r="S5" s="1066">
        <v>1</v>
      </c>
      <c r="T5" s="1066">
        <v>2</v>
      </c>
      <c r="U5" s="1066">
        <v>3</v>
      </c>
      <c r="V5" s="1066">
        <v>4</v>
      </c>
      <c r="W5" s="1066">
        <v>5</v>
      </c>
      <c r="X5" s="1066">
        <v>6</v>
      </c>
      <c r="Y5" s="1066">
        <v>7</v>
      </c>
      <c r="Z5" s="1066">
        <v>8</v>
      </c>
      <c r="AA5" s="1066">
        <v>9</v>
      </c>
      <c r="AB5" s="1066">
        <v>10</v>
      </c>
      <c r="AC5" s="1066">
        <v>11</v>
      </c>
      <c r="AD5" s="1066">
        <v>12</v>
      </c>
      <c r="AE5" s="1066">
        <v>13</v>
      </c>
      <c r="AF5" s="1066">
        <v>14</v>
      </c>
      <c r="AG5" s="1066">
        <v>15</v>
      </c>
      <c r="AH5" s="1066">
        <v>16</v>
      </c>
      <c r="AI5" s="1066">
        <v>17</v>
      </c>
      <c r="AJ5" s="1066">
        <v>18</v>
      </c>
      <c r="AK5" s="1066">
        <v>19</v>
      </c>
      <c r="AL5" s="1066">
        <v>20</v>
      </c>
      <c r="AM5" s="1066">
        <v>21</v>
      </c>
      <c r="AN5" s="1066">
        <v>22</v>
      </c>
      <c r="AO5" s="1066">
        <v>23</v>
      </c>
      <c r="AP5" s="130" t="s">
        <v>1784</v>
      </c>
      <c r="AQ5" s="130" t="s">
        <v>1784</v>
      </c>
      <c r="AR5" s="130" t="s">
        <v>1784</v>
      </c>
      <c r="AS5" s="130" t="s">
        <v>1784</v>
      </c>
      <c r="AT5" s="130" t="s">
        <v>1784</v>
      </c>
      <c r="AU5" s="1069" t="s">
        <v>71</v>
      </c>
      <c r="AV5" s="1601" t="s">
        <v>1827</v>
      </c>
      <c r="AW5" s="142"/>
      <c r="AX5" s="142"/>
    </row>
    <row r="6" spans="1:52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O6" s="142"/>
      <c r="AP6" s="142"/>
      <c r="AQ6" s="142"/>
      <c r="AR6" s="142"/>
      <c r="AS6" s="142"/>
      <c r="AT6" s="142"/>
      <c r="AU6" s="1057"/>
      <c r="AV6" s="142"/>
      <c r="AW6" s="142"/>
      <c r="AX6" s="142"/>
    </row>
    <row r="7" spans="1:52" s="1" customFormat="1" ht="15.6">
      <c r="A7" s="1066" t="str">
        <f>+'Grasmere Pig Cost'!A7</f>
        <v>Opening Stock (Pigs)</v>
      </c>
      <c r="B7" s="1579"/>
      <c r="C7" s="1579"/>
      <c r="D7" s="1579"/>
      <c r="E7" s="1579"/>
      <c r="F7" s="1579"/>
      <c r="G7" s="1579"/>
      <c r="H7" s="1579"/>
      <c r="I7" s="1579"/>
      <c r="J7" s="1579"/>
      <c r="K7" s="1579"/>
      <c r="L7" s="1579"/>
      <c r="M7" s="1579"/>
      <c r="N7" s="1579"/>
      <c r="O7" s="1579"/>
      <c r="P7" s="1579"/>
      <c r="Q7" s="1579"/>
      <c r="R7" s="1579"/>
      <c r="S7" s="1579"/>
      <c r="T7" s="1579"/>
      <c r="U7" s="1579"/>
      <c r="V7" s="1579"/>
      <c r="W7" s="1579">
        <f>'[2]Learig Pig Cost'!S29</f>
        <v>0</v>
      </c>
      <c r="X7" s="1579">
        <f>'[2]Learig Pig Cost'!T29</f>
        <v>0</v>
      </c>
      <c r="Y7" s="1579">
        <f>'[2]Learig Pig Cost'!U29</f>
        <v>0</v>
      </c>
      <c r="Z7" s="1579">
        <f>'[2]Learig Pig Cost'!V29</f>
        <v>0</v>
      </c>
      <c r="AA7" s="1579">
        <f>'[2]Learig Pig Cost'!W29</f>
        <v>425</v>
      </c>
      <c r="AB7" s="1579">
        <f>'[2]Learig Pig Cost'!X29</f>
        <v>359</v>
      </c>
      <c r="AC7" s="1579">
        <f>'[2]Learig Pig Cost'!Y29</f>
        <v>340</v>
      </c>
      <c r="AD7" s="1579">
        <f>'[2]Learig Pig Cost'!Z29</f>
        <v>403</v>
      </c>
      <c r="AE7" s="1579">
        <f>'[2]Learig Pig Cost'!AA29</f>
        <v>412</v>
      </c>
      <c r="AF7" s="1579">
        <f>'[2]Learig Pig Cost'!AB29</f>
        <v>356</v>
      </c>
      <c r="AG7" s="1579">
        <f>'[2]Learig Pig Cost'!AC29</f>
        <v>417</v>
      </c>
      <c r="AH7" s="1579">
        <f>'[2]Learig Pig Cost'!AD29</f>
        <v>411</v>
      </c>
      <c r="AI7" s="1579">
        <f>'[2]Learig Pig Cost'!AE29</f>
        <v>421</v>
      </c>
      <c r="AJ7" s="1579">
        <f>'[2]Learig Pig Cost'!AF29</f>
        <v>419</v>
      </c>
      <c r="AK7" s="1579">
        <f>'[2]Learig Pig Cost'!AG29</f>
        <v>401</v>
      </c>
      <c r="AL7" s="1579">
        <f>'[2]Learig Pig Cost'!AH29</f>
        <v>330</v>
      </c>
      <c r="AM7" s="1579">
        <f>'[2]Learig Pig Cost'!AI29</f>
        <v>325</v>
      </c>
      <c r="AN7" s="1579">
        <f>'[2]Learig Pig Cost'!AJ29</f>
        <v>408</v>
      </c>
      <c r="AO7" s="1579">
        <f>'[2]Learig Pig Cost'!AK29</f>
        <v>368</v>
      </c>
      <c r="AP7" s="1579">
        <f>'[2]Learig Pig Cost'!AL29</f>
        <v>346</v>
      </c>
      <c r="AQ7" s="1579">
        <f>'[2]Learig Pig Cost'!AM29</f>
        <v>363</v>
      </c>
      <c r="AR7" s="1579">
        <f>'[2]Learig Pig Cost'!AN29</f>
        <v>398</v>
      </c>
      <c r="AS7" s="1579">
        <f>'[2]Learig Pig Cost'!AO29</f>
        <v>413</v>
      </c>
      <c r="AT7" s="1579">
        <f>'[2]Learig Pig Cost'!AP29</f>
        <v>0</v>
      </c>
      <c r="AU7" s="1579">
        <f>SUM(W7:AT7)</f>
        <v>7315</v>
      </c>
      <c r="AV7" s="1579">
        <f>'[2]Learig Pig Cost'!AU29</f>
        <v>7315</v>
      </c>
      <c r="AW7" s="1088">
        <f>+AU7-AV7</f>
        <v>0</v>
      </c>
      <c r="AX7" s="1088"/>
      <c r="AZ7" s="31"/>
    </row>
    <row r="8" spans="1:52" ht="15.6">
      <c r="A8" s="1066" t="str">
        <f>+'Grasmere Pig Cost'!A8</f>
        <v>Birth</v>
      </c>
      <c r="B8" s="1057"/>
      <c r="C8" s="1057"/>
      <c r="D8" s="1057"/>
      <c r="E8" s="1057"/>
      <c r="F8" s="1057"/>
      <c r="G8" s="1057"/>
      <c r="H8" s="1057"/>
      <c r="I8" s="1057"/>
      <c r="J8" s="1057"/>
      <c r="K8" s="1057"/>
      <c r="L8" s="1057"/>
      <c r="M8" s="1057"/>
      <c r="N8" s="1057"/>
      <c r="O8" s="1057"/>
      <c r="P8" s="1057"/>
      <c r="Q8" s="1057"/>
      <c r="R8" s="1057"/>
      <c r="S8" s="807"/>
      <c r="T8" s="807"/>
      <c r="U8" s="807"/>
      <c r="V8" s="807"/>
      <c r="W8" s="807"/>
      <c r="X8" s="807"/>
      <c r="Y8" s="807"/>
      <c r="Z8" s="807"/>
      <c r="AA8" s="807"/>
      <c r="AB8" s="1740"/>
      <c r="AC8" s="1740"/>
      <c r="AD8" s="807"/>
      <c r="AE8" s="807"/>
      <c r="AF8" s="807"/>
      <c r="AG8" s="807"/>
      <c r="AH8" s="807"/>
      <c r="AI8" s="807"/>
      <c r="AJ8" s="807"/>
      <c r="AK8" s="807"/>
      <c r="AL8" s="807"/>
      <c r="AM8" s="807"/>
      <c r="AN8" s="807"/>
      <c r="AO8" s="1693">
        <v>0</v>
      </c>
      <c r="AP8" s="1693"/>
      <c r="AQ8" s="1693"/>
      <c r="AR8" s="1693"/>
      <c r="AS8" s="1693"/>
      <c r="AT8" s="807"/>
      <c r="AU8" s="807">
        <f>SUM(X8:AT8)</f>
        <v>0</v>
      </c>
      <c r="AV8" s="817">
        <f>SUM('Summary Total Pigs'!J31:J33)</f>
        <v>0</v>
      </c>
      <c r="AW8" s="1170">
        <f>+AU8-AV8</f>
        <v>0</v>
      </c>
      <c r="AX8" s="818"/>
    </row>
    <row r="9" spans="1:52" ht="15.6">
      <c r="A9" s="1066" t="str">
        <f>+'Grasmere Pig Cost'!A9</f>
        <v>Transfer In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807"/>
      <c r="T9" s="807"/>
      <c r="U9" s="807"/>
      <c r="V9" s="807"/>
      <c r="W9" s="807"/>
      <c r="X9" s="807"/>
      <c r="Y9" s="807"/>
      <c r="Z9" s="807"/>
      <c r="AA9" s="807"/>
      <c r="AB9" s="1740"/>
      <c r="AC9" s="1740"/>
      <c r="AD9" s="807"/>
      <c r="AE9" s="807"/>
      <c r="AF9" s="807"/>
      <c r="AG9" s="807"/>
      <c r="AH9" s="807"/>
      <c r="AI9" s="807"/>
      <c r="AJ9" s="807"/>
      <c r="AK9" s="807"/>
      <c r="AL9" s="807"/>
      <c r="AM9" s="807"/>
      <c r="AN9" s="1661"/>
      <c r="AO9" s="1693">
        <v>25</v>
      </c>
      <c r="AP9" s="1693"/>
      <c r="AQ9" s="1693"/>
      <c r="AR9" s="1693"/>
      <c r="AS9" s="1693"/>
      <c r="AT9" s="807"/>
      <c r="AU9" s="1661">
        <f t="shared" ref="AU9:AU10" si="1">SUM(X9:AT9)</f>
        <v>25</v>
      </c>
      <c r="AV9" s="817">
        <f>SUM('Summary Total Pigs'!D31:D33)</f>
        <v>1509</v>
      </c>
      <c r="AW9" s="818"/>
      <c r="AX9" s="818"/>
    </row>
    <row r="10" spans="1:52" ht="15.6">
      <c r="A10" s="1066" t="str">
        <f>+'Grasmere Pig Cost'!A10</f>
        <v>Transfer (Out)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807"/>
      <c r="T10" s="807"/>
      <c r="U10" s="807"/>
      <c r="V10" s="807"/>
      <c r="W10" s="807"/>
      <c r="X10" s="807"/>
      <c r="Y10" s="807"/>
      <c r="Z10" s="807"/>
      <c r="AA10" s="807"/>
      <c r="AB10" s="1740"/>
      <c r="AC10" s="1740"/>
      <c r="AD10" s="807"/>
      <c r="AE10" s="807"/>
      <c r="AF10" s="807"/>
      <c r="AG10" s="807"/>
      <c r="AH10" s="807"/>
      <c r="AI10" s="807"/>
      <c r="AJ10" s="807"/>
      <c r="AK10" s="807"/>
      <c r="AL10" s="807"/>
      <c r="AM10" s="807"/>
      <c r="AN10" s="807"/>
      <c r="AO10" s="1693"/>
      <c r="AP10" s="1693"/>
      <c r="AQ10" s="1693"/>
      <c r="AR10" s="1693"/>
      <c r="AS10" s="1795">
        <v>-25</v>
      </c>
      <c r="AT10" s="807"/>
      <c r="AU10" s="1661">
        <f t="shared" si="1"/>
        <v>-25</v>
      </c>
      <c r="AV10" s="817">
        <f>SUM('Summary Total Pigs'!N31:N33)</f>
        <v>-1509</v>
      </c>
      <c r="AW10" s="818"/>
      <c r="AX10" s="818"/>
    </row>
    <row r="11" spans="1:52" ht="15.6">
      <c r="A11" s="1066" t="str">
        <f>+'Grasmere Pig Cost'!A11</f>
        <v>Total before Mortality</v>
      </c>
      <c r="B11" s="1068">
        <f t="shared" ref="B11:AU11" si="2">SUM(B7:B10)</f>
        <v>0</v>
      </c>
      <c r="C11" s="1068">
        <f t="shared" si="2"/>
        <v>0</v>
      </c>
      <c r="D11" s="1068">
        <f t="shared" si="2"/>
        <v>0</v>
      </c>
      <c r="E11" s="1068">
        <f t="shared" si="2"/>
        <v>0</v>
      </c>
      <c r="F11" s="1068">
        <f t="shared" si="2"/>
        <v>0</v>
      </c>
      <c r="G11" s="1068">
        <f t="shared" si="2"/>
        <v>0</v>
      </c>
      <c r="H11" s="1068">
        <f t="shared" si="2"/>
        <v>0</v>
      </c>
      <c r="I11" s="1068">
        <f t="shared" si="2"/>
        <v>0</v>
      </c>
      <c r="J11" s="1068">
        <f t="shared" si="2"/>
        <v>0</v>
      </c>
      <c r="K11" s="1068">
        <f t="shared" si="2"/>
        <v>0</v>
      </c>
      <c r="L11" s="1068">
        <f t="shared" si="2"/>
        <v>0</v>
      </c>
      <c r="M11" s="1068">
        <f t="shared" si="2"/>
        <v>0</v>
      </c>
      <c r="N11" s="1068">
        <f t="shared" si="2"/>
        <v>0</v>
      </c>
      <c r="O11" s="1068">
        <f t="shared" si="2"/>
        <v>0</v>
      </c>
      <c r="P11" s="1068">
        <f t="shared" si="2"/>
        <v>0</v>
      </c>
      <c r="Q11" s="1068">
        <f t="shared" si="2"/>
        <v>0</v>
      </c>
      <c r="R11" s="1068">
        <f t="shared" si="2"/>
        <v>0</v>
      </c>
      <c r="S11" s="1068">
        <f t="shared" si="2"/>
        <v>0</v>
      </c>
      <c r="T11" s="1068">
        <f t="shared" si="2"/>
        <v>0</v>
      </c>
      <c r="U11" s="1068">
        <f t="shared" si="2"/>
        <v>0</v>
      </c>
      <c r="V11" s="1068">
        <f t="shared" si="2"/>
        <v>0</v>
      </c>
      <c r="W11" s="1068">
        <f t="shared" si="2"/>
        <v>0</v>
      </c>
      <c r="X11" s="1068">
        <f t="shared" si="2"/>
        <v>0</v>
      </c>
      <c r="Y11" s="1068">
        <f t="shared" si="2"/>
        <v>0</v>
      </c>
      <c r="Z11" s="1068">
        <f t="shared" si="2"/>
        <v>0</v>
      </c>
      <c r="AA11" s="1068">
        <f t="shared" si="2"/>
        <v>425</v>
      </c>
      <c r="AB11" s="1068">
        <f t="shared" si="2"/>
        <v>359</v>
      </c>
      <c r="AC11" s="1068">
        <f t="shared" si="2"/>
        <v>340</v>
      </c>
      <c r="AD11" s="1068">
        <f t="shared" si="2"/>
        <v>403</v>
      </c>
      <c r="AE11" s="1068">
        <f t="shared" si="2"/>
        <v>412</v>
      </c>
      <c r="AF11" s="1068">
        <f t="shared" si="2"/>
        <v>356</v>
      </c>
      <c r="AG11" s="1068">
        <f t="shared" si="2"/>
        <v>417</v>
      </c>
      <c r="AH11" s="1068">
        <f t="shared" si="2"/>
        <v>411</v>
      </c>
      <c r="AI11" s="1068">
        <f t="shared" si="2"/>
        <v>421</v>
      </c>
      <c r="AJ11" s="1068">
        <f t="shared" si="2"/>
        <v>419</v>
      </c>
      <c r="AK11" s="1068">
        <f t="shared" si="2"/>
        <v>401</v>
      </c>
      <c r="AL11" s="1068">
        <f t="shared" si="2"/>
        <v>330</v>
      </c>
      <c r="AM11" s="1068">
        <f t="shared" si="2"/>
        <v>325</v>
      </c>
      <c r="AN11" s="1068">
        <f t="shared" si="2"/>
        <v>408</v>
      </c>
      <c r="AO11" s="1695">
        <f t="shared" si="2"/>
        <v>393</v>
      </c>
      <c r="AP11" s="1695">
        <f t="shared" si="2"/>
        <v>346</v>
      </c>
      <c r="AQ11" s="1695">
        <f t="shared" si="2"/>
        <v>363</v>
      </c>
      <c r="AR11" s="1695">
        <f t="shared" si="2"/>
        <v>398</v>
      </c>
      <c r="AS11" s="1557">
        <f t="shared" si="2"/>
        <v>388</v>
      </c>
      <c r="AT11" s="1068">
        <f t="shared" si="2"/>
        <v>0</v>
      </c>
      <c r="AU11" s="1068">
        <f t="shared" si="2"/>
        <v>7315</v>
      </c>
      <c r="AV11" s="1068">
        <f>SUM(AV7:AV10)</f>
        <v>7315</v>
      </c>
      <c r="AW11" s="1170">
        <f>+AU11-AV11</f>
        <v>0</v>
      </c>
      <c r="AX11" s="1066"/>
    </row>
    <row r="12" spans="1:52" s="300" customFormat="1" ht="15">
      <c r="A12" s="1100" t="str">
        <f>+'Grasmere Pig Cost'!A12</f>
        <v>Transfers Lionshead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807"/>
      <c r="AL12" s="807"/>
      <c r="AM12" s="807"/>
      <c r="AN12" s="807"/>
      <c r="AO12" s="1693"/>
      <c r="AP12" s="1693"/>
      <c r="AQ12" s="1693"/>
      <c r="AR12" s="1693"/>
      <c r="AS12" s="1693"/>
      <c r="AT12" s="807"/>
      <c r="AU12" s="807">
        <f>SUM(B12:AT12)</f>
        <v>0</v>
      </c>
      <c r="AV12" s="817">
        <f>SUM('Summary Total Pigs'!E31:E33,'Summary Total Pigs'!O31:O33)</f>
        <v>0</v>
      </c>
      <c r="AW12" s="1170">
        <f t="shared" ref="AW12:AW21" si="3">+AU12-AV12</f>
        <v>0</v>
      </c>
      <c r="AX12" s="142"/>
      <c r="AZ12" s="308"/>
    </row>
    <row r="13" spans="1:52" s="300" customFormat="1" ht="15">
      <c r="A13" s="1100" t="str">
        <f>+'Grasmere Pig Cost'!A13</f>
        <v>Transfers Lionshead Ext.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/>
      <c r="X13" s="807"/>
      <c r="Y13" s="807"/>
      <c r="Z13" s="807"/>
      <c r="AA13" s="807"/>
      <c r="AB13" s="807"/>
      <c r="AC13" s="807"/>
      <c r="AD13" s="807"/>
      <c r="AE13" s="807"/>
      <c r="AF13" s="807"/>
      <c r="AG13" s="807"/>
      <c r="AH13" s="807"/>
      <c r="AI13" s="807"/>
      <c r="AJ13" s="807"/>
      <c r="AK13" s="807"/>
      <c r="AL13" s="807"/>
      <c r="AM13" s="807"/>
      <c r="AN13" s="807"/>
      <c r="AO13" s="1693"/>
      <c r="AP13" s="1693"/>
      <c r="AQ13" s="1693"/>
      <c r="AR13" s="1693"/>
      <c r="AS13" s="1693"/>
      <c r="AT13" s="807"/>
      <c r="AU13" s="807">
        <f t="shared" ref="AU13:AU27" si="4">SUM(B13:AT13)</f>
        <v>0</v>
      </c>
      <c r="AV13" s="817">
        <f>SUM('Summary Total Pigs'!F31:F33,'Summary Total Pigs'!P31:P33)</f>
        <v>0</v>
      </c>
      <c r="AW13" s="1170">
        <f t="shared" si="3"/>
        <v>0</v>
      </c>
      <c r="AX13" s="142"/>
      <c r="AZ13" s="739"/>
    </row>
    <row r="14" spans="1:52" s="300" customFormat="1" ht="15">
      <c r="A14" s="1100" t="str">
        <f>+'Grasmere Pig Cost'!A14</f>
        <v>Transfers  Richlands</v>
      </c>
      <c r="B14" s="1057"/>
      <c r="C14" s="1057"/>
      <c r="D14" s="1057"/>
      <c r="E14" s="1057"/>
      <c r="F14" s="1057"/>
      <c r="G14" s="1057"/>
      <c r="H14" s="1057"/>
      <c r="I14" s="1057"/>
      <c r="J14" s="1057"/>
      <c r="K14" s="1057"/>
      <c r="L14" s="1057"/>
      <c r="M14" s="1057"/>
      <c r="N14" s="1057"/>
      <c r="O14" s="1057"/>
      <c r="P14" s="1057"/>
      <c r="Q14" s="1057"/>
      <c r="R14" s="1057"/>
      <c r="S14" s="1057"/>
      <c r="T14" s="1057"/>
      <c r="U14" s="1057"/>
      <c r="V14" s="1057"/>
      <c r="W14" s="1057"/>
      <c r="X14" s="807"/>
      <c r="Y14" s="1057"/>
      <c r="Z14" s="1057"/>
      <c r="AA14" s="1057"/>
      <c r="AB14" s="1057"/>
      <c r="AC14" s="807"/>
      <c r="AD14" s="807"/>
      <c r="AE14" s="807"/>
      <c r="AF14" s="807"/>
      <c r="AG14" s="807"/>
      <c r="AH14" s="807"/>
      <c r="AI14" s="807"/>
      <c r="AJ14" s="807"/>
      <c r="AK14" s="807"/>
      <c r="AL14" s="807"/>
      <c r="AM14" s="807"/>
      <c r="AN14" s="807"/>
      <c r="AO14" s="1693"/>
      <c r="AP14" s="1693"/>
      <c r="AQ14" s="1693"/>
      <c r="AR14" s="1693"/>
      <c r="AS14" s="1693"/>
      <c r="AT14" s="807"/>
      <c r="AU14" s="807">
        <f t="shared" si="4"/>
        <v>0</v>
      </c>
      <c r="AV14" s="817">
        <f>SUM('Summary Total Pigs'!G31:G33,'Summary Total Pigs'!Q31:Q33)</f>
        <v>0</v>
      </c>
      <c r="AW14" s="1170">
        <f t="shared" si="3"/>
        <v>0</v>
      </c>
      <c r="AX14" s="142"/>
      <c r="AZ14" s="739"/>
    </row>
    <row r="15" spans="1:52" s="300" customFormat="1" ht="15">
      <c r="A15" s="1100" t="s">
        <v>1828</v>
      </c>
      <c r="B15" s="1057"/>
      <c r="C15" s="1057"/>
      <c r="D15" s="1057"/>
      <c r="E15" s="1057"/>
      <c r="F15" s="1057"/>
      <c r="G15" s="1057"/>
      <c r="H15" s="1057"/>
      <c r="I15" s="1057"/>
      <c r="J15" s="1057"/>
      <c r="K15" s="1057"/>
      <c r="L15" s="1057"/>
      <c r="M15" s="1057"/>
      <c r="N15" s="1057"/>
      <c r="O15" s="1057"/>
      <c r="P15" s="1057"/>
      <c r="Q15" s="1057"/>
      <c r="R15" s="1057"/>
      <c r="S15" s="1057"/>
      <c r="T15" s="1057"/>
      <c r="U15" s="1057"/>
      <c r="V15" s="1057"/>
      <c r="W15" s="1057">
        <v>311</v>
      </c>
      <c r="X15" s="807">
        <v>320</v>
      </c>
      <c r="Y15" s="807">
        <v>292</v>
      </c>
      <c r="Z15" s="807">
        <v>280</v>
      </c>
      <c r="AA15" s="807"/>
      <c r="AB15" s="1057"/>
      <c r="AC15" s="807"/>
      <c r="AD15" s="807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1693"/>
      <c r="AP15" s="1693"/>
      <c r="AQ15" s="1693"/>
      <c r="AR15" s="1693"/>
      <c r="AS15" s="1693"/>
      <c r="AT15" s="807"/>
      <c r="AU15" s="807">
        <f t="shared" si="4"/>
        <v>1203</v>
      </c>
      <c r="AV15" s="817">
        <f>SUM('Summary Total Pigs'!H31:H33,'Summary Total Pigs'!R31:R33)</f>
        <v>1203</v>
      </c>
      <c r="AW15" s="1170">
        <f t="shared" si="3"/>
        <v>0</v>
      </c>
      <c r="AX15" s="142"/>
      <c r="AZ15" s="739"/>
    </row>
    <row r="16" spans="1:52" s="300" customFormat="1" ht="15">
      <c r="A16" s="1100" t="str">
        <f>+'Grasmere Pig Cost'!A16</f>
        <v>Transfers Villa</v>
      </c>
      <c r="B16" s="1057"/>
      <c r="C16" s="1057"/>
      <c r="D16" s="1057"/>
      <c r="E16" s="1057"/>
      <c r="F16" s="1057"/>
      <c r="G16" s="1057"/>
      <c r="H16" s="1057"/>
      <c r="I16" s="1057"/>
      <c r="J16" s="1057"/>
      <c r="K16" s="1057"/>
      <c r="L16" s="1057"/>
      <c r="M16" s="1057"/>
      <c r="N16" s="1057"/>
      <c r="O16" s="1057"/>
      <c r="P16" s="1057"/>
      <c r="Q16" s="1057"/>
      <c r="R16" s="1057"/>
      <c r="S16" s="1057"/>
      <c r="T16" s="1057"/>
      <c r="U16" s="1057"/>
      <c r="V16" s="1057"/>
      <c r="W16" s="1057">
        <v>90</v>
      </c>
      <c r="X16" s="1057">
        <v>100</v>
      </c>
      <c r="Y16" s="1057"/>
      <c r="Z16" s="1057"/>
      <c r="AA16" s="1057"/>
      <c r="AB16" s="1057"/>
      <c r="AC16" s="807"/>
      <c r="AD16" s="807"/>
      <c r="AE16" s="807"/>
      <c r="AF16" s="807"/>
      <c r="AG16" s="807"/>
      <c r="AH16" s="807"/>
      <c r="AI16" s="807"/>
      <c r="AJ16" s="807"/>
      <c r="AK16" s="807"/>
      <c r="AL16" s="807"/>
      <c r="AM16" s="807"/>
      <c r="AN16" s="807"/>
      <c r="AO16" s="1693"/>
      <c r="AP16" s="1693"/>
      <c r="AQ16" s="1693"/>
      <c r="AR16" s="1693"/>
      <c r="AS16" s="1693"/>
      <c r="AT16" s="807"/>
      <c r="AU16" s="807">
        <f t="shared" si="4"/>
        <v>190</v>
      </c>
      <c r="AV16" s="817">
        <f>SUM('Summary Total Pigs'!I31:I33,'Summary Total Pigs'!S31:S33)</f>
        <v>190</v>
      </c>
      <c r="AW16" s="1170">
        <f t="shared" si="3"/>
        <v>0</v>
      </c>
      <c r="AX16" s="142"/>
      <c r="AZ16" s="739"/>
    </row>
    <row r="17" spans="1:52" s="300" customFormat="1" ht="15">
      <c r="A17" s="1100" t="str">
        <f>+'Grasmere Pig Cost'!A17</f>
        <v>Transfers Porta</v>
      </c>
      <c r="B17" s="1057"/>
      <c r="C17" s="1057"/>
      <c r="D17" s="1057"/>
      <c r="E17" s="1057"/>
      <c r="F17" s="1057"/>
      <c r="G17" s="1057"/>
      <c r="H17" s="1057"/>
      <c r="I17" s="1057"/>
      <c r="J17" s="1057"/>
      <c r="K17" s="1057"/>
      <c r="L17" s="1057"/>
      <c r="M17" s="1057"/>
      <c r="N17" s="1057"/>
      <c r="O17" s="1057"/>
      <c r="P17" s="1057"/>
      <c r="Q17" s="1057"/>
      <c r="R17" s="1057"/>
      <c r="S17" s="1057"/>
      <c r="T17" s="1057"/>
      <c r="U17" s="1057"/>
      <c r="V17" s="1057"/>
      <c r="W17" s="1057"/>
      <c r="X17" s="1057"/>
      <c r="Y17" s="1057">
        <v>48</v>
      </c>
      <c r="Z17" s="1057">
        <v>60</v>
      </c>
      <c r="AA17" s="1057"/>
      <c r="AB17" s="1057"/>
      <c r="AC17" s="807"/>
      <c r="AD17" s="807"/>
      <c r="AE17" s="807"/>
      <c r="AF17" s="807"/>
      <c r="AG17" s="807"/>
      <c r="AH17" s="807"/>
      <c r="AI17" s="807"/>
      <c r="AJ17" s="807"/>
      <c r="AK17" s="807"/>
      <c r="AL17" s="807"/>
      <c r="AM17" s="807"/>
      <c r="AN17" s="807"/>
      <c r="AO17" s="1693"/>
      <c r="AP17" s="1693"/>
      <c r="AQ17" s="1693"/>
      <c r="AR17" s="1693"/>
      <c r="AS17" s="1693"/>
      <c r="AT17" s="807"/>
      <c r="AU17" s="807">
        <f t="shared" si="4"/>
        <v>108</v>
      </c>
      <c r="AV17" s="817">
        <f>SUM('Summary Total Pigs'!K31:K33)</f>
        <v>108</v>
      </c>
      <c r="AW17" s="1170">
        <f t="shared" si="3"/>
        <v>0</v>
      </c>
      <c r="AX17" s="142"/>
      <c r="AZ17" s="739"/>
    </row>
    <row r="18" spans="1:52" s="300" customFormat="1" ht="15">
      <c r="A18" s="1100" t="str">
        <f>+'Grasmere Pig Cost'!A18</f>
        <v>Transfers Multiplier</v>
      </c>
      <c r="B18" s="1057"/>
      <c r="C18" s="1057"/>
      <c r="D18" s="1057"/>
      <c r="E18" s="1057"/>
      <c r="F18" s="1057"/>
      <c r="G18" s="1057"/>
      <c r="H18" s="1057"/>
      <c r="I18" s="1057"/>
      <c r="J18" s="1057"/>
      <c r="K18" s="1057"/>
      <c r="L18" s="1057"/>
      <c r="M18" s="1057"/>
      <c r="N18" s="1057"/>
      <c r="O18" s="1057"/>
      <c r="P18" s="1057"/>
      <c r="Q18" s="1057"/>
      <c r="R18" s="1057"/>
      <c r="S18" s="1057"/>
      <c r="T18" s="1057"/>
      <c r="U18" s="1057"/>
      <c r="V18" s="1057"/>
      <c r="W18" s="1057"/>
      <c r="X18" s="1057"/>
      <c r="Y18" s="1057"/>
      <c r="Z18" s="1057"/>
      <c r="AA18" s="1057"/>
      <c r="AB18" s="1057"/>
      <c r="AC18" s="807"/>
      <c r="AD18" s="807"/>
      <c r="AE18" s="807"/>
      <c r="AF18" s="807"/>
      <c r="AG18" s="807"/>
      <c r="AH18" s="807"/>
      <c r="AI18" s="807"/>
      <c r="AJ18" s="807"/>
      <c r="AK18" s="807"/>
      <c r="AL18" s="807"/>
      <c r="AM18" s="807"/>
      <c r="AN18" s="807"/>
      <c r="AO18" s="1693"/>
      <c r="AP18" s="1693"/>
      <c r="AQ18" s="1693"/>
      <c r="AR18" s="1693"/>
      <c r="AS18" s="1693"/>
      <c r="AT18" s="807"/>
      <c r="AU18" s="807">
        <f t="shared" si="4"/>
        <v>0</v>
      </c>
      <c r="AV18" s="817">
        <f>SUM('Summary Total Pigs'!L31:L33)</f>
        <v>0</v>
      </c>
      <c r="AW18" s="1170">
        <f t="shared" si="3"/>
        <v>0</v>
      </c>
      <c r="AX18" s="142"/>
      <c r="AZ18" s="739"/>
    </row>
    <row r="19" spans="1:52" s="300" customFormat="1" ht="15">
      <c r="A19" s="1100"/>
      <c r="B19" s="1057"/>
      <c r="C19" s="1057"/>
      <c r="D19" s="1057"/>
      <c r="E19" s="1057"/>
      <c r="F19" s="1057"/>
      <c r="G19" s="1057"/>
      <c r="H19" s="1057"/>
      <c r="I19" s="1057"/>
      <c r="J19" s="1057"/>
      <c r="K19" s="1057"/>
      <c r="L19" s="1057"/>
      <c r="M19" s="1057"/>
      <c r="N19" s="1057"/>
      <c r="O19" s="1057"/>
      <c r="P19" s="1057"/>
      <c r="Q19" s="1057"/>
      <c r="R19" s="1057"/>
      <c r="S19" s="1057"/>
      <c r="T19" s="1057"/>
      <c r="U19" s="1057"/>
      <c r="V19" s="1057"/>
      <c r="W19" s="1057"/>
      <c r="X19" s="1057"/>
      <c r="Y19" s="1057"/>
      <c r="Z19" s="1057"/>
      <c r="AA19" s="1057"/>
      <c r="AB19" s="1057"/>
      <c r="AC19" s="807"/>
      <c r="AD19" s="807"/>
      <c r="AE19" s="807"/>
      <c r="AF19" s="807"/>
      <c r="AG19" s="807"/>
      <c r="AH19" s="807"/>
      <c r="AI19" s="807"/>
      <c r="AJ19" s="807"/>
      <c r="AK19" s="807"/>
      <c r="AL19" s="807"/>
      <c r="AM19" s="807"/>
      <c r="AN19" s="807"/>
      <c r="AO19" s="1693"/>
      <c r="AP19" s="1693"/>
      <c r="AQ19" s="1693"/>
      <c r="AR19" s="1693"/>
      <c r="AS19" s="1693"/>
      <c r="AT19" s="807"/>
      <c r="AU19" s="807">
        <f t="shared" si="4"/>
        <v>0</v>
      </c>
      <c r="AV19" s="817"/>
      <c r="AW19" s="1170">
        <f t="shared" si="3"/>
        <v>0</v>
      </c>
      <c r="AX19" s="142"/>
      <c r="AZ19" s="739"/>
    </row>
    <row r="20" spans="1:52" s="300" customFormat="1" ht="15">
      <c r="A20" s="1100" t="str">
        <f>+'Grasmere Pig Cost'!A20</f>
        <v>Transfers  Boars</v>
      </c>
      <c r="B20" s="1057"/>
      <c r="C20" s="1057"/>
      <c r="D20" s="1057"/>
      <c r="E20" s="1057"/>
      <c r="F20" s="1057"/>
      <c r="G20" s="1057"/>
      <c r="H20" s="1057"/>
      <c r="I20" s="1057"/>
      <c r="J20" s="1057"/>
      <c r="K20" s="1057"/>
      <c r="L20" s="1057"/>
      <c r="M20" s="1057"/>
      <c r="N20" s="1057"/>
      <c r="O20" s="1057"/>
      <c r="P20" s="1057"/>
      <c r="Q20" s="1057"/>
      <c r="R20" s="1057"/>
      <c r="S20" s="1057"/>
      <c r="T20" s="1057"/>
      <c r="U20" s="1057"/>
      <c r="V20" s="1057"/>
      <c r="W20" s="1057"/>
      <c r="X20" s="1057"/>
      <c r="Y20" s="1057"/>
      <c r="Z20" s="1057"/>
      <c r="AA20" s="1057"/>
      <c r="AB20" s="1057"/>
      <c r="AC20" s="807"/>
      <c r="AD20" s="807"/>
      <c r="AE20" s="807"/>
      <c r="AF20" s="807"/>
      <c r="AG20" s="807"/>
      <c r="AH20" s="807"/>
      <c r="AI20" s="807"/>
      <c r="AJ20" s="807"/>
      <c r="AK20" s="807"/>
      <c r="AL20" s="807"/>
      <c r="AM20" s="807"/>
      <c r="AN20" s="807"/>
      <c r="AO20" s="1693"/>
      <c r="AP20" s="1693"/>
      <c r="AQ20" s="1693"/>
      <c r="AR20" s="1693"/>
      <c r="AS20" s="1693"/>
      <c r="AT20" s="807"/>
      <c r="AU20" s="807">
        <f t="shared" si="4"/>
        <v>0</v>
      </c>
      <c r="AV20" s="817"/>
      <c r="AW20" s="1170">
        <f t="shared" si="3"/>
        <v>0</v>
      </c>
      <c r="AX20" s="142"/>
      <c r="AZ20" s="739"/>
    </row>
    <row r="21" spans="1:52" s="300" customFormat="1" ht="15">
      <c r="A21" s="1100" t="str">
        <f>+'Grasmere Pig Cost'!A21</f>
        <v>Transfers Grower</v>
      </c>
      <c r="B21" s="1100"/>
      <c r="C21" s="1100"/>
      <c r="D21" s="1100"/>
      <c r="E21" s="1100"/>
      <c r="F21" s="1100"/>
      <c r="G21" s="1100"/>
      <c r="H21" s="1100"/>
      <c r="I21" s="1100"/>
      <c r="J21" s="1100"/>
      <c r="K21" s="1100"/>
      <c r="L21" s="1100"/>
      <c r="M21" s="1100"/>
      <c r="N21" s="1100"/>
      <c r="O21" s="1100"/>
      <c r="P21" s="1100"/>
      <c r="Q21" s="1100"/>
      <c r="R21" s="1100"/>
      <c r="S21" s="1100"/>
      <c r="T21" s="1100"/>
      <c r="U21" s="1057"/>
      <c r="V21" s="1057"/>
      <c r="W21" s="1057"/>
      <c r="X21" s="1057"/>
      <c r="Y21" s="1057"/>
      <c r="Z21" s="1057"/>
      <c r="AA21" s="1057"/>
      <c r="AB21" s="1057"/>
      <c r="AC21" s="807"/>
      <c r="AD21" s="807"/>
      <c r="AE21" s="807"/>
      <c r="AF21" s="807"/>
      <c r="AG21" s="807"/>
      <c r="AH21" s="807"/>
      <c r="AI21" s="807"/>
      <c r="AJ21" s="807"/>
      <c r="AK21" s="807"/>
      <c r="AL21" s="807"/>
      <c r="AM21" s="807"/>
      <c r="AN21" s="807"/>
      <c r="AO21" s="1693"/>
      <c r="AP21" s="1693"/>
      <c r="AQ21" s="1693"/>
      <c r="AR21" s="1693"/>
      <c r="AS21" s="1693"/>
      <c r="AT21" s="807"/>
      <c r="AU21" s="807">
        <f t="shared" si="4"/>
        <v>0</v>
      </c>
      <c r="AV21" s="817"/>
      <c r="AW21" s="1170">
        <f t="shared" si="3"/>
        <v>0</v>
      </c>
      <c r="AX21" s="142"/>
      <c r="AZ21" s="739"/>
    </row>
    <row r="22" spans="1:52" s="300" customFormat="1" ht="15.6">
      <c r="A22" s="1100" t="str">
        <f>+'Grasmere Pig Cost'!A22</f>
        <v>Transfer to Sick Block</v>
      </c>
      <c r="B22" s="1057"/>
      <c r="C22" s="1057"/>
      <c r="D22" s="1057"/>
      <c r="E22" s="1057"/>
      <c r="F22" s="1057"/>
      <c r="G22" s="1057"/>
      <c r="H22" s="1057"/>
      <c r="I22" s="1057"/>
      <c r="J22" s="1057"/>
      <c r="K22" s="1057"/>
      <c r="L22" s="1057"/>
      <c r="M22" s="1057"/>
      <c r="N22" s="1057"/>
      <c r="O22" s="1057"/>
      <c r="P22" s="1057"/>
      <c r="Q22" s="1057"/>
      <c r="R22" s="1057"/>
      <c r="S22" s="1057"/>
      <c r="T22" s="1057"/>
      <c r="U22" s="1057"/>
      <c r="V22" s="1057"/>
      <c r="W22" s="1057"/>
      <c r="X22" s="1057"/>
      <c r="Y22" s="1057"/>
      <c r="Z22" s="1057"/>
      <c r="AA22" s="1057">
        <v>-2</v>
      </c>
      <c r="AB22" s="1057">
        <v>-1</v>
      </c>
      <c r="AC22" s="807">
        <f>-1+3</f>
        <v>2</v>
      </c>
      <c r="AD22" s="807">
        <v>-1</v>
      </c>
      <c r="AE22" s="807">
        <v>-1</v>
      </c>
      <c r="AF22" s="807">
        <f>-1-1</f>
        <v>-2</v>
      </c>
      <c r="AG22" s="807">
        <f>-1-1-1</f>
        <v>-3</v>
      </c>
      <c r="AH22" s="807">
        <v>-1</v>
      </c>
      <c r="AI22" s="1661">
        <f>-1-1</f>
        <v>-2</v>
      </c>
      <c r="AJ22" s="807">
        <v>-1</v>
      </c>
      <c r="AK22" s="807">
        <v>-1</v>
      </c>
      <c r="AL22" s="2066">
        <f>-2-1</f>
        <v>-3</v>
      </c>
      <c r="AM22" s="807">
        <v>-1</v>
      </c>
      <c r="AN22" s="807"/>
      <c r="AO22" s="1693">
        <f>-1-1-1+24-3</f>
        <v>18</v>
      </c>
      <c r="AP22" s="1693">
        <v>-1</v>
      </c>
      <c r="AQ22" s="1693"/>
      <c r="AR22" s="1693"/>
      <c r="AS22" s="1693"/>
      <c r="AT22" s="807"/>
      <c r="AU22" s="807">
        <f>SUM(B22:AT22)</f>
        <v>0</v>
      </c>
      <c r="AV22" s="817"/>
      <c r="AW22" s="1170">
        <f>+AU22-AV22</f>
        <v>0</v>
      </c>
      <c r="AX22" s="142"/>
      <c r="AZ22" s="739"/>
    </row>
    <row r="23" spans="1:52" s="300" customFormat="1" ht="15">
      <c r="A23" s="1100" t="str">
        <f>+'Grasmere Pig Cost'!A23</f>
        <v>Transfers Gilts</v>
      </c>
      <c r="B23" s="1057"/>
      <c r="C23" s="1057"/>
      <c r="D23" s="1057"/>
      <c r="E23" s="1057"/>
      <c r="F23" s="1057"/>
      <c r="G23" s="1057"/>
      <c r="H23" s="1057"/>
      <c r="I23" s="1057"/>
      <c r="J23" s="1057"/>
      <c r="K23" s="1057"/>
      <c r="L23" s="1057"/>
      <c r="M23" s="1057"/>
      <c r="N23" s="1057"/>
      <c r="O23" s="1057"/>
      <c r="P23" s="1057"/>
      <c r="Q23" s="1057"/>
      <c r="R23" s="1057"/>
      <c r="S23" s="1057"/>
      <c r="T23" s="1057"/>
      <c r="U23" s="1057"/>
      <c r="V23" s="1057"/>
      <c r="W23" s="1057"/>
      <c r="X23" s="1057"/>
      <c r="Y23" s="807"/>
      <c r="Z23" s="807"/>
      <c r="AA23" s="1057"/>
      <c r="AB23" s="1057"/>
      <c r="AC23" s="807"/>
      <c r="AD23" s="807"/>
      <c r="AE23" s="807"/>
      <c r="AF23" s="807"/>
      <c r="AG23" s="807"/>
      <c r="AI23" s="807"/>
      <c r="AJ23" s="807"/>
      <c r="AK23" s="807"/>
      <c r="AL23" s="807"/>
      <c r="AM23" s="807"/>
      <c r="AN23" s="807"/>
      <c r="AO23" s="1693"/>
      <c r="AP23" s="1693"/>
      <c r="AQ23" s="1693"/>
      <c r="AR23" s="1693"/>
      <c r="AS23" s="1693"/>
      <c r="AT23" s="807"/>
      <c r="AU23" s="807">
        <f t="shared" si="4"/>
        <v>0</v>
      </c>
      <c r="AV23" s="817"/>
      <c r="AW23" s="1170">
        <f t="shared" ref="AW23:AW28" si="5">+AU23-AV23</f>
        <v>0</v>
      </c>
      <c r="AX23" s="142"/>
      <c r="AZ23" s="739"/>
    </row>
    <row r="24" spans="1:52" s="300" customFormat="1" ht="15">
      <c r="A24" s="1100" t="str">
        <f>+'Grasmere Pig Cost'!A24</f>
        <v>Mortality</v>
      </c>
      <c r="B24" s="1057"/>
      <c r="C24" s="1057"/>
      <c r="D24" s="1057"/>
      <c r="E24" s="1057"/>
      <c r="F24" s="1057"/>
      <c r="G24" s="1057"/>
      <c r="H24" s="1057"/>
      <c r="I24" s="1057"/>
      <c r="J24" s="1057"/>
      <c r="K24" s="1057"/>
      <c r="L24" s="1057"/>
      <c r="M24" s="1057"/>
      <c r="N24" s="1057"/>
      <c r="O24" s="1057"/>
      <c r="P24" s="1057"/>
      <c r="Q24" s="1057"/>
      <c r="R24" s="1057"/>
      <c r="S24" s="807"/>
      <c r="T24" s="807"/>
      <c r="U24" s="807"/>
      <c r="V24" s="807"/>
      <c r="W24" s="807"/>
      <c r="X24" s="807"/>
      <c r="Y24" s="807">
        <v>-1</v>
      </c>
      <c r="Z24" s="807"/>
      <c r="AA24" s="1057">
        <v>-1</v>
      </c>
      <c r="AB24" s="1740">
        <f>-1-1</f>
        <v>-2</v>
      </c>
      <c r="AC24" s="807"/>
      <c r="AD24" s="807">
        <f>-1-1-1-1</f>
        <v>-4</v>
      </c>
      <c r="AE24" s="807">
        <f>-1-1</f>
        <v>-2</v>
      </c>
      <c r="AF24" s="807">
        <f>-1-1-1-1</f>
        <v>-4</v>
      </c>
      <c r="AG24" s="807">
        <f>-1-1-1-1-1-1-1</f>
        <v>-7</v>
      </c>
      <c r="AH24" s="807">
        <f>-1-1-1</f>
        <v>-3</v>
      </c>
      <c r="AI24" s="807">
        <v>-1</v>
      </c>
      <c r="AJ24" s="807">
        <f>-1-1-1-1</f>
        <v>-4</v>
      </c>
      <c r="AK24" s="807">
        <v>-1</v>
      </c>
      <c r="AL24" s="807"/>
      <c r="AM24" s="807"/>
      <c r="AN24" s="807">
        <v>-1</v>
      </c>
      <c r="AO24" s="1693">
        <f>-1-1-1-21</f>
        <v>-24</v>
      </c>
      <c r="AP24" s="1693">
        <f>-1-1</f>
        <v>-2</v>
      </c>
      <c r="AQ24" s="1693"/>
      <c r="AR24" s="1693">
        <f>-1-1-1</f>
        <v>-3</v>
      </c>
      <c r="AS24" s="1693"/>
      <c r="AT24" s="807"/>
      <c r="AU24" s="807">
        <f>SUM(B24:AT24)</f>
        <v>-60</v>
      </c>
      <c r="AV24" s="817">
        <f>SUM('Summary Total Pigs'!W31:W33,'Summary Total Pigs'!Y31:Y33)</f>
        <v>-60</v>
      </c>
      <c r="AW24" s="1170">
        <f>+AU24-AV24</f>
        <v>0</v>
      </c>
      <c r="AX24" s="818"/>
      <c r="AZ24" s="739"/>
    </row>
    <row r="25" spans="1:52" s="300" customFormat="1" ht="15">
      <c r="A25" s="1100" t="str">
        <f>+'Grasmere Pig Cost'!A25</f>
        <v>Rations</v>
      </c>
      <c r="B25" s="1057"/>
      <c r="C25" s="1057"/>
      <c r="D25" s="1057"/>
      <c r="E25" s="1057"/>
      <c r="F25" s="1057"/>
      <c r="G25" s="1057"/>
      <c r="H25" s="1057"/>
      <c r="I25" s="1057"/>
      <c r="J25" s="1057"/>
      <c r="K25" s="1057"/>
      <c r="L25" s="1057"/>
      <c r="M25" s="1057"/>
      <c r="N25" s="1057"/>
      <c r="O25" s="1057"/>
      <c r="P25" s="1057"/>
      <c r="Q25" s="1057"/>
      <c r="R25" s="1057"/>
      <c r="S25" s="807"/>
      <c r="T25" s="807"/>
      <c r="U25" s="807"/>
      <c r="V25" s="807"/>
      <c r="W25" s="807"/>
      <c r="X25" s="807"/>
      <c r="Y25" s="807"/>
      <c r="Z25" s="807"/>
      <c r="AA25" s="105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/>
      <c r="AO25" s="1693">
        <f>-1-2</f>
        <v>-3</v>
      </c>
      <c r="AP25" s="1693">
        <f>-1-1</f>
        <v>-2</v>
      </c>
      <c r="AQ25" s="1693"/>
      <c r="AR25" s="1693"/>
      <c r="AS25" s="1693"/>
      <c r="AT25" s="807"/>
      <c r="AU25" s="807">
        <f t="shared" si="4"/>
        <v>-5</v>
      </c>
      <c r="AV25" s="817">
        <f>SUM('Summary Total Pigs'!Z31:Z33)</f>
        <v>-5</v>
      </c>
      <c r="AW25" s="1170">
        <f t="shared" si="5"/>
        <v>0</v>
      </c>
      <c r="AX25" s="818"/>
      <c r="AZ25" s="739"/>
    </row>
    <row r="26" spans="1:52" s="300" customFormat="1" ht="15">
      <c r="A26" s="1100" t="str">
        <f>+'Grasmere Pig Cost'!A26</f>
        <v>Pet Food</v>
      </c>
      <c r="B26" s="1057"/>
      <c r="C26" s="1057"/>
      <c r="D26" s="1057"/>
      <c r="E26" s="1057"/>
      <c r="F26" s="1057"/>
      <c r="G26" s="1057"/>
      <c r="H26" s="1057"/>
      <c r="I26" s="1057"/>
      <c r="J26" s="1057"/>
      <c r="K26" s="1057"/>
      <c r="L26" s="1057"/>
      <c r="M26" s="1057"/>
      <c r="N26" s="1057"/>
      <c r="O26" s="1057"/>
      <c r="P26" s="1057"/>
      <c r="Q26" s="1057"/>
      <c r="R26" s="1057"/>
      <c r="S26" s="807"/>
      <c r="T26" s="807"/>
      <c r="U26" s="807"/>
      <c r="V26" s="807"/>
      <c r="W26" s="807"/>
      <c r="X26" s="807"/>
      <c r="Y26" s="807"/>
      <c r="Z26" s="807"/>
      <c r="AA26" s="1057"/>
      <c r="AB26" s="807"/>
      <c r="AC26" s="807"/>
      <c r="AD26" s="807"/>
      <c r="AE26" s="807"/>
      <c r="AF26" s="807"/>
      <c r="AG26" s="807"/>
      <c r="AH26" s="807"/>
      <c r="AI26" s="807"/>
      <c r="AJ26" s="807"/>
      <c r="AK26" s="807"/>
      <c r="AL26" s="807"/>
      <c r="AM26" s="807"/>
      <c r="AN26" s="807"/>
      <c r="AO26" s="1693"/>
      <c r="AP26" s="1693"/>
      <c r="AQ26" s="1693"/>
      <c r="AR26" s="1693"/>
      <c r="AS26" s="1693"/>
      <c r="AT26" s="807"/>
      <c r="AU26" s="807">
        <f>SUM(B26:AT26)</f>
        <v>0</v>
      </c>
      <c r="AV26" s="817">
        <f>SUM('Summary Total Pigs'!AB31:AB33)</f>
        <v>0</v>
      </c>
      <c r="AW26" s="1170">
        <f t="shared" si="5"/>
        <v>0</v>
      </c>
      <c r="AX26" s="818"/>
      <c r="AZ26" s="739"/>
    </row>
    <row r="27" spans="1:52" s="300" customFormat="1" ht="15">
      <c r="A27" s="1100" t="str">
        <f>+'Grasmere Pig Cost'!A27</f>
        <v>Farm Sales</v>
      </c>
      <c r="B27" s="1057"/>
      <c r="C27" s="1057"/>
      <c r="D27" s="1057"/>
      <c r="E27" s="1057"/>
      <c r="F27" s="1057"/>
      <c r="G27" s="1057"/>
      <c r="H27" s="1057"/>
      <c r="I27" s="1057"/>
      <c r="J27" s="1057"/>
      <c r="K27" s="1057"/>
      <c r="L27" s="1057"/>
      <c r="M27" s="1057"/>
      <c r="N27" s="1057"/>
      <c r="O27" s="1057"/>
      <c r="P27" s="1057"/>
      <c r="Q27" s="1057"/>
      <c r="R27" s="1057"/>
      <c r="S27" s="807"/>
      <c r="T27" s="807"/>
      <c r="U27" s="807"/>
      <c r="V27" s="807"/>
      <c r="W27" s="807"/>
      <c r="X27" s="807"/>
      <c r="Y27" s="807"/>
      <c r="Z27" s="807"/>
      <c r="AA27" s="1057"/>
      <c r="AB27" s="807"/>
      <c r="AC27" s="807"/>
      <c r="AD27" s="807"/>
      <c r="AE27" s="807"/>
      <c r="AF27" s="807"/>
      <c r="AG27" s="807"/>
      <c r="AH27" s="807"/>
      <c r="AI27" s="807"/>
      <c r="AJ27" s="807"/>
      <c r="AK27" s="807"/>
      <c r="AL27" s="807"/>
      <c r="AM27" s="807"/>
      <c r="AN27" s="807"/>
      <c r="AO27" s="1693"/>
      <c r="AP27" s="1693"/>
      <c r="AQ27" s="1693"/>
      <c r="AR27" s="1693"/>
      <c r="AS27" s="1693"/>
      <c r="AT27" s="807"/>
      <c r="AU27" s="807">
        <f t="shared" si="4"/>
        <v>0</v>
      </c>
      <c r="AV27" s="817">
        <f>SUM('Summary Total Pigs'!AC31:AC33,'Summary Total Pigs'!AA31:AA33)</f>
        <v>0</v>
      </c>
      <c r="AW27" s="1170">
        <f t="shared" si="5"/>
        <v>0</v>
      </c>
      <c r="AX27" s="818"/>
      <c r="AZ27" s="739"/>
    </row>
    <row r="28" spans="1:52" s="300" customFormat="1" ht="15.6" thickBot="1">
      <c r="A28" s="1100" t="str">
        <f>+'Grasmere Pig Cost'!A28</f>
        <v xml:space="preserve"> Colcom Sales</v>
      </c>
      <c r="B28" s="1057"/>
      <c r="C28" s="1057"/>
      <c r="D28" s="1057"/>
      <c r="E28" s="1057"/>
      <c r="F28" s="1057"/>
      <c r="G28" s="1057"/>
      <c r="H28" s="1057"/>
      <c r="I28" s="1057"/>
      <c r="J28" s="1057"/>
      <c r="K28" s="1057"/>
      <c r="L28" s="1057"/>
      <c r="M28" s="1057"/>
      <c r="N28" s="1057"/>
      <c r="O28" s="1057"/>
      <c r="P28" s="1057"/>
      <c r="Q28" s="1057"/>
      <c r="R28" s="1057"/>
      <c r="S28" s="807"/>
      <c r="T28" s="807"/>
      <c r="U28" s="807"/>
      <c r="V28" s="807"/>
      <c r="W28" s="807"/>
      <c r="X28" s="807"/>
      <c r="Y28" s="807"/>
      <c r="Z28" s="807"/>
      <c r="AA28" s="807"/>
      <c r="AB28" s="807"/>
      <c r="AC28" s="807"/>
      <c r="AD28" s="807"/>
      <c r="AE28" s="807"/>
      <c r="AF28" s="807"/>
      <c r="AG28" s="807"/>
      <c r="AH28" s="807"/>
      <c r="AI28" s="807"/>
      <c r="AJ28" s="807"/>
      <c r="AK28" s="807"/>
      <c r="AL28" s="807"/>
      <c r="AM28" s="807"/>
      <c r="AN28" s="807"/>
      <c r="AO28" s="1693">
        <v>-1</v>
      </c>
      <c r="AP28" s="1693">
        <f>-68-69-69-69-67+'[3]Sales USD'!$BA$9</f>
        <v>-341</v>
      </c>
      <c r="AQ28" s="1693">
        <f>-65-65-65-67-68-33</f>
        <v>-363</v>
      </c>
      <c r="AR28" s="1693">
        <f>-66-66-66-66-66-65</f>
        <v>-395</v>
      </c>
      <c r="AS28" s="1693">
        <f>-65-65-65-65-65-63</f>
        <v>-388</v>
      </c>
      <c r="AT28" s="807"/>
      <c r="AU28" s="807">
        <f>SUM(B28:AT28)</f>
        <v>-1488</v>
      </c>
      <c r="AV28" s="817">
        <f>SUM('Summary Total Pigs'!X31:X33)</f>
        <v>-1488</v>
      </c>
      <c r="AW28" s="1170">
        <f t="shared" si="5"/>
        <v>0</v>
      </c>
      <c r="AX28" s="818"/>
      <c r="AZ28" s="739"/>
    </row>
    <row r="29" spans="1:52" ht="16.149999999999999" thickBot="1">
      <c r="A29" s="1070" t="s">
        <v>1802</v>
      </c>
      <c r="B29" s="1071">
        <f t="shared" ref="B29:AV29" si="6">SUM(B11:B28)</f>
        <v>0</v>
      </c>
      <c r="C29" s="1071">
        <f t="shared" si="6"/>
        <v>0</v>
      </c>
      <c r="D29" s="1071">
        <f t="shared" si="6"/>
        <v>0</v>
      </c>
      <c r="E29" s="1071">
        <f t="shared" si="6"/>
        <v>0</v>
      </c>
      <c r="F29" s="1071">
        <f t="shared" si="6"/>
        <v>0</v>
      </c>
      <c r="G29" s="1071">
        <f t="shared" si="6"/>
        <v>0</v>
      </c>
      <c r="H29" s="1071">
        <f t="shared" si="6"/>
        <v>0</v>
      </c>
      <c r="I29" s="1071">
        <f t="shared" si="6"/>
        <v>0</v>
      </c>
      <c r="J29" s="1071">
        <f t="shared" si="6"/>
        <v>0</v>
      </c>
      <c r="K29" s="1071">
        <f t="shared" si="6"/>
        <v>0</v>
      </c>
      <c r="L29" s="1071">
        <f t="shared" si="6"/>
        <v>0</v>
      </c>
      <c r="M29" s="1071">
        <f t="shared" si="6"/>
        <v>0</v>
      </c>
      <c r="N29" s="1071">
        <f t="shared" si="6"/>
        <v>0</v>
      </c>
      <c r="O29" s="1071">
        <f t="shared" si="6"/>
        <v>0</v>
      </c>
      <c r="P29" s="1071">
        <f t="shared" si="6"/>
        <v>0</v>
      </c>
      <c r="Q29" s="1071">
        <f t="shared" si="6"/>
        <v>0</v>
      </c>
      <c r="R29" s="1071">
        <f t="shared" si="6"/>
        <v>0</v>
      </c>
      <c r="S29" s="1071">
        <f t="shared" si="6"/>
        <v>0</v>
      </c>
      <c r="T29" s="1071">
        <f t="shared" si="6"/>
        <v>0</v>
      </c>
      <c r="U29" s="1071">
        <f t="shared" si="6"/>
        <v>0</v>
      </c>
      <c r="V29" s="1071">
        <f t="shared" si="6"/>
        <v>0</v>
      </c>
      <c r="W29" s="1071">
        <f t="shared" si="6"/>
        <v>401</v>
      </c>
      <c r="X29" s="1071">
        <f t="shared" si="6"/>
        <v>420</v>
      </c>
      <c r="Y29" s="1071">
        <f t="shared" si="6"/>
        <v>339</v>
      </c>
      <c r="Z29" s="1071">
        <f t="shared" si="6"/>
        <v>340</v>
      </c>
      <c r="AA29" s="1071">
        <f t="shared" si="6"/>
        <v>422</v>
      </c>
      <c r="AB29" s="1071">
        <f t="shared" si="6"/>
        <v>356</v>
      </c>
      <c r="AC29" s="1071">
        <f t="shared" si="6"/>
        <v>342</v>
      </c>
      <c r="AD29" s="1071">
        <f t="shared" si="6"/>
        <v>398</v>
      </c>
      <c r="AE29" s="1071">
        <f t="shared" si="6"/>
        <v>409</v>
      </c>
      <c r="AF29" s="1071">
        <f t="shared" si="6"/>
        <v>350</v>
      </c>
      <c r="AG29" s="1071">
        <f t="shared" si="6"/>
        <v>407</v>
      </c>
      <c r="AH29" s="1071">
        <f t="shared" si="6"/>
        <v>407</v>
      </c>
      <c r="AI29" s="1071">
        <f t="shared" si="6"/>
        <v>418</v>
      </c>
      <c r="AJ29" s="1071">
        <f t="shared" si="6"/>
        <v>414</v>
      </c>
      <c r="AK29" s="1071">
        <f t="shared" si="6"/>
        <v>399</v>
      </c>
      <c r="AL29" s="1071">
        <f t="shared" si="6"/>
        <v>327</v>
      </c>
      <c r="AM29" s="1071">
        <f t="shared" si="6"/>
        <v>324</v>
      </c>
      <c r="AN29" s="1071">
        <f t="shared" si="6"/>
        <v>407</v>
      </c>
      <c r="AO29" s="1695">
        <f t="shared" si="6"/>
        <v>383</v>
      </c>
      <c r="AP29" s="1695">
        <f t="shared" si="6"/>
        <v>0</v>
      </c>
      <c r="AQ29" s="1695">
        <f t="shared" si="6"/>
        <v>0</v>
      </c>
      <c r="AR29" s="1695">
        <f t="shared" si="6"/>
        <v>0</v>
      </c>
      <c r="AS29" s="1557">
        <f t="shared" si="6"/>
        <v>0</v>
      </c>
      <c r="AT29" s="1071">
        <f t="shared" si="6"/>
        <v>0</v>
      </c>
      <c r="AU29" s="1071">
        <f>SUM(AU11:AU28)</f>
        <v>7263</v>
      </c>
      <c r="AV29" s="1071">
        <f t="shared" si="6"/>
        <v>7263</v>
      </c>
      <c r="AW29" s="1170">
        <f>SUM('Summary Total Pigs'!AF31:AF33)-AU29</f>
        <v>0</v>
      </c>
      <c r="AX29" s="142"/>
    </row>
    <row r="30" spans="1:52" ht="15.6">
      <c r="A30" s="1066"/>
      <c r="B30" s="1557"/>
      <c r="C30" s="1557"/>
      <c r="D30" s="1557"/>
      <c r="E30" s="1557"/>
      <c r="F30" s="1557"/>
      <c r="G30" s="1557"/>
      <c r="H30" s="1557"/>
      <c r="I30" s="1557"/>
      <c r="J30" s="1557"/>
      <c r="K30" s="1557"/>
      <c r="L30" s="1557"/>
      <c r="M30" s="1557"/>
      <c r="N30" s="1557"/>
      <c r="O30" s="1557"/>
      <c r="P30" s="1557"/>
      <c r="Q30" s="1557"/>
      <c r="R30" s="1557"/>
      <c r="S30" s="1557">
        <f>+'Learig Valuation'!E10</f>
        <v>0</v>
      </c>
      <c r="T30" s="1557">
        <f>+'Learig Valuation'!E11</f>
        <v>0</v>
      </c>
      <c r="U30" s="1557">
        <f>+'Learig Valuation'!E12</f>
        <v>0</v>
      </c>
      <c r="V30" s="1557">
        <f>+'Learig Valuation'!E13</f>
        <v>0</v>
      </c>
      <c r="W30" s="1557">
        <f>+'Learig Valuation'!E14</f>
        <v>401</v>
      </c>
      <c r="X30" s="1557">
        <f>+'Learig Valuation'!E15</f>
        <v>420</v>
      </c>
      <c r="Y30" s="1557">
        <f>+'Learig Valuation'!E16</f>
        <v>339</v>
      </c>
      <c r="Z30" s="1557">
        <f>+'Learig Valuation'!E17</f>
        <v>340</v>
      </c>
      <c r="AA30" s="1557">
        <f>+'Learig Valuation'!E18</f>
        <v>422</v>
      </c>
      <c r="AB30" s="1557">
        <f>+'Learig Valuation'!E19</f>
        <v>356</v>
      </c>
      <c r="AC30" s="1557">
        <f>+'Learig Valuation'!E20</f>
        <v>342</v>
      </c>
      <c r="AD30" s="1557">
        <f>+'Learig Valuation'!E21</f>
        <v>398</v>
      </c>
      <c r="AE30" s="1557">
        <f>+'Learig Valuation'!E22</f>
        <v>409</v>
      </c>
      <c r="AF30" s="1557">
        <f>+'Learig Valuation'!E23</f>
        <v>350</v>
      </c>
      <c r="AG30" s="1557">
        <f>+'Learig Valuation'!E24</f>
        <v>407</v>
      </c>
      <c r="AH30" s="1557">
        <f>+'Learig Valuation'!E25</f>
        <v>407</v>
      </c>
      <c r="AI30" s="1557">
        <f>+'Learig Valuation'!E26</f>
        <v>418</v>
      </c>
      <c r="AJ30" s="1557">
        <f>+'Learig Valuation'!E27</f>
        <v>414</v>
      </c>
      <c r="AK30" s="1557">
        <f>+'Learig Valuation'!E28</f>
        <v>399</v>
      </c>
      <c r="AL30" s="1557">
        <f>+'Learig Valuation'!E29</f>
        <v>327</v>
      </c>
      <c r="AM30" s="1557">
        <f>+'Learig Valuation'!E30</f>
        <v>324</v>
      </c>
      <c r="AN30" s="1557">
        <f>+'Learig Valuation'!E31</f>
        <v>407</v>
      </c>
      <c r="AO30" s="1695">
        <f>+'Learig Valuation'!E32</f>
        <v>383</v>
      </c>
      <c r="AP30" s="1695">
        <f>+'Learig Valuation'!E33</f>
        <v>0</v>
      </c>
      <c r="AQ30" s="1695">
        <f>+'Learig Valuation'!E34</f>
        <v>0</v>
      </c>
      <c r="AR30" s="1695">
        <f>+'Learig Valuation'!E35</f>
        <v>0</v>
      </c>
      <c r="AS30" s="1557">
        <f>+'Learig Valuation'!E36</f>
        <v>0</v>
      </c>
      <c r="AT30" s="1557">
        <f>+'Learig Valuation'!E37</f>
        <v>0</v>
      </c>
      <c r="AU30" s="1057">
        <f>SUM(S30:AT30)</f>
        <v>7263</v>
      </c>
      <c r="AV30" s="1600">
        <f>SUM('Learig Valuation'!E10:E40)</f>
        <v>7263</v>
      </c>
      <c r="AW30" s="1170"/>
      <c r="AX30" s="142"/>
    </row>
    <row r="31" spans="1:52" s="23" customFormat="1" ht="15">
      <c r="A31" s="1059"/>
      <c r="B31" s="1059"/>
      <c r="C31" s="1059"/>
      <c r="D31" s="1059"/>
      <c r="E31" s="1059"/>
      <c r="F31" s="1059"/>
      <c r="G31" s="1059"/>
      <c r="H31" s="1059"/>
      <c r="I31" s="1059"/>
      <c r="J31" s="1059"/>
      <c r="K31" s="1059"/>
      <c r="L31" s="1059"/>
      <c r="M31" s="1059"/>
      <c r="N31" s="1059"/>
      <c r="O31" s="1059"/>
      <c r="P31" s="1059"/>
      <c r="Q31" s="1059"/>
      <c r="R31" s="1059"/>
      <c r="S31" s="1059">
        <f>+S29-S30</f>
        <v>0</v>
      </c>
      <c r="T31" s="1059">
        <f>+T29-T30</f>
        <v>0</v>
      </c>
      <c r="U31" s="1059">
        <f t="shared" ref="U31:AT31" si="7">+U29-U30</f>
        <v>0</v>
      </c>
      <c r="V31" s="1059">
        <f t="shared" si="7"/>
        <v>0</v>
      </c>
      <c r="W31" s="1059">
        <f t="shared" si="7"/>
        <v>0</v>
      </c>
      <c r="X31" s="1057">
        <f t="shared" si="7"/>
        <v>0</v>
      </c>
      <c r="Y31" s="1057">
        <f t="shared" si="7"/>
        <v>0</v>
      </c>
      <c r="Z31" s="1057">
        <f t="shared" si="7"/>
        <v>0</v>
      </c>
      <c r="AA31" s="1057">
        <f t="shared" si="7"/>
        <v>0</v>
      </c>
      <c r="AB31" s="1057">
        <f t="shared" si="7"/>
        <v>0</v>
      </c>
      <c r="AC31" s="1892">
        <f t="shared" si="7"/>
        <v>0</v>
      </c>
      <c r="AD31" s="1057">
        <f t="shared" si="7"/>
        <v>0</v>
      </c>
      <c r="AE31" s="1057">
        <f t="shared" si="7"/>
        <v>0</v>
      </c>
      <c r="AF31" s="1739">
        <f t="shared" si="7"/>
        <v>0</v>
      </c>
      <c r="AG31" s="1057">
        <f t="shared" si="7"/>
        <v>0</v>
      </c>
      <c r="AH31" s="1057">
        <f t="shared" si="7"/>
        <v>0</v>
      </c>
      <c r="AI31" s="1057">
        <f t="shared" si="7"/>
        <v>0</v>
      </c>
      <c r="AJ31" s="1057">
        <f t="shared" si="7"/>
        <v>0</v>
      </c>
      <c r="AK31" s="1057">
        <f t="shared" si="7"/>
        <v>0</v>
      </c>
      <c r="AL31" s="1057">
        <f t="shared" si="7"/>
        <v>0</v>
      </c>
      <c r="AM31" s="1057">
        <f t="shared" si="7"/>
        <v>0</v>
      </c>
      <c r="AN31" s="1057">
        <f t="shared" si="7"/>
        <v>0</v>
      </c>
      <c r="AO31" s="1057">
        <f t="shared" si="7"/>
        <v>0</v>
      </c>
      <c r="AP31" s="1057">
        <f>+AP29-AP30</f>
        <v>0</v>
      </c>
      <c r="AQ31" s="1057">
        <f t="shared" si="7"/>
        <v>0</v>
      </c>
      <c r="AR31" s="1057">
        <f t="shared" si="7"/>
        <v>0</v>
      </c>
      <c r="AS31" s="1057">
        <f t="shared" si="7"/>
        <v>0</v>
      </c>
      <c r="AT31" s="1057">
        <f t="shared" si="7"/>
        <v>0</v>
      </c>
      <c r="AU31" s="1057">
        <f>SUM(S31:AT31)</f>
        <v>0</v>
      </c>
      <c r="AV31" s="1693">
        <f>SUM('Summary Total Pigs'!AF31:AF33)</f>
        <v>7263</v>
      </c>
      <c r="AW31" s="1691"/>
      <c r="AX31" s="1059"/>
    </row>
    <row r="32" spans="1:52" ht="15.6">
      <c r="A32" s="1066" t="s">
        <v>199</v>
      </c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817"/>
      <c r="AG32" s="817"/>
      <c r="AH32" s="817"/>
      <c r="AI32" s="817"/>
      <c r="AJ32" s="817"/>
      <c r="AK32" s="817"/>
      <c r="AL32" s="817"/>
      <c r="AM32" s="818"/>
      <c r="AN32" s="817"/>
      <c r="AO32" s="817"/>
      <c r="AP32" s="817"/>
      <c r="AQ32" s="817"/>
      <c r="AR32" s="817"/>
      <c r="AS32" s="817"/>
      <c r="AT32" s="817"/>
      <c r="AU32" s="817">
        <f>SUM(S32:AS32)</f>
        <v>0</v>
      </c>
      <c r="AV32" s="817"/>
      <c r="AW32" s="818"/>
      <c r="AX32" s="142"/>
      <c r="AZ32" s="74"/>
    </row>
    <row r="33" spans="1:51" ht="15">
      <c r="A33" s="142" t="s">
        <v>1803</v>
      </c>
      <c r="B33" s="818"/>
      <c r="C33" s="818"/>
      <c r="D33" s="818"/>
      <c r="E33" s="818">
        <v>0</v>
      </c>
      <c r="F33" s="818">
        <f>'[2]Learig Pig Cost'!B62</f>
        <v>0</v>
      </c>
      <c r="G33" s="818">
        <f>'[2]Learig Pig Cost'!C62</f>
        <v>0</v>
      </c>
      <c r="H33" s="818">
        <f>'[2]Learig Pig Cost'!D62</f>
        <v>0</v>
      </c>
      <c r="I33" s="818">
        <f>'[2]Learig Pig Cost'!E62</f>
        <v>0</v>
      </c>
      <c r="J33" s="818">
        <f>'[2]Learig Pig Cost'!F62</f>
        <v>0</v>
      </c>
      <c r="K33" s="818">
        <f>'[2]Learig Pig Cost'!G62</f>
        <v>0</v>
      </c>
      <c r="L33" s="818">
        <f>'[2]Learig Pig Cost'!H62</f>
        <v>0</v>
      </c>
      <c r="M33" s="818">
        <f>'[2]Learig Pig Cost'!I62</f>
        <v>0</v>
      </c>
      <c r="N33" s="818">
        <f>'[2]Learig Pig Cost'!J62</f>
        <v>0</v>
      </c>
      <c r="O33" s="818">
        <f>'[2]Learig Pig Cost'!K62</f>
        <v>0</v>
      </c>
      <c r="P33" s="818">
        <f>'[2]Learig Pig Cost'!L62</f>
        <v>0</v>
      </c>
      <c r="Q33" s="818">
        <f>'[2]Learig Pig Cost'!M62</f>
        <v>0</v>
      </c>
      <c r="R33" s="818">
        <f>'[2]Learig Pig Cost'!N62</f>
        <v>0</v>
      </c>
      <c r="S33" s="818">
        <f>'[2]Learig Pig Cost'!O62</f>
        <v>0</v>
      </c>
      <c r="T33" s="818">
        <f>'[2]Learig Pig Cost'!P62</f>
        <v>0</v>
      </c>
      <c r="U33" s="818">
        <f>'[2]Learig Pig Cost'!Q62</f>
        <v>0</v>
      </c>
      <c r="V33" s="818">
        <f>'[2]Learig Pig Cost'!R62</f>
        <v>0</v>
      </c>
      <c r="W33" s="818">
        <f>'[2]Learig Pig Cost'!S62</f>
        <v>0</v>
      </c>
      <c r="X33" s="818">
        <f>'[2]Learig Pig Cost'!T62</f>
        <v>0</v>
      </c>
      <c r="Y33" s="818">
        <f>'[2]Learig Pig Cost'!U62</f>
        <v>0</v>
      </c>
      <c r="Z33" s="818">
        <f>'[2]Learig Pig Cost'!V62</f>
        <v>0</v>
      </c>
      <c r="AA33" s="818">
        <f>'[2]Learig Pig Cost'!W62</f>
        <v>20717.376150601285</v>
      </c>
      <c r="AB33" s="818">
        <f>'[2]Learig Pig Cost'!X62</f>
        <v>28350.524256106055</v>
      </c>
      <c r="AC33" s="818">
        <f>'[2]Learig Pig Cost'!Y62</f>
        <v>35964.593331697062</v>
      </c>
      <c r="AD33" s="818">
        <f>'[2]Learig Pig Cost'!Z62</f>
        <v>35704.594456268831</v>
      </c>
      <c r="AE33" s="818">
        <f>'[2]Learig Pig Cost'!AA62</f>
        <v>39232.523542033647</v>
      </c>
      <c r="AF33" s="818">
        <f>'[2]Learig Pig Cost'!AB62</f>
        <v>40044.079452592348</v>
      </c>
      <c r="AG33" s="818">
        <f>'[2]Learig Pig Cost'!AC62</f>
        <v>56546.490850901791</v>
      </c>
      <c r="AH33" s="818">
        <f>'[2]Learig Pig Cost'!AD62</f>
        <v>66523.207490817964</v>
      </c>
      <c r="AI33" s="818">
        <f>'[2]Learig Pig Cost'!AE62</f>
        <v>65941.65860276969</v>
      </c>
      <c r="AJ33" s="818">
        <f>'[2]Learig Pig Cost'!AF62</f>
        <v>70424.588628810117</v>
      </c>
      <c r="AK33" s="818">
        <f>'[2]Learig Pig Cost'!AG62</f>
        <v>81357.634307193643</v>
      </c>
      <c r="AL33" s="818">
        <f>'[2]Learig Pig Cost'!AH62</f>
        <v>110423.11068994246</v>
      </c>
      <c r="AM33" s="818">
        <f>'[2]Learig Pig Cost'!AI62</f>
        <v>108477.26714852818</v>
      </c>
      <c r="AN33" s="818">
        <f>'[2]Learig Pig Cost'!AJ62</f>
        <v>102176.72018541936</v>
      </c>
      <c r="AO33" s="818">
        <f>'[2]Learig Pig Cost'!AK62</f>
        <v>100152.27348336639</v>
      </c>
      <c r="AP33" s="818">
        <f>'[2]Learig Pig Cost'!AL62</f>
        <v>102281.97009406786</v>
      </c>
      <c r="AQ33" s="818">
        <f>'[2]Learig Pig Cost'!AM62</f>
        <v>144193.37104089884</v>
      </c>
      <c r="AR33" s="818">
        <f>'[2]Learig Pig Cost'!AN62</f>
        <v>162116.99463299467</v>
      </c>
      <c r="AS33" s="818">
        <f>'[2]Learig Pig Cost'!AO62</f>
        <v>97555.418827264744</v>
      </c>
      <c r="AT33" s="818">
        <f>'[2]Learig Pig Cost'!AP62</f>
        <v>0</v>
      </c>
      <c r="AU33" s="1057">
        <f>SUM(B33:AT33)</f>
        <v>1468184.3971722752</v>
      </c>
      <c r="AV33" s="818">
        <f>'[2]Learig Pig Cost'!AU62</f>
        <v>1468184.3971722752</v>
      </c>
      <c r="AW33" s="1170">
        <f>+AU33-AV33</f>
        <v>0</v>
      </c>
      <c r="AX33" s="142"/>
      <c r="AY33" s="621"/>
    </row>
    <row r="34" spans="1:51" ht="15.6">
      <c r="A34" s="1066" t="s">
        <v>212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817"/>
      <c r="T34" s="817"/>
      <c r="U34" s="817"/>
      <c r="V34" s="817"/>
      <c r="W34" s="817"/>
      <c r="X34" s="1101">
        <f>-Y35</f>
        <v>0</v>
      </c>
      <c r="Y34" s="1101">
        <f>-X35</f>
        <v>0</v>
      </c>
      <c r="Z34" s="817"/>
      <c r="AA34" s="817"/>
      <c r="AB34" s="817">
        <f>-AC35</f>
        <v>0</v>
      </c>
      <c r="AC34" s="817">
        <f>-AB35</f>
        <v>0</v>
      </c>
      <c r="AD34" s="817"/>
      <c r="AE34" s="817"/>
      <c r="AF34" s="817"/>
      <c r="AG34" s="817"/>
      <c r="AH34" s="817"/>
      <c r="AI34" s="817"/>
      <c r="AJ34" s="817"/>
      <c r="AK34" s="817">
        <f>-AO35</f>
        <v>0</v>
      </c>
      <c r="AL34" s="817"/>
      <c r="AM34" s="817"/>
      <c r="AN34" s="817">
        <v>0</v>
      </c>
      <c r="AO34" s="818">
        <f>-AT35</f>
        <v>0</v>
      </c>
      <c r="AP34" s="812">
        <f>-AS35</f>
        <v>5905.2916965656632</v>
      </c>
      <c r="AQ34" s="818"/>
      <c r="AR34" s="142"/>
      <c r="AS34" s="142"/>
      <c r="AT34" s="142"/>
      <c r="AU34" s="807">
        <f>SUM(B34:AT34)</f>
        <v>5905.2916965656632</v>
      </c>
      <c r="AV34" s="817"/>
      <c r="AW34" s="142"/>
      <c r="AX34" s="818"/>
      <c r="AY34" s="23">
        <f>AU33/AU7</f>
        <v>200.70873508848601</v>
      </c>
    </row>
    <row r="35" spans="1:51" ht="15.6">
      <c r="A35" s="1066" t="s">
        <v>1788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817"/>
      <c r="T35" s="817"/>
      <c r="U35" s="817"/>
      <c r="V35" s="817"/>
      <c r="W35" s="817"/>
      <c r="X35" s="1101">
        <v>0</v>
      </c>
      <c r="Y35" s="1101">
        <f>+IFERROR(Y33/Y8*Y10,0)</f>
        <v>0</v>
      </c>
      <c r="Z35" s="817"/>
      <c r="AA35" s="817"/>
      <c r="AB35" s="817">
        <v>0</v>
      </c>
      <c r="AC35" s="817">
        <f>+IFERROR(AC10/AC7*AC33,0)</f>
        <v>0</v>
      </c>
      <c r="AD35" s="817"/>
      <c r="AE35" s="817"/>
      <c r="AF35" s="817"/>
      <c r="AG35" s="817"/>
      <c r="AH35" s="817"/>
      <c r="AI35" s="817"/>
      <c r="AJ35" s="817"/>
      <c r="AK35" s="817"/>
      <c r="AL35" s="817"/>
      <c r="AM35" s="817"/>
      <c r="AN35" s="817"/>
      <c r="AO35" s="818">
        <f>(AO33/AO7)*AO10</f>
        <v>0</v>
      </c>
      <c r="AP35" s="142"/>
      <c r="AQ35" s="142"/>
      <c r="AR35" s="1605">
        <f>AR33/AR7*AR10</f>
        <v>0</v>
      </c>
      <c r="AS35" s="812">
        <f>IFERROR(AS33/AS7*AS10,0)</f>
        <v>-5905.2916965656632</v>
      </c>
      <c r="AT35" s="1059">
        <f>IFERROR((AT33/AT7)*AT10,)</f>
        <v>0</v>
      </c>
      <c r="AU35" s="807">
        <f>SUM(B35:AT35)</f>
        <v>-5905.2916965656632</v>
      </c>
      <c r="AV35" s="817"/>
      <c r="AW35" s="142"/>
      <c r="AX35" s="818"/>
      <c r="AY35" s="23">
        <f>AU62/AU30</f>
        <v>197.14334411080478</v>
      </c>
    </row>
    <row r="36" spans="1:51" ht="15">
      <c r="A36" s="1059" t="s">
        <v>1804</v>
      </c>
      <c r="B36" s="818">
        <f>IFERROR(SUM(B33:B35),0)</f>
        <v>0</v>
      </c>
      <c r="C36" s="818">
        <f t="shared" ref="C36:AT36" si="8">IFERROR(SUM(C33:C35),0)</f>
        <v>0</v>
      </c>
      <c r="D36" s="818">
        <f t="shared" si="8"/>
        <v>0</v>
      </c>
      <c r="E36" s="818">
        <f t="shared" si="8"/>
        <v>0</v>
      </c>
      <c r="F36" s="818">
        <f t="shared" si="8"/>
        <v>0</v>
      </c>
      <c r="G36" s="818">
        <f t="shared" si="8"/>
        <v>0</v>
      </c>
      <c r="H36" s="818">
        <f t="shared" si="8"/>
        <v>0</v>
      </c>
      <c r="I36" s="818">
        <f t="shared" si="8"/>
        <v>0</v>
      </c>
      <c r="J36" s="818">
        <f t="shared" si="8"/>
        <v>0</v>
      </c>
      <c r="K36" s="818">
        <f t="shared" si="8"/>
        <v>0</v>
      </c>
      <c r="L36" s="818">
        <f t="shared" si="8"/>
        <v>0</v>
      </c>
      <c r="M36" s="818">
        <f t="shared" si="8"/>
        <v>0</v>
      </c>
      <c r="N36" s="818">
        <f t="shared" si="8"/>
        <v>0</v>
      </c>
      <c r="O36" s="818">
        <f t="shared" si="8"/>
        <v>0</v>
      </c>
      <c r="P36" s="818">
        <f t="shared" si="8"/>
        <v>0</v>
      </c>
      <c r="Q36" s="818">
        <f t="shared" si="8"/>
        <v>0</v>
      </c>
      <c r="R36" s="818">
        <f t="shared" si="8"/>
        <v>0</v>
      </c>
      <c r="S36" s="818">
        <f t="shared" si="8"/>
        <v>0</v>
      </c>
      <c r="T36" s="818">
        <f t="shared" si="8"/>
        <v>0</v>
      </c>
      <c r="U36" s="818">
        <f t="shared" si="8"/>
        <v>0</v>
      </c>
      <c r="V36" s="818">
        <f t="shared" si="8"/>
        <v>0</v>
      </c>
      <c r="W36" s="818">
        <f t="shared" si="8"/>
        <v>0</v>
      </c>
      <c r="X36" s="818">
        <f t="shared" si="8"/>
        <v>0</v>
      </c>
      <c r="Y36" s="818">
        <f t="shared" si="8"/>
        <v>0</v>
      </c>
      <c r="Z36" s="818">
        <f t="shared" si="8"/>
        <v>0</v>
      </c>
      <c r="AA36" s="818">
        <f t="shared" si="8"/>
        <v>20717.376150601285</v>
      </c>
      <c r="AB36" s="818">
        <f t="shared" si="8"/>
        <v>28350.524256106055</v>
      </c>
      <c r="AC36" s="818">
        <f t="shared" si="8"/>
        <v>35964.593331697062</v>
      </c>
      <c r="AD36" s="818">
        <f t="shared" si="8"/>
        <v>35704.594456268831</v>
      </c>
      <c r="AE36" s="818">
        <f t="shared" si="8"/>
        <v>39232.523542033647</v>
      </c>
      <c r="AF36" s="818">
        <f t="shared" si="8"/>
        <v>40044.079452592348</v>
      </c>
      <c r="AG36" s="818">
        <f t="shared" si="8"/>
        <v>56546.490850901791</v>
      </c>
      <c r="AH36" s="818">
        <f t="shared" si="8"/>
        <v>66523.207490817964</v>
      </c>
      <c r="AI36" s="818">
        <f t="shared" si="8"/>
        <v>65941.65860276969</v>
      </c>
      <c r="AJ36" s="818">
        <f t="shared" si="8"/>
        <v>70424.588628810117</v>
      </c>
      <c r="AK36" s="818">
        <f t="shared" si="8"/>
        <v>81357.634307193643</v>
      </c>
      <c r="AL36" s="818">
        <f t="shared" si="8"/>
        <v>110423.11068994246</v>
      </c>
      <c r="AM36" s="818">
        <f t="shared" si="8"/>
        <v>108477.26714852818</v>
      </c>
      <c r="AN36" s="818">
        <f t="shared" si="8"/>
        <v>102176.72018541936</v>
      </c>
      <c r="AO36" s="818">
        <f>IFERROR(SUM(AO33:AO35),0)</f>
        <v>100152.27348336639</v>
      </c>
      <c r="AP36" s="818">
        <f t="shared" si="8"/>
        <v>108187.26179063352</v>
      </c>
      <c r="AQ36" s="818">
        <f t="shared" si="8"/>
        <v>144193.37104089884</v>
      </c>
      <c r="AR36" s="818">
        <f t="shared" si="8"/>
        <v>162116.99463299467</v>
      </c>
      <c r="AS36" s="818">
        <f t="shared" si="8"/>
        <v>91650.127130699082</v>
      </c>
      <c r="AT36" s="818">
        <f t="shared" si="8"/>
        <v>0</v>
      </c>
      <c r="AU36" s="818">
        <f>IFERROR(SUM(AU33:AU35),0)</f>
        <v>1468184.3971722752</v>
      </c>
      <c r="AV36" s="817"/>
      <c r="AW36" s="1170"/>
      <c r="AX36" s="142"/>
      <c r="AY36" s="621">
        <f>AY35-AY34</f>
        <v>-3.5653909776812327</v>
      </c>
    </row>
    <row r="37" spans="1:51" ht="15">
      <c r="A37" s="1059" t="s">
        <v>1805</v>
      </c>
      <c r="B37" s="818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>
        <f>IFERROR(S36/S11,0)</f>
        <v>0</v>
      </c>
      <c r="T37" s="818">
        <f t="shared" ref="T37:AU37" si="9">IFERROR(T36/T11,0)</f>
        <v>0</v>
      </c>
      <c r="U37" s="818">
        <f t="shared" si="9"/>
        <v>0</v>
      </c>
      <c r="V37" s="818">
        <f t="shared" si="9"/>
        <v>0</v>
      </c>
      <c r="W37" s="818">
        <f t="shared" si="9"/>
        <v>0</v>
      </c>
      <c r="X37" s="818">
        <f t="shared" si="9"/>
        <v>0</v>
      </c>
      <c r="Y37" s="818">
        <f>IFERROR(Y36/Y11,0)</f>
        <v>0</v>
      </c>
      <c r="Z37" s="818">
        <f t="shared" si="9"/>
        <v>0</v>
      </c>
      <c r="AA37" s="818">
        <f t="shared" si="9"/>
        <v>48.746767413179498</v>
      </c>
      <c r="AB37" s="818">
        <f>IFERROR(AB36/AB11,0)</f>
        <v>78.970819654891514</v>
      </c>
      <c r="AC37" s="818">
        <f t="shared" si="9"/>
        <v>105.77821568146194</v>
      </c>
      <c r="AD37" s="818">
        <f t="shared" si="9"/>
        <v>88.597008576349452</v>
      </c>
      <c r="AE37" s="818">
        <f t="shared" si="9"/>
        <v>95.224571703965168</v>
      </c>
      <c r="AF37" s="818">
        <f t="shared" si="9"/>
        <v>112.48336924885491</v>
      </c>
      <c r="AG37" s="818">
        <f t="shared" si="9"/>
        <v>135.60309556571173</v>
      </c>
      <c r="AH37" s="818">
        <f t="shared" si="9"/>
        <v>161.8569525324038</v>
      </c>
      <c r="AI37" s="818">
        <f t="shared" si="9"/>
        <v>156.63101805883537</v>
      </c>
      <c r="AJ37" s="818">
        <f t="shared" si="9"/>
        <v>168.07777715706473</v>
      </c>
      <c r="AK37" s="818">
        <f t="shared" si="9"/>
        <v>202.88686859649286</v>
      </c>
      <c r="AL37" s="818">
        <f t="shared" si="9"/>
        <v>334.61548693921958</v>
      </c>
      <c r="AM37" s="818">
        <f t="shared" si="9"/>
        <v>333.77620661085592</v>
      </c>
      <c r="AN37" s="818">
        <f t="shared" si="9"/>
        <v>250.43313770936118</v>
      </c>
      <c r="AO37" s="818">
        <f>IFERROR(AO36/AO11,0)</f>
        <v>254.84039054291702</v>
      </c>
      <c r="AP37" s="818">
        <f t="shared" si="9"/>
        <v>312.67994737177321</v>
      </c>
      <c r="AQ37" s="818">
        <f t="shared" si="9"/>
        <v>397.22691746804088</v>
      </c>
      <c r="AR37" s="818">
        <f t="shared" si="9"/>
        <v>407.3291322437052</v>
      </c>
      <c r="AS37" s="818">
        <f t="shared" si="9"/>
        <v>236.21166786262651</v>
      </c>
      <c r="AT37" s="818">
        <f t="shared" si="9"/>
        <v>0</v>
      </c>
      <c r="AU37" s="818">
        <f t="shared" si="9"/>
        <v>200.70873508848601</v>
      </c>
      <c r="AV37" s="817"/>
      <c r="AW37" s="1170"/>
      <c r="AX37" s="142"/>
      <c r="AY37" s="1188">
        <f>AY35/AY34-1</f>
        <v>-1.7764005020057372E-2</v>
      </c>
    </row>
    <row r="38" spans="1:51" ht="15">
      <c r="A38" s="142"/>
      <c r="B38" s="818"/>
      <c r="C38" s="818"/>
      <c r="D38" s="818"/>
      <c r="E38" s="818"/>
      <c r="F38" s="818"/>
      <c r="G38" s="818"/>
      <c r="H38" s="818"/>
      <c r="I38" s="818"/>
      <c r="J38" s="818"/>
      <c r="K38" s="818"/>
      <c r="L38" s="818"/>
      <c r="M38" s="818"/>
      <c r="N38" s="818"/>
      <c r="O38" s="818"/>
      <c r="P38" s="818"/>
      <c r="Q38" s="818"/>
      <c r="R38" s="818"/>
      <c r="S38" s="818"/>
      <c r="T38" s="818"/>
      <c r="U38" s="818"/>
      <c r="V38" s="818"/>
      <c r="W38" s="818"/>
      <c r="X38" s="818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  <c r="AI38" s="818"/>
      <c r="AJ38" s="818"/>
      <c r="AK38" s="818"/>
      <c r="AL38" s="818"/>
      <c r="AM38" s="818"/>
      <c r="AN38" s="818"/>
      <c r="AO38" s="818"/>
      <c r="AP38" s="818"/>
      <c r="AQ38" s="818"/>
      <c r="AR38" s="818"/>
      <c r="AS38" s="818"/>
      <c r="AT38" s="818"/>
      <c r="AU38" s="1057"/>
      <c r="AV38" s="817"/>
      <c r="AW38" s="1170"/>
      <c r="AX38" s="142"/>
      <c r="AY38" s="621"/>
    </row>
    <row r="39" spans="1:51" ht="15.6">
      <c r="A39" s="1687" t="s">
        <v>1806</v>
      </c>
      <c r="B39" s="1318">
        <f>IFERROR(B36+SUM(B45:B56),0)</f>
        <v>0</v>
      </c>
      <c r="C39" s="1318">
        <f t="shared" ref="C39:AU39" si="10">IFERROR(C36+SUM(C45:C56),0)</f>
        <v>0</v>
      </c>
      <c r="D39" s="1318">
        <f t="shared" si="10"/>
        <v>0</v>
      </c>
      <c r="E39" s="1318">
        <f t="shared" si="10"/>
        <v>0</v>
      </c>
      <c r="F39" s="1318">
        <f t="shared" si="10"/>
        <v>0</v>
      </c>
      <c r="G39" s="1318">
        <f t="shared" si="10"/>
        <v>0</v>
      </c>
      <c r="H39" s="1318">
        <f t="shared" si="10"/>
        <v>0</v>
      </c>
      <c r="I39" s="1318">
        <f t="shared" si="10"/>
        <v>0</v>
      </c>
      <c r="J39" s="1318">
        <f t="shared" si="10"/>
        <v>0</v>
      </c>
      <c r="K39" s="1318">
        <f t="shared" si="10"/>
        <v>0</v>
      </c>
      <c r="L39" s="1318">
        <f t="shared" si="10"/>
        <v>0</v>
      </c>
      <c r="M39" s="1318">
        <f t="shared" si="10"/>
        <v>0</v>
      </c>
      <c r="N39" s="1318">
        <f t="shared" si="10"/>
        <v>0</v>
      </c>
      <c r="O39" s="1318">
        <f t="shared" si="10"/>
        <v>0</v>
      </c>
      <c r="P39" s="1318">
        <f t="shared" si="10"/>
        <v>0</v>
      </c>
      <c r="Q39" s="1318">
        <f t="shared" si="10"/>
        <v>0</v>
      </c>
      <c r="R39" s="1318">
        <f>IFERROR(R36+SUM(R45:R56),0)</f>
        <v>0</v>
      </c>
      <c r="S39" s="1317">
        <f t="shared" si="10"/>
        <v>0</v>
      </c>
      <c r="T39" s="1317">
        <f t="shared" si="10"/>
        <v>0</v>
      </c>
      <c r="U39" s="1317">
        <f t="shared" si="10"/>
        <v>0</v>
      </c>
      <c r="V39" s="1319">
        <f t="shared" si="10"/>
        <v>0</v>
      </c>
      <c r="W39" s="1319">
        <f t="shared" si="10"/>
        <v>12721.155615094774</v>
      </c>
      <c r="X39" s="1509">
        <f>IFERROR(X36+SUM(X45:X56),0)</f>
        <v>19691.971100392791</v>
      </c>
      <c r="Y39" s="1509">
        <f>IFERROR(Y36+SUM(Y45:Y56),0)</f>
        <v>18541.334998300354</v>
      </c>
      <c r="Z39" s="1677">
        <f>IFERROR(Z36+SUM(Z45:Z56),0)</f>
        <v>16397.480089281416</v>
      </c>
      <c r="AA39" s="1677">
        <f t="shared" si="10"/>
        <v>20619.882615774924</v>
      </c>
      <c r="AB39" s="1677">
        <f t="shared" si="10"/>
        <v>28271.553436451162</v>
      </c>
      <c r="AC39" s="1677">
        <f t="shared" si="10"/>
        <v>36176.149763059984</v>
      </c>
      <c r="AD39" s="1678">
        <f t="shared" si="10"/>
        <v>35615.997447692484</v>
      </c>
      <c r="AE39" s="1678">
        <f t="shared" si="10"/>
        <v>39137.298970329684</v>
      </c>
      <c r="AF39" s="1679">
        <f t="shared" si="10"/>
        <v>39819.112714094641</v>
      </c>
      <c r="AG39" s="1679">
        <f t="shared" si="10"/>
        <v>56139.681564204657</v>
      </c>
      <c r="AH39" s="1680">
        <f t="shared" si="10"/>
        <v>66361.350538285566</v>
      </c>
      <c r="AI39" s="1680">
        <f t="shared" si="10"/>
        <v>65628.396566652023</v>
      </c>
      <c r="AJ39" s="1681">
        <f t="shared" si="10"/>
        <v>70256.510851653045</v>
      </c>
      <c r="AK39" s="1681">
        <f t="shared" si="10"/>
        <v>81154.747438597144</v>
      </c>
      <c r="AL39" s="1681">
        <f t="shared" si="10"/>
        <v>109419.2642291248</v>
      </c>
      <c r="AM39" s="1681">
        <f>IFERROR(AM36+SUM(AM45:AM56),0)</f>
        <v>108143.49094191732</v>
      </c>
      <c r="AN39" s="1681">
        <f t="shared" si="10"/>
        <v>102176.72018541936</v>
      </c>
      <c r="AO39" s="818">
        <f>IFERROR(AO36+SUM(AO45:AO56),0)</f>
        <v>104519.27230379474</v>
      </c>
      <c r="AP39" s="818">
        <f t="shared" si="10"/>
        <v>107874.58184326175</v>
      </c>
      <c r="AQ39" s="818">
        <f t="shared" si="10"/>
        <v>144193.37104089884</v>
      </c>
      <c r="AR39" s="818">
        <f t="shared" si="10"/>
        <v>162116.99463299467</v>
      </c>
      <c r="AS39" s="818">
        <f t="shared" si="10"/>
        <v>91650.127130699082</v>
      </c>
      <c r="AT39" s="818">
        <f t="shared" si="10"/>
        <v>0</v>
      </c>
      <c r="AU39" s="807">
        <f t="shared" si="10"/>
        <v>1536626.4460179755</v>
      </c>
      <c r="AV39" s="817"/>
      <c r="AW39" s="1170"/>
      <c r="AX39" s="142"/>
      <c r="AY39" s="621"/>
    </row>
    <row r="40" spans="1:51" ht="15.6">
      <c r="A40" s="1066" t="s">
        <v>1807</v>
      </c>
      <c r="B40" s="1318">
        <f>+$B$68*B76</f>
        <v>0</v>
      </c>
      <c r="C40" s="1318">
        <f t="shared" ref="C40:R40" si="11">+$B$68*C76</f>
        <v>0</v>
      </c>
      <c r="D40" s="1318">
        <f t="shared" si="11"/>
        <v>0</v>
      </c>
      <c r="E40" s="1318">
        <f t="shared" si="11"/>
        <v>0</v>
      </c>
      <c r="F40" s="1318">
        <f t="shared" si="11"/>
        <v>0</v>
      </c>
      <c r="G40" s="1318">
        <f t="shared" si="11"/>
        <v>0</v>
      </c>
      <c r="H40" s="1318">
        <f t="shared" si="11"/>
        <v>0</v>
      </c>
      <c r="I40" s="1318">
        <f t="shared" si="11"/>
        <v>0</v>
      </c>
      <c r="J40" s="1318">
        <f t="shared" si="11"/>
        <v>0</v>
      </c>
      <c r="K40" s="1318">
        <f t="shared" si="11"/>
        <v>0</v>
      </c>
      <c r="L40" s="1318">
        <f t="shared" si="11"/>
        <v>0</v>
      </c>
      <c r="M40" s="1318">
        <f t="shared" si="11"/>
        <v>0</v>
      </c>
      <c r="N40" s="1318">
        <f t="shared" si="11"/>
        <v>0</v>
      </c>
      <c r="O40" s="1318">
        <f t="shared" si="11"/>
        <v>0</v>
      </c>
      <c r="P40" s="1318">
        <f t="shared" si="11"/>
        <v>0</v>
      </c>
      <c r="Q40" s="1318">
        <f t="shared" si="11"/>
        <v>0</v>
      </c>
      <c r="R40" s="1318">
        <f t="shared" si="11"/>
        <v>0</v>
      </c>
      <c r="S40" s="1317">
        <f>S76*$D$68</f>
        <v>0</v>
      </c>
      <c r="T40" s="1317">
        <f>+T76*$D$68</f>
        <v>0</v>
      </c>
      <c r="U40" s="1317">
        <f>+U76*$D$68</f>
        <v>0</v>
      </c>
      <c r="V40" s="1319">
        <f>+V76*'Feed Cost &amp; Allocation'!B77</f>
        <v>0</v>
      </c>
      <c r="W40" s="1319">
        <f>'Feed Cost &amp; Allocation'!Y77+'Feed Cost &amp; Allocation'!Z77+'Feed Cost &amp; Allocation'!AG77</f>
        <v>5542</v>
      </c>
      <c r="X40" s="1509">
        <f>X76*F68</f>
        <v>10223.274912828041</v>
      </c>
      <c r="Y40" s="1509">
        <f>Y76*F68</f>
        <v>11751.725087171959</v>
      </c>
      <c r="Z40" s="1677">
        <f>Z76*('Feed Cost &amp; Allocation'!$D$77+'Feed Cost &amp; Allocation'!E77)</f>
        <v>11209.936124499158</v>
      </c>
      <c r="AA40" s="1677">
        <f>AA76*('Feed Cost &amp; Allocation'!$D$77+'Feed Cost &amp; Allocation'!E77)</f>
        <v>14245.320655014229</v>
      </c>
      <c r="AB40" s="1677">
        <f>AB76*('Feed Cost &amp; Allocation'!$D$77+'Feed Cost &amp; Allocation'!E77)</f>
        <v>15407.263805818475</v>
      </c>
      <c r="AC40" s="1677">
        <f>AC76*('Feed Cost &amp; Allocation'!$D$77+'Feed Cost &amp; Allocation'!E77)</f>
        <v>17903.479414668134</v>
      </c>
      <c r="AD40" s="2052">
        <f>IFERROR((AD7/(AD7+AE7))*'Feed Cost &amp; Allocation'!F77,0)</f>
        <v>25642.667484662576</v>
      </c>
      <c r="AE40" s="2052">
        <f>IFERROR((AE7/(AE7+AD7))*'Feed Cost &amp; Allocation'!F77,0)</f>
        <v>26215.332515337421</v>
      </c>
      <c r="AF40" s="2053">
        <f>IFERROR(AF7/(AF7+AG7)*'Feed Cost &amp; Allocation'!G77,0)</f>
        <v>23995.689521345405</v>
      </c>
      <c r="AG40" s="2053">
        <f>IFERROR(AG7/(AF7+AG7)*'Feed Cost &amp; Allocation'!G77,0)</f>
        <v>28107.310478654592</v>
      </c>
      <c r="AH40" s="2054">
        <f>IFERROR(AH7/(AH7+AI7)*'Feed Cost &amp; Allocation'!H77,0)</f>
        <v>41895.818509615383</v>
      </c>
      <c r="AI40" s="2054">
        <f>IFERROR(AI7/(AH7+AI7)*'Feed Cost &amp; Allocation'!H77,0)</f>
        <v>42915.181490384617</v>
      </c>
      <c r="AJ40" s="1681">
        <f>AJ30/SUM($AJ$30:$AN$30)*('Feed Cost &amp; Allocation'!$J$77+'Feed Cost &amp; Allocation'!$AF$77)</f>
        <v>30808.8134687333</v>
      </c>
      <c r="AK40" s="1681">
        <f>AK30/SUM($AJ$30:$AN$30)*('Feed Cost &amp; Allocation'!$J$77+'Feed Cost &amp; Allocation'!$AF$77)</f>
        <v>29692.552111170498</v>
      </c>
      <c r="AL40" s="1681">
        <f>AL30/SUM($AJ$30:$AN$30)*('Feed Cost &amp; Allocation'!$J$77+'Feed Cost &amp; Allocation'!$AF$77)</f>
        <v>24334.497594869055</v>
      </c>
      <c r="AM40" s="1681">
        <f>AM30/SUM($AJ$30:$AN$30)*('Feed Cost &amp; Allocation'!$J$77+'Feed Cost &amp; Allocation'!$AF$77)</f>
        <v>24111.245323356496</v>
      </c>
      <c r="AN40" s="1681">
        <f>AN30/SUM($AJ$30:$AN$30)*('Feed Cost &amp; Allocation'!$J$77+'Feed Cost &amp; Allocation'!$AF$77)</f>
        <v>30287.891501870658</v>
      </c>
      <c r="AO40" s="818"/>
      <c r="AP40" s="818"/>
      <c r="AQ40" s="818"/>
      <c r="AR40" s="818"/>
      <c r="AS40" s="818"/>
      <c r="AT40" s="818"/>
      <c r="AU40" s="807">
        <f>SUM(B40:AT40)</f>
        <v>414289.99999999994</v>
      </c>
      <c r="AV40" s="1671">
        <f>+AU40-'Feed Cost &amp; Allocation'!AY77+'Feed Cost &amp; Allocation'!R77+'Feed Cost &amp; Allocation'!Q77+'Feed Cost &amp; Allocation'!P77-F67</f>
        <v>-5.8207660913467407E-11</v>
      </c>
      <c r="AW40" s="1088">
        <f>+'Feed Cost &amp; Allocation'!P77+'Feed Cost &amp; Allocation'!Q77+'Feed Cost &amp; Allocation'!R77-'Learig Pig Cost'!F67</f>
        <v>0</v>
      </c>
      <c r="AX40" s="818"/>
    </row>
    <row r="41" spans="1:51" ht="15.6">
      <c r="A41" s="1790" t="s">
        <v>1808</v>
      </c>
      <c r="B41" s="1318">
        <f>IFERROR(SUM(B39:B40),0)</f>
        <v>0</v>
      </c>
      <c r="C41" s="1318">
        <f t="shared" ref="C41:AU41" si="12">IFERROR(SUM(C39:C40),0)</f>
        <v>0</v>
      </c>
      <c r="D41" s="1318">
        <f t="shared" si="12"/>
        <v>0</v>
      </c>
      <c r="E41" s="1318">
        <f t="shared" si="12"/>
        <v>0</v>
      </c>
      <c r="F41" s="1318">
        <f t="shared" si="12"/>
        <v>0</v>
      </c>
      <c r="G41" s="1318">
        <f t="shared" si="12"/>
        <v>0</v>
      </c>
      <c r="H41" s="1318">
        <f t="shared" si="12"/>
        <v>0</v>
      </c>
      <c r="I41" s="1318">
        <f t="shared" si="12"/>
        <v>0</v>
      </c>
      <c r="J41" s="1318">
        <f t="shared" si="12"/>
        <v>0</v>
      </c>
      <c r="K41" s="1318">
        <f t="shared" si="12"/>
        <v>0</v>
      </c>
      <c r="L41" s="1318">
        <f t="shared" si="12"/>
        <v>0</v>
      </c>
      <c r="M41" s="1318">
        <f t="shared" si="12"/>
        <v>0</v>
      </c>
      <c r="N41" s="1318">
        <f t="shared" si="12"/>
        <v>0</v>
      </c>
      <c r="O41" s="1318">
        <f t="shared" si="12"/>
        <v>0</v>
      </c>
      <c r="P41" s="1318">
        <f t="shared" si="12"/>
        <v>0</v>
      </c>
      <c r="Q41" s="1318">
        <f t="shared" si="12"/>
        <v>0</v>
      </c>
      <c r="R41" s="1318">
        <f>IFERROR(SUM(R39:R40),0)</f>
        <v>0</v>
      </c>
      <c r="S41" s="1317">
        <f t="shared" si="12"/>
        <v>0</v>
      </c>
      <c r="T41" s="1317">
        <f t="shared" si="12"/>
        <v>0</v>
      </c>
      <c r="U41" s="1317">
        <f t="shared" si="12"/>
        <v>0</v>
      </c>
      <c r="V41" s="1319">
        <f t="shared" si="12"/>
        <v>0</v>
      </c>
      <c r="W41" s="1319">
        <f>IFERROR(SUM(W39:W40),0)</f>
        <v>18263.155615094773</v>
      </c>
      <c r="X41" s="1509">
        <f>IFERROR(SUM(X39:X40),0)</f>
        <v>29915.246013220833</v>
      </c>
      <c r="Y41" s="1509">
        <f t="shared" si="12"/>
        <v>30293.060085472312</v>
      </c>
      <c r="Z41" s="1677">
        <f t="shared" si="12"/>
        <v>27607.416213780576</v>
      </c>
      <c r="AA41" s="1677">
        <f t="shared" si="12"/>
        <v>34865.203270789156</v>
      </c>
      <c r="AB41" s="1677">
        <f t="shared" si="12"/>
        <v>43678.817242269637</v>
      </c>
      <c r="AC41" s="1677">
        <f t="shared" si="12"/>
        <v>54079.629177728115</v>
      </c>
      <c r="AD41" s="1678">
        <f>IFERROR(SUM(AD39:AD40),0)</f>
        <v>61258.664932355059</v>
      </c>
      <c r="AE41" s="1678">
        <f t="shared" si="12"/>
        <v>65352.631485667109</v>
      </c>
      <c r="AF41" s="1679">
        <f t="shared" si="12"/>
        <v>63814.802235440045</v>
      </c>
      <c r="AG41" s="1679">
        <f t="shared" si="12"/>
        <v>84246.992042859245</v>
      </c>
      <c r="AH41" s="1680">
        <f t="shared" si="12"/>
        <v>108257.16904790094</v>
      </c>
      <c r="AI41" s="1680">
        <f t="shared" si="12"/>
        <v>108543.57805703665</v>
      </c>
      <c r="AJ41" s="1681">
        <f t="shared" si="12"/>
        <v>101065.32432038634</v>
      </c>
      <c r="AK41" s="1681">
        <f t="shared" si="12"/>
        <v>110847.29954976765</v>
      </c>
      <c r="AL41" s="1681">
        <f t="shared" si="12"/>
        <v>133753.76182399387</v>
      </c>
      <c r="AM41" s="1681">
        <f>IFERROR(SUM(AM39:AM40),0)</f>
        <v>132254.73626527382</v>
      </c>
      <c r="AN41" s="1681">
        <f t="shared" si="12"/>
        <v>132464.61168729002</v>
      </c>
      <c r="AO41" s="818">
        <f t="shared" si="12"/>
        <v>104519.27230379474</v>
      </c>
      <c r="AP41" s="818">
        <f t="shared" si="12"/>
        <v>107874.58184326175</v>
      </c>
      <c r="AQ41" s="818">
        <f t="shared" si="12"/>
        <v>144193.37104089884</v>
      </c>
      <c r="AR41" s="818">
        <f t="shared" si="12"/>
        <v>162116.99463299467</v>
      </c>
      <c r="AS41" s="818">
        <f t="shared" si="12"/>
        <v>91650.127130699082</v>
      </c>
      <c r="AT41" s="818">
        <f t="shared" si="12"/>
        <v>0</v>
      </c>
      <c r="AU41" s="807">
        <f t="shared" si="12"/>
        <v>1950916.4460179755</v>
      </c>
      <c r="AV41" s="817"/>
      <c r="AW41" s="142"/>
      <c r="AX41" s="142"/>
    </row>
    <row r="42" spans="1:51" ht="15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059"/>
      <c r="AV42" s="142"/>
      <c r="AW42" s="142"/>
      <c r="AX42" s="142"/>
    </row>
    <row r="43" spans="1:51" ht="15.6">
      <c r="A43" s="1790" t="s">
        <v>1809</v>
      </c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074">
        <f>IFERROR(S41/SUM(S11:S23),0)</f>
        <v>0</v>
      </c>
      <c r="T43" s="1074">
        <f t="shared" ref="T43:AT43" si="13">IFERROR(T41/SUM(T11:T23),0)</f>
        <v>0</v>
      </c>
      <c r="U43" s="1074">
        <f t="shared" si="13"/>
        <v>0</v>
      </c>
      <c r="V43" s="1074">
        <f t="shared" si="13"/>
        <v>0</v>
      </c>
      <c r="W43" s="1074">
        <f t="shared" si="13"/>
        <v>45.544028965323619</v>
      </c>
      <c r="X43" s="1074">
        <f>IFERROR(X41/SUM(X11:X23),0)</f>
        <v>71.226776221954367</v>
      </c>
      <c r="Y43" s="1074">
        <f t="shared" si="13"/>
        <v>89.097235545506805</v>
      </c>
      <c r="Z43" s="1074">
        <f t="shared" si="13"/>
        <v>81.198282981707578</v>
      </c>
      <c r="AA43" s="1074">
        <f t="shared" si="13"/>
        <v>82.423648394300599</v>
      </c>
      <c r="AB43" s="1074">
        <f t="shared" si="13"/>
        <v>122.00786939181462</v>
      </c>
      <c r="AC43" s="1074">
        <f t="shared" si="13"/>
        <v>158.12757069511144</v>
      </c>
      <c r="AD43" s="1074">
        <f t="shared" si="13"/>
        <v>152.38473863769914</v>
      </c>
      <c r="AE43" s="1074">
        <f t="shared" si="13"/>
        <v>159.00883573155014</v>
      </c>
      <c r="AF43" s="1074">
        <f t="shared" si="13"/>
        <v>180.26780292497187</v>
      </c>
      <c r="AG43" s="1074">
        <f t="shared" si="13"/>
        <v>203.49514986197886</v>
      </c>
      <c r="AH43" s="1074">
        <f t="shared" si="13"/>
        <v>264.04187572658765</v>
      </c>
      <c r="AI43" s="1074">
        <f t="shared" si="13"/>
        <v>259.05388557765309</v>
      </c>
      <c r="AJ43" s="1074">
        <f t="shared" si="13"/>
        <v>241.78307253680941</v>
      </c>
      <c r="AK43" s="1074">
        <f t="shared" si="13"/>
        <v>277.11824887441912</v>
      </c>
      <c r="AL43" s="1074">
        <f t="shared" si="13"/>
        <v>409.0329107767397</v>
      </c>
      <c r="AM43" s="1074">
        <f>IFERROR(AM41/SUM(AM11:AM23),0)</f>
        <v>408.19363044837598</v>
      </c>
      <c r="AN43" s="1074">
        <f>IFERROR(AN41/SUM(AN11:AN23),0)</f>
        <v>324.66816590022063</v>
      </c>
      <c r="AO43" s="1074">
        <f>IFERROR(AO41/SUM(AO11:AO23),0)</f>
        <v>254.30479879268793</v>
      </c>
      <c r="AP43" s="1074">
        <f t="shared" si="13"/>
        <v>312.67994737177321</v>
      </c>
      <c r="AQ43" s="1074">
        <f t="shared" si="13"/>
        <v>397.22691746804088</v>
      </c>
      <c r="AR43" s="1074">
        <f>IFERROR(AR41/SUM(AR11:AR23),0)</f>
        <v>407.3291322437052</v>
      </c>
      <c r="AS43" s="1074">
        <f t="shared" si="13"/>
        <v>236.21166786262651</v>
      </c>
      <c r="AT43" s="1074">
        <f t="shared" si="13"/>
        <v>0</v>
      </c>
      <c r="AU43" s="1074">
        <f>IFERROR(AU41/SUM(AU11:AU23),0)</f>
        <v>221.2927003196433</v>
      </c>
      <c r="AV43" s="142"/>
      <c r="AW43" s="142"/>
      <c r="AX43" s="142"/>
    </row>
    <row r="44" spans="1:51" ht="15.6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74"/>
      <c r="AJ44" s="1074"/>
      <c r="AK44" s="1074"/>
      <c r="AL44" s="1074"/>
      <c r="AM44" s="1074"/>
      <c r="AN44" s="1074"/>
      <c r="AO44" s="1074"/>
      <c r="AP44" s="1074"/>
      <c r="AQ44" s="1074"/>
      <c r="AR44" s="1074"/>
      <c r="AS44" s="1074"/>
      <c r="AT44" s="1074"/>
      <c r="AU44" s="1097"/>
      <c r="AV44" s="142"/>
      <c r="AW44" s="142"/>
      <c r="AX44" s="142"/>
    </row>
    <row r="45" spans="1:51" ht="15.6">
      <c r="A45" s="142" t="str">
        <f t="shared" ref="A45:A50" si="14">+A12</f>
        <v>Transfers Lionshead</v>
      </c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059">
        <f>-'Lionhead Pig Cost'!S48</f>
        <v>0</v>
      </c>
      <c r="T45" s="1059">
        <f>-'Lionhead Pig Cost'!T48</f>
        <v>0</v>
      </c>
      <c r="U45" s="1059">
        <f>-'Lionhead Pig Cost'!U48</f>
        <v>0</v>
      </c>
      <c r="V45" s="1059">
        <f>-'Lionhead Pig Cost'!V48</f>
        <v>0</v>
      </c>
      <c r="W45" s="1059">
        <f>-'Lionhead Pig Cost'!W48</f>
        <v>0</v>
      </c>
      <c r="X45" s="1059">
        <f>-'Lionhead Pig Cost'!X48</f>
        <v>0</v>
      </c>
      <c r="Y45" s="1059">
        <f>-'Lionhead Pig Cost'!Y48</f>
        <v>0</v>
      </c>
      <c r="Z45" s="1059">
        <f>-'Lionhead Pig Cost'!Z48</f>
        <v>0</v>
      </c>
      <c r="AA45" s="1059">
        <f>-'Lionhead Pig Cost'!AA48</f>
        <v>0</v>
      </c>
      <c r="AB45" s="1059">
        <f>-'Lionhead Pig Cost'!AB48</f>
        <v>0</v>
      </c>
      <c r="AC45" s="1059">
        <f>-'Lionhead Pig Cost'!AC48</f>
        <v>0</v>
      </c>
      <c r="AD45" s="1059">
        <f>-'Lionhead Pig Cost'!AD48</f>
        <v>0</v>
      </c>
      <c r="AE45" s="1059">
        <f>-'Lionhead Pig Cost'!AE48</f>
        <v>0</v>
      </c>
      <c r="AF45" s="1059">
        <f>-'Lionhead Pig Cost'!AF48</f>
        <v>0</v>
      </c>
      <c r="AG45" s="1059">
        <f>-'Lionhead Pig Cost'!AG48</f>
        <v>0</v>
      </c>
      <c r="AH45" s="1059">
        <f>-'Lionhead Pig Cost'!AH48</f>
        <v>0</v>
      </c>
      <c r="AI45" s="1059">
        <f>-'Lionhead Pig Cost'!AI48</f>
        <v>0</v>
      </c>
      <c r="AJ45" s="1059">
        <f>-'Lionhead Pig Cost'!AJ48</f>
        <v>0</v>
      </c>
      <c r="AK45" s="1059">
        <f>-'Lionhead Pig Cost'!AK48</f>
        <v>0</v>
      </c>
      <c r="AL45" s="1059">
        <f>-'Lionhead Pig Cost'!AL48</f>
        <v>0</v>
      </c>
      <c r="AM45" s="1059">
        <f>-'Lionhead Pig Cost'!AM48</f>
        <v>0</v>
      </c>
      <c r="AN45" s="1059">
        <f>-'Lionhead Pig Cost'!AN48</f>
        <v>0</v>
      </c>
      <c r="AO45" s="1059">
        <f>-'Lionhead Pig Cost'!AO48</f>
        <v>0</v>
      </c>
      <c r="AP45" s="1059">
        <f>-'Lionhead Pig Cost'!AP48</f>
        <v>0</v>
      </c>
      <c r="AQ45" s="1059">
        <f>-'Lionhead Pig Cost'!AQ48</f>
        <v>0</v>
      </c>
      <c r="AR45" s="1059">
        <f>-'Lionhead Pig Cost'!AR48</f>
        <v>0</v>
      </c>
      <c r="AS45" s="1059">
        <f>-'Lionhead Pig Cost'!AS48</f>
        <v>0</v>
      </c>
      <c r="AT45" s="1059">
        <f>-'Lionhead Pig Cost'!AT48</f>
        <v>0</v>
      </c>
      <c r="AU45" s="1282">
        <f>SUM(B45:AT45)</f>
        <v>0</v>
      </c>
      <c r="AV45" s="142"/>
      <c r="AW45" s="142"/>
      <c r="AX45" s="142"/>
    </row>
    <row r="46" spans="1:51" s="23" customFormat="1" ht="15.6">
      <c r="A46" s="142" t="str">
        <f t="shared" si="14"/>
        <v>Transfers Lionshead Ext.</v>
      </c>
      <c r="B46" s="1059"/>
      <c r="C46" s="1059"/>
      <c r="D46" s="1059"/>
      <c r="E46" s="1059"/>
      <c r="F46" s="1059"/>
      <c r="G46" s="1059"/>
      <c r="H46" s="1059"/>
      <c r="I46" s="1059"/>
      <c r="J46" s="1059"/>
      <c r="K46" s="1059"/>
      <c r="L46" s="1059"/>
      <c r="M46" s="1059"/>
      <c r="N46" s="1059"/>
      <c r="O46" s="1059"/>
      <c r="P46" s="1059"/>
      <c r="Q46" s="1059"/>
      <c r="R46" s="1059"/>
      <c r="S46" s="1059">
        <f>+S37*S13</f>
        <v>0</v>
      </c>
      <c r="T46" s="1059">
        <f t="shared" ref="T46:X46" si="15">+T37*T13</f>
        <v>0</v>
      </c>
      <c r="U46" s="1059">
        <f t="shared" si="15"/>
        <v>0</v>
      </c>
      <c r="V46" s="1059">
        <f t="shared" si="15"/>
        <v>0</v>
      </c>
      <c r="W46" s="1059">
        <f t="shared" si="15"/>
        <v>0</v>
      </c>
      <c r="X46" s="1059">
        <f t="shared" si="15"/>
        <v>0</v>
      </c>
      <c r="Y46" s="1059">
        <f>-'Lionhead Ext. Pig Cost'!Y48</f>
        <v>0</v>
      </c>
      <c r="Z46" s="1059">
        <f>-'Lionhead Ext. Pig Cost'!Z48</f>
        <v>0</v>
      </c>
      <c r="AA46" s="1059">
        <f>-'Lionhead Ext. Pig Cost'!AA48</f>
        <v>0</v>
      </c>
      <c r="AB46" s="1059">
        <f>-'Lionhead Ext. Pig Cost'!AB48</f>
        <v>0</v>
      </c>
      <c r="AC46" s="1059">
        <f>-'Lionhead Ext. Pig Cost'!AC48</f>
        <v>0</v>
      </c>
      <c r="AD46" s="1059">
        <f>+AD37*AD13</f>
        <v>0</v>
      </c>
      <c r="AE46" s="1059">
        <f t="shared" ref="AE46" si="16">+AE37*AE13</f>
        <v>0</v>
      </c>
      <c r="AF46" s="1059">
        <f>+AF37*AF13</f>
        <v>0</v>
      </c>
      <c r="AG46" s="1059">
        <f t="shared" ref="AG46" si="17">+AG37*AG13</f>
        <v>0</v>
      </c>
      <c r="AH46" s="1059">
        <f>+AH37*AH13</f>
        <v>0</v>
      </c>
      <c r="AI46" s="1059">
        <f>+AI37*AI13</f>
        <v>0</v>
      </c>
      <c r="AJ46" s="1059">
        <f t="shared" ref="AJ46:AT46" si="18">+AJ37*AJ13</f>
        <v>0</v>
      </c>
      <c r="AK46" s="1059">
        <f t="shared" si="18"/>
        <v>0</v>
      </c>
      <c r="AL46" s="1059">
        <f t="shared" si="18"/>
        <v>0</v>
      </c>
      <c r="AM46" s="1059">
        <f t="shared" si="18"/>
        <v>0</v>
      </c>
      <c r="AN46" s="1059">
        <f t="shared" si="18"/>
        <v>0</v>
      </c>
      <c r="AO46" s="1059">
        <f t="shared" si="18"/>
        <v>0</v>
      </c>
      <c r="AP46" s="1059">
        <f t="shared" si="18"/>
        <v>0</v>
      </c>
      <c r="AQ46" s="1059">
        <f t="shared" si="18"/>
        <v>0</v>
      </c>
      <c r="AR46" s="1059">
        <f t="shared" si="18"/>
        <v>0</v>
      </c>
      <c r="AS46" s="1059">
        <f t="shared" si="18"/>
        <v>0</v>
      </c>
      <c r="AT46" s="1059">
        <f t="shared" si="18"/>
        <v>0</v>
      </c>
      <c r="AU46" s="1282">
        <f>SUM(B46:AT46)</f>
        <v>0</v>
      </c>
      <c r="AV46" s="1059"/>
      <c r="AW46" s="1059"/>
      <c r="AX46" s="1059"/>
    </row>
    <row r="47" spans="1:51" s="23" customFormat="1" ht="15.6">
      <c r="A47" s="142" t="str">
        <f t="shared" si="14"/>
        <v>Transfers  Richlands</v>
      </c>
      <c r="B47" s="1059"/>
      <c r="C47" s="1059"/>
      <c r="D47" s="1059"/>
      <c r="E47" s="1059"/>
      <c r="F47" s="1059"/>
      <c r="G47" s="1059"/>
      <c r="H47" s="1059"/>
      <c r="I47" s="1059"/>
      <c r="J47" s="1059"/>
      <c r="K47" s="1059"/>
      <c r="L47" s="1059"/>
      <c r="M47" s="1059"/>
      <c r="N47" s="1059"/>
      <c r="O47" s="1059"/>
      <c r="P47" s="1059"/>
      <c r="Q47" s="1059"/>
      <c r="R47" s="1059"/>
      <c r="S47" s="1059">
        <f>-'Richlands Pig Cost'!S48</f>
        <v>0</v>
      </c>
      <c r="T47" s="1059">
        <f>-'Richlands Pig Cost'!T48</f>
        <v>0</v>
      </c>
      <c r="U47" s="1059">
        <f>-'Richlands Pig Cost'!U48</f>
        <v>0</v>
      </c>
      <c r="V47" s="1059">
        <f>-'Richlands Pig Cost'!V48</f>
        <v>0</v>
      </c>
      <c r="W47" s="1059">
        <f>-'Richlands Pig Cost'!W48</f>
        <v>0</v>
      </c>
      <c r="X47" s="1059">
        <f>-'Richlands Pig Cost'!X48</f>
        <v>0</v>
      </c>
      <c r="Y47" s="1059">
        <f>-'Richlands Pig Cost'!Y48</f>
        <v>0</v>
      </c>
      <c r="Z47" s="1059">
        <f>-'Richlands Pig Cost'!Z48</f>
        <v>0</v>
      </c>
      <c r="AA47" s="1059">
        <f>-'Richlands Pig Cost'!AA48</f>
        <v>0</v>
      </c>
      <c r="AB47" s="1059">
        <f>-'Richlands Pig Cost'!AB48</f>
        <v>0</v>
      </c>
      <c r="AC47" s="1059">
        <f>-'Richlands Pig Cost'!AC48</f>
        <v>0</v>
      </c>
      <c r="AD47" s="1059">
        <f>-'Richlands Pig Cost'!AD48</f>
        <v>0</v>
      </c>
      <c r="AE47" s="1059">
        <f>-'Richlands Pig Cost'!AE48</f>
        <v>0</v>
      </c>
      <c r="AF47" s="1059">
        <f>-'Richlands Pig Cost'!AF48</f>
        <v>0</v>
      </c>
      <c r="AG47" s="1059">
        <f>-'Richlands Pig Cost'!AG48</f>
        <v>0</v>
      </c>
      <c r="AH47" s="1059">
        <f>-'Richlands Pig Cost'!AH48</f>
        <v>0</v>
      </c>
      <c r="AI47" s="1059">
        <f>-'Richlands Pig Cost'!AI48</f>
        <v>0</v>
      </c>
      <c r="AJ47" s="1059">
        <f>-'Richlands Pig Cost'!AJ48</f>
        <v>0</v>
      </c>
      <c r="AK47" s="1059">
        <f>-'Richlands Pig Cost'!AK48</f>
        <v>0</v>
      </c>
      <c r="AL47" s="1059">
        <f>-'Richlands Pig Cost'!AL48</f>
        <v>0</v>
      </c>
      <c r="AM47" s="1059">
        <f>-'Richlands Pig Cost'!AM48</f>
        <v>0</v>
      </c>
      <c r="AN47" s="1059">
        <f>-'Richlands Pig Cost'!AN48</f>
        <v>0</v>
      </c>
      <c r="AO47" s="1059">
        <f>-'Richlands Pig Cost'!AO48</f>
        <v>0</v>
      </c>
      <c r="AP47" s="1059">
        <f>-'Richlands Pig Cost'!AP48</f>
        <v>0</v>
      </c>
      <c r="AQ47" s="1059">
        <f>-'Richlands Pig Cost'!AQ48</f>
        <v>0</v>
      </c>
      <c r="AR47" s="1059">
        <f>-'Richlands Pig Cost'!AR48</f>
        <v>0</v>
      </c>
      <c r="AS47" s="1059">
        <f>-'Richlands Pig Cost'!AS48</f>
        <v>0</v>
      </c>
      <c r="AT47" s="1059">
        <f>-'Richlands Pig Cost'!AT48</f>
        <v>0</v>
      </c>
      <c r="AU47" s="1282">
        <f t="shared" ref="AU47:AU60" si="19">SUM(B47:AT47)</f>
        <v>0</v>
      </c>
      <c r="AV47" s="1059"/>
      <c r="AW47" s="1059"/>
      <c r="AX47" s="1059"/>
    </row>
    <row r="48" spans="1:51" ht="15.6">
      <c r="A48" s="142" t="str">
        <f t="shared" si="14"/>
        <v>Transfers Grasmere</v>
      </c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059">
        <f>-'Grasmere Pig Cost'!S48</f>
        <v>0</v>
      </c>
      <c r="T48" s="1059">
        <f>-'Grasmere Pig Cost'!T48</f>
        <v>0</v>
      </c>
      <c r="U48" s="1059">
        <f>-'Grasmere Pig Cost'!U48</f>
        <v>0</v>
      </c>
      <c r="V48" s="1059">
        <f>-'Grasmere Pig Cost'!V48</f>
        <v>0</v>
      </c>
      <c r="W48" s="1059">
        <f>-'Grasmere Pig Cost'!W48</f>
        <v>9822.3409312384483</v>
      </c>
      <c r="X48" s="1059">
        <f>-'Grasmere Pig Cost'!X48</f>
        <v>15272.84125360088</v>
      </c>
      <c r="Y48" s="1059">
        <f>-'Grasmere Pig Cost'!Y48</f>
        <v>16470.382867535121</v>
      </c>
      <c r="Z48" s="1059">
        <f>-'Grasmere Pig Cost'!Z48</f>
        <v>12850.748552750299</v>
      </c>
      <c r="AA48" s="1059">
        <f>-'Grasmere Pig Cost'!AA48</f>
        <v>0</v>
      </c>
      <c r="AB48" s="1059">
        <f>-'Grasmere Pig Cost'!AB48</f>
        <v>0</v>
      </c>
      <c r="AC48" s="1059">
        <f>-'Grasmere Pig Cost'!AC48</f>
        <v>0</v>
      </c>
      <c r="AD48" s="1059">
        <f>-'Grasmere Pig Cost'!AD48</f>
        <v>0</v>
      </c>
      <c r="AE48" s="1059">
        <f>-'Grasmere Pig Cost'!AE48</f>
        <v>0</v>
      </c>
      <c r="AF48" s="1059">
        <f>-'Grasmere Pig Cost'!AF48</f>
        <v>0</v>
      </c>
      <c r="AG48" s="1059">
        <f>-'Grasmere Pig Cost'!AG48</f>
        <v>0</v>
      </c>
      <c r="AH48" s="1059">
        <f>-'Grasmere Pig Cost'!AH48</f>
        <v>0</v>
      </c>
      <c r="AI48" s="1059">
        <f>-'Grasmere Pig Cost'!AI48</f>
        <v>0</v>
      </c>
      <c r="AJ48" s="1059">
        <f>-'Grasmere Pig Cost'!AJ48</f>
        <v>0</v>
      </c>
      <c r="AK48" s="1059">
        <f>-'Grasmere Pig Cost'!AK48</f>
        <v>0</v>
      </c>
      <c r="AL48" s="1059">
        <f>-'Grasmere Pig Cost'!AL48</f>
        <v>0</v>
      </c>
      <c r="AM48" s="1059">
        <f>-'Grasmere Pig Cost'!AM48</f>
        <v>0</v>
      </c>
      <c r="AN48" s="1059">
        <f>-'Grasmere Pig Cost'!AN48</f>
        <v>0</v>
      </c>
      <c r="AO48" s="1059">
        <f>-'Grasmere Pig Cost'!AO48</f>
        <v>0</v>
      </c>
      <c r="AP48" s="1059">
        <f>-'Grasmere Pig Cost'!AP48</f>
        <v>0</v>
      </c>
      <c r="AQ48" s="1059">
        <f>-'Grasmere Pig Cost'!AQ48</f>
        <v>0</v>
      </c>
      <c r="AR48" s="1059">
        <f>-'Grasmere Pig Cost'!AR48</f>
        <v>0</v>
      </c>
      <c r="AS48" s="1059">
        <f>-'Grasmere Pig Cost'!AS48</f>
        <v>0</v>
      </c>
      <c r="AT48" s="1059">
        <f>-'Grasmere Pig Cost'!AT48</f>
        <v>0</v>
      </c>
      <c r="AU48" s="1282">
        <f t="shared" si="19"/>
        <v>54416.313605124757</v>
      </c>
      <c r="AV48" s="142"/>
      <c r="AW48" s="142"/>
      <c r="AX48" s="142"/>
    </row>
    <row r="49" spans="1:52" ht="15.6">
      <c r="A49" s="142" t="str">
        <f t="shared" si="14"/>
        <v>Transfers Villa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059">
        <f>-'Villa Pig Cost'!S48</f>
        <v>0</v>
      </c>
      <c r="T49" s="1059">
        <f>-'Villa Pig Cost'!T48</f>
        <v>0</v>
      </c>
      <c r="U49" s="1059">
        <f>-'Villa Pig Cost'!U48</f>
        <v>0</v>
      </c>
      <c r="V49" s="1059">
        <f>-'Villa Pig Cost'!V48</f>
        <v>0</v>
      </c>
      <c r="W49" s="1059">
        <f>-'Villa Pig Cost'!W48</f>
        <v>2898.8146838563257</v>
      </c>
      <c r="X49" s="1059">
        <f>-'Villa Pig Cost'!X48</f>
        <v>4419.1298467919114</v>
      </c>
      <c r="Y49" s="1059">
        <f>-'Villa Pig Cost'!Y48</f>
        <v>0</v>
      </c>
      <c r="Z49" s="1059">
        <f>-'Villa Pig Cost'!Z48</f>
        <v>0</v>
      </c>
      <c r="AA49" s="1059">
        <f>-'Villa Pig Cost'!AA48</f>
        <v>0</v>
      </c>
      <c r="AB49" s="1059">
        <f>-'Villa Pig Cost'!AB48</f>
        <v>0</v>
      </c>
      <c r="AC49" s="1059">
        <f>-'Villa Pig Cost'!AC48</f>
        <v>0</v>
      </c>
      <c r="AD49" s="1059">
        <f>-'Villa Pig Cost'!AD48</f>
        <v>0</v>
      </c>
      <c r="AE49" s="1059">
        <f>-'Villa Pig Cost'!AE48</f>
        <v>0</v>
      </c>
      <c r="AF49" s="1059">
        <f>-'Villa Pig Cost'!AF48</f>
        <v>0</v>
      </c>
      <c r="AG49" s="1059">
        <f>-'Villa Pig Cost'!AG48</f>
        <v>0</v>
      </c>
      <c r="AH49" s="1059">
        <f>-'Villa Pig Cost'!AH48</f>
        <v>0</v>
      </c>
      <c r="AI49" s="1059">
        <f>-'Villa Pig Cost'!AI48</f>
        <v>0</v>
      </c>
      <c r="AJ49" s="1059">
        <f>-'Villa Pig Cost'!AJ48</f>
        <v>0</v>
      </c>
      <c r="AK49" s="1059">
        <f>-'Villa Pig Cost'!AK48</f>
        <v>0</v>
      </c>
      <c r="AL49" s="1059">
        <f>-'Villa Pig Cost'!AL48</f>
        <v>0</v>
      </c>
      <c r="AM49" s="1059">
        <f>-'Villa Pig Cost'!AM48</f>
        <v>0</v>
      </c>
      <c r="AN49" s="1059">
        <f>-'Villa Pig Cost'!AN48</f>
        <v>0</v>
      </c>
      <c r="AO49" s="1059">
        <f>-'Villa Pig Cost'!AO48</f>
        <v>0</v>
      </c>
      <c r="AP49" s="1059">
        <f>-'Villa Pig Cost'!AP48</f>
        <v>0</v>
      </c>
      <c r="AQ49" s="1059">
        <f>-'Villa Pig Cost'!AQ48</f>
        <v>0</v>
      </c>
      <c r="AR49" s="1059">
        <f>-'Villa Pig Cost'!AR48</f>
        <v>0</v>
      </c>
      <c r="AS49" s="1059">
        <f t="shared" ref="AS49" si="20">+AS33*AS16</f>
        <v>0</v>
      </c>
      <c r="AT49" s="1059">
        <f>-'Villa Pig Cost'!AT48</f>
        <v>0</v>
      </c>
      <c r="AU49" s="1282">
        <f t="shared" si="19"/>
        <v>7317.9445306482376</v>
      </c>
      <c r="AV49" s="142"/>
      <c r="AW49" s="142"/>
      <c r="AX49" s="142"/>
    </row>
    <row r="50" spans="1:52" ht="15.6">
      <c r="A50" s="142" t="str">
        <f t="shared" si="14"/>
        <v>Transfers Porta</v>
      </c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059">
        <f>-'Porta Pig Cost'!S48</f>
        <v>0</v>
      </c>
      <c r="T50" s="1059">
        <f>-'Porta Pig Cost'!T48</f>
        <v>0</v>
      </c>
      <c r="U50" s="1059">
        <f>-'Porta Pig Cost'!U48</f>
        <v>0</v>
      </c>
      <c r="V50" s="1059">
        <f>-'Porta Pig Cost'!V48</f>
        <v>0</v>
      </c>
      <c r="W50" s="1059">
        <f>-'Porta Pig Cost'!W48</f>
        <v>0</v>
      </c>
      <c r="X50" s="1059">
        <f>-'Porta Pig Cost'!X48</f>
        <v>0</v>
      </c>
      <c r="Y50" s="1059">
        <f>-'Porta Pig Cost'!Y48</f>
        <v>2070.9521307652321</v>
      </c>
      <c r="Z50" s="1059">
        <f>-'Porta Pig Cost'!Z48</f>
        <v>3546.7315365311183</v>
      </c>
      <c r="AA50" s="1059">
        <f>-'Porta Pig Cost'!AA48</f>
        <v>0</v>
      </c>
      <c r="AB50" s="1059">
        <f>-'Porta Pig Cost'!AB48</f>
        <v>0</v>
      </c>
      <c r="AC50" s="1059">
        <f>-'Porta Pig Cost'!AC48</f>
        <v>0</v>
      </c>
      <c r="AD50" s="1059">
        <f>-'Porta Pig Cost'!AD48</f>
        <v>0</v>
      </c>
      <c r="AE50" s="1059">
        <f>-'Porta Pig Cost'!AE48</f>
        <v>0</v>
      </c>
      <c r="AF50" s="1059">
        <f>-'Porta Pig Cost'!AF48</f>
        <v>0</v>
      </c>
      <c r="AG50" s="1059">
        <f>-'Porta Pig Cost'!AG48</f>
        <v>0</v>
      </c>
      <c r="AH50" s="1059">
        <f>-'Porta Pig Cost'!AH48</f>
        <v>0</v>
      </c>
      <c r="AI50" s="1059">
        <f>-'Porta Pig Cost'!AI48</f>
        <v>0</v>
      </c>
      <c r="AJ50" s="1059">
        <f>-'Porta Pig Cost'!AJ48</f>
        <v>0</v>
      </c>
      <c r="AK50" s="1059">
        <f>-'Porta Pig Cost'!AK48</f>
        <v>0</v>
      </c>
      <c r="AL50" s="1059">
        <f>-'Porta Pig Cost'!AL48</f>
        <v>0</v>
      </c>
      <c r="AM50" s="1059">
        <f>-'Porta Pig Cost'!AM48</f>
        <v>0</v>
      </c>
      <c r="AN50" s="1059">
        <f>-'Porta Pig Cost'!AN48</f>
        <v>0</v>
      </c>
      <c r="AO50" s="1059">
        <f>-'Porta Pig Cost'!AO48</f>
        <v>0</v>
      </c>
      <c r="AP50" s="1059">
        <f>-'Porta Pig Cost'!AP48</f>
        <v>0</v>
      </c>
      <c r="AQ50" s="1059">
        <f>-'Porta Pig Cost'!AQ48</f>
        <v>0</v>
      </c>
      <c r="AR50" s="1059">
        <f>-'Porta Pig Cost'!AR48</f>
        <v>0</v>
      </c>
      <c r="AS50" s="1059">
        <f>-'Porta Pig Cost'!AS48</f>
        <v>0</v>
      </c>
      <c r="AT50" s="1059">
        <f>-'Porta Pig Cost'!AT48</f>
        <v>0</v>
      </c>
      <c r="AU50" s="1282">
        <f t="shared" si="19"/>
        <v>5617.6836672963509</v>
      </c>
      <c r="AV50" s="142"/>
      <c r="AW50" s="142"/>
      <c r="AX50" s="142"/>
    </row>
    <row r="51" spans="1:52" ht="15.6">
      <c r="A51" s="142" t="str">
        <f t="shared" ref="A51:A52" si="21">+A18</f>
        <v>Transfers Multiplier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059">
        <f>-'Multiplier Pig Cost '!S48</f>
        <v>0</v>
      </c>
      <c r="T51" s="1059">
        <f>-'Multiplier Pig Cost '!T48</f>
        <v>0</v>
      </c>
      <c r="U51" s="1059">
        <f>-'Multiplier Pig Cost '!U48</f>
        <v>0</v>
      </c>
      <c r="V51" s="1059">
        <f>-'Multiplier Pig Cost '!V48</f>
        <v>0</v>
      </c>
      <c r="W51" s="1059">
        <f>-'Multiplier Pig Cost '!W48</f>
        <v>0</v>
      </c>
      <c r="X51" s="1059">
        <f>-'Multiplier Pig Cost '!X48</f>
        <v>0</v>
      </c>
      <c r="Y51" s="1059">
        <f>-'Multiplier Pig Cost '!Y48</f>
        <v>0</v>
      </c>
      <c r="Z51" s="1059">
        <f>-'Multiplier Pig Cost '!Z48</f>
        <v>0</v>
      </c>
      <c r="AA51" s="1059">
        <f>-'Multiplier Pig Cost '!AA48</f>
        <v>0</v>
      </c>
      <c r="AB51" s="1059">
        <f>-'Multiplier Pig Cost '!AB48</f>
        <v>0</v>
      </c>
      <c r="AC51" s="1059">
        <f>-'Multiplier Pig Cost '!AC48</f>
        <v>0</v>
      </c>
      <c r="AD51" s="1059">
        <f>-'Multiplier Pig Cost '!AD48</f>
        <v>0</v>
      </c>
      <c r="AE51" s="1059">
        <f>-'Multiplier Pig Cost '!AE48</f>
        <v>0</v>
      </c>
      <c r="AF51" s="1059">
        <f>-'Multiplier Pig Cost '!AF48</f>
        <v>0</v>
      </c>
      <c r="AG51" s="1059">
        <f>-'Multiplier Pig Cost '!AG48</f>
        <v>0</v>
      </c>
      <c r="AH51" s="1059">
        <f>-'Multiplier Pig Cost '!AH48</f>
        <v>0</v>
      </c>
      <c r="AI51" s="1059">
        <f>-'Multiplier Pig Cost '!AI48</f>
        <v>0</v>
      </c>
      <c r="AJ51" s="1059">
        <f>-'Multiplier Pig Cost '!AJ48</f>
        <v>0</v>
      </c>
      <c r="AK51" s="1059">
        <f>-'Multiplier Pig Cost '!AK48</f>
        <v>0</v>
      </c>
      <c r="AL51" s="1059">
        <f>-'Multiplier Pig Cost '!AL48</f>
        <v>0</v>
      </c>
      <c r="AM51" s="1059">
        <f>-'Multiplier Pig Cost '!AM48</f>
        <v>0</v>
      </c>
      <c r="AN51" s="1059">
        <f>-'Multiplier Pig Cost '!AN48</f>
        <v>0</v>
      </c>
      <c r="AO51" s="1059">
        <f>-'Multiplier Pig Cost '!AO48</f>
        <v>0</v>
      </c>
      <c r="AP51" s="1059">
        <f>-'Multiplier Pig Cost '!AP48</f>
        <v>0</v>
      </c>
      <c r="AQ51" s="1059">
        <f>-'Multiplier Pig Cost '!AQ48</f>
        <v>0</v>
      </c>
      <c r="AR51" s="1059">
        <f>-'Multiplier Pig Cost '!AR48</f>
        <v>0</v>
      </c>
      <c r="AS51" s="1059">
        <f>-'Multiplier Pig Cost '!AS48</f>
        <v>0</v>
      </c>
      <c r="AT51" s="1059">
        <f>-'Multiplier Pig Cost '!AT48</f>
        <v>0</v>
      </c>
      <c r="AU51" s="1282">
        <f t="shared" si="19"/>
        <v>0</v>
      </c>
      <c r="AV51" s="142"/>
      <c r="AW51" s="142"/>
      <c r="AX51" s="142"/>
    </row>
    <row r="52" spans="1:52" ht="15.6">
      <c r="A52" s="142">
        <f t="shared" si="21"/>
        <v>0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59"/>
      <c r="AJ52" s="1059"/>
      <c r="AK52" s="1059"/>
      <c r="AL52" s="1059"/>
      <c r="AM52" s="1059"/>
      <c r="AN52" s="1059"/>
      <c r="AO52" s="1059"/>
      <c r="AP52" s="1059"/>
      <c r="AQ52" s="1059"/>
      <c r="AR52" s="1059"/>
      <c r="AS52" s="1059">
        <f t="shared" ref="AS52" si="22">+AS36*AS19</f>
        <v>0</v>
      </c>
      <c r="AT52" s="1059"/>
      <c r="AU52" s="1282">
        <f t="shared" si="19"/>
        <v>0</v>
      </c>
      <c r="AV52" s="142"/>
      <c r="AW52" s="142"/>
      <c r="AX52" s="142"/>
    </row>
    <row r="53" spans="1:52" ht="15.6">
      <c r="A53" s="142" t="str">
        <f t="shared" ref="A53:A61" si="23">+A20</f>
        <v>Transfers  Boars</v>
      </c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059">
        <f>+S37*S20</f>
        <v>0</v>
      </c>
      <c r="T53" s="1059">
        <f t="shared" ref="T53:X53" si="24">+T37*T20</f>
        <v>0</v>
      </c>
      <c r="U53" s="1059">
        <f t="shared" si="24"/>
        <v>0</v>
      </c>
      <c r="V53" s="1059">
        <f t="shared" si="24"/>
        <v>0</v>
      </c>
      <c r="W53" s="1059">
        <f t="shared" si="24"/>
        <v>0</v>
      </c>
      <c r="X53" s="1059">
        <f t="shared" si="24"/>
        <v>0</v>
      </c>
      <c r="Y53" s="1059">
        <f>+Y37*Y20</f>
        <v>0</v>
      </c>
      <c r="Z53" s="1059">
        <f t="shared" ref="Z53" si="25">+Z37*Z20</f>
        <v>0</v>
      </c>
      <c r="AA53" s="1059">
        <f>+AA37*AA20</f>
        <v>0</v>
      </c>
      <c r="AB53" s="1059">
        <f>+AB37*AB20</f>
        <v>0</v>
      </c>
      <c r="AC53" s="1059">
        <f>+AC37*AC20</f>
        <v>0</v>
      </c>
      <c r="AD53" s="1059">
        <f>+AD37*AD20</f>
        <v>0</v>
      </c>
      <c r="AE53" s="1059">
        <f t="shared" ref="AE53" si="26">+AE37*AE20</f>
        <v>0</v>
      </c>
      <c r="AF53" s="1059">
        <f>+AF37*AF20</f>
        <v>0</v>
      </c>
      <c r="AG53" s="1059">
        <f t="shared" ref="AG53" si="27">+AG37*AG20</f>
        <v>0</v>
      </c>
      <c r="AH53" s="1059">
        <f>+AH37*AH20</f>
        <v>0</v>
      </c>
      <c r="AI53" s="1059">
        <f>+AI37*AI20</f>
        <v>0</v>
      </c>
      <c r="AJ53" s="1059">
        <f t="shared" ref="AJ53:AT53" si="28">+AJ37*AJ20</f>
        <v>0</v>
      </c>
      <c r="AK53" s="1059">
        <f t="shared" si="28"/>
        <v>0</v>
      </c>
      <c r="AL53" s="1059">
        <f t="shared" si="28"/>
        <v>0</v>
      </c>
      <c r="AM53" s="1059">
        <f t="shared" si="28"/>
        <v>0</v>
      </c>
      <c r="AN53" s="1059">
        <f t="shared" si="28"/>
        <v>0</v>
      </c>
      <c r="AO53" s="1059">
        <f t="shared" si="28"/>
        <v>0</v>
      </c>
      <c r="AP53" s="1059">
        <f t="shared" si="28"/>
        <v>0</v>
      </c>
      <c r="AQ53" s="1059">
        <f t="shared" si="28"/>
        <v>0</v>
      </c>
      <c r="AR53" s="1059">
        <f t="shared" si="28"/>
        <v>0</v>
      </c>
      <c r="AS53" s="1059">
        <f t="shared" si="28"/>
        <v>0</v>
      </c>
      <c r="AT53" s="1059">
        <f t="shared" si="28"/>
        <v>0</v>
      </c>
      <c r="AU53" s="1282">
        <f t="shared" si="19"/>
        <v>0</v>
      </c>
      <c r="AV53" s="142"/>
      <c r="AW53" s="142"/>
      <c r="AX53" s="142"/>
    </row>
    <row r="54" spans="1:52" ht="15.6">
      <c r="A54" s="142" t="str">
        <f t="shared" si="23"/>
        <v>Transfers Grower</v>
      </c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059">
        <f>+S37*S21</f>
        <v>0</v>
      </c>
      <c r="T54" s="1059">
        <f t="shared" ref="T54:X54" si="29">+T37*T21</f>
        <v>0</v>
      </c>
      <c r="U54" s="1059">
        <f t="shared" si="29"/>
        <v>0</v>
      </c>
      <c r="V54" s="1059">
        <f t="shared" si="29"/>
        <v>0</v>
      </c>
      <c r="W54" s="1059">
        <f t="shared" si="29"/>
        <v>0</v>
      </c>
      <c r="X54" s="1059">
        <f t="shared" si="29"/>
        <v>0</v>
      </c>
      <c r="Y54" s="1059">
        <f>+Y37*Y21</f>
        <v>0</v>
      </c>
      <c r="Z54" s="1059">
        <f t="shared" ref="Z54" si="30">+Z37*Z21</f>
        <v>0</v>
      </c>
      <c r="AA54" s="1059">
        <f>+AA37*AA21</f>
        <v>0</v>
      </c>
      <c r="AB54" s="1059">
        <f>+AB37*AB21</f>
        <v>0</v>
      </c>
      <c r="AC54" s="1059">
        <f>+AC37*AC21</f>
        <v>0</v>
      </c>
      <c r="AD54" s="1059">
        <f>+AD37*AD21</f>
        <v>0</v>
      </c>
      <c r="AE54" s="1059">
        <f t="shared" ref="AE54" si="31">+AE37*AE21</f>
        <v>0</v>
      </c>
      <c r="AF54" s="1059">
        <f>+AF37*AF21</f>
        <v>0</v>
      </c>
      <c r="AG54" s="1059">
        <f t="shared" ref="AG54" si="32">+AG37*AG21</f>
        <v>0</v>
      </c>
      <c r="AH54" s="1059">
        <f>+AH37*AH21</f>
        <v>0</v>
      </c>
      <c r="AI54" s="1059">
        <f>+AI37*AI21</f>
        <v>0</v>
      </c>
      <c r="AJ54" s="1059">
        <f t="shared" ref="AJ54:AT54" si="33">+AJ37*AJ21</f>
        <v>0</v>
      </c>
      <c r="AK54" s="1059">
        <f t="shared" si="33"/>
        <v>0</v>
      </c>
      <c r="AL54" s="1059">
        <f t="shared" si="33"/>
        <v>0</v>
      </c>
      <c r="AM54" s="1059">
        <f t="shared" si="33"/>
        <v>0</v>
      </c>
      <c r="AN54" s="1059">
        <f t="shared" si="33"/>
        <v>0</v>
      </c>
      <c r="AO54" s="1059">
        <f t="shared" si="33"/>
        <v>0</v>
      </c>
      <c r="AP54" s="1059">
        <f t="shared" si="33"/>
        <v>0</v>
      </c>
      <c r="AQ54" s="1059">
        <f t="shared" si="33"/>
        <v>0</v>
      </c>
      <c r="AR54" s="1059">
        <f t="shared" si="33"/>
        <v>0</v>
      </c>
      <c r="AS54" s="1059">
        <f t="shared" si="33"/>
        <v>0</v>
      </c>
      <c r="AT54" s="1059">
        <f t="shared" si="33"/>
        <v>0</v>
      </c>
      <c r="AU54" s="1282">
        <f t="shared" si="19"/>
        <v>0</v>
      </c>
      <c r="AV54" s="142"/>
      <c r="AW54" s="142"/>
      <c r="AX54" s="142"/>
    </row>
    <row r="55" spans="1:52" ht="15.6">
      <c r="A55" s="142" t="str">
        <f t="shared" si="23"/>
        <v>Transfer to Sick Block</v>
      </c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059">
        <f>+S37*S22</f>
        <v>0</v>
      </c>
      <c r="T55" s="1059">
        <f t="shared" ref="T55:X55" si="34">+T37*T22</f>
        <v>0</v>
      </c>
      <c r="U55" s="1059">
        <f t="shared" si="34"/>
        <v>0</v>
      </c>
      <c r="V55" s="1059">
        <f t="shared" si="34"/>
        <v>0</v>
      </c>
      <c r="W55" s="1059">
        <f t="shared" si="34"/>
        <v>0</v>
      </c>
      <c r="X55" s="1059">
        <f t="shared" si="34"/>
        <v>0</v>
      </c>
      <c r="Y55" s="1059">
        <f>+Y37*Y22</f>
        <v>0</v>
      </c>
      <c r="Z55" s="1059">
        <f t="shared" ref="Z55" si="35">+Z37*Z22</f>
        <v>0</v>
      </c>
      <c r="AA55" s="1059">
        <f>+AA37*AA22</f>
        <v>-97.493534826358996</v>
      </c>
      <c r="AB55" s="1059">
        <f>+AB37*AB22</f>
        <v>-78.970819654891514</v>
      </c>
      <c r="AC55" s="1059">
        <f>+AC37*AC22</f>
        <v>211.55643136292389</v>
      </c>
      <c r="AD55" s="1059">
        <f>+AD37*AD22</f>
        <v>-88.597008576349452</v>
      </c>
      <c r="AE55" s="1059">
        <f t="shared" ref="AE55" si="36">+AE37*AE22</f>
        <v>-95.224571703965168</v>
      </c>
      <c r="AF55" s="1059">
        <f>+AF37*AF22</f>
        <v>-224.96673849770983</v>
      </c>
      <c r="AG55" s="1059">
        <f t="shared" ref="AG55" si="37">+AG37*AG22</f>
        <v>-406.80928669713518</v>
      </c>
      <c r="AH55" s="1059">
        <f>+AH37*AH22</f>
        <v>-161.8569525324038</v>
      </c>
      <c r="AI55" s="1059">
        <f>+AI37*AI22</f>
        <v>-313.26203611767073</v>
      </c>
      <c r="AJ55" s="1059">
        <f t="shared" ref="AJ55:AT55" si="38">+AJ37*AJ22</f>
        <v>-168.07777715706473</v>
      </c>
      <c r="AK55" s="1059">
        <f t="shared" si="38"/>
        <v>-202.88686859649286</v>
      </c>
      <c r="AL55" s="1059">
        <f t="shared" si="38"/>
        <v>-1003.8464608176587</v>
      </c>
      <c r="AM55" s="1059">
        <f t="shared" si="38"/>
        <v>-333.77620661085592</v>
      </c>
      <c r="AN55" s="1059">
        <f>+AN37*AN22</f>
        <v>0</v>
      </c>
      <c r="AO55" s="1059">
        <f>+AO37*AO22-AW55</f>
        <v>4366.99882042836</v>
      </c>
      <c r="AP55" s="1059">
        <f t="shared" si="38"/>
        <v>-312.67994737177321</v>
      </c>
      <c r="AQ55" s="1059">
        <f t="shared" si="38"/>
        <v>0</v>
      </c>
      <c r="AR55" s="1059">
        <f t="shared" si="38"/>
        <v>0</v>
      </c>
      <c r="AS55" s="1059">
        <f t="shared" si="38"/>
        <v>0</v>
      </c>
      <c r="AT55" s="1059">
        <f t="shared" si="38"/>
        <v>0</v>
      </c>
      <c r="AU55" s="1282">
        <f>SUM(B55:AT55)</f>
        <v>1090.1070426309543</v>
      </c>
      <c r="AV55" s="142"/>
      <c r="AW55" s="1059">
        <v>220.12820934414549</v>
      </c>
      <c r="AX55" s="142"/>
    </row>
    <row r="56" spans="1:52" ht="15.6">
      <c r="A56" s="142" t="str">
        <f t="shared" si="23"/>
        <v>Transfers Gilts</v>
      </c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059">
        <f>+S37*S23</f>
        <v>0</v>
      </c>
      <c r="T56" s="1059">
        <f t="shared" ref="T56:X56" si="39">+T37*T23</f>
        <v>0</v>
      </c>
      <c r="U56" s="1059">
        <f t="shared" si="39"/>
        <v>0</v>
      </c>
      <c r="V56" s="1059">
        <f t="shared" si="39"/>
        <v>0</v>
      </c>
      <c r="W56" s="1059">
        <f t="shared" si="39"/>
        <v>0</v>
      </c>
      <c r="X56" s="1059">
        <f t="shared" si="39"/>
        <v>0</v>
      </c>
      <c r="Y56" s="1059">
        <f>+Y37*Y23</f>
        <v>0</v>
      </c>
      <c r="Z56" s="1059">
        <f t="shared" ref="Z56" si="40">+Z37*Z23</f>
        <v>0</v>
      </c>
      <c r="AA56" s="1059">
        <f>+AA37*AA23</f>
        <v>0</v>
      </c>
      <c r="AB56" s="1059">
        <f>+AB37*AB23</f>
        <v>0</v>
      </c>
      <c r="AC56" s="1059">
        <f>+AC37*AC23</f>
        <v>0</v>
      </c>
      <c r="AD56" s="1059">
        <f>+AD37*AD23</f>
        <v>0</v>
      </c>
      <c r="AE56" s="1059">
        <f t="shared" ref="AE56" si="41">+AE37*AE23</f>
        <v>0</v>
      </c>
      <c r="AF56" s="1059">
        <f>+AF37*AF23</f>
        <v>0</v>
      </c>
      <c r="AG56" s="1059">
        <f t="shared" ref="AG56" si="42">+AG37*AG23</f>
        <v>0</v>
      </c>
      <c r="AH56" s="1059">
        <f>+AH37*AH23</f>
        <v>0</v>
      </c>
      <c r="AI56" s="1059">
        <f>+AI37*AI23</f>
        <v>0</v>
      </c>
      <c r="AJ56" s="1059">
        <f t="shared" ref="AJ56:AT56" si="43">+AJ37*AJ23</f>
        <v>0</v>
      </c>
      <c r="AK56" s="1059">
        <f t="shared" si="43"/>
        <v>0</v>
      </c>
      <c r="AL56" s="1059">
        <f t="shared" si="43"/>
        <v>0</v>
      </c>
      <c r="AM56" s="1059">
        <f t="shared" si="43"/>
        <v>0</v>
      </c>
      <c r="AN56" s="1059">
        <f t="shared" si="43"/>
        <v>0</v>
      </c>
      <c r="AO56" s="1059">
        <f t="shared" si="43"/>
        <v>0</v>
      </c>
      <c r="AP56" s="1059">
        <f t="shared" si="43"/>
        <v>0</v>
      </c>
      <c r="AQ56" s="1059">
        <f t="shared" si="43"/>
        <v>0</v>
      </c>
      <c r="AR56" s="1059">
        <f t="shared" si="43"/>
        <v>0</v>
      </c>
      <c r="AS56" s="1059">
        <f t="shared" si="43"/>
        <v>0</v>
      </c>
      <c r="AT56" s="1059">
        <f t="shared" si="43"/>
        <v>0</v>
      </c>
      <c r="AU56" s="1282">
        <f t="shared" si="19"/>
        <v>0</v>
      </c>
      <c r="AV56" s="142"/>
      <c r="AW56" s="142"/>
      <c r="AX56" s="142"/>
      <c r="AY56" s="22"/>
    </row>
    <row r="57" spans="1:52" ht="15.6">
      <c r="A57" s="142" t="str">
        <f t="shared" si="23"/>
        <v>Mortality</v>
      </c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059">
        <f>+S43*S24</f>
        <v>0</v>
      </c>
      <c r="T57" s="1059">
        <f t="shared" ref="T57:X57" si="44">+T43*T24</f>
        <v>0</v>
      </c>
      <c r="U57" s="1059">
        <f t="shared" si="44"/>
        <v>0</v>
      </c>
      <c r="V57" s="1059">
        <f t="shared" si="44"/>
        <v>0</v>
      </c>
      <c r="W57" s="1059">
        <f t="shared" si="44"/>
        <v>0</v>
      </c>
      <c r="X57" s="1059">
        <f t="shared" si="44"/>
        <v>0</v>
      </c>
      <c r="Y57" s="1059">
        <f>+Y43*Y24</f>
        <v>-89.097235545506805</v>
      </c>
      <c r="Z57" s="1059">
        <f t="shared" ref="Z57" si="45">+Z43*Z24</f>
        <v>0</v>
      </c>
      <c r="AA57" s="1059">
        <f>+AA43*AA24</f>
        <v>-82.423648394300599</v>
      </c>
      <c r="AB57" s="1059">
        <f>+AB43*AB24</f>
        <v>-244.01573878362925</v>
      </c>
      <c r="AC57" s="1059">
        <f>+AC43*AC24</f>
        <v>0</v>
      </c>
      <c r="AD57" s="1059">
        <f>+AD43*AD24</f>
        <v>-609.53895455079657</v>
      </c>
      <c r="AE57" s="1059">
        <f t="shared" ref="AE57" si="46">+AE43*AE24</f>
        <v>-318.01767146310027</v>
      </c>
      <c r="AF57" s="1059">
        <f>+AF43*AF24</f>
        <v>-721.0712116998875</v>
      </c>
      <c r="AG57" s="1059">
        <f t="shared" ref="AG57" si="47">+AG43*AG24</f>
        <v>-1424.466049033852</v>
      </c>
      <c r="AH57" s="1059">
        <f>+AH43*AH24</f>
        <v>-792.12562717976289</v>
      </c>
      <c r="AI57" s="1059">
        <f>+AI43*AI24</f>
        <v>-259.05388557765309</v>
      </c>
      <c r="AJ57" s="1059">
        <f>+AJ43*AJ24</f>
        <v>-967.13229014723765</v>
      </c>
      <c r="AK57" s="1059">
        <f t="shared" ref="AK57:AT57" si="48">+AK43*AK24</f>
        <v>-277.11824887441912</v>
      </c>
      <c r="AL57" s="1059">
        <f t="shared" si="48"/>
        <v>0</v>
      </c>
      <c r="AM57" s="1059">
        <f t="shared" si="48"/>
        <v>0</v>
      </c>
      <c r="AN57" s="1059">
        <f t="shared" si="48"/>
        <v>-324.66816590022063</v>
      </c>
      <c r="AO57" s="1059">
        <f t="shared" si="48"/>
        <v>-6103.3151710245102</v>
      </c>
      <c r="AP57" s="1059">
        <f t="shared" si="48"/>
        <v>-625.35989474354642</v>
      </c>
      <c r="AQ57" s="1059">
        <f t="shared" si="48"/>
        <v>0</v>
      </c>
      <c r="AR57" s="1059">
        <f t="shared" si="48"/>
        <v>-1221.9873967311155</v>
      </c>
      <c r="AS57" s="1059">
        <f t="shared" si="48"/>
        <v>0</v>
      </c>
      <c r="AT57" s="1059">
        <f t="shared" si="48"/>
        <v>0</v>
      </c>
      <c r="AU57" s="1282">
        <f t="shared" si="19"/>
        <v>-14059.391189649539</v>
      </c>
      <c r="AV57" s="142"/>
      <c r="AW57" s="142"/>
      <c r="AX57" s="142"/>
    </row>
    <row r="58" spans="1:52" ht="15.6">
      <c r="A58" s="142" t="str">
        <f t="shared" si="23"/>
        <v>Rations</v>
      </c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059">
        <f>+S43*S25</f>
        <v>0</v>
      </c>
      <c r="T58" s="1059">
        <f t="shared" ref="T58:X58" si="49">+T43*T25</f>
        <v>0</v>
      </c>
      <c r="U58" s="1059">
        <f t="shared" si="49"/>
        <v>0</v>
      </c>
      <c r="V58" s="1059">
        <f t="shared" si="49"/>
        <v>0</v>
      </c>
      <c r="W58" s="1059">
        <f t="shared" si="49"/>
        <v>0</v>
      </c>
      <c r="X58" s="1059">
        <f t="shared" si="49"/>
        <v>0</v>
      </c>
      <c r="Y58" s="1059">
        <f>+Y43*Y25</f>
        <v>0</v>
      </c>
      <c r="Z58" s="1059">
        <f t="shared" ref="Z58" si="50">+Z43*Z25</f>
        <v>0</v>
      </c>
      <c r="AA58" s="1059">
        <f>+AA43*AA25</f>
        <v>0</v>
      </c>
      <c r="AB58" s="1059">
        <f>+AB43*AB25</f>
        <v>0</v>
      </c>
      <c r="AC58" s="1059">
        <f>+AC43*AC25</f>
        <v>0</v>
      </c>
      <c r="AD58" s="1059">
        <f>+AD43*AD25</f>
        <v>0</v>
      </c>
      <c r="AE58" s="1059">
        <f t="shared" ref="AE58" si="51">+AE43*AE25</f>
        <v>0</v>
      </c>
      <c r="AF58" s="1059">
        <f>+AF43*AF25</f>
        <v>0</v>
      </c>
      <c r="AG58" s="1059">
        <f t="shared" ref="AG58" si="52">+AG43*AG25</f>
        <v>0</v>
      </c>
      <c r="AH58" s="1059">
        <f>+AH43*AH25</f>
        <v>0</v>
      </c>
      <c r="AI58" s="1059">
        <f>+AI43*AI25</f>
        <v>0</v>
      </c>
      <c r="AJ58" s="1059">
        <f t="shared" ref="AJ58:AT58" si="53">+AJ43*AJ25</f>
        <v>0</v>
      </c>
      <c r="AK58" s="1059">
        <f t="shared" si="53"/>
        <v>0</v>
      </c>
      <c r="AL58" s="1059">
        <f t="shared" si="53"/>
        <v>0</v>
      </c>
      <c r="AM58" s="1059">
        <f t="shared" si="53"/>
        <v>0</v>
      </c>
      <c r="AN58" s="1059">
        <f t="shared" si="53"/>
        <v>0</v>
      </c>
      <c r="AO58" s="1059">
        <f t="shared" si="53"/>
        <v>-762.91439637806377</v>
      </c>
      <c r="AP58" s="1059">
        <f t="shared" si="53"/>
        <v>-625.35989474354642</v>
      </c>
      <c r="AQ58" s="1059">
        <f>+AQ43*AQ25</f>
        <v>0</v>
      </c>
      <c r="AR58" s="1059">
        <f t="shared" si="53"/>
        <v>0</v>
      </c>
      <c r="AS58" s="1059">
        <f t="shared" si="53"/>
        <v>0</v>
      </c>
      <c r="AT58" s="1059">
        <f t="shared" si="53"/>
        <v>0</v>
      </c>
      <c r="AU58" s="1282">
        <f t="shared" si="19"/>
        <v>-1388.2742911216101</v>
      </c>
      <c r="AV58" s="142"/>
      <c r="AW58" s="142"/>
      <c r="AX58" s="142"/>
      <c r="AY58" s="621"/>
    </row>
    <row r="59" spans="1:52" ht="15.6">
      <c r="A59" s="142" t="str">
        <f t="shared" si="23"/>
        <v>Pet Food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059">
        <f>+S43*S26</f>
        <v>0</v>
      </c>
      <c r="T59" s="1059">
        <f t="shared" ref="T59:X59" si="54">+T43*T26</f>
        <v>0</v>
      </c>
      <c r="U59" s="1059">
        <f t="shared" si="54"/>
        <v>0</v>
      </c>
      <c r="V59" s="1059">
        <f t="shared" si="54"/>
        <v>0</v>
      </c>
      <c r="W59" s="1059">
        <f t="shared" si="54"/>
        <v>0</v>
      </c>
      <c r="X59" s="1059">
        <f t="shared" si="54"/>
        <v>0</v>
      </c>
      <c r="Y59" s="1059">
        <f>+Y43*Y26</f>
        <v>0</v>
      </c>
      <c r="Z59" s="1059">
        <f t="shared" ref="Z59" si="55">+Z43*Z26</f>
        <v>0</v>
      </c>
      <c r="AA59" s="1059">
        <f>+AA43*AA26</f>
        <v>0</v>
      </c>
      <c r="AB59" s="1059">
        <f>+AB43*AB26</f>
        <v>0</v>
      </c>
      <c r="AC59" s="1059">
        <f>+AC43*AC26</f>
        <v>0</v>
      </c>
      <c r="AD59" s="1059">
        <f>+AD43*AD26</f>
        <v>0</v>
      </c>
      <c r="AE59" s="1059">
        <f t="shared" ref="AE59" si="56">+AE43*AE26</f>
        <v>0</v>
      </c>
      <c r="AF59" s="1059">
        <f>+AF43*AF26</f>
        <v>0</v>
      </c>
      <c r="AG59" s="1059">
        <f t="shared" ref="AG59" si="57">+AG43*AG26</f>
        <v>0</v>
      </c>
      <c r="AH59" s="1059">
        <f>+AH43*AH26</f>
        <v>0</v>
      </c>
      <c r="AI59" s="1059">
        <f>+AI43*AI26</f>
        <v>0</v>
      </c>
      <c r="AJ59" s="1059">
        <f t="shared" ref="AJ59:AT59" si="58">+AJ43*AJ26</f>
        <v>0</v>
      </c>
      <c r="AK59" s="1059">
        <f t="shared" si="58"/>
        <v>0</v>
      </c>
      <c r="AL59" s="1059">
        <f t="shared" si="58"/>
        <v>0</v>
      </c>
      <c r="AM59" s="1059">
        <f t="shared" si="58"/>
        <v>0</v>
      </c>
      <c r="AN59" s="1059">
        <f t="shared" si="58"/>
        <v>0</v>
      </c>
      <c r="AO59" s="1059">
        <f t="shared" si="58"/>
        <v>0</v>
      </c>
      <c r="AP59" s="1059">
        <f t="shared" si="58"/>
        <v>0</v>
      </c>
      <c r="AQ59" s="1059">
        <f>+AQ43*AQ26</f>
        <v>0</v>
      </c>
      <c r="AR59" s="1059">
        <f t="shared" si="58"/>
        <v>0</v>
      </c>
      <c r="AS59" s="1059">
        <f t="shared" si="58"/>
        <v>0</v>
      </c>
      <c r="AT59" s="1059">
        <f t="shared" si="58"/>
        <v>0</v>
      </c>
      <c r="AU59" s="1282">
        <f t="shared" si="19"/>
        <v>0</v>
      </c>
      <c r="AV59" s="142"/>
      <c r="AW59" s="142"/>
      <c r="AX59" s="142"/>
      <c r="AY59" s="621"/>
    </row>
    <row r="60" spans="1:52" ht="15.6">
      <c r="A60" s="142" t="str">
        <f t="shared" si="23"/>
        <v>Farm Sales</v>
      </c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059">
        <f>+S43*S27</f>
        <v>0</v>
      </c>
      <c r="T60" s="1059">
        <f t="shared" ref="T60:X60" si="59">+T43*T27</f>
        <v>0</v>
      </c>
      <c r="U60" s="1059">
        <f t="shared" si="59"/>
        <v>0</v>
      </c>
      <c r="V60" s="1059">
        <f t="shared" si="59"/>
        <v>0</v>
      </c>
      <c r="W60" s="1059">
        <f t="shared" si="59"/>
        <v>0</v>
      </c>
      <c r="X60" s="1059">
        <f t="shared" si="59"/>
        <v>0</v>
      </c>
      <c r="Y60" s="1059">
        <f>+Y43*Y27</f>
        <v>0</v>
      </c>
      <c r="Z60" s="1059">
        <f t="shared" ref="Z60" si="60">+Z43*Z27</f>
        <v>0</v>
      </c>
      <c r="AA60" s="1059">
        <f>+AA43*AA27</f>
        <v>0</v>
      </c>
      <c r="AB60" s="1059">
        <f>+AB43*AB27</f>
        <v>0</v>
      </c>
      <c r="AC60" s="1059">
        <f>+AC43*AC27</f>
        <v>0</v>
      </c>
      <c r="AD60" s="1059">
        <f>+AD43*AD27</f>
        <v>0</v>
      </c>
      <c r="AE60" s="1059">
        <f t="shared" ref="AE60" si="61">+AE43*AE27</f>
        <v>0</v>
      </c>
      <c r="AF60" s="1059">
        <f>+AF43*AF27</f>
        <v>0</v>
      </c>
      <c r="AG60" s="1059">
        <f t="shared" ref="AG60" si="62">+AG43*AG27</f>
        <v>0</v>
      </c>
      <c r="AH60" s="1059">
        <f>+AH43*AH27</f>
        <v>0</v>
      </c>
      <c r="AI60" s="1059">
        <f>+AI43*AI27</f>
        <v>0</v>
      </c>
      <c r="AJ60" s="1059">
        <f t="shared" ref="AJ60:AT60" si="63">+AJ43*AJ27</f>
        <v>0</v>
      </c>
      <c r="AK60" s="1059">
        <f t="shared" si="63"/>
        <v>0</v>
      </c>
      <c r="AL60" s="1059">
        <f t="shared" si="63"/>
        <v>0</v>
      </c>
      <c r="AM60" s="1059">
        <f t="shared" si="63"/>
        <v>0</v>
      </c>
      <c r="AN60" s="1059">
        <f t="shared" si="63"/>
        <v>0</v>
      </c>
      <c r="AO60" s="1059">
        <f t="shared" si="63"/>
        <v>0</v>
      </c>
      <c r="AP60" s="1059">
        <f t="shared" si="63"/>
        <v>0</v>
      </c>
      <c r="AQ60" s="1059">
        <f t="shared" si="63"/>
        <v>0</v>
      </c>
      <c r="AR60" s="1059">
        <f t="shared" si="63"/>
        <v>0</v>
      </c>
      <c r="AS60" s="1059">
        <f t="shared" si="63"/>
        <v>0</v>
      </c>
      <c r="AT60" s="1059">
        <f t="shared" si="63"/>
        <v>0</v>
      </c>
      <c r="AU60" s="1282">
        <f t="shared" si="19"/>
        <v>0</v>
      </c>
      <c r="AV60" s="142"/>
      <c r="AW60" s="142"/>
      <c r="AX60" s="142"/>
      <c r="AY60" s="621">
        <f>AU58/AU25</f>
        <v>277.65485822432203</v>
      </c>
    </row>
    <row r="61" spans="1:52" ht="16.149999999999999" thickBot="1">
      <c r="A61" s="142" t="str">
        <f t="shared" si="23"/>
        <v xml:space="preserve"> Colcom Sales</v>
      </c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059">
        <f>+S43*S28</f>
        <v>0</v>
      </c>
      <c r="T61" s="1059">
        <f t="shared" ref="T61:X61" si="64">+T43*T28</f>
        <v>0</v>
      </c>
      <c r="U61" s="1059">
        <f>+U43*U28</f>
        <v>0</v>
      </c>
      <c r="V61" s="1059">
        <f t="shared" si="64"/>
        <v>0</v>
      </c>
      <c r="W61" s="1059">
        <f t="shared" si="64"/>
        <v>0</v>
      </c>
      <c r="X61" s="1059">
        <f t="shared" si="64"/>
        <v>0</v>
      </c>
      <c r="Y61" s="1059">
        <f>+Y43*Y28</f>
        <v>0</v>
      </c>
      <c r="Z61" s="1059">
        <f t="shared" ref="Z61" si="65">+Z43*Z28</f>
        <v>0</v>
      </c>
      <c r="AA61" s="1059">
        <f>+AA43*AA28</f>
        <v>0</v>
      </c>
      <c r="AB61" s="1059">
        <f>+AB43*AB28</f>
        <v>0</v>
      </c>
      <c r="AC61" s="1059">
        <f>+AC43*AC28</f>
        <v>0</v>
      </c>
      <c r="AD61" s="1059">
        <f>+AD43*AD28</f>
        <v>0</v>
      </c>
      <c r="AE61" s="1059">
        <f t="shared" ref="AE61" si="66">+AE43*AE28</f>
        <v>0</v>
      </c>
      <c r="AF61" s="1059">
        <f>+AF43*AF28</f>
        <v>0</v>
      </c>
      <c r="AG61" s="1059">
        <f t="shared" ref="AG61" si="67">+AG43*AG28</f>
        <v>0</v>
      </c>
      <c r="AH61" s="1059">
        <f>+AH43*AH28</f>
        <v>0</v>
      </c>
      <c r="AI61" s="1059">
        <f>+AI43*AI28</f>
        <v>0</v>
      </c>
      <c r="AJ61" s="1059">
        <f t="shared" ref="AJ61:AT61" si="68">+AJ43*AJ28</f>
        <v>0</v>
      </c>
      <c r="AK61" s="1059">
        <f t="shared" si="68"/>
        <v>0</v>
      </c>
      <c r="AL61" s="1059">
        <f t="shared" si="68"/>
        <v>0</v>
      </c>
      <c r="AM61" s="1059">
        <f t="shared" si="68"/>
        <v>0</v>
      </c>
      <c r="AN61" s="1059">
        <f t="shared" si="68"/>
        <v>0</v>
      </c>
      <c r="AO61" s="1059">
        <f>+AO43*AO28</f>
        <v>-254.30479879268793</v>
      </c>
      <c r="AP61" s="1059">
        <f t="shared" si="68"/>
        <v>-106623.86205377466</v>
      </c>
      <c r="AQ61" s="1059">
        <f t="shared" si="68"/>
        <v>-144193.37104089884</v>
      </c>
      <c r="AR61" s="1059">
        <f t="shared" si="68"/>
        <v>-160895.00723626357</v>
      </c>
      <c r="AS61" s="1059">
        <f t="shared" si="68"/>
        <v>-91650.127130699082</v>
      </c>
      <c r="AT61" s="1059">
        <f t="shared" si="68"/>
        <v>0</v>
      </c>
      <c r="AU61" s="1282">
        <f>SUM(B61:AT61)</f>
        <v>-503616.6722604289</v>
      </c>
      <c r="AV61" s="142"/>
      <c r="AW61" s="142"/>
      <c r="AX61" s="142"/>
      <c r="AY61" s="621"/>
    </row>
    <row r="62" spans="1:52" ht="16.149999999999999" thickBot="1">
      <c r="A62" s="1070" t="s">
        <v>1810</v>
      </c>
      <c r="B62" s="1318">
        <f>SUM(B57:B61)+B41</f>
        <v>0</v>
      </c>
      <c r="C62" s="1318">
        <f t="shared" ref="C62:AT62" si="69">SUM(C57:C61)+C41</f>
        <v>0</v>
      </c>
      <c r="D62" s="1318">
        <f t="shared" si="69"/>
        <v>0</v>
      </c>
      <c r="E62" s="1318">
        <f t="shared" si="69"/>
        <v>0</v>
      </c>
      <c r="F62" s="1318">
        <f t="shared" si="69"/>
        <v>0</v>
      </c>
      <c r="G62" s="1318">
        <f t="shared" si="69"/>
        <v>0</v>
      </c>
      <c r="H62" s="1318">
        <f t="shared" si="69"/>
        <v>0</v>
      </c>
      <c r="I62" s="1318">
        <f t="shared" si="69"/>
        <v>0</v>
      </c>
      <c r="J62" s="1318">
        <f t="shared" si="69"/>
        <v>0</v>
      </c>
      <c r="K62" s="1318">
        <f t="shared" si="69"/>
        <v>0</v>
      </c>
      <c r="L62" s="1318">
        <f t="shared" si="69"/>
        <v>0</v>
      </c>
      <c r="M62" s="1318">
        <f t="shared" si="69"/>
        <v>0</v>
      </c>
      <c r="N62" s="1318">
        <f t="shared" si="69"/>
        <v>0</v>
      </c>
      <c r="O62" s="1318">
        <f t="shared" si="69"/>
        <v>0</v>
      </c>
      <c r="P62" s="1318">
        <f t="shared" si="69"/>
        <v>0</v>
      </c>
      <c r="Q62" s="1318">
        <f t="shared" si="69"/>
        <v>0</v>
      </c>
      <c r="R62" s="1318">
        <f t="shared" si="69"/>
        <v>0</v>
      </c>
      <c r="S62" s="1317">
        <f>SUM(S57:S61)+S41</f>
        <v>0</v>
      </c>
      <c r="T62" s="1317">
        <f>SUM(T57:T61)+T41</f>
        <v>0</v>
      </c>
      <c r="U62" s="1317">
        <f t="shared" si="69"/>
        <v>0</v>
      </c>
      <c r="V62" s="1319">
        <f>SUM(V57:V61)+V41</f>
        <v>0</v>
      </c>
      <c r="W62" s="1319">
        <f t="shared" si="69"/>
        <v>18263.155615094773</v>
      </c>
      <c r="X62" s="1509">
        <f>SUM(X57:X61)+X41</f>
        <v>29915.246013220833</v>
      </c>
      <c r="Y62" s="1509">
        <f>SUM(Y57:Y61)+Y41</f>
        <v>30203.962849926807</v>
      </c>
      <c r="Z62" s="1677">
        <f t="shared" si="69"/>
        <v>27607.416213780576</v>
      </c>
      <c r="AA62" s="1677">
        <f t="shared" si="69"/>
        <v>34782.779622394854</v>
      </c>
      <c r="AB62" s="1677">
        <f t="shared" si="69"/>
        <v>43434.801503486007</v>
      </c>
      <c r="AC62" s="1677">
        <f t="shared" si="69"/>
        <v>54079.629177728115</v>
      </c>
      <c r="AD62" s="1678">
        <f>SUM(AD57:AD61)+AD41</f>
        <v>60649.125977804266</v>
      </c>
      <c r="AE62" s="1678">
        <f t="shared" si="69"/>
        <v>65034.613814204007</v>
      </c>
      <c r="AF62" s="1679">
        <f t="shared" si="69"/>
        <v>63093.731023740154</v>
      </c>
      <c r="AG62" s="1679">
        <f t="shared" si="69"/>
        <v>82822.525993825388</v>
      </c>
      <c r="AH62" s="1680">
        <f t="shared" si="69"/>
        <v>107465.04342072118</v>
      </c>
      <c r="AI62" s="1680">
        <f t="shared" si="69"/>
        <v>108284.52417145899</v>
      </c>
      <c r="AJ62" s="1681">
        <f t="shared" si="69"/>
        <v>100098.19203023909</v>
      </c>
      <c r="AK62" s="1681">
        <f t="shared" si="69"/>
        <v>110570.18130089322</v>
      </c>
      <c r="AL62" s="1681">
        <f t="shared" si="69"/>
        <v>133753.76182399387</v>
      </c>
      <c r="AM62" s="1681">
        <f t="shared" si="69"/>
        <v>132254.73626527382</v>
      </c>
      <c r="AN62" s="1681">
        <f t="shared" si="69"/>
        <v>132139.9435213898</v>
      </c>
      <c r="AO62" s="818">
        <f t="shared" si="69"/>
        <v>97398.737937599479</v>
      </c>
      <c r="AP62" s="818">
        <f t="shared" si="69"/>
        <v>0</v>
      </c>
      <c r="AQ62" s="818">
        <f t="shared" si="69"/>
        <v>0</v>
      </c>
      <c r="AR62" s="818">
        <f t="shared" si="69"/>
        <v>0</v>
      </c>
      <c r="AS62" s="818">
        <f t="shared" si="69"/>
        <v>0</v>
      </c>
      <c r="AT62" s="818">
        <f t="shared" si="69"/>
        <v>0</v>
      </c>
      <c r="AU62" s="1558">
        <f>SUM(B62:AT62)</f>
        <v>1431852.1082767751</v>
      </c>
      <c r="AV62" s="1066"/>
      <c r="AW62" s="1084"/>
      <c r="AX62" s="1066"/>
    </row>
    <row r="63" spans="1:52" s="1" customFormat="1" ht="15.6">
      <c r="A63" s="1075"/>
      <c r="B63" s="1064"/>
      <c r="C63" s="1064"/>
      <c r="D63" s="1498"/>
      <c r="E63" s="1498"/>
      <c r="F63" s="1498"/>
      <c r="G63" s="1064"/>
      <c r="H63" s="1064"/>
      <c r="I63" s="1064"/>
      <c r="J63" s="1064"/>
      <c r="K63" s="1064"/>
      <c r="L63" s="1064"/>
      <c r="M63" s="1064"/>
      <c r="N63" s="1064"/>
      <c r="O63" s="1064"/>
      <c r="P63" s="1064"/>
      <c r="Q63" s="1064"/>
      <c r="R63" s="1064"/>
      <c r="S63" s="1064"/>
      <c r="T63" s="1064"/>
      <c r="U63" s="1064"/>
      <c r="V63" s="1064"/>
      <c r="W63" s="1064"/>
      <c r="X63" s="1064"/>
      <c r="Y63" s="1064"/>
      <c r="Z63" s="1064"/>
      <c r="AA63" s="1064"/>
      <c r="AB63" s="1064"/>
      <c r="AC63" s="1064"/>
      <c r="AD63" s="1064"/>
      <c r="AE63" s="1064"/>
      <c r="AF63" s="1064"/>
      <c r="AG63" s="1064"/>
      <c r="AH63" s="1064"/>
      <c r="AI63" s="1064"/>
      <c r="AJ63" s="1064"/>
      <c r="AK63" s="1064"/>
      <c r="AL63" s="1064"/>
      <c r="AM63" s="1064"/>
      <c r="AN63" s="1064"/>
      <c r="AO63" s="1061"/>
      <c r="AP63" s="1061"/>
      <c r="AQ63" s="1061"/>
      <c r="AR63" s="1061"/>
      <c r="AS63" s="1061"/>
      <c r="AT63" s="1061"/>
      <c r="AU63" s="1062"/>
      <c r="AV63" s="1061"/>
      <c r="AW63" s="1061"/>
      <c r="AX63" s="1061"/>
      <c r="AZ63" s="31"/>
    </row>
    <row r="64" spans="1:52" s="1" customFormat="1" ht="15.6">
      <c r="A64" s="1075" t="s">
        <v>1811</v>
      </c>
      <c r="B64" s="1064"/>
      <c r="C64" s="1064"/>
      <c r="D64" s="1498" t="s">
        <v>1812</v>
      </c>
      <c r="E64" s="1498"/>
      <c r="F64" s="1498" t="s">
        <v>62</v>
      </c>
      <c r="G64" s="1064"/>
      <c r="H64" s="1064"/>
      <c r="I64" s="1064"/>
      <c r="J64" s="1064"/>
      <c r="K64" s="1064"/>
      <c r="L64" s="1064"/>
      <c r="M64" s="1064"/>
      <c r="N64" s="1064"/>
      <c r="O64" s="1064"/>
      <c r="P64" s="1064"/>
      <c r="Q64" s="1064"/>
      <c r="R64" s="1064"/>
      <c r="S64" s="1064"/>
      <c r="T64" s="1064"/>
      <c r="U64" s="1064"/>
      <c r="V64" s="1064"/>
      <c r="W64" s="1064"/>
      <c r="X64" s="1064"/>
      <c r="Y64" s="1064"/>
      <c r="Z64" s="1064"/>
      <c r="AA64" s="1064"/>
      <c r="AB64" s="1064"/>
      <c r="AC64" s="1064"/>
      <c r="AD64" s="1064"/>
      <c r="AE64" s="1064"/>
      <c r="AF64" s="1064"/>
      <c r="AG64" s="1064"/>
      <c r="AH64" s="1064"/>
      <c r="AI64" s="1064"/>
      <c r="AJ64" s="1064"/>
      <c r="AK64" s="1064"/>
      <c r="AL64" s="1064"/>
      <c r="AM64" s="1064"/>
      <c r="AN64" s="1064"/>
      <c r="AO64" s="1061"/>
      <c r="AP64" s="1061"/>
      <c r="AQ64" s="1061"/>
      <c r="AR64" s="1061"/>
      <c r="AS64" s="1061"/>
      <c r="AT64" s="1061"/>
      <c r="AU64" s="1062"/>
      <c r="AV64" s="1061"/>
      <c r="AW64" s="1061"/>
      <c r="AX64" s="1061"/>
      <c r="AZ64" s="31"/>
    </row>
    <row r="65" spans="1:52" ht="15.6">
      <c r="A65" s="1332" t="s">
        <v>1813</v>
      </c>
      <c r="B65" s="1063">
        <f>+'Feed Cost &amp; Allocation'!T77</f>
        <v>0</v>
      </c>
      <c r="C65" s="1061"/>
      <c r="D65" s="1075"/>
      <c r="E65" s="1061"/>
      <c r="F65" s="1075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  <c r="AR65" s="1061"/>
      <c r="AS65" s="1061"/>
      <c r="AT65" s="1061"/>
      <c r="AU65" s="1062"/>
      <c r="AV65" s="1061"/>
      <c r="AW65" s="1061"/>
      <c r="AX65" s="1061"/>
    </row>
    <row r="66" spans="1:52" ht="15">
      <c r="A66" s="1061" t="s">
        <v>60</v>
      </c>
      <c r="B66" s="1064">
        <f>+'Feed Cost &amp; Allocation'!K77</f>
        <v>0</v>
      </c>
      <c r="C66" s="1061"/>
      <c r="D66" s="1063">
        <f>+'Feed Cost &amp; Allocation'!L77</f>
        <v>0</v>
      </c>
      <c r="E66" s="1061"/>
      <c r="F66" s="1063">
        <f>+'Feed Cost &amp; Allocation'!C77</f>
        <v>21975</v>
      </c>
      <c r="G66" s="1064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061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1"/>
      <c r="AW66" s="1061"/>
      <c r="AX66" s="1061"/>
    </row>
    <row r="67" spans="1:52" ht="15">
      <c r="A67" s="1061" t="s">
        <v>1814</v>
      </c>
      <c r="B67" s="1064">
        <f>+'Feed Cost &amp; Allocation'!O77</f>
        <v>0</v>
      </c>
      <c r="C67" s="1061"/>
      <c r="D67" s="1064">
        <f>+'Feed Cost &amp; Allocation'!M77</f>
        <v>0</v>
      </c>
      <c r="E67" s="1061"/>
      <c r="F67" s="1064">
        <f>SUM(W23:Z23)/(SUM(W29:Z29)-SUM(W23:Z23))*F66</f>
        <v>0</v>
      </c>
      <c r="G67" s="1061"/>
      <c r="H67" s="1061"/>
      <c r="I67" s="1061"/>
      <c r="J67" s="1061"/>
      <c r="K67" s="1061"/>
      <c r="L67" s="1061"/>
      <c r="M67" s="1061"/>
      <c r="N67" s="1061"/>
      <c r="O67" s="1061"/>
      <c r="P67" s="1061"/>
      <c r="Q67" s="1061"/>
      <c r="R67" s="1061"/>
      <c r="S67" s="1061"/>
      <c r="T67" s="1061"/>
      <c r="U67" s="1061"/>
      <c r="V67" s="1061"/>
      <c r="W67" s="1061"/>
      <c r="X67" s="1061"/>
      <c r="Y67" s="1061"/>
      <c r="Z67" s="1061"/>
      <c r="AA67" s="1061"/>
      <c r="AB67" s="1061"/>
      <c r="AC67" s="1061"/>
      <c r="AD67" s="1061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  <c r="AR67" s="1061"/>
      <c r="AS67" s="1061"/>
      <c r="AT67" s="1061"/>
      <c r="AU67" s="1062"/>
      <c r="AV67" s="1061"/>
      <c r="AW67" s="1061"/>
      <c r="AX67" s="1061"/>
    </row>
    <row r="68" spans="1:52" ht="15">
      <c r="A68" s="1061" t="s">
        <v>71</v>
      </c>
      <c r="B68" s="1064">
        <f>SUM(B65:B67)</f>
        <v>0</v>
      </c>
      <c r="C68" s="1061"/>
      <c r="D68" s="1064">
        <f>SUM(D66:D67)</f>
        <v>0</v>
      </c>
      <c r="E68" s="1061"/>
      <c r="F68" s="1064">
        <f>SUM(F66:F67)</f>
        <v>21975</v>
      </c>
      <c r="G68" s="1061"/>
      <c r="H68" s="1061"/>
      <c r="I68" s="1061"/>
      <c r="J68" s="1061"/>
      <c r="K68" s="1061"/>
      <c r="L68" s="1061"/>
      <c r="M68" s="1061"/>
      <c r="N68" s="1061"/>
      <c r="O68" s="1061"/>
      <c r="P68" s="1061"/>
      <c r="Q68" s="1061"/>
      <c r="R68" s="1061"/>
      <c r="S68" s="1061"/>
      <c r="T68" s="1061"/>
      <c r="U68" s="1061"/>
      <c r="V68" s="1061"/>
      <c r="W68" s="1061"/>
      <c r="X68" s="1061"/>
      <c r="Y68" s="1061"/>
      <c r="Z68" s="1061"/>
      <c r="AA68" s="1061"/>
      <c r="AB68" s="1061"/>
      <c r="AC68" s="1061"/>
      <c r="AD68" s="1061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  <c r="AR68" s="1061"/>
      <c r="AS68" s="1061"/>
      <c r="AT68" s="1061"/>
      <c r="AU68" s="1062"/>
      <c r="AV68" s="1061"/>
      <c r="AW68" s="1061"/>
      <c r="AX68" s="1061"/>
    </row>
    <row r="69" spans="1:52" ht="15.6">
      <c r="A69" s="1075"/>
      <c r="B69" s="1076"/>
      <c r="C69" s="1061"/>
      <c r="D69" s="1076"/>
      <c r="E69" s="1061"/>
      <c r="F69" s="1064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1"/>
      <c r="AW69" s="1061"/>
      <c r="AX69" s="1061"/>
    </row>
    <row r="70" spans="1:52" s="1" customFormat="1" ht="15.6">
      <c r="A70" s="1077" t="s">
        <v>1815</v>
      </c>
      <c r="B70" s="1077" t="s">
        <v>1773</v>
      </c>
      <c r="C70" s="1077" t="s">
        <v>1773</v>
      </c>
      <c r="D70" s="1077" t="s">
        <v>1773</v>
      </c>
      <c r="E70" s="1078" t="s">
        <v>1773</v>
      </c>
      <c r="F70" s="1078" t="s">
        <v>1773</v>
      </c>
      <c r="G70" s="1078" t="s">
        <v>1773</v>
      </c>
      <c r="H70" s="1078" t="s">
        <v>1773</v>
      </c>
      <c r="I70" s="1078" t="s">
        <v>1773</v>
      </c>
      <c r="J70" s="1078" t="s">
        <v>1773</v>
      </c>
      <c r="K70" s="1078" t="s">
        <v>1773</v>
      </c>
      <c r="L70" s="1078" t="s">
        <v>1773</v>
      </c>
      <c r="M70" s="1078" t="s">
        <v>1773</v>
      </c>
      <c r="N70" s="1078" t="s">
        <v>1773</v>
      </c>
      <c r="O70" s="1078" t="s">
        <v>1773</v>
      </c>
      <c r="P70" s="1078" t="s">
        <v>1773</v>
      </c>
      <c r="Q70" s="1078" t="s">
        <v>1773</v>
      </c>
      <c r="R70" s="1078" t="s">
        <v>1774</v>
      </c>
      <c r="S70" s="1078" t="str">
        <f t="shared" ref="S70:AN70" si="70">+S3</f>
        <v>LACTATE</v>
      </c>
      <c r="T70" s="1078" t="str">
        <f t="shared" si="70"/>
        <v>LACTATE</v>
      </c>
      <c r="U70" s="1078" t="str">
        <f t="shared" si="70"/>
        <v>LACTATE</v>
      </c>
      <c r="V70" s="1078" t="str">
        <f t="shared" si="70"/>
        <v>Early Wean</v>
      </c>
      <c r="W70" s="1078" t="str">
        <f t="shared" si="70"/>
        <v>Early Wean</v>
      </c>
      <c r="X70" s="1078" t="str">
        <f t="shared" si="70"/>
        <v>CREEP</v>
      </c>
      <c r="Y70" s="1078" t="str">
        <f t="shared" si="70"/>
        <v>CREEP</v>
      </c>
      <c r="Z70" s="1078" t="str">
        <f t="shared" si="70"/>
        <v>WEANER</v>
      </c>
      <c r="AA70" s="1078" t="str">
        <f t="shared" si="70"/>
        <v>WEANER</v>
      </c>
      <c r="AB70" s="1078" t="str">
        <f t="shared" si="70"/>
        <v>WEANER</v>
      </c>
      <c r="AC70" s="1078" t="str">
        <f t="shared" si="70"/>
        <v>WEANER</v>
      </c>
      <c r="AD70" s="1078" t="str">
        <f t="shared" si="70"/>
        <v>GROWER 1</v>
      </c>
      <c r="AE70" s="1078" t="str">
        <f t="shared" si="70"/>
        <v>GROWER 1</v>
      </c>
      <c r="AF70" s="1078" t="str">
        <f t="shared" si="70"/>
        <v>GROWER 2</v>
      </c>
      <c r="AG70" s="1078" t="str">
        <f t="shared" si="70"/>
        <v>GROWER 2</v>
      </c>
      <c r="AH70" s="1078" t="str">
        <f t="shared" si="70"/>
        <v>GROWER 3</v>
      </c>
      <c r="AI70" s="1078" t="str">
        <f t="shared" si="70"/>
        <v>GROWER 3</v>
      </c>
      <c r="AJ70" s="1078" t="str">
        <f t="shared" si="70"/>
        <v>FINISHER</v>
      </c>
      <c r="AK70" s="1078" t="str">
        <f t="shared" si="70"/>
        <v>FINISHER</v>
      </c>
      <c r="AL70" s="1078" t="str">
        <f t="shared" si="70"/>
        <v>FINISHER</v>
      </c>
      <c r="AM70" s="1078" t="str">
        <f t="shared" si="70"/>
        <v>FINISHER</v>
      </c>
      <c r="AN70" s="1078" t="str">
        <f t="shared" si="70"/>
        <v>FINISHER</v>
      </c>
      <c r="AO70" s="1078" t="s">
        <v>71</v>
      </c>
      <c r="AZ70" s="31"/>
    </row>
    <row r="71" spans="1:52" ht="15.6">
      <c r="A71" s="1077" t="s">
        <v>1816</v>
      </c>
      <c r="B71" s="1077">
        <v>7</v>
      </c>
      <c r="C71" s="1077">
        <v>7</v>
      </c>
      <c r="D71" s="1077">
        <v>7</v>
      </c>
      <c r="E71" s="1077">
        <v>7</v>
      </c>
      <c r="F71" s="1077">
        <v>7</v>
      </c>
      <c r="G71" s="1077">
        <v>7</v>
      </c>
      <c r="H71" s="1077">
        <v>7</v>
      </c>
      <c r="I71" s="1077">
        <v>7</v>
      </c>
      <c r="J71" s="1077">
        <v>7</v>
      </c>
      <c r="K71" s="1077">
        <v>7</v>
      </c>
      <c r="L71" s="1077">
        <v>7</v>
      </c>
      <c r="M71" s="1077">
        <v>7</v>
      </c>
      <c r="N71" s="1077">
        <v>7</v>
      </c>
      <c r="O71" s="1077">
        <v>7</v>
      </c>
      <c r="P71" s="1077">
        <v>7</v>
      </c>
      <c r="Q71" s="1077">
        <v>7</v>
      </c>
      <c r="R71" s="1077">
        <v>7</v>
      </c>
      <c r="S71" s="1077">
        <v>7</v>
      </c>
      <c r="T71" s="1077">
        <v>7</v>
      </c>
      <c r="U71" s="1077">
        <v>7</v>
      </c>
      <c r="V71" s="1077">
        <v>7</v>
      </c>
      <c r="W71" s="1077">
        <v>7</v>
      </c>
      <c r="X71" s="1077">
        <v>7</v>
      </c>
      <c r="Y71" s="1077">
        <v>7</v>
      </c>
      <c r="Z71" s="1077">
        <v>7</v>
      </c>
      <c r="AA71" s="1077">
        <v>7</v>
      </c>
      <c r="AB71" s="1077">
        <v>7</v>
      </c>
      <c r="AC71" s="1077">
        <v>7</v>
      </c>
      <c r="AD71" s="1077">
        <v>7</v>
      </c>
      <c r="AE71" s="1077">
        <v>7</v>
      </c>
      <c r="AF71" s="1077">
        <v>7</v>
      </c>
      <c r="AG71" s="1077">
        <v>7</v>
      </c>
      <c r="AH71" s="1077">
        <v>7</v>
      </c>
      <c r="AI71" s="1077">
        <v>7</v>
      </c>
      <c r="AJ71" s="1077">
        <v>7</v>
      </c>
      <c r="AK71" s="1077">
        <v>7</v>
      </c>
      <c r="AL71" s="1077">
        <v>7</v>
      </c>
      <c r="AM71" s="1077">
        <v>7</v>
      </c>
      <c r="AN71" s="1077">
        <v>7</v>
      </c>
      <c r="AO71" s="1077"/>
    </row>
    <row r="72" spans="1:52" ht="15.6">
      <c r="A72" s="1077" t="s">
        <v>1817</v>
      </c>
      <c r="B72" s="1077">
        <v>2.5</v>
      </c>
      <c r="C72" s="1077">
        <v>2.5</v>
      </c>
      <c r="D72" s="1077">
        <v>2.5</v>
      </c>
      <c r="E72" s="1077">
        <v>2.5</v>
      </c>
      <c r="F72" s="1077">
        <v>2.2999999999999998</v>
      </c>
      <c r="G72" s="1077">
        <v>2.2999999999999998</v>
      </c>
      <c r="H72" s="1077">
        <v>2.2999999999999998</v>
      </c>
      <c r="I72" s="1077">
        <v>2.2999999999999998</v>
      </c>
      <c r="J72" s="1077">
        <v>2.2999999999999998</v>
      </c>
      <c r="K72" s="1077">
        <v>2.2999999999999998</v>
      </c>
      <c r="L72" s="1077">
        <v>2.2999999999999998</v>
      </c>
      <c r="M72" s="1077">
        <v>2.2999999999999998</v>
      </c>
      <c r="N72" s="1077">
        <v>2.8</v>
      </c>
      <c r="O72" s="1077">
        <v>2.8</v>
      </c>
      <c r="P72" s="1077">
        <v>2.8</v>
      </c>
      <c r="Q72" s="1077">
        <v>2.8</v>
      </c>
      <c r="R72" s="1077">
        <v>5</v>
      </c>
      <c r="S72" s="1080">
        <v>3</v>
      </c>
      <c r="T72" s="1080">
        <v>5.5</v>
      </c>
      <c r="U72" s="1080">
        <v>7</v>
      </c>
      <c r="V72" s="1080">
        <v>9.5</v>
      </c>
      <c r="W72" s="1077">
        <v>0.35</v>
      </c>
      <c r="X72" s="1077">
        <v>0.5</v>
      </c>
      <c r="Y72" s="1077">
        <v>0.6</v>
      </c>
      <c r="Z72" s="1077">
        <v>0.9</v>
      </c>
      <c r="AA72" s="1077">
        <v>1.1000000000000001</v>
      </c>
      <c r="AB72" s="1077">
        <v>1.2</v>
      </c>
      <c r="AC72" s="1080">
        <v>1.4</v>
      </c>
      <c r="AD72" s="1080">
        <v>1.6</v>
      </c>
      <c r="AE72" s="1080">
        <v>1.8</v>
      </c>
      <c r="AF72" s="1080">
        <v>2</v>
      </c>
      <c r="AG72" s="1080">
        <v>2.2000000000000002</v>
      </c>
      <c r="AH72" s="1080">
        <v>2.2999999999999998</v>
      </c>
      <c r="AI72" s="1080">
        <v>2.4</v>
      </c>
      <c r="AJ72" s="1080">
        <v>2.5</v>
      </c>
      <c r="AK72" s="1080">
        <v>2.7</v>
      </c>
      <c r="AL72" s="1080">
        <v>2.9</v>
      </c>
      <c r="AM72" s="1080">
        <v>3</v>
      </c>
      <c r="AN72" s="1080">
        <v>3</v>
      </c>
      <c r="AO72" s="1080"/>
    </row>
    <row r="73" spans="1:52" ht="15.6">
      <c r="A73" s="1077" t="s">
        <v>1818</v>
      </c>
      <c r="B73" s="1081">
        <f>+'Summary Total Pigs'!AF35/17*4</f>
        <v>0</v>
      </c>
      <c r="C73" s="1081">
        <f>+B73</f>
        <v>0</v>
      </c>
      <c r="D73" s="1081">
        <f>+C73</f>
        <v>0</v>
      </c>
      <c r="E73" s="1081">
        <f t="shared" ref="E73:U73" si="71">+D73</f>
        <v>0</v>
      </c>
      <c r="F73" s="1081">
        <f t="shared" si="71"/>
        <v>0</v>
      </c>
      <c r="G73" s="1081">
        <f t="shared" si="71"/>
        <v>0</v>
      </c>
      <c r="H73" s="1081">
        <f t="shared" si="71"/>
        <v>0</v>
      </c>
      <c r="I73" s="1081">
        <f t="shared" si="71"/>
        <v>0</v>
      </c>
      <c r="J73" s="1081">
        <f t="shared" si="71"/>
        <v>0</v>
      </c>
      <c r="K73" s="1081">
        <f t="shared" si="71"/>
        <v>0</v>
      </c>
      <c r="L73" s="1081">
        <f t="shared" si="71"/>
        <v>0</v>
      </c>
      <c r="M73" s="1081">
        <f t="shared" si="71"/>
        <v>0</v>
      </c>
      <c r="N73" s="1081">
        <f t="shared" si="71"/>
        <v>0</v>
      </c>
      <c r="O73" s="1081">
        <f t="shared" si="71"/>
        <v>0</v>
      </c>
      <c r="P73" s="1081">
        <f t="shared" si="71"/>
        <v>0</v>
      </c>
      <c r="Q73" s="1081">
        <f t="shared" si="71"/>
        <v>0</v>
      </c>
      <c r="R73" s="1081">
        <f t="shared" si="71"/>
        <v>0</v>
      </c>
      <c r="S73" s="1081">
        <f t="shared" si="71"/>
        <v>0</v>
      </c>
      <c r="T73" s="1081">
        <f>+S73</f>
        <v>0</v>
      </c>
      <c r="U73" s="1081">
        <f t="shared" si="71"/>
        <v>0</v>
      </c>
      <c r="V73" s="1081">
        <f>U73</f>
        <v>0</v>
      </c>
      <c r="W73" s="1081">
        <f t="shared" ref="W73:AC73" si="72">SUM(W29:Z29)</f>
        <v>1500</v>
      </c>
      <c r="X73" s="1081">
        <f t="shared" si="72"/>
        <v>1521</v>
      </c>
      <c r="Y73" s="1081">
        <f t="shared" si="72"/>
        <v>1457</v>
      </c>
      <c r="Z73" s="1081">
        <f t="shared" si="72"/>
        <v>1460</v>
      </c>
      <c r="AA73" s="1081">
        <f t="shared" si="72"/>
        <v>1518</v>
      </c>
      <c r="AB73" s="1081">
        <f t="shared" si="72"/>
        <v>1505</v>
      </c>
      <c r="AC73" s="1081">
        <f t="shared" si="72"/>
        <v>1499</v>
      </c>
      <c r="AD73" s="1081">
        <f t="shared" ref="AD73:AN73" si="73">SUM(AD7:AG7)</f>
        <v>1588</v>
      </c>
      <c r="AE73" s="1081">
        <f t="shared" si="73"/>
        <v>1596</v>
      </c>
      <c r="AF73" s="1081">
        <f t="shared" si="73"/>
        <v>1605</v>
      </c>
      <c r="AG73" s="1081">
        <f t="shared" si="73"/>
        <v>1668</v>
      </c>
      <c r="AH73" s="1081">
        <f t="shared" si="73"/>
        <v>1652</v>
      </c>
      <c r="AI73" s="1081">
        <f t="shared" si="73"/>
        <v>1571</v>
      </c>
      <c r="AJ73" s="1081">
        <f t="shared" si="73"/>
        <v>1475</v>
      </c>
      <c r="AK73" s="1081">
        <f t="shared" si="73"/>
        <v>1464</v>
      </c>
      <c r="AL73" s="1081">
        <f t="shared" si="73"/>
        <v>1431</v>
      </c>
      <c r="AM73" s="1081">
        <f t="shared" si="73"/>
        <v>1447</v>
      </c>
      <c r="AN73" s="1081">
        <f t="shared" si="73"/>
        <v>1485</v>
      </c>
      <c r="AO73" s="1077"/>
    </row>
    <row r="74" spans="1:52" ht="15.6">
      <c r="A74" s="1077" t="s">
        <v>1819</v>
      </c>
      <c r="B74" s="1081">
        <f>+B71*B72*B73</f>
        <v>0</v>
      </c>
      <c r="C74" s="1081">
        <f t="shared" ref="C74:AN74" si="74">+C71*C72*C73</f>
        <v>0</v>
      </c>
      <c r="D74" s="1081">
        <f t="shared" si="74"/>
        <v>0</v>
      </c>
      <c r="E74" s="1081">
        <f t="shared" si="74"/>
        <v>0</v>
      </c>
      <c r="F74" s="1081">
        <f t="shared" si="74"/>
        <v>0</v>
      </c>
      <c r="G74" s="1081">
        <f t="shared" si="74"/>
        <v>0</v>
      </c>
      <c r="H74" s="1081">
        <f t="shared" si="74"/>
        <v>0</v>
      </c>
      <c r="I74" s="1081">
        <f t="shared" si="74"/>
        <v>0</v>
      </c>
      <c r="J74" s="1081">
        <f t="shared" si="74"/>
        <v>0</v>
      </c>
      <c r="K74" s="1081">
        <f t="shared" si="74"/>
        <v>0</v>
      </c>
      <c r="L74" s="1081">
        <f>+L71*L72*L73</f>
        <v>0</v>
      </c>
      <c r="M74" s="1081">
        <f t="shared" si="74"/>
        <v>0</v>
      </c>
      <c r="N74" s="1081">
        <f t="shared" si="74"/>
        <v>0</v>
      </c>
      <c r="O74" s="1081">
        <f t="shared" si="74"/>
        <v>0</v>
      </c>
      <c r="P74" s="1081">
        <f t="shared" si="74"/>
        <v>0</v>
      </c>
      <c r="Q74" s="1081">
        <f t="shared" si="74"/>
        <v>0</v>
      </c>
      <c r="R74" s="1081">
        <f t="shared" si="74"/>
        <v>0</v>
      </c>
      <c r="S74" s="1081">
        <f t="shared" si="74"/>
        <v>0</v>
      </c>
      <c r="T74" s="1081">
        <f t="shared" si="74"/>
        <v>0</v>
      </c>
      <c r="U74" s="1081">
        <f t="shared" si="74"/>
        <v>0</v>
      </c>
      <c r="V74" s="1081">
        <f t="shared" ref="V74:W74" si="75">V71*V72*V73</f>
        <v>0</v>
      </c>
      <c r="W74" s="1081">
        <f t="shared" si="75"/>
        <v>3674.9999999999995</v>
      </c>
      <c r="X74" s="1081">
        <f>+X71*X72*X73</f>
        <v>5323.5</v>
      </c>
      <c r="Y74" s="1081">
        <f>+Y71*Y72*Y73</f>
        <v>6119.4000000000005</v>
      </c>
      <c r="Z74" s="1081">
        <f>+Z71*Z72*Z73</f>
        <v>9198</v>
      </c>
      <c r="AA74" s="1081">
        <f t="shared" si="74"/>
        <v>11688.600000000002</v>
      </c>
      <c r="AB74" s="1081">
        <f t="shared" si="74"/>
        <v>12642</v>
      </c>
      <c r="AC74" s="1081">
        <f t="shared" si="74"/>
        <v>14690.199999999999</v>
      </c>
      <c r="AD74" s="1081">
        <f t="shared" si="74"/>
        <v>17785.600000000002</v>
      </c>
      <c r="AE74" s="1081">
        <f t="shared" si="74"/>
        <v>20109.599999999999</v>
      </c>
      <c r="AF74" s="1081">
        <f t="shared" si="74"/>
        <v>22470</v>
      </c>
      <c r="AG74" s="1081">
        <f t="shared" si="74"/>
        <v>25687.200000000004</v>
      </c>
      <c r="AH74" s="1081">
        <f t="shared" si="74"/>
        <v>26597.199999999997</v>
      </c>
      <c r="AI74" s="1081">
        <f t="shared" si="74"/>
        <v>26392.800000000003</v>
      </c>
      <c r="AJ74" s="1081">
        <f t="shared" si="74"/>
        <v>25812.5</v>
      </c>
      <c r="AK74" s="1081">
        <f t="shared" si="74"/>
        <v>27669.600000000002</v>
      </c>
      <c r="AL74" s="1081">
        <f t="shared" si="74"/>
        <v>29049.3</v>
      </c>
      <c r="AM74" s="1081">
        <f t="shared" si="74"/>
        <v>30387</v>
      </c>
      <c r="AN74" s="1081">
        <f t="shared" si="74"/>
        <v>31185</v>
      </c>
      <c r="AO74" s="1081">
        <f>SUM(B74:AN74)</f>
        <v>346482.5</v>
      </c>
    </row>
    <row r="75" spans="1:52" ht="15.6">
      <c r="A75" s="1077"/>
      <c r="B75" s="1081"/>
      <c r="C75" s="1081"/>
      <c r="D75" s="1081"/>
      <c r="E75" s="1081"/>
      <c r="F75" s="1081"/>
      <c r="G75" s="1081"/>
      <c r="H75" s="1081"/>
      <c r="I75" s="1081"/>
      <c r="J75" s="1081"/>
      <c r="K75" s="1081"/>
      <c r="L75" s="1081"/>
      <c r="M75" s="1081"/>
      <c r="N75" s="1081"/>
      <c r="O75" s="1081"/>
      <c r="P75" s="1081"/>
      <c r="Q75" s="1081"/>
      <c r="R75" s="1081">
        <f>SUM(B74:R74)+S74</f>
        <v>0</v>
      </c>
      <c r="S75" s="1081">
        <f>SUM(S74)</f>
        <v>0</v>
      </c>
      <c r="T75" s="1081"/>
      <c r="U75" s="1081"/>
      <c r="V75" s="1081"/>
      <c r="W75" s="1081">
        <f>SUM(V74:W74)</f>
        <v>3674.9999999999995</v>
      </c>
      <c r="X75" s="1081"/>
      <c r="Y75" s="1081">
        <f>SUM(X74:Y74)</f>
        <v>11442.900000000001</v>
      </c>
      <c r="Z75" s="1081"/>
      <c r="AA75" s="1081"/>
      <c r="AB75" s="1081"/>
      <c r="AC75" s="1081">
        <f>SUM(Z74:AC74)</f>
        <v>48218.8</v>
      </c>
      <c r="AD75" s="1081"/>
      <c r="AE75" s="1081">
        <f>SUM(AD74:AE74)</f>
        <v>37895.199999999997</v>
      </c>
      <c r="AF75" s="1081"/>
      <c r="AG75" s="1081">
        <f>SUM(AF74:AG74)</f>
        <v>48157.200000000004</v>
      </c>
      <c r="AH75" s="1081"/>
      <c r="AI75" s="1081">
        <f>SUM(AH74:AI74)</f>
        <v>52990</v>
      </c>
      <c r="AJ75" s="1081"/>
      <c r="AK75" s="1081"/>
      <c r="AL75" s="1081"/>
      <c r="AM75" s="1081"/>
      <c r="AN75" s="1081">
        <f>SUM(AJ74:AN74)</f>
        <v>144103.40000000002</v>
      </c>
      <c r="AO75" s="1081">
        <f>SUM(B75:AN75)</f>
        <v>346482.5</v>
      </c>
    </row>
    <row r="76" spans="1:52" ht="15.6">
      <c r="A76" s="1077" t="s">
        <v>1820</v>
      </c>
      <c r="B76" s="1082">
        <f>+IFERROR(B74/$R$75,0)</f>
        <v>0</v>
      </c>
      <c r="C76" s="1082">
        <f>+IFERROR(C74/$R$75,0)</f>
        <v>0</v>
      </c>
      <c r="D76" s="1082">
        <f t="shared" ref="D76:S76" si="76">+IFERROR(D74/$R$75,0)</f>
        <v>0</v>
      </c>
      <c r="E76" s="1082">
        <f t="shared" si="76"/>
        <v>0</v>
      </c>
      <c r="F76" s="1082">
        <f t="shared" si="76"/>
        <v>0</v>
      </c>
      <c r="G76" s="1082">
        <f t="shared" si="76"/>
        <v>0</v>
      </c>
      <c r="H76" s="1082">
        <f t="shared" si="76"/>
        <v>0</v>
      </c>
      <c r="I76" s="1082">
        <f t="shared" si="76"/>
        <v>0</v>
      </c>
      <c r="J76" s="1082">
        <f t="shared" si="76"/>
        <v>0</v>
      </c>
      <c r="K76" s="1082">
        <f t="shared" si="76"/>
        <v>0</v>
      </c>
      <c r="L76" s="1082">
        <f t="shared" si="76"/>
        <v>0</v>
      </c>
      <c r="M76" s="1082">
        <f t="shared" si="76"/>
        <v>0</v>
      </c>
      <c r="N76" s="1082">
        <f t="shared" si="76"/>
        <v>0</v>
      </c>
      <c r="O76" s="1082">
        <f t="shared" si="76"/>
        <v>0</v>
      </c>
      <c r="P76" s="1082">
        <f t="shared" si="76"/>
        <v>0</v>
      </c>
      <c r="Q76" s="1082">
        <f t="shared" si="76"/>
        <v>0</v>
      </c>
      <c r="R76" s="1082">
        <f t="shared" si="76"/>
        <v>0</v>
      </c>
      <c r="S76" s="1082">
        <f t="shared" si="76"/>
        <v>0</v>
      </c>
      <c r="T76" s="1082">
        <f>+IFERROR(T74/$V$75,0)</f>
        <v>0</v>
      </c>
      <c r="U76" s="1082">
        <f>+IFERROR(U74/$V$75,0)</f>
        <v>0</v>
      </c>
      <c r="V76" s="1082">
        <f>V74/$W$75</f>
        <v>0</v>
      </c>
      <c r="W76" s="1082">
        <f>W74/$W$75</f>
        <v>1</v>
      </c>
      <c r="X76" s="1082">
        <f>+IFERROR(X74/$Y$75,0)</f>
        <v>0.46522297669297114</v>
      </c>
      <c r="Y76" s="1082">
        <f>+IFERROR(Y74/$Y$75,0)</f>
        <v>0.53477702330702881</v>
      </c>
      <c r="Z76" s="1082">
        <f>+IFERROR(Z74/$AC$75,0)</f>
        <v>0.19075547296904941</v>
      </c>
      <c r="AA76" s="1082">
        <f>+IFERROR(AA74/$AC$75,0)</f>
        <v>0.24240752569537197</v>
      </c>
      <c r="AB76" s="1082">
        <f>+IFERROR(AB74/$AC$75,0)</f>
        <v>0.26217989663782587</v>
      </c>
      <c r="AC76" s="1082">
        <f>+IFERROR(AC74/$AC$75,0)</f>
        <v>0.3046571046977527</v>
      </c>
      <c r="AD76" s="1082">
        <f>+IFERROR(AD74/$AE$75,0)</f>
        <v>0.46933648588739479</v>
      </c>
      <c r="AE76" s="1082">
        <f>+IFERROR(AE74/$AE$75,0)</f>
        <v>0.53066351411260526</v>
      </c>
      <c r="AF76" s="1082">
        <f>+IFERROR(AF74/$AG$75,0)</f>
        <v>0.4665968951683237</v>
      </c>
      <c r="AG76" s="1082">
        <f>+IFERROR(AG74/$AG$75,0)</f>
        <v>0.5334031048316763</v>
      </c>
      <c r="AH76" s="1082">
        <f>+IFERROR(AH74/$AI$75,0)</f>
        <v>0.50192866578599726</v>
      </c>
      <c r="AI76" s="1082">
        <f>+IFERROR(AI74/$AI$75,0)</f>
        <v>0.49807133421400268</v>
      </c>
      <c r="AJ76" s="1082">
        <f>+IFERROR(AJ74/$AN$75,0)</f>
        <v>0.17912485062809064</v>
      </c>
      <c r="AK76" s="1082">
        <f>+IFERROR(AK74/$AN$75,0)</f>
        <v>0.19201212462717743</v>
      </c>
      <c r="AL76" s="1082">
        <f>+IFERROR(AL74/$AN$75,0)</f>
        <v>0.20158649969396972</v>
      </c>
      <c r="AM76" s="1082">
        <f>+IFERROR(AM74/$AN$75,0)</f>
        <v>0.21086941737668921</v>
      </c>
      <c r="AN76" s="1082">
        <f>+IFERROR(AN74/$AN$75,0)</f>
        <v>0.2164071076740729</v>
      </c>
      <c r="AO76" s="1065"/>
    </row>
    <row r="77" spans="1:52" ht="15">
      <c r="A77" s="1065"/>
      <c r="B77" s="1065"/>
      <c r="C77" s="1065"/>
      <c r="D77" s="1065"/>
      <c r="E77" s="1065"/>
      <c r="F77" s="1065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5"/>
      <c r="AD77" s="1065"/>
      <c r="AE77" s="1065"/>
      <c r="AF77" s="1065"/>
      <c r="AG77" s="1065"/>
      <c r="AH77" s="1065"/>
      <c r="AI77" s="1065"/>
      <c r="AJ77" s="1065"/>
      <c r="AK77" s="1065"/>
      <c r="AL77" s="1065"/>
      <c r="AM77" s="1065"/>
      <c r="AN77" s="1065"/>
      <c r="AO77" s="1065"/>
    </row>
    <row r="78" spans="1:52" ht="15">
      <c r="A78" s="1065"/>
      <c r="B78" s="1065"/>
      <c r="C78" s="1065"/>
      <c r="D78" s="1065"/>
      <c r="E78" s="1065"/>
      <c r="F78" s="1065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5"/>
      <c r="AD78" s="1065"/>
      <c r="AE78" s="1065"/>
      <c r="AF78" s="1065"/>
      <c r="AG78" s="1065"/>
      <c r="AH78" s="1065"/>
      <c r="AI78" s="1065"/>
      <c r="AJ78" s="1065"/>
      <c r="AK78" s="1065"/>
      <c r="AL78" s="1065"/>
      <c r="AM78" s="1065"/>
      <c r="AN78" s="1065"/>
      <c r="AO78" s="1065"/>
    </row>
    <row r="79" spans="1:52" ht="15.6">
      <c r="A79" s="1081" t="s">
        <v>1821</v>
      </c>
      <c r="B79" s="1081"/>
      <c r="C79" s="1081"/>
      <c r="D79" s="1081"/>
      <c r="E79" s="1081"/>
      <c r="F79" s="1081"/>
      <c r="G79" s="1081"/>
      <c r="H79" s="1081"/>
      <c r="I79" s="1081"/>
      <c r="J79" s="1081"/>
      <c r="K79" s="1081"/>
      <c r="L79" s="1081"/>
      <c r="M79" s="1081"/>
      <c r="N79" s="1081"/>
      <c r="O79" s="1081"/>
      <c r="P79" s="1081"/>
      <c r="Q79" s="1081">
        <v>168521.29411764708</v>
      </c>
      <c r="R79" s="1081">
        <v>21277.941176470591</v>
      </c>
      <c r="S79" s="1081">
        <v>12766.764705882353</v>
      </c>
      <c r="T79" s="1081">
        <v>23405.73529411765</v>
      </c>
      <c r="U79" s="1081">
        <v>29789.117647058825</v>
      </c>
      <c r="V79" s="1081">
        <v>40428.088235294119</v>
      </c>
      <c r="W79" s="1081">
        <v>8462.2999999999993</v>
      </c>
      <c r="X79" s="1081"/>
      <c r="Y79" s="1081">
        <v>36180.9</v>
      </c>
      <c r="Z79" s="1081"/>
      <c r="AA79" s="1081"/>
      <c r="AB79" s="1081"/>
      <c r="AC79" s="1081">
        <v>131560.1</v>
      </c>
      <c r="AD79" s="1081"/>
      <c r="AE79" s="1081">
        <v>90648.6</v>
      </c>
      <c r="AF79" s="1081"/>
      <c r="AG79" s="1081">
        <v>110546.80000000002</v>
      </c>
      <c r="AH79" s="1081"/>
      <c r="AI79" s="1081"/>
      <c r="AJ79" s="1081">
        <v>190036</v>
      </c>
      <c r="AK79" s="1081"/>
      <c r="AL79" s="1081"/>
      <c r="AM79" s="1081"/>
      <c r="AN79" s="1081">
        <v>314247.5</v>
      </c>
      <c r="AO79" s="1081">
        <v>1177871.1411764706</v>
      </c>
    </row>
    <row r="80" spans="1:52" ht="15.6">
      <c r="A80" s="1081" t="s">
        <v>1822</v>
      </c>
      <c r="B80" s="1081"/>
      <c r="C80" s="1081"/>
      <c r="D80" s="1081"/>
      <c r="E80" s="1081"/>
      <c r="F80" s="1081"/>
      <c r="G80" s="1081"/>
      <c r="H80" s="1081"/>
      <c r="I80" s="1081"/>
      <c r="J80" s="1081"/>
      <c r="K80" s="1081"/>
      <c r="L80" s="1081"/>
      <c r="M80" s="1081"/>
      <c r="N80" s="1081"/>
      <c r="O80" s="1081"/>
      <c r="P80" s="1081"/>
      <c r="Q80" s="1081">
        <v>273392.90000000002</v>
      </c>
      <c r="R80" s="1081">
        <v>47127.5</v>
      </c>
      <c r="S80" s="1081">
        <v>17559.5</v>
      </c>
      <c r="T80" s="1081"/>
      <c r="U80" s="1081"/>
      <c r="V80" s="1081">
        <v>117633</v>
      </c>
      <c r="W80" s="1081">
        <v>29254.2</v>
      </c>
      <c r="X80" s="1081"/>
      <c r="Y80" s="1081">
        <v>126974</v>
      </c>
      <c r="Z80" s="1081"/>
      <c r="AA80" s="1081"/>
      <c r="AB80" s="1081"/>
      <c r="AC80" s="1081">
        <v>243037.40000000002</v>
      </c>
      <c r="AD80" s="1081"/>
      <c r="AE80" s="1081">
        <v>176588.4</v>
      </c>
      <c r="AF80" s="1081"/>
      <c r="AG80" s="1081">
        <v>59290</v>
      </c>
      <c r="AH80" s="1081"/>
      <c r="AI80" s="1081"/>
      <c r="AJ80" s="1081">
        <v>949048.7</v>
      </c>
      <c r="AK80" s="1081"/>
      <c r="AL80" s="1081"/>
      <c r="AM80" s="1081"/>
      <c r="AN80" s="1081">
        <v>710118.55</v>
      </c>
      <c r="AO80" s="1081">
        <v>2750024.1500000004</v>
      </c>
      <c r="AP80">
        <v>1.8917489796876907E-10</v>
      </c>
    </row>
    <row r="81" spans="1:42" ht="15.6">
      <c r="A81" s="1081" t="s">
        <v>1823</v>
      </c>
      <c r="B81" s="1081"/>
      <c r="C81" s="1081"/>
      <c r="D81" s="1081"/>
      <c r="E81" s="1081"/>
      <c r="F81" s="1081"/>
      <c r="G81" s="1081"/>
      <c r="H81" s="1081"/>
      <c r="I81" s="1081"/>
      <c r="J81" s="1081"/>
      <c r="K81" s="1081"/>
      <c r="L81" s="1081"/>
      <c r="M81" s="1081"/>
      <c r="N81" s="1081"/>
      <c r="O81" s="1081"/>
      <c r="P81" s="1081"/>
      <c r="Q81" s="1081">
        <v>-104871.60588235295</v>
      </c>
      <c r="R81" s="1081">
        <v>-25849.558823529409</v>
      </c>
      <c r="S81" s="1081">
        <v>-4792.7352941176468</v>
      </c>
      <c r="T81" s="1081"/>
      <c r="U81" s="1081"/>
      <c r="V81" s="1081">
        <v>-24010.058823529398</v>
      </c>
      <c r="W81" s="1081">
        <v>-20791.900000000001</v>
      </c>
      <c r="X81" s="1081">
        <v>0</v>
      </c>
      <c r="Y81" s="1081">
        <v>-90793.1</v>
      </c>
      <c r="Z81" s="1081"/>
      <c r="AA81" s="1081"/>
      <c r="AB81" s="1081"/>
      <c r="AC81" s="1081">
        <v>-111477.30000000002</v>
      </c>
      <c r="AD81" s="1081"/>
      <c r="AE81" s="1081">
        <v>-85939.799999999988</v>
      </c>
      <c r="AF81" s="1081"/>
      <c r="AG81" s="1081">
        <v>51256.800000000017</v>
      </c>
      <c r="AH81" s="1081"/>
      <c r="AI81" s="1081"/>
      <c r="AJ81" s="1081">
        <v>-759012.7</v>
      </c>
      <c r="AK81" s="1081"/>
      <c r="AL81" s="1081"/>
      <c r="AM81" s="1081"/>
      <c r="AN81" s="1081">
        <v>-395871.05000000005</v>
      </c>
      <c r="AO81" s="1081">
        <v>-1572153.0088235296</v>
      </c>
      <c r="AP81">
        <v>-86697.799999999814</v>
      </c>
    </row>
    <row r="82" spans="1:42" ht="15.6">
      <c r="A82" s="1081" t="s">
        <v>1824</v>
      </c>
      <c r="B82" s="1077"/>
      <c r="C82" s="1077"/>
      <c r="D82" s="1077"/>
      <c r="E82" s="1077"/>
      <c r="F82" s="1077"/>
      <c r="G82" s="1077"/>
      <c r="H82" s="1077"/>
      <c r="I82" s="1077"/>
      <c r="J82" s="1077"/>
      <c r="K82" s="1077"/>
      <c r="L82" s="1077"/>
      <c r="M82" s="1077"/>
      <c r="N82" s="1077"/>
      <c r="O82" s="1077"/>
      <c r="P82" s="1077"/>
      <c r="Q82" s="1083">
        <v>0.33022565021567968</v>
      </c>
      <c r="R82" s="1080">
        <v>0.37880590011098036</v>
      </c>
      <c r="S82" s="1080">
        <v>0.36773334194341661</v>
      </c>
      <c r="T82" s="1077"/>
      <c r="U82" s="1077"/>
      <c r="V82" s="1080">
        <v>0.38986305594770371</v>
      </c>
      <c r="W82" s="1080">
        <v>0.70516028376225237</v>
      </c>
      <c r="X82" s="1077"/>
      <c r="Y82" s="1080">
        <v>0.553048745740369</v>
      </c>
      <c r="Z82" s="1077"/>
      <c r="AA82" s="1080"/>
      <c r="AB82" s="1077"/>
      <c r="AC82" s="1080">
        <v>0.45761789674138609</v>
      </c>
      <c r="AD82" s="1077"/>
      <c r="AE82" s="1080">
        <v>0.36072118784213153</v>
      </c>
      <c r="AF82" s="1077"/>
      <c r="AG82" s="1080">
        <v>0.35277419368699731</v>
      </c>
      <c r="AH82" s="1077"/>
      <c r="AI82" s="1077"/>
      <c r="AJ82" s="1080">
        <v>0.32545898419719504</v>
      </c>
      <c r="AK82" s="1077"/>
      <c r="AL82" s="1077"/>
      <c r="AM82" s="1077"/>
      <c r="AN82" s="1080">
        <v>0.34727367194923103</v>
      </c>
      <c r="AO82" s="1083">
        <v>0.36183266233990824</v>
      </c>
      <c r="AP82">
        <v>86697.8</v>
      </c>
    </row>
    <row r="83" spans="1:42" ht="15.6">
      <c r="A83" s="1081" t="s">
        <v>1825</v>
      </c>
      <c r="B83" s="1077"/>
      <c r="C83" s="1077"/>
      <c r="D83" s="1077"/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83">
        <v>-34631.294241662501</v>
      </c>
      <c r="R83" s="1083">
        <v>-9791.9653976187928</v>
      </c>
      <c r="S83" s="1083">
        <v>-1762.4485667560459</v>
      </c>
      <c r="T83" s="1077"/>
      <c r="U83" s="1077"/>
      <c r="V83" s="1083">
        <v>-9360.6349064252991</v>
      </c>
      <c r="W83" s="1083">
        <v>-14661.622103956375</v>
      </c>
      <c r="X83" s="1077"/>
      <c r="Y83" s="1083">
        <v>-50213.010076879902</v>
      </c>
      <c r="Z83" s="1077"/>
      <c r="AA83" s="1083"/>
      <c r="AB83" s="1077"/>
      <c r="AC83" s="1083">
        <v>-51014.007560408529</v>
      </c>
      <c r="AD83" s="1077"/>
      <c r="AE83" s="1083">
        <v>-31000.306738915209</v>
      </c>
      <c r="AF83" s="1077"/>
      <c r="AG83" s="1083">
        <v>18082.076290975689</v>
      </c>
      <c r="AH83" s="1077"/>
      <c r="AI83" s="1077"/>
      <c r="AJ83" s="1083">
        <v>-247027.50233477034</v>
      </c>
      <c r="AK83" s="1077"/>
      <c r="AL83" s="1077"/>
      <c r="AM83" s="1077"/>
      <c r="AN83" s="1083">
        <v>-137475.59315189766</v>
      </c>
      <c r="AO83" s="1081">
        <v>-568856.30878831493</v>
      </c>
      <c r="AP83">
        <v>1.8917489796876907E-10</v>
      </c>
    </row>
    <row r="86" spans="1:42" ht="15.6">
      <c r="A86" s="131" t="s">
        <v>1816</v>
      </c>
      <c r="B86" s="1716">
        <v>7</v>
      </c>
      <c r="C86" s="1716">
        <v>7</v>
      </c>
      <c r="D86" s="1716">
        <v>7</v>
      </c>
      <c r="E86" s="1716">
        <v>7</v>
      </c>
      <c r="F86" s="1716">
        <v>7</v>
      </c>
      <c r="G86" s="1716">
        <v>7</v>
      </c>
      <c r="H86" s="1716">
        <v>7</v>
      </c>
      <c r="I86" s="1716">
        <v>7</v>
      </c>
      <c r="J86" s="1716">
        <v>7</v>
      </c>
      <c r="K86" s="1716">
        <v>7</v>
      </c>
      <c r="L86" s="1716">
        <v>7</v>
      </c>
      <c r="M86" s="1716">
        <v>7</v>
      </c>
      <c r="N86" s="1716">
        <v>7</v>
      </c>
      <c r="O86" s="1716">
        <v>7</v>
      </c>
      <c r="P86" s="1716">
        <v>7</v>
      </c>
      <c r="Q86" s="1717">
        <v>7</v>
      </c>
      <c r="R86" s="1717">
        <v>7</v>
      </c>
      <c r="S86" s="1710">
        <v>3</v>
      </c>
      <c r="T86" s="1710">
        <v>7</v>
      </c>
      <c r="U86" s="1709">
        <v>7</v>
      </c>
      <c r="V86" s="1709">
        <v>7</v>
      </c>
      <c r="W86" s="1710">
        <v>4</v>
      </c>
      <c r="X86" s="1709">
        <v>7</v>
      </c>
      <c r="Y86" s="1710">
        <v>7</v>
      </c>
      <c r="Z86" s="1709">
        <v>7</v>
      </c>
      <c r="AA86" s="1710">
        <v>7</v>
      </c>
      <c r="AB86" s="1709">
        <v>7</v>
      </c>
      <c r="AC86" s="1710">
        <v>7</v>
      </c>
      <c r="AD86" s="1709">
        <v>7</v>
      </c>
      <c r="AE86" s="1710">
        <v>7</v>
      </c>
      <c r="AF86" s="1709">
        <v>7</v>
      </c>
      <c r="AG86" s="1710">
        <v>7</v>
      </c>
      <c r="AH86" s="1710">
        <v>7</v>
      </c>
      <c r="AI86" s="1709">
        <v>7</v>
      </c>
      <c r="AJ86" s="1710">
        <v>4</v>
      </c>
      <c r="AK86" s="1710">
        <v>3</v>
      </c>
      <c r="AL86" s="1710">
        <v>7</v>
      </c>
      <c r="AM86" s="1709">
        <v>7</v>
      </c>
      <c r="AN86" s="1709">
        <v>7</v>
      </c>
      <c r="AO86" s="1709">
        <v>4</v>
      </c>
    </row>
    <row r="87" spans="1:42" ht="15.6">
      <c r="A87" s="131" t="s">
        <v>1815</v>
      </c>
      <c r="B87" s="1711" t="s">
        <v>1773</v>
      </c>
      <c r="C87" s="1711" t="s">
        <v>1773</v>
      </c>
      <c r="D87" s="1711" t="s">
        <v>1773</v>
      </c>
      <c r="E87" s="1711" t="s">
        <v>1773</v>
      </c>
      <c r="F87" s="1711" t="s">
        <v>1773</v>
      </c>
      <c r="G87" s="1711" t="s">
        <v>1773</v>
      </c>
      <c r="H87" s="1711" t="s">
        <v>1773</v>
      </c>
      <c r="I87" s="1711" t="s">
        <v>1773</v>
      </c>
      <c r="J87" s="1711" t="s">
        <v>1773</v>
      </c>
      <c r="K87" s="1711" t="s">
        <v>1773</v>
      </c>
      <c r="L87" s="1711" t="s">
        <v>1773</v>
      </c>
      <c r="M87" s="1711" t="s">
        <v>1773</v>
      </c>
      <c r="N87" s="1711" t="s">
        <v>1773</v>
      </c>
      <c r="O87" s="1711" t="s">
        <v>1773</v>
      </c>
      <c r="P87" s="1711" t="s">
        <v>1773</v>
      </c>
      <c r="Q87" s="1711" t="s">
        <v>1773</v>
      </c>
      <c r="R87" s="1711" t="s">
        <v>1826</v>
      </c>
      <c r="S87" s="1711" t="s">
        <v>1775</v>
      </c>
      <c r="T87" s="1711" t="s">
        <v>1775</v>
      </c>
      <c r="U87" s="1711" t="s">
        <v>1775</v>
      </c>
      <c r="V87" s="1711" t="s">
        <v>1775</v>
      </c>
      <c r="W87" s="1711" t="s">
        <v>1775</v>
      </c>
      <c r="X87" s="1711" t="s">
        <v>1776</v>
      </c>
      <c r="Y87" s="1711" t="s">
        <v>1777</v>
      </c>
      <c r="Z87" s="1711" t="s">
        <v>1777</v>
      </c>
      <c r="AA87" s="1711" t="s">
        <v>108</v>
      </c>
      <c r="AB87" s="1711" t="s">
        <v>108</v>
      </c>
      <c r="AC87" s="1711" t="s">
        <v>108</v>
      </c>
      <c r="AD87" s="1711" t="s">
        <v>1778</v>
      </c>
      <c r="AE87" s="1711" t="s">
        <v>1778</v>
      </c>
      <c r="AF87" s="1711" t="s">
        <v>1779</v>
      </c>
      <c r="AG87" s="1711" t="s">
        <v>1779</v>
      </c>
      <c r="AH87" s="1711" t="s">
        <v>1780</v>
      </c>
      <c r="AI87" s="1711" t="s">
        <v>1780</v>
      </c>
      <c r="AJ87" s="1711" t="s">
        <v>1780</v>
      </c>
      <c r="AK87" s="1711" t="s">
        <v>1781</v>
      </c>
      <c r="AL87" s="1711" t="s">
        <v>1781</v>
      </c>
      <c r="AM87" s="1711" t="s">
        <v>1781</v>
      </c>
      <c r="AN87" s="1711" t="s">
        <v>1781</v>
      </c>
      <c r="AO87" s="1711" t="s">
        <v>1781</v>
      </c>
    </row>
    <row r="88" spans="1:42" ht="15.6">
      <c r="A88" s="131" t="s">
        <v>323</v>
      </c>
      <c r="B88" s="1711">
        <v>-16</v>
      </c>
      <c r="C88" s="1711">
        <v>-15</v>
      </c>
      <c r="D88" s="1711">
        <v>-14</v>
      </c>
      <c r="E88" s="1711">
        <v>-13</v>
      </c>
      <c r="F88" s="1711">
        <v>-12</v>
      </c>
      <c r="G88" s="1711">
        <v>-11</v>
      </c>
      <c r="H88" s="1711">
        <v>-10</v>
      </c>
      <c r="I88" s="1711">
        <v>-9</v>
      </c>
      <c r="J88" s="1711">
        <v>-8</v>
      </c>
      <c r="K88" s="1711">
        <v>-7</v>
      </c>
      <c r="L88" s="1711">
        <v>-6</v>
      </c>
      <c r="M88" s="1711">
        <v>-5</v>
      </c>
      <c r="N88" s="1711">
        <v>-4</v>
      </c>
      <c r="O88" s="1711">
        <v>-3</v>
      </c>
      <c r="P88" s="1711">
        <v>-2</v>
      </c>
      <c r="Q88" s="1711">
        <v>-1</v>
      </c>
      <c r="R88" s="1711">
        <v>0</v>
      </c>
      <c r="S88" s="276">
        <v>1</v>
      </c>
      <c r="T88" s="276">
        <v>2</v>
      </c>
      <c r="U88" s="276">
        <v>3</v>
      </c>
      <c r="V88" s="276">
        <v>4</v>
      </c>
      <c r="W88" s="276">
        <v>5</v>
      </c>
      <c r="X88" s="276">
        <v>6</v>
      </c>
      <c r="Y88" s="276">
        <v>7</v>
      </c>
      <c r="Z88" s="276">
        <v>8</v>
      </c>
      <c r="AA88" s="276">
        <v>9</v>
      </c>
      <c r="AB88" s="276">
        <v>10</v>
      </c>
      <c r="AC88" s="276">
        <v>11</v>
      </c>
      <c r="AD88" s="276">
        <v>12</v>
      </c>
      <c r="AE88" s="276">
        <v>13</v>
      </c>
      <c r="AF88" s="276">
        <v>14</v>
      </c>
      <c r="AG88" s="276">
        <v>15</v>
      </c>
      <c r="AH88" s="276">
        <v>16</v>
      </c>
      <c r="AI88" s="276">
        <v>17</v>
      </c>
      <c r="AJ88" s="276">
        <v>18</v>
      </c>
      <c r="AK88" s="276">
        <v>18</v>
      </c>
      <c r="AL88" s="276">
        <v>19</v>
      </c>
      <c r="AM88" s="276">
        <v>20</v>
      </c>
      <c r="AN88" s="276">
        <v>21</v>
      </c>
      <c r="AO88" s="276">
        <v>22</v>
      </c>
    </row>
    <row r="89" spans="1:42" ht="16.149999999999999" thickBot="1">
      <c r="A89" s="131"/>
      <c r="B89" s="1718">
        <f>+B90*B86</f>
        <v>17.5</v>
      </c>
      <c r="C89" s="1718">
        <f t="shared" ref="C89:R89" si="77">+C90*C86</f>
        <v>17.5</v>
      </c>
      <c r="D89" s="1718">
        <f t="shared" si="77"/>
        <v>17.5</v>
      </c>
      <c r="E89" s="1718">
        <f t="shared" si="77"/>
        <v>17.5</v>
      </c>
      <c r="F89" s="1718">
        <f t="shared" si="77"/>
        <v>16.099999999999998</v>
      </c>
      <c r="G89" s="1718">
        <f t="shared" si="77"/>
        <v>16.099999999999998</v>
      </c>
      <c r="H89" s="1718">
        <f t="shared" si="77"/>
        <v>16.099999999999998</v>
      </c>
      <c r="I89" s="1718">
        <f t="shared" si="77"/>
        <v>16.099999999999998</v>
      </c>
      <c r="J89" s="1718">
        <f t="shared" si="77"/>
        <v>16.099999999999998</v>
      </c>
      <c r="K89" s="1718">
        <f t="shared" si="77"/>
        <v>16.099999999999998</v>
      </c>
      <c r="L89" s="1718">
        <f t="shared" si="77"/>
        <v>16.099999999999998</v>
      </c>
      <c r="M89" s="1718">
        <f t="shared" si="77"/>
        <v>16.099999999999998</v>
      </c>
      <c r="N89" s="1718">
        <f t="shared" si="77"/>
        <v>19.599999999999998</v>
      </c>
      <c r="O89" s="1718">
        <f t="shared" si="77"/>
        <v>19.599999999999998</v>
      </c>
      <c r="P89" s="1718">
        <f t="shared" si="77"/>
        <v>19.599999999999998</v>
      </c>
      <c r="Q89" s="1718">
        <f t="shared" si="77"/>
        <v>19.599999999999998</v>
      </c>
      <c r="R89" s="1718">
        <f t="shared" si="77"/>
        <v>35</v>
      </c>
      <c r="S89" s="1699"/>
      <c r="T89" s="1699"/>
      <c r="U89" s="1699"/>
      <c r="V89" s="1700"/>
      <c r="W89" s="1700"/>
      <c r="X89" s="1701">
        <v>4</v>
      </c>
      <c r="Y89" s="1702">
        <v>6</v>
      </c>
      <c r="Z89" s="1702">
        <v>7</v>
      </c>
      <c r="AA89" s="1703">
        <v>10.5</v>
      </c>
      <c r="AB89" s="1703">
        <v>11.9</v>
      </c>
      <c r="AC89" s="1703">
        <v>13.3</v>
      </c>
      <c r="AD89" s="1704">
        <v>15.4</v>
      </c>
      <c r="AE89" s="1704">
        <v>17.5</v>
      </c>
      <c r="AF89" s="1705">
        <v>18.2</v>
      </c>
      <c r="AG89" s="1705">
        <v>18.899999999999999</v>
      </c>
      <c r="AH89" s="1706">
        <v>20.3</v>
      </c>
      <c r="AI89" s="1706">
        <v>21.7</v>
      </c>
      <c r="AJ89" s="1706">
        <v>12.4</v>
      </c>
      <c r="AK89" s="1707">
        <v>9.3000000000000007</v>
      </c>
      <c r="AL89" s="1707">
        <v>21.7</v>
      </c>
      <c r="AM89" s="1708">
        <v>21.7</v>
      </c>
      <c r="AN89" s="1708">
        <v>21.7</v>
      </c>
      <c r="AO89" s="1708">
        <v>12.4</v>
      </c>
    </row>
    <row r="90" spans="1:42" ht="15.6">
      <c r="A90" s="131" t="s">
        <v>1817</v>
      </c>
      <c r="B90" s="142">
        <v>2.5</v>
      </c>
      <c r="C90" s="142">
        <v>2.5</v>
      </c>
      <c r="D90" s="142">
        <v>2.5</v>
      </c>
      <c r="E90" s="142">
        <v>2.5</v>
      </c>
      <c r="F90" s="142">
        <v>2.2999999999999998</v>
      </c>
      <c r="G90" s="142">
        <v>2.2999999999999998</v>
      </c>
      <c r="H90" s="142">
        <v>2.2999999999999998</v>
      </c>
      <c r="I90" s="142">
        <v>2.2999999999999998</v>
      </c>
      <c r="J90" s="142">
        <v>2.2999999999999998</v>
      </c>
      <c r="K90" s="142">
        <v>2.2999999999999998</v>
      </c>
      <c r="L90" s="142">
        <v>2.2999999999999998</v>
      </c>
      <c r="M90" s="142">
        <v>2.2999999999999998</v>
      </c>
      <c r="N90" s="142">
        <v>2.8</v>
      </c>
      <c r="O90" s="142">
        <v>2.8</v>
      </c>
      <c r="P90" s="142">
        <v>2.8</v>
      </c>
      <c r="Q90" s="142">
        <v>2.8</v>
      </c>
      <c r="R90" s="142">
        <v>5</v>
      </c>
      <c r="S90" s="1712">
        <f>+S89/S86</f>
        <v>0</v>
      </c>
      <c r="T90" s="1712">
        <f t="shared" ref="T90:V90" si="78">+T89/T86</f>
        <v>0</v>
      </c>
      <c r="U90" s="1712">
        <f t="shared" si="78"/>
        <v>0</v>
      </c>
      <c r="V90" s="1712">
        <f t="shared" si="78"/>
        <v>0</v>
      </c>
      <c r="W90" s="1712">
        <f>+W89/W86</f>
        <v>0</v>
      </c>
      <c r="X90" s="1712">
        <f>+X89/X86</f>
        <v>0.5714285714285714</v>
      </c>
      <c r="Y90" s="1712">
        <f t="shared" ref="Y90:AD90" si="79">+Y89/Y86</f>
        <v>0.8571428571428571</v>
      </c>
      <c r="Z90" s="1712">
        <f t="shared" si="79"/>
        <v>1</v>
      </c>
      <c r="AA90" s="1712">
        <f t="shared" si="79"/>
        <v>1.5</v>
      </c>
      <c r="AB90" s="1712">
        <f t="shared" si="79"/>
        <v>1.7</v>
      </c>
      <c r="AC90" s="1712">
        <f t="shared" si="79"/>
        <v>1.9000000000000001</v>
      </c>
      <c r="AD90" s="1712">
        <f t="shared" si="79"/>
        <v>2.2000000000000002</v>
      </c>
      <c r="AE90" s="1712">
        <f>+AE89/AE86</f>
        <v>2.5</v>
      </c>
      <c r="AF90" s="1712">
        <f t="shared" ref="AF90:AJ90" si="80">+AF89/AF86</f>
        <v>2.6</v>
      </c>
      <c r="AG90" s="1712">
        <f t="shared" si="80"/>
        <v>2.6999999999999997</v>
      </c>
      <c r="AH90" s="1712">
        <f t="shared" si="80"/>
        <v>2.9</v>
      </c>
      <c r="AI90" s="1712">
        <f t="shared" si="80"/>
        <v>3.1</v>
      </c>
      <c r="AJ90" s="1712">
        <f t="shared" si="80"/>
        <v>3.1</v>
      </c>
      <c r="AK90" s="1712">
        <f>+AK89/AK86</f>
        <v>3.1</v>
      </c>
      <c r="AL90" s="1712">
        <f t="shared" ref="AL90:AO90" si="81">+AL89/AL86</f>
        <v>3.1</v>
      </c>
      <c r="AM90" s="1712">
        <f t="shared" si="81"/>
        <v>3.1</v>
      </c>
      <c r="AN90" s="1712">
        <f t="shared" si="81"/>
        <v>3.1</v>
      </c>
      <c r="AO90" s="1712">
        <f t="shared" si="81"/>
        <v>3.1</v>
      </c>
    </row>
    <row r="91" spans="1:42" ht="15.6">
      <c r="A91" s="142"/>
      <c r="B91" s="1081">
        <f>'Summary Total Pigs'!AF35/17*4</f>
        <v>0</v>
      </c>
      <c r="C91" s="817">
        <f>+B91</f>
        <v>0</v>
      </c>
      <c r="D91" s="817">
        <f t="shared" ref="D91:R91" si="82">+C91</f>
        <v>0</v>
      </c>
      <c r="E91" s="817">
        <f t="shared" si="82"/>
        <v>0</v>
      </c>
      <c r="F91" s="817">
        <f t="shared" si="82"/>
        <v>0</v>
      </c>
      <c r="G91" s="817">
        <f t="shared" si="82"/>
        <v>0</v>
      </c>
      <c r="H91" s="817">
        <f t="shared" si="82"/>
        <v>0</v>
      </c>
      <c r="I91" s="817">
        <f t="shared" si="82"/>
        <v>0</v>
      </c>
      <c r="J91" s="817">
        <f t="shared" si="82"/>
        <v>0</v>
      </c>
      <c r="K91" s="817">
        <f t="shared" si="82"/>
        <v>0</v>
      </c>
      <c r="L91" s="817">
        <f t="shared" si="82"/>
        <v>0</v>
      </c>
      <c r="M91" s="817">
        <f t="shared" si="82"/>
        <v>0</v>
      </c>
      <c r="N91" s="817">
        <f t="shared" si="82"/>
        <v>0</v>
      </c>
      <c r="O91" s="817">
        <f t="shared" si="82"/>
        <v>0</v>
      </c>
      <c r="P91" s="817">
        <f t="shared" si="82"/>
        <v>0</v>
      </c>
      <c r="Q91" s="817">
        <f t="shared" si="82"/>
        <v>0</v>
      </c>
      <c r="R91" s="817">
        <f t="shared" si="82"/>
        <v>0</v>
      </c>
      <c r="S91" s="817">
        <f>+R91</f>
        <v>0</v>
      </c>
      <c r="T91" s="817">
        <f t="shared" ref="T91:V91" si="83">+S91</f>
        <v>0</v>
      </c>
      <c r="U91" s="817">
        <f t="shared" si="83"/>
        <v>0</v>
      </c>
      <c r="V91" s="817">
        <f t="shared" si="83"/>
        <v>0</v>
      </c>
      <c r="W91" s="1059">
        <f>SUM(W7:Z7)</f>
        <v>0</v>
      </c>
      <c r="X91" s="1059">
        <f t="shared" ref="X91:AC91" si="84">+X29/SUM(X29:AA29)</f>
        <v>0.27613412228796846</v>
      </c>
      <c r="Y91" s="1059">
        <f t="shared" si="84"/>
        <v>0.23266986959505834</v>
      </c>
      <c r="Z91" s="1059">
        <f t="shared" si="84"/>
        <v>0.23287671232876711</v>
      </c>
      <c r="AA91" s="1059">
        <f t="shared" si="84"/>
        <v>0.27799736495388672</v>
      </c>
      <c r="AB91" s="1059">
        <f t="shared" si="84"/>
        <v>0.23654485049833887</v>
      </c>
      <c r="AC91" s="1059">
        <f t="shared" si="84"/>
        <v>0.22815210140093395</v>
      </c>
      <c r="AD91" s="1059">
        <f t="shared" ref="AD91:AJ91" si="85">+AD7/SUM(AD7:AG7)</f>
        <v>0.25377833753148615</v>
      </c>
      <c r="AE91" s="1059">
        <f t="shared" si="85"/>
        <v>0.25814536340852129</v>
      </c>
      <c r="AF91" s="1059">
        <f t="shared" si="85"/>
        <v>0.22180685358255453</v>
      </c>
      <c r="AG91" s="1059">
        <f t="shared" si="85"/>
        <v>0.25</v>
      </c>
      <c r="AH91" s="1059">
        <f t="shared" si="85"/>
        <v>0.24878934624697335</v>
      </c>
      <c r="AI91" s="1059">
        <f t="shared" si="85"/>
        <v>0.26798217695735199</v>
      </c>
      <c r="AJ91" s="1059">
        <f t="shared" si="85"/>
        <v>0.28406779661016951</v>
      </c>
      <c r="AK91" s="1059">
        <f>+AK7/SUM(AK7:AQ7)</f>
        <v>0.15781188508461236</v>
      </c>
      <c r="AL91" s="1059">
        <f>+AK7/SUM(AK7:AQ7)</f>
        <v>0.15781188508461236</v>
      </c>
      <c r="AM91" s="1059">
        <f>+AL7/SUM(AK7:AQ7)</f>
        <v>0.12987012987012986</v>
      </c>
      <c r="AN91" s="1059">
        <f>+AM7/SUM(AK7:AQ7)</f>
        <v>0.12790240062967337</v>
      </c>
      <c r="AO91" s="1059">
        <f>AN7/SUM(AK7:AQ7)</f>
        <v>0.16056670602125148</v>
      </c>
    </row>
    <row r="92" spans="1:42" ht="15">
      <c r="A92" s="142"/>
      <c r="B92" s="1059">
        <f t="shared" ref="B92:R92" si="86">+B86*B90*B91</f>
        <v>0</v>
      </c>
      <c r="C92" s="1059">
        <f t="shared" si="86"/>
        <v>0</v>
      </c>
      <c r="D92" s="1059">
        <f t="shared" si="86"/>
        <v>0</v>
      </c>
      <c r="E92" s="1059">
        <f t="shared" si="86"/>
        <v>0</v>
      </c>
      <c r="F92" s="1059">
        <f t="shared" si="86"/>
        <v>0</v>
      </c>
      <c r="G92" s="1059">
        <f t="shared" si="86"/>
        <v>0</v>
      </c>
      <c r="H92" s="1059">
        <f t="shared" si="86"/>
        <v>0</v>
      </c>
      <c r="I92" s="1059">
        <f t="shared" si="86"/>
        <v>0</v>
      </c>
      <c r="J92" s="1059">
        <f t="shared" si="86"/>
        <v>0</v>
      </c>
      <c r="K92" s="1059">
        <f t="shared" si="86"/>
        <v>0</v>
      </c>
      <c r="L92" s="1059">
        <f t="shared" si="86"/>
        <v>0</v>
      </c>
      <c r="M92" s="1059">
        <f t="shared" si="86"/>
        <v>0</v>
      </c>
      <c r="N92" s="1059">
        <f t="shared" si="86"/>
        <v>0</v>
      </c>
      <c r="O92" s="1059">
        <f t="shared" si="86"/>
        <v>0</v>
      </c>
      <c r="P92" s="1059">
        <f t="shared" si="86"/>
        <v>0</v>
      </c>
      <c r="Q92" s="1059">
        <f t="shared" si="86"/>
        <v>0</v>
      </c>
      <c r="R92" s="1059">
        <f t="shared" si="86"/>
        <v>0</v>
      </c>
      <c r="S92" s="1059">
        <f>+S86*S90*S91</f>
        <v>0</v>
      </c>
      <c r="T92" s="1059">
        <f t="shared" ref="T92:X92" si="87">+T86*T90*T91</f>
        <v>0</v>
      </c>
      <c r="U92" s="1059">
        <f t="shared" si="87"/>
        <v>0</v>
      </c>
      <c r="V92" s="1059">
        <f t="shared" si="87"/>
        <v>0</v>
      </c>
      <c r="W92" s="1059">
        <f t="shared" si="87"/>
        <v>0</v>
      </c>
      <c r="X92" s="1059">
        <f t="shared" si="87"/>
        <v>1.1045364891518739</v>
      </c>
      <c r="Y92" s="1059">
        <f>+Y86*Y90*Y91</f>
        <v>1.3960192175703501</v>
      </c>
      <c r="Z92" s="1059">
        <f>+Z86*Z90*Z91</f>
        <v>1.6301369863013697</v>
      </c>
      <c r="AA92" s="1059">
        <f t="shared" ref="AA92:AC92" si="88">+AA86*AA90*AA91</f>
        <v>2.9189723320158105</v>
      </c>
      <c r="AB92" s="1059">
        <f t="shared" si="88"/>
        <v>2.8148837209302329</v>
      </c>
      <c r="AC92" s="1059">
        <f t="shared" si="88"/>
        <v>3.0344229486324217</v>
      </c>
      <c r="AD92" s="1059">
        <f>+AD86*AD90*AD91</f>
        <v>3.9081863979848874</v>
      </c>
      <c r="AE92" s="1059">
        <f>+AE86*AE90*AE91</f>
        <v>4.5175438596491224</v>
      </c>
      <c r="AF92" s="1059">
        <f t="shared" ref="AF92:AO92" si="89">+AF86*AF90*AF91</f>
        <v>4.0368847352024924</v>
      </c>
      <c r="AG92" s="1059">
        <f t="shared" si="89"/>
        <v>4.7249999999999996</v>
      </c>
      <c r="AH92" s="1059">
        <f t="shared" si="89"/>
        <v>5.0504237288135592</v>
      </c>
      <c r="AI92" s="1059">
        <f t="shared" si="89"/>
        <v>5.815213239974538</v>
      </c>
      <c r="AJ92" s="1059">
        <f t="shared" si="89"/>
        <v>3.5224406779661019</v>
      </c>
      <c r="AK92" s="1059">
        <f t="shared" si="89"/>
        <v>1.467650531286895</v>
      </c>
      <c r="AL92" s="1059">
        <f t="shared" si="89"/>
        <v>3.4245179063360882</v>
      </c>
      <c r="AM92" s="1059">
        <f t="shared" si="89"/>
        <v>2.8181818181818179</v>
      </c>
      <c r="AN92" s="1059">
        <f>+AN86*AN90*AN91</f>
        <v>2.775482093663912</v>
      </c>
      <c r="AO92" s="1059">
        <f t="shared" si="89"/>
        <v>1.9910271546635183</v>
      </c>
    </row>
    <row r="93" spans="1:42" ht="15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818">
        <f>SUM(B92:R92)</f>
        <v>0</v>
      </c>
      <c r="S93" s="142"/>
      <c r="T93" s="142"/>
      <c r="U93" s="142"/>
      <c r="V93" s="142"/>
      <c r="W93" s="818">
        <f>SUM(S92:W92)</f>
        <v>0</v>
      </c>
      <c r="X93" s="818">
        <f>SUM(X92)</f>
        <v>1.1045364891518739</v>
      </c>
      <c r="Y93" s="142"/>
      <c r="Z93" s="818">
        <f>SUM(Y92:Z92)</f>
        <v>3.0261562038717198</v>
      </c>
      <c r="AA93" s="142"/>
      <c r="AB93" s="142"/>
      <c r="AC93" s="818">
        <f>SUM(AA92:AC92)</f>
        <v>8.7682790015784651</v>
      </c>
      <c r="AD93" s="142"/>
      <c r="AE93" s="818">
        <f>SUM(AD92:AE92)</f>
        <v>8.4257302576340098</v>
      </c>
      <c r="AF93" s="142"/>
      <c r="AG93" s="818">
        <f>SUM(AF92:AG92)</f>
        <v>8.7618847352024929</v>
      </c>
      <c r="AH93" s="142"/>
      <c r="AI93" s="142"/>
      <c r="AJ93" s="818">
        <f>SUM(AH92:AJ92)</f>
        <v>14.3880776467542</v>
      </c>
      <c r="AK93" s="142"/>
      <c r="AL93" s="142"/>
      <c r="AM93" s="142"/>
      <c r="AN93" s="142"/>
      <c r="AO93" s="818">
        <f>SUM(AK92:AO92)</f>
        <v>12.476859504132232</v>
      </c>
    </row>
    <row r="94" spans="1:42" ht="15.6">
      <c r="A94" s="142"/>
      <c r="B94" s="1715">
        <f>+IFERROR(B92/$R$93,0)</f>
        <v>0</v>
      </c>
      <c r="C94" s="1715">
        <f t="shared" ref="C94:W94" si="90">+IFERROR(C92/$R$93,0)</f>
        <v>0</v>
      </c>
      <c r="D94" s="1715">
        <f t="shared" si="90"/>
        <v>0</v>
      </c>
      <c r="E94" s="1715">
        <f t="shared" si="90"/>
        <v>0</v>
      </c>
      <c r="F94" s="1715">
        <f t="shared" si="90"/>
        <v>0</v>
      </c>
      <c r="G94" s="1715">
        <f t="shared" si="90"/>
        <v>0</v>
      </c>
      <c r="H94" s="1715">
        <f t="shared" si="90"/>
        <v>0</v>
      </c>
      <c r="I94" s="1715">
        <f t="shared" si="90"/>
        <v>0</v>
      </c>
      <c r="J94" s="1715">
        <f t="shared" si="90"/>
        <v>0</v>
      </c>
      <c r="K94" s="1715">
        <f t="shared" si="90"/>
        <v>0</v>
      </c>
      <c r="L94" s="1715">
        <f t="shared" si="90"/>
        <v>0</v>
      </c>
      <c r="M94" s="1715">
        <f t="shared" si="90"/>
        <v>0</v>
      </c>
      <c r="N94" s="1715">
        <f t="shared" si="90"/>
        <v>0</v>
      </c>
      <c r="O94" s="1715">
        <f t="shared" si="90"/>
        <v>0</v>
      </c>
      <c r="P94" s="1715">
        <f t="shared" si="90"/>
        <v>0</v>
      </c>
      <c r="Q94" s="1715">
        <f t="shared" si="90"/>
        <v>0</v>
      </c>
      <c r="R94" s="1715">
        <f t="shared" si="90"/>
        <v>0</v>
      </c>
      <c r="S94" s="1715">
        <f t="shared" si="90"/>
        <v>0</v>
      </c>
      <c r="T94" s="1715">
        <f t="shared" si="90"/>
        <v>0</v>
      </c>
      <c r="U94" s="1715">
        <f t="shared" si="90"/>
        <v>0</v>
      </c>
      <c r="V94" s="1715">
        <f t="shared" si="90"/>
        <v>0</v>
      </c>
      <c r="W94" s="1715">
        <f t="shared" si="90"/>
        <v>0</v>
      </c>
      <c r="X94" s="1715">
        <f>+IFERROR(X92/$X$93,0)</f>
        <v>1</v>
      </c>
      <c r="Y94" s="1715">
        <f>+Y92/Z93</f>
        <v>0.46131763316918589</v>
      </c>
      <c r="Z94" s="1715">
        <f>+Z92/Z93</f>
        <v>0.53868236683081416</v>
      </c>
      <c r="AA94" s="1715">
        <f>+AA92/AC93</f>
        <v>0.33290139735406882</v>
      </c>
      <c r="AB94" s="1715">
        <f>+AB92/AC93</f>
        <v>0.32103035503586252</v>
      </c>
      <c r="AC94" s="1715">
        <f>+AC92/AC93</f>
        <v>0.34606824761006866</v>
      </c>
      <c r="AD94" s="1715">
        <f>+AD92/AE93</f>
        <v>0.46383948672507436</v>
      </c>
      <c r="AE94" s="1715">
        <f>+AE92/AE93</f>
        <v>0.53616051327492564</v>
      </c>
      <c r="AF94" s="1715">
        <f>+AF92/AG93</f>
        <v>0.46073246307196453</v>
      </c>
      <c r="AG94" s="1715">
        <f>+AG92/AG93</f>
        <v>0.53926753692803531</v>
      </c>
      <c r="AH94" s="1715">
        <f>+AH92/AJ93</f>
        <v>0.3510144894132457</v>
      </c>
      <c r="AI94" s="1715">
        <f>+AI92/AJ93</f>
        <v>0.40416888084325769</v>
      </c>
      <c r="AJ94" s="1715">
        <f>+AJ92/AJ93</f>
        <v>0.24481662974349655</v>
      </c>
      <c r="AK94" s="1715">
        <f>+AK92/AO93</f>
        <v>0.11762980346142564</v>
      </c>
      <c r="AL94" s="1715">
        <f>+AL92/AO93</f>
        <v>0.27446954140999313</v>
      </c>
      <c r="AM94" s="1715">
        <f>+AM92/AO93</f>
        <v>0.22587268993839832</v>
      </c>
      <c r="AN94" s="1715">
        <f>+AN92/AO93</f>
        <v>0.22245037645448323</v>
      </c>
      <c r="AO94" s="1715">
        <f>+AO92/AO93</f>
        <v>0.1595775887356996</v>
      </c>
    </row>
    <row r="95" spans="1:42" ht="15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</row>
  </sheetData>
  <pageMargins left="0.7" right="0.7" top="0.75" bottom="0.75" header="0.3" footer="0.3"/>
  <pageSetup paperSize="9" scale="10" orientation="portrait" r:id="rId1"/>
  <legacy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50">
    <tabColor theme="6" tint="-0.249977111117893"/>
  </sheetPr>
  <dimension ref="A1:AZ88"/>
  <sheetViews>
    <sheetView view="pageBreakPreview" zoomScale="60" zoomScaleNormal="77" workbookViewId="0">
      <pane xSplit="1" ySplit="5" topLeftCell="V21" activePane="bottomRight" state="frozen"/>
      <selection pane="bottomRight" activeCell="X36" sqref="X36"/>
      <selection pane="bottomLeft" activeCell="A6" sqref="A6"/>
      <selection pane="topRight" activeCell="B1" sqref="B1"/>
    </sheetView>
  </sheetViews>
  <sheetFormatPr defaultRowHeight="13.15"/>
  <cols>
    <col min="1" max="1" width="34.5703125" bestFit="1" customWidth="1"/>
    <col min="2" max="2" width="16.28515625" bestFit="1" customWidth="1"/>
    <col min="3" max="3" width="14.85546875" bestFit="1" customWidth="1"/>
    <col min="4" max="4" width="16.28515625" bestFit="1" customWidth="1"/>
    <col min="5" max="5" width="14.85546875" bestFit="1" customWidth="1"/>
    <col min="6" max="6" width="21.5703125" customWidth="1"/>
    <col min="7" max="16" width="14.85546875" bestFit="1" customWidth="1"/>
    <col min="17" max="17" width="18" bestFit="1" customWidth="1"/>
    <col min="18" max="18" width="16.5703125" bestFit="1" customWidth="1"/>
    <col min="19" max="19" width="20.42578125" bestFit="1" customWidth="1"/>
    <col min="20" max="21" width="14.85546875" bestFit="1" customWidth="1"/>
    <col min="22" max="22" width="16.7109375" bestFit="1" customWidth="1"/>
    <col min="23" max="23" width="21.85546875" bestFit="1" customWidth="1"/>
    <col min="24" max="24" width="23.140625" bestFit="1" customWidth="1"/>
    <col min="25" max="27" width="23.5703125" bestFit="1" customWidth="1"/>
    <col min="28" max="28" width="22.28515625" customWidth="1"/>
    <col min="29" max="29" width="23.5703125" bestFit="1" customWidth="1"/>
    <col min="30" max="32" width="22.42578125" bestFit="1" customWidth="1"/>
    <col min="33" max="33" width="23.5703125" bestFit="1" customWidth="1"/>
    <col min="34" max="34" width="22.42578125" bestFit="1" customWidth="1"/>
    <col min="35" max="35" width="23.5703125" bestFit="1" customWidth="1"/>
    <col min="36" max="36" width="22.42578125" bestFit="1" customWidth="1"/>
    <col min="37" max="37" width="23.5703125" bestFit="1" customWidth="1"/>
    <col min="38" max="38" width="22.42578125" bestFit="1" customWidth="1"/>
    <col min="39" max="40" width="23.5703125" bestFit="1" customWidth="1"/>
    <col min="41" max="41" width="22.42578125" bestFit="1" customWidth="1"/>
    <col min="42" max="42" width="23.42578125" bestFit="1" customWidth="1"/>
    <col min="43" max="43" width="22" bestFit="1" customWidth="1"/>
    <col min="44" max="44" width="23.42578125" bestFit="1" customWidth="1"/>
    <col min="45" max="45" width="22.7109375" bestFit="1" customWidth="1"/>
    <col min="46" max="46" width="22.5703125" customWidth="1"/>
    <col min="47" max="47" width="25" bestFit="1" customWidth="1"/>
    <col min="48" max="48" width="18.28515625" bestFit="1" customWidth="1"/>
    <col min="49" max="49" width="20.42578125" bestFit="1" customWidth="1"/>
    <col min="50" max="50" width="9.140625" customWidth="1"/>
    <col min="51" max="51" width="11.28515625" bestFit="1" customWidth="1"/>
    <col min="52" max="52" width="9.140625" style="23" customWidth="1"/>
    <col min="53" max="53" width="12.5703125" bestFit="1" customWidth="1"/>
  </cols>
  <sheetData>
    <row r="1" spans="1:52" ht="15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057"/>
      <c r="AV1" s="142"/>
      <c r="AW1" s="142"/>
      <c r="AX1" s="142"/>
    </row>
    <row r="2" spans="1:52" s="1" customFormat="1" ht="15.6">
      <c r="A2" s="1066" t="s">
        <v>1772</v>
      </c>
      <c r="B2" s="131">
        <v>1</v>
      </c>
      <c r="C2" s="131">
        <f t="shared" ref="C2:AO2" si="0">B2+1</f>
        <v>2</v>
      </c>
      <c r="D2" s="131">
        <f t="shared" si="0"/>
        <v>3</v>
      </c>
      <c r="E2" s="131">
        <f t="shared" si="0"/>
        <v>4</v>
      </c>
      <c r="F2" s="131">
        <f t="shared" si="0"/>
        <v>5</v>
      </c>
      <c r="G2" s="131">
        <f t="shared" si="0"/>
        <v>6</v>
      </c>
      <c r="H2" s="131">
        <f t="shared" si="0"/>
        <v>7</v>
      </c>
      <c r="I2" s="131">
        <f t="shared" si="0"/>
        <v>8</v>
      </c>
      <c r="J2" s="131">
        <f t="shared" si="0"/>
        <v>9</v>
      </c>
      <c r="K2" s="131">
        <f t="shared" si="0"/>
        <v>10</v>
      </c>
      <c r="L2" s="131">
        <f t="shared" si="0"/>
        <v>11</v>
      </c>
      <c r="M2" s="131">
        <f t="shared" si="0"/>
        <v>12</v>
      </c>
      <c r="N2" s="131">
        <f t="shared" si="0"/>
        <v>13</v>
      </c>
      <c r="O2" s="131">
        <f t="shared" si="0"/>
        <v>14</v>
      </c>
      <c r="P2" s="131">
        <f t="shared" si="0"/>
        <v>15</v>
      </c>
      <c r="Q2" s="131">
        <f t="shared" si="0"/>
        <v>16</v>
      </c>
      <c r="R2" s="131">
        <f t="shared" si="0"/>
        <v>17</v>
      </c>
      <c r="S2" s="131">
        <f t="shared" si="0"/>
        <v>18</v>
      </c>
      <c r="T2" s="131">
        <f t="shared" si="0"/>
        <v>19</v>
      </c>
      <c r="U2" s="131">
        <f t="shared" si="0"/>
        <v>20</v>
      </c>
      <c r="V2" s="131">
        <f t="shared" si="0"/>
        <v>21</v>
      </c>
      <c r="W2" s="131">
        <f t="shared" si="0"/>
        <v>22</v>
      </c>
      <c r="X2" s="131">
        <f t="shared" si="0"/>
        <v>23</v>
      </c>
      <c r="Y2" s="131">
        <f t="shared" si="0"/>
        <v>24</v>
      </c>
      <c r="Z2" s="131">
        <f t="shared" si="0"/>
        <v>25</v>
      </c>
      <c r="AA2" s="131">
        <f t="shared" si="0"/>
        <v>26</v>
      </c>
      <c r="AB2" s="131">
        <f t="shared" si="0"/>
        <v>27</v>
      </c>
      <c r="AC2" s="131">
        <f t="shared" si="0"/>
        <v>28</v>
      </c>
      <c r="AD2" s="131">
        <f t="shared" si="0"/>
        <v>29</v>
      </c>
      <c r="AE2" s="131">
        <f t="shared" si="0"/>
        <v>30</v>
      </c>
      <c r="AF2" s="131">
        <f t="shared" si="0"/>
        <v>31</v>
      </c>
      <c r="AG2" s="131">
        <f t="shared" si="0"/>
        <v>32</v>
      </c>
      <c r="AH2" s="131">
        <f t="shared" si="0"/>
        <v>33</v>
      </c>
      <c r="AI2" s="131">
        <f t="shared" si="0"/>
        <v>34</v>
      </c>
      <c r="AJ2" s="131">
        <f t="shared" si="0"/>
        <v>35</v>
      </c>
      <c r="AK2" s="131">
        <f t="shared" si="0"/>
        <v>36</v>
      </c>
      <c r="AL2" s="131">
        <f t="shared" si="0"/>
        <v>37</v>
      </c>
      <c r="AM2" s="131">
        <f t="shared" si="0"/>
        <v>38</v>
      </c>
      <c r="AN2" s="131">
        <f t="shared" si="0"/>
        <v>39</v>
      </c>
      <c r="AO2" s="131">
        <f t="shared" si="0"/>
        <v>40</v>
      </c>
      <c r="AP2" s="131"/>
      <c r="AQ2" s="131"/>
      <c r="AR2" s="1499"/>
      <c r="AS2" s="131"/>
      <c r="AT2" s="131"/>
      <c r="AU2" s="1086"/>
      <c r="AV2" s="131"/>
      <c r="AW2" s="131"/>
      <c r="AX2" s="131"/>
      <c r="AZ2" s="31"/>
    </row>
    <row r="3" spans="1:52" ht="15.6">
      <c r="A3" s="131"/>
      <c r="B3" s="130" t="s">
        <v>1773</v>
      </c>
      <c r="C3" s="130" t="s">
        <v>1773</v>
      </c>
      <c r="D3" s="130" t="s">
        <v>1773</v>
      </c>
      <c r="E3" s="130" t="s">
        <v>1773</v>
      </c>
      <c r="F3" s="130" t="s">
        <v>1773</v>
      </c>
      <c r="G3" s="130" t="s">
        <v>1773</v>
      </c>
      <c r="H3" s="130" t="s">
        <v>1773</v>
      </c>
      <c r="I3" s="130" t="s">
        <v>1773</v>
      </c>
      <c r="J3" s="130" t="s">
        <v>1773</v>
      </c>
      <c r="K3" s="130" t="s">
        <v>1773</v>
      </c>
      <c r="L3" s="130" t="s">
        <v>1773</v>
      </c>
      <c r="M3" s="130" t="s">
        <v>1773</v>
      </c>
      <c r="N3" s="130" t="s">
        <v>1773</v>
      </c>
      <c r="O3" s="130" t="s">
        <v>1773</v>
      </c>
      <c r="P3" s="130" t="s">
        <v>1773</v>
      </c>
      <c r="Q3" s="130" t="s">
        <v>1773</v>
      </c>
      <c r="R3" s="130" t="s">
        <v>1774</v>
      </c>
      <c r="S3" s="130" t="s">
        <v>1775</v>
      </c>
      <c r="T3" s="130" t="s">
        <v>1775</v>
      </c>
      <c r="U3" s="130" t="s">
        <v>1775</v>
      </c>
      <c r="V3" s="130" t="s">
        <v>1776</v>
      </c>
      <c r="W3" s="130" t="s">
        <v>1776</v>
      </c>
      <c r="X3" s="130" t="s">
        <v>1777</v>
      </c>
      <c r="Y3" s="130" t="s">
        <v>1777</v>
      </c>
      <c r="Z3" s="130" t="s">
        <v>108</v>
      </c>
      <c r="AA3" s="130" t="s">
        <v>108</v>
      </c>
      <c r="AB3" s="130" t="s">
        <v>108</v>
      </c>
      <c r="AC3" s="130" t="s">
        <v>108</v>
      </c>
      <c r="AD3" s="130" t="s">
        <v>1778</v>
      </c>
      <c r="AE3" s="130" t="s">
        <v>1778</v>
      </c>
      <c r="AF3" s="130" t="s">
        <v>1779</v>
      </c>
      <c r="AG3" s="130" t="s">
        <v>1779</v>
      </c>
      <c r="AH3" s="130" t="s">
        <v>1780</v>
      </c>
      <c r="AI3" s="130" t="s">
        <v>1780</v>
      </c>
      <c r="AJ3" s="130" t="s">
        <v>1781</v>
      </c>
      <c r="AK3" s="130" t="s">
        <v>1781</v>
      </c>
      <c r="AL3" s="130" t="s">
        <v>1781</v>
      </c>
      <c r="AM3" s="130" t="s">
        <v>1781</v>
      </c>
      <c r="AN3" s="130" t="s">
        <v>1781</v>
      </c>
      <c r="AO3" s="130" t="s">
        <v>1781</v>
      </c>
      <c r="AP3" s="131"/>
      <c r="AQ3" s="131"/>
      <c r="AR3" s="1085"/>
      <c r="AS3" s="131"/>
      <c r="AT3" s="131"/>
      <c r="AU3" s="1086"/>
      <c r="AV3" s="131"/>
      <c r="AW3" s="131"/>
      <c r="AX3" s="131"/>
    </row>
    <row r="4" spans="1:52" ht="15.6">
      <c r="A4" s="1066" t="s">
        <v>1782</v>
      </c>
      <c r="B4" s="1066">
        <v>23</v>
      </c>
      <c r="C4" s="1066">
        <v>24</v>
      </c>
      <c r="D4" s="1066">
        <v>25</v>
      </c>
      <c r="E4" s="1066">
        <v>26</v>
      </c>
      <c r="F4" s="1066">
        <v>27</v>
      </c>
      <c r="G4" s="1066">
        <v>28</v>
      </c>
      <c r="H4" s="1066">
        <v>29</v>
      </c>
      <c r="I4" s="1066">
        <v>30</v>
      </c>
      <c r="J4" s="1066">
        <v>31</v>
      </c>
      <c r="K4" s="1066">
        <v>32</v>
      </c>
      <c r="L4" s="1066">
        <v>33</v>
      </c>
      <c r="M4" s="1066">
        <v>34</v>
      </c>
      <c r="N4" s="1066">
        <v>35</v>
      </c>
      <c r="O4" s="1066">
        <v>36</v>
      </c>
      <c r="P4" s="1066">
        <v>37</v>
      </c>
      <c r="Q4" s="1066">
        <v>38</v>
      </c>
      <c r="R4" s="1066">
        <v>39</v>
      </c>
      <c r="S4" s="1067">
        <v>40</v>
      </c>
      <c r="T4" s="1066">
        <v>41</v>
      </c>
      <c r="U4" s="1066">
        <v>42</v>
      </c>
      <c r="V4" s="1066">
        <v>43</v>
      </c>
      <c r="W4" s="1066">
        <v>44</v>
      </c>
      <c r="X4" s="1066">
        <v>45</v>
      </c>
      <c r="Y4" s="1066">
        <v>46</v>
      </c>
      <c r="Z4" s="1066">
        <v>47</v>
      </c>
      <c r="AA4" s="1066">
        <v>48</v>
      </c>
      <c r="AB4" s="1066">
        <v>49</v>
      </c>
      <c r="AC4" s="1066">
        <v>50</v>
      </c>
      <c r="AD4" s="1066">
        <v>51</v>
      </c>
      <c r="AE4" s="1066">
        <v>52</v>
      </c>
      <c r="AF4" s="1066">
        <v>1</v>
      </c>
      <c r="AG4" s="1066">
        <v>2</v>
      </c>
      <c r="AH4" s="1066">
        <v>3</v>
      </c>
      <c r="AI4" s="1066">
        <v>4</v>
      </c>
      <c r="AJ4" s="1066">
        <v>5</v>
      </c>
      <c r="AK4" s="1066">
        <v>6</v>
      </c>
      <c r="AL4" s="1066">
        <v>7</v>
      </c>
      <c r="AM4" s="1066">
        <v>8</v>
      </c>
      <c r="AN4" s="1066">
        <v>9</v>
      </c>
      <c r="AO4" s="1066">
        <v>10</v>
      </c>
      <c r="AP4" s="1066"/>
      <c r="AQ4" s="1066"/>
      <c r="AR4" s="1066"/>
      <c r="AS4" s="1066"/>
      <c r="AT4" s="1066"/>
      <c r="AU4" s="1068"/>
      <c r="AV4" s="1066"/>
      <c r="AW4" s="1066"/>
      <c r="AX4" s="1066"/>
    </row>
    <row r="5" spans="1:52" ht="31.15">
      <c r="A5" s="1066" t="s">
        <v>1783</v>
      </c>
      <c r="B5" s="1066">
        <v>-16</v>
      </c>
      <c r="C5" s="1066">
        <v>-15</v>
      </c>
      <c r="D5" s="1066">
        <v>-14</v>
      </c>
      <c r="E5" s="1066">
        <v>-13</v>
      </c>
      <c r="F5" s="1066">
        <v>-12</v>
      </c>
      <c r="G5" s="1066">
        <v>-11</v>
      </c>
      <c r="H5" s="1066">
        <v>-10</v>
      </c>
      <c r="I5" s="1066">
        <v>-9</v>
      </c>
      <c r="J5" s="1066">
        <v>-8</v>
      </c>
      <c r="K5" s="1066">
        <v>-7</v>
      </c>
      <c r="L5" s="1066">
        <v>-6</v>
      </c>
      <c r="M5" s="1066">
        <v>-5</v>
      </c>
      <c r="N5" s="1066">
        <v>-4</v>
      </c>
      <c r="O5" s="1066">
        <v>-3</v>
      </c>
      <c r="P5" s="1066">
        <v>-2</v>
      </c>
      <c r="Q5" s="1066">
        <v>-1</v>
      </c>
      <c r="R5" s="1066">
        <v>0</v>
      </c>
      <c r="S5" s="1066">
        <v>1</v>
      </c>
      <c r="T5" s="1066">
        <v>2</v>
      </c>
      <c r="U5" s="1066">
        <v>3</v>
      </c>
      <c r="V5" s="1066">
        <v>4</v>
      </c>
      <c r="W5" s="1066">
        <v>5</v>
      </c>
      <c r="X5" s="1066">
        <v>6</v>
      </c>
      <c r="Y5" s="1066">
        <v>7</v>
      </c>
      <c r="Z5" s="1066">
        <v>8</v>
      </c>
      <c r="AA5" s="1066">
        <v>9</v>
      </c>
      <c r="AB5" s="1066">
        <v>10</v>
      </c>
      <c r="AC5" s="1066">
        <v>11</v>
      </c>
      <c r="AD5" s="1066">
        <v>12</v>
      </c>
      <c r="AE5" s="1066">
        <v>13</v>
      </c>
      <c r="AF5" s="1066">
        <v>14</v>
      </c>
      <c r="AG5" s="1066">
        <v>15</v>
      </c>
      <c r="AH5" s="1066">
        <v>16</v>
      </c>
      <c r="AI5" s="1066">
        <v>17</v>
      </c>
      <c r="AJ5" s="1066">
        <v>18</v>
      </c>
      <c r="AK5" s="1066">
        <v>19</v>
      </c>
      <c r="AL5" s="1066">
        <v>20</v>
      </c>
      <c r="AM5" s="1066">
        <v>21</v>
      </c>
      <c r="AN5" s="1066">
        <v>22</v>
      </c>
      <c r="AO5" s="1066">
        <v>23</v>
      </c>
      <c r="AP5" s="130" t="s">
        <v>1784</v>
      </c>
      <c r="AQ5" s="130" t="s">
        <v>1784</v>
      </c>
      <c r="AR5" s="130" t="s">
        <v>1784</v>
      </c>
      <c r="AS5" s="130" t="s">
        <v>1784</v>
      </c>
      <c r="AT5" s="130" t="s">
        <v>1784</v>
      </c>
      <c r="AU5" s="1069" t="s">
        <v>71</v>
      </c>
      <c r="AV5" s="1601" t="s">
        <v>1827</v>
      </c>
      <c r="AW5" s="142"/>
      <c r="AX5" s="142"/>
    </row>
    <row r="6" spans="1:52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O6" s="142"/>
      <c r="AP6" s="142"/>
      <c r="AQ6" s="142"/>
      <c r="AR6" s="142"/>
      <c r="AS6" s="142"/>
      <c r="AT6" s="142"/>
      <c r="AU6" s="1057"/>
      <c r="AV6" s="142"/>
      <c r="AW6" s="142"/>
      <c r="AX6" s="142"/>
    </row>
    <row r="7" spans="1:52" s="1" customFormat="1" ht="15.6">
      <c r="A7" s="1066" t="str">
        <f>+'Grasmere Pig Cost'!A7</f>
        <v>Opening Stock (Pigs)</v>
      </c>
      <c r="B7" s="1579"/>
      <c r="C7" s="1579"/>
      <c r="D7" s="1579"/>
      <c r="E7" s="1579"/>
      <c r="F7" s="1579"/>
      <c r="G7" s="1579"/>
      <c r="H7" s="1579"/>
      <c r="I7" s="1579"/>
      <c r="J7" s="1579"/>
      <c r="K7" s="1579"/>
      <c r="L7" s="1579"/>
      <c r="M7" s="1579"/>
      <c r="N7" s="1579"/>
      <c r="O7" s="1579"/>
      <c r="P7" s="1579"/>
      <c r="Q7" s="1579"/>
      <c r="R7" s="1579"/>
      <c r="S7" s="1579"/>
      <c r="T7" s="1579"/>
      <c r="U7" s="1579"/>
      <c r="V7" s="1579"/>
      <c r="W7" s="1579"/>
      <c r="X7" s="1579">
        <f>+'[77]Learig Pig Cost'!S26</f>
        <v>0</v>
      </c>
      <c r="Y7" s="1579">
        <f>+'[77]Learig Pig Cost'!T26</f>
        <v>0</v>
      </c>
      <c r="Z7" s="1579">
        <f>+'[77]Learig Pig Cost'!U26</f>
        <v>0</v>
      </c>
      <c r="AA7" s="1579">
        <f>+'[77]Learig Pig Cost'!V26</f>
        <v>0</v>
      </c>
      <c r="AB7" s="1579">
        <f>+'[77]Learig Pig Cost'!W26</f>
        <v>0</v>
      </c>
      <c r="AC7" s="1579">
        <f>+'[77]Learig Pig Cost'!X26</f>
        <v>327</v>
      </c>
      <c r="AD7" s="1579">
        <f>+'[77]Learig Pig Cost'!Y26</f>
        <v>359</v>
      </c>
      <c r="AE7" s="1579">
        <f>+'[77]Learig Pig Cost'!Z26</f>
        <v>359</v>
      </c>
      <c r="AF7" s="1579">
        <f>+'[77]Learig Pig Cost'!AA26</f>
        <v>366</v>
      </c>
      <c r="AG7" s="1579">
        <f>+'[77]Learig Pig Cost'!AB26</f>
        <v>360</v>
      </c>
      <c r="AH7" s="1579">
        <f>+'[77]Learig Pig Cost'!AC26</f>
        <v>298</v>
      </c>
      <c r="AI7" s="1579">
        <f>+'[77]Learig Pig Cost'!AD26</f>
        <v>279</v>
      </c>
      <c r="AJ7" s="1579">
        <f>+'[77]Learig Pig Cost'!AE26</f>
        <v>358</v>
      </c>
      <c r="AK7" s="1579">
        <f>+'[77]Learig Pig Cost'!AF26</f>
        <v>262</v>
      </c>
      <c r="AL7" s="1579">
        <f>+'[77]Learig Pig Cost'!AG26</f>
        <v>250</v>
      </c>
      <c r="AM7" s="1579">
        <f>+'[77]Learig Pig Cost'!AH26</f>
        <v>281</v>
      </c>
      <c r="AN7" s="1579">
        <f>+'[77]Learig Pig Cost'!AI26</f>
        <v>356</v>
      </c>
      <c r="AO7" s="1579">
        <f>+'[77]Learig Pig Cost'!AJ26</f>
        <v>286</v>
      </c>
      <c r="AP7" s="1579">
        <f>+'[77]Learig Pig Cost'!AK26</f>
        <v>274</v>
      </c>
      <c r="AQ7" s="1579">
        <f>+'[77]Learig Pig Cost'!AL26</f>
        <v>325</v>
      </c>
      <c r="AR7" s="1579">
        <f>+'[77]Learig Pig Cost'!AM26</f>
        <v>333</v>
      </c>
      <c r="AS7" s="1579">
        <f>+'[77]Learig Pig Cost'!AN26</f>
        <v>376</v>
      </c>
      <c r="AT7" s="1579">
        <f>+'[77]Learig Pig Cost'!AO26</f>
        <v>0</v>
      </c>
      <c r="AU7" s="1579">
        <f>SUM(W7:AT7)</f>
        <v>5449</v>
      </c>
      <c r="AV7" s="1085">
        <f>+'[77]Learig Pig Cost'!$AU$26</f>
        <v>5449</v>
      </c>
      <c r="AW7" s="1088">
        <f>+AU7-AV7</f>
        <v>0</v>
      </c>
      <c r="AX7" s="1088"/>
      <c r="AZ7" s="31"/>
    </row>
    <row r="8" spans="1:52" ht="15.6">
      <c r="A8" s="1066" t="str">
        <f>+'Grasmere Pig Cost'!A8</f>
        <v>Birth</v>
      </c>
      <c r="B8" s="1057"/>
      <c r="C8" s="1057"/>
      <c r="D8" s="1057"/>
      <c r="E8" s="1057"/>
      <c r="F8" s="1057"/>
      <c r="G8" s="1057"/>
      <c r="H8" s="1057"/>
      <c r="I8" s="1057"/>
      <c r="J8" s="1057"/>
      <c r="K8" s="1057"/>
      <c r="L8" s="1057"/>
      <c r="M8" s="1057"/>
      <c r="N8" s="1057"/>
      <c r="O8" s="1057"/>
      <c r="P8" s="1057"/>
      <c r="Q8" s="1057"/>
      <c r="R8" s="1057"/>
      <c r="S8" s="807"/>
      <c r="T8" s="807"/>
      <c r="U8" s="807"/>
      <c r="V8" s="807"/>
      <c r="W8" s="807"/>
      <c r="X8" s="807"/>
      <c r="Y8" s="807"/>
      <c r="Z8" s="807"/>
      <c r="AA8" s="807"/>
      <c r="AB8" s="807"/>
      <c r="AC8" s="807"/>
      <c r="AD8" s="807"/>
      <c r="AE8" s="807"/>
      <c r="AF8" s="807"/>
      <c r="AG8" s="807"/>
      <c r="AH8" s="807"/>
      <c r="AI8" s="807"/>
      <c r="AJ8" s="807"/>
      <c r="AK8" s="807"/>
      <c r="AL8" s="807"/>
      <c r="AM8" s="807"/>
      <c r="AN8" s="807"/>
      <c r="AO8" s="1693"/>
      <c r="AP8" s="1746"/>
      <c r="AQ8" s="1746"/>
      <c r="AR8" s="1746"/>
      <c r="AS8" s="1693"/>
      <c r="AT8" s="807"/>
      <c r="AU8" s="807">
        <f>SUM(X8:AT8)</f>
        <v>0</v>
      </c>
      <c r="AV8" s="817">
        <f>SUM('Summary Total Pigs'!J31:J33)</f>
        <v>0</v>
      </c>
      <c r="AW8" s="1170">
        <f>+AU8-AV8</f>
        <v>0</v>
      </c>
      <c r="AX8" s="818"/>
    </row>
    <row r="9" spans="1:52" ht="15.6">
      <c r="A9" s="1066" t="str">
        <f>+'Grasmere Pig Cost'!A9</f>
        <v>Transfer In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807">
        <v>0</v>
      </c>
      <c r="T9" s="807">
        <v>0</v>
      </c>
      <c r="U9" s="807">
        <v>0</v>
      </c>
      <c r="V9" s="807">
        <v>0</v>
      </c>
      <c r="W9" s="807">
        <v>0</v>
      </c>
      <c r="X9" s="807">
        <v>0</v>
      </c>
      <c r="Y9" s="807"/>
      <c r="Z9" s="807">
        <v>0</v>
      </c>
      <c r="AA9" s="807">
        <v>0</v>
      </c>
      <c r="AB9" s="807">
        <v>1</v>
      </c>
      <c r="AC9" s="807"/>
      <c r="AD9" s="807"/>
      <c r="AE9" s="807"/>
      <c r="AF9" s="807"/>
      <c r="AG9" s="807"/>
      <c r="AH9" s="807"/>
      <c r="AI9" s="807"/>
      <c r="AJ9" s="807"/>
      <c r="AK9" s="807"/>
      <c r="AL9" s="807"/>
      <c r="AM9" s="807"/>
      <c r="AN9" s="807">
        <f>23</f>
        <v>23</v>
      </c>
      <c r="AO9" s="1693"/>
      <c r="AP9" s="1746"/>
      <c r="AQ9" s="1746"/>
      <c r="AR9" s="1746"/>
      <c r="AS9" s="1693"/>
      <c r="AT9" s="807"/>
      <c r="AU9" s="807">
        <f t="shared" ref="AU9:AU10" si="1">SUM(X9:AT9)</f>
        <v>24</v>
      </c>
      <c r="AV9" s="817">
        <f>SUM('Summary Total Pigs'!D31:D33)</f>
        <v>1509</v>
      </c>
      <c r="AW9" s="818"/>
      <c r="AX9" s="818"/>
    </row>
    <row r="10" spans="1:52" ht="15.6">
      <c r="A10" s="1066" t="str">
        <f>+'Grasmere Pig Cost'!A10</f>
        <v>Transfer (Out)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807"/>
      <c r="T10" s="807"/>
      <c r="U10" s="807"/>
      <c r="V10" s="807"/>
      <c r="W10" s="807"/>
      <c r="X10" s="807"/>
      <c r="Y10" s="807"/>
      <c r="Z10" s="807"/>
      <c r="AA10" s="807"/>
      <c r="AB10" s="807"/>
      <c r="AC10" s="807">
        <v>-1</v>
      </c>
      <c r="AD10" s="807"/>
      <c r="AE10" s="807"/>
      <c r="AF10" s="807"/>
      <c r="AG10" s="807"/>
      <c r="AH10" s="807"/>
      <c r="AI10" s="807"/>
      <c r="AJ10" s="807"/>
      <c r="AK10" s="807"/>
      <c r="AL10" s="807"/>
      <c r="AM10" s="807"/>
      <c r="AN10" s="807"/>
      <c r="AO10" s="1693"/>
      <c r="AP10" s="1746"/>
      <c r="AQ10" s="1746"/>
      <c r="AR10" s="1746">
        <f>-23</f>
        <v>-23</v>
      </c>
      <c r="AS10" s="1693"/>
      <c r="AT10" s="807"/>
      <c r="AU10" s="807">
        <f t="shared" si="1"/>
        <v>-24</v>
      </c>
      <c r="AV10" s="817">
        <f>SUM('Summary Total Pigs'!N31:N33)</f>
        <v>-1509</v>
      </c>
      <c r="AW10" s="818"/>
      <c r="AX10" s="818"/>
    </row>
    <row r="11" spans="1:52" ht="15.6">
      <c r="A11" s="1066" t="str">
        <f>+'Grasmere Pig Cost'!A11</f>
        <v>Total before Mortality</v>
      </c>
      <c r="B11" s="1068">
        <f t="shared" ref="B11:AV11" si="2">SUM(B7:B10)</f>
        <v>0</v>
      </c>
      <c r="C11" s="1068">
        <f t="shared" si="2"/>
        <v>0</v>
      </c>
      <c r="D11" s="1068">
        <f t="shared" si="2"/>
        <v>0</v>
      </c>
      <c r="E11" s="1068">
        <f t="shared" si="2"/>
        <v>0</v>
      </c>
      <c r="F11" s="1068">
        <f t="shared" si="2"/>
        <v>0</v>
      </c>
      <c r="G11" s="1068">
        <f t="shared" si="2"/>
        <v>0</v>
      </c>
      <c r="H11" s="1068">
        <f t="shared" si="2"/>
        <v>0</v>
      </c>
      <c r="I11" s="1068">
        <f t="shared" si="2"/>
        <v>0</v>
      </c>
      <c r="J11" s="1068">
        <f t="shared" si="2"/>
        <v>0</v>
      </c>
      <c r="K11" s="1068">
        <f t="shared" si="2"/>
        <v>0</v>
      </c>
      <c r="L11" s="1068">
        <f t="shared" si="2"/>
        <v>0</v>
      </c>
      <c r="M11" s="1068">
        <f t="shared" si="2"/>
        <v>0</v>
      </c>
      <c r="N11" s="1068">
        <f t="shared" si="2"/>
        <v>0</v>
      </c>
      <c r="O11" s="1068">
        <f t="shared" si="2"/>
        <v>0</v>
      </c>
      <c r="P11" s="1068">
        <f t="shared" si="2"/>
        <v>0</v>
      </c>
      <c r="Q11" s="1068">
        <f t="shared" si="2"/>
        <v>0</v>
      </c>
      <c r="R11" s="1068">
        <f t="shared" si="2"/>
        <v>0</v>
      </c>
      <c r="S11" s="1068">
        <f t="shared" si="2"/>
        <v>0</v>
      </c>
      <c r="T11" s="1068">
        <f t="shared" si="2"/>
        <v>0</v>
      </c>
      <c r="U11" s="1068">
        <f t="shared" si="2"/>
        <v>0</v>
      </c>
      <c r="V11" s="1068">
        <f t="shared" si="2"/>
        <v>0</v>
      </c>
      <c r="W11" s="1068">
        <f t="shared" si="2"/>
        <v>0</v>
      </c>
      <c r="X11" s="1068">
        <f t="shared" si="2"/>
        <v>0</v>
      </c>
      <c r="Y11" s="1068">
        <f t="shared" si="2"/>
        <v>0</v>
      </c>
      <c r="Z11" s="1068">
        <f t="shared" si="2"/>
        <v>0</v>
      </c>
      <c r="AA11" s="1068">
        <f t="shared" si="2"/>
        <v>0</v>
      </c>
      <c r="AB11" s="1068">
        <f t="shared" si="2"/>
        <v>1</v>
      </c>
      <c r="AC11" s="1068">
        <f t="shared" si="2"/>
        <v>326</v>
      </c>
      <c r="AD11" s="1068">
        <f t="shared" si="2"/>
        <v>359</v>
      </c>
      <c r="AE11" s="1068">
        <f t="shared" si="2"/>
        <v>359</v>
      </c>
      <c r="AF11" s="1068">
        <f t="shared" si="2"/>
        <v>366</v>
      </c>
      <c r="AG11" s="1068">
        <f t="shared" si="2"/>
        <v>360</v>
      </c>
      <c r="AH11" s="1068">
        <f t="shared" si="2"/>
        <v>298</v>
      </c>
      <c r="AI11" s="1068">
        <f t="shared" si="2"/>
        <v>279</v>
      </c>
      <c r="AJ11" s="1068">
        <f t="shared" si="2"/>
        <v>358</v>
      </c>
      <c r="AK11" s="1068">
        <f t="shared" si="2"/>
        <v>262</v>
      </c>
      <c r="AL11" s="1068">
        <f t="shared" si="2"/>
        <v>250</v>
      </c>
      <c r="AM11" s="1068">
        <f t="shared" si="2"/>
        <v>281</v>
      </c>
      <c r="AN11" s="1068">
        <f t="shared" si="2"/>
        <v>379</v>
      </c>
      <c r="AO11" s="1557">
        <f t="shared" si="2"/>
        <v>286</v>
      </c>
      <c r="AP11" s="1747">
        <f t="shared" si="2"/>
        <v>274</v>
      </c>
      <c r="AQ11" s="1747">
        <f t="shared" si="2"/>
        <v>325</v>
      </c>
      <c r="AR11" s="1747">
        <f t="shared" si="2"/>
        <v>310</v>
      </c>
      <c r="AS11" s="1557">
        <f t="shared" si="2"/>
        <v>376</v>
      </c>
      <c r="AT11" s="1068">
        <f t="shared" si="2"/>
        <v>0</v>
      </c>
      <c r="AU11" s="1068">
        <f t="shared" si="2"/>
        <v>5449</v>
      </c>
      <c r="AV11" s="1068">
        <f t="shared" si="2"/>
        <v>5449</v>
      </c>
      <c r="AW11" s="1170">
        <f>+AU11-AV11</f>
        <v>0</v>
      </c>
      <c r="AX11" s="1066"/>
    </row>
    <row r="12" spans="1:52" s="300" customFormat="1" ht="15">
      <c r="A12" s="1100" t="str">
        <f>+'Grasmere Pig Cost'!A12</f>
        <v>Transfers Lionshead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Y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807"/>
      <c r="AL12" s="807"/>
      <c r="AM12" s="807"/>
      <c r="AN12" s="807"/>
      <c r="AO12" s="1693"/>
      <c r="AP12" s="1746"/>
      <c r="AQ12" s="1746"/>
      <c r="AR12" s="1746"/>
      <c r="AS12" s="1693"/>
      <c r="AT12" s="807"/>
      <c r="AU12" s="807">
        <f>SUM(B12:AT12)</f>
        <v>0</v>
      </c>
      <c r="AV12" s="817">
        <f>SUM('Summary Total Pigs'!E31:E33,'Summary Total Pigs'!O31:O33)</f>
        <v>0</v>
      </c>
      <c r="AW12" s="1170">
        <f t="shared" ref="AW12:AW25" si="3">+AU12-AV12</f>
        <v>0</v>
      </c>
      <c r="AX12" s="142"/>
      <c r="AZ12" s="308"/>
    </row>
    <row r="13" spans="1:52" s="300" customFormat="1" ht="15">
      <c r="A13" s="1100" t="str">
        <f>+'Grasmere Pig Cost'!A13</f>
        <v>Transfers Lionshead Ext.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/>
      <c r="X13" s="807"/>
      <c r="Y13" s="807"/>
      <c r="Z13" s="807"/>
      <c r="AA13" s="807"/>
      <c r="AB13" s="807"/>
      <c r="AC13" s="807"/>
      <c r="AD13" s="807"/>
      <c r="AE13" s="807"/>
      <c r="AF13" s="807"/>
      <c r="AG13" s="807"/>
      <c r="AH13" s="807"/>
      <c r="AI13" s="807"/>
      <c r="AJ13" s="807"/>
      <c r="AK13" s="807"/>
      <c r="AL13" s="807"/>
      <c r="AM13" s="807"/>
      <c r="AN13" s="807"/>
      <c r="AO13" s="1693"/>
      <c r="AP13" s="1746"/>
      <c r="AQ13" s="1746"/>
      <c r="AR13" s="1746"/>
      <c r="AS13" s="1693"/>
      <c r="AT13" s="807"/>
      <c r="AU13" s="807">
        <f t="shared" ref="AU13:AU25" si="4">SUM(B13:AT13)</f>
        <v>0</v>
      </c>
      <c r="AV13" s="817">
        <f>SUM('Summary Total Pigs'!F31:F33,'Summary Total Pigs'!P31:P33)</f>
        <v>0</v>
      </c>
      <c r="AW13" s="1170">
        <f t="shared" si="3"/>
        <v>0</v>
      </c>
      <c r="AX13" s="142"/>
      <c r="AZ13" s="739"/>
    </row>
    <row r="14" spans="1:52" s="300" customFormat="1" ht="15">
      <c r="A14" s="1100" t="str">
        <f>+'Grasmere Pig Cost'!A14</f>
        <v>Transfers  Richlands</v>
      </c>
      <c r="B14" s="1057"/>
      <c r="C14" s="1057"/>
      <c r="D14" s="1057"/>
      <c r="E14" s="1057"/>
      <c r="F14" s="1057"/>
      <c r="G14" s="1057"/>
      <c r="H14" s="1057"/>
      <c r="I14" s="1057"/>
      <c r="J14" s="1057"/>
      <c r="K14" s="1057"/>
      <c r="L14" s="1057"/>
      <c r="M14" s="1057"/>
      <c r="N14" s="1057"/>
      <c r="O14" s="1057"/>
      <c r="P14" s="1057"/>
      <c r="Q14" s="1057"/>
      <c r="R14" s="1057"/>
      <c r="S14" s="1057"/>
      <c r="T14" s="1057"/>
      <c r="U14" s="1057"/>
      <c r="V14" s="1057"/>
      <c r="W14" s="1057"/>
      <c r="X14" s="1057">
        <v>89</v>
      </c>
      <c r="Y14" s="1057">
        <v>80</v>
      </c>
      <c r="Z14" s="1057">
        <v>131</v>
      </c>
      <c r="AA14" s="1057"/>
      <c r="AB14" s="1057"/>
      <c r="AC14" s="1057"/>
      <c r="AD14" s="1057"/>
      <c r="AE14" s="1057"/>
      <c r="AF14" s="1057"/>
      <c r="AG14" s="1057"/>
      <c r="AH14" s="1057"/>
      <c r="AI14" s="1057"/>
      <c r="AJ14" s="1057"/>
      <c r="AK14" s="1057"/>
      <c r="AL14" s="1057"/>
      <c r="AM14" s="1057"/>
      <c r="AN14" s="1057"/>
      <c r="AO14" s="1748"/>
      <c r="AP14" s="1746"/>
      <c r="AQ14" s="1746"/>
      <c r="AR14" s="1746"/>
      <c r="AS14" s="1748"/>
      <c r="AT14" s="1057"/>
      <c r="AU14" s="807">
        <f t="shared" si="4"/>
        <v>300</v>
      </c>
      <c r="AV14" s="817">
        <f>SUM('Summary Total Pigs'!G31:G33,'Summary Total Pigs'!Q31:Q33)</f>
        <v>0</v>
      </c>
      <c r="AW14" s="1170">
        <f t="shared" si="3"/>
        <v>300</v>
      </c>
      <c r="AX14" s="142"/>
      <c r="AZ14" s="739"/>
    </row>
    <row r="15" spans="1:52" s="300" customFormat="1" ht="15">
      <c r="A15" s="1100" t="s">
        <v>1828</v>
      </c>
      <c r="B15" s="1057"/>
      <c r="C15" s="1057"/>
      <c r="D15" s="1057"/>
      <c r="E15" s="1057"/>
      <c r="F15" s="1057"/>
      <c r="G15" s="1057"/>
      <c r="H15" s="1057"/>
      <c r="I15" s="1057"/>
      <c r="J15" s="1057"/>
      <c r="K15" s="1057"/>
      <c r="L15" s="1057"/>
      <c r="M15" s="1057"/>
      <c r="N15" s="1057"/>
      <c r="O15" s="1057"/>
      <c r="P15" s="1057"/>
      <c r="Q15" s="1057"/>
      <c r="R15" s="1057"/>
      <c r="S15" s="1057"/>
      <c r="T15" s="1057"/>
      <c r="U15" s="1057"/>
      <c r="V15" s="1057"/>
      <c r="W15" s="1057"/>
      <c r="X15" s="807">
        <v>208</v>
      </c>
      <c r="Y15" s="807">
        <v>150</v>
      </c>
      <c r="Z15" s="807">
        <f>361-131</f>
        <v>230</v>
      </c>
      <c r="AA15" s="807">
        <v>270</v>
      </c>
      <c r="AB15" s="1057"/>
      <c r="AC15" s="1057"/>
      <c r="AD15" s="1057"/>
      <c r="AE15" s="1057"/>
      <c r="AF15" s="1057"/>
      <c r="AG15" s="1057"/>
      <c r="AH15" s="1057"/>
      <c r="AI15" s="1057"/>
      <c r="AJ15" s="1057"/>
      <c r="AK15" s="1057"/>
      <c r="AL15" s="1057"/>
      <c r="AM15" s="1057"/>
      <c r="AN15" s="1057"/>
      <c r="AO15" s="1748"/>
      <c r="AP15" s="1746"/>
      <c r="AQ15" s="1746"/>
      <c r="AR15" s="1746"/>
      <c r="AS15" s="1748"/>
      <c r="AT15" s="1057"/>
      <c r="AU15" s="807">
        <f t="shared" si="4"/>
        <v>858</v>
      </c>
      <c r="AV15" s="817">
        <f>SUM('Summary Total Pigs'!H31:H33,'Summary Total Pigs'!R31:R33)</f>
        <v>1203</v>
      </c>
      <c r="AW15" s="1170">
        <f t="shared" si="3"/>
        <v>-345</v>
      </c>
      <c r="AX15" s="142"/>
      <c r="AZ15" s="739"/>
    </row>
    <row r="16" spans="1:52" s="300" customFormat="1" ht="15">
      <c r="A16" s="1100" t="str">
        <f>+'Grasmere Pig Cost'!A16</f>
        <v>Transfers Villa</v>
      </c>
      <c r="B16" s="1057"/>
      <c r="C16" s="1057"/>
      <c r="D16" s="1057"/>
      <c r="E16" s="1057"/>
      <c r="F16" s="1057"/>
      <c r="G16" s="1057"/>
      <c r="H16" s="1057"/>
      <c r="I16" s="1057"/>
      <c r="J16" s="1057"/>
      <c r="K16" s="1057"/>
      <c r="L16" s="1057"/>
      <c r="M16" s="1057"/>
      <c r="N16" s="1057"/>
      <c r="O16" s="1057"/>
      <c r="P16" s="1057"/>
      <c r="Q16" s="1057"/>
      <c r="R16" s="1057"/>
      <c r="S16" s="1057"/>
      <c r="T16" s="1057"/>
      <c r="U16" s="1057"/>
      <c r="V16" s="1057"/>
      <c r="W16" s="1057"/>
      <c r="X16" s="1057">
        <v>30</v>
      </c>
      <c r="Y16" s="1057">
        <v>129</v>
      </c>
      <c r="Z16" s="1057"/>
      <c r="AA16" s="1057">
        <v>100</v>
      </c>
      <c r="AB16" s="1057"/>
      <c r="AC16" s="1057"/>
      <c r="AD16" s="1057"/>
      <c r="AE16" s="1057"/>
      <c r="AF16" s="1057"/>
      <c r="AG16" s="1057"/>
      <c r="AH16" s="1057"/>
      <c r="AI16" s="1057"/>
      <c r="AJ16" s="1057"/>
      <c r="AK16" s="1057"/>
      <c r="AL16" s="1057"/>
      <c r="AM16" s="1057"/>
      <c r="AN16" s="1057"/>
      <c r="AO16" s="1748"/>
      <c r="AP16" s="1746"/>
      <c r="AQ16" s="1746"/>
      <c r="AR16" s="1746"/>
      <c r="AS16" s="1748"/>
      <c r="AT16" s="1057"/>
      <c r="AU16" s="807">
        <f t="shared" si="4"/>
        <v>259</v>
      </c>
      <c r="AV16" s="817">
        <f>SUM('Summary Total Pigs'!I31:I33,'Summary Total Pigs'!S31:S33)</f>
        <v>190</v>
      </c>
      <c r="AW16" s="1170">
        <f t="shared" si="3"/>
        <v>69</v>
      </c>
      <c r="AX16" s="142"/>
      <c r="AZ16" s="739"/>
    </row>
    <row r="17" spans="1:52" s="300" customFormat="1" ht="15">
      <c r="A17" s="1100" t="str">
        <f>+'Grasmere Pig Cost'!A20</f>
        <v>Transfers  Boars</v>
      </c>
      <c r="B17" s="1057"/>
      <c r="C17" s="1057"/>
      <c r="D17" s="1057"/>
      <c r="E17" s="1057"/>
      <c r="F17" s="1057"/>
      <c r="G17" s="1057"/>
      <c r="H17" s="1057"/>
      <c r="I17" s="1057"/>
      <c r="J17" s="1057"/>
      <c r="K17" s="1057"/>
      <c r="L17" s="1057"/>
      <c r="M17" s="1057"/>
      <c r="N17" s="1057"/>
      <c r="O17" s="1057"/>
      <c r="P17" s="1057"/>
      <c r="Q17" s="1057"/>
      <c r="R17" s="1057"/>
      <c r="S17" s="1057"/>
      <c r="T17" s="1057"/>
      <c r="U17" s="1057"/>
      <c r="V17" s="1057"/>
      <c r="W17" s="1057"/>
      <c r="X17" s="1057"/>
      <c r="Y17" s="1057"/>
      <c r="Z17" s="1057"/>
      <c r="AA17" s="1057"/>
      <c r="AB17" s="1057"/>
      <c r="AC17" s="1057"/>
      <c r="AD17" s="1057"/>
      <c r="AE17" s="1057"/>
      <c r="AF17" s="1057"/>
      <c r="AG17" s="1057"/>
      <c r="AH17" s="1057"/>
      <c r="AI17" s="1057"/>
      <c r="AJ17" s="1057"/>
      <c r="AK17" s="1057"/>
      <c r="AL17" s="1057"/>
      <c r="AM17" s="1057"/>
      <c r="AN17" s="1057"/>
      <c r="AO17" s="1748"/>
      <c r="AP17" s="1746"/>
      <c r="AQ17" s="1746"/>
      <c r="AR17" s="1746"/>
      <c r="AS17" s="1748"/>
      <c r="AT17" s="1057"/>
      <c r="AU17" s="807">
        <f t="shared" si="4"/>
        <v>0</v>
      </c>
      <c r="AV17" s="817"/>
      <c r="AW17" s="1170">
        <f t="shared" si="3"/>
        <v>0</v>
      </c>
      <c r="AX17" s="142"/>
      <c r="AZ17" s="739"/>
    </row>
    <row r="18" spans="1:52" s="300" customFormat="1" ht="15">
      <c r="A18" s="1100" t="str">
        <f>+'Grasmere Pig Cost'!A21</f>
        <v>Transfers Grower</v>
      </c>
      <c r="B18" s="1100"/>
      <c r="C18" s="1100"/>
      <c r="D18" s="1100"/>
      <c r="E18" s="1100"/>
      <c r="F18" s="1100"/>
      <c r="G18" s="1100"/>
      <c r="H18" s="1100"/>
      <c r="I18" s="1100"/>
      <c r="J18" s="1100"/>
      <c r="K18" s="1100"/>
      <c r="L18" s="1100"/>
      <c r="M18" s="1100"/>
      <c r="N18" s="1100"/>
      <c r="O18" s="1100"/>
      <c r="P18" s="1100"/>
      <c r="Q18" s="1100"/>
      <c r="R18" s="1100"/>
      <c r="S18" s="1100"/>
      <c r="T18" s="1100"/>
      <c r="U18" s="1057"/>
      <c r="V18" s="1057"/>
      <c r="W18" s="1057"/>
      <c r="X18" s="1057"/>
      <c r="Y18" s="1057"/>
      <c r="Z18" s="1057"/>
      <c r="AA18" s="1057"/>
      <c r="AB18" s="1057"/>
      <c r="AC18" s="1057"/>
      <c r="AD18" s="1057"/>
      <c r="AE18" s="1057"/>
      <c r="AF18" s="1057"/>
      <c r="AG18" s="1057"/>
      <c r="AH18" s="1057"/>
      <c r="AI18" s="1057"/>
      <c r="AJ18" s="1057"/>
      <c r="AK18" s="1057"/>
      <c r="AL18" s="1057"/>
      <c r="AM18" s="1057"/>
      <c r="AN18" s="1057"/>
      <c r="AO18" s="1748"/>
      <c r="AP18" s="1746"/>
      <c r="AQ18" s="1746"/>
      <c r="AR18" s="1746"/>
      <c r="AS18" s="1748"/>
      <c r="AT18" s="1057"/>
      <c r="AU18" s="807">
        <f t="shared" si="4"/>
        <v>0</v>
      </c>
      <c r="AV18" s="817"/>
      <c r="AW18" s="1170">
        <f t="shared" si="3"/>
        <v>0</v>
      </c>
      <c r="AX18" s="142"/>
      <c r="AZ18" s="739"/>
    </row>
    <row r="19" spans="1:52" s="300" customFormat="1" ht="15">
      <c r="A19" s="1100" t="str">
        <f>+'Grasmere Pig Cost'!A22</f>
        <v>Transfer to Sick Block</v>
      </c>
      <c r="B19" s="1057"/>
      <c r="C19" s="1057"/>
      <c r="D19" s="1057"/>
      <c r="E19" s="1057"/>
      <c r="F19" s="1057"/>
      <c r="G19" s="1057"/>
      <c r="H19" s="1057"/>
      <c r="I19" s="1057"/>
      <c r="J19" s="1057"/>
      <c r="K19" s="1057"/>
      <c r="L19" s="1057"/>
      <c r="M19" s="1057"/>
      <c r="N19" s="1057"/>
      <c r="O19" s="1057"/>
      <c r="P19" s="1057"/>
      <c r="Q19" s="1057"/>
      <c r="R19" s="1057"/>
      <c r="S19" s="1057"/>
      <c r="T19" s="1057"/>
      <c r="U19" s="1057"/>
      <c r="V19" s="1057"/>
      <c r="W19" s="1057"/>
      <c r="X19" s="1057"/>
      <c r="Y19" s="1057"/>
      <c r="Z19" s="1057"/>
      <c r="AA19" s="1057"/>
      <c r="AB19" s="1057"/>
      <c r="AC19" s="1057"/>
      <c r="AD19" s="1057"/>
      <c r="AE19" s="1057"/>
      <c r="AF19" s="1057">
        <f>-1</f>
        <v>-1</v>
      </c>
      <c r="AG19" s="1057"/>
      <c r="AH19" s="807"/>
      <c r="AI19" s="807"/>
      <c r="AJ19" s="807"/>
      <c r="AK19" s="807">
        <f>-1-2</f>
        <v>-3</v>
      </c>
      <c r="AL19" s="807">
        <f>-1</f>
        <v>-1</v>
      </c>
      <c r="AM19" s="1057"/>
      <c r="AN19" s="1057">
        <f>9</f>
        <v>9</v>
      </c>
      <c r="AO19" s="1748">
        <f>-1</f>
        <v>-1</v>
      </c>
      <c r="AP19" s="1746">
        <f>-2</f>
        <v>-2</v>
      </c>
      <c r="AQ19" s="1746"/>
      <c r="AR19" s="1746">
        <f>-1</f>
        <v>-1</v>
      </c>
      <c r="AS19" s="1748"/>
      <c r="AT19" s="1057"/>
      <c r="AU19" s="807">
        <f t="shared" si="4"/>
        <v>0</v>
      </c>
      <c r="AV19" s="817"/>
      <c r="AW19" s="1170">
        <f t="shared" si="3"/>
        <v>0</v>
      </c>
      <c r="AX19" s="142"/>
      <c r="AZ19" s="739"/>
    </row>
    <row r="20" spans="1:52" s="300" customFormat="1" ht="15">
      <c r="A20" s="1100" t="str">
        <f>+'Grasmere Pig Cost'!A23</f>
        <v>Transfers Gilts</v>
      </c>
      <c r="B20" s="1057"/>
      <c r="C20" s="1057"/>
      <c r="D20" s="1057"/>
      <c r="E20" s="1057"/>
      <c r="F20" s="1057"/>
      <c r="G20" s="1057"/>
      <c r="H20" s="1057"/>
      <c r="I20" s="1057"/>
      <c r="J20" s="1057"/>
      <c r="K20" s="1057"/>
      <c r="L20" s="1057"/>
      <c r="M20" s="1057"/>
      <c r="N20" s="1057"/>
      <c r="O20" s="1057"/>
      <c r="P20" s="1057"/>
      <c r="Q20" s="1057"/>
      <c r="R20" s="1057"/>
      <c r="S20" s="1057"/>
      <c r="T20" s="1057"/>
      <c r="U20" s="1057"/>
      <c r="V20" s="1057"/>
      <c r="W20" s="1057"/>
      <c r="X20" s="1057"/>
      <c r="Y20" s="807"/>
      <c r="Z20" s="807"/>
      <c r="AA20" s="1057"/>
      <c r="AB20" s="1057"/>
      <c r="AC20" s="1057"/>
      <c r="AD20" s="1057"/>
      <c r="AE20" s="1057"/>
      <c r="AF20" s="1057"/>
      <c r="AG20" s="1057"/>
      <c r="AI20" s="807"/>
      <c r="AJ20" s="807"/>
      <c r="AK20" s="807"/>
      <c r="AL20" s="807"/>
      <c r="AM20" s="1057"/>
      <c r="AN20" s="1057"/>
      <c r="AO20" s="1748"/>
      <c r="AP20" s="1746"/>
      <c r="AQ20" s="1746"/>
      <c r="AR20" s="1746"/>
      <c r="AS20" s="1748"/>
      <c r="AT20" s="1057"/>
      <c r="AU20" s="807">
        <f t="shared" si="4"/>
        <v>0</v>
      </c>
      <c r="AV20" s="817"/>
      <c r="AW20" s="1170">
        <f t="shared" si="3"/>
        <v>0</v>
      </c>
      <c r="AX20" s="142"/>
      <c r="AZ20" s="739"/>
    </row>
    <row r="21" spans="1:52" s="300" customFormat="1" ht="15">
      <c r="A21" s="1100" t="str">
        <f>+'Grasmere Pig Cost'!A24</f>
        <v>Mortality</v>
      </c>
      <c r="B21" s="1057"/>
      <c r="C21" s="1057"/>
      <c r="D21" s="1057"/>
      <c r="E21" s="1057"/>
      <c r="F21" s="1057"/>
      <c r="G21" s="1057"/>
      <c r="H21" s="1057"/>
      <c r="I21" s="1057"/>
      <c r="J21" s="1057"/>
      <c r="K21" s="1057"/>
      <c r="L21" s="1057"/>
      <c r="M21" s="1057"/>
      <c r="N21" s="1057"/>
      <c r="O21" s="1057"/>
      <c r="P21" s="1057"/>
      <c r="Q21" s="1057"/>
      <c r="R21" s="1057"/>
      <c r="S21" s="807"/>
      <c r="T21" s="807"/>
      <c r="U21" s="807"/>
      <c r="V21" s="807"/>
      <c r="W21" s="807"/>
      <c r="X21" s="807"/>
      <c r="Y21" s="807"/>
      <c r="Z21" s="807">
        <f>-1-1</f>
        <v>-2</v>
      </c>
      <c r="AA21" s="1057">
        <f>-1-1-1-1</f>
        <v>-4</v>
      </c>
      <c r="AB21" s="807">
        <f>-1-1-1-1</f>
        <v>-4</v>
      </c>
      <c r="AC21" s="807">
        <f>-1-1</f>
        <v>-2</v>
      </c>
      <c r="AD21" s="807"/>
      <c r="AE21" s="807">
        <f>-1-1</f>
        <v>-2</v>
      </c>
      <c r="AF21" s="807"/>
      <c r="AG21" s="807">
        <f>-1</f>
        <v>-1</v>
      </c>
      <c r="AH21" s="807"/>
      <c r="AI21" s="807"/>
      <c r="AJ21" s="807">
        <v>-1</v>
      </c>
      <c r="AK21" s="807">
        <f>-1-1</f>
        <v>-2</v>
      </c>
      <c r="AL21" s="807"/>
      <c r="AM21" s="807">
        <f>-1-1</f>
        <v>-2</v>
      </c>
      <c r="AN21" s="807">
        <f>-1-1</f>
        <v>-2</v>
      </c>
      <c r="AO21" s="1693">
        <f>-1-1</f>
        <v>-2</v>
      </c>
      <c r="AP21" s="1746">
        <f>-1</f>
        <v>-1</v>
      </c>
      <c r="AQ21" s="1746"/>
      <c r="AR21" s="1746"/>
      <c r="AS21" s="1693"/>
      <c r="AT21" s="807"/>
      <c r="AU21" s="807">
        <f t="shared" si="4"/>
        <v>-25</v>
      </c>
      <c r="AV21" s="817">
        <f>SUM('Summary Total Pigs'!W31:W33,'Summary Total Pigs'!Y31:Y33)</f>
        <v>-60</v>
      </c>
      <c r="AW21" s="1170">
        <f t="shared" si="3"/>
        <v>35</v>
      </c>
      <c r="AX21" s="818"/>
      <c r="AZ21" s="739"/>
    </row>
    <row r="22" spans="1:52" s="300" customFormat="1" ht="15">
      <c r="A22" s="1100" t="str">
        <f>+'Grasmere Pig Cost'!A25</f>
        <v>Rations</v>
      </c>
      <c r="B22" s="1057"/>
      <c r="C22" s="1057"/>
      <c r="D22" s="1057"/>
      <c r="E22" s="1057"/>
      <c r="F22" s="1057"/>
      <c r="G22" s="1057"/>
      <c r="H22" s="1057"/>
      <c r="I22" s="1057"/>
      <c r="J22" s="1057"/>
      <c r="K22" s="1057"/>
      <c r="L22" s="1057"/>
      <c r="M22" s="1057"/>
      <c r="N22" s="1057"/>
      <c r="O22" s="1057"/>
      <c r="P22" s="1057"/>
      <c r="Q22" s="1057"/>
      <c r="R22" s="1057"/>
      <c r="S22" s="807"/>
      <c r="T22" s="807"/>
      <c r="U22" s="807"/>
      <c r="V22" s="807"/>
      <c r="W22" s="807"/>
      <c r="X22" s="807"/>
      <c r="Y22" s="807"/>
      <c r="Z22" s="807"/>
      <c r="AA22" s="1057"/>
      <c r="AB22" s="807"/>
      <c r="AC22" s="807"/>
      <c r="AD22" s="807"/>
      <c r="AE22" s="807"/>
      <c r="AF22" s="807"/>
      <c r="AG22" s="807"/>
      <c r="AH22" s="807"/>
      <c r="AI22" s="807"/>
      <c r="AJ22" s="807"/>
      <c r="AK22" s="807"/>
      <c r="AL22" s="807"/>
      <c r="AM22" s="807"/>
      <c r="AN22" s="807">
        <f>-3-2-3-2</f>
        <v>-10</v>
      </c>
      <c r="AO22" s="1693"/>
      <c r="AP22" s="1746"/>
      <c r="AQ22" s="1746"/>
      <c r="AR22" s="1746"/>
      <c r="AS22" s="1693"/>
      <c r="AT22" s="807"/>
      <c r="AU22" s="807">
        <f t="shared" si="4"/>
        <v>-10</v>
      </c>
      <c r="AV22" s="817">
        <f>SUM('Summary Total Pigs'!Z31:Z33)</f>
        <v>-5</v>
      </c>
      <c r="AW22" s="1170">
        <f t="shared" si="3"/>
        <v>-5</v>
      </c>
      <c r="AX22" s="818"/>
      <c r="AZ22" s="739"/>
    </row>
    <row r="23" spans="1:52" s="300" customFormat="1" ht="15">
      <c r="A23" s="1100" t="str">
        <f>+'Grasmere Pig Cost'!A26</f>
        <v>Pet Food</v>
      </c>
      <c r="B23" s="1057"/>
      <c r="C23" s="1057"/>
      <c r="D23" s="1057"/>
      <c r="E23" s="1057"/>
      <c r="F23" s="1057"/>
      <c r="G23" s="1057"/>
      <c r="H23" s="1057"/>
      <c r="I23" s="1057"/>
      <c r="J23" s="1057"/>
      <c r="K23" s="1057"/>
      <c r="L23" s="1057"/>
      <c r="M23" s="1057"/>
      <c r="N23" s="1057"/>
      <c r="O23" s="1057"/>
      <c r="P23" s="1057"/>
      <c r="Q23" s="1057"/>
      <c r="R23" s="1057"/>
      <c r="S23" s="807"/>
      <c r="T23" s="807"/>
      <c r="U23" s="807"/>
      <c r="V23" s="807"/>
      <c r="W23" s="807"/>
      <c r="X23" s="807"/>
      <c r="Y23" s="807"/>
      <c r="Z23" s="807"/>
      <c r="AA23" s="1057"/>
      <c r="AB23" s="807"/>
      <c r="AC23" s="807"/>
      <c r="AD23" s="807"/>
      <c r="AE23" s="807"/>
      <c r="AF23" s="807"/>
      <c r="AG23" s="807"/>
      <c r="AH23" s="807"/>
      <c r="AI23" s="807"/>
      <c r="AJ23" s="807"/>
      <c r="AK23" s="807"/>
      <c r="AL23" s="807"/>
      <c r="AM23" s="807"/>
      <c r="AN23" s="807"/>
      <c r="AO23" s="1693"/>
      <c r="AP23" s="1746"/>
      <c r="AQ23" s="1746"/>
      <c r="AR23" s="1746"/>
      <c r="AS23" s="1693"/>
      <c r="AT23" s="807"/>
      <c r="AU23" s="807">
        <f t="shared" si="4"/>
        <v>0</v>
      </c>
      <c r="AV23" s="817">
        <f>SUM('Summary Total Pigs'!AB31:AB33)</f>
        <v>0</v>
      </c>
      <c r="AW23" s="1170">
        <f t="shared" si="3"/>
        <v>0</v>
      </c>
      <c r="AX23" s="818"/>
      <c r="AZ23" s="739"/>
    </row>
    <row r="24" spans="1:52" s="300" customFormat="1" ht="15">
      <c r="A24" s="1100" t="str">
        <f>+'Grasmere Pig Cost'!A27</f>
        <v>Farm Sales</v>
      </c>
      <c r="B24" s="1057"/>
      <c r="C24" s="1057"/>
      <c r="D24" s="1057"/>
      <c r="E24" s="1057"/>
      <c r="F24" s="1057"/>
      <c r="G24" s="1057"/>
      <c r="H24" s="1057"/>
      <c r="I24" s="1057"/>
      <c r="J24" s="1057"/>
      <c r="K24" s="1057"/>
      <c r="L24" s="1057"/>
      <c r="M24" s="1057"/>
      <c r="N24" s="1057"/>
      <c r="O24" s="1057"/>
      <c r="P24" s="1057"/>
      <c r="Q24" s="1057"/>
      <c r="R24" s="1057"/>
      <c r="S24" s="807"/>
      <c r="T24" s="807"/>
      <c r="U24" s="807"/>
      <c r="V24" s="807"/>
      <c r="W24" s="807"/>
      <c r="X24" s="807"/>
      <c r="Y24" s="807"/>
      <c r="Z24" s="807"/>
      <c r="AA24" s="1057"/>
      <c r="AB24" s="807"/>
      <c r="AC24" s="807"/>
      <c r="AD24" s="807"/>
      <c r="AE24" s="807"/>
      <c r="AF24" s="807"/>
      <c r="AG24" s="807"/>
      <c r="AH24" s="807"/>
      <c r="AI24" s="807"/>
      <c r="AJ24" s="807"/>
      <c r="AK24" s="807"/>
      <c r="AL24" s="807"/>
      <c r="AM24" s="807"/>
      <c r="AN24" s="807"/>
      <c r="AO24" s="1693"/>
      <c r="AP24" s="1746"/>
      <c r="AQ24" s="1746"/>
      <c r="AR24" s="1746"/>
      <c r="AS24" s="1693"/>
      <c r="AT24" s="807"/>
      <c r="AU24" s="807">
        <f t="shared" si="4"/>
        <v>0</v>
      </c>
      <c r="AV24" s="817">
        <f>SUM('Summary Total Pigs'!AC31:AC33)</f>
        <v>0</v>
      </c>
      <c r="AW24" s="1170">
        <f t="shared" si="3"/>
        <v>0</v>
      </c>
      <c r="AX24" s="818"/>
      <c r="AZ24" s="739"/>
    </row>
    <row r="25" spans="1:52" s="300" customFormat="1" ht="15.6" thickBot="1">
      <c r="A25" s="1100" t="str">
        <f>+'Grasmere Pig Cost'!A28</f>
        <v xml:space="preserve"> Colcom Sales</v>
      </c>
      <c r="B25" s="1057"/>
      <c r="C25" s="1057"/>
      <c r="D25" s="1057"/>
      <c r="E25" s="1057"/>
      <c r="F25" s="1057"/>
      <c r="G25" s="1057"/>
      <c r="H25" s="1057"/>
      <c r="I25" s="1057"/>
      <c r="J25" s="1057"/>
      <c r="K25" s="1057"/>
      <c r="L25" s="1057"/>
      <c r="M25" s="1057"/>
      <c r="N25" s="1057"/>
      <c r="O25" s="1057"/>
      <c r="P25" s="1057"/>
      <c r="Q25" s="1057"/>
      <c r="R25" s="105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/>
      <c r="AO25" s="1693">
        <f>-71-71-71-74-76</f>
        <v>-363</v>
      </c>
      <c r="AP25" s="1746">
        <f>-75-75-65-129+1</f>
        <v>-343</v>
      </c>
      <c r="AQ25" s="1746">
        <f>-75-75-66-71</f>
        <v>-287</v>
      </c>
      <c r="AR25" s="1746">
        <f>-67-51-74-75</f>
        <v>-267</v>
      </c>
      <c r="AS25" s="1693"/>
      <c r="AT25" s="807"/>
      <c r="AU25" s="807">
        <f t="shared" si="4"/>
        <v>-1260</v>
      </c>
      <c r="AV25" s="817">
        <f>SUM('Summary Total Pigs'!X31:X33)</f>
        <v>-1488</v>
      </c>
      <c r="AW25" s="1170">
        <f t="shared" si="3"/>
        <v>228</v>
      </c>
      <c r="AX25" s="818"/>
      <c r="AZ25" s="739"/>
    </row>
    <row r="26" spans="1:52" ht="16.149999999999999" thickBot="1">
      <c r="A26" s="1070" t="s">
        <v>1802</v>
      </c>
      <c r="B26" s="1071">
        <f t="shared" ref="B26:AV26" si="5">SUM(B11:B25)</f>
        <v>0</v>
      </c>
      <c r="C26" s="1071">
        <f t="shared" si="5"/>
        <v>0</v>
      </c>
      <c r="D26" s="1071">
        <f t="shared" si="5"/>
        <v>0</v>
      </c>
      <c r="E26" s="1071">
        <f t="shared" si="5"/>
        <v>0</v>
      </c>
      <c r="F26" s="1071">
        <f t="shared" si="5"/>
        <v>0</v>
      </c>
      <c r="G26" s="1071">
        <f t="shared" si="5"/>
        <v>0</v>
      </c>
      <c r="H26" s="1071">
        <f t="shared" si="5"/>
        <v>0</v>
      </c>
      <c r="I26" s="1071">
        <f t="shared" si="5"/>
        <v>0</v>
      </c>
      <c r="J26" s="1071">
        <f t="shared" si="5"/>
        <v>0</v>
      </c>
      <c r="K26" s="1071">
        <f t="shared" si="5"/>
        <v>0</v>
      </c>
      <c r="L26" s="1071">
        <f t="shared" si="5"/>
        <v>0</v>
      </c>
      <c r="M26" s="1071">
        <f t="shared" si="5"/>
        <v>0</v>
      </c>
      <c r="N26" s="1071">
        <f t="shared" si="5"/>
        <v>0</v>
      </c>
      <c r="O26" s="1071">
        <f t="shared" si="5"/>
        <v>0</v>
      </c>
      <c r="P26" s="1071">
        <f t="shared" si="5"/>
        <v>0</v>
      </c>
      <c r="Q26" s="1071">
        <f t="shared" si="5"/>
        <v>0</v>
      </c>
      <c r="R26" s="1071">
        <f t="shared" si="5"/>
        <v>0</v>
      </c>
      <c r="S26" s="1071">
        <f t="shared" si="5"/>
        <v>0</v>
      </c>
      <c r="T26" s="1071">
        <f t="shared" si="5"/>
        <v>0</v>
      </c>
      <c r="U26" s="1071">
        <f t="shared" si="5"/>
        <v>0</v>
      </c>
      <c r="V26" s="1071">
        <f t="shared" si="5"/>
        <v>0</v>
      </c>
      <c r="W26" s="1071">
        <f t="shared" si="5"/>
        <v>0</v>
      </c>
      <c r="X26" s="1071">
        <f t="shared" si="5"/>
        <v>327</v>
      </c>
      <c r="Y26" s="1071">
        <f t="shared" si="5"/>
        <v>359</v>
      </c>
      <c r="Z26" s="1071">
        <f t="shared" si="5"/>
        <v>359</v>
      </c>
      <c r="AA26" s="1071">
        <f t="shared" si="5"/>
        <v>366</v>
      </c>
      <c r="AB26" s="1071">
        <f t="shared" si="5"/>
        <v>-3</v>
      </c>
      <c r="AC26" s="1071">
        <f t="shared" si="5"/>
        <v>324</v>
      </c>
      <c r="AD26" s="1071">
        <f t="shared" si="5"/>
        <v>359</v>
      </c>
      <c r="AE26" s="1071">
        <f t="shared" si="5"/>
        <v>357</v>
      </c>
      <c r="AF26" s="1071">
        <f t="shared" si="5"/>
        <v>365</v>
      </c>
      <c r="AG26" s="1071">
        <f t="shared" si="5"/>
        <v>359</v>
      </c>
      <c r="AH26" s="1071">
        <f t="shared" si="5"/>
        <v>298</v>
      </c>
      <c r="AI26" s="1071">
        <f t="shared" si="5"/>
        <v>279</v>
      </c>
      <c r="AJ26" s="1071">
        <f t="shared" si="5"/>
        <v>357</v>
      </c>
      <c r="AK26" s="1071">
        <f t="shared" si="5"/>
        <v>257</v>
      </c>
      <c r="AL26" s="1071">
        <f t="shared" si="5"/>
        <v>249</v>
      </c>
      <c r="AM26" s="1071">
        <f t="shared" si="5"/>
        <v>279</v>
      </c>
      <c r="AN26" s="1071">
        <f t="shared" si="5"/>
        <v>376</v>
      </c>
      <c r="AO26" s="1557">
        <f t="shared" si="5"/>
        <v>-80</v>
      </c>
      <c r="AP26" s="1557">
        <f t="shared" si="5"/>
        <v>-72</v>
      </c>
      <c r="AQ26" s="1557">
        <f t="shared" si="5"/>
        <v>38</v>
      </c>
      <c r="AR26" s="1557">
        <f t="shared" si="5"/>
        <v>42</v>
      </c>
      <c r="AS26" s="1557">
        <f t="shared" si="5"/>
        <v>376</v>
      </c>
      <c r="AT26" s="1071">
        <f t="shared" si="5"/>
        <v>0</v>
      </c>
      <c r="AU26" s="1071">
        <f>SUM(AU11:AU25)</f>
        <v>5571</v>
      </c>
      <c r="AV26" s="1071">
        <f t="shared" si="5"/>
        <v>5289</v>
      </c>
      <c r="AW26" s="1170">
        <f>SUM('Summary Total Pigs'!AF31:AF33)-AU26</f>
        <v>1692</v>
      </c>
      <c r="AX26" s="142"/>
    </row>
    <row r="27" spans="1:52" ht="15.6">
      <c r="A27" s="1066"/>
      <c r="B27" s="1557"/>
      <c r="C27" s="1557"/>
      <c r="D27" s="1557"/>
      <c r="E27" s="1557"/>
      <c r="F27" s="1557"/>
      <c r="G27" s="1557"/>
      <c r="H27" s="1557"/>
      <c r="I27" s="1557"/>
      <c r="J27" s="1557"/>
      <c r="K27" s="1557"/>
      <c r="L27" s="1557"/>
      <c r="M27" s="1557"/>
      <c r="N27" s="1557"/>
      <c r="O27" s="1557"/>
      <c r="P27" s="1557"/>
      <c r="Q27" s="1557"/>
      <c r="R27" s="1557"/>
      <c r="S27" s="1557">
        <f>+'Learig Valuation'!E10</f>
        <v>0</v>
      </c>
      <c r="T27" s="1557">
        <f>+'Learig Valuation'!E11</f>
        <v>0</v>
      </c>
      <c r="U27" s="1557">
        <f>+'Learig Valuation'!E12</f>
        <v>0</v>
      </c>
      <c r="V27" s="1557">
        <f>+'Learig Valuation'!E13</f>
        <v>0</v>
      </c>
      <c r="W27" s="1557">
        <f>+'Learig Valuation'!E14</f>
        <v>401</v>
      </c>
      <c r="X27" s="1557">
        <f>+'Learig Valuation'!E15</f>
        <v>420</v>
      </c>
      <c r="Y27" s="1557">
        <f>+'Learig Valuation'!E16</f>
        <v>339</v>
      </c>
      <c r="Z27" s="1557">
        <f>+'Learig Valuation'!E17</f>
        <v>340</v>
      </c>
      <c r="AA27" s="1557">
        <f>+'Learig Valuation'!E18</f>
        <v>422</v>
      </c>
      <c r="AB27" s="1557">
        <f>+'Learig Valuation'!E19</f>
        <v>356</v>
      </c>
      <c r="AC27" s="1557">
        <f>+'Learig Valuation'!E20</f>
        <v>342</v>
      </c>
      <c r="AD27" s="1557">
        <f>+'Learig Valuation'!E21</f>
        <v>398</v>
      </c>
      <c r="AE27" s="1557">
        <f>+'Learig Valuation'!E22</f>
        <v>409</v>
      </c>
      <c r="AF27" s="1557">
        <f>+'Learig Valuation'!E23</f>
        <v>350</v>
      </c>
      <c r="AG27" s="1557">
        <f>+'Learig Valuation'!E24</f>
        <v>407</v>
      </c>
      <c r="AH27" s="1557">
        <f>+'Learig Valuation'!E25</f>
        <v>407</v>
      </c>
      <c r="AI27" s="1557">
        <f>+'Learig Valuation'!E26</f>
        <v>418</v>
      </c>
      <c r="AJ27" s="1557">
        <f>+'Learig Valuation'!E27</f>
        <v>414</v>
      </c>
      <c r="AK27" s="1557">
        <f>+'Learig Valuation'!E28</f>
        <v>399</v>
      </c>
      <c r="AL27" s="1557">
        <f>+'Learig Valuation'!E29</f>
        <v>327</v>
      </c>
      <c r="AM27" s="1557">
        <f>+'Learig Valuation'!E30</f>
        <v>324</v>
      </c>
      <c r="AN27" s="1557">
        <f>+'Learig Valuation'!E31</f>
        <v>407</v>
      </c>
      <c r="AO27" s="1557">
        <f>+'Learig Valuation'!E32</f>
        <v>383</v>
      </c>
      <c r="AP27" s="1557">
        <f>+'Learig Valuation'!E33</f>
        <v>0</v>
      </c>
      <c r="AQ27" s="1557">
        <f>+'Learig Valuation'!E34</f>
        <v>0</v>
      </c>
      <c r="AR27" s="1557">
        <f>+'Learig Valuation'!E35</f>
        <v>0</v>
      </c>
      <c r="AS27" s="1557">
        <f>+'Learig Valuation'!E36</f>
        <v>0</v>
      </c>
      <c r="AT27" s="1557">
        <f>+'Learig Valuation'!E37</f>
        <v>0</v>
      </c>
      <c r="AU27" s="1057">
        <f>SUM(S27:AT27)</f>
        <v>7263</v>
      </c>
      <c r="AV27" s="1600">
        <f>SUM('Learig Valuation'!E10:E40)</f>
        <v>7263</v>
      </c>
      <c r="AW27" s="1170"/>
      <c r="AX27" s="142"/>
    </row>
    <row r="28" spans="1:52" s="23" customFormat="1" ht="15">
      <c r="A28" s="1059"/>
      <c r="B28" s="1059"/>
      <c r="C28" s="1059"/>
      <c r="D28" s="1059"/>
      <c r="E28" s="1059"/>
      <c r="F28" s="1059"/>
      <c r="G28" s="1059"/>
      <c r="H28" s="1059"/>
      <c r="I28" s="1059"/>
      <c r="J28" s="1059"/>
      <c r="K28" s="1059"/>
      <c r="L28" s="1059"/>
      <c r="M28" s="1059"/>
      <c r="N28" s="1059"/>
      <c r="O28" s="1059"/>
      <c r="P28" s="1059"/>
      <c r="Q28" s="1059"/>
      <c r="R28" s="1059"/>
      <c r="S28" s="1059">
        <f>+S26-S27</f>
        <v>0</v>
      </c>
      <c r="T28" s="1059">
        <f>+T26-T27</f>
        <v>0</v>
      </c>
      <c r="U28" s="1059">
        <f t="shared" ref="U28:AT28" si="6">+U26-U27</f>
        <v>0</v>
      </c>
      <c r="V28" s="1059">
        <f t="shared" si="6"/>
        <v>0</v>
      </c>
      <c r="W28" s="1059">
        <f t="shared" si="6"/>
        <v>-401</v>
      </c>
      <c r="X28" s="1057">
        <f t="shared" si="6"/>
        <v>-93</v>
      </c>
      <c r="Y28" s="1057">
        <f t="shared" si="6"/>
        <v>20</v>
      </c>
      <c r="Z28" s="1057">
        <f t="shared" si="6"/>
        <v>19</v>
      </c>
      <c r="AA28" s="1057">
        <f t="shared" si="6"/>
        <v>-56</v>
      </c>
      <c r="AB28" s="1057">
        <f t="shared" si="6"/>
        <v>-359</v>
      </c>
      <c r="AC28" s="1057">
        <f t="shared" si="6"/>
        <v>-18</v>
      </c>
      <c r="AD28" s="1057">
        <f t="shared" si="6"/>
        <v>-39</v>
      </c>
      <c r="AE28" s="1057">
        <f t="shared" si="6"/>
        <v>-52</v>
      </c>
      <c r="AF28" s="1057">
        <f t="shared" si="6"/>
        <v>15</v>
      </c>
      <c r="AG28" s="1057">
        <f t="shared" si="6"/>
        <v>-48</v>
      </c>
      <c r="AH28" s="1057">
        <f t="shared" si="6"/>
        <v>-109</v>
      </c>
      <c r="AI28" s="1057">
        <f t="shared" si="6"/>
        <v>-139</v>
      </c>
      <c r="AJ28" s="1057">
        <f t="shared" si="6"/>
        <v>-57</v>
      </c>
      <c r="AK28" s="1057">
        <f t="shared" si="6"/>
        <v>-142</v>
      </c>
      <c r="AL28" s="1057">
        <f t="shared" si="6"/>
        <v>-78</v>
      </c>
      <c r="AM28" s="1057">
        <f t="shared" si="6"/>
        <v>-45</v>
      </c>
      <c r="AN28" s="1057">
        <f t="shared" si="6"/>
        <v>-31</v>
      </c>
      <c r="AO28" s="1057">
        <f t="shared" si="6"/>
        <v>-463</v>
      </c>
      <c r="AP28" s="1057">
        <f>+AP26-AP27</f>
        <v>-72</v>
      </c>
      <c r="AQ28" s="1057">
        <f t="shared" si="6"/>
        <v>38</v>
      </c>
      <c r="AR28" s="1057">
        <f t="shared" si="6"/>
        <v>42</v>
      </c>
      <c r="AS28" s="1057">
        <f t="shared" si="6"/>
        <v>376</v>
      </c>
      <c r="AT28" s="1057">
        <f t="shared" si="6"/>
        <v>0</v>
      </c>
      <c r="AU28" s="1057">
        <f>SUM(S28:AT28)</f>
        <v>-1692</v>
      </c>
      <c r="AV28" s="1693">
        <f>SUM('Summary Total Pigs'!AF31:AF33)</f>
        <v>7263</v>
      </c>
      <c r="AW28" s="1691"/>
      <c r="AX28" s="1059"/>
    </row>
    <row r="29" spans="1:52" ht="15.6">
      <c r="A29" s="1066" t="s">
        <v>199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817"/>
      <c r="T29" s="817"/>
      <c r="U29" s="817"/>
      <c r="V29" s="817"/>
      <c r="W29" s="817"/>
      <c r="X29" s="817"/>
      <c r="Y29" s="817"/>
      <c r="Z29" s="817"/>
      <c r="AA29" s="817"/>
      <c r="AB29" s="817"/>
      <c r="AC29" s="817"/>
      <c r="AD29" s="817"/>
      <c r="AE29" s="817"/>
      <c r="AF29" s="817"/>
      <c r="AG29" s="817"/>
      <c r="AH29" s="817"/>
      <c r="AI29" s="817"/>
      <c r="AJ29" s="817"/>
      <c r="AK29" s="817"/>
      <c r="AL29" s="817"/>
      <c r="AM29" s="818"/>
      <c r="AN29" s="817"/>
      <c r="AO29" s="817"/>
      <c r="AP29" s="817"/>
      <c r="AQ29" s="817"/>
      <c r="AR29" s="817"/>
      <c r="AS29" s="817"/>
      <c r="AT29" s="817"/>
      <c r="AU29" s="817">
        <f>SUM(S29:AS29)</f>
        <v>0</v>
      </c>
      <c r="AV29" s="817"/>
      <c r="AW29" s="818"/>
      <c r="AX29" s="142"/>
      <c r="AZ29" s="74"/>
    </row>
    <row r="30" spans="1:52" ht="15">
      <c r="A30" s="142" t="s">
        <v>1803</v>
      </c>
      <c r="B30" s="818"/>
      <c r="C30" s="818"/>
      <c r="D30" s="818"/>
      <c r="E30" s="818"/>
      <c r="F30" s="818"/>
      <c r="G30" s="818">
        <f>+'[77]Learig Pig Cost'!B53</f>
        <v>0</v>
      </c>
      <c r="H30" s="818">
        <f>+'[77]Learig Pig Cost'!C53</f>
        <v>0</v>
      </c>
      <c r="I30" s="818">
        <f>+'[77]Learig Pig Cost'!D53</f>
        <v>0</v>
      </c>
      <c r="J30" s="818">
        <f>+'[77]Learig Pig Cost'!E53</f>
        <v>0</v>
      </c>
      <c r="K30" s="818">
        <f>+'[77]Learig Pig Cost'!F53</f>
        <v>0</v>
      </c>
      <c r="L30" s="818">
        <f>+'[77]Learig Pig Cost'!G53</f>
        <v>0</v>
      </c>
      <c r="M30" s="818">
        <f>+'[77]Learig Pig Cost'!H53</f>
        <v>0</v>
      </c>
      <c r="N30" s="818">
        <f>+'[77]Learig Pig Cost'!I53</f>
        <v>0</v>
      </c>
      <c r="O30" s="818">
        <f>+'[77]Learig Pig Cost'!J53</f>
        <v>0</v>
      </c>
      <c r="P30" s="818">
        <f>+'[77]Learig Pig Cost'!K53</f>
        <v>0</v>
      </c>
      <c r="Q30" s="818">
        <f>+'[77]Learig Pig Cost'!L53</f>
        <v>0</v>
      </c>
      <c r="R30" s="818">
        <f>+'[77]Learig Pig Cost'!M53</f>
        <v>0</v>
      </c>
      <c r="S30" s="818">
        <f>+'[77]Learig Pig Cost'!N53</f>
        <v>0</v>
      </c>
      <c r="T30" s="818">
        <f>+'[77]Learig Pig Cost'!O53</f>
        <v>0</v>
      </c>
      <c r="U30" s="818">
        <f>+'[77]Learig Pig Cost'!P53</f>
        <v>0</v>
      </c>
      <c r="V30" s="818">
        <f>+'[77]Learig Pig Cost'!Q53</f>
        <v>0</v>
      </c>
      <c r="W30" s="818">
        <f>+'[77]Learig Pig Cost'!R53</f>
        <v>0</v>
      </c>
      <c r="X30" s="818">
        <f>+'[77]Learig Pig Cost'!S53</f>
        <v>0</v>
      </c>
      <c r="Y30" s="818">
        <f>+'[77]Learig Pig Cost'!T53</f>
        <v>0</v>
      </c>
      <c r="Z30" s="818">
        <f>+'[77]Learig Pig Cost'!U53</f>
        <v>0</v>
      </c>
      <c r="AA30" s="818">
        <f>+'[77]Learig Pig Cost'!V53</f>
        <v>0</v>
      </c>
      <c r="AB30" s="818">
        <f>+'[77]Learig Pig Cost'!W53</f>
        <v>0</v>
      </c>
      <c r="AC30" s="818">
        <f>+'[77]Learig Pig Cost'!X53</f>
        <v>12572915.729768056</v>
      </c>
      <c r="AD30" s="818">
        <f>+'[77]Learig Pig Cost'!Y53</f>
        <v>14797203.991727885</v>
      </c>
      <c r="AE30" s="818">
        <f>+'[77]Learig Pig Cost'!Z53</f>
        <v>12933306.896324646</v>
      </c>
      <c r="AF30" s="818">
        <f>+'[77]Learig Pig Cost'!AA53</f>
        <v>12451825.378865521</v>
      </c>
      <c r="AG30" s="818">
        <f>+'[77]Learig Pig Cost'!AB53</f>
        <v>15931439.281756261</v>
      </c>
      <c r="AH30" s="818">
        <f>+'[77]Learig Pig Cost'!AC53</f>
        <v>14066645.63951315</v>
      </c>
      <c r="AI30" s="818">
        <f>+'[77]Learig Pig Cost'!AD53</f>
        <v>13766823.376218047</v>
      </c>
      <c r="AJ30" s="818">
        <f>+'[77]Learig Pig Cost'!AE53</f>
        <v>17006165.809753574</v>
      </c>
      <c r="AK30" s="818">
        <f>+'[77]Learig Pig Cost'!AF53</f>
        <v>17415098.74859307</v>
      </c>
      <c r="AL30" s="818">
        <f>+'[77]Learig Pig Cost'!AG53</f>
        <v>19409800.426432364</v>
      </c>
      <c r="AM30" s="818">
        <f>+'[77]Learig Pig Cost'!AH53</f>
        <v>20923065.634601697</v>
      </c>
      <c r="AN30" s="818">
        <f>+'[77]Learig Pig Cost'!AI53</f>
        <v>27784385.254378147</v>
      </c>
      <c r="AO30" s="818">
        <f>+'[77]Learig Pig Cost'!AJ53</f>
        <v>23735181.913772888</v>
      </c>
      <c r="AP30" s="818">
        <f>+'[77]Learig Pig Cost'!AK53</f>
        <v>24846334.880874954</v>
      </c>
      <c r="AQ30" s="818">
        <f>+'[77]Learig Pig Cost'!AL53</f>
        <v>29764126.433051102</v>
      </c>
      <c r="AR30" s="818">
        <f>+'[77]Learig Pig Cost'!AM53</f>
        <v>29931232.447764862</v>
      </c>
      <c r="AS30" s="818">
        <f>+'[77]Learig Pig Cost'!AN53</f>
        <v>30070805.368709657</v>
      </c>
      <c r="AT30" s="818">
        <f>+'[77]Learig Pig Cost'!AO53</f>
        <v>0</v>
      </c>
      <c r="AU30" s="1059">
        <f>SUM(B30:AT30)</f>
        <v>337406357.21210593</v>
      </c>
      <c r="AV30" s="1059">
        <f>+'[77]Learig Pig Cost'!$AU$53</f>
        <v>337406357.21210593</v>
      </c>
      <c r="AW30" s="1170">
        <f>+AU30-AV30</f>
        <v>0</v>
      </c>
      <c r="AX30" s="142"/>
      <c r="AY30" s="621"/>
    </row>
    <row r="31" spans="1:52" ht="15.6">
      <c r="A31" s="1066" t="s">
        <v>212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817"/>
      <c r="T31" s="817"/>
      <c r="U31" s="817"/>
      <c r="V31" s="817"/>
      <c r="W31" s="817"/>
      <c r="X31" s="1101">
        <f>-Y32</f>
        <v>0</v>
      </c>
      <c r="Y31" s="1101">
        <f>-X32</f>
        <v>0</v>
      </c>
      <c r="Z31" s="1059"/>
      <c r="AA31" s="1059"/>
      <c r="AB31" s="1059">
        <f>-AC32</f>
        <v>38449.283577272341</v>
      </c>
      <c r="AC31" s="1059"/>
      <c r="AD31" s="1059"/>
      <c r="AE31" s="1059"/>
      <c r="AF31" s="1059"/>
      <c r="AG31" s="1059"/>
      <c r="AH31" s="1059"/>
      <c r="AI31" s="1059"/>
      <c r="AJ31" s="1059"/>
      <c r="AK31" s="1059"/>
      <c r="AL31" s="1059"/>
      <c r="AM31" s="1059"/>
      <c r="AN31" s="1059"/>
      <c r="AO31" s="1059"/>
      <c r="AP31" s="1059"/>
      <c r="AQ31" s="1059">
        <f>-AR32</f>
        <v>0</v>
      </c>
      <c r="AR31" s="1059"/>
      <c r="AS31" s="1059"/>
      <c r="AT31" s="1059"/>
      <c r="AU31" s="805">
        <f>SUM(B31:AT31)</f>
        <v>38449.283577272341</v>
      </c>
      <c r="AV31" s="1059"/>
      <c r="AW31" s="142"/>
      <c r="AX31" s="818"/>
    </row>
    <row r="32" spans="1:52" s="23" customFormat="1" ht="15.6">
      <c r="A32" s="1066" t="s">
        <v>1788</v>
      </c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817"/>
      <c r="T32" s="817"/>
      <c r="U32" s="817"/>
      <c r="V32" s="817"/>
      <c r="W32" s="817"/>
      <c r="X32" s="1101">
        <v>0</v>
      </c>
      <c r="Y32" s="1101">
        <f>+IFERROR(Y30/Y8*Y10,0)</f>
        <v>0</v>
      </c>
      <c r="Z32" s="1059"/>
      <c r="AA32" s="1059"/>
      <c r="AB32" s="1059"/>
      <c r="AC32" s="1059">
        <f>+AC10/AC7*AC30</f>
        <v>-38449.283577272341</v>
      </c>
      <c r="AD32" s="1059"/>
      <c r="AE32" s="1059"/>
      <c r="AF32" s="1059"/>
      <c r="AG32" s="1059"/>
      <c r="AH32" s="1059"/>
      <c r="AI32" s="1059"/>
      <c r="AJ32" s="1059"/>
      <c r="AK32" s="1059"/>
      <c r="AL32" s="1059"/>
      <c r="AM32" s="1059"/>
      <c r="AN32" s="1059"/>
      <c r="AO32" s="1059"/>
      <c r="AP32" s="1059"/>
      <c r="AQ32" s="1059"/>
      <c r="AR32" s="1605">
        <v>0</v>
      </c>
      <c r="AS32" s="1059"/>
      <c r="AT32" s="1059"/>
      <c r="AU32" s="805">
        <f>SUM(B32:AT32)</f>
        <v>-38449.283577272341</v>
      </c>
      <c r="AV32" s="1059"/>
      <c r="AW32" s="142"/>
      <c r="AX32" s="818"/>
      <c r="AY32"/>
    </row>
    <row r="33" spans="1:51" ht="15">
      <c r="A33" s="1059" t="s">
        <v>1804</v>
      </c>
      <c r="B33" s="818"/>
      <c r="C33" s="818"/>
      <c r="D33" s="818"/>
      <c r="E33" s="818"/>
      <c r="F33" s="818">
        <f>SUM(F30:F32)</f>
        <v>0</v>
      </c>
      <c r="G33" s="818">
        <f t="shared" ref="G33:AS33" si="7">SUM(G30:G32)</f>
        <v>0</v>
      </c>
      <c r="H33" s="818">
        <f t="shared" si="7"/>
        <v>0</v>
      </c>
      <c r="I33" s="818">
        <f t="shared" si="7"/>
        <v>0</v>
      </c>
      <c r="J33" s="818">
        <f t="shared" si="7"/>
        <v>0</v>
      </c>
      <c r="K33" s="818">
        <f t="shared" si="7"/>
        <v>0</v>
      </c>
      <c r="L33" s="818">
        <f t="shared" si="7"/>
        <v>0</v>
      </c>
      <c r="M33" s="818">
        <f t="shared" si="7"/>
        <v>0</v>
      </c>
      <c r="N33" s="818">
        <f t="shared" si="7"/>
        <v>0</v>
      </c>
      <c r="O33" s="818">
        <f t="shared" si="7"/>
        <v>0</v>
      </c>
      <c r="P33" s="818">
        <f t="shared" si="7"/>
        <v>0</v>
      </c>
      <c r="Q33" s="818">
        <f t="shared" si="7"/>
        <v>0</v>
      </c>
      <c r="R33" s="818">
        <f t="shared" si="7"/>
        <v>0</v>
      </c>
      <c r="S33" s="818">
        <f t="shared" si="7"/>
        <v>0</v>
      </c>
      <c r="T33" s="818">
        <f t="shared" si="7"/>
        <v>0</v>
      </c>
      <c r="U33" s="818">
        <f t="shared" si="7"/>
        <v>0</v>
      </c>
      <c r="V33" s="818">
        <f t="shared" si="7"/>
        <v>0</v>
      </c>
      <c r="W33" s="818">
        <f t="shared" si="7"/>
        <v>0</v>
      </c>
      <c r="X33" s="1059">
        <f>SUM(X30:X32)</f>
        <v>0</v>
      </c>
      <c r="Y33" s="1059">
        <f t="shared" si="7"/>
        <v>0</v>
      </c>
      <c r="Z33" s="1059">
        <f t="shared" si="7"/>
        <v>0</v>
      </c>
      <c r="AA33" s="1059">
        <f>SUM(AA30:AA32)</f>
        <v>0</v>
      </c>
      <c r="AB33" s="1059">
        <f>SUM(AB30:AB32)</f>
        <v>38449.283577272341</v>
      </c>
      <c r="AC33" s="1059">
        <f t="shared" si="7"/>
        <v>12534466.446190784</v>
      </c>
      <c r="AD33" s="1059">
        <f t="shared" si="7"/>
        <v>14797203.991727885</v>
      </c>
      <c r="AE33" s="1059">
        <f>SUM(AE30:AE32)</f>
        <v>12933306.896324646</v>
      </c>
      <c r="AF33" s="1059">
        <f>SUM(AF30:AF32)</f>
        <v>12451825.378865521</v>
      </c>
      <c r="AG33" s="1059">
        <f t="shared" si="7"/>
        <v>15931439.281756261</v>
      </c>
      <c r="AH33" s="1059">
        <f t="shared" si="7"/>
        <v>14066645.63951315</v>
      </c>
      <c r="AI33" s="1059">
        <f t="shared" si="7"/>
        <v>13766823.376218047</v>
      </c>
      <c r="AJ33" s="1059">
        <f t="shared" si="7"/>
        <v>17006165.809753574</v>
      </c>
      <c r="AK33" s="1059">
        <f>SUM(AK30:AK32)</f>
        <v>17415098.74859307</v>
      </c>
      <c r="AL33" s="1059">
        <f t="shared" si="7"/>
        <v>19409800.426432364</v>
      </c>
      <c r="AM33" s="1059">
        <f t="shared" si="7"/>
        <v>20923065.634601697</v>
      </c>
      <c r="AN33" s="1059">
        <f t="shared" si="7"/>
        <v>27784385.254378147</v>
      </c>
      <c r="AO33" s="1059">
        <f t="shared" si="7"/>
        <v>23735181.913772888</v>
      </c>
      <c r="AP33" s="1059">
        <f t="shared" si="7"/>
        <v>24846334.880874954</v>
      </c>
      <c r="AQ33" s="1059">
        <f>SUM(AQ30:AQ32)</f>
        <v>29764126.433051102</v>
      </c>
      <c r="AR33" s="1059">
        <f t="shared" si="7"/>
        <v>29931232.447764862</v>
      </c>
      <c r="AS33" s="1059">
        <f t="shared" si="7"/>
        <v>30070805.368709657</v>
      </c>
      <c r="AT33" s="1059">
        <f>SUM(AT30:AT32)</f>
        <v>0</v>
      </c>
      <c r="AU33" s="1059">
        <f>SUM(AU30:AU32)</f>
        <v>337406357.21210593</v>
      </c>
      <c r="AV33" s="1059"/>
      <c r="AW33" s="1170"/>
      <c r="AX33" s="142"/>
      <c r="AY33" s="621"/>
    </row>
    <row r="34" spans="1:51" ht="15">
      <c r="A34" s="1059" t="s">
        <v>1805</v>
      </c>
      <c r="B34" s="818"/>
      <c r="C34" s="818"/>
      <c r="D34" s="818"/>
      <c r="E34" s="818"/>
      <c r="F34" s="818"/>
      <c r="G34" s="818"/>
      <c r="H34" s="818"/>
      <c r="I34" s="818"/>
      <c r="J34" s="818"/>
      <c r="K34" s="818"/>
      <c r="L34" s="818"/>
      <c r="M34" s="818"/>
      <c r="N34" s="818"/>
      <c r="O34" s="818"/>
      <c r="P34" s="818"/>
      <c r="Q34" s="818"/>
      <c r="R34" s="818"/>
      <c r="S34" s="818">
        <f>IFERROR(S33/S11,0)</f>
        <v>0</v>
      </c>
      <c r="T34" s="818">
        <f t="shared" ref="T34:AS34" si="8">IFERROR(T33/T11,0)</f>
        <v>0</v>
      </c>
      <c r="U34" s="818">
        <f t="shared" si="8"/>
        <v>0</v>
      </c>
      <c r="V34" s="818">
        <f t="shared" si="8"/>
        <v>0</v>
      </c>
      <c r="W34" s="818">
        <f t="shared" si="8"/>
        <v>0</v>
      </c>
      <c r="X34" s="1087">
        <f>IFERROR(X33/X11,0)</f>
        <v>0</v>
      </c>
      <c r="Y34" s="1087">
        <f t="shared" si="8"/>
        <v>0</v>
      </c>
      <c r="Z34" s="1087">
        <f t="shared" si="8"/>
        <v>0</v>
      </c>
      <c r="AA34" s="1087">
        <f t="shared" si="8"/>
        <v>0</v>
      </c>
      <c r="AB34" s="1059">
        <f>IFERROR(AB33/AB11,0)</f>
        <v>38449.283577272341</v>
      </c>
      <c r="AC34" s="1059">
        <f t="shared" si="8"/>
        <v>38449.283577272341</v>
      </c>
      <c r="AD34" s="1059">
        <f t="shared" si="8"/>
        <v>41217.838417069317</v>
      </c>
      <c r="AE34" s="1059">
        <f t="shared" si="8"/>
        <v>36025.924502297064</v>
      </c>
      <c r="AF34" s="1059">
        <f t="shared" si="8"/>
        <v>34021.380816572462</v>
      </c>
      <c r="AG34" s="1059">
        <f t="shared" si="8"/>
        <v>44253.998004878507</v>
      </c>
      <c r="AH34" s="1059">
        <f t="shared" si="8"/>
        <v>47203.508857426677</v>
      </c>
      <c r="AI34" s="1059">
        <f t="shared" si="8"/>
        <v>49343.452961355004</v>
      </c>
      <c r="AJ34" s="1059">
        <f t="shared" si="8"/>
        <v>47503.256451825626</v>
      </c>
      <c r="AK34" s="1059">
        <f t="shared" si="8"/>
        <v>66469.842551881942</v>
      </c>
      <c r="AL34" s="1059">
        <f t="shared" si="8"/>
        <v>77639.201705729458</v>
      </c>
      <c r="AM34" s="1059">
        <f t="shared" si="8"/>
        <v>74459.308308191088</v>
      </c>
      <c r="AN34" s="1059">
        <f t="shared" si="8"/>
        <v>73309.72362632757</v>
      </c>
      <c r="AO34" s="1059">
        <f t="shared" si="8"/>
        <v>82990.146551653452</v>
      </c>
      <c r="AP34" s="1059">
        <f t="shared" si="8"/>
        <v>90680.054309762607</v>
      </c>
      <c r="AQ34" s="1059">
        <f>IFERROR(AQ33/AQ11,0)</f>
        <v>91581.927486311077</v>
      </c>
      <c r="AR34" s="1059">
        <f t="shared" si="8"/>
        <v>96552.362734725364</v>
      </c>
      <c r="AS34" s="1059">
        <f t="shared" si="8"/>
        <v>79975.546193376751</v>
      </c>
      <c r="AT34" s="1059">
        <f>IFERROR(AT33/AT11,0)</f>
        <v>0</v>
      </c>
      <c r="AU34" s="1059">
        <f>IFERROR(AU33/AU11,0)</f>
        <v>61920.784953588904</v>
      </c>
      <c r="AV34" s="1059"/>
      <c r="AW34" s="1170"/>
      <c r="AX34" s="142"/>
      <c r="AY34" s="621"/>
    </row>
    <row r="35" spans="1:51" ht="15">
      <c r="A35" s="142"/>
      <c r="B35" s="818"/>
      <c r="C35" s="818"/>
      <c r="D35" s="818"/>
      <c r="E35" s="818"/>
      <c r="F35" s="818"/>
      <c r="G35" s="818"/>
      <c r="H35" s="818"/>
      <c r="I35" s="818"/>
      <c r="J35" s="818"/>
      <c r="K35" s="818"/>
      <c r="L35" s="818"/>
      <c r="M35" s="818"/>
      <c r="N35" s="818"/>
      <c r="O35" s="818"/>
      <c r="P35" s="818"/>
      <c r="Q35" s="818"/>
      <c r="R35" s="818"/>
      <c r="S35" s="818"/>
      <c r="T35" s="818"/>
      <c r="U35" s="818"/>
      <c r="V35" s="818"/>
      <c r="W35" s="818"/>
      <c r="X35" s="1059"/>
      <c r="Y35" s="1059"/>
      <c r="Z35" s="1059"/>
      <c r="AA35" s="1059"/>
      <c r="AB35" s="1059"/>
      <c r="AC35" s="1059"/>
      <c r="AD35" s="1059"/>
      <c r="AE35" s="1059"/>
      <c r="AF35" s="1059"/>
      <c r="AG35" s="1059"/>
      <c r="AH35" s="1059"/>
      <c r="AI35" s="1059"/>
      <c r="AJ35" s="1059"/>
      <c r="AK35" s="1059"/>
      <c r="AL35" s="1059"/>
      <c r="AM35" s="1059"/>
      <c r="AN35" s="1059"/>
      <c r="AO35" s="1059"/>
      <c r="AP35" s="1059"/>
      <c r="AQ35" s="1059"/>
      <c r="AR35" s="1059"/>
      <c r="AS35" s="1059"/>
      <c r="AT35" s="1059"/>
      <c r="AU35" s="1059"/>
      <c r="AV35" s="1059"/>
      <c r="AW35" s="1170"/>
      <c r="AX35" s="142"/>
      <c r="AY35" s="621"/>
    </row>
    <row r="36" spans="1:51" ht="15.6">
      <c r="A36" s="1687" t="s">
        <v>1806</v>
      </c>
      <c r="B36" s="818">
        <f>B33+SUM(B41:B49)</f>
        <v>0</v>
      </c>
      <c r="C36" s="818">
        <f t="shared" ref="C36:AT36" si="9">C33+SUM(C41:C49)</f>
        <v>0</v>
      </c>
      <c r="D36" s="818">
        <f t="shared" si="9"/>
        <v>0</v>
      </c>
      <c r="E36" s="818">
        <f t="shared" si="9"/>
        <v>0</v>
      </c>
      <c r="F36" s="818">
        <f t="shared" si="9"/>
        <v>0</v>
      </c>
      <c r="G36" s="818">
        <f t="shared" si="9"/>
        <v>0</v>
      </c>
      <c r="H36" s="818">
        <f t="shared" si="9"/>
        <v>0</v>
      </c>
      <c r="I36" s="818">
        <f t="shared" si="9"/>
        <v>0</v>
      </c>
      <c r="J36" s="818">
        <f t="shared" si="9"/>
        <v>0</v>
      </c>
      <c r="K36" s="818">
        <f t="shared" si="9"/>
        <v>0</v>
      </c>
      <c r="L36" s="818">
        <f t="shared" si="9"/>
        <v>0</v>
      </c>
      <c r="M36" s="818">
        <f t="shared" si="9"/>
        <v>0</v>
      </c>
      <c r="N36" s="818">
        <f t="shared" si="9"/>
        <v>0</v>
      </c>
      <c r="O36" s="818">
        <f t="shared" si="9"/>
        <v>0</v>
      </c>
      <c r="P36" s="818">
        <f t="shared" si="9"/>
        <v>0</v>
      </c>
      <c r="Q36" s="818">
        <f t="shared" si="9"/>
        <v>0</v>
      </c>
      <c r="R36" s="818">
        <f t="shared" si="9"/>
        <v>0</v>
      </c>
      <c r="S36" s="818">
        <f t="shared" si="9"/>
        <v>0</v>
      </c>
      <c r="T36" s="818">
        <f t="shared" si="9"/>
        <v>0</v>
      </c>
      <c r="U36" s="818">
        <f t="shared" si="9"/>
        <v>0</v>
      </c>
      <c r="V36" s="818">
        <f t="shared" si="9"/>
        <v>0</v>
      </c>
      <c r="W36" s="818">
        <f t="shared" si="9"/>
        <v>0</v>
      </c>
      <c r="X36" s="818">
        <f>X33+SUM(X41:X49)</f>
        <v>1888200.8316374708</v>
      </c>
      <c r="Y36" s="818">
        <f t="shared" si="9"/>
        <v>1663225.3034641817</v>
      </c>
      <c r="Z36" s="818">
        <f t="shared" si="9"/>
        <v>3719696.3276487677</v>
      </c>
      <c r="AA36" s="818">
        <f t="shared" si="9"/>
        <v>5314904.0705655077</v>
      </c>
      <c r="AB36" s="818">
        <f t="shared" si="9"/>
        <v>1028861.8440904982</v>
      </c>
      <c r="AC36" s="818">
        <f t="shared" si="9"/>
        <v>12534466.446190784</v>
      </c>
      <c r="AD36" s="818">
        <f t="shared" si="9"/>
        <v>14797203.991727885</v>
      </c>
      <c r="AE36" s="818">
        <f t="shared" si="9"/>
        <v>12933306.896324646</v>
      </c>
      <c r="AF36" s="818">
        <f t="shared" si="9"/>
        <v>12417803.998048948</v>
      </c>
      <c r="AG36" s="818">
        <f t="shared" si="9"/>
        <v>15931439.281756261</v>
      </c>
      <c r="AH36" s="818">
        <f t="shared" si="9"/>
        <v>14066645.63951315</v>
      </c>
      <c r="AI36" s="818">
        <f t="shared" si="9"/>
        <v>13766823.376218047</v>
      </c>
      <c r="AJ36" s="818">
        <f t="shared" si="9"/>
        <v>17006165.809753574</v>
      </c>
      <c r="AK36" s="818">
        <f>AK33+SUM(AK41:AK49)</f>
        <v>17215689.220937423</v>
      </c>
      <c r="AL36" s="818">
        <f t="shared" si="9"/>
        <v>19332161.224726636</v>
      </c>
      <c r="AM36" s="818">
        <f t="shared" si="9"/>
        <v>20923065.634601697</v>
      </c>
      <c r="AN36" s="818">
        <f t="shared" si="9"/>
        <v>28444172.767015096</v>
      </c>
      <c r="AO36" s="818">
        <f t="shared" si="9"/>
        <v>23652191.767221235</v>
      </c>
      <c r="AP36" s="818">
        <f t="shared" si="9"/>
        <v>24664974.772255428</v>
      </c>
      <c r="AQ36" s="818">
        <f t="shared" si="9"/>
        <v>29764126.433051102</v>
      </c>
      <c r="AR36" s="818">
        <f t="shared" si="9"/>
        <v>29834680.085030138</v>
      </c>
      <c r="AS36" s="818">
        <f t="shared" si="9"/>
        <v>30070805.368709657</v>
      </c>
      <c r="AT36" s="818">
        <f t="shared" si="9"/>
        <v>0</v>
      </c>
      <c r="AU36" s="818">
        <f>AU33+SUM(AU41:AU46)</f>
        <v>350982796.30593508</v>
      </c>
      <c r="AV36" s="1059"/>
      <c r="AW36" s="1170"/>
      <c r="AX36" s="142"/>
      <c r="AY36" s="621"/>
    </row>
    <row r="37" spans="1:51" ht="15.6">
      <c r="A37" s="1066" t="s">
        <v>1807</v>
      </c>
      <c r="B37" s="1318">
        <f>+$B$61*B69</f>
        <v>0</v>
      </c>
      <c r="C37" s="1318">
        <f t="shared" ref="C37:R37" si="10">+$B$61*C69</f>
        <v>0</v>
      </c>
      <c r="D37" s="1318">
        <f t="shared" si="10"/>
        <v>0</v>
      </c>
      <c r="E37" s="1318">
        <f t="shared" si="10"/>
        <v>0</v>
      </c>
      <c r="F37" s="1318">
        <f t="shared" si="10"/>
        <v>0</v>
      </c>
      <c r="G37" s="1318">
        <f t="shared" si="10"/>
        <v>0</v>
      </c>
      <c r="H37" s="1318">
        <f t="shared" si="10"/>
        <v>0</v>
      </c>
      <c r="I37" s="1318">
        <f t="shared" si="10"/>
        <v>0</v>
      </c>
      <c r="J37" s="1318">
        <f t="shared" si="10"/>
        <v>0</v>
      </c>
      <c r="K37" s="1318">
        <f t="shared" si="10"/>
        <v>0</v>
      </c>
      <c r="L37" s="1318">
        <f t="shared" si="10"/>
        <v>0</v>
      </c>
      <c r="M37" s="1318">
        <f t="shared" si="10"/>
        <v>0</v>
      </c>
      <c r="N37" s="1318">
        <f t="shared" si="10"/>
        <v>0</v>
      </c>
      <c r="O37" s="1318">
        <f t="shared" si="10"/>
        <v>0</v>
      </c>
      <c r="P37" s="1318">
        <f t="shared" si="10"/>
        <v>0</v>
      </c>
      <c r="Q37" s="1318">
        <f t="shared" si="10"/>
        <v>0</v>
      </c>
      <c r="R37" s="1318">
        <f t="shared" si="10"/>
        <v>0</v>
      </c>
      <c r="S37" s="1317">
        <f>S69*$D$61</f>
        <v>0</v>
      </c>
      <c r="T37" s="1317">
        <f>+T69*$D$61</f>
        <v>0</v>
      </c>
      <c r="U37" s="1317">
        <f>+U69*$D$61</f>
        <v>0</v>
      </c>
      <c r="V37" s="1319">
        <f>+V69*'Feed Cost &amp; Allocation'!B77</f>
        <v>0</v>
      </c>
      <c r="W37" s="1319">
        <f>+(W69*'Feed Cost &amp; Allocation'!B77-'Feed Cost &amp; Allocation'!B77)</f>
        <v>0</v>
      </c>
      <c r="X37" s="1511">
        <f>+(X26/(X26+Y26)*('Feed Cost &amp; Allocation'!C77+'Feed Cost &amp; Allocation'!B77))</f>
        <v>10474.963556851311</v>
      </c>
      <c r="Y37" s="1511">
        <f>(Y26/(X26+Y26)*('Feed Cost &amp; Allocation'!C77+'Feed Cost &amp; Allocation'!B77))</f>
        <v>11500.036443148689</v>
      </c>
      <c r="Z37" s="1764">
        <f>IFERROR(Z26/(Z26+AA26+AB26+AC26)*'Feed Cost &amp; Allocation'!D77,0)</f>
        <v>6183.9980879541108</v>
      </c>
      <c r="AA37" s="1764">
        <f>IFERROR(AA26/(Z26+AA26+AB26+AC26)*'Feed Cost &amp; Allocation'!D77,0)</f>
        <v>6304.5774378585083</v>
      </c>
      <c r="AB37" s="1764">
        <f>IFERROR(AB26/(AA26+AB26+AC26+Z26)*'Feed Cost &amp; Allocation'!D77,0)</f>
        <v>-51.676864244741878</v>
      </c>
      <c r="AC37" s="1764">
        <f>IFERROR(AC26/(AB26+AC26+AA26+Z26)*'Feed Cost &amp; Allocation'!D77,0)</f>
        <v>5581.1013384321232</v>
      </c>
      <c r="AD37" s="1765">
        <f>IFERROR((AD7/(AD7+AE7))*'Feed Cost &amp; Allocation'!F77,0)</f>
        <v>25929</v>
      </c>
      <c r="AE37" s="1765">
        <f>IFERROR((AE7/(AE7+AD7))*'Feed Cost &amp; Allocation'!F77,0)</f>
        <v>25929</v>
      </c>
      <c r="AF37" s="1679">
        <f>IFERROR(AF7/(AF7+AG7)*'Feed Cost &amp; Allocation'!G77,0)</f>
        <v>26266.801652892562</v>
      </c>
      <c r="AG37" s="1679">
        <f>IFERROR(AG7/(AF7+AG7)*'Feed Cost &amp; Allocation'!G77,0)</f>
        <v>25836.198347107438</v>
      </c>
      <c r="AH37" s="1680">
        <f>IFERROR(AH7/(AH7+AI7)*'Feed Cost &amp; Allocation'!H77,0)</f>
        <v>43801.868284228767</v>
      </c>
      <c r="AI37" s="1680">
        <f>IFERROR(AI7/(AH7+AI7)*'Feed Cost &amp; Allocation'!H77,0)</f>
        <v>41009.131715771226</v>
      </c>
      <c r="AJ37" s="1766">
        <f>AJ7/(+AJ7+AK7+AL7+AM7+AN7)*'Feed Cost &amp; Allocation'!J77</f>
        <v>33076.396814863969</v>
      </c>
      <c r="AK37" s="1766">
        <f>AK7/(AJ7+AK7+AL7+AM7+AN7)*'Feed Cost &amp; Allocation'!J77</f>
        <v>24206.748506967484</v>
      </c>
      <c r="AL37" s="1766">
        <f>AL7/(AJ7+AL7+AM7+AN7+AK7)*'Feed Cost &amp; Allocation'!J77</f>
        <v>23098.042468480424</v>
      </c>
      <c r="AM37" s="1766">
        <f>AM7/(AJ7+AM7+AN7+AK7+AL7)*'Feed Cost &amp; Allocation'!J77</f>
        <v>25962.199734571997</v>
      </c>
      <c r="AN37" s="1766">
        <f>AN7/(AJ7+AN7+AM7+AK7+AL7)*'Feed Cost &amp; Allocation'!J77</f>
        <v>32891.612475116126</v>
      </c>
      <c r="AO37" s="805"/>
      <c r="AP37" s="805"/>
      <c r="AQ37" s="805"/>
      <c r="AR37" s="805"/>
      <c r="AS37" s="805"/>
      <c r="AT37" s="805"/>
      <c r="AU37" s="805">
        <f>SUM(B37:AT37)</f>
        <v>368000</v>
      </c>
      <c r="AV37" s="1511">
        <f>+AU37-'Feed Cost &amp; Allocation'!Z77+'Feed Cost &amp; Allocation'!R77+'Feed Cost &amp; Allocation'!Q77+'Feed Cost &amp; Allocation'!P77-F60</f>
        <v>368000</v>
      </c>
      <c r="AW37" s="1088">
        <f>+'Feed Cost &amp; Allocation'!P77+'Feed Cost &amp; Allocation'!Q77+'Feed Cost &amp; Allocation'!R77-'Learig Pig Cost (2)'!F60</f>
        <v>0</v>
      </c>
      <c r="AX37" s="818"/>
    </row>
    <row r="38" spans="1:51" ht="15.6">
      <c r="A38" s="131" t="s">
        <v>1808</v>
      </c>
      <c r="B38" s="24">
        <f>SUM(B36:B37)</f>
        <v>0</v>
      </c>
      <c r="C38" s="24">
        <f t="shared" ref="C38:AS38" si="11">SUM(C36:C37)</f>
        <v>0</v>
      </c>
      <c r="D38" s="24">
        <f t="shared" si="11"/>
        <v>0</v>
      </c>
      <c r="E38" s="24">
        <f t="shared" si="11"/>
        <v>0</v>
      </c>
      <c r="F38" s="24">
        <f t="shared" si="11"/>
        <v>0</v>
      </c>
      <c r="G38" s="24">
        <f t="shared" si="11"/>
        <v>0</v>
      </c>
      <c r="H38" s="24">
        <f t="shared" si="11"/>
        <v>0</v>
      </c>
      <c r="I38" s="24">
        <f t="shared" si="11"/>
        <v>0</v>
      </c>
      <c r="J38" s="24">
        <f t="shared" si="11"/>
        <v>0</v>
      </c>
      <c r="K38" s="24">
        <f t="shared" si="11"/>
        <v>0</v>
      </c>
      <c r="L38" s="24">
        <f t="shared" si="11"/>
        <v>0</v>
      </c>
      <c r="M38" s="24">
        <f t="shared" si="11"/>
        <v>0</v>
      </c>
      <c r="N38" s="24">
        <f t="shared" si="11"/>
        <v>0</v>
      </c>
      <c r="O38" s="24">
        <f t="shared" si="11"/>
        <v>0</v>
      </c>
      <c r="P38" s="24">
        <f t="shared" si="11"/>
        <v>0</v>
      </c>
      <c r="Q38" s="24">
        <f t="shared" si="11"/>
        <v>0</v>
      </c>
      <c r="R38" s="24">
        <f t="shared" si="11"/>
        <v>0</v>
      </c>
      <c r="S38" s="24">
        <f t="shared" si="11"/>
        <v>0</v>
      </c>
      <c r="T38" s="24">
        <f t="shared" si="11"/>
        <v>0</v>
      </c>
      <c r="U38" s="24">
        <f t="shared" si="11"/>
        <v>0</v>
      </c>
      <c r="V38" s="24">
        <f t="shared" si="11"/>
        <v>0</v>
      </c>
      <c r="W38" s="24">
        <f t="shared" si="11"/>
        <v>0</v>
      </c>
      <c r="X38" s="24">
        <f>SUM(X36:X37)</f>
        <v>1898675.795194322</v>
      </c>
      <c r="Y38" s="24">
        <f>SUM(Y36:Y37)</f>
        <v>1674725.3399073305</v>
      </c>
      <c r="Z38" s="24">
        <f t="shared" si="11"/>
        <v>3725880.325736722</v>
      </c>
      <c r="AA38" s="24">
        <f>SUM(AA36:AA37)</f>
        <v>5321208.6480033658</v>
      </c>
      <c r="AB38" s="24">
        <f t="shared" si="11"/>
        <v>1028810.1672262534</v>
      </c>
      <c r="AC38" s="24">
        <f>SUM(AC36:AC37)</f>
        <v>12540047.547529215</v>
      </c>
      <c r="AD38" s="24">
        <f t="shared" si="11"/>
        <v>14823132.991727885</v>
      </c>
      <c r="AE38" s="24">
        <f t="shared" si="11"/>
        <v>12959235.896324646</v>
      </c>
      <c r="AF38" s="24">
        <f t="shared" si="11"/>
        <v>12444070.799701842</v>
      </c>
      <c r="AG38" s="24">
        <f t="shared" si="11"/>
        <v>15957275.480103368</v>
      </c>
      <c r="AH38" s="24">
        <f t="shared" si="11"/>
        <v>14110447.507797379</v>
      </c>
      <c r="AI38" s="24">
        <f t="shared" si="11"/>
        <v>13807832.507933818</v>
      </c>
      <c r="AJ38" s="24">
        <f t="shared" si="11"/>
        <v>17039242.206568439</v>
      </c>
      <c r="AK38" s="24">
        <f t="shared" si="11"/>
        <v>17239895.96944439</v>
      </c>
      <c r="AL38" s="24">
        <f t="shared" si="11"/>
        <v>19355259.267195117</v>
      </c>
      <c r="AM38" s="24">
        <f t="shared" si="11"/>
        <v>20949027.83433627</v>
      </c>
      <c r="AN38" s="24">
        <f t="shared" si="11"/>
        <v>28477064.379490212</v>
      </c>
      <c r="AO38" s="24">
        <f t="shared" si="11"/>
        <v>23652191.767221235</v>
      </c>
      <c r="AP38" s="24">
        <f t="shared" si="11"/>
        <v>24664974.772255428</v>
      </c>
      <c r="AQ38" s="24">
        <f t="shared" si="11"/>
        <v>29764126.433051102</v>
      </c>
      <c r="AR38" s="24">
        <f t="shared" si="11"/>
        <v>29834680.085030138</v>
      </c>
      <c r="AS38" s="24">
        <f t="shared" si="11"/>
        <v>30070805.368709657</v>
      </c>
      <c r="AT38" s="24">
        <f>SUM(AT36:AT37)</f>
        <v>0</v>
      </c>
      <c r="AU38" s="805">
        <f>SUM(B38:AT38)</f>
        <v>351338611.09048814</v>
      </c>
      <c r="AV38" s="23"/>
    </row>
    <row r="39" spans="1:51" ht="15.6">
      <c r="A39" s="131" t="s">
        <v>1809</v>
      </c>
      <c r="S39">
        <f>IFERROR(S38/SUM(S11:S20),0)</f>
        <v>0</v>
      </c>
      <c r="T39">
        <f t="shared" ref="T39:AT39" si="12">IFERROR(T38/SUM(T11:T20),0)</f>
        <v>0</v>
      </c>
      <c r="U39">
        <f t="shared" si="12"/>
        <v>0</v>
      </c>
      <c r="V39">
        <f t="shared" si="12"/>
        <v>0</v>
      </c>
      <c r="W39">
        <f>IFERROR(W38/SUM(W11:W20),0)</f>
        <v>0</v>
      </c>
      <c r="X39">
        <f>X38/X26</f>
        <v>5806.3479975361533</v>
      </c>
      <c r="Y39">
        <f t="shared" ref="Y39" si="13">IFERROR(Y38/SUM(Y11:Y20),0)</f>
        <v>4664.9730916638728</v>
      </c>
      <c r="Z39">
        <f t="shared" si="12"/>
        <v>10320.998132234687</v>
      </c>
      <c r="AA39">
        <f t="shared" si="12"/>
        <v>14381.644994603692</v>
      </c>
      <c r="AB39">
        <f t="shared" si="12"/>
        <v>1028810.1672262534</v>
      </c>
      <c r="AC39">
        <f t="shared" si="12"/>
        <v>38466.403520028267</v>
      </c>
      <c r="AD39">
        <f t="shared" si="12"/>
        <v>41290.064043810264</v>
      </c>
      <c r="AE39">
        <f t="shared" si="12"/>
        <v>36098.150129038011</v>
      </c>
      <c r="AF39">
        <f t="shared" si="12"/>
        <v>34093.344656717374</v>
      </c>
      <c r="AG39">
        <f t="shared" si="12"/>
        <v>44325.765222509355</v>
      </c>
      <c r="AH39">
        <f t="shared" si="12"/>
        <v>47350.494992608656</v>
      </c>
      <c r="AI39">
        <f t="shared" si="12"/>
        <v>49490.439096536982</v>
      </c>
      <c r="AJ39">
        <f t="shared" si="12"/>
        <v>47595.648621699547</v>
      </c>
      <c r="AK39">
        <f t="shared" si="12"/>
        <v>66563.304901329699</v>
      </c>
      <c r="AL39">
        <f t="shared" si="12"/>
        <v>77731.964928494446</v>
      </c>
      <c r="AM39">
        <f t="shared" si="12"/>
        <v>74551.700478065017</v>
      </c>
      <c r="AN39">
        <f t="shared" si="12"/>
        <v>73394.495823428384</v>
      </c>
      <c r="AO39">
        <f t="shared" si="12"/>
        <v>82990.146551653452</v>
      </c>
      <c r="AP39">
        <f t="shared" si="12"/>
        <v>90680.054309762607</v>
      </c>
      <c r="AQ39">
        <f t="shared" si="12"/>
        <v>91581.927486311077</v>
      </c>
      <c r="AR39">
        <f t="shared" si="12"/>
        <v>96552.362734725364</v>
      </c>
      <c r="AS39">
        <f t="shared" si="12"/>
        <v>79975.546193376751</v>
      </c>
      <c r="AT39">
        <f t="shared" si="12"/>
        <v>0</v>
      </c>
      <c r="AU39" s="23"/>
      <c r="AV39" s="23"/>
    </row>
    <row r="40" spans="1:51" s="23" customFormat="1" ht="15.6">
      <c r="A40" s="131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817"/>
      <c r="T40" s="817"/>
      <c r="U40" s="817"/>
      <c r="V40" s="817"/>
      <c r="W40" s="1091"/>
      <c r="X40" s="1059"/>
      <c r="Y40" s="1059"/>
      <c r="Z40" s="1059"/>
      <c r="AA40" s="1059"/>
      <c r="AB40" s="1059"/>
      <c r="AC40" s="1059"/>
      <c r="AD40" s="1059"/>
      <c r="AE40" s="1059"/>
      <c r="AF40" s="1059"/>
      <c r="AG40" s="1059"/>
      <c r="AH40" s="1059"/>
      <c r="AI40" s="1059"/>
      <c r="AJ40" s="1059"/>
      <c r="AK40" s="1059"/>
      <c r="AL40" s="1059"/>
      <c r="AM40" s="1059"/>
      <c r="AN40" s="1059"/>
      <c r="AO40" s="1059"/>
      <c r="AP40" s="1059"/>
      <c r="AQ40" s="1059"/>
      <c r="AR40" s="1059"/>
      <c r="AS40" s="1059"/>
      <c r="AT40" s="1059"/>
      <c r="AU40" s="1059"/>
      <c r="AV40" s="1059"/>
      <c r="AW40" s="142"/>
      <c r="AX40" s="818"/>
      <c r="AY40"/>
    </row>
    <row r="41" spans="1:51" s="23" customFormat="1" ht="15.6">
      <c r="A41" s="1769" t="str">
        <f t="shared" ref="A41:A54" si="14">+A12</f>
        <v>Transfers Lionshead</v>
      </c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059">
        <f t="shared" ref="S41:V41" si="15">S12*S34</f>
        <v>0</v>
      </c>
      <c r="T41" s="1059">
        <f t="shared" si="15"/>
        <v>0</v>
      </c>
      <c r="U41" s="1059">
        <f t="shared" si="15"/>
        <v>0</v>
      </c>
      <c r="V41" s="1059">
        <f t="shared" si="15"/>
        <v>0</v>
      </c>
      <c r="W41" s="1059">
        <f>-'Lionhead Pig Cost (2)'!W44</f>
        <v>0</v>
      </c>
      <c r="X41" s="1059">
        <f>-'Lionhead Pig Cost (2)'!X44</f>
        <v>0</v>
      </c>
      <c r="Y41" s="1059">
        <f>-'Lionhead Pig Cost (2)'!Y44</f>
        <v>0</v>
      </c>
      <c r="Z41" s="1059">
        <f>-'Lionhead Pig Cost (2)'!Z44</f>
        <v>0</v>
      </c>
      <c r="AA41" s="1059">
        <f>-'Lionhead Pig Cost (2)'!AA44</f>
        <v>0</v>
      </c>
      <c r="AB41" s="1059">
        <f>-'Lionhead Pig Cost (2)'!AB44</f>
        <v>0</v>
      </c>
      <c r="AC41" s="1059">
        <f>-'Lionhead Pig Cost (2)'!AC44</f>
        <v>0</v>
      </c>
      <c r="AD41" s="1059">
        <f>-'Lionhead Pig Cost (2)'!AD44</f>
        <v>0</v>
      </c>
      <c r="AE41" s="1059">
        <f>-'Lionhead Pig Cost (2)'!AE44</f>
        <v>0</v>
      </c>
      <c r="AF41" s="1059">
        <f>-'Lionhead Pig Cost (2)'!AF44</f>
        <v>0</v>
      </c>
      <c r="AG41" s="1059">
        <f>-'Lionhead Pig Cost (2)'!AG44</f>
        <v>0</v>
      </c>
      <c r="AH41" s="1059">
        <f>-'Lionhead Pig Cost (2)'!AH44</f>
        <v>0</v>
      </c>
      <c r="AI41" s="1059">
        <f>-'Lionhead Pig Cost (2)'!AI44</f>
        <v>0</v>
      </c>
      <c r="AJ41" s="1059">
        <f>-'Lionhead Pig Cost (2)'!AJ44</f>
        <v>0</v>
      </c>
      <c r="AK41" s="1059">
        <f>-'Lionhead Pig Cost (2)'!AK44</f>
        <v>0</v>
      </c>
      <c r="AL41" s="1059">
        <f>-'Lionhead Pig Cost (2)'!AL44</f>
        <v>0</v>
      </c>
      <c r="AM41" s="1059">
        <f>-'Lionhead Pig Cost (2)'!AM44</f>
        <v>0</v>
      </c>
      <c r="AN41" s="1059">
        <f>-'Lionhead Pig Cost (2)'!AN44</f>
        <v>0</v>
      </c>
      <c r="AO41" s="1059">
        <f>-'Lionhead Pig Cost (2)'!AO44</f>
        <v>0</v>
      </c>
      <c r="AP41" s="1059">
        <f>-'Lionhead Pig Cost (2)'!AP44</f>
        <v>0</v>
      </c>
      <c r="AQ41" s="1059">
        <f>-'Lionhead Pig Cost (2)'!AQ44</f>
        <v>0</v>
      </c>
      <c r="AR41" s="1059">
        <f>-'Lionhead Pig Cost (2)'!AR44</f>
        <v>0</v>
      </c>
      <c r="AS41" s="1059">
        <f>-'Lionhead Pig Cost (2)'!AS44</f>
        <v>0</v>
      </c>
      <c r="AT41" s="1059">
        <f>-'Lionhead Pig Cost (2)'!AT44</f>
        <v>0</v>
      </c>
      <c r="AU41" s="1097">
        <f>SUM(B41:AT41)</f>
        <v>0</v>
      </c>
      <c r="AV41" s="1059"/>
      <c r="AW41" s="142"/>
      <c r="AX41" s="142"/>
      <c r="AY41"/>
    </row>
    <row r="42" spans="1:51" s="23" customFormat="1" ht="15.6">
      <c r="A42" s="1769" t="str">
        <f t="shared" si="14"/>
        <v>Transfers Lionshead Ext.</v>
      </c>
      <c r="B42" s="1059"/>
      <c r="C42" s="1059"/>
      <c r="D42" s="1059"/>
      <c r="E42" s="1059"/>
      <c r="F42" s="1059"/>
      <c r="G42" s="1059"/>
      <c r="H42" s="1059"/>
      <c r="I42" s="1059"/>
      <c r="J42" s="1059"/>
      <c r="K42" s="1059"/>
      <c r="L42" s="1059"/>
      <c r="M42" s="1059"/>
      <c r="N42" s="1059"/>
      <c r="O42" s="1059"/>
      <c r="P42" s="1059"/>
      <c r="Q42" s="1059"/>
      <c r="R42" s="1059"/>
      <c r="S42" s="1059">
        <f>S13*S34</f>
        <v>0</v>
      </c>
      <c r="T42" s="1059">
        <f>T13*T34</f>
        <v>0</v>
      </c>
      <c r="U42" s="1059">
        <f t="shared" ref="U42:AA42" si="16">U13*U34</f>
        <v>0</v>
      </c>
      <c r="V42" s="1059">
        <f t="shared" si="16"/>
        <v>0</v>
      </c>
      <c r="W42" s="1059">
        <f t="shared" ref="W42" si="17">W13*W34</f>
        <v>0</v>
      </c>
      <c r="X42" s="1059">
        <f t="shared" si="16"/>
        <v>0</v>
      </c>
      <c r="Y42" s="1059">
        <f t="shared" si="16"/>
        <v>0</v>
      </c>
      <c r="Z42" s="1059">
        <f t="shared" si="16"/>
        <v>0</v>
      </c>
      <c r="AA42" s="1059">
        <f t="shared" si="16"/>
        <v>0</v>
      </c>
      <c r="AB42" s="1059">
        <f t="shared" ref="AB42:AT42" si="18">AB13*AB34</f>
        <v>0</v>
      </c>
      <c r="AC42" s="1059">
        <f t="shared" si="18"/>
        <v>0</v>
      </c>
      <c r="AD42" s="1059">
        <f t="shared" si="18"/>
        <v>0</v>
      </c>
      <c r="AE42" s="1059">
        <f t="shared" si="18"/>
        <v>0</v>
      </c>
      <c r="AF42" s="1059">
        <f t="shared" si="18"/>
        <v>0</v>
      </c>
      <c r="AG42" s="1059">
        <f t="shared" si="18"/>
        <v>0</v>
      </c>
      <c r="AH42" s="1059">
        <f t="shared" si="18"/>
        <v>0</v>
      </c>
      <c r="AI42" s="1059">
        <f t="shared" si="18"/>
        <v>0</v>
      </c>
      <c r="AJ42" s="1059">
        <f t="shared" si="18"/>
        <v>0</v>
      </c>
      <c r="AK42" s="1059">
        <f t="shared" si="18"/>
        <v>0</v>
      </c>
      <c r="AL42" s="1059">
        <f t="shared" si="18"/>
        <v>0</v>
      </c>
      <c r="AM42" s="1059">
        <f t="shared" si="18"/>
        <v>0</v>
      </c>
      <c r="AN42" s="1059">
        <f t="shared" si="18"/>
        <v>0</v>
      </c>
      <c r="AO42" s="1059">
        <f t="shared" si="18"/>
        <v>0</v>
      </c>
      <c r="AP42" s="1059">
        <f t="shared" si="18"/>
        <v>0</v>
      </c>
      <c r="AQ42" s="1059">
        <f t="shared" si="18"/>
        <v>0</v>
      </c>
      <c r="AR42" s="1059">
        <f t="shared" si="18"/>
        <v>0</v>
      </c>
      <c r="AS42" s="1059">
        <f t="shared" si="18"/>
        <v>0</v>
      </c>
      <c r="AT42" s="1059">
        <f t="shared" si="18"/>
        <v>0</v>
      </c>
      <c r="AU42" s="1097">
        <f>SUM(B42:AT42)</f>
        <v>0</v>
      </c>
      <c r="AV42" s="1059"/>
      <c r="AW42" s="1059"/>
      <c r="AX42" s="1059"/>
    </row>
    <row r="43" spans="1:51" s="23" customFormat="1" ht="15.6">
      <c r="A43" s="1769" t="str">
        <f t="shared" si="14"/>
        <v>Transfers  Richlands</v>
      </c>
      <c r="B43" s="1059"/>
      <c r="C43" s="1059"/>
      <c r="D43" s="1059"/>
      <c r="E43" s="1059"/>
      <c r="F43" s="1059"/>
      <c r="G43" s="1059"/>
      <c r="H43" s="1059"/>
      <c r="I43" s="1059"/>
      <c r="J43" s="1059"/>
      <c r="K43" s="1059"/>
      <c r="L43" s="1059"/>
      <c r="M43" s="1059"/>
      <c r="N43" s="1059"/>
      <c r="O43" s="1059"/>
      <c r="P43" s="1059"/>
      <c r="Q43" s="1059"/>
      <c r="R43" s="1059"/>
      <c r="S43" s="1059">
        <f>S14*S34</f>
        <v>0</v>
      </c>
      <c r="T43" s="1059">
        <f>T14*T34</f>
        <v>0</v>
      </c>
      <c r="U43" s="1059">
        <f t="shared" ref="U43:V43" si="19">U14*U34</f>
        <v>0</v>
      </c>
      <c r="V43" s="1059">
        <f t="shared" si="19"/>
        <v>0</v>
      </c>
      <c r="W43" s="1059">
        <f>-'Richlands Pig Cost'!W48</f>
        <v>0</v>
      </c>
      <c r="X43" s="1059">
        <f>-'Richlands Pig Cost'!X48</f>
        <v>0</v>
      </c>
      <c r="Y43" s="1059">
        <f>-'Richlands Pig Cost'!Y48</f>
        <v>0</v>
      </c>
      <c r="Z43" s="1059">
        <f>-'Richlands Pig Cost'!Z48</f>
        <v>0</v>
      </c>
      <c r="AA43" s="1059">
        <f>-'Richlands Pig Cost'!AA48</f>
        <v>0</v>
      </c>
      <c r="AB43" s="1059">
        <f>-'Richlands Pig Cost'!AB48</f>
        <v>0</v>
      </c>
      <c r="AC43" s="1059">
        <f>-'Richlands Pig Cost'!AC48</f>
        <v>0</v>
      </c>
      <c r="AD43" s="1059">
        <f>-'Richlands Pig Cost'!AD48</f>
        <v>0</v>
      </c>
      <c r="AE43" s="1059">
        <f>-'Richlands Pig Cost'!AE48</f>
        <v>0</v>
      </c>
      <c r="AF43" s="1059">
        <f>-'Richlands Pig Cost'!AF48</f>
        <v>0</v>
      </c>
      <c r="AG43" s="1059">
        <f>-'Richlands Pig Cost'!AG48</f>
        <v>0</v>
      </c>
      <c r="AH43" s="1059">
        <f>-'Richlands Pig Cost'!AH48</f>
        <v>0</v>
      </c>
      <c r="AI43" s="1059">
        <f>-'Richlands Pig Cost'!AI48</f>
        <v>0</v>
      </c>
      <c r="AJ43" s="1059">
        <f>-'Richlands Pig Cost'!AJ48</f>
        <v>0</v>
      </c>
      <c r="AK43" s="1059">
        <f>-'Richlands Pig Cost'!AK48</f>
        <v>0</v>
      </c>
      <c r="AL43" s="1059">
        <f>-'Richlands Pig Cost'!AL48</f>
        <v>0</v>
      </c>
      <c r="AM43" s="1059">
        <f>-'Richlands Pig Cost'!AM48</f>
        <v>0</v>
      </c>
      <c r="AN43" s="1059">
        <f>-'Richlands Pig Cost'!AN48</f>
        <v>0</v>
      </c>
      <c r="AO43" s="1059">
        <f>-'Richlands Pig Cost'!AO48</f>
        <v>0</v>
      </c>
      <c r="AP43" s="1059">
        <f>-'Richlands Pig Cost'!AP48</f>
        <v>0</v>
      </c>
      <c r="AQ43" s="1059">
        <f>-'Richlands Pig Cost'!AQ48</f>
        <v>0</v>
      </c>
      <c r="AR43" s="1059">
        <f>-'Richlands Pig Cost'!AR48</f>
        <v>0</v>
      </c>
      <c r="AS43" s="1059">
        <f>-'Richlands Pig Cost'!AS48</f>
        <v>0</v>
      </c>
      <c r="AT43" s="1059">
        <f>-'Richlands Pig Cost'!AT48</f>
        <v>0</v>
      </c>
      <c r="AU43" s="1097">
        <f t="shared" ref="AU43:AU47" si="20">SUM(B43:AT43)</f>
        <v>0</v>
      </c>
      <c r="AV43" s="1059"/>
      <c r="AW43" s="1059"/>
      <c r="AX43" s="1059"/>
    </row>
    <row r="44" spans="1:51" s="23" customFormat="1" ht="15.6">
      <c r="A44" s="1769" t="str">
        <f t="shared" si="14"/>
        <v>Transfers Grasmere</v>
      </c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059">
        <f>S15*S34</f>
        <v>0</v>
      </c>
      <c r="T44" s="1059">
        <f>T15*T34</f>
        <v>0</v>
      </c>
      <c r="U44" s="1059">
        <f t="shared" ref="U44:V44" si="21">U15*U34</f>
        <v>0</v>
      </c>
      <c r="V44" s="1059">
        <f t="shared" si="21"/>
        <v>0</v>
      </c>
      <c r="W44" s="1059">
        <f>-'Grasmere Pig Cost (2)'!W44</f>
        <v>0</v>
      </c>
      <c r="X44" s="1059">
        <f>-'Grasmere Pig Cost (2)'!X44</f>
        <v>1888200.8316374708</v>
      </c>
      <c r="Y44" s="1059">
        <f>-'Grasmere Pig Cost (2)'!Y44</f>
        <v>1663225.3034641817</v>
      </c>
      <c r="Z44" s="1059">
        <f>-'Grasmere Pig Cost (2)'!Z44</f>
        <v>2793210.0216572369</v>
      </c>
      <c r="AA44" s="1059">
        <f>-'Grasmere Pig Cost (2)'!AA44</f>
        <v>3936705.9621083704</v>
      </c>
      <c r="AB44" s="1059">
        <f>-'Grasmere Pig Cost (2)'!AB44</f>
        <v>0</v>
      </c>
      <c r="AC44" s="1059">
        <f>-'Grasmere Pig Cost (2)'!AC44</f>
        <v>0</v>
      </c>
      <c r="AD44" s="1059">
        <f>-'Grasmere Pig Cost (2)'!AD44</f>
        <v>0</v>
      </c>
      <c r="AE44" s="1059">
        <f>-'Grasmere Pig Cost (2)'!AE44</f>
        <v>0</v>
      </c>
      <c r="AF44" s="1059">
        <f>-'Grasmere Pig Cost (2)'!AF44</f>
        <v>0</v>
      </c>
      <c r="AG44" s="1059">
        <f>-'Grasmere Pig Cost (2)'!AG44</f>
        <v>0</v>
      </c>
      <c r="AH44" s="1059">
        <f>-'Grasmere Pig Cost (2)'!AH44</f>
        <v>0</v>
      </c>
      <c r="AI44" s="1059">
        <f>-'Grasmere Pig Cost (2)'!AI44</f>
        <v>0</v>
      </c>
      <c r="AJ44" s="1059">
        <f>-'Grasmere Pig Cost (2)'!AJ44</f>
        <v>0</v>
      </c>
      <c r="AK44" s="1059">
        <f>-'Grasmere Pig Cost (2)'!AK44</f>
        <v>0</v>
      </c>
      <c r="AL44" s="1059">
        <f>-'Grasmere Pig Cost (2)'!AL44</f>
        <v>0</v>
      </c>
      <c r="AM44" s="1059">
        <f>-'Grasmere Pig Cost (2)'!AM44</f>
        <v>0</v>
      </c>
      <c r="AN44" s="1059">
        <f>-'Grasmere Pig Cost (2)'!AN44</f>
        <v>0</v>
      </c>
      <c r="AO44" s="1059">
        <f>-'Grasmere Pig Cost (2)'!AO44</f>
        <v>0</v>
      </c>
      <c r="AP44" s="1059">
        <f>-'Grasmere Pig Cost (2)'!AP44</f>
        <v>0</v>
      </c>
      <c r="AQ44" s="1059">
        <f>-'Grasmere Pig Cost (2)'!AQ44</f>
        <v>0</v>
      </c>
      <c r="AR44" s="1059">
        <f>-'Grasmere Pig Cost (2)'!AR44</f>
        <v>0</v>
      </c>
      <c r="AS44" s="1059">
        <f>-'Grasmere Pig Cost (2)'!AS44</f>
        <v>0</v>
      </c>
      <c r="AT44" s="1059">
        <f>-'Grasmere Pig Cost (2)'!AT44</f>
        <v>0</v>
      </c>
      <c r="AU44" s="1097">
        <f t="shared" si="20"/>
        <v>10281342.118867259</v>
      </c>
      <c r="AV44" s="1059"/>
      <c r="AW44" s="142"/>
      <c r="AX44" s="142"/>
      <c r="AY44"/>
    </row>
    <row r="45" spans="1:51" s="23" customFormat="1" ht="15.6">
      <c r="A45" s="1769" t="str">
        <f t="shared" si="14"/>
        <v>Transfers Villa</v>
      </c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059">
        <f>S16*S34</f>
        <v>0</v>
      </c>
      <c r="T45" s="1059">
        <f>T16*T34</f>
        <v>0</v>
      </c>
      <c r="U45" s="1059">
        <f t="shared" ref="U45:V45" si="22">U16*U34</f>
        <v>0</v>
      </c>
      <c r="V45" s="1059">
        <f t="shared" si="22"/>
        <v>0</v>
      </c>
      <c r="W45" s="1059">
        <f>-'Villa Pig Cost (2)'!W44</f>
        <v>0</v>
      </c>
      <c r="X45" s="1059">
        <f>-'Villa Pig Cost (2)'!X44</f>
        <v>0</v>
      </c>
      <c r="Y45" s="1059">
        <f>-'Villa Pig Cost (2)'!Y44</f>
        <v>0</v>
      </c>
      <c r="Z45" s="1059">
        <f>-'Villa Pig Cost (2)'!Z44</f>
        <v>926486.30599153088</v>
      </c>
      <c r="AA45" s="1059">
        <f>-'Villa Pig Cost (2)'!AA44</f>
        <v>1378198.1084571376</v>
      </c>
      <c r="AB45" s="1059">
        <f>-'Villa Pig Cost (2)'!AB44</f>
        <v>990412.56051322585</v>
      </c>
      <c r="AC45" s="1059">
        <f>-'Villa Pig Cost (2)'!AC44</f>
        <v>0</v>
      </c>
      <c r="AD45" s="1059">
        <f>-'Villa Pig Cost (2)'!AD44</f>
        <v>0</v>
      </c>
      <c r="AE45" s="1059">
        <f>-'Villa Pig Cost (2)'!AE44</f>
        <v>0</v>
      </c>
      <c r="AF45" s="1059">
        <f>-'Villa Pig Cost (2)'!AF44</f>
        <v>0</v>
      </c>
      <c r="AG45" s="1059">
        <f>-'Villa Pig Cost (2)'!AG44</f>
        <v>0</v>
      </c>
      <c r="AH45" s="1059">
        <f>-'Villa Pig Cost (2)'!AH44</f>
        <v>0</v>
      </c>
      <c r="AI45" s="1059">
        <f>-'Villa Pig Cost (2)'!AI44</f>
        <v>0</v>
      </c>
      <c r="AJ45" s="1059">
        <f>-'Villa Pig Cost (2)'!AJ44</f>
        <v>0</v>
      </c>
      <c r="AK45" s="1059">
        <f>-'Villa Pig Cost (2)'!AK44</f>
        <v>0</v>
      </c>
      <c r="AL45" s="1059">
        <f>-'Villa Pig Cost (2)'!AL44</f>
        <v>0</v>
      </c>
      <c r="AM45" s="1059">
        <f>-'Villa Pig Cost (2)'!AM44</f>
        <v>0</v>
      </c>
      <c r="AN45" s="1059">
        <f>-'Villa Pig Cost (2)'!AN44</f>
        <v>0</v>
      </c>
      <c r="AO45" s="1059">
        <f>-'Villa Pig Cost (2)'!AO44</f>
        <v>0</v>
      </c>
      <c r="AP45" s="1059">
        <f>-'Villa Pig Cost (2)'!AP44</f>
        <v>0</v>
      </c>
      <c r="AQ45" s="1059">
        <f>-'Villa Pig Cost (2)'!AQ44</f>
        <v>0</v>
      </c>
      <c r="AR45" s="1059">
        <f>-'Villa Pig Cost (2)'!AR44</f>
        <v>0</v>
      </c>
      <c r="AS45" s="1059">
        <f>-'Villa Pig Cost (2)'!AS44</f>
        <v>0</v>
      </c>
      <c r="AT45" s="1059">
        <f>-'Villa Pig Cost (2)'!AT44</f>
        <v>0</v>
      </c>
      <c r="AU45" s="1097">
        <f t="shared" si="20"/>
        <v>3295096.9749618941</v>
      </c>
      <c r="AV45" s="1059"/>
      <c r="AW45" s="142"/>
      <c r="AX45" s="142"/>
      <c r="AY45"/>
    </row>
    <row r="46" spans="1:51" s="23" customFormat="1" ht="15.6">
      <c r="A46" s="1769" t="str">
        <f t="shared" si="14"/>
        <v>Transfers  Boars</v>
      </c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059">
        <f>S17*S34</f>
        <v>0</v>
      </c>
      <c r="T46" s="1059">
        <f>T17*T34</f>
        <v>0</v>
      </c>
      <c r="U46" s="1059">
        <f t="shared" ref="U46:AT46" si="23">U17*U34</f>
        <v>0</v>
      </c>
      <c r="V46" s="1059">
        <f t="shared" si="23"/>
        <v>0</v>
      </c>
      <c r="W46" s="1059">
        <f t="shared" si="23"/>
        <v>0</v>
      </c>
      <c r="X46" s="1059">
        <f t="shared" ref="X46:AA46" si="24">X17*X34</f>
        <v>0</v>
      </c>
      <c r="Y46" s="1059">
        <f t="shared" si="24"/>
        <v>0</v>
      </c>
      <c r="Z46" s="1059">
        <f t="shared" si="24"/>
        <v>0</v>
      </c>
      <c r="AA46" s="1059">
        <f t="shared" si="24"/>
        <v>0</v>
      </c>
      <c r="AB46" s="1059">
        <f t="shared" si="23"/>
        <v>0</v>
      </c>
      <c r="AC46" s="1059">
        <f t="shared" si="23"/>
        <v>0</v>
      </c>
      <c r="AD46" s="1059">
        <f t="shared" si="23"/>
        <v>0</v>
      </c>
      <c r="AE46" s="1059">
        <f t="shared" si="23"/>
        <v>0</v>
      </c>
      <c r="AF46" s="1059">
        <f t="shared" si="23"/>
        <v>0</v>
      </c>
      <c r="AG46" s="1059">
        <f t="shared" si="23"/>
        <v>0</v>
      </c>
      <c r="AH46" s="1059">
        <f t="shared" si="23"/>
        <v>0</v>
      </c>
      <c r="AI46" s="1059">
        <f t="shared" si="23"/>
        <v>0</v>
      </c>
      <c r="AJ46" s="1059">
        <f t="shared" si="23"/>
        <v>0</v>
      </c>
      <c r="AK46" s="1059">
        <f t="shared" si="23"/>
        <v>0</v>
      </c>
      <c r="AL46" s="1059">
        <f t="shared" si="23"/>
        <v>0</v>
      </c>
      <c r="AM46" s="1059">
        <f t="shared" si="23"/>
        <v>0</v>
      </c>
      <c r="AN46" s="1059">
        <f t="shared" si="23"/>
        <v>0</v>
      </c>
      <c r="AO46" s="1059">
        <f t="shared" si="23"/>
        <v>0</v>
      </c>
      <c r="AP46" s="1059">
        <f t="shared" si="23"/>
        <v>0</v>
      </c>
      <c r="AQ46" s="1059">
        <f t="shared" si="23"/>
        <v>0</v>
      </c>
      <c r="AR46" s="1059">
        <f t="shared" si="23"/>
        <v>0</v>
      </c>
      <c r="AS46" s="1059">
        <f t="shared" si="23"/>
        <v>0</v>
      </c>
      <c r="AT46" s="1059">
        <f t="shared" si="23"/>
        <v>0</v>
      </c>
      <c r="AU46" s="1097">
        <f t="shared" si="20"/>
        <v>0</v>
      </c>
      <c r="AV46" s="1059"/>
      <c r="AW46" s="142"/>
      <c r="AX46" s="142"/>
      <c r="AY46"/>
    </row>
    <row r="47" spans="1:51" s="23" customFormat="1" ht="15.6">
      <c r="A47" s="1769" t="str">
        <f t="shared" si="14"/>
        <v>Transfers Grower</v>
      </c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059">
        <f>S18*S34</f>
        <v>0</v>
      </c>
      <c r="T47" s="1059">
        <f>T18*T34</f>
        <v>0</v>
      </c>
      <c r="U47" s="1059">
        <f t="shared" ref="U47:AT47" si="25">U18*U34</f>
        <v>0</v>
      </c>
      <c r="V47" s="1059">
        <f t="shared" si="25"/>
        <v>0</v>
      </c>
      <c r="W47" s="1059">
        <f t="shared" si="25"/>
        <v>0</v>
      </c>
      <c r="X47" s="1059">
        <f t="shared" ref="X47:AA47" si="26">X18*X34</f>
        <v>0</v>
      </c>
      <c r="Y47" s="1059">
        <f t="shared" si="26"/>
        <v>0</v>
      </c>
      <c r="Z47" s="1059">
        <f t="shared" si="26"/>
        <v>0</v>
      </c>
      <c r="AA47" s="1059">
        <f t="shared" si="26"/>
        <v>0</v>
      </c>
      <c r="AB47" s="1059">
        <f t="shared" si="25"/>
        <v>0</v>
      </c>
      <c r="AC47" s="1059">
        <f t="shared" si="25"/>
        <v>0</v>
      </c>
      <c r="AD47" s="1059">
        <f t="shared" si="25"/>
        <v>0</v>
      </c>
      <c r="AE47" s="1059">
        <f t="shared" si="25"/>
        <v>0</v>
      </c>
      <c r="AF47" s="1059">
        <f t="shared" si="25"/>
        <v>0</v>
      </c>
      <c r="AG47" s="1059">
        <f t="shared" si="25"/>
        <v>0</v>
      </c>
      <c r="AH47" s="1059">
        <f t="shared" si="25"/>
        <v>0</v>
      </c>
      <c r="AI47" s="1059">
        <f t="shared" si="25"/>
        <v>0</v>
      </c>
      <c r="AJ47" s="1059">
        <f t="shared" si="25"/>
        <v>0</v>
      </c>
      <c r="AK47" s="1059">
        <f t="shared" si="25"/>
        <v>0</v>
      </c>
      <c r="AL47" s="1059">
        <f t="shared" si="25"/>
        <v>0</v>
      </c>
      <c r="AM47" s="1059">
        <f t="shared" si="25"/>
        <v>0</v>
      </c>
      <c r="AN47" s="1059">
        <f t="shared" si="25"/>
        <v>0</v>
      </c>
      <c r="AO47" s="1059">
        <f t="shared" si="25"/>
        <v>0</v>
      </c>
      <c r="AP47" s="1059">
        <f t="shared" si="25"/>
        <v>0</v>
      </c>
      <c r="AQ47" s="1059">
        <f t="shared" si="25"/>
        <v>0</v>
      </c>
      <c r="AR47" s="1059">
        <f t="shared" si="25"/>
        <v>0</v>
      </c>
      <c r="AS47" s="1059">
        <f t="shared" si="25"/>
        <v>0</v>
      </c>
      <c r="AT47" s="1059">
        <f t="shared" si="25"/>
        <v>0</v>
      </c>
      <c r="AU47" s="1097">
        <f t="shared" si="20"/>
        <v>0</v>
      </c>
      <c r="AV47" s="1059"/>
      <c r="AW47" s="142"/>
      <c r="AX47" s="142"/>
      <c r="AY47"/>
    </row>
    <row r="48" spans="1:51" s="23" customFormat="1" ht="15.6">
      <c r="A48" s="1769" t="str">
        <f t="shared" si="14"/>
        <v>Transfer to Sick Block</v>
      </c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059">
        <f>S19*S34</f>
        <v>0</v>
      </c>
      <c r="T48" s="1059">
        <f>T19*T34</f>
        <v>0</v>
      </c>
      <c r="U48" s="1059">
        <f t="shared" ref="U48:AT48" si="27">U19*U34</f>
        <v>0</v>
      </c>
      <c r="V48" s="1059">
        <f t="shared" si="27"/>
        <v>0</v>
      </c>
      <c r="W48" s="1059">
        <f t="shared" si="27"/>
        <v>0</v>
      </c>
      <c r="X48" s="1059">
        <f t="shared" ref="X48:AA48" si="28">X19*X34</f>
        <v>0</v>
      </c>
      <c r="Y48" s="1059">
        <f t="shared" si="28"/>
        <v>0</v>
      </c>
      <c r="Z48" s="1059">
        <f t="shared" si="28"/>
        <v>0</v>
      </c>
      <c r="AA48" s="1059">
        <f t="shared" si="28"/>
        <v>0</v>
      </c>
      <c r="AB48" s="1059">
        <f t="shared" si="27"/>
        <v>0</v>
      </c>
      <c r="AC48" s="1059">
        <f t="shared" si="27"/>
        <v>0</v>
      </c>
      <c r="AD48" s="1059">
        <f t="shared" si="27"/>
        <v>0</v>
      </c>
      <c r="AE48" s="1059">
        <f t="shared" si="27"/>
        <v>0</v>
      </c>
      <c r="AF48" s="1059">
        <f t="shared" si="27"/>
        <v>-34021.380816572462</v>
      </c>
      <c r="AG48" s="1059">
        <f t="shared" si="27"/>
        <v>0</v>
      </c>
      <c r="AH48" s="1059">
        <f t="shared" si="27"/>
        <v>0</v>
      </c>
      <c r="AI48" s="1059">
        <f t="shared" si="27"/>
        <v>0</v>
      </c>
      <c r="AJ48" s="1059">
        <f t="shared" si="27"/>
        <v>0</v>
      </c>
      <c r="AK48" s="1059">
        <f t="shared" si="27"/>
        <v>-199409.52765564583</v>
      </c>
      <c r="AL48" s="1059">
        <f t="shared" si="27"/>
        <v>-77639.201705729458</v>
      </c>
      <c r="AM48" s="1059">
        <f t="shared" si="27"/>
        <v>0</v>
      </c>
      <c r="AN48" s="1059">
        <f t="shared" si="27"/>
        <v>659787.51263694814</v>
      </c>
      <c r="AO48" s="1059">
        <f t="shared" si="27"/>
        <v>-82990.146551653452</v>
      </c>
      <c r="AP48" s="1059">
        <f t="shared" si="27"/>
        <v>-181360.10861952521</v>
      </c>
      <c r="AQ48" s="1059">
        <f t="shared" si="27"/>
        <v>0</v>
      </c>
      <c r="AR48" s="1059">
        <f t="shared" si="27"/>
        <v>-96552.362734725364</v>
      </c>
      <c r="AS48" s="1059">
        <f t="shared" si="27"/>
        <v>0</v>
      </c>
      <c r="AT48" s="1059">
        <f t="shared" si="27"/>
        <v>0</v>
      </c>
      <c r="AU48" s="1097">
        <f>SUM(B48:AT48)</f>
        <v>-12185.215446903618</v>
      </c>
      <c r="AV48" s="1059"/>
      <c r="AW48" s="1059">
        <v>-255888.69542158186</v>
      </c>
      <c r="AX48" s="142"/>
      <c r="AY48"/>
    </row>
    <row r="49" spans="1:52" s="23" customFormat="1" ht="15.6">
      <c r="A49" s="1769" t="str">
        <f t="shared" si="14"/>
        <v>Transfers Gilts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059">
        <f>S20*S34</f>
        <v>0</v>
      </c>
      <c r="T49" s="1059">
        <f>T20*T34</f>
        <v>0</v>
      </c>
      <c r="U49" s="1059">
        <f t="shared" ref="U49:AT49" si="29">U20*U34</f>
        <v>0</v>
      </c>
      <c r="V49" s="1059">
        <f t="shared" si="29"/>
        <v>0</v>
      </c>
      <c r="W49" s="1059">
        <f t="shared" si="29"/>
        <v>0</v>
      </c>
      <c r="X49" s="1059">
        <f t="shared" ref="X49:AA49" si="30">X20*X34</f>
        <v>0</v>
      </c>
      <c r="Y49" s="1059">
        <f t="shared" si="30"/>
        <v>0</v>
      </c>
      <c r="Z49" s="1059">
        <f t="shared" si="30"/>
        <v>0</v>
      </c>
      <c r="AA49" s="1059">
        <f t="shared" si="30"/>
        <v>0</v>
      </c>
      <c r="AB49" s="1059">
        <f t="shared" si="29"/>
        <v>0</v>
      </c>
      <c r="AC49" s="1059">
        <f t="shared" si="29"/>
        <v>0</v>
      </c>
      <c r="AD49" s="1059">
        <f t="shared" si="29"/>
        <v>0</v>
      </c>
      <c r="AE49" s="1059">
        <f t="shared" si="29"/>
        <v>0</v>
      </c>
      <c r="AF49" s="1059">
        <f t="shared" si="29"/>
        <v>0</v>
      </c>
      <c r="AG49" s="1059">
        <f t="shared" si="29"/>
        <v>0</v>
      </c>
      <c r="AH49" s="1059">
        <f t="shared" si="29"/>
        <v>0</v>
      </c>
      <c r="AI49" s="1059">
        <f t="shared" si="29"/>
        <v>0</v>
      </c>
      <c r="AJ49" s="1059">
        <f t="shared" si="29"/>
        <v>0</v>
      </c>
      <c r="AK49" s="1059">
        <f t="shared" si="29"/>
        <v>0</v>
      </c>
      <c r="AL49" s="1059">
        <f t="shared" si="29"/>
        <v>0</v>
      </c>
      <c r="AM49" s="1059">
        <f t="shared" si="29"/>
        <v>0</v>
      </c>
      <c r="AN49" s="1059">
        <f t="shared" si="29"/>
        <v>0</v>
      </c>
      <c r="AO49" s="1059">
        <f t="shared" si="29"/>
        <v>0</v>
      </c>
      <c r="AP49" s="1059">
        <f t="shared" si="29"/>
        <v>0</v>
      </c>
      <c r="AQ49" s="1059">
        <f t="shared" si="29"/>
        <v>0</v>
      </c>
      <c r="AR49" s="1059">
        <f t="shared" si="29"/>
        <v>0</v>
      </c>
      <c r="AS49" s="1059">
        <f t="shared" si="29"/>
        <v>0</v>
      </c>
      <c r="AT49" s="1059">
        <f t="shared" si="29"/>
        <v>0</v>
      </c>
      <c r="AU49" s="1097">
        <f t="shared" ref="AU49:AU54" si="31">SUM(B49:AT49)</f>
        <v>0</v>
      </c>
      <c r="AV49" s="1059"/>
      <c r="AW49" s="142"/>
      <c r="AX49" s="142"/>
      <c r="AY49" s="22"/>
    </row>
    <row r="50" spans="1:52" s="23" customFormat="1" ht="15.6">
      <c r="A50" s="1769" t="str">
        <f t="shared" si="14"/>
        <v>Mortality</v>
      </c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059">
        <f>S21*S39</f>
        <v>0</v>
      </c>
      <c r="T50" s="1059">
        <f>T21*T39</f>
        <v>0</v>
      </c>
      <c r="U50" s="1059">
        <f t="shared" ref="U50:AT50" si="32">U21*U39</f>
        <v>0</v>
      </c>
      <c r="V50" s="1059">
        <f t="shared" si="32"/>
        <v>0</v>
      </c>
      <c r="W50" s="1059">
        <f t="shared" si="32"/>
        <v>0</v>
      </c>
      <c r="X50" s="1059">
        <f t="shared" si="32"/>
        <v>0</v>
      </c>
      <c r="Y50" s="1059">
        <f t="shared" ref="Y50:AA50" si="33">Y21*Y39</f>
        <v>0</v>
      </c>
      <c r="Z50" s="1059">
        <f>Z21*Z39</f>
        <v>-20641.996264469373</v>
      </c>
      <c r="AA50" s="1059">
        <f t="shared" si="33"/>
        <v>-57526.579978414768</v>
      </c>
      <c r="AB50" s="1059">
        <f>AB21*AB39</f>
        <v>-4115240.6689050137</v>
      </c>
      <c r="AC50" s="1059">
        <f t="shared" si="32"/>
        <v>-76932.807040056534</v>
      </c>
      <c r="AD50" s="1059">
        <f t="shared" si="32"/>
        <v>0</v>
      </c>
      <c r="AE50" s="1059">
        <f t="shared" si="32"/>
        <v>-72196.300258076022</v>
      </c>
      <c r="AF50" s="1059">
        <f t="shared" si="32"/>
        <v>0</v>
      </c>
      <c r="AG50" s="1059">
        <f t="shared" si="32"/>
        <v>-44325.765222509355</v>
      </c>
      <c r="AH50" s="1059">
        <f t="shared" si="32"/>
        <v>0</v>
      </c>
      <c r="AI50" s="1059">
        <f t="shared" si="32"/>
        <v>0</v>
      </c>
      <c r="AJ50" s="1059">
        <f t="shared" si="32"/>
        <v>-47595.648621699547</v>
      </c>
      <c r="AK50" s="1059">
        <f t="shared" si="32"/>
        <v>-133126.6098026594</v>
      </c>
      <c r="AL50" s="1059">
        <f t="shared" si="32"/>
        <v>0</v>
      </c>
      <c r="AM50" s="1059">
        <f t="shared" si="32"/>
        <v>-149103.40095613003</v>
      </c>
      <c r="AN50" s="1059">
        <f t="shared" si="32"/>
        <v>-146788.99164685677</v>
      </c>
      <c r="AO50" s="1059">
        <f t="shared" si="32"/>
        <v>-165980.2931033069</v>
      </c>
      <c r="AP50" s="1059">
        <f t="shared" si="32"/>
        <v>-90680.054309762607</v>
      </c>
      <c r="AQ50" s="1059">
        <f t="shared" si="32"/>
        <v>0</v>
      </c>
      <c r="AR50" s="1059">
        <f t="shared" si="32"/>
        <v>0</v>
      </c>
      <c r="AS50" s="1059">
        <f t="shared" si="32"/>
        <v>0</v>
      </c>
      <c r="AT50" s="1059">
        <f t="shared" si="32"/>
        <v>0</v>
      </c>
      <c r="AU50" s="1097">
        <f t="shared" si="31"/>
        <v>-5120139.1161089549</v>
      </c>
      <c r="AV50" s="1059"/>
      <c r="AW50" s="142"/>
      <c r="AX50" s="142"/>
      <c r="AY50"/>
    </row>
    <row r="51" spans="1:52" ht="15.6">
      <c r="A51" s="1769" t="str">
        <f t="shared" si="14"/>
        <v>Rations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059">
        <f>S22*S39</f>
        <v>0</v>
      </c>
      <c r="T51" s="1059">
        <f>T22*T39</f>
        <v>0</v>
      </c>
      <c r="U51" s="1059">
        <f t="shared" ref="U51:AT51" si="34">U22*U39</f>
        <v>0</v>
      </c>
      <c r="V51" s="1059">
        <f t="shared" si="34"/>
        <v>0</v>
      </c>
      <c r="W51" s="1059">
        <f t="shared" si="34"/>
        <v>0</v>
      </c>
      <c r="X51" s="1059">
        <f t="shared" si="34"/>
        <v>0</v>
      </c>
      <c r="Y51" s="1059">
        <f t="shared" ref="Y51:AA51" si="35">Y22*Y39</f>
        <v>0</v>
      </c>
      <c r="Z51" s="1059">
        <f t="shared" si="35"/>
        <v>0</v>
      </c>
      <c r="AA51" s="1059">
        <f t="shared" si="35"/>
        <v>0</v>
      </c>
      <c r="AB51" s="1059">
        <f t="shared" si="34"/>
        <v>0</v>
      </c>
      <c r="AC51" s="1059">
        <f t="shared" si="34"/>
        <v>0</v>
      </c>
      <c r="AD51" s="1059">
        <f t="shared" si="34"/>
        <v>0</v>
      </c>
      <c r="AE51" s="1059">
        <f t="shared" si="34"/>
        <v>0</v>
      </c>
      <c r="AF51" s="1059">
        <f t="shared" si="34"/>
        <v>0</v>
      </c>
      <c r="AG51" s="1059">
        <f t="shared" si="34"/>
        <v>0</v>
      </c>
      <c r="AH51" s="1059">
        <f t="shared" si="34"/>
        <v>0</v>
      </c>
      <c r="AI51" s="1059">
        <f t="shared" si="34"/>
        <v>0</v>
      </c>
      <c r="AJ51" s="1059">
        <f t="shared" si="34"/>
        <v>0</v>
      </c>
      <c r="AK51" s="1059">
        <f t="shared" si="34"/>
        <v>0</v>
      </c>
      <c r="AL51" s="1059">
        <f t="shared" si="34"/>
        <v>0</v>
      </c>
      <c r="AM51" s="1059">
        <f t="shared" si="34"/>
        <v>0</v>
      </c>
      <c r="AN51" s="1059">
        <f t="shared" si="34"/>
        <v>-733944.95823428384</v>
      </c>
      <c r="AO51" s="1059">
        <f t="shared" si="34"/>
        <v>0</v>
      </c>
      <c r="AP51" s="1059">
        <f t="shared" si="34"/>
        <v>0</v>
      </c>
      <c r="AQ51" s="1059">
        <f t="shared" si="34"/>
        <v>0</v>
      </c>
      <c r="AR51" s="1059">
        <f t="shared" si="34"/>
        <v>0</v>
      </c>
      <c r="AS51" s="1059">
        <f t="shared" si="34"/>
        <v>0</v>
      </c>
      <c r="AT51" s="1059">
        <f t="shared" si="34"/>
        <v>0</v>
      </c>
      <c r="AU51" s="1097">
        <f t="shared" si="31"/>
        <v>-733944.95823428384</v>
      </c>
      <c r="AV51" s="1059"/>
      <c r="AW51" s="142"/>
      <c r="AX51" s="142"/>
      <c r="AY51" s="621"/>
    </row>
    <row r="52" spans="1:52" ht="15.6">
      <c r="A52" s="1769" t="str">
        <f t="shared" si="14"/>
        <v>Pet Food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059">
        <f>S23*S39</f>
        <v>0</v>
      </c>
      <c r="T52" s="1059">
        <f>T23*T39</f>
        <v>0</v>
      </c>
      <c r="U52" s="1059">
        <f t="shared" ref="U52:AT52" si="36">U23*U39</f>
        <v>0</v>
      </c>
      <c r="V52" s="1059">
        <f t="shared" si="36"/>
        <v>0</v>
      </c>
      <c r="W52" s="1059">
        <f t="shared" si="36"/>
        <v>0</v>
      </c>
      <c r="X52" s="1059">
        <f t="shared" si="36"/>
        <v>0</v>
      </c>
      <c r="Y52" s="1059">
        <f t="shared" ref="Y52:AA52" si="37">Y23*Y39</f>
        <v>0</v>
      </c>
      <c r="Z52" s="1059">
        <f t="shared" si="37"/>
        <v>0</v>
      </c>
      <c r="AA52" s="1059">
        <f t="shared" si="37"/>
        <v>0</v>
      </c>
      <c r="AB52" s="1059">
        <f t="shared" si="36"/>
        <v>0</v>
      </c>
      <c r="AC52" s="1059">
        <f t="shared" si="36"/>
        <v>0</v>
      </c>
      <c r="AD52" s="1059">
        <f t="shared" si="36"/>
        <v>0</v>
      </c>
      <c r="AE52" s="1059">
        <f t="shared" si="36"/>
        <v>0</v>
      </c>
      <c r="AF52" s="1059">
        <f t="shared" si="36"/>
        <v>0</v>
      </c>
      <c r="AG52" s="1059">
        <f t="shared" si="36"/>
        <v>0</v>
      </c>
      <c r="AH52" s="1059">
        <f t="shared" si="36"/>
        <v>0</v>
      </c>
      <c r="AI52" s="1059">
        <f t="shared" si="36"/>
        <v>0</v>
      </c>
      <c r="AJ52" s="1059">
        <f t="shared" si="36"/>
        <v>0</v>
      </c>
      <c r="AK52" s="1059">
        <f t="shared" si="36"/>
        <v>0</v>
      </c>
      <c r="AL52" s="1059">
        <f t="shared" si="36"/>
        <v>0</v>
      </c>
      <c r="AM52" s="1059">
        <f t="shared" si="36"/>
        <v>0</v>
      </c>
      <c r="AN52" s="1059">
        <f t="shared" si="36"/>
        <v>0</v>
      </c>
      <c r="AO52" s="1059">
        <f t="shared" si="36"/>
        <v>0</v>
      </c>
      <c r="AP52" s="1059">
        <f t="shared" si="36"/>
        <v>0</v>
      </c>
      <c r="AQ52" s="1059">
        <f t="shared" si="36"/>
        <v>0</v>
      </c>
      <c r="AR52" s="1059">
        <f t="shared" si="36"/>
        <v>0</v>
      </c>
      <c r="AS52" s="1059">
        <f t="shared" si="36"/>
        <v>0</v>
      </c>
      <c r="AT52" s="1059">
        <f t="shared" si="36"/>
        <v>0</v>
      </c>
      <c r="AU52" s="1097">
        <f t="shared" si="31"/>
        <v>0</v>
      </c>
      <c r="AV52" s="1059"/>
      <c r="AW52" s="142"/>
      <c r="AX52" s="142"/>
      <c r="AY52" s="621"/>
    </row>
    <row r="53" spans="1:52" ht="15.6">
      <c r="A53" s="1769" t="str">
        <f t="shared" si="14"/>
        <v>Farm Sales</v>
      </c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059">
        <f>S24*S39</f>
        <v>0</v>
      </c>
      <c r="T53" s="1059">
        <f>T24*T39</f>
        <v>0</v>
      </c>
      <c r="U53" s="1059">
        <f t="shared" ref="U53:AT53" si="38">U24*U39</f>
        <v>0</v>
      </c>
      <c r="V53" s="1059">
        <f t="shared" si="38"/>
        <v>0</v>
      </c>
      <c r="W53" s="1059">
        <f t="shared" si="38"/>
        <v>0</v>
      </c>
      <c r="X53" s="1059">
        <f t="shared" si="38"/>
        <v>0</v>
      </c>
      <c r="Y53" s="1059">
        <f t="shared" ref="Y53:AA53" si="39">Y24*Y39</f>
        <v>0</v>
      </c>
      <c r="Z53" s="1059">
        <f t="shared" si="39"/>
        <v>0</v>
      </c>
      <c r="AA53" s="1059">
        <f t="shared" si="39"/>
        <v>0</v>
      </c>
      <c r="AB53" s="1059">
        <f t="shared" si="38"/>
        <v>0</v>
      </c>
      <c r="AC53" s="1059">
        <f t="shared" si="38"/>
        <v>0</v>
      </c>
      <c r="AD53" s="1059">
        <f t="shared" si="38"/>
        <v>0</v>
      </c>
      <c r="AE53" s="1059">
        <f t="shared" si="38"/>
        <v>0</v>
      </c>
      <c r="AF53" s="1059">
        <f t="shared" si="38"/>
        <v>0</v>
      </c>
      <c r="AG53" s="1059">
        <f t="shared" si="38"/>
        <v>0</v>
      </c>
      <c r="AH53" s="1059">
        <f t="shared" si="38"/>
        <v>0</v>
      </c>
      <c r="AI53" s="1059">
        <f t="shared" si="38"/>
        <v>0</v>
      </c>
      <c r="AJ53" s="1059">
        <f t="shared" si="38"/>
        <v>0</v>
      </c>
      <c r="AK53" s="1059">
        <f t="shared" si="38"/>
        <v>0</v>
      </c>
      <c r="AL53" s="1059">
        <f t="shared" si="38"/>
        <v>0</v>
      </c>
      <c r="AM53" s="1059">
        <f t="shared" si="38"/>
        <v>0</v>
      </c>
      <c r="AN53" s="1059">
        <f t="shared" si="38"/>
        <v>0</v>
      </c>
      <c r="AO53" s="1059">
        <f t="shared" si="38"/>
        <v>0</v>
      </c>
      <c r="AP53" s="1059">
        <f t="shared" si="38"/>
        <v>0</v>
      </c>
      <c r="AQ53" s="1059">
        <f t="shared" si="38"/>
        <v>0</v>
      </c>
      <c r="AR53" s="1059">
        <f t="shared" si="38"/>
        <v>0</v>
      </c>
      <c r="AS53" s="1059">
        <f t="shared" si="38"/>
        <v>0</v>
      </c>
      <c r="AT53" s="1059">
        <f t="shared" si="38"/>
        <v>0</v>
      </c>
      <c r="AU53" s="1097">
        <f t="shared" si="31"/>
        <v>0</v>
      </c>
      <c r="AV53" s="1059"/>
      <c r="AW53" s="142"/>
      <c r="AX53" s="142"/>
      <c r="AY53" s="621"/>
    </row>
    <row r="54" spans="1:52" ht="16.149999999999999" thickBot="1">
      <c r="A54" s="1769" t="str">
        <f t="shared" si="14"/>
        <v xml:space="preserve"> Colcom Sales</v>
      </c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059">
        <f t="shared" ref="S54:AT54" si="40">S25*S39</f>
        <v>0</v>
      </c>
      <c r="T54" s="1059">
        <f t="shared" si="40"/>
        <v>0</v>
      </c>
      <c r="U54" s="1059">
        <f t="shared" si="40"/>
        <v>0</v>
      </c>
      <c r="V54" s="1059">
        <f t="shared" si="40"/>
        <v>0</v>
      </c>
      <c r="W54" s="1059">
        <f t="shared" si="40"/>
        <v>0</v>
      </c>
      <c r="X54" s="1059">
        <f t="shared" si="40"/>
        <v>0</v>
      </c>
      <c r="Y54" s="1059">
        <f t="shared" ref="Y54:AA54" si="41">Y25*Y39</f>
        <v>0</v>
      </c>
      <c r="Z54" s="1059">
        <f t="shared" si="41"/>
        <v>0</v>
      </c>
      <c r="AA54" s="1059">
        <f t="shared" si="41"/>
        <v>0</v>
      </c>
      <c r="AB54" s="1059">
        <f t="shared" si="40"/>
        <v>0</v>
      </c>
      <c r="AC54" s="1059">
        <f t="shared" si="40"/>
        <v>0</v>
      </c>
      <c r="AD54" s="1059">
        <f t="shared" si="40"/>
        <v>0</v>
      </c>
      <c r="AE54" s="1059">
        <f t="shared" si="40"/>
        <v>0</v>
      </c>
      <c r="AF54" s="1059">
        <f t="shared" si="40"/>
        <v>0</v>
      </c>
      <c r="AG54" s="1059">
        <f t="shared" si="40"/>
        <v>0</v>
      </c>
      <c r="AH54" s="1059">
        <f t="shared" si="40"/>
        <v>0</v>
      </c>
      <c r="AI54" s="1059">
        <f t="shared" si="40"/>
        <v>0</v>
      </c>
      <c r="AJ54" s="1059">
        <f t="shared" si="40"/>
        <v>0</v>
      </c>
      <c r="AK54" s="1059">
        <f t="shared" si="40"/>
        <v>0</v>
      </c>
      <c r="AL54" s="1059">
        <f t="shared" si="40"/>
        <v>0</v>
      </c>
      <c r="AM54" s="1059">
        <f t="shared" si="40"/>
        <v>0</v>
      </c>
      <c r="AN54" s="1059">
        <f t="shared" si="40"/>
        <v>0</v>
      </c>
      <c r="AO54" s="1059">
        <f t="shared" si="40"/>
        <v>-30125423.198250204</v>
      </c>
      <c r="AP54" s="1059">
        <f t="shared" si="40"/>
        <v>-31103258.628248572</v>
      </c>
      <c r="AQ54" s="1059">
        <f t="shared" si="40"/>
        <v>-26284013.188571278</v>
      </c>
      <c r="AR54" s="1059">
        <f t="shared" si="40"/>
        <v>-25779480.850171674</v>
      </c>
      <c r="AS54" s="1059">
        <f t="shared" si="40"/>
        <v>0</v>
      </c>
      <c r="AT54" s="1059">
        <f t="shared" si="40"/>
        <v>0</v>
      </c>
      <c r="AU54" s="1097">
        <f t="shared" si="31"/>
        <v>-113292175.86524172</v>
      </c>
      <c r="AV54" s="1059"/>
      <c r="AW54" s="142"/>
      <c r="AX54" s="142"/>
      <c r="AY54" s="621"/>
    </row>
    <row r="55" spans="1:52" ht="16.149999999999999" thickBot="1">
      <c r="A55" s="1070" t="s">
        <v>1810</v>
      </c>
      <c r="B55" s="1555">
        <f t="shared" ref="B55:AT55" si="42">SUM(B41:B54)+B38</f>
        <v>0</v>
      </c>
      <c r="C55" s="1555">
        <f t="shared" si="42"/>
        <v>0</v>
      </c>
      <c r="D55" s="1555">
        <f t="shared" si="42"/>
        <v>0</v>
      </c>
      <c r="E55" s="1555">
        <f t="shared" si="42"/>
        <v>0</v>
      </c>
      <c r="F55" s="1555">
        <f t="shared" si="42"/>
        <v>0</v>
      </c>
      <c r="G55" s="1555">
        <f t="shared" si="42"/>
        <v>0</v>
      </c>
      <c r="H55" s="1555">
        <f t="shared" si="42"/>
        <v>0</v>
      </c>
      <c r="I55" s="1555">
        <f t="shared" si="42"/>
        <v>0</v>
      </c>
      <c r="J55" s="1555">
        <f t="shared" si="42"/>
        <v>0</v>
      </c>
      <c r="K55" s="1555">
        <f t="shared" si="42"/>
        <v>0</v>
      </c>
      <c r="L55" s="1555">
        <f t="shared" si="42"/>
        <v>0</v>
      </c>
      <c r="M55" s="1555">
        <f t="shared" si="42"/>
        <v>0</v>
      </c>
      <c r="N55" s="1555">
        <f t="shared" si="42"/>
        <v>0</v>
      </c>
      <c r="O55" s="1555">
        <f t="shared" si="42"/>
        <v>0</v>
      </c>
      <c r="P55" s="1555">
        <f t="shared" si="42"/>
        <v>0</v>
      </c>
      <c r="Q55" s="1555">
        <f t="shared" si="42"/>
        <v>0</v>
      </c>
      <c r="R55" s="1555">
        <f t="shared" si="42"/>
        <v>0</v>
      </c>
      <c r="S55" s="1555">
        <f t="shared" si="42"/>
        <v>0</v>
      </c>
      <c r="T55" s="1555">
        <f t="shared" si="42"/>
        <v>0</v>
      </c>
      <c r="U55" s="1555">
        <f>SUM(U41:U54)+U38</f>
        <v>0</v>
      </c>
      <c r="V55" s="1555">
        <f t="shared" si="42"/>
        <v>0</v>
      </c>
      <c r="W55" s="1555">
        <f t="shared" si="42"/>
        <v>0</v>
      </c>
      <c r="X55" s="1789">
        <f>SUM(X50:X54)+X38</f>
        <v>1898675.795194322</v>
      </c>
      <c r="Y55" s="1767">
        <f t="shared" ref="Y55:AF55" si="43">SUM(Y41:Y54)+Y38</f>
        <v>3337950.6433715122</v>
      </c>
      <c r="Z55" s="1767">
        <f t="shared" si="43"/>
        <v>7424934.6571210204</v>
      </c>
      <c r="AA55" s="1767">
        <f t="shared" si="43"/>
        <v>10578586.138590459</v>
      </c>
      <c r="AB55" s="1767">
        <f t="shared" si="43"/>
        <v>-2096017.9411655343</v>
      </c>
      <c r="AC55" s="1767">
        <f t="shared" si="43"/>
        <v>12463114.740489159</v>
      </c>
      <c r="AD55" s="1767">
        <f t="shared" si="43"/>
        <v>14823132.991727885</v>
      </c>
      <c r="AE55" s="1767">
        <f t="shared" si="43"/>
        <v>12887039.59606657</v>
      </c>
      <c r="AF55" s="1767">
        <f t="shared" si="43"/>
        <v>12410049.418885268</v>
      </c>
      <c r="AG55" s="1767">
        <f t="shared" si="42"/>
        <v>15912949.714880859</v>
      </c>
      <c r="AH55" s="1767">
        <f t="shared" si="42"/>
        <v>14110447.507797379</v>
      </c>
      <c r="AI55" s="1767">
        <f t="shared" si="42"/>
        <v>13807832.507933818</v>
      </c>
      <c r="AJ55" s="1767">
        <f t="shared" si="42"/>
        <v>16991646.557946738</v>
      </c>
      <c r="AK55" s="1767">
        <f t="shared" si="42"/>
        <v>16907359.831986085</v>
      </c>
      <c r="AL55" s="1767">
        <f t="shared" si="42"/>
        <v>19277620.065489389</v>
      </c>
      <c r="AM55" s="1767">
        <f t="shared" si="42"/>
        <v>20799924.433380138</v>
      </c>
      <c r="AN55" s="1767">
        <f t="shared" si="42"/>
        <v>28256117.94224602</v>
      </c>
      <c r="AO55" s="1767">
        <f t="shared" si="42"/>
        <v>-6722201.8706839308</v>
      </c>
      <c r="AP55" s="1767">
        <f t="shared" si="42"/>
        <v>-6710324.0189224333</v>
      </c>
      <c r="AQ55" s="1767">
        <f t="shared" si="42"/>
        <v>3480113.2444798239</v>
      </c>
      <c r="AR55" s="1767">
        <f t="shared" si="42"/>
        <v>3958646.8721237406</v>
      </c>
      <c r="AS55" s="1767">
        <f t="shared" si="42"/>
        <v>30070805.368709657</v>
      </c>
      <c r="AT55" s="1767">
        <f t="shared" si="42"/>
        <v>0</v>
      </c>
      <c r="AU55" s="1768">
        <f>SUM(B55:AT55)</f>
        <v>243868404.19764793</v>
      </c>
      <c r="AV55" s="1074"/>
      <c r="AW55" s="1084"/>
      <c r="AX55" s="1066"/>
    </row>
    <row r="56" spans="1:52" s="1" customFormat="1" ht="15.6">
      <c r="A56" s="1075"/>
      <c r="B56" s="1064"/>
      <c r="C56" s="1064"/>
      <c r="D56" s="1498"/>
      <c r="E56" s="1498"/>
      <c r="F56" s="1498"/>
      <c r="G56" s="1064"/>
      <c r="H56" s="1064"/>
      <c r="I56" s="1064"/>
      <c r="J56" s="1064"/>
      <c r="K56" s="1064"/>
      <c r="L56" s="1064"/>
      <c r="M56" s="1064"/>
      <c r="N56" s="1064"/>
      <c r="O56" s="1064"/>
      <c r="P56" s="1064"/>
      <c r="Q56" s="1064"/>
      <c r="R56" s="1064"/>
      <c r="S56" s="1064"/>
      <c r="T56" s="1064"/>
      <c r="U56" s="1064"/>
      <c r="V56" s="1064"/>
      <c r="W56" s="1064"/>
      <c r="X56" s="1064"/>
      <c r="Y56" s="1064"/>
      <c r="Z56" s="1064"/>
      <c r="AA56" s="1064"/>
      <c r="AB56" s="1064"/>
      <c r="AC56" s="1064"/>
      <c r="AD56" s="1064"/>
      <c r="AE56" s="1064"/>
      <c r="AF56" s="1064"/>
      <c r="AG56" s="1064"/>
      <c r="AH56" s="1064"/>
      <c r="AI56" s="1064"/>
      <c r="AJ56" s="1064"/>
      <c r="AK56" s="1064"/>
      <c r="AL56" s="1064"/>
      <c r="AM56" s="1064"/>
      <c r="AN56" s="1064"/>
      <c r="AO56" s="1061"/>
      <c r="AP56" s="1061"/>
      <c r="AQ56" s="1061"/>
      <c r="AR56" s="1061"/>
      <c r="AS56" s="1061"/>
      <c r="AT56" s="1061"/>
      <c r="AU56" s="1062"/>
      <c r="AV56" s="1061"/>
      <c r="AW56" s="1061"/>
      <c r="AX56" s="1061"/>
      <c r="AZ56" s="31"/>
    </row>
    <row r="57" spans="1:52" s="1" customFormat="1" ht="15.6">
      <c r="A57" s="1075" t="s">
        <v>1811</v>
      </c>
      <c r="B57" s="1064"/>
      <c r="C57" s="1064"/>
      <c r="D57" s="1498" t="s">
        <v>1812</v>
      </c>
      <c r="E57" s="1498"/>
      <c r="F57" s="1498" t="s">
        <v>62</v>
      </c>
      <c r="G57" s="1064"/>
      <c r="H57" s="1064"/>
      <c r="I57" s="1064"/>
      <c r="J57" s="1064"/>
      <c r="K57" s="1064"/>
      <c r="L57" s="1064"/>
      <c r="M57" s="1064"/>
      <c r="N57" s="1064"/>
      <c r="O57" s="1064"/>
      <c r="P57" s="1064"/>
      <c r="Q57" s="1064"/>
      <c r="R57" s="1064"/>
      <c r="S57" s="1064"/>
      <c r="T57" s="1064"/>
      <c r="U57" s="1064"/>
      <c r="V57" s="1064"/>
      <c r="W57" s="1064"/>
      <c r="X57" s="1064"/>
      <c r="Y57" s="1064"/>
      <c r="Z57" s="1064"/>
      <c r="AA57" s="1064"/>
      <c r="AB57" s="1064"/>
      <c r="AC57" s="1064"/>
      <c r="AD57" s="1064"/>
      <c r="AE57" s="1064"/>
      <c r="AF57" s="1064"/>
      <c r="AG57" s="1064"/>
      <c r="AH57" s="1064"/>
      <c r="AI57" s="1064"/>
      <c r="AJ57" s="1064"/>
      <c r="AK57" s="1064"/>
      <c r="AL57" s="1064"/>
      <c r="AM57" s="1064"/>
      <c r="AN57" s="1064"/>
      <c r="AO57" s="1061"/>
      <c r="AP57" s="1061"/>
      <c r="AQ57" s="1061"/>
      <c r="AR57" s="1061"/>
      <c r="AS57" s="1061"/>
      <c r="AT57" s="1061"/>
      <c r="AU57" s="1062"/>
      <c r="AV57" s="1061"/>
      <c r="AW57" s="1061"/>
      <c r="AX57" s="1061"/>
      <c r="AZ57" s="31"/>
    </row>
    <row r="58" spans="1:52" ht="15.6">
      <c r="A58" s="1332" t="s">
        <v>1813</v>
      </c>
      <c r="B58" s="1063">
        <f>+'Feed Cost &amp; Allocation'!T77</f>
        <v>0</v>
      </c>
      <c r="C58" s="1061"/>
      <c r="D58" s="1075"/>
      <c r="E58" s="1061"/>
      <c r="F58" s="1075"/>
      <c r="G58" s="1061"/>
      <c r="H58" s="1061"/>
      <c r="I58" s="1061"/>
      <c r="J58" s="1061"/>
      <c r="K58" s="1061"/>
      <c r="L58" s="1061"/>
      <c r="M58" s="1061"/>
      <c r="N58" s="1061"/>
      <c r="O58" s="1061"/>
      <c r="P58" s="1061"/>
      <c r="Q58" s="1061"/>
      <c r="R58" s="1061"/>
      <c r="S58" s="1061"/>
      <c r="T58" s="1061"/>
      <c r="U58" s="1061"/>
      <c r="V58" s="1061"/>
      <c r="W58" s="1061"/>
      <c r="X58" s="1061"/>
      <c r="Y58" s="1061"/>
      <c r="Z58" s="1061"/>
      <c r="AA58" s="1061"/>
      <c r="AB58" s="1061"/>
      <c r="AC58" s="1061"/>
      <c r="AD58" s="1061"/>
      <c r="AE58" s="1061"/>
      <c r="AF58" s="1061"/>
      <c r="AG58" s="1061"/>
      <c r="AH58" s="1061"/>
      <c r="AI58" s="1061"/>
      <c r="AJ58" s="1061"/>
      <c r="AK58" s="1061"/>
      <c r="AL58" s="1061"/>
      <c r="AM58" s="1061"/>
      <c r="AN58" s="1061"/>
      <c r="AO58" s="1061"/>
      <c r="AP58" s="1061"/>
      <c r="AQ58" s="1061"/>
      <c r="AR58" s="1061"/>
      <c r="AS58" s="1061"/>
      <c r="AT58" s="1061"/>
      <c r="AU58" s="1062"/>
      <c r="AV58" s="1061"/>
      <c r="AW58" s="1061"/>
      <c r="AX58" s="1061"/>
    </row>
    <row r="59" spans="1:52" ht="15">
      <c r="A59" s="1061" t="s">
        <v>60</v>
      </c>
      <c r="B59" s="1064">
        <f>+'Feed Cost &amp; Allocation'!K77</f>
        <v>0</v>
      </c>
      <c r="C59" s="1061"/>
      <c r="D59" s="1063">
        <f>+'Feed Cost &amp; Allocation'!L77</f>
        <v>0</v>
      </c>
      <c r="E59" s="1061"/>
      <c r="F59" s="1063">
        <f>+'Feed Cost &amp; Allocation'!C77</f>
        <v>21975</v>
      </c>
      <c r="G59" s="1061"/>
      <c r="H59" s="1061"/>
      <c r="I59" s="1061"/>
      <c r="J59" s="1061"/>
      <c r="K59" s="1061"/>
      <c r="L59" s="1061"/>
      <c r="M59" s="1061"/>
      <c r="N59" s="1061"/>
      <c r="O59" s="1061"/>
      <c r="P59" s="1061"/>
      <c r="Q59" s="1061"/>
      <c r="R59" s="1061"/>
      <c r="S59" s="1061"/>
      <c r="T59" s="1061"/>
      <c r="U59" s="1061"/>
      <c r="V59" s="1061"/>
      <c r="W59" s="1061"/>
      <c r="X59" s="1061"/>
      <c r="Y59" s="1061"/>
      <c r="Z59" s="1061"/>
      <c r="AA59" s="1061"/>
      <c r="AB59" s="1061"/>
      <c r="AC59" s="1061"/>
      <c r="AD59" s="1061"/>
      <c r="AE59" s="1061"/>
      <c r="AF59" s="1061"/>
      <c r="AG59" s="1061"/>
      <c r="AH59" s="1061"/>
      <c r="AI59" s="1061"/>
      <c r="AJ59" s="1061"/>
      <c r="AK59" s="1061"/>
      <c r="AL59" s="1061"/>
      <c r="AM59" s="1061"/>
      <c r="AN59" s="1061"/>
      <c r="AO59" s="1061"/>
      <c r="AP59" s="1061"/>
      <c r="AQ59" s="1061"/>
      <c r="AR59" s="1061"/>
      <c r="AS59" s="1061"/>
      <c r="AT59" s="1061"/>
      <c r="AU59" s="1062"/>
      <c r="AV59" s="1061"/>
      <c r="AW59" s="1061"/>
      <c r="AX59" s="1061"/>
    </row>
    <row r="60" spans="1:52" ht="15">
      <c r="A60" s="1061" t="s">
        <v>1814</v>
      </c>
      <c r="B60" s="1064">
        <f>+'Feed Cost &amp; Allocation'!O77</f>
        <v>0</v>
      </c>
      <c r="C60" s="1061"/>
      <c r="D60" s="1064">
        <f>+'Feed Cost &amp; Allocation'!M77</f>
        <v>0</v>
      </c>
      <c r="E60" s="1061"/>
      <c r="F60" s="1064">
        <f>SUM(W20:Z20)/(SUM(W26:Z26)-SUM(W20:Z20))*F59</f>
        <v>0</v>
      </c>
      <c r="G60" s="1061"/>
      <c r="H60" s="1061"/>
      <c r="I60" s="1061"/>
      <c r="J60" s="1061"/>
      <c r="K60" s="1061"/>
      <c r="L60" s="1061"/>
      <c r="M60" s="1061"/>
      <c r="N60" s="1061"/>
      <c r="O60" s="1061"/>
      <c r="P60" s="1061"/>
      <c r="Q60" s="1061"/>
      <c r="R60" s="1061"/>
      <c r="S60" s="1061"/>
      <c r="T60" s="1061"/>
      <c r="U60" s="1061"/>
      <c r="V60" s="1061"/>
      <c r="W60" s="1061"/>
      <c r="X60" s="1061"/>
      <c r="Y60" s="1061"/>
      <c r="Z60" s="1061"/>
      <c r="AA60" s="1061"/>
      <c r="AB60" s="1061"/>
      <c r="AC60" s="1061"/>
      <c r="AD60" s="1061"/>
      <c r="AE60" s="1061"/>
      <c r="AF60" s="1061"/>
      <c r="AG60" s="1061"/>
      <c r="AH60" s="1061"/>
      <c r="AI60" s="1061"/>
      <c r="AJ60" s="1061"/>
      <c r="AK60" s="1061"/>
      <c r="AL60" s="1061"/>
      <c r="AM60" s="1061"/>
      <c r="AN60" s="1061"/>
      <c r="AO60" s="1061"/>
      <c r="AP60" s="1061"/>
      <c r="AQ60" s="1061"/>
      <c r="AR60" s="1061"/>
      <c r="AS60" s="1061"/>
      <c r="AT60" s="1061"/>
      <c r="AU60" s="1062"/>
      <c r="AV60" s="1061"/>
      <c r="AW60" s="1061"/>
      <c r="AX60" s="1061"/>
    </row>
    <row r="61" spans="1:52" ht="15">
      <c r="A61" s="1061" t="s">
        <v>71</v>
      </c>
      <c r="B61" s="1064">
        <f>SUM(B58:B60)</f>
        <v>0</v>
      </c>
      <c r="C61" s="1061"/>
      <c r="D61" s="1064">
        <f>SUM(D59:D60)</f>
        <v>0</v>
      </c>
      <c r="E61" s="1061"/>
      <c r="F61" s="1064">
        <f>SUM(F59:F60)</f>
        <v>21975</v>
      </c>
      <c r="G61" s="1061"/>
      <c r="H61" s="1061"/>
      <c r="I61" s="1061"/>
      <c r="J61" s="1061"/>
      <c r="K61" s="1061"/>
      <c r="L61" s="1061"/>
      <c r="M61" s="1061"/>
      <c r="N61" s="1061"/>
      <c r="O61" s="1061"/>
      <c r="P61" s="1061"/>
      <c r="Q61" s="1061"/>
      <c r="R61" s="1061"/>
      <c r="S61" s="1061"/>
      <c r="T61" s="1061"/>
      <c r="U61" s="1061"/>
      <c r="V61" s="1061"/>
      <c r="W61" s="1061"/>
      <c r="X61" s="1061"/>
      <c r="Y61" s="1061"/>
      <c r="Z61" s="1061"/>
      <c r="AA61" s="1061"/>
      <c r="AB61" s="1061"/>
      <c r="AC61" s="1061"/>
      <c r="AD61" s="1061"/>
      <c r="AE61" s="1061"/>
      <c r="AF61" s="1061"/>
      <c r="AG61" s="1061"/>
      <c r="AH61" s="1061"/>
      <c r="AI61" s="1061"/>
      <c r="AJ61" s="1061"/>
      <c r="AK61" s="1061"/>
      <c r="AL61" s="1061"/>
      <c r="AM61" s="1061"/>
      <c r="AN61" s="1061"/>
      <c r="AO61" s="1061"/>
      <c r="AP61" s="1061"/>
      <c r="AQ61" s="1061"/>
      <c r="AR61" s="1061"/>
      <c r="AS61" s="1061"/>
      <c r="AT61" s="1061"/>
      <c r="AU61" s="1062"/>
      <c r="AV61" s="1061"/>
      <c r="AW61" s="1061"/>
      <c r="AX61" s="1061"/>
    </row>
    <row r="62" spans="1:52" ht="15.6">
      <c r="A62" s="1075"/>
      <c r="B62" s="1076"/>
      <c r="C62" s="1061"/>
      <c r="D62" s="1076"/>
      <c r="E62" s="1061"/>
      <c r="F62" s="1064"/>
      <c r="G62" s="1061"/>
      <c r="H62" s="1061"/>
      <c r="I62" s="1061"/>
      <c r="J62" s="1061"/>
      <c r="K62" s="1061"/>
      <c r="L62" s="1061"/>
      <c r="M62" s="1061"/>
      <c r="N62" s="1061"/>
      <c r="O62" s="1061"/>
      <c r="P62" s="1061"/>
      <c r="Q62" s="1061"/>
      <c r="R62" s="1061"/>
      <c r="S62" s="1061"/>
      <c r="T62" s="1061"/>
      <c r="U62" s="1061"/>
      <c r="V62" s="1061"/>
      <c r="W62" s="1061"/>
      <c r="X62" s="1061"/>
      <c r="Y62" s="1061"/>
      <c r="Z62" s="1061"/>
      <c r="AA62" s="1061"/>
      <c r="AB62" s="1061"/>
      <c r="AC62" s="1061"/>
      <c r="AD62" s="1061"/>
      <c r="AE62" s="1061"/>
      <c r="AF62" s="1061"/>
      <c r="AG62" s="1061"/>
      <c r="AH62" s="1061"/>
      <c r="AI62" s="1061"/>
      <c r="AJ62" s="1061"/>
      <c r="AK62" s="1061"/>
      <c r="AL62" s="1061"/>
      <c r="AM62" s="1061"/>
      <c r="AN62" s="1061"/>
      <c r="AO62" s="1061"/>
      <c r="AP62" s="1061"/>
      <c r="AQ62" s="1061"/>
      <c r="AR62" s="1061"/>
      <c r="AS62" s="1061"/>
      <c r="AT62" s="1061"/>
      <c r="AU62" s="1062"/>
      <c r="AV62" s="1061"/>
      <c r="AW62" s="1061"/>
      <c r="AX62" s="1061"/>
    </row>
    <row r="63" spans="1:52" s="1" customFormat="1" ht="15.6">
      <c r="A63" s="1077" t="s">
        <v>1815</v>
      </c>
      <c r="B63" s="1077" t="s">
        <v>1773</v>
      </c>
      <c r="C63" s="1077" t="s">
        <v>1773</v>
      </c>
      <c r="D63" s="1077" t="s">
        <v>1773</v>
      </c>
      <c r="E63" s="1078" t="s">
        <v>1773</v>
      </c>
      <c r="F63" s="1078" t="s">
        <v>1773</v>
      </c>
      <c r="G63" s="1078" t="s">
        <v>1773</v>
      </c>
      <c r="H63" s="1078" t="s">
        <v>1773</v>
      </c>
      <c r="I63" s="1078" t="s">
        <v>1773</v>
      </c>
      <c r="J63" s="1078" t="s">
        <v>1773</v>
      </c>
      <c r="K63" s="1078" t="s">
        <v>1773</v>
      </c>
      <c r="L63" s="1078" t="s">
        <v>1773</v>
      </c>
      <c r="M63" s="1078" t="s">
        <v>1773</v>
      </c>
      <c r="N63" s="1078" t="s">
        <v>1773</v>
      </c>
      <c r="O63" s="1078" t="s">
        <v>1773</v>
      </c>
      <c r="P63" s="1078" t="s">
        <v>1773</v>
      </c>
      <c r="Q63" s="1078" t="s">
        <v>1773</v>
      </c>
      <c r="R63" s="1078" t="s">
        <v>1774</v>
      </c>
      <c r="S63" s="1078" t="str">
        <f t="shared" ref="S63:AN63" si="44">+S3</f>
        <v>LACTATE</v>
      </c>
      <c r="T63" s="1078" t="str">
        <f t="shared" si="44"/>
        <v>LACTATE</v>
      </c>
      <c r="U63" s="1078" t="str">
        <f t="shared" si="44"/>
        <v>LACTATE</v>
      </c>
      <c r="V63" s="1078" t="str">
        <f t="shared" si="44"/>
        <v>Early Wean</v>
      </c>
      <c r="W63" s="1078" t="str">
        <f t="shared" si="44"/>
        <v>Early Wean</v>
      </c>
      <c r="X63" s="1078" t="str">
        <f t="shared" si="44"/>
        <v>CREEP</v>
      </c>
      <c r="Y63" s="1078" t="str">
        <f t="shared" si="44"/>
        <v>CREEP</v>
      </c>
      <c r="Z63" s="1078" t="str">
        <f t="shared" si="44"/>
        <v>WEANER</v>
      </c>
      <c r="AA63" s="1078" t="str">
        <f t="shared" si="44"/>
        <v>WEANER</v>
      </c>
      <c r="AB63" s="1078" t="str">
        <f t="shared" si="44"/>
        <v>WEANER</v>
      </c>
      <c r="AC63" s="1078" t="str">
        <f t="shared" si="44"/>
        <v>WEANER</v>
      </c>
      <c r="AD63" s="1078" t="str">
        <f t="shared" si="44"/>
        <v>GROWER 1</v>
      </c>
      <c r="AE63" s="1078" t="str">
        <f t="shared" si="44"/>
        <v>GROWER 1</v>
      </c>
      <c r="AF63" s="1078" t="str">
        <f t="shared" si="44"/>
        <v>GROWER 2</v>
      </c>
      <c r="AG63" s="1078" t="str">
        <f t="shared" si="44"/>
        <v>GROWER 2</v>
      </c>
      <c r="AH63" s="1078" t="str">
        <f t="shared" si="44"/>
        <v>GROWER 3</v>
      </c>
      <c r="AI63" s="1078" t="str">
        <f t="shared" si="44"/>
        <v>GROWER 3</v>
      </c>
      <c r="AJ63" s="1078" t="str">
        <f t="shared" si="44"/>
        <v>FINISHER</v>
      </c>
      <c r="AK63" s="1078" t="str">
        <f t="shared" si="44"/>
        <v>FINISHER</v>
      </c>
      <c r="AL63" s="1078" t="str">
        <f t="shared" si="44"/>
        <v>FINISHER</v>
      </c>
      <c r="AM63" s="1078" t="str">
        <f t="shared" si="44"/>
        <v>FINISHER</v>
      </c>
      <c r="AN63" s="1078" t="str">
        <f t="shared" si="44"/>
        <v>FINISHER</v>
      </c>
      <c r="AO63" s="1078" t="s">
        <v>71</v>
      </c>
      <c r="AZ63" s="31"/>
    </row>
    <row r="64" spans="1:52" ht="15.6">
      <c r="A64" s="1077" t="s">
        <v>1816</v>
      </c>
      <c r="B64" s="1077">
        <v>7</v>
      </c>
      <c r="C64" s="1077">
        <v>7</v>
      </c>
      <c r="D64" s="1077">
        <v>7</v>
      </c>
      <c r="E64" s="1077">
        <v>7</v>
      </c>
      <c r="F64" s="1077">
        <v>7</v>
      </c>
      <c r="G64" s="1077">
        <v>7</v>
      </c>
      <c r="H64" s="1077">
        <v>7</v>
      </c>
      <c r="I64" s="1077">
        <v>7</v>
      </c>
      <c r="J64" s="1077">
        <v>7</v>
      </c>
      <c r="K64" s="1077">
        <v>7</v>
      </c>
      <c r="L64" s="1077">
        <v>7</v>
      </c>
      <c r="M64" s="1077">
        <v>7</v>
      </c>
      <c r="N64" s="1077">
        <v>7</v>
      </c>
      <c r="O64" s="1077">
        <v>7</v>
      </c>
      <c r="P64" s="1077">
        <v>7</v>
      </c>
      <c r="Q64" s="1077">
        <v>7</v>
      </c>
      <c r="R64" s="1077">
        <v>7</v>
      </c>
      <c r="S64" s="1077">
        <v>7</v>
      </c>
      <c r="T64" s="1077">
        <v>7</v>
      </c>
      <c r="U64" s="1077">
        <v>7</v>
      </c>
      <c r="V64" s="1077">
        <v>7</v>
      </c>
      <c r="W64" s="1077">
        <v>7</v>
      </c>
      <c r="X64" s="1077">
        <v>7</v>
      </c>
      <c r="Y64" s="1077">
        <v>7</v>
      </c>
      <c r="Z64" s="1077">
        <v>7</v>
      </c>
      <c r="AA64" s="1077">
        <v>7</v>
      </c>
      <c r="AB64" s="1077">
        <v>7</v>
      </c>
      <c r="AC64" s="1077">
        <v>7</v>
      </c>
      <c r="AD64" s="1077">
        <v>7</v>
      </c>
      <c r="AE64" s="1077">
        <v>7</v>
      </c>
      <c r="AF64" s="1077">
        <v>7</v>
      </c>
      <c r="AG64" s="1077">
        <v>7</v>
      </c>
      <c r="AH64" s="1077">
        <v>7</v>
      </c>
      <c r="AI64" s="1077">
        <v>7</v>
      </c>
      <c r="AJ64" s="1077">
        <v>7</v>
      </c>
      <c r="AK64" s="1077">
        <v>7</v>
      </c>
      <c r="AL64" s="1077">
        <v>7</v>
      </c>
      <c r="AM64" s="1077">
        <v>7</v>
      </c>
      <c r="AN64" s="1077">
        <v>7</v>
      </c>
      <c r="AO64" s="1077"/>
    </row>
    <row r="65" spans="1:42" ht="15.6">
      <c r="A65" s="1077" t="s">
        <v>1817</v>
      </c>
      <c r="B65" s="1077">
        <v>2.5</v>
      </c>
      <c r="C65" s="1077">
        <v>2.5</v>
      </c>
      <c r="D65" s="1077">
        <v>2.5</v>
      </c>
      <c r="E65" s="1077">
        <v>2.5</v>
      </c>
      <c r="F65" s="1077">
        <v>2.2999999999999998</v>
      </c>
      <c r="G65" s="1077">
        <v>2.2999999999999998</v>
      </c>
      <c r="H65" s="1077">
        <v>2.2999999999999998</v>
      </c>
      <c r="I65" s="1077">
        <v>2.2999999999999998</v>
      </c>
      <c r="J65" s="1077">
        <v>2.2999999999999998</v>
      </c>
      <c r="K65" s="1077">
        <v>2.2999999999999998</v>
      </c>
      <c r="L65" s="1077">
        <v>2.2999999999999998</v>
      </c>
      <c r="M65" s="1077">
        <v>2.2999999999999998</v>
      </c>
      <c r="N65" s="1077">
        <v>2.8</v>
      </c>
      <c r="O65" s="1077">
        <v>2.8</v>
      </c>
      <c r="P65" s="1077">
        <v>2.8</v>
      </c>
      <c r="Q65" s="1077">
        <v>2.8</v>
      </c>
      <c r="R65" s="1077">
        <v>5</v>
      </c>
      <c r="S65" s="1080">
        <v>3</v>
      </c>
      <c r="T65" s="1080">
        <v>5.5</v>
      </c>
      <c r="U65" s="1080">
        <v>7</v>
      </c>
      <c r="V65" s="1080">
        <v>9.5</v>
      </c>
      <c r="W65" s="1077">
        <v>0.35</v>
      </c>
      <c r="X65" s="1077">
        <v>0.5</v>
      </c>
      <c r="Y65" s="1077">
        <v>0.6</v>
      </c>
      <c r="Z65" s="1077">
        <v>0.9</v>
      </c>
      <c r="AA65" s="1077">
        <v>1.1000000000000001</v>
      </c>
      <c r="AB65" s="1077">
        <v>1.2</v>
      </c>
      <c r="AC65" s="1080">
        <v>1.4</v>
      </c>
      <c r="AD65" s="1080">
        <v>1.6</v>
      </c>
      <c r="AE65" s="1080">
        <v>1.8</v>
      </c>
      <c r="AF65" s="1080">
        <v>2</v>
      </c>
      <c r="AG65" s="1080">
        <v>2.2000000000000002</v>
      </c>
      <c r="AH65" s="1080">
        <v>2.2999999999999998</v>
      </c>
      <c r="AI65" s="1080">
        <v>2.4</v>
      </c>
      <c r="AJ65" s="1080">
        <v>2.5</v>
      </c>
      <c r="AK65" s="1080">
        <v>2.7</v>
      </c>
      <c r="AL65" s="1080">
        <v>2.9</v>
      </c>
      <c r="AM65" s="1080">
        <v>3</v>
      </c>
      <c r="AN65" s="1080">
        <v>3</v>
      </c>
      <c r="AO65" s="1080"/>
    </row>
    <row r="66" spans="1:42" ht="15.6">
      <c r="A66" s="1077" t="s">
        <v>1818</v>
      </c>
      <c r="B66" s="1081">
        <f>+'Summary Total Pigs'!AF35/17*5</f>
        <v>0</v>
      </c>
      <c r="C66" s="1081">
        <f>+B66</f>
        <v>0</v>
      </c>
      <c r="D66" s="1081">
        <f>+C66</f>
        <v>0</v>
      </c>
      <c r="E66" s="1081">
        <f t="shared" ref="E66:U66" si="45">+D66</f>
        <v>0</v>
      </c>
      <c r="F66" s="1081">
        <f t="shared" si="45"/>
        <v>0</v>
      </c>
      <c r="G66" s="1081">
        <f t="shared" si="45"/>
        <v>0</v>
      </c>
      <c r="H66" s="1081">
        <f t="shared" si="45"/>
        <v>0</v>
      </c>
      <c r="I66" s="1081">
        <f t="shared" si="45"/>
        <v>0</v>
      </c>
      <c r="J66" s="1081">
        <f t="shared" si="45"/>
        <v>0</v>
      </c>
      <c r="K66" s="1081">
        <f t="shared" si="45"/>
        <v>0</v>
      </c>
      <c r="L66" s="1081">
        <f t="shared" si="45"/>
        <v>0</v>
      </c>
      <c r="M66" s="1081">
        <f t="shared" si="45"/>
        <v>0</v>
      </c>
      <c r="N66" s="1081">
        <f t="shared" si="45"/>
        <v>0</v>
      </c>
      <c r="O66" s="1081">
        <f t="shared" si="45"/>
        <v>0</v>
      </c>
      <c r="P66" s="1081">
        <f t="shared" si="45"/>
        <v>0</v>
      </c>
      <c r="Q66" s="1081">
        <f t="shared" si="45"/>
        <v>0</v>
      </c>
      <c r="R66" s="1081">
        <f t="shared" si="45"/>
        <v>0</v>
      </c>
      <c r="S66" s="1081">
        <f t="shared" si="45"/>
        <v>0</v>
      </c>
      <c r="T66" s="1081">
        <f>+S66</f>
        <v>0</v>
      </c>
      <c r="U66" s="1081">
        <f t="shared" si="45"/>
        <v>0</v>
      </c>
      <c r="V66" s="1081">
        <f>U66</f>
        <v>0</v>
      </c>
      <c r="W66" s="1081">
        <f t="shared" ref="W66:AC66" si="46">SUM(W26:Z26)</f>
        <v>1045</v>
      </c>
      <c r="X66" s="1081">
        <f t="shared" si="46"/>
        <v>1411</v>
      </c>
      <c r="Y66" s="1081">
        <f t="shared" si="46"/>
        <v>1081</v>
      </c>
      <c r="Z66" s="1081">
        <f t="shared" si="46"/>
        <v>1046</v>
      </c>
      <c r="AA66" s="1081">
        <f t="shared" si="46"/>
        <v>1046</v>
      </c>
      <c r="AB66" s="1081">
        <f t="shared" si="46"/>
        <v>1037</v>
      </c>
      <c r="AC66" s="1081">
        <f t="shared" si="46"/>
        <v>1405</v>
      </c>
      <c r="AD66" s="1081">
        <f t="shared" ref="AD66:AN66" si="47">SUM(AD7:AG7)</f>
        <v>1444</v>
      </c>
      <c r="AE66" s="1081">
        <f t="shared" si="47"/>
        <v>1383</v>
      </c>
      <c r="AF66" s="1081">
        <f t="shared" si="47"/>
        <v>1303</v>
      </c>
      <c r="AG66" s="1081">
        <f t="shared" si="47"/>
        <v>1295</v>
      </c>
      <c r="AH66" s="1081">
        <f t="shared" si="47"/>
        <v>1197</v>
      </c>
      <c r="AI66" s="1081">
        <f t="shared" si="47"/>
        <v>1149</v>
      </c>
      <c r="AJ66" s="1081">
        <f t="shared" si="47"/>
        <v>1151</v>
      </c>
      <c r="AK66" s="1081">
        <f t="shared" si="47"/>
        <v>1149</v>
      </c>
      <c r="AL66" s="1081">
        <f t="shared" si="47"/>
        <v>1173</v>
      </c>
      <c r="AM66" s="1081">
        <f t="shared" si="47"/>
        <v>1197</v>
      </c>
      <c r="AN66" s="1081">
        <f t="shared" si="47"/>
        <v>1241</v>
      </c>
      <c r="AO66" s="1077"/>
    </row>
    <row r="67" spans="1:42" ht="15.6">
      <c r="A67" s="1077" t="s">
        <v>1819</v>
      </c>
      <c r="B67" s="1081">
        <f>+B64*B65*B66</f>
        <v>0</v>
      </c>
      <c r="C67" s="1081">
        <f t="shared" ref="C67:AN67" si="48">+C64*C65*C66</f>
        <v>0</v>
      </c>
      <c r="D67" s="1081">
        <f t="shared" si="48"/>
        <v>0</v>
      </c>
      <c r="E67" s="1081">
        <f t="shared" si="48"/>
        <v>0</v>
      </c>
      <c r="F67" s="1081">
        <f t="shared" si="48"/>
        <v>0</v>
      </c>
      <c r="G67" s="1081">
        <f t="shared" si="48"/>
        <v>0</v>
      </c>
      <c r="H67" s="1081">
        <f t="shared" si="48"/>
        <v>0</v>
      </c>
      <c r="I67" s="1081">
        <f t="shared" si="48"/>
        <v>0</v>
      </c>
      <c r="J67" s="1081">
        <f t="shared" si="48"/>
        <v>0</v>
      </c>
      <c r="K67" s="1081">
        <f t="shared" si="48"/>
        <v>0</v>
      </c>
      <c r="L67" s="1081">
        <f>+L64*L65*L66</f>
        <v>0</v>
      </c>
      <c r="M67" s="1081">
        <f t="shared" si="48"/>
        <v>0</v>
      </c>
      <c r="N67" s="1081">
        <f t="shared" si="48"/>
        <v>0</v>
      </c>
      <c r="O67" s="1081">
        <f t="shared" si="48"/>
        <v>0</v>
      </c>
      <c r="P67" s="1081">
        <f t="shared" si="48"/>
        <v>0</v>
      </c>
      <c r="Q67" s="1081">
        <f t="shared" si="48"/>
        <v>0</v>
      </c>
      <c r="R67" s="1081">
        <f t="shared" si="48"/>
        <v>0</v>
      </c>
      <c r="S67" s="1081">
        <f t="shared" si="48"/>
        <v>0</v>
      </c>
      <c r="T67" s="1081">
        <f t="shared" si="48"/>
        <v>0</v>
      </c>
      <c r="U67" s="1081">
        <f t="shared" si="48"/>
        <v>0</v>
      </c>
      <c r="V67" s="1081">
        <f t="shared" ref="V67:W67" si="49">V64*V65*V66</f>
        <v>0</v>
      </c>
      <c r="W67" s="1081">
        <f t="shared" si="49"/>
        <v>2560.2499999999995</v>
      </c>
      <c r="X67" s="1081">
        <f>+X64*X65*X66</f>
        <v>4938.5</v>
      </c>
      <c r="Y67" s="1081">
        <f>+Y64*Y65*Y66</f>
        <v>4540.2</v>
      </c>
      <c r="Z67" s="1081">
        <f>+Z64*Z65*Z66</f>
        <v>6589.8</v>
      </c>
      <c r="AA67" s="1081">
        <f t="shared" si="48"/>
        <v>8054.2000000000007</v>
      </c>
      <c r="AB67" s="1081">
        <f t="shared" si="48"/>
        <v>8710.8000000000011</v>
      </c>
      <c r="AC67" s="1081">
        <f t="shared" si="48"/>
        <v>13768.999999999998</v>
      </c>
      <c r="AD67" s="1081">
        <f t="shared" si="48"/>
        <v>16172.800000000001</v>
      </c>
      <c r="AE67" s="1081">
        <f t="shared" si="48"/>
        <v>17425.8</v>
      </c>
      <c r="AF67" s="1081">
        <f t="shared" si="48"/>
        <v>18242</v>
      </c>
      <c r="AG67" s="1081">
        <f t="shared" si="48"/>
        <v>19943.000000000004</v>
      </c>
      <c r="AH67" s="1081">
        <f t="shared" si="48"/>
        <v>19271.699999999997</v>
      </c>
      <c r="AI67" s="1081">
        <f t="shared" si="48"/>
        <v>19303.2</v>
      </c>
      <c r="AJ67" s="1081">
        <f t="shared" si="48"/>
        <v>20142.5</v>
      </c>
      <c r="AK67" s="1081">
        <f t="shared" si="48"/>
        <v>21716.100000000002</v>
      </c>
      <c r="AL67" s="1081">
        <f t="shared" si="48"/>
        <v>23811.9</v>
      </c>
      <c r="AM67" s="1081">
        <f t="shared" si="48"/>
        <v>25137</v>
      </c>
      <c r="AN67" s="1081">
        <f t="shared" si="48"/>
        <v>26061</v>
      </c>
      <c r="AO67" s="1081">
        <f>SUM(B67:AN67)</f>
        <v>276389.75</v>
      </c>
    </row>
    <row r="68" spans="1:42" ht="15.6">
      <c r="A68" s="1077"/>
      <c r="B68" s="1081"/>
      <c r="C68" s="1081"/>
      <c r="D68" s="1081"/>
      <c r="E68" s="1081"/>
      <c r="F68" s="1081"/>
      <c r="G68" s="1081"/>
      <c r="H68" s="1081"/>
      <c r="I68" s="1081"/>
      <c r="J68" s="1081"/>
      <c r="K68" s="1081"/>
      <c r="L68" s="1081"/>
      <c r="M68" s="1081"/>
      <c r="N68" s="1081"/>
      <c r="O68" s="1081"/>
      <c r="P68" s="1081"/>
      <c r="Q68" s="1081"/>
      <c r="R68" s="1081">
        <f>SUM(B67:R67)+S67</f>
        <v>0</v>
      </c>
      <c r="S68" s="1081">
        <f>SUM(S67)</f>
        <v>0</v>
      </c>
      <c r="T68" s="1081"/>
      <c r="U68" s="1081"/>
      <c r="V68" s="1081"/>
      <c r="W68" s="1081">
        <f>SUM(V67:W67)</f>
        <v>2560.2499999999995</v>
      </c>
      <c r="X68" s="1081"/>
      <c r="Y68" s="1081">
        <f>SUM(X67:Y67)</f>
        <v>9478.7000000000007</v>
      </c>
      <c r="Z68" s="1081"/>
      <c r="AA68" s="1081"/>
      <c r="AB68" s="1081"/>
      <c r="AC68" s="1081">
        <f>SUM(Z67:AC67)</f>
        <v>37123.800000000003</v>
      </c>
      <c r="AD68" s="1081"/>
      <c r="AE68" s="1081">
        <f>SUM(AD67:AE67)</f>
        <v>33598.6</v>
      </c>
      <c r="AF68" s="1081"/>
      <c r="AG68" s="1081">
        <f>SUM(AF67:AG67)</f>
        <v>38185</v>
      </c>
      <c r="AH68" s="1081"/>
      <c r="AI68" s="1081">
        <f>SUM(AH67:AI67)</f>
        <v>38574.899999999994</v>
      </c>
      <c r="AJ68" s="1081"/>
      <c r="AK68" s="1081"/>
      <c r="AL68" s="1081"/>
      <c r="AM68" s="1081"/>
      <c r="AN68" s="1081">
        <f>SUM(AJ67:AN67)</f>
        <v>116868.5</v>
      </c>
      <c r="AO68" s="1081">
        <f>SUM(B68:AN68)</f>
        <v>276389.75</v>
      </c>
    </row>
    <row r="69" spans="1:42" ht="15.6">
      <c r="A69" s="1077" t="s">
        <v>1820</v>
      </c>
      <c r="B69" s="1082">
        <f>+IFERROR(B67/$R$68,0)</f>
        <v>0</v>
      </c>
      <c r="C69" s="1082">
        <f>+IFERROR(C67/$R$68,0)</f>
        <v>0</v>
      </c>
      <c r="D69" s="1082">
        <f t="shared" ref="D69:S69" si="50">+IFERROR(D67/$R$68,0)</f>
        <v>0</v>
      </c>
      <c r="E69" s="1082">
        <f t="shared" si="50"/>
        <v>0</v>
      </c>
      <c r="F69" s="1082">
        <f t="shared" si="50"/>
        <v>0</v>
      </c>
      <c r="G69" s="1082">
        <f t="shared" si="50"/>
        <v>0</v>
      </c>
      <c r="H69" s="1082">
        <f t="shared" si="50"/>
        <v>0</v>
      </c>
      <c r="I69" s="1082">
        <f t="shared" si="50"/>
        <v>0</v>
      </c>
      <c r="J69" s="1082">
        <f t="shared" si="50"/>
        <v>0</v>
      </c>
      <c r="K69" s="1082">
        <f t="shared" si="50"/>
        <v>0</v>
      </c>
      <c r="L69" s="1082">
        <f t="shared" si="50"/>
        <v>0</v>
      </c>
      <c r="M69" s="1082">
        <f t="shared" si="50"/>
        <v>0</v>
      </c>
      <c r="N69" s="1082">
        <f t="shared" si="50"/>
        <v>0</v>
      </c>
      <c r="O69" s="1082">
        <f t="shared" si="50"/>
        <v>0</v>
      </c>
      <c r="P69" s="1082">
        <f t="shared" si="50"/>
        <v>0</v>
      </c>
      <c r="Q69" s="1082">
        <f t="shared" si="50"/>
        <v>0</v>
      </c>
      <c r="R69" s="1082">
        <f t="shared" si="50"/>
        <v>0</v>
      </c>
      <c r="S69" s="1082">
        <f t="shared" si="50"/>
        <v>0</v>
      </c>
      <c r="T69" s="1082">
        <f>+IFERROR(T67/$V$68,0)</f>
        <v>0</v>
      </c>
      <c r="U69" s="1082">
        <f>+IFERROR(U67/$V$68,0)</f>
        <v>0</v>
      </c>
      <c r="V69" s="1082">
        <f>V67/$W$68</f>
        <v>0</v>
      </c>
      <c r="W69" s="1082">
        <f>W67/$W$68</f>
        <v>1</v>
      </c>
      <c r="X69" s="1082">
        <f>+IFERROR(X67/$Y$68,0)</f>
        <v>0.52101026512074433</v>
      </c>
      <c r="Y69" s="1082">
        <f>+IFERROR(Y67/$Y$68,0)</f>
        <v>0.47898973487925556</v>
      </c>
      <c r="Z69" s="1082">
        <f>+IFERROR(Z67/$AC$68,0)</f>
        <v>0.17750876796017648</v>
      </c>
      <c r="AA69" s="1082">
        <f>+IFERROR(AA67/$AC$68,0)</f>
        <v>0.21695516084021571</v>
      </c>
      <c r="AB69" s="1082">
        <f>+IFERROR(AB67/$AC$68,0)</f>
        <v>0.23464192781988913</v>
      </c>
      <c r="AC69" s="1082">
        <f>+IFERROR(AC67/$AC$68,0)</f>
        <v>0.3708941433797186</v>
      </c>
      <c r="AD69" s="1082">
        <f>+IFERROR(AD67/$AE$68,0)</f>
        <v>0.48135338972457192</v>
      </c>
      <c r="AE69" s="1082">
        <f>+IFERROR(AE67/$AE$68,0)</f>
        <v>0.51864661027542813</v>
      </c>
      <c r="AF69" s="1082">
        <f>+IFERROR(AF67/$AG$68,0)</f>
        <v>0.47772685609532539</v>
      </c>
      <c r="AG69" s="1082">
        <f>+IFERROR(AG67/$AG$68,0)</f>
        <v>0.52227314390467472</v>
      </c>
      <c r="AH69" s="1082">
        <f>+IFERROR(AH67/$AI$68,0)</f>
        <v>0.49959170341335946</v>
      </c>
      <c r="AI69" s="1082">
        <f>+IFERROR(AI67/$AI$68,0)</f>
        <v>0.50040829658664066</v>
      </c>
      <c r="AJ69" s="1082">
        <f>+IFERROR(AJ67/$AN$68,0)</f>
        <v>0.17235183133179599</v>
      </c>
      <c r="AK69" s="1082">
        <f>+IFERROR(AK67/$AN$68,0)</f>
        <v>0.18581653739031478</v>
      </c>
      <c r="AL69" s="1082">
        <f>+IFERROR(AL67/$AN$68,0)</f>
        <v>0.20374951334191849</v>
      </c>
      <c r="AM69" s="1082">
        <f>+IFERROR(AM67/$AN$68,0)</f>
        <v>0.21508789793656974</v>
      </c>
      <c r="AN69" s="1082">
        <f>+IFERROR(AN67/$AN$68,0)</f>
        <v>0.22299421999940103</v>
      </c>
      <c r="AO69" s="1065"/>
    </row>
    <row r="70" spans="1:42" ht="15">
      <c r="A70" s="1065"/>
      <c r="B70" s="1065"/>
      <c r="C70" s="1065"/>
      <c r="D70" s="1065"/>
      <c r="E70" s="1065"/>
      <c r="F70" s="1065"/>
      <c r="G70" s="1065"/>
      <c r="H70" s="1065"/>
      <c r="I70" s="1065"/>
      <c r="J70" s="1065"/>
      <c r="K70" s="1065"/>
      <c r="L70" s="1065"/>
      <c r="M70" s="1065"/>
      <c r="N70" s="1065"/>
      <c r="O70" s="1065"/>
      <c r="P70" s="1065"/>
      <c r="Q70" s="1065"/>
      <c r="R70" s="1065"/>
      <c r="S70" s="1065"/>
      <c r="T70" s="1065"/>
      <c r="U70" s="1065"/>
      <c r="V70" s="1065"/>
      <c r="W70" s="1065"/>
      <c r="X70" s="1065"/>
      <c r="Y70" s="1065"/>
      <c r="Z70" s="1065"/>
      <c r="AA70" s="1065"/>
      <c r="AB70" s="1065"/>
      <c r="AC70" s="1065"/>
      <c r="AD70" s="1065"/>
      <c r="AE70" s="1065"/>
      <c r="AF70" s="1065"/>
      <c r="AG70" s="1065"/>
      <c r="AH70" s="1065"/>
      <c r="AI70" s="1065"/>
      <c r="AJ70" s="1065"/>
      <c r="AK70" s="1065"/>
      <c r="AL70" s="1065"/>
      <c r="AM70" s="1065"/>
      <c r="AN70" s="1065"/>
      <c r="AO70" s="1065"/>
    </row>
    <row r="71" spans="1:42" ht="15">
      <c r="A71" s="1065"/>
      <c r="B71" s="1065"/>
      <c r="C71" s="1065"/>
      <c r="D71" s="1065"/>
      <c r="E71" s="1065"/>
      <c r="F71" s="1065"/>
      <c r="G71" s="1065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5"/>
      <c r="AD71" s="1065"/>
      <c r="AE71" s="1065"/>
      <c r="AF71" s="1065"/>
      <c r="AG71" s="1065"/>
      <c r="AH71" s="1065"/>
      <c r="AI71" s="1065"/>
      <c r="AJ71" s="1065"/>
      <c r="AK71" s="1065"/>
      <c r="AL71" s="1065"/>
      <c r="AM71" s="1065"/>
      <c r="AN71" s="1065"/>
      <c r="AO71" s="1065"/>
    </row>
    <row r="72" spans="1:42" ht="15.6">
      <c r="A72" s="1081" t="s">
        <v>1821</v>
      </c>
      <c r="B72" s="1081"/>
      <c r="C72" s="1081"/>
      <c r="D72" s="1081"/>
      <c r="E72" s="1081"/>
      <c r="F72" s="1081"/>
      <c r="G72" s="1081"/>
      <c r="H72" s="1081"/>
      <c r="I72" s="1081"/>
      <c r="J72" s="1081"/>
      <c r="K72" s="1081"/>
      <c r="L72" s="1081"/>
      <c r="M72" s="1081"/>
      <c r="N72" s="1081"/>
      <c r="O72" s="1081"/>
      <c r="P72" s="1081"/>
      <c r="Q72" s="1081">
        <v>168521.29411764708</v>
      </c>
      <c r="R72" s="1081">
        <v>21277.941176470591</v>
      </c>
      <c r="S72" s="1081">
        <v>12766.764705882353</v>
      </c>
      <c r="T72" s="1081">
        <v>23405.73529411765</v>
      </c>
      <c r="U72" s="1081">
        <v>29789.117647058825</v>
      </c>
      <c r="V72" s="1081">
        <v>40428.088235294119</v>
      </c>
      <c r="W72" s="1081">
        <v>8462.2999999999993</v>
      </c>
      <c r="X72" s="1081"/>
      <c r="Y72" s="1081">
        <v>36180.9</v>
      </c>
      <c r="Z72" s="1081"/>
      <c r="AA72" s="1081"/>
      <c r="AB72" s="1081"/>
      <c r="AC72" s="1081">
        <v>131560.1</v>
      </c>
      <c r="AD72" s="1081"/>
      <c r="AE72" s="1081">
        <v>90648.6</v>
      </c>
      <c r="AF72" s="1081"/>
      <c r="AG72" s="1081">
        <v>110546.80000000002</v>
      </c>
      <c r="AH72" s="1081"/>
      <c r="AI72" s="1081"/>
      <c r="AJ72" s="1081">
        <v>190036</v>
      </c>
      <c r="AK72" s="1081"/>
      <c r="AL72" s="1081"/>
      <c r="AM72" s="1081"/>
      <c r="AN72" s="1081">
        <v>314247.5</v>
      </c>
      <c r="AO72" s="1081">
        <v>1177871.1411764706</v>
      </c>
    </row>
    <row r="73" spans="1:42" ht="15.6">
      <c r="A73" s="1081" t="s">
        <v>1822</v>
      </c>
      <c r="B73" s="1081"/>
      <c r="C73" s="1081"/>
      <c r="D73" s="1081"/>
      <c r="E73" s="1081"/>
      <c r="F73" s="1081"/>
      <c r="G73" s="1081"/>
      <c r="H73" s="1081"/>
      <c r="I73" s="1081"/>
      <c r="J73" s="1081"/>
      <c r="K73" s="1081"/>
      <c r="L73" s="1081"/>
      <c r="M73" s="1081"/>
      <c r="N73" s="1081"/>
      <c r="O73" s="1081"/>
      <c r="P73" s="1081"/>
      <c r="Q73" s="1081">
        <v>273392.90000000002</v>
      </c>
      <c r="R73" s="1081">
        <v>47127.5</v>
      </c>
      <c r="S73" s="1081">
        <v>17559.5</v>
      </c>
      <c r="T73" s="1081"/>
      <c r="U73" s="1081"/>
      <c r="V73" s="1081">
        <v>117633</v>
      </c>
      <c r="W73" s="1081">
        <v>29254.2</v>
      </c>
      <c r="X73" s="1081"/>
      <c r="Y73" s="1081">
        <v>126974</v>
      </c>
      <c r="Z73" s="1081"/>
      <c r="AA73" s="1081"/>
      <c r="AB73" s="1081"/>
      <c r="AC73" s="1081">
        <v>243037.40000000002</v>
      </c>
      <c r="AD73" s="1081"/>
      <c r="AE73" s="1081">
        <v>176588.4</v>
      </c>
      <c r="AF73" s="1081"/>
      <c r="AG73" s="1081">
        <v>59290</v>
      </c>
      <c r="AH73" s="1081"/>
      <c r="AI73" s="1081"/>
      <c r="AJ73" s="1081">
        <v>949048.7</v>
      </c>
      <c r="AK73" s="1081"/>
      <c r="AL73" s="1081"/>
      <c r="AM73" s="1081"/>
      <c r="AN73" s="1081">
        <v>710118.55</v>
      </c>
      <c r="AO73" s="1081">
        <v>2750024.1500000004</v>
      </c>
      <c r="AP73">
        <v>1.8917489796876907E-10</v>
      </c>
    </row>
    <row r="74" spans="1:42" ht="15.6">
      <c r="A74" s="1081" t="s">
        <v>1823</v>
      </c>
      <c r="B74" s="1081"/>
      <c r="C74" s="1081"/>
      <c r="D74" s="1081"/>
      <c r="E74" s="1081"/>
      <c r="F74" s="1081"/>
      <c r="G74" s="1081"/>
      <c r="H74" s="1081"/>
      <c r="I74" s="1081"/>
      <c r="J74" s="1081"/>
      <c r="K74" s="1081"/>
      <c r="L74" s="1081"/>
      <c r="M74" s="1081"/>
      <c r="N74" s="1081"/>
      <c r="O74" s="1081"/>
      <c r="P74" s="1081"/>
      <c r="Q74" s="1081">
        <v>-104871.60588235295</v>
      </c>
      <c r="R74" s="1081">
        <v>-25849.558823529409</v>
      </c>
      <c r="S74" s="1081">
        <v>-4792.7352941176468</v>
      </c>
      <c r="T74" s="1081"/>
      <c r="U74" s="1081"/>
      <c r="V74" s="1081">
        <v>-24010.058823529398</v>
      </c>
      <c r="W74" s="1081">
        <v>-20791.900000000001</v>
      </c>
      <c r="X74" s="1081">
        <v>0</v>
      </c>
      <c r="Y74" s="1081">
        <v>-90793.1</v>
      </c>
      <c r="Z74" s="1081"/>
      <c r="AA74" s="1081"/>
      <c r="AB74" s="1081"/>
      <c r="AC74" s="1081">
        <v>-111477.30000000002</v>
      </c>
      <c r="AD74" s="1081"/>
      <c r="AE74" s="1081">
        <v>-85939.799999999988</v>
      </c>
      <c r="AF74" s="1081"/>
      <c r="AG74" s="1081">
        <v>51256.800000000017</v>
      </c>
      <c r="AH74" s="1081"/>
      <c r="AI74" s="1081"/>
      <c r="AJ74" s="1081">
        <v>-759012.7</v>
      </c>
      <c r="AK74" s="1081"/>
      <c r="AL74" s="1081"/>
      <c r="AM74" s="1081"/>
      <c r="AN74" s="1081">
        <v>-395871.05000000005</v>
      </c>
      <c r="AO74" s="1081">
        <v>-1572153.0088235296</v>
      </c>
      <c r="AP74">
        <v>-86697.799999999814</v>
      </c>
    </row>
    <row r="75" spans="1:42" ht="15.6">
      <c r="A75" s="1081" t="s">
        <v>1824</v>
      </c>
      <c r="B75" s="1077"/>
      <c r="C75" s="1077"/>
      <c r="D75" s="1077"/>
      <c r="E75" s="1077"/>
      <c r="F75" s="1077"/>
      <c r="G75" s="1077"/>
      <c r="H75" s="1077"/>
      <c r="I75" s="1077"/>
      <c r="J75" s="1077"/>
      <c r="K75" s="1077"/>
      <c r="L75" s="1077"/>
      <c r="M75" s="1077"/>
      <c r="N75" s="1077"/>
      <c r="O75" s="1077"/>
      <c r="P75" s="1077"/>
      <c r="Q75" s="1083">
        <v>0.33022565021567968</v>
      </c>
      <c r="R75" s="1080">
        <v>0.37880590011098036</v>
      </c>
      <c r="S75" s="1080">
        <v>0.36773334194341661</v>
      </c>
      <c r="T75" s="1077"/>
      <c r="U75" s="1077"/>
      <c r="V75" s="1080">
        <v>0.38986305594770371</v>
      </c>
      <c r="W75" s="1080">
        <v>0.70516028376225237</v>
      </c>
      <c r="X75" s="1077"/>
      <c r="Y75" s="1080">
        <v>0.553048745740369</v>
      </c>
      <c r="Z75" s="1077"/>
      <c r="AA75" s="1080"/>
      <c r="AB75" s="1077"/>
      <c r="AC75" s="1080">
        <v>0.45761789674138609</v>
      </c>
      <c r="AD75" s="1077"/>
      <c r="AE75" s="1080">
        <v>0.36072118784213153</v>
      </c>
      <c r="AF75" s="1077"/>
      <c r="AG75" s="1080">
        <v>0.35277419368699731</v>
      </c>
      <c r="AH75" s="1077"/>
      <c r="AI75" s="1077"/>
      <c r="AJ75" s="1080">
        <v>0.32545898419719504</v>
      </c>
      <c r="AK75" s="1077"/>
      <c r="AL75" s="1077"/>
      <c r="AM75" s="1077"/>
      <c r="AN75" s="1080">
        <v>0.34727367194923103</v>
      </c>
      <c r="AO75" s="1083">
        <v>0.36183266233990824</v>
      </c>
      <c r="AP75">
        <v>86697.8</v>
      </c>
    </row>
    <row r="76" spans="1:42" ht="15.6">
      <c r="A76" s="1081" t="s">
        <v>1825</v>
      </c>
      <c r="B76" s="1077"/>
      <c r="C76" s="1077"/>
      <c r="D76" s="1077"/>
      <c r="E76" s="1077"/>
      <c r="F76" s="1077"/>
      <c r="G76" s="1077"/>
      <c r="H76" s="1077"/>
      <c r="I76" s="1077"/>
      <c r="J76" s="1077"/>
      <c r="K76" s="1077"/>
      <c r="L76" s="1077"/>
      <c r="M76" s="1077"/>
      <c r="N76" s="1077"/>
      <c r="O76" s="1077"/>
      <c r="P76" s="1077"/>
      <c r="Q76" s="1083">
        <v>-34631.294241662501</v>
      </c>
      <c r="R76" s="1083">
        <v>-9791.9653976187928</v>
      </c>
      <c r="S76" s="1083">
        <v>-1762.4485667560459</v>
      </c>
      <c r="T76" s="1077"/>
      <c r="U76" s="1077"/>
      <c r="V76" s="1083">
        <v>-9360.6349064252991</v>
      </c>
      <c r="W76" s="1083">
        <v>-14661.622103956375</v>
      </c>
      <c r="X76" s="1077"/>
      <c r="Y76" s="1083">
        <v>-50213.010076879902</v>
      </c>
      <c r="Z76" s="1077"/>
      <c r="AA76" s="1083"/>
      <c r="AB76" s="1077"/>
      <c r="AC76" s="1083">
        <v>-51014.007560408529</v>
      </c>
      <c r="AD76" s="1077"/>
      <c r="AE76" s="1083">
        <v>-31000.306738915209</v>
      </c>
      <c r="AF76" s="1077"/>
      <c r="AG76" s="1083">
        <v>18082.076290975689</v>
      </c>
      <c r="AH76" s="1077"/>
      <c r="AI76" s="1077"/>
      <c r="AJ76" s="1083">
        <v>-247027.50233477034</v>
      </c>
      <c r="AK76" s="1077"/>
      <c r="AL76" s="1077"/>
      <c r="AM76" s="1077"/>
      <c r="AN76" s="1083">
        <v>-137475.59315189766</v>
      </c>
      <c r="AO76" s="1081">
        <v>-568856.30878831493</v>
      </c>
      <c r="AP76">
        <v>1.8917489796876907E-10</v>
      </c>
    </row>
    <row r="79" spans="1:42" ht="15.6">
      <c r="A79" s="131" t="s">
        <v>1816</v>
      </c>
      <c r="B79" s="1716">
        <v>7</v>
      </c>
      <c r="C79" s="1716">
        <v>7</v>
      </c>
      <c r="D79" s="1716">
        <v>7</v>
      </c>
      <c r="E79" s="1716">
        <v>7</v>
      </c>
      <c r="F79" s="1716">
        <v>7</v>
      </c>
      <c r="G79" s="1716">
        <v>7</v>
      </c>
      <c r="H79" s="1716">
        <v>7</v>
      </c>
      <c r="I79" s="1716">
        <v>7</v>
      </c>
      <c r="J79" s="1716">
        <v>7</v>
      </c>
      <c r="K79" s="1716">
        <v>7</v>
      </c>
      <c r="L79" s="1716">
        <v>7</v>
      </c>
      <c r="M79" s="1716">
        <v>7</v>
      </c>
      <c r="N79" s="1716">
        <v>7</v>
      </c>
      <c r="O79" s="1716">
        <v>7</v>
      </c>
      <c r="P79" s="1716">
        <v>7</v>
      </c>
      <c r="Q79" s="1717">
        <v>7</v>
      </c>
      <c r="R79" s="1717">
        <v>7</v>
      </c>
      <c r="S79" s="1710">
        <v>3</v>
      </c>
      <c r="T79" s="1710">
        <v>7</v>
      </c>
      <c r="U79" s="1709">
        <v>7</v>
      </c>
      <c r="V79" s="1709">
        <v>7</v>
      </c>
      <c r="W79" s="1710">
        <v>4</v>
      </c>
      <c r="X79" s="1709">
        <v>7</v>
      </c>
      <c r="Y79" s="1710">
        <v>7</v>
      </c>
      <c r="Z79" s="1709">
        <v>7</v>
      </c>
      <c r="AA79" s="1710">
        <v>7</v>
      </c>
      <c r="AB79" s="1709">
        <v>7</v>
      </c>
      <c r="AC79" s="1710">
        <v>7</v>
      </c>
      <c r="AD79" s="1709">
        <v>7</v>
      </c>
      <c r="AE79" s="1710">
        <v>7</v>
      </c>
      <c r="AF79" s="1709">
        <v>7</v>
      </c>
      <c r="AG79" s="1710">
        <v>7</v>
      </c>
      <c r="AH79" s="1710">
        <v>7</v>
      </c>
      <c r="AI79" s="1709">
        <v>7</v>
      </c>
      <c r="AJ79" s="1710">
        <v>4</v>
      </c>
      <c r="AK79" s="1710">
        <v>3</v>
      </c>
      <c r="AL79" s="1710">
        <v>7</v>
      </c>
      <c r="AM79" s="1709">
        <v>7</v>
      </c>
      <c r="AN79" s="1709">
        <v>7</v>
      </c>
      <c r="AO79" s="1709">
        <v>4</v>
      </c>
    </row>
    <row r="80" spans="1:42" ht="15.6">
      <c r="A80" s="131" t="s">
        <v>1815</v>
      </c>
      <c r="B80" s="1711" t="s">
        <v>1773</v>
      </c>
      <c r="C80" s="1711" t="s">
        <v>1773</v>
      </c>
      <c r="D80" s="1711" t="s">
        <v>1773</v>
      </c>
      <c r="E80" s="1711" t="s">
        <v>1773</v>
      </c>
      <c r="F80" s="1711" t="s">
        <v>1773</v>
      </c>
      <c r="G80" s="1711" t="s">
        <v>1773</v>
      </c>
      <c r="H80" s="1711" t="s">
        <v>1773</v>
      </c>
      <c r="I80" s="1711" t="s">
        <v>1773</v>
      </c>
      <c r="J80" s="1711" t="s">
        <v>1773</v>
      </c>
      <c r="K80" s="1711" t="s">
        <v>1773</v>
      </c>
      <c r="L80" s="1711" t="s">
        <v>1773</v>
      </c>
      <c r="M80" s="1711" t="s">
        <v>1773</v>
      </c>
      <c r="N80" s="1711" t="s">
        <v>1773</v>
      </c>
      <c r="O80" s="1711" t="s">
        <v>1773</v>
      </c>
      <c r="P80" s="1711" t="s">
        <v>1773</v>
      </c>
      <c r="Q80" s="1711" t="s">
        <v>1773</v>
      </c>
      <c r="R80" s="1711" t="s">
        <v>1826</v>
      </c>
      <c r="S80" s="1711" t="s">
        <v>1775</v>
      </c>
      <c r="T80" s="1711" t="s">
        <v>1775</v>
      </c>
      <c r="U80" s="1711" t="s">
        <v>1775</v>
      </c>
      <c r="V80" s="1711" t="s">
        <v>1775</v>
      </c>
      <c r="W80" s="1711" t="s">
        <v>1775</v>
      </c>
      <c r="X80" s="1711" t="s">
        <v>1776</v>
      </c>
      <c r="Y80" s="1711" t="s">
        <v>1777</v>
      </c>
      <c r="Z80" s="1711" t="s">
        <v>1777</v>
      </c>
      <c r="AA80" s="1711" t="s">
        <v>108</v>
      </c>
      <c r="AB80" s="1711" t="s">
        <v>108</v>
      </c>
      <c r="AC80" s="1711" t="s">
        <v>108</v>
      </c>
      <c r="AD80" s="1711" t="s">
        <v>1778</v>
      </c>
      <c r="AE80" s="1711" t="s">
        <v>1778</v>
      </c>
      <c r="AF80" s="1711" t="s">
        <v>1779</v>
      </c>
      <c r="AG80" s="1711" t="s">
        <v>1779</v>
      </c>
      <c r="AH80" s="1711" t="s">
        <v>1780</v>
      </c>
      <c r="AI80" s="1711" t="s">
        <v>1780</v>
      </c>
      <c r="AJ80" s="1711" t="s">
        <v>1780</v>
      </c>
      <c r="AK80" s="1711" t="s">
        <v>1781</v>
      </c>
      <c r="AL80" s="1711" t="s">
        <v>1781</v>
      </c>
      <c r="AM80" s="1711" t="s">
        <v>1781</v>
      </c>
      <c r="AN80" s="1711" t="s">
        <v>1781</v>
      </c>
      <c r="AO80" s="1711" t="s">
        <v>1781</v>
      </c>
    </row>
    <row r="81" spans="1:41" ht="15.6">
      <c r="A81" s="131" t="s">
        <v>323</v>
      </c>
      <c r="B81" s="1711">
        <v>-16</v>
      </c>
      <c r="C81" s="1711">
        <v>-15</v>
      </c>
      <c r="D81" s="1711">
        <v>-14</v>
      </c>
      <c r="E81" s="1711">
        <v>-13</v>
      </c>
      <c r="F81" s="1711">
        <v>-12</v>
      </c>
      <c r="G81" s="1711">
        <v>-11</v>
      </c>
      <c r="H81" s="1711">
        <v>-10</v>
      </c>
      <c r="I81" s="1711">
        <v>-9</v>
      </c>
      <c r="J81" s="1711">
        <v>-8</v>
      </c>
      <c r="K81" s="1711">
        <v>-7</v>
      </c>
      <c r="L81" s="1711">
        <v>-6</v>
      </c>
      <c r="M81" s="1711">
        <v>-5</v>
      </c>
      <c r="N81" s="1711">
        <v>-4</v>
      </c>
      <c r="O81" s="1711">
        <v>-3</v>
      </c>
      <c r="P81" s="1711">
        <v>-2</v>
      </c>
      <c r="Q81" s="1711">
        <v>-1</v>
      </c>
      <c r="R81" s="1711">
        <v>0</v>
      </c>
      <c r="S81" s="276">
        <v>1</v>
      </c>
      <c r="T81" s="276">
        <v>2</v>
      </c>
      <c r="U81" s="276">
        <v>3</v>
      </c>
      <c r="V81" s="276">
        <v>4</v>
      </c>
      <c r="W81" s="276">
        <v>5</v>
      </c>
      <c r="X81" s="276">
        <v>6</v>
      </c>
      <c r="Y81" s="276">
        <v>7</v>
      </c>
      <c r="Z81" s="276">
        <v>8</v>
      </c>
      <c r="AA81" s="276">
        <v>9</v>
      </c>
      <c r="AB81" s="276">
        <v>10</v>
      </c>
      <c r="AC81" s="276">
        <v>11</v>
      </c>
      <c r="AD81" s="276">
        <v>12</v>
      </c>
      <c r="AE81" s="276">
        <v>13</v>
      </c>
      <c r="AF81" s="276">
        <v>14</v>
      </c>
      <c r="AG81" s="276">
        <v>15</v>
      </c>
      <c r="AH81" s="276">
        <v>16</v>
      </c>
      <c r="AI81" s="276">
        <v>17</v>
      </c>
      <c r="AJ81" s="276">
        <v>18</v>
      </c>
      <c r="AK81" s="276">
        <v>18</v>
      </c>
      <c r="AL81" s="276">
        <v>19</v>
      </c>
      <c r="AM81" s="276">
        <v>20</v>
      </c>
      <c r="AN81" s="276">
        <v>21</v>
      </c>
      <c r="AO81" s="276">
        <v>22</v>
      </c>
    </row>
    <row r="82" spans="1:41" ht="16.149999999999999" thickBot="1">
      <c r="A82" s="131"/>
      <c r="B82" s="1718">
        <f>+B83*B79</f>
        <v>17.5</v>
      </c>
      <c r="C82" s="1718">
        <f t="shared" ref="C82:R82" si="51">+C83*C79</f>
        <v>17.5</v>
      </c>
      <c r="D82" s="1718">
        <f t="shared" si="51"/>
        <v>17.5</v>
      </c>
      <c r="E82" s="1718">
        <f t="shared" si="51"/>
        <v>17.5</v>
      </c>
      <c r="F82" s="1718">
        <f t="shared" si="51"/>
        <v>16.099999999999998</v>
      </c>
      <c r="G82" s="1718">
        <f t="shared" si="51"/>
        <v>16.099999999999998</v>
      </c>
      <c r="H82" s="1718">
        <f t="shared" si="51"/>
        <v>16.099999999999998</v>
      </c>
      <c r="I82" s="1718">
        <f t="shared" si="51"/>
        <v>16.099999999999998</v>
      </c>
      <c r="J82" s="1718">
        <f t="shared" si="51"/>
        <v>16.099999999999998</v>
      </c>
      <c r="K82" s="1718">
        <f t="shared" si="51"/>
        <v>16.099999999999998</v>
      </c>
      <c r="L82" s="1718">
        <f t="shared" si="51"/>
        <v>16.099999999999998</v>
      </c>
      <c r="M82" s="1718">
        <f t="shared" si="51"/>
        <v>16.099999999999998</v>
      </c>
      <c r="N82" s="1718">
        <f t="shared" si="51"/>
        <v>19.599999999999998</v>
      </c>
      <c r="O82" s="1718">
        <f t="shared" si="51"/>
        <v>19.599999999999998</v>
      </c>
      <c r="P82" s="1718">
        <f t="shared" si="51"/>
        <v>19.599999999999998</v>
      </c>
      <c r="Q82" s="1718">
        <f t="shared" si="51"/>
        <v>19.599999999999998</v>
      </c>
      <c r="R82" s="1718">
        <f t="shared" si="51"/>
        <v>35</v>
      </c>
      <c r="S82" s="1699"/>
      <c r="T82" s="1699"/>
      <c r="U82" s="1699"/>
      <c r="V82" s="1700"/>
      <c r="W82" s="1700"/>
      <c r="X82" s="1701">
        <v>4</v>
      </c>
      <c r="Y82" s="1702">
        <v>6</v>
      </c>
      <c r="Z82" s="1702">
        <v>7</v>
      </c>
      <c r="AA82" s="1703">
        <v>10.5</v>
      </c>
      <c r="AB82" s="1703">
        <v>11.9</v>
      </c>
      <c r="AC82" s="1703">
        <v>13.3</v>
      </c>
      <c r="AD82" s="1704">
        <v>15.4</v>
      </c>
      <c r="AE82" s="1704">
        <v>17.5</v>
      </c>
      <c r="AF82" s="1705">
        <v>18.2</v>
      </c>
      <c r="AG82" s="1705">
        <v>18.899999999999999</v>
      </c>
      <c r="AH82" s="1706">
        <v>20.3</v>
      </c>
      <c r="AI82" s="1706">
        <v>21.7</v>
      </c>
      <c r="AJ82" s="1706">
        <v>12.4</v>
      </c>
      <c r="AK82" s="1707">
        <v>9.3000000000000007</v>
      </c>
      <c r="AL82" s="1707">
        <v>21.7</v>
      </c>
      <c r="AM82" s="1708">
        <v>21.7</v>
      </c>
      <c r="AN82" s="1708">
        <v>21.7</v>
      </c>
      <c r="AO82" s="1708">
        <v>12.4</v>
      </c>
    </row>
    <row r="83" spans="1:41" ht="15.6">
      <c r="A83" s="131" t="s">
        <v>1817</v>
      </c>
      <c r="B83" s="142">
        <v>2.5</v>
      </c>
      <c r="C83" s="142">
        <v>2.5</v>
      </c>
      <c r="D83" s="142">
        <v>2.5</v>
      </c>
      <c r="E83" s="142">
        <v>2.5</v>
      </c>
      <c r="F83" s="142">
        <v>2.2999999999999998</v>
      </c>
      <c r="G83" s="142">
        <v>2.2999999999999998</v>
      </c>
      <c r="H83" s="142">
        <v>2.2999999999999998</v>
      </c>
      <c r="I83" s="142">
        <v>2.2999999999999998</v>
      </c>
      <c r="J83" s="142">
        <v>2.2999999999999998</v>
      </c>
      <c r="K83" s="142">
        <v>2.2999999999999998</v>
      </c>
      <c r="L83" s="142">
        <v>2.2999999999999998</v>
      </c>
      <c r="M83" s="142">
        <v>2.2999999999999998</v>
      </c>
      <c r="N83" s="142">
        <v>2.8</v>
      </c>
      <c r="O83" s="142">
        <v>2.8</v>
      </c>
      <c r="P83" s="142">
        <v>2.8</v>
      </c>
      <c r="Q83" s="142">
        <v>2.8</v>
      </c>
      <c r="R83" s="142">
        <v>5</v>
      </c>
      <c r="S83" s="1712">
        <f>+S82/S79</f>
        <v>0</v>
      </c>
      <c r="T83" s="1712">
        <f t="shared" ref="T83:V83" si="52">+T82/T79</f>
        <v>0</v>
      </c>
      <c r="U83" s="1712">
        <f t="shared" si="52"/>
        <v>0</v>
      </c>
      <c r="V83" s="1712">
        <f t="shared" si="52"/>
        <v>0</v>
      </c>
      <c r="W83" s="1712">
        <f>+W82/W79</f>
        <v>0</v>
      </c>
      <c r="X83" s="1712">
        <f>+X82/X79</f>
        <v>0.5714285714285714</v>
      </c>
      <c r="Y83" s="1712">
        <f t="shared" ref="Y83:AD83" si="53">+Y82/Y79</f>
        <v>0.8571428571428571</v>
      </c>
      <c r="Z83" s="1712">
        <f t="shared" si="53"/>
        <v>1</v>
      </c>
      <c r="AA83" s="1712">
        <f t="shared" si="53"/>
        <v>1.5</v>
      </c>
      <c r="AB83" s="1712">
        <f t="shared" si="53"/>
        <v>1.7</v>
      </c>
      <c r="AC83" s="1712">
        <f t="shared" si="53"/>
        <v>1.9000000000000001</v>
      </c>
      <c r="AD83" s="1712">
        <f t="shared" si="53"/>
        <v>2.2000000000000002</v>
      </c>
      <c r="AE83" s="1712">
        <f>+AE82/AE79</f>
        <v>2.5</v>
      </c>
      <c r="AF83" s="1712">
        <f t="shared" ref="AF83:AJ83" si="54">+AF82/AF79</f>
        <v>2.6</v>
      </c>
      <c r="AG83" s="1712">
        <f t="shared" si="54"/>
        <v>2.6999999999999997</v>
      </c>
      <c r="AH83" s="1712">
        <f t="shared" si="54"/>
        <v>2.9</v>
      </c>
      <c r="AI83" s="1712">
        <f t="shared" si="54"/>
        <v>3.1</v>
      </c>
      <c r="AJ83" s="1712">
        <f t="shared" si="54"/>
        <v>3.1</v>
      </c>
      <c r="AK83" s="1712">
        <f>+AK82/AK79</f>
        <v>3.1</v>
      </c>
      <c r="AL83" s="1712">
        <f t="shared" ref="AL83:AO83" si="55">+AL82/AL79</f>
        <v>3.1</v>
      </c>
      <c r="AM83" s="1712">
        <f t="shared" si="55"/>
        <v>3.1</v>
      </c>
      <c r="AN83" s="1712">
        <f t="shared" si="55"/>
        <v>3.1</v>
      </c>
      <c r="AO83" s="1712">
        <f t="shared" si="55"/>
        <v>3.1</v>
      </c>
    </row>
    <row r="84" spans="1:41" ht="15.6">
      <c r="A84" s="142"/>
      <c r="B84" s="1081">
        <f>'Summary Total Pigs'!AF35/17*4</f>
        <v>0</v>
      </c>
      <c r="C84" s="817">
        <f>+B84</f>
        <v>0</v>
      </c>
      <c r="D84" s="817">
        <f t="shared" ref="D84:R84" si="56">+C84</f>
        <v>0</v>
      </c>
      <c r="E84" s="817">
        <f t="shared" si="56"/>
        <v>0</v>
      </c>
      <c r="F84" s="817">
        <f t="shared" si="56"/>
        <v>0</v>
      </c>
      <c r="G84" s="817">
        <f t="shared" si="56"/>
        <v>0</v>
      </c>
      <c r="H84" s="817">
        <f t="shared" si="56"/>
        <v>0</v>
      </c>
      <c r="I84" s="817">
        <f t="shared" si="56"/>
        <v>0</v>
      </c>
      <c r="J84" s="817">
        <f t="shared" si="56"/>
        <v>0</v>
      </c>
      <c r="K84" s="817">
        <f t="shared" si="56"/>
        <v>0</v>
      </c>
      <c r="L84" s="817">
        <f t="shared" si="56"/>
        <v>0</v>
      </c>
      <c r="M84" s="817">
        <f t="shared" si="56"/>
        <v>0</v>
      </c>
      <c r="N84" s="817">
        <f t="shared" si="56"/>
        <v>0</v>
      </c>
      <c r="O84" s="817">
        <f t="shared" si="56"/>
        <v>0</v>
      </c>
      <c r="P84" s="817">
        <f t="shared" si="56"/>
        <v>0</v>
      </c>
      <c r="Q84" s="817">
        <f t="shared" si="56"/>
        <v>0</v>
      </c>
      <c r="R84" s="817">
        <f t="shared" si="56"/>
        <v>0</v>
      </c>
      <c r="S84" s="817">
        <f>+R84</f>
        <v>0</v>
      </c>
      <c r="T84" s="817">
        <f t="shared" ref="T84:V84" si="57">+S84</f>
        <v>0</v>
      </c>
      <c r="U84" s="817">
        <f t="shared" si="57"/>
        <v>0</v>
      </c>
      <c r="V84" s="817">
        <f t="shared" si="57"/>
        <v>0</v>
      </c>
      <c r="W84" s="1059">
        <f>SUM(W7:Z7)</f>
        <v>0</v>
      </c>
      <c r="X84" s="1059">
        <f t="shared" ref="X84:AC84" si="58">+X26/SUM(X26:AA26)</f>
        <v>0.23175053153791636</v>
      </c>
      <c r="Y84" s="1059">
        <f t="shared" si="58"/>
        <v>0.33209990749306195</v>
      </c>
      <c r="Z84" s="1059">
        <f t="shared" si="58"/>
        <v>0.34321223709369025</v>
      </c>
      <c r="AA84" s="1059">
        <f t="shared" si="58"/>
        <v>0.34990439770554493</v>
      </c>
      <c r="AB84" s="1059">
        <f t="shared" si="58"/>
        <v>-2.8929604628736743E-3</v>
      </c>
      <c r="AC84" s="1059">
        <f t="shared" si="58"/>
        <v>0.23060498220640568</v>
      </c>
      <c r="AD84" s="1059">
        <f t="shared" ref="AD84:AJ84" si="59">+AD7/SUM(AD7:AG7)</f>
        <v>0.24861495844875348</v>
      </c>
      <c r="AE84" s="1059">
        <f t="shared" si="59"/>
        <v>0.25958062183658714</v>
      </c>
      <c r="AF84" s="1059">
        <f t="shared" si="59"/>
        <v>0.28089025326170375</v>
      </c>
      <c r="AG84" s="1059">
        <f t="shared" si="59"/>
        <v>0.27799227799227799</v>
      </c>
      <c r="AH84" s="1059">
        <f t="shared" si="59"/>
        <v>0.24895572263993315</v>
      </c>
      <c r="AI84" s="1059">
        <f t="shared" si="59"/>
        <v>0.24281984334203655</v>
      </c>
      <c r="AJ84" s="1059">
        <f t="shared" si="59"/>
        <v>0.31103388357949607</v>
      </c>
      <c r="AK84" s="1059">
        <f>+AK7/SUM(AK7:AQ7)</f>
        <v>0.12881022615535889</v>
      </c>
      <c r="AL84" s="1059">
        <f>+AK7/SUM(AK7:AQ7)</f>
        <v>0.12881022615535889</v>
      </c>
      <c r="AM84" s="1059">
        <f>+AL7/SUM(AK7:AQ7)</f>
        <v>0.12291052114060963</v>
      </c>
      <c r="AN84" s="1059">
        <f>+AM7/SUM(AK7:AQ7)</f>
        <v>0.13815142576204523</v>
      </c>
      <c r="AO84" s="1059">
        <f>AN7/SUM(AK7:AQ7)</f>
        <v>0.17502458210422811</v>
      </c>
    </row>
    <row r="85" spans="1:41" ht="15">
      <c r="A85" s="142"/>
      <c r="B85" s="1059">
        <f t="shared" ref="B85:R85" si="60">+B79*B83*B84</f>
        <v>0</v>
      </c>
      <c r="C85" s="1059">
        <f t="shared" si="60"/>
        <v>0</v>
      </c>
      <c r="D85" s="1059">
        <f t="shared" si="60"/>
        <v>0</v>
      </c>
      <c r="E85" s="1059">
        <f t="shared" si="60"/>
        <v>0</v>
      </c>
      <c r="F85" s="1059">
        <f t="shared" si="60"/>
        <v>0</v>
      </c>
      <c r="G85" s="1059">
        <f t="shared" si="60"/>
        <v>0</v>
      </c>
      <c r="H85" s="1059">
        <f t="shared" si="60"/>
        <v>0</v>
      </c>
      <c r="I85" s="1059">
        <f t="shared" si="60"/>
        <v>0</v>
      </c>
      <c r="J85" s="1059">
        <f t="shared" si="60"/>
        <v>0</v>
      </c>
      <c r="K85" s="1059">
        <f t="shared" si="60"/>
        <v>0</v>
      </c>
      <c r="L85" s="1059">
        <f t="shared" si="60"/>
        <v>0</v>
      </c>
      <c r="M85" s="1059">
        <f t="shared" si="60"/>
        <v>0</v>
      </c>
      <c r="N85" s="1059">
        <f t="shared" si="60"/>
        <v>0</v>
      </c>
      <c r="O85" s="1059">
        <f t="shared" si="60"/>
        <v>0</v>
      </c>
      <c r="P85" s="1059">
        <f t="shared" si="60"/>
        <v>0</v>
      </c>
      <c r="Q85" s="1059">
        <f t="shared" si="60"/>
        <v>0</v>
      </c>
      <c r="R85" s="1059">
        <f t="shared" si="60"/>
        <v>0</v>
      </c>
      <c r="S85" s="1059">
        <f>+S79*S83*S84</f>
        <v>0</v>
      </c>
      <c r="T85" s="1059">
        <f t="shared" ref="T85:X85" si="61">+T79*T83*T84</f>
        <v>0</v>
      </c>
      <c r="U85" s="1059">
        <f t="shared" si="61"/>
        <v>0</v>
      </c>
      <c r="V85" s="1059">
        <f t="shared" si="61"/>
        <v>0</v>
      </c>
      <c r="W85" s="1059">
        <f t="shared" si="61"/>
        <v>0</v>
      </c>
      <c r="X85" s="1059">
        <f t="shared" si="61"/>
        <v>0.92700212615166544</v>
      </c>
      <c r="Y85" s="1059">
        <f>+Y79*Y83*Y84</f>
        <v>1.9925994449583717</v>
      </c>
      <c r="Z85" s="1059">
        <f>+Z79*Z83*Z84</f>
        <v>2.4024856596558317</v>
      </c>
      <c r="AA85" s="1059">
        <f t="shared" ref="AA85:AC85" si="62">+AA79*AA83*AA84</f>
        <v>3.673996175908222</v>
      </c>
      <c r="AB85" s="1059">
        <f t="shared" si="62"/>
        <v>-3.4426229508196723E-2</v>
      </c>
      <c r="AC85" s="1059">
        <f t="shared" si="62"/>
        <v>3.0670462633451958</v>
      </c>
      <c r="AD85" s="1059">
        <f>+AD79*AD83*AD84</f>
        <v>3.8286703601108041</v>
      </c>
      <c r="AE85" s="1059">
        <f>+AE79*AE83*AE84</f>
        <v>4.5426608821402752</v>
      </c>
      <c r="AF85" s="1059">
        <f t="shared" ref="AF85:AO85" si="63">+AF79*AF83*AF84</f>
        <v>5.112202609363008</v>
      </c>
      <c r="AG85" s="1059">
        <f t="shared" si="63"/>
        <v>5.2540540540540537</v>
      </c>
      <c r="AH85" s="1059">
        <f t="shared" si="63"/>
        <v>5.0538011695906428</v>
      </c>
      <c r="AI85" s="1059">
        <f t="shared" si="63"/>
        <v>5.2691906005221929</v>
      </c>
      <c r="AJ85" s="1059">
        <f t="shared" si="63"/>
        <v>3.8568201563857514</v>
      </c>
      <c r="AK85" s="1059">
        <f t="shared" si="63"/>
        <v>1.1979351032448378</v>
      </c>
      <c r="AL85" s="1059">
        <f t="shared" si="63"/>
        <v>2.7951819075712878</v>
      </c>
      <c r="AM85" s="1059">
        <f t="shared" si="63"/>
        <v>2.6671583087512287</v>
      </c>
      <c r="AN85" s="1059">
        <f>+AN79*AN83*AN84</f>
        <v>2.9978859390363812</v>
      </c>
      <c r="AO85" s="1059">
        <f t="shared" si="63"/>
        <v>2.1703048180924287</v>
      </c>
    </row>
    <row r="86" spans="1:41" ht="15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818">
        <f>SUM(B85:R85)</f>
        <v>0</v>
      </c>
      <c r="S86" s="142"/>
      <c r="T86" s="142"/>
      <c r="U86" s="142"/>
      <c r="V86" s="142"/>
      <c r="W86" s="818">
        <f>SUM(S85:W85)</f>
        <v>0</v>
      </c>
      <c r="X86" s="818">
        <f>SUM(X85)</f>
        <v>0.92700212615166544</v>
      </c>
      <c r="Y86" s="142"/>
      <c r="Z86" s="818">
        <f>SUM(Y85:Z85)</f>
        <v>4.3950851046142034</v>
      </c>
      <c r="AA86" s="142"/>
      <c r="AB86" s="142"/>
      <c r="AC86" s="818">
        <f>SUM(AA85:AC85)</f>
        <v>6.7066162097452207</v>
      </c>
      <c r="AD86" s="142"/>
      <c r="AE86" s="818">
        <f>SUM(AD85:AE85)</f>
        <v>8.3713312422510793</v>
      </c>
      <c r="AF86" s="142"/>
      <c r="AG86" s="818">
        <f>SUM(AF85:AG85)</f>
        <v>10.366256663417062</v>
      </c>
      <c r="AH86" s="142"/>
      <c r="AI86" s="142"/>
      <c r="AJ86" s="818">
        <f>SUM(AH85:AJ85)</f>
        <v>14.179811926498587</v>
      </c>
      <c r="AK86" s="142"/>
      <c r="AL86" s="142"/>
      <c r="AM86" s="142"/>
      <c r="AN86" s="142"/>
      <c r="AO86" s="818">
        <f>SUM(AK85:AO85)</f>
        <v>11.828466076696165</v>
      </c>
    </row>
    <row r="87" spans="1:41" ht="15.6">
      <c r="A87" s="142"/>
      <c r="B87" s="1715">
        <f>+IFERROR(B85/$R$86,0)</f>
        <v>0</v>
      </c>
      <c r="C87" s="1715">
        <f t="shared" ref="C87:W87" si="64">+IFERROR(C85/$R$86,0)</f>
        <v>0</v>
      </c>
      <c r="D87" s="1715">
        <f t="shared" si="64"/>
        <v>0</v>
      </c>
      <c r="E87" s="1715">
        <f t="shared" si="64"/>
        <v>0</v>
      </c>
      <c r="F87" s="1715">
        <f t="shared" si="64"/>
        <v>0</v>
      </c>
      <c r="G87" s="1715">
        <f t="shared" si="64"/>
        <v>0</v>
      </c>
      <c r="H87" s="1715">
        <f t="shared" si="64"/>
        <v>0</v>
      </c>
      <c r="I87" s="1715">
        <f t="shared" si="64"/>
        <v>0</v>
      </c>
      <c r="J87" s="1715">
        <f t="shared" si="64"/>
        <v>0</v>
      </c>
      <c r="K87" s="1715">
        <f t="shared" si="64"/>
        <v>0</v>
      </c>
      <c r="L87" s="1715">
        <f t="shared" si="64"/>
        <v>0</v>
      </c>
      <c r="M87" s="1715">
        <f t="shared" si="64"/>
        <v>0</v>
      </c>
      <c r="N87" s="1715">
        <f t="shared" si="64"/>
        <v>0</v>
      </c>
      <c r="O87" s="1715">
        <f t="shared" si="64"/>
        <v>0</v>
      </c>
      <c r="P87" s="1715">
        <f t="shared" si="64"/>
        <v>0</v>
      </c>
      <c r="Q87" s="1715">
        <f t="shared" si="64"/>
        <v>0</v>
      </c>
      <c r="R87" s="1715">
        <f t="shared" si="64"/>
        <v>0</v>
      </c>
      <c r="S87" s="1715">
        <f t="shared" si="64"/>
        <v>0</v>
      </c>
      <c r="T87" s="1715">
        <f t="shared" si="64"/>
        <v>0</v>
      </c>
      <c r="U87" s="1715">
        <f t="shared" si="64"/>
        <v>0</v>
      </c>
      <c r="V87" s="1715">
        <f t="shared" si="64"/>
        <v>0</v>
      </c>
      <c r="W87" s="1715">
        <f t="shared" si="64"/>
        <v>0</v>
      </c>
      <c r="X87" s="1715">
        <f>+IFERROR(X85/$X$86,0)</f>
        <v>1</v>
      </c>
      <c r="Y87" s="1715">
        <f>+Y85/Z86</f>
        <v>0.45336993426280431</v>
      </c>
      <c r="Z87" s="1715">
        <f>+Z85/Z86</f>
        <v>0.54663006573719575</v>
      </c>
      <c r="AA87" s="1715">
        <f>+AA85/AC86</f>
        <v>0.54781667252251998</v>
      </c>
      <c r="AB87" s="1715">
        <f>+AB85/AC86</f>
        <v>-5.1331742314660572E-3</v>
      </c>
      <c r="AC87" s="1715">
        <f>+AC85/AC86</f>
        <v>0.45731650170894611</v>
      </c>
      <c r="AD87" s="1715">
        <f>+AD85/AE86</f>
        <v>0.45735501909028053</v>
      </c>
      <c r="AE87" s="1715">
        <f>+AE85/AE86</f>
        <v>0.54264498090971947</v>
      </c>
      <c r="AF87" s="1715">
        <f>+AF85/AG86</f>
        <v>0.4931580198476252</v>
      </c>
      <c r="AG87" s="1715">
        <f>+AG85/AG86</f>
        <v>0.5068419801523748</v>
      </c>
      <c r="AH87" s="1715">
        <f>+AH85/AJ86</f>
        <v>0.3564081946775563</v>
      </c>
      <c r="AI87" s="1715">
        <f>+AI85/AJ86</f>
        <v>0.37159805982160943</v>
      </c>
      <c r="AJ87" s="1715">
        <f>+AJ85/AJ86</f>
        <v>0.27199374550083427</v>
      </c>
      <c r="AK87" s="1715">
        <f>+AK85/AO86</f>
        <v>0.10127560881329727</v>
      </c>
      <c r="AL87" s="1715">
        <f>+AL85/AO86</f>
        <v>0.23630975389769357</v>
      </c>
      <c r="AM87" s="1715">
        <f>+AM85/AO86</f>
        <v>0.22548640639092898</v>
      </c>
      <c r="AN87" s="1715">
        <f>+AN85/AO86</f>
        <v>0.25344672078340419</v>
      </c>
      <c r="AO87" s="1715">
        <f>+AO85/AO86</f>
        <v>0.18348151011467595</v>
      </c>
    </row>
    <row r="88" spans="1:41" ht="15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</row>
  </sheetData>
  <pageMargins left="0.7" right="0.7" top="0.75" bottom="0.75" header="0.3" footer="0.3"/>
  <pageSetup paperSize="9" scale="10" orientation="portrait" r:id="rId1"/>
  <colBreaks count="1" manualBreakCount="1">
    <brk id="40" max="8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51">
    <tabColor theme="6" tint="-0.249977111117893"/>
    <pageSetUpPr fitToPage="1"/>
  </sheetPr>
  <dimension ref="A1:BG94"/>
  <sheetViews>
    <sheetView tabSelected="1" view="pageBreakPreview" zoomScale="54" zoomScaleNormal="100" zoomScaleSheetLayoutView="66" workbookViewId="0">
      <pane xSplit="1" ySplit="3" topLeftCell="AH37" activePane="bottomRight" state="frozen"/>
      <selection pane="bottomRight" activeCell="A15" sqref="A15"/>
      <selection pane="bottomLeft" activeCell="A4" sqref="A4"/>
      <selection pane="topRight" activeCell="B1" sqref="B1"/>
    </sheetView>
  </sheetViews>
  <sheetFormatPr defaultColWidth="9.140625" defaultRowHeight="15.6"/>
  <cols>
    <col min="1" max="1" width="36.28515625" style="142" bestFit="1" customWidth="1"/>
    <col min="2" max="2" width="23.140625" style="142" bestFit="1" customWidth="1"/>
    <col min="3" max="3" width="21.42578125" style="142" bestFit="1" customWidth="1"/>
    <col min="4" max="4" width="23.140625" style="142" bestFit="1" customWidth="1"/>
    <col min="5" max="5" width="21.42578125" style="142" bestFit="1" customWidth="1"/>
    <col min="6" max="10" width="21" style="142" bestFit="1" customWidth="1"/>
    <col min="11" max="13" width="21.42578125" style="142" bestFit="1" customWidth="1"/>
    <col min="14" max="14" width="21" style="142" bestFit="1" customWidth="1"/>
    <col min="15" max="18" width="21.42578125" style="142" bestFit="1" customWidth="1"/>
    <col min="19" max="19" width="21.85546875" style="142" bestFit="1" customWidth="1"/>
    <col min="20" max="20" width="21.42578125" style="142" bestFit="1" customWidth="1"/>
    <col min="21" max="21" width="21.85546875" style="142" bestFit="1" customWidth="1"/>
    <col min="22" max="22" width="21.42578125" style="142" bestFit="1" customWidth="1"/>
    <col min="23" max="23" width="21.85546875" style="142" bestFit="1" customWidth="1"/>
    <col min="24" max="24" width="21.42578125" style="142" bestFit="1" customWidth="1"/>
    <col min="25" max="25" width="22.28515625" style="142" bestFit="1" customWidth="1"/>
    <col min="26" max="26" width="22.5703125" style="142" bestFit="1" customWidth="1"/>
    <col min="27" max="27" width="23.140625" style="142" bestFit="1" customWidth="1"/>
    <col min="28" max="31" width="22.28515625" style="142" bestFit="1" customWidth="1"/>
    <col min="32" max="32" width="23.140625" style="142" bestFit="1" customWidth="1"/>
    <col min="33" max="33" width="23.5703125" style="142" bestFit="1" customWidth="1"/>
    <col min="34" max="34" width="22.28515625" style="142" bestFit="1" customWidth="1"/>
    <col min="35" max="38" width="23.5703125" style="142" bestFit="1" customWidth="1"/>
    <col min="39" max="39" width="23.42578125" style="142" bestFit="1" customWidth="1"/>
    <col min="40" max="40" width="23.5703125" style="142" bestFit="1" customWidth="1"/>
    <col min="41" max="42" width="22.28515625" style="142" bestFit="1" customWidth="1"/>
    <col min="43" max="44" width="23.42578125" style="142" bestFit="1" customWidth="1"/>
    <col min="45" max="45" width="23.140625" style="142" bestFit="1" customWidth="1"/>
    <col min="46" max="46" width="21.85546875" style="142" customWidth="1"/>
    <col min="47" max="47" width="20.140625" style="142" bestFit="1" customWidth="1"/>
    <col min="48" max="48" width="18.42578125" style="142" bestFit="1" customWidth="1"/>
    <col min="49" max="49" width="21.85546875" style="142" bestFit="1" customWidth="1"/>
    <col min="50" max="50" width="9.5703125" style="131" bestFit="1" customWidth="1"/>
    <col min="51" max="51" width="15.7109375" style="142" bestFit="1" customWidth="1"/>
    <col min="52" max="52" width="12.28515625" style="142" bestFit="1" customWidth="1"/>
    <col min="53" max="53" width="12.140625" style="142" bestFit="1" customWidth="1"/>
    <col min="54" max="54" width="16.28515625" style="1059" bestFit="1" customWidth="1"/>
    <col min="55" max="55" width="9.140625" style="142"/>
    <col min="56" max="56" width="16.28515625" style="142" bestFit="1" customWidth="1"/>
    <col min="57" max="58" width="9.140625" style="142"/>
    <col min="59" max="59" width="11" style="142" bestFit="1" customWidth="1"/>
    <col min="60" max="16384" width="9.140625" style="142"/>
  </cols>
  <sheetData>
    <row r="1" spans="1:54">
      <c r="AU1" s="1057"/>
    </row>
    <row r="2" spans="1:54">
      <c r="A2" s="1066" t="s">
        <v>1772</v>
      </c>
      <c r="B2" s="1079">
        <f>[1]Grasmere!B2</f>
        <v>1</v>
      </c>
      <c r="C2" s="1079">
        <f>[1]Grasmere!C2</f>
        <v>2</v>
      </c>
      <c r="D2" s="1079">
        <f>[1]Grasmere!D2</f>
        <v>3</v>
      </c>
      <c r="E2" s="1079">
        <f>[1]Grasmere!E2</f>
        <v>4</v>
      </c>
      <c r="F2" s="1079">
        <f>[1]Grasmere!F2</f>
        <v>5</v>
      </c>
      <c r="G2" s="1079">
        <f>[1]Grasmere!G2</f>
        <v>6</v>
      </c>
      <c r="H2" s="1079">
        <f>[1]Grasmere!H2</f>
        <v>7</v>
      </c>
      <c r="I2" s="1079">
        <f>[1]Grasmere!I2</f>
        <v>8</v>
      </c>
      <c r="J2" s="1079">
        <f>[1]Grasmere!J2</f>
        <v>9</v>
      </c>
      <c r="K2" s="1079">
        <f>[1]Grasmere!K2</f>
        <v>10</v>
      </c>
      <c r="L2" s="1079">
        <f>[1]Grasmere!L2</f>
        <v>11</v>
      </c>
      <c r="M2" s="1079">
        <f>[1]Grasmere!M2</f>
        <v>12</v>
      </c>
      <c r="N2" s="1079">
        <f>[1]Grasmere!N2</f>
        <v>13</v>
      </c>
      <c r="O2" s="1079">
        <f>[1]Grasmere!O2</f>
        <v>14</v>
      </c>
      <c r="P2" s="1079">
        <f>[1]Grasmere!P2</f>
        <v>15</v>
      </c>
      <c r="Q2" s="1079">
        <f>[1]Grasmere!Q2</f>
        <v>16</v>
      </c>
      <c r="R2" s="1079">
        <f>[1]Grasmere!R2</f>
        <v>17</v>
      </c>
      <c r="S2" s="1079">
        <f>[1]Grasmere!S2</f>
        <v>18</v>
      </c>
      <c r="T2" s="1079">
        <f>[1]Grasmere!T2</f>
        <v>19</v>
      </c>
      <c r="U2" s="1079">
        <f>[1]Grasmere!U2</f>
        <v>20</v>
      </c>
      <c r="V2" s="1079">
        <f>[1]Grasmere!V2</f>
        <v>21</v>
      </c>
      <c r="W2" s="1079">
        <f>[1]Grasmere!W2</f>
        <v>22</v>
      </c>
      <c r="X2" s="1079">
        <f>[1]Grasmere!X2</f>
        <v>23</v>
      </c>
      <c r="Y2" s="1079">
        <f>[1]Grasmere!Y2</f>
        <v>24</v>
      </c>
      <c r="Z2" s="1079">
        <f>[1]Grasmere!Z2</f>
        <v>25</v>
      </c>
      <c r="AA2" s="1079">
        <f>[1]Grasmere!AA2</f>
        <v>26</v>
      </c>
      <c r="AB2" s="1079">
        <f>[1]Grasmere!AB2</f>
        <v>27</v>
      </c>
      <c r="AC2" s="1079">
        <f>[1]Grasmere!AC2</f>
        <v>28</v>
      </c>
      <c r="AD2" s="1079">
        <f>[1]Grasmere!AD2</f>
        <v>29</v>
      </c>
      <c r="AE2" s="1079">
        <f>[1]Grasmere!AE2</f>
        <v>30</v>
      </c>
      <c r="AF2" s="1079">
        <f>[1]Grasmere!AF2</f>
        <v>31</v>
      </c>
      <c r="AG2" s="1079">
        <f>[1]Grasmere!AG2</f>
        <v>32</v>
      </c>
      <c r="AH2" s="1079">
        <f>[1]Grasmere!AH2</f>
        <v>33</v>
      </c>
      <c r="AI2" s="1079">
        <f>[1]Grasmere!AI2</f>
        <v>34</v>
      </c>
      <c r="AJ2" s="1079">
        <f>[1]Grasmere!AJ2</f>
        <v>35</v>
      </c>
      <c r="AK2" s="1079">
        <f>[1]Grasmere!AK2</f>
        <v>36</v>
      </c>
      <c r="AL2" s="1079">
        <f>[1]Grasmere!AL2</f>
        <v>37</v>
      </c>
      <c r="AM2" s="1079">
        <f>[1]Grasmere!AM2</f>
        <v>38</v>
      </c>
      <c r="AN2" s="1079">
        <f>[1]Grasmere!AN2</f>
        <v>39</v>
      </c>
      <c r="AO2" s="1079">
        <v>40</v>
      </c>
      <c r="AP2" s="1079"/>
      <c r="AQ2" s="1079"/>
      <c r="AR2" s="1079"/>
      <c r="AS2" s="1079"/>
      <c r="AT2" s="1079"/>
      <c r="AU2" s="1057"/>
    </row>
    <row r="3" spans="1:54">
      <c r="B3" s="1079" t="s">
        <v>1773</v>
      </c>
      <c r="C3" s="1079" t="s">
        <v>1773</v>
      </c>
      <c r="D3" s="1079" t="s">
        <v>1773</v>
      </c>
      <c r="E3" s="1079" t="s">
        <v>1773</v>
      </c>
      <c r="F3" s="1079" t="s">
        <v>1773</v>
      </c>
      <c r="G3" s="1079" t="s">
        <v>1773</v>
      </c>
      <c r="H3" s="1079" t="s">
        <v>1773</v>
      </c>
      <c r="I3" s="1079" t="s">
        <v>1773</v>
      </c>
      <c r="J3" s="1079" t="s">
        <v>1773</v>
      </c>
      <c r="K3" s="1079" t="s">
        <v>1773</v>
      </c>
      <c r="L3" s="1079" t="s">
        <v>1773</v>
      </c>
      <c r="M3" s="1079" t="s">
        <v>1773</v>
      </c>
      <c r="N3" s="1079" t="s">
        <v>1773</v>
      </c>
      <c r="O3" s="1079" t="s">
        <v>1773</v>
      </c>
      <c r="P3" s="1079" t="s">
        <v>1773</v>
      </c>
      <c r="Q3" s="1079" t="s">
        <v>1773</v>
      </c>
      <c r="R3" s="1079" t="s">
        <v>1774</v>
      </c>
      <c r="S3" s="1079" t="s">
        <v>1775</v>
      </c>
      <c r="T3" s="1079" t="s">
        <v>1775</v>
      </c>
      <c r="U3" s="1079" t="s">
        <v>1775</v>
      </c>
      <c r="V3" s="1079" t="s">
        <v>1776</v>
      </c>
      <c r="W3" s="1079" t="s">
        <v>1776</v>
      </c>
      <c r="X3" s="1079" t="s">
        <v>1777</v>
      </c>
      <c r="Y3" s="1079" t="s">
        <v>1777</v>
      </c>
      <c r="Z3" s="1079" t="s">
        <v>108</v>
      </c>
      <c r="AA3" s="1079" t="s">
        <v>108</v>
      </c>
      <c r="AB3" s="1079" t="s">
        <v>108</v>
      </c>
      <c r="AC3" s="1079" t="s">
        <v>108</v>
      </c>
      <c r="AD3" s="1079" t="s">
        <v>1778</v>
      </c>
      <c r="AE3" s="1079" t="s">
        <v>1778</v>
      </c>
      <c r="AF3" s="1079" t="s">
        <v>1779</v>
      </c>
      <c r="AG3" s="1079" t="s">
        <v>1779</v>
      </c>
      <c r="AH3" s="1079" t="s">
        <v>1780</v>
      </c>
      <c r="AI3" s="1079" t="s">
        <v>1780</v>
      </c>
      <c r="AJ3" s="1079" t="s">
        <v>1781</v>
      </c>
      <c r="AK3" s="1079" t="s">
        <v>1781</v>
      </c>
      <c r="AL3" s="1079" t="s">
        <v>1781</v>
      </c>
      <c r="AM3" s="1079" t="s">
        <v>1781</v>
      </c>
      <c r="AN3" s="1079" t="s">
        <v>1781</v>
      </c>
      <c r="AO3" s="1079" t="s">
        <v>1781</v>
      </c>
      <c r="AP3" s="1079"/>
      <c r="AQ3" s="1079"/>
      <c r="AR3" s="1079"/>
      <c r="AS3" s="1079"/>
      <c r="AT3" s="1079"/>
      <c r="AU3" s="1057"/>
    </row>
    <row r="4" spans="1:54">
      <c r="A4" s="1066" t="s">
        <v>1782</v>
      </c>
      <c r="B4" s="1079">
        <f>[1]Grasmere!B4</f>
        <v>23</v>
      </c>
      <c r="C4" s="1079">
        <f>[1]Grasmere!C4</f>
        <v>24</v>
      </c>
      <c r="D4" s="1079">
        <f>[1]Grasmere!D4</f>
        <v>25</v>
      </c>
      <c r="E4" s="1079">
        <f>[1]Grasmere!E4</f>
        <v>26</v>
      </c>
      <c r="F4" s="1079">
        <f>[1]Grasmere!F4</f>
        <v>27</v>
      </c>
      <c r="G4" s="1079">
        <f>[1]Grasmere!G4</f>
        <v>28</v>
      </c>
      <c r="H4" s="1079">
        <f>[1]Grasmere!H4</f>
        <v>29</v>
      </c>
      <c r="I4" s="1079">
        <f>[1]Grasmere!I4</f>
        <v>30</v>
      </c>
      <c r="J4" s="1079">
        <f>[1]Grasmere!J4</f>
        <v>31</v>
      </c>
      <c r="K4" s="1079">
        <f>[1]Grasmere!K4</f>
        <v>32</v>
      </c>
      <c r="L4" s="1079">
        <f>[1]Grasmere!L4</f>
        <v>33</v>
      </c>
      <c r="M4" s="1079">
        <f>[1]Grasmere!M4</f>
        <v>34</v>
      </c>
      <c r="N4" s="1079">
        <f>[1]Grasmere!N4</f>
        <v>35</v>
      </c>
      <c r="O4" s="1079">
        <f>[1]Grasmere!O4</f>
        <v>36</v>
      </c>
      <c r="P4" s="1079">
        <f>[1]Grasmere!P4</f>
        <v>37</v>
      </c>
      <c r="Q4" s="1079">
        <f>[1]Grasmere!Q4</f>
        <v>38</v>
      </c>
      <c r="R4" s="1079">
        <f>[1]Grasmere!R4</f>
        <v>39</v>
      </c>
      <c r="S4" s="1067">
        <f>[1]Grasmere!S4</f>
        <v>40</v>
      </c>
      <c r="T4" s="1079">
        <f>[1]Grasmere!T4</f>
        <v>41</v>
      </c>
      <c r="U4" s="1079">
        <f>[1]Grasmere!U4</f>
        <v>42</v>
      </c>
      <c r="V4" s="1079">
        <f>[1]Grasmere!V4</f>
        <v>43</v>
      </c>
      <c r="W4" s="1079">
        <f>[1]Grasmere!W4</f>
        <v>44</v>
      </c>
      <c r="X4" s="1079">
        <f>[1]Grasmere!X4</f>
        <v>45</v>
      </c>
      <c r="Y4" s="1079">
        <f>[1]Grasmere!Y4</f>
        <v>46</v>
      </c>
      <c r="Z4" s="1079">
        <f>[1]Grasmere!Z4</f>
        <v>47</v>
      </c>
      <c r="AA4" s="1079">
        <f>[1]Grasmere!AA4</f>
        <v>48</v>
      </c>
      <c r="AB4" s="1079">
        <f>[1]Grasmere!AB4</f>
        <v>49</v>
      </c>
      <c r="AC4" s="1079">
        <f>[1]Grasmere!AC4</f>
        <v>50</v>
      </c>
      <c r="AD4" s="1079">
        <f>[1]Grasmere!AD4</f>
        <v>51</v>
      </c>
      <c r="AE4" s="1079">
        <f>[1]Grasmere!AE4</f>
        <v>52</v>
      </c>
      <c r="AF4" s="1079">
        <f>[1]Grasmere!AF4</f>
        <v>1</v>
      </c>
      <c r="AG4" s="1079">
        <f>[1]Grasmere!AG4</f>
        <v>2</v>
      </c>
      <c r="AH4" s="1079">
        <f>[1]Grasmere!AH4</f>
        <v>3</v>
      </c>
      <c r="AI4" s="1079">
        <f>[1]Grasmere!AI4</f>
        <v>4</v>
      </c>
      <c r="AJ4" s="1079">
        <f>[1]Grasmere!AJ4</f>
        <v>5</v>
      </c>
      <c r="AK4" s="1079">
        <f>[1]Grasmere!AK4</f>
        <v>6</v>
      </c>
      <c r="AL4" s="1079">
        <f>[1]Grasmere!AL4</f>
        <v>7</v>
      </c>
      <c r="AM4" s="1079">
        <f>[1]Grasmere!AM4</f>
        <v>8</v>
      </c>
      <c r="AN4" s="1079">
        <f>[1]Grasmere!AN4</f>
        <v>9</v>
      </c>
      <c r="AO4" s="1079">
        <v>10</v>
      </c>
      <c r="AP4" s="1079"/>
      <c r="AQ4" s="1079"/>
      <c r="AR4" s="1079"/>
      <c r="AS4" s="1079"/>
      <c r="AT4" s="1079"/>
      <c r="AU4" s="1068"/>
      <c r="AV4" s="1066"/>
      <c r="AW4" s="1066"/>
      <c r="AX4" s="1066"/>
    </row>
    <row r="5" spans="1:54">
      <c r="A5" s="1066" t="s">
        <v>1783</v>
      </c>
      <c r="B5" s="1079">
        <f>[1]Grasmere!B5</f>
        <v>-16</v>
      </c>
      <c r="C5" s="1079">
        <f>[1]Grasmere!C5</f>
        <v>-15</v>
      </c>
      <c r="D5" s="1079">
        <f>[1]Grasmere!D5</f>
        <v>-14</v>
      </c>
      <c r="E5" s="1079">
        <f>[1]Grasmere!E5</f>
        <v>-13</v>
      </c>
      <c r="F5" s="1079">
        <f>[1]Grasmere!F5</f>
        <v>-12</v>
      </c>
      <c r="G5" s="1079">
        <f>[1]Grasmere!G5</f>
        <v>-11</v>
      </c>
      <c r="H5" s="1079">
        <f>[1]Grasmere!H5</f>
        <v>-10</v>
      </c>
      <c r="I5" s="1079">
        <f>[1]Grasmere!I5</f>
        <v>-9</v>
      </c>
      <c r="J5" s="1079">
        <f>[1]Grasmere!J5</f>
        <v>-8</v>
      </c>
      <c r="K5" s="1079">
        <f>[1]Grasmere!K5</f>
        <v>-7</v>
      </c>
      <c r="L5" s="1079">
        <f>[1]Grasmere!L5</f>
        <v>-6</v>
      </c>
      <c r="M5" s="1079">
        <f>[1]Grasmere!M5</f>
        <v>-5</v>
      </c>
      <c r="N5" s="1079">
        <f>[1]Grasmere!N5</f>
        <v>-4</v>
      </c>
      <c r="O5" s="1079">
        <f>[1]Grasmere!O5</f>
        <v>-3</v>
      </c>
      <c r="P5" s="1079">
        <f>[1]Grasmere!P5</f>
        <v>-2</v>
      </c>
      <c r="Q5" s="1079">
        <f>[1]Grasmere!Q5</f>
        <v>-1</v>
      </c>
      <c r="R5" s="1079">
        <f>[1]Grasmere!R5</f>
        <v>0</v>
      </c>
      <c r="S5" s="1079">
        <f>[1]Grasmere!S5</f>
        <v>1</v>
      </c>
      <c r="T5" s="1079">
        <f>[1]Grasmere!T5</f>
        <v>2</v>
      </c>
      <c r="U5" s="1079">
        <f>[1]Grasmere!U5</f>
        <v>3</v>
      </c>
      <c r="V5" s="1079">
        <f>[1]Grasmere!V5</f>
        <v>4</v>
      </c>
      <c r="W5" s="1079">
        <f>[1]Grasmere!W5</f>
        <v>5</v>
      </c>
      <c r="X5" s="1079">
        <f>[1]Grasmere!X5</f>
        <v>6</v>
      </c>
      <c r="Y5" s="1079">
        <f>[1]Grasmere!Y5</f>
        <v>7</v>
      </c>
      <c r="Z5" s="1079">
        <f>[1]Grasmere!Z5</f>
        <v>8</v>
      </c>
      <c r="AA5" s="1079">
        <f>[1]Grasmere!AA5</f>
        <v>9</v>
      </c>
      <c r="AB5" s="1079">
        <f>[1]Grasmere!AB5</f>
        <v>10</v>
      </c>
      <c r="AC5" s="1079">
        <f>[1]Grasmere!AC5</f>
        <v>11</v>
      </c>
      <c r="AD5" s="1079">
        <f>[1]Grasmere!AD5</f>
        <v>12</v>
      </c>
      <c r="AE5" s="1079">
        <f>[1]Grasmere!AE5</f>
        <v>13</v>
      </c>
      <c r="AF5" s="1079">
        <f>[1]Grasmere!AF5</f>
        <v>14</v>
      </c>
      <c r="AG5" s="1079">
        <f>[1]Grasmere!AG5</f>
        <v>15</v>
      </c>
      <c r="AH5" s="1079">
        <f>[1]Grasmere!AH5</f>
        <v>16</v>
      </c>
      <c r="AI5" s="1079">
        <f>[1]Grasmere!AI5</f>
        <v>17</v>
      </c>
      <c r="AJ5" s="1079">
        <f>[1]Grasmere!AJ5</f>
        <v>18</v>
      </c>
      <c r="AK5" s="1079">
        <f>[1]Grasmere!AK5</f>
        <v>19</v>
      </c>
      <c r="AL5" s="1079">
        <f>[1]Grasmere!AL5</f>
        <v>20</v>
      </c>
      <c r="AM5" s="1079">
        <f>[1]Grasmere!AM5</f>
        <v>21</v>
      </c>
      <c r="AN5" s="1079">
        <f>[1]Grasmere!AN5</f>
        <v>22</v>
      </c>
      <c r="AO5" s="1079">
        <v>23</v>
      </c>
      <c r="AP5" s="1079" t="str">
        <f>[1]Grasmere!AP5</f>
        <v>Sold</v>
      </c>
      <c r="AQ5" s="1079" t="str">
        <f>[1]Grasmere!AQ5</f>
        <v>Sold</v>
      </c>
      <c r="AR5" s="1079" t="str">
        <f>[1]Grasmere!AR5</f>
        <v>Sold</v>
      </c>
      <c r="AS5" s="1079" t="str">
        <f>[1]Grasmere!AS5</f>
        <v>Sold</v>
      </c>
      <c r="AT5" s="1079" t="s">
        <v>1784</v>
      </c>
      <c r="AU5" s="1069" t="s">
        <v>71</v>
      </c>
    </row>
    <row r="6" spans="1:54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U6" s="1057"/>
    </row>
    <row r="7" spans="1:54" s="1100" customFormat="1">
      <c r="A7" s="1066" t="str">
        <f>+'Grasmere Pig Cost'!A7</f>
        <v>Opening Stock (Pigs)</v>
      </c>
      <c r="B7" s="1283"/>
      <c r="C7" s="1283"/>
      <c r="D7" s="1283"/>
      <c r="E7" s="1283"/>
      <c r="F7" s="1283"/>
      <c r="G7" s="1283"/>
      <c r="H7" s="1283"/>
      <c r="I7" s="1283"/>
      <c r="J7" s="1283"/>
      <c r="K7" s="1283"/>
      <c r="L7" s="1283"/>
      <c r="M7" s="1283"/>
      <c r="N7" s="1283"/>
      <c r="O7" s="1283"/>
      <c r="P7" s="1283"/>
      <c r="Q7" s="1283"/>
      <c r="R7" s="1283"/>
      <c r="S7" s="1283"/>
      <c r="T7" s="1283"/>
      <c r="U7" s="1283"/>
      <c r="V7" s="1283"/>
      <c r="W7" s="1283">
        <f>'[2]Lionhead Pig Cost'!S29</f>
        <v>388</v>
      </c>
      <c r="X7" s="1283">
        <f>'[2]Lionhead Pig Cost'!T29</f>
        <v>701</v>
      </c>
      <c r="Y7" s="1283">
        <f>'[2]Lionhead Pig Cost'!U29</f>
        <v>651</v>
      </c>
      <c r="Z7" s="1283">
        <f>'[2]Lionhead Pig Cost'!V29</f>
        <v>647</v>
      </c>
      <c r="AA7" s="1283">
        <f>'[2]Lionhead Pig Cost'!W29</f>
        <v>648</v>
      </c>
      <c r="AB7" s="1283">
        <f>'[2]Lionhead Pig Cost'!X29</f>
        <v>648</v>
      </c>
      <c r="AC7" s="1283">
        <f>'[2]Lionhead Pig Cost'!Y29</f>
        <v>647</v>
      </c>
      <c r="AD7" s="1283">
        <f>'[2]Lionhead Pig Cost'!Z29</f>
        <v>644</v>
      </c>
      <c r="AE7" s="1283">
        <f>'[2]Lionhead Pig Cost'!AA29</f>
        <v>643</v>
      </c>
      <c r="AF7" s="1283">
        <f>'[2]Lionhead Pig Cost'!AB29</f>
        <v>619</v>
      </c>
      <c r="AG7" s="1283">
        <f>'[2]Lionhead Pig Cost'!AC29</f>
        <v>578</v>
      </c>
      <c r="AH7" s="1283">
        <f>'[2]Lionhead Pig Cost'!AD29</f>
        <v>588</v>
      </c>
      <c r="AI7" s="1283">
        <f>'[2]Lionhead Pig Cost'!AE29</f>
        <v>597</v>
      </c>
      <c r="AJ7" s="1283">
        <f>'[2]Lionhead Pig Cost'!AF29</f>
        <v>640</v>
      </c>
      <c r="AK7" s="1283">
        <f>'[2]Lionhead Pig Cost'!AG29</f>
        <v>642</v>
      </c>
      <c r="AL7" s="1283">
        <f>'[2]Lionhead Pig Cost'!AH29</f>
        <v>639</v>
      </c>
      <c r="AM7" s="1283">
        <f>'[2]Lionhead Pig Cost'!AI29</f>
        <v>618</v>
      </c>
      <c r="AN7" s="1283">
        <f>'[2]Lionhead Pig Cost'!AJ29</f>
        <v>577</v>
      </c>
      <c r="AO7" s="1283">
        <f>'[2]Lionhead Pig Cost'!AK29</f>
        <v>624</v>
      </c>
      <c r="AP7" s="1283">
        <f>'[2]Lionhead Pig Cost'!AL29</f>
        <v>625</v>
      </c>
      <c r="AQ7" s="1283">
        <f>'[2]Lionhead Pig Cost'!AM29</f>
        <v>623</v>
      </c>
      <c r="AR7" s="1283">
        <f>'[2]Lionhead Pig Cost'!AN29</f>
        <v>578</v>
      </c>
      <c r="AS7" s="1283">
        <f>'[2]Lionhead Pig Cost'!AO29</f>
        <v>7</v>
      </c>
      <c r="AT7" s="1283">
        <f>'[2]Lionhead Pig Cost'!AP29</f>
        <v>1</v>
      </c>
      <c r="AU7" s="1283">
        <f>SUM(W7:AT7)</f>
        <v>13573</v>
      </c>
      <c r="AV7" s="1283">
        <f>'[2]Lionhead Pig Cost'!AU29</f>
        <v>13573</v>
      </c>
      <c r="AW7" s="1170">
        <f>+AU7-AV7</f>
        <v>0</v>
      </c>
      <c r="AX7" s="1073"/>
      <c r="BB7" s="1101"/>
    </row>
    <row r="8" spans="1:54" s="1100" customFormat="1">
      <c r="A8" s="1066" t="str">
        <f>+'Grasmere Pig Cost'!A8</f>
        <v>Birth</v>
      </c>
      <c r="B8" s="1283"/>
      <c r="C8" s="1283"/>
      <c r="D8" s="1283"/>
      <c r="E8" s="1283"/>
      <c r="F8" s="1283"/>
      <c r="G8" s="1283"/>
      <c r="H8" s="1283"/>
      <c r="I8" s="1283"/>
      <c r="J8" s="1283"/>
      <c r="K8" s="1283"/>
      <c r="L8" s="1283"/>
      <c r="M8" s="1283"/>
      <c r="N8" s="1283"/>
      <c r="O8" s="1283"/>
      <c r="P8" s="1283"/>
      <c r="Q8" s="1283"/>
      <c r="R8" s="1283"/>
      <c r="S8" s="1283">
        <v>277</v>
      </c>
      <c r="T8" s="1283">
        <v>811</v>
      </c>
      <c r="U8" s="1283">
        <v>742</v>
      </c>
      <c r="V8" s="1283">
        <v>755</v>
      </c>
      <c r="W8" s="1283">
        <v>343</v>
      </c>
      <c r="X8" s="1283">
        <v>0</v>
      </c>
      <c r="Y8" s="1283"/>
      <c r="Z8" s="1283"/>
      <c r="AA8" s="1283"/>
      <c r="AB8" s="1283"/>
      <c r="AC8" s="1283"/>
      <c r="AD8" s="1283"/>
      <c r="AE8" s="1283"/>
      <c r="AF8" s="1283"/>
      <c r="AG8" s="1283"/>
      <c r="AH8" s="1283"/>
      <c r="AI8" s="1283"/>
      <c r="AJ8" s="1283"/>
      <c r="AK8" s="1283"/>
      <c r="AL8" s="1283"/>
      <c r="AM8" s="1283"/>
      <c r="AN8" s="1283"/>
      <c r="AO8" s="1283"/>
      <c r="AP8" s="1283"/>
      <c r="AQ8" s="1283"/>
      <c r="AR8" s="1283"/>
      <c r="AS8" s="1283"/>
      <c r="AT8" s="1283"/>
      <c r="AU8" s="1283">
        <f t="shared" ref="AU8:AU13" si="0">SUM(S8:AT8)</f>
        <v>2928</v>
      </c>
      <c r="AV8" s="1121">
        <f>SUM('Summary Total Pigs'!J50)</f>
        <v>2928</v>
      </c>
      <c r="AW8" s="1170">
        <f>+AU8-AV8</f>
        <v>0</v>
      </c>
      <c r="AX8" s="1073"/>
      <c r="BB8" s="1101"/>
    </row>
    <row r="9" spans="1:54" s="1100" customFormat="1">
      <c r="A9" s="1066" t="str">
        <f>+'Grasmere Pig Cost'!A9</f>
        <v>Transfer In</v>
      </c>
      <c r="B9" s="1283"/>
      <c r="C9" s="1283"/>
      <c r="D9" s="1283"/>
      <c r="E9" s="1283"/>
      <c r="F9" s="1283"/>
      <c r="G9" s="1283"/>
      <c r="H9" s="1283"/>
      <c r="I9" s="1283"/>
      <c r="J9" s="1283"/>
      <c r="K9" s="1283"/>
      <c r="L9" s="1283"/>
      <c r="M9" s="1283"/>
      <c r="N9" s="1283"/>
      <c r="O9" s="1283"/>
      <c r="P9" s="1283"/>
      <c r="Q9" s="1283"/>
      <c r="R9" s="1283"/>
      <c r="S9" s="1661">
        <v>7</v>
      </c>
      <c r="T9" s="1283"/>
      <c r="U9" s="1283">
        <v>1</v>
      </c>
      <c r="V9" s="1739">
        <v>5</v>
      </c>
      <c r="W9" s="1283">
        <v>6</v>
      </c>
      <c r="X9" s="1283">
        <v>22</v>
      </c>
      <c r="Y9" s="1283">
        <v>22</v>
      </c>
      <c r="Z9" s="1283">
        <v>4</v>
      </c>
      <c r="AA9" s="1283"/>
      <c r="AB9" s="1283"/>
      <c r="AC9" s="1283"/>
      <c r="AD9" s="1283"/>
      <c r="AE9" s="1283"/>
      <c r="AF9" s="1283"/>
      <c r="AG9" s="1283"/>
      <c r="AH9" s="1283"/>
      <c r="AI9" s="1283"/>
      <c r="AJ9" s="1283"/>
      <c r="AK9" s="1283"/>
      <c r="AL9" s="1283"/>
      <c r="AM9" s="1283"/>
      <c r="AN9" s="1283"/>
      <c r="AO9" s="1283"/>
      <c r="AP9" s="1283"/>
      <c r="AQ9" s="1283"/>
      <c r="AR9" s="1283"/>
      <c r="AS9" s="1283"/>
      <c r="AT9" s="1283"/>
      <c r="AU9" s="1283">
        <f t="shared" si="0"/>
        <v>67</v>
      </c>
      <c r="AV9" s="1121">
        <f>SUM('Summary Total Pigs'!D50:D52)+'Summary Total Pigs'!D53-AV21-AV20</f>
        <v>5095</v>
      </c>
      <c r="AW9" s="818"/>
      <c r="AX9" s="1073"/>
      <c r="BB9" s="1101"/>
    </row>
    <row r="10" spans="1:54" s="1100" customFormat="1">
      <c r="A10" s="1066" t="str">
        <f>+'Grasmere Pig Cost'!A10</f>
        <v>Transfer (Out)</v>
      </c>
      <c r="B10" s="1283"/>
      <c r="C10" s="1283"/>
      <c r="D10" s="1283"/>
      <c r="E10" s="1283"/>
      <c r="F10" s="1283"/>
      <c r="G10" s="1283"/>
      <c r="H10" s="1283"/>
      <c r="I10" s="1283"/>
      <c r="J10" s="1283"/>
      <c r="K10" s="1283"/>
      <c r="L10" s="1283"/>
      <c r="M10" s="1283"/>
      <c r="N10" s="1283"/>
      <c r="O10" s="1283"/>
      <c r="P10" s="1283"/>
      <c r="Q10" s="1283"/>
      <c r="R10" s="1283"/>
      <c r="S10" s="1283"/>
      <c r="T10" s="1283">
        <f>-1-7</f>
        <v>-8</v>
      </c>
      <c r="U10" s="1283">
        <v>-5</v>
      </c>
      <c r="V10" s="1283">
        <v>-6</v>
      </c>
      <c r="W10" s="1283">
        <v>-22</v>
      </c>
      <c r="X10" s="1283">
        <v>-22</v>
      </c>
      <c r="Y10" s="1283">
        <v>-4</v>
      </c>
      <c r="Z10" s="1283"/>
      <c r="AA10" s="1283"/>
      <c r="AB10" s="1283"/>
      <c r="AC10" s="1283"/>
      <c r="AD10" s="1283"/>
      <c r="AE10" s="1283"/>
      <c r="AF10" s="1283"/>
      <c r="AG10" s="1283"/>
      <c r="AH10" s="1283"/>
      <c r="AI10" s="1283"/>
      <c r="AJ10" s="1283"/>
      <c r="AK10" s="1283"/>
      <c r="AL10" s="1283"/>
      <c r="AM10" s="1283"/>
      <c r="AN10" s="1283"/>
      <c r="AO10" s="1283"/>
      <c r="AP10" s="1283"/>
      <c r="AQ10" s="1283"/>
      <c r="AR10" s="1283"/>
      <c r="AS10" s="1283"/>
      <c r="AT10" s="1283"/>
      <c r="AU10" s="1283">
        <f t="shared" si="0"/>
        <v>-67</v>
      </c>
      <c r="AV10" s="1121">
        <f>SUM('Summary Total Pigs'!N50:N52)</f>
        <v>-5095</v>
      </c>
      <c r="AW10" s="818">
        <f>SUM('Summary Total Pigs'!N50:N52)-AV10</f>
        <v>0</v>
      </c>
      <c r="AX10" s="1073"/>
      <c r="BB10" s="1101"/>
    </row>
    <row r="11" spans="1:54" s="1100" customFormat="1">
      <c r="A11" s="1066" t="str">
        <f>+'Grasmere Pig Cost'!A11</f>
        <v>Total before Mortality</v>
      </c>
      <c r="B11" s="1282">
        <f t="shared" ref="B11:R11" si="1">SUM(B7:B8)</f>
        <v>0</v>
      </c>
      <c r="C11" s="1282">
        <f t="shared" si="1"/>
        <v>0</v>
      </c>
      <c r="D11" s="1282">
        <f t="shared" si="1"/>
        <v>0</v>
      </c>
      <c r="E11" s="1282">
        <f t="shared" si="1"/>
        <v>0</v>
      </c>
      <c r="F11" s="1282">
        <f t="shared" si="1"/>
        <v>0</v>
      </c>
      <c r="G11" s="1282">
        <f t="shared" si="1"/>
        <v>0</v>
      </c>
      <c r="H11" s="1282">
        <f t="shared" si="1"/>
        <v>0</v>
      </c>
      <c r="I11" s="1282">
        <f t="shared" si="1"/>
        <v>0</v>
      </c>
      <c r="J11" s="1282">
        <f t="shared" si="1"/>
        <v>0</v>
      </c>
      <c r="K11" s="1282">
        <f t="shared" si="1"/>
        <v>0</v>
      </c>
      <c r="L11" s="1282">
        <f t="shared" si="1"/>
        <v>0</v>
      </c>
      <c r="M11" s="1282">
        <f t="shared" si="1"/>
        <v>0</v>
      </c>
      <c r="N11" s="1282">
        <f t="shared" si="1"/>
        <v>0</v>
      </c>
      <c r="O11" s="1282">
        <f t="shared" si="1"/>
        <v>0</v>
      </c>
      <c r="P11" s="1282">
        <f t="shared" si="1"/>
        <v>0</v>
      </c>
      <c r="Q11" s="1282">
        <f t="shared" si="1"/>
        <v>0</v>
      </c>
      <c r="R11" s="1282">
        <f t="shared" si="1"/>
        <v>0</v>
      </c>
      <c r="S11" s="1282">
        <f>SUM(S7:S10)</f>
        <v>284</v>
      </c>
      <c r="T11" s="1282">
        <f t="shared" ref="T11:AT11" si="2">SUM(T7:T10)</f>
        <v>803</v>
      </c>
      <c r="U11" s="1282">
        <f t="shared" si="2"/>
        <v>738</v>
      </c>
      <c r="V11" s="1282">
        <f t="shared" si="2"/>
        <v>754</v>
      </c>
      <c r="W11" s="1282">
        <f t="shared" si="2"/>
        <v>715</v>
      </c>
      <c r="X11" s="1282">
        <f t="shared" si="2"/>
        <v>701</v>
      </c>
      <c r="Y11" s="1282">
        <f t="shared" si="2"/>
        <v>669</v>
      </c>
      <c r="Z11" s="1282">
        <f t="shared" si="2"/>
        <v>651</v>
      </c>
      <c r="AA11" s="1282">
        <f t="shared" si="2"/>
        <v>648</v>
      </c>
      <c r="AB11" s="1282">
        <f t="shared" si="2"/>
        <v>648</v>
      </c>
      <c r="AC11" s="1282">
        <f t="shared" si="2"/>
        <v>647</v>
      </c>
      <c r="AD11" s="1282">
        <f t="shared" si="2"/>
        <v>644</v>
      </c>
      <c r="AE11" s="1282">
        <f t="shared" si="2"/>
        <v>643</v>
      </c>
      <c r="AF11" s="1282">
        <f t="shared" si="2"/>
        <v>619</v>
      </c>
      <c r="AG11" s="1282">
        <f t="shared" si="2"/>
        <v>578</v>
      </c>
      <c r="AH11" s="1282">
        <f t="shared" si="2"/>
        <v>588</v>
      </c>
      <c r="AI11" s="1282">
        <f t="shared" si="2"/>
        <v>597</v>
      </c>
      <c r="AJ11" s="1282">
        <f t="shared" si="2"/>
        <v>640</v>
      </c>
      <c r="AK11" s="1282">
        <f t="shared" si="2"/>
        <v>642</v>
      </c>
      <c r="AL11" s="1282">
        <f t="shared" si="2"/>
        <v>639</v>
      </c>
      <c r="AM11" s="1282">
        <f t="shared" si="2"/>
        <v>618</v>
      </c>
      <c r="AN11" s="1282">
        <f t="shared" si="2"/>
        <v>577</v>
      </c>
      <c r="AO11" s="1282">
        <f t="shared" si="2"/>
        <v>624</v>
      </c>
      <c r="AP11" s="1282">
        <f t="shared" si="2"/>
        <v>625</v>
      </c>
      <c r="AQ11" s="1282">
        <f t="shared" si="2"/>
        <v>623</v>
      </c>
      <c r="AR11" s="1282">
        <f t="shared" si="2"/>
        <v>578</v>
      </c>
      <c r="AS11" s="1282">
        <f t="shared" si="2"/>
        <v>7</v>
      </c>
      <c r="AT11" s="1282">
        <f t="shared" si="2"/>
        <v>1</v>
      </c>
      <c r="AU11" s="1282">
        <f t="shared" si="0"/>
        <v>16501</v>
      </c>
      <c r="AV11" s="1282">
        <f>SUM(AV7:AV10)</f>
        <v>16501</v>
      </c>
      <c r="AW11" s="818">
        <f>AU11-AV11</f>
        <v>0</v>
      </c>
      <c r="AX11" s="1066"/>
      <c r="AY11" s="1084"/>
      <c r="BB11" s="1101"/>
    </row>
    <row r="12" spans="1:54" s="1100" customFormat="1" ht="15">
      <c r="A12" s="1100" t="s">
        <v>1828</v>
      </c>
      <c r="B12" s="1283"/>
      <c r="C12" s="1283"/>
      <c r="D12" s="1283"/>
      <c r="E12" s="1283"/>
      <c r="F12" s="1283"/>
      <c r="G12" s="1283"/>
      <c r="H12" s="1283"/>
      <c r="I12" s="1283"/>
      <c r="J12" s="1283"/>
      <c r="K12" s="1283"/>
      <c r="L12" s="1283"/>
      <c r="M12" s="1283"/>
      <c r="N12" s="1283"/>
      <c r="O12" s="1283"/>
      <c r="P12" s="1283"/>
      <c r="Q12" s="1283"/>
      <c r="R12" s="1283"/>
      <c r="S12" s="1283"/>
      <c r="T12" s="1283"/>
      <c r="U12" s="1283"/>
      <c r="V12" s="1283"/>
      <c r="W12" s="1283"/>
      <c r="X12" s="1283"/>
      <c r="Y12" s="1283"/>
      <c r="Z12" s="1283"/>
      <c r="AA12" s="1283"/>
      <c r="AB12" s="1283"/>
      <c r="AC12" s="1283"/>
      <c r="AD12" s="1283"/>
      <c r="AE12" s="1283"/>
      <c r="AF12" s="1283"/>
      <c r="AG12" s="1283"/>
      <c r="AH12" s="1283"/>
      <c r="AI12" s="1283"/>
      <c r="AJ12" s="1283"/>
      <c r="AK12" s="807"/>
      <c r="AL12" s="807"/>
      <c r="AM12" s="807"/>
      <c r="AN12" s="1283"/>
      <c r="AO12" s="1283"/>
      <c r="AP12" s="1283"/>
      <c r="AQ12" s="1283"/>
      <c r="AR12" s="1283"/>
      <c r="AS12" s="1283"/>
      <c r="AT12" s="1283"/>
      <c r="AU12" s="1283">
        <f t="shared" si="0"/>
        <v>0</v>
      </c>
      <c r="AV12" s="1283">
        <f>SUM('Summary Total Pigs'!E50:E52,'Summary Total Pigs'!O50:O52)</f>
        <v>0</v>
      </c>
      <c r="AW12" s="1170">
        <f>AU12-AV12</f>
        <v>0</v>
      </c>
      <c r="AY12" s="1603"/>
      <c r="BB12" s="1101"/>
    </row>
    <row r="13" spans="1:54" s="1100" customFormat="1" ht="15">
      <c r="A13" s="1100" t="str">
        <f>+'Grasmere Pig Cost'!A13</f>
        <v>Transfers Lionshead Ext.</v>
      </c>
      <c r="B13" s="1283"/>
      <c r="C13" s="1283"/>
      <c r="D13" s="1283"/>
      <c r="E13" s="1283"/>
      <c r="F13" s="1283"/>
      <c r="G13" s="1283"/>
      <c r="H13" s="1283"/>
      <c r="I13" s="1283"/>
      <c r="J13" s="1283"/>
      <c r="K13" s="1283"/>
      <c r="L13" s="1283"/>
      <c r="M13" s="1283"/>
      <c r="N13" s="1283"/>
      <c r="O13" s="1283"/>
      <c r="P13" s="1283"/>
      <c r="Q13" s="1283"/>
      <c r="R13" s="1283"/>
      <c r="S13" s="1283"/>
      <c r="T13" s="1283"/>
      <c r="U13" s="1283"/>
      <c r="V13" s="1283"/>
      <c r="W13" s="1283">
        <v>-24</v>
      </c>
      <c r="X13" s="1283">
        <v>-33</v>
      </c>
      <c r="Y13" s="807">
        <v>-27</v>
      </c>
      <c r="Z13" s="1283"/>
      <c r="AA13" s="1283"/>
      <c r="AB13" s="1283"/>
      <c r="AC13" s="1283">
        <v>-6</v>
      </c>
      <c r="AD13" s="1283"/>
      <c r="AE13" s="1283">
        <v>-30</v>
      </c>
      <c r="AF13" s="1283"/>
      <c r="AG13" s="1283"/>
      <c r="AH13" s="1283"/>
      <c r="AI13" s="1283"/>
      <c r="AJ13" s="1283"/>
      <c r="AK13" s="1283"/>
      <c r="AL13" s="1283"/>
      <c r="AM13" s="1283"/>
      <c r="AN13" s="1283"/>
      <c r="AO13" s="1283"/>
      <c r="AP13" s="1283"/>
      <c r="AQ13" s="1283"/>
      <c r="AR13" s="1283"/>
      <c r="AS13" s="1283"/>
      <c r="AT13" s="1283"/>
      <c r="AU13" s="1283">
        <f t="shared" si="0"/>
        <v>-120</v>
      </c>
      <c r="AV13" s="1283">
        <f>SUM('Summary Total Pigs'!F50:F52,'Summary Total Pigs'!P50:P52)</f>
        <v>-120</v>
      </c>
      <c r="AW13" s="1170">
        <f>AU13-AV13</f>
        <v>0</v>
      </c>
      <c r="BB13" s="1101"/>
    </row>
    <row r="14" spans="1:54" s="1100" customFormat="1" ht="15">
      <c r="A14" s="1100" t="str">
        <f>+'Grasmere Pig Cost'!A14</f>
        <v>Transfers  Richlands</v>
      </c>
      <c r="B14" s="1283"/>
      <c r="C14" s="1283"/>
      <c r="D14" s="1283"/>
      <c r="E14" s="1283"/>
      <c r="F14" s="1283"/>
      <c r="G14" s="1283"/>
      <c r="H14" s="1283"/>
      <c r="I14" s="1283"/>
      <c r="J14" s="1283"/>
      <c r="K14" s="1283"/>
      <c r="L14" s="1283"/>
      <c r="M14" s="1283"/>
      <c r="N14" s="1283"/>
      <c r="O14" s="1283"/>
      <c r="P14" s="1283"/>
      <c r="Q14" s="1283"/>
      <c r="R14" s="1283"/>
      <c r="S14" s="1283"/>
      <c r="T14" s="1283"/>
      <c r="U14" s="1283"/>
      <c r="V14" s="1283"/>
      <c r="W14" s="1283"/>
      <c r="X14" s="807"/>
      <c r="Y14" s="1283"/>
      <c r="Z14" s="1283"/>
      <c r="AA14" s="1283"/>
      <c r="AB14" s="1283"/>
      <c r="AC14" s="1283"/>
      <c r="AD14" s="1283"/>
      <c r="AE14" s="1283"/>
      <c r="AF14" s="1283"/>
      <c r="AG14" s="1283"/>
      <c r="AH14" s="1283"/>
      <c r="AI14" s="1283"/>
      <c r="AJ14" s="1283"/>
      <c r="AK14" s="1283"/>
      <c r="AL14" s="1283"/>
      <c r="AM14" s="1283"/>
      <c r="AN14" s="1283"/>
      <c r="AO14" s="1283"/>
      <c r="AP14" s="1283"/>
      <c r="AQ14" s="1283"/>
      <c r="AR14" s="1283"/>
      <c r="AS14" s="1283"/>
      <c r="AT14" s="1283"/>
      <c r="AU14" s="1283">
        <f t="shared" ref="AU14:AU27" si="3">SUM(S14:AT14)</f>
        <v>0</v>
      </c>
      <c r="AV14" s="1283">
        <f>SUM('Summary Total Pigs'!G50:G52,'Summary Total Pigs'!Q50:Q52)</f>
        <v>0</v>
      </c>
      <c r="AW14" s="1170">
        <f>AU14-AV14</f>
        <v>0</v>
      </c>
      <c r="BB14" s="1101"/>
    </row>
    <row r="15" spans="1:54" s="1100" customFormat="1" ht="15">
      <c r="A15" s="1100" t="str">
        <f>+'Grasmere Pig Cost'!A15</f>
        <v>Transfers Learig</v>
      </c>
      <c r="B15" s="1283"/>
      <c r="C15" s="1283"/>
      <c r="D15" s="1283"/>
      <c r="E15" s="1283"/>
      <c r="F15" s="1283"/>
      <c r="G15" s="1283"/>
      <c r="H15" s="1283"/>
      <c r="I15" s="1283"/>
      <c r="J15" s="1283"/>
      <c r="K15" s="1283"/>
      <c r="L15" s="1283"/>
      <c r="M15" s="1283"/>
      <c r="N15" s="1283"/>
      <c r="O15" s="1283"/>
      <c r="P15" s="1283"/>
      <c r="Q15" s="1283"/>
      <c r="R15" s="1283"/>
      <c r="S15" s="1283"/>
      <c r="T15" s="1283"/>
      <c r="U15" s="1283"/>
      <c r="V15" s="1283"/>
      <c r="W15" s="1283"/>
      <c r="X15" s="1283"/>
      <c r="Y15" s="1283"/>
      <c r="Z15" s="1283"/>
      <c r="AA15" s="1283"/>
      <c r="AB15" s="1283"/>
      <c r="AC15" s="1283"/>
      <c r="AD15" s="1283"/>
      <c r="AE15" s="1283"/>
      <c r="AF15" s="1283"/>
      <c r="AG15" s="1283"/>
      <c r="AH15" s="1283"/>
      <c r="AI15" s="1283"/>
      <c r="AJ15" s="1283"/>
      <c r="AK15" s="1283"/>
      <c r="AL15" s="1283"/>
      <c r="AM15" s="1283"/>
      <c r="AN15" s="1283"/>
      <c r="AO15" s="1283"/>
      <c r="AP15" s="1283"/>
      <c r="AQ15" s="1283"/>
      <c r="AR15" s="1283"/>
      <c r="AS15" s="1283"/>
      <c r="AT15" s="1283"/>
      <c r="AU15" s="1283">
        <f t="shared" si="3"/>
        <v>0</v>
      </c>
      <c r="AV15" s="1283">
        <f>SUM('Summary Total Pigs'!H50:H52,'Summary Total Pigs'!R50:R52)</f>
        <v>0</v>
      </c>
      <c r="AW15" s="1170">
        <f t="shared" ref="AW15:AW27" si="4">AU15-AV15</f>
        <v>0</v>
      </c>
      <c r="BB15" s="1101"/>
    </row>
    <row r="16" spans="1:54" s="1100" customFormat="1" ht="15">
      <c r="A16" s="1100" t="str">
        <f>+'Grasmere Pig Cost'!A16</f>
        <v>Transfers Villa</v>
      </c>
      <c r="B16" s="1283"/>
      <c r="C16" s="1283"/>
      <c r="D16" s="1283"/>
      <c r="E16" s="1283"/>
      <c r="F16" s="1283"/>
      <c r="G16" s="1283"/>
      <c r="H16" s="1283"/>
      <c r="I16" s="1283"/>
      <c r="J16" s="1283"/>
      <c r="K16" s="1283"/>
      <c r="L16" s="1283"/>
      <c r="M16" s="1283"/>
      <c r="N16" s="1283"/>
      <c r="O16" s="1283"/>
      <c r="P16" s="1283"/>
      <c r="Q16" s="1283"/>
      <c r="R16" s="1283"/>
      <c r="S16" s="1283"/>
      <c r="T16" s="1283"/>
      <c r="U16" s="1283"/>
      <c r="V16" s="1283"/>
      <c r="W16" s="1283"/>
      <c r="X16" s="1283"/>
      <c r="Y16" s="1283"/>
      <c r="Z16" s="1283"/>
      <c r="AA16" s="1283"/>
      <c r="AB16" s="1283"/>
      <c r="AC16" s="1283"/>
      <c r="AD16" s="1283"/>
      <c r="AE16" s="1283"/>
      <c r="AF16" s="1283"/>
      <c r="AG16" s="1283"/>
      <c r="AH16" s="1283"/>
      <c r="AI16" s="1283"/>
      <c r="AJ16" s="1283"/>
      <c r="AK16" s="1283"/>
      <c r="AL16" s="1283"/>
      <c r="AM16" s="1283"/>
      <c r="AN16" s="1283"/>
      <c r="AO16" s="1283"/>
      <c r="AP16" s="1283"/>
      <c r="AQ16" s="1283"/>
      <c r="AR16" s="1283"/>
      <c r="AS16" s="1283"/>
      <c r="AT16" s="1283"/>
      <c r="AU16" s="1283">
        <f t="shared" si="3"/>
        <v>0</v>
      </c>
      <c r="AV16" s="1283">
        <f>SUM('Summary Total Pigs'!I50:I52,'Summary Total Pigs'!S50:S52)</f>
        <v>0</v>
      </c>
      <c r="AW16" s="1170">
        <f t="shared" si="4"/>
        <v>0</v>
      </c>
      <c r="BB16" s="1101"/>
    </row>
    <row r="17" spans="1:54" s="1100" customFormat="1" ht="15">
      <c r="A17" s="1100" t="str">
        <f>+'Grasmere Pig Cost'!A17</f>
        <v>Transfers Porta</v>
      </c>
      <c r="B17" s="1283"/>
      <c r="C17" s="1283"/>
      <c r="D17" s="1283"/>
      <c r="E17" s="1283"/>
      <c r="F17" s="1283"/>
      <c r="G17" s="1283"/>
      <c r="H17" s="1283"/>
      <c r="I17" s="1283"/>
      <c r="J17" s="1283"/>
      <c r="K17" s="1283"/>
      <c r="L17" s="1283"/>
      <c r="M17" s="1283"/>
      <c r="N17" s="1283"/>
      <c r="O17" s="1283"/>
      <c r="P17" s="1283"/>
      <c r="Q17" s="1283"/>
      <c r="R17" s="1283"/>
      <c r="S17" s="1283"/>
      <c r="T17" s="1283"/>
      <c r="U17" s="1283"/>
      <c r="V17" s="1283"/>
      <c r="W17" s="1283"/>
      <c r="X17" s="1283"/>
      <c r="Y17" s="1283"/>
      <c r="Z17" s="1283"/>
      <c r="AA17" s="1283"/>
      <c r="AB17" s="1283"/>
      <c r="AC17" s="1283"/>
      <c r="AD17" s="1283"/>
      <c r="AE17" s="1283"/>
      <c r="AF17" s="1283"/>
      <c r="AG17" s="1283"/>
      <c r="AH17" s="1283"/>
      <c r="AI17" s="1283"/>
      <c r="AJ17" s="1283"/>
      <c r="AK17" s="1283"/>
      <c r="AL17" s="1283"/>
      <c r="AM17" s="1283"/>
      <c r="AN17" s="1283"/>
      <c r="AO17" s="1283"/>
      <c r="AP17" s="1283"/>
      <c r="AQ17" s="1283"/>
      <c r="AR17" s="1283"/>
      <c r="AS17" s="1283"/>
      <c r="AT17" s="1283"/>
      <c r="AU17" s="1283"/>
      <c r="AV17" s="1283"/>
      <c r="AW17" s="1170"/>
      <c r="BB17" s="1101"/>
    </row>
    <row r="18" spans="1:54" s="1100" customFormat="1" ht="15">
      <c r="A18" s="1100" t="str">
        <f>+'Grasmere Pig Cost'!A18</f>
        <v>Transfers Multiplier</v>
      </c>
      <c r="B18" s="1283"/>
      <c r="C18" s="1283"/>
      <c r="D18" s="1283"/>
      <c r="E18" s="1283"/>
      <c r="F18" s="1283"/>
      <c r="G18" s="1283"/>
      <c r="H18" s="1283"/>
      <c r="I18" s="1283"/>
      <c r="J18" s="1283"/>
      <c r="K18" s="1283"/>
      <c r="L18" s="1283"/>
      <c r="M18" s="1283"/>
      <c r="N18" s="1283"/>
      <c r="O18" s="1283"/>
      <c r="P18" s="1283"/>
      <c r="Q18" s="1283"/>
      <c r="R18" s="1283"/>
      <c r="S18" s="1283"/>
      <c r="T18" s="1283"/>
      <c r="U18" s="1283"/>
      <c r="V18" s="1283"/>
      <c r="W18" s="1283"/>
      <c r="X18" s="1283"/>
      <c r="Y18" s="1283"/>
      <c r="Z18" s="1283"/>
      <c r="AA18" s="1283"/>
      <c r="AB18" s="1283"/>
      <c r="AC18" s="1283"/>
      <c r="AD18" s="1283"/>
      <c r="AE18" s="1283"/>
      <c r="AF18" s="1283"/>
      <c r="AG18" s="1283"/>
      <c r="AH18" s="1283"/>
      <c r="AI18" s="1283"/>
      <c r="AJ18" s="1283"/>
      <c r="AK18" s="1283"/>
      <c r="AL18" s="1283"/>
      <c r="AM18" s="1283"/>
      <c r="AN18" s="1283"/>
      <c r="AO18" s="1283"/>
      <c r="AP18" s="1283"/>
      <c r="AQ18" s="1283"/>
      <c r="AR18" s="1283"/>
      <c r="AS18" s="1283"/>
      <c r="AT18" s="1283"/>
      <c r="AU18" s="1283"/>
      <c r="AV18" s="1283"/>
      <c r="AW18" s="1170"/>
      <c r="BB18" s="1101"/>
    </row>
    <row r="19" spans="1:54" s="1100" customFormat="1" ht="15">
      <c r="A19" s="1100">
        <f>+'Grasmere Pig Cost'!A19</f>
        <v>0</v>
      </c>
      <c r="B19" s="1283"/>
      <c r="C19" s="1283"/>
      <c r="D19" s="1283"/>
      <c r="E19" s="1283"/>
      <c r="F19" s="1283"/>
      <c r="G19" s="1283"/>
      <c r="H19" s="1283"/>
      <c r="I19" s="1283"/>
      <c r="J19" s="1283"/>
      <c r="K19" s="1283"/>
      <c r="L19" s="1283"/>
      <c r="M19" s="1283"/>
      <c r="N19" s="1283"/>
      <c r="O19" s="1283"/>
      <c r="P19" s="1283"/>
      <c r="Q19" s="1283"/>
      <c r="R19" s="1283"/>
      <c r="S19" s="1283"/>
      <c r="T19" s="1283"/>
      <c r="U19" s="1283"/>
      <c r="V19" s="1283"/>
      <c r="W19" s="1283"/>
      <c r="X19" s="1283"/>
      <c r="Y19" s="1283"/>
      <c r="Z19" s="1283"/>
      <c r="AA19" s="1283"/>
      <c r="AB19" s="1283"/>
      <c r="AC19" s="1283"/>
      <c r="AD19" s="1283"/>
      <c r="AE19" s="1283"/>
      <c r="AF19" s="1283"/>
      <c r="AG19" s="1283"/>
      <c r="AH19" s="1283"/>
      <c r="AI19" s="1283"/>
      <c r="AJ19" s="1283"/>
      <c r="AK19" s="1283"/>
      <c r="AL19" s="1283"/>
      <c r="AM19" s="1283"/>
      <c r="AN19" s="1283"/>
      <c r="AO19" s="1283"/>
      <c r="AP19" s="1283"/>
      <c r="AQ19" s="1283"/>
      <c r="AR19" s="1283"/>
      <c r="AS19" s="1283"/>
      <c r="AT19" s="1283"/>
      <c r="AU19" s="1283"/>
      <c r="AV19" s="1283"/>
      <c r="AW19" s="1170"/>
      <c r="BB19" s="1101"/>
    </row>
    <row r="20" spans="1:54" s="1100" customFormat="1" ht="15">
      <c r="A20" s="1100" t="str">
        <f>+'Grasmere Pig Cost'!A20</f>
        <v>Transfers  Boars</v>
      </c>
      <c r="B20" s="1283"/>
      <c r="C20" s="1283"/>
      <c r="D20" s="1283"/>
      <c r="E20" s="1283"/>
      <c r="F20" s="1283"/>
      <c r="G20" s="1283"/>
      <c r="H20" s="1283"/>
      <c r="I20" s="1283"/>
      <c r="J20" s="1283"/>
      <c r="K20" s="1283"/>
      <c r="L20" s="1283"/>
      <c r="M20" s="1283"/>
      <c r="N20" s="1283"/>
      <c r="O20" s="1283"/>
      <c r="P20" s="1283"/>
      <c r="Q20" s="1283"/>
      <c r="R20" s="1283"/>
      <c r="S20" s="1283"/>
      <c r="T20" s="1283"/>
      <c r="U20" s="1283"/>
      <c r="V20" s="1283"/>
      <c r="W20" s="1283"/>
      <c r="X20" s="1283"/>
      <c r="Y20" s="1283"/>
      <c r="Z20" s="1283"/>
      <c r="AA20" s="1283"/>
      <c r="AB20" s="1283"/>
      <c r="AC20" s="1283"/>
      <c r="AD20" s="1283"/>
      <c r="AE20" s="1283"/>
      <c r="AF20" s="1283"/>
      <c r="AG20" s="1283"/>
      <c r="AH20" s="1283"/>
      <c r="AI20" s="1283"/>
      <c r="AJ20" s="1283"/>
      <c r="AK20" s="1283"/>
      <c r="AL20" s="1283"/>
      <c r="AM20" s="1283"/>
      <c r="AN20" s="1283"/>
      <c r="AO20" s="1283"/>
      <c r="AP20" s="1283"/>
      <c r="AQ20" s="1283"/>
      <c r="AR20" s="1283"/>
      <c r="AS20" s="1283"/>
      <c r="AT20" s="1283"/>
      <c r="AU20" s="1283">
        <f>SUM(S20:AT20)</f>
        <v>0</v>
      </c>
      <c r="AV20" s="1283">
        <f>-'Summary Total Pigs'!D55</f>
        <v>0</v>
      </c>
      <c r="AW20" s="1170">
        <f>AU20-AV20</f>
        <v>0</v>
      </c>
      <c r="BB20" s="1101"/>
    </row>
    <row r="21" spans="1:54" s="1100" customFormat="1" ht="15">
      <c r="A21" s="1100" t="str">
        <f>+'Grasmere Pig Cost'!A21</f>
        <v>Transfers Grower</v>
      </c>
      <c r="U21" s="1283"/>
      <c r="V21" s="1283"/>
      <c r="W21" s="1283"/>
      <c r="X21" s="1283"/>
      <c r="Y21" s="1283"/>
      <c r="Z21" s="1283"/>
      <c r="AA21" s="1283"/>
      <c r="AB21" s="1283"/>
      <c r="AC21" s="1283"/>
      <c r="AD21" s="1283"/>
      <c r="AE21" s="1283"/>
      <c r="AF21" s="1283"/>
      <c r="AG21" s="1283"/>
      <c r="AH21" s="1283"/>
      <c r="AI21" s="1283"/>
      <c r="AJ21" s="1283"/>
      <c r="AK21" s="1283"/>
      <c r="AL21" s="1283"/>
      <c r="AM21" s="1283"/>
      <c r="AN21" s="1283"/>
      <c r="AO21" s="1283"/>
      <c r="AP21" s="1283"/>
      <c r="AQ21" s="1283"/>
      <c r="AR21" s="1283"/>
      <c r="AS21" s="1283"/>
      <c r="AT21" s="1283"/>
      <c r="AU21" s="1283">
        <f t="shared" si="3"/>
        <v>0</v>
      </c>
      <c r="AV21" s="1283"/>
      <c r="AW21" s="1170">
        <f t="shared" si="4"/>
        <v>0</v>
      </c>
      <c r="BB21" s="1101"/>
    </row>
    <row r="22" spans="1:54" s="1100" customFormat="1" ht="15">
      <c r="A22" s="1100" t="str">
        <f>+'Grasmere Pig Cost'!A22</f>
        <v>Transfer to Sick Block</v>
      </c>
      <c r="B22" s="1283"/>
      <c r="C22" s="1283"/>
      <c r="D22" s="1283"/>
      <c r="E22" s="1283"/>
      <c r="F22" s="1283"/>
      <c r="G22" s="1283"/>
      <c r="H22" s="1283"/>
      <c r="I22" s="1283"/>
      <c r="J22" s="1283"/>
      <c r="K22" s="1283"/>
      <c r="L22" s="1283"/>
      <c r="M22" s="1283"/>
      <c r="N22" s="1283"/>
      <c r="O22" s="1283"/>
      <c r="P22" s="1283"/>
      <c r="Q22" s="1283"/>
      <c r="R22" s="1283"/>
      <c r="S22" s="1283"/>
      <c r="T22" s="1283"/>
      <c r="U22" s="1283"/>
      <c r="V22" s="1283"/>
      <c r="W22" s="1283"/>
      <c r="X22" s="1283"/>
      <c r="Y22" s="1283"/>
      <c r="Z22" s="1283"/>
      <c r="AA22" s="1283"/>
      <c r="AB22" s="1283"/>
      <c r="AC22" s="1283"/>
      <c r="AD22" s="1283"/>
      <c r="AE22" s="1283"/>
      <c r="AF22" s="1283"/>
      <c r="AG22" s="1283"/>
      <c r="AH22" s="1283"/>
      <c r="AI22" s="1283"/>
      <c r="AJ22" s="1283"/>
      <c r="AK22" s="1283"/>
      <c r="AL22" s="1283"/>
      <c r="AM22" s="1283"/>
      <c r="AN22" s="1283"/>
      <c r="AO22" s="1283"/>
      <c r="AP22" s="1283"/>
      <c r="AQ22" s="1283"/>
      <c r="AR22" s="1283"/>
      <c r="AS22" s="1283"/>
      <c r="AT22" s="1283"/>
      <c r="AU22" s="1283">
        <f t="shared" si="3"/>
        <v>0</v>
      </c>
      <c r="AV22" s="1283"/>
      <c r="AW22" s="1170"/>
      <c r="BB22" s="1101"/>
    </row>
    <row r="23" spans="1:54" s="1100" customFormat="1" ht="16.5" customHeight="1">
      <c r="A23" s="1100" t="str">
        <f>+'Grasmere Pig Cost'!A23</f>
        <v>Transfers Gilts</v>
      </c>
      <c r="B23" s="1283"/>
      <c r="C23" s="1283"/>
      <c r="D23" s="1283"/>
      <c r="E23" s="1283"/>
      <c r="F23" s="1283"/>
      <c r="G23" s="1283"/>
      <c r="H23" s="1283"/>
      <c r="I23" s="1283"/>
      <c r="J23" s="1283"/>
      <c r="K23" s="1283"/>
      <c r="L23" s="1283"/>
      <c r="M23" s="1283"/>
      <c r="N23" s="1283"/>
      <c r="O23" s="1283"/>
      <c r="P23" s="1283"/>
      <c r="Q23" s="1283"/>
      <c r="R23" s="1283"/>
      <c r="S23" s="1283"/>
      <c r="T23" s="1283"/>
      <c r="U23" s="1283"/>
      <c r="V23" s="1283"/>
      <c r="W23" s="1283"/>
      <c r="X23" s="1283"/>
      <c r="Y23" s="1283"/>
      <c r="Z23" s="1283"/>
      <c r="AA23" s="1283"/>
      <c r="AB23" s="1283"/>
      <c r="AC23" s="1283"/>
      <c r="AD23" s="1283"/>
      <c r="AE23" s="1283"/>
      <c r="AF23" s="1283"/>
      <c r="AG23" s="1283"/>
      <c r="AH23" s="1283"/>
      <c r="AI23" s="1283"/>
      <c r="AJ23" s="1283"/>
      <c r="AK23" s="1283"/>
      <c r="AL23" s="1283"/>
      <c r="AM23" s="1283"/>
      <c r="AN23" s="1283"/>
      <c r="AO23" s="1283"/>
      <c r="AP23" s="1283"/>
      <c r="AQ23" s="1283"/>
      <c r="AR23" s="1283"/>
      <c r="AS23" s="1283"/>
      <c r="AT23" s="1283"/>
      <c r="AU23" s="1283">
        <f t="shared" si="3"/>
        <v>0</v>
      </c>
      <c r="AV23" s="1283">
        <f>-SUM('Summary Total Pigs'!D53)</f>
        <v>0</v>
      </c>
      <c r="AW23" s="1170">
        <f t="shared" si="4"/>
        <v>0</v>
      </c>
      <c r="BB23" s="1101"/>
    </row>
    <row r="24" spans="1:54" s="1100" customFormat="1" ht="16.5" customHeight="1">
      <c r="A24" s="1100" t="str">
        <f>+'Grasmere Pig Cost'!A24</f>
        <v>Mortality</v>
      </c>
      <c r="B24" s="1283"/>
      <c r="C24" s="1283"/>
      <c r="D24" s="1283"/>
      <c r="E24" s="1283"/>
      <c r="F24" s="1283"/>
      <c r="G24" s="1283"/>
      <c r="H24" s="1283"/>
      <c r="I24" s="1283"/>
      <c r="J24" s="1283"/>
      <c r="K24" s="1283"/>
      <c r="L24" s="1283"/>
      <c r="M24" s="1283"/>
      <c r="N24" s="1283"/>
      <c r="O24" s="1283"/>
      <c r="P24" s="1283"/>
      <c r="Q24" s="1283"/>
      <c r="R24" s="1283"/>
      <c r="S24" s="1283">
        <v>-7</v>
      </c>
      <c r="T24" s="1283">
        <f>-38-37</f>
        <v>-75</v>
      </c>
      <c r="U24" s="1283">
        <f>-28-28-6</f>
        <v>-62</v>
      </c>
      <c r="V24" s="1283">
        <f>-45-44-8-3</f>
        <v>-100</v>
      </c>
      <c r="W24" s="1283">
        <f>-9-22-6-1-3</f>
        <v>-41</v>
      </c>
      <c r="X24" s="1283">
        <f>-11-7-1-1-1-1</f>
        <v>-22</v>
      </c>
      <c r="Y24" s="1283">
        <f>-6-6-1-1-1</f>
        <v>-15</v>
      </c>
      <c r="Z24" s="1283">
        <f>-1-1-1</f>
        <v>-3</v>
      </c>
      <c r="AA24" s="1283"/>
      <c r="AB24" s="1283">
        <f>-2-1</f>
        <v>-3</v>
      </c>
      <c r="AC24" s="1283">
        <v>-1</v>
      </c>
      <c r="AD24" s="1283">
        <f>-1-1</f>
        <v>-2</v>
      </c>
      <c r="AE24" s="1283">
        <f>-1-1</f>
        <v>-2</v>
      </c>
      <c r="AF24" s="1283">
        <f>-1-2</f>
        <v>-3</v>
      </c>
      <c r="AG24" s="1283">
        <f>-1-1</f>
        <v>-2</v>
      </c>
      <c r="AH24" s="1283">
        <f>-1-1-1</f>
        <v>-3</v>
      </c>
      <c r="AI24" s="1283">
        <f>-1-1-1-1-2</f>
        <v>-6</v>
      </c>
      <c r="AJ24" s="1283">
        <f>-1-1-1</f>
        <v>-3</v>
      </c>
      <c r="AK24" s="1283">
        <f>-1-1-1</f>
        <v>-3</v>
      </c>
      <c r="AL24" s="1283">
        <f>-1-1-1-1-1</f>
        <v>-5</v>
      </c>
      <c r="AM24" s="1283">
        <f>-1-1-2-2</f>
        <v>-6</v>
      </c>
      <c r="AN24" s="1283">
        <f>-1-1</f>
        <v>-2</v>
      </c>
      <c r="AO24" s="1283">
        <f>-1-1-1</f>
        <v>-3</v>
      </c>
      <c r="AP24" s="1283">
        <f>-1-1-1-1-1</f>
        <v>-5</v>
      </c>
      <c r="AQ24" s="1283">
        <f>-1-'[3]Sales USD'!$BA$7</f>
        <v>-4</v>
      </c>
      <c r="AR24" s="1283">
        <v>-2</v>
      </c>
      <c r="AS24" s="1283">
        <f>-'[3]Sales USD'!$AY$7</f>
        <v>-2</v>
      </c>
      <c r="AT24" s="1283"/>
      <c r="AU24" s="1283">
        <f>SUM(S24:AT24)</f>
        <v>-382</v>
      </c>
      <c r="AV24" s="1283">
        <f>SUM('Summary Total Pigs'!W50:W52,'Summary Total Pigs'!Y50:Y52)</f>
        <v>-382</v>
      </c>
      <c r="AW24" s="1170">
        <f>AU24-AV24</f>
        <v>0</v>
      </c>
      <c r="BB24" s="1101"/>
    </row>
    <row r="25" spans="1:54" s="1100" customFormat="1" ht="15">
      <c r="A25" s="1100" t="str">
        <f>+'Grasmere Pig Cost'!A25</f>
        <v>Rations</v>
      </c>
      <c r="B25" s="1283"/>
      <c r="C25" s="1283"/>
      <c r="D25" s="1283"/>
      <c r="E25" s="1283"/>
      <c r="F25" s="1283"/>
      <c r="G25" s="1283"/>
      <c r="H25" s="1283"/>
      <c r="I25" s="1283"/>
      <c r="J25" s="1283"/>
      <c r="K25" s="1283"/>
      <c r="L25" s="1283"/>
      <c r="M25" s="1283"/>
      <c r="N25" s="1283"/>
      <c r="O25" s="1283"/>
      <c r="P25" s="1283"/>
      <c r="Q25" s="1283"/>
      <c r="R25" s="1283"/>
      <c r="S25" s="1283"/>
      <c r="T25" s="1283"/>
      <c r="U25" s="1283"/>
      <c r="V25" s="1283"/>
      <c r="W25" s="1283"/>
      <c r="X25" s="1283"/>
      <c r="Y25" s="1283"/>
      <c r="Z25" s="1283"/>
      <c r="AA25" s="1283"/>
      <c r="AB25" s="1283"/>
      <c r="AC25" s="1283"/>
      <c r="AD25" s="1283"/>
      <c r="AE25" s="1283"/>
      <c r="AF25" s="1283">
        <v>-1</v>
      </c>
      <c r="AG25" s="1283"/>
      <c r="AH25" s="1283">
        <v>-1</v>
      </c>
      <c r="AI25" s="1283"/>
      <c r="AJ25" s="1283"/>
      <c r="AK25" s="1283"/>
      <c r="AL25" s="1283"/>
      <c r="AM25" s="1283"/>
      <c r="AN25" s="1283">
        <v>-1</v>
      </c>
      <c r="AO25" s="1283">
        <v>-2</v>
      </c>
      <c r="AP25" s="1283">
        <v>-3</v>
      </c>
      <c r="AQ25" s="1283"/>
      <c r="AR25" s="1283"/>
      <c r="AS25" s="1283"/>
      <c r="AT25" s="1283">
        <v>-1</v>
      </c>
      <c r="AU25" s="1283">
        <f t="shared" si="3"/>
        <v>-9</v>
      </c>
      <c r="AV25" s="1283">
        <f>SUM('Summary Total Pigs'!Z50:Z52)</f>
        <v>-9</v>
      </c>
      <c r="AW25" s="1170">
        <f t="shared" si="4"/>
        <v>0</v>
      </c>
      <c r="BB25" s="1101"/>
    </row>
    <row r="26" spans="1:54" s="1100" customFormat="1" ht="15">
      <c r="A26" s="1100" t="str">
        <f>+'Grasmere Pig Cost'!A26</f>
        <v>Pet Food</v>
      </c>
      <c r="B26" s="1283"/>
      <c r="C26" s="1283"/>
      <c r="D26" s="1283"/>
      <c r="E26" s="1283"/>
      <c r="F26" s="1283"/>
      <c r="G26" s="1283"/>
      <c r="H26" s="1283"/>
      <c r="I26" s="1283"/>
      <c r="J26" s="1283"/>
      <c r="K26" s="1283"/>
      <c r="L26" s="1283"/>
      <c r="M26" s="1283"/>
      <c r="N26" s="1283"/>
      <c r="O26" s="1283"/>
      <c r="P26" s="1283"/>
      <c r="Q26" s="1283"/>
      <c r="R26" s="1283"/>
      <c r="S26" s="1283"/>
      <c r="T26" s="1283"/>
      <c r="U26" s="1283"/>
      <c r="V26" s="1283"/>
      <c r="W26" s="1283"/>
      <c r="X26" s="1283"/>
      <c r="Y26" s="1283"/>
      <c r="Z26" s="1283"/>
      <c r="AA26" s="1283"/>
      <c r="AB26" s="1283"/>
      <c r="AC26" s="1283"/>
      <c r="AD26" s="1283"/>
      <c r="AE26" s="1283"/>
      <c r="AF26" s="1283"/>
      <c r="AG26" s="1283"/>
      <c r="AH26" s="1283"/>
      <c r="AI26" s="1283"/>
      <c r="AJ26" s="1283"/>
      <c r="AK26" s="1283"/>
      <c r="AL26" s="1283"/>
      <c r="AM26" s="1283"/>
      <c r="AN26" s="1283"/>
      <c r="AO26" s="1283"/>
      <c r="AP26" s="1283"/>
      <c r="AQ26" s="1283"/>
      <c r="AR26" s="1283"/>
      <c r="AS26" s="1283"/>
      <c r="AT26" s="1283"/>
      <c r="AU26" s="1283">
        <f t="shared" si="3"/>
        <v>0</v>
      </c>
      <c r="AV26" s="1283">
        <f>SUM('Summary Total Pigs'!AB50:AB52)</f>
        <v>0</v>
      </c>
      <c r="AW26" s="1170">
        <f t="shared" si="4"/>
        <v>0</v>
      </c>
      <c r="BB26" s="1101"/>
    </row>
    <row r="27" spans="1:54" s="1100" customFormat="1" ht="15">
      <c r="A27" s="1100" t="str">
        <f>+'Grasmere Pig Cost'!A27</f>
        <v>Farm Sales</v>
      </c>
      <c r="B27" s="1283"/>
      <c r="C27" s="1283"/>
      <c r="D27" s="1283"/>
      <c r="E27" s="1283"/>
      <c r="F27" s="1283"/>
      <c r="G27" s="1283"/>
      <c r="H27" s="1283"/>
      <c r="I27" s="1283"/>
      <c r="J27" s="1283"/>
      <c r="K27" s="1283"/>
      <c r="L27" s="1283"/>
      <c r="M27" s="1283"/>
      <c r="N27" s="1283"/>
      <c r="O27" s="1283"/>
      <c r="P27" s="1283"/>
      <c r="Q27" s="1283"/>
      <c r="R27" s="1283"/>
      <c r="S27" s="1283"/>
      <c r="T27" s="1283"/>
      <c r="U27" s="1283"/>
      <c r="V27" s="1283"/>
      <c r="W27" s="1283"/>
      <c r="X27" s="1283"/>
      <c r="Y27" s="1283"/>
      <c r="Z27" s="1283"/>
      <c r="AA27" s="1283"/>
      <c r="AB27" s="1283"/>
      <c r="AC27" s="1283"/>
      <c r="AD27" s="1283"/>
      <c r="AE27" s="1283"/>
      <c r="AF27" s="1283"/>
      <c r="AG27" s="1283"/>
      <c r="AH27" s="1283"/>
      <c r="AI27" s="1283"/>
      <c r="AJ27" s="1283"/>
      <c r="AK27" s="1283"/>
      <c r="AL27" s="1283"/>
      <c r="AM27" s="1283"/>
      <c r="AN27" s="1283"/>
      <c r="AO27" s="1283"/>
      <c r="AP27" s="1283"/>
      <c r="AQ27" s="1283"/>
      <c r="AR27" s="1283"/>
      <c r="AS27" s="1283"/>
      <c r="AT27" s="1283"/>
      <c r="AU27" s="1283">
        <f t="shared" si="3"/>
        <v>0</v>
      </c>
      <c r="AV27" s="1121">
        <f>SUM('Summary Total Pigs'!AC50:AC52)</f>
        <v>0</v>
      </c>
      <c r="AW27" s="1170">
        <f t="shared" si="4"/>
        <v>0</v>
      </c>
      <c r="AY27" s="1121"/>
      <c r="BB27" s="1101"/>
    </row>
    <row r="28" spans="1:54" thickBot="1">
      <c r="A28" s="142" t="str">
        <f>+'Grasmere Pig Cost'!A28</f>
        <v xml:space="preserve"> Colcom Sales</v>
      </c>
      <c r="B28" s="807"/>
      <c r="C28" s="807"/>
      <c r="D28" s="807"/>
      <c r="E28" s="807"/>
      <c r="F28" s="807"/>
      <c r="G28" s="807"/>
      <c r="H28" s="807"/>
      <c r="I28" s="807"/>
      <c r="J28" s="807"/>
      <c r="K28" s="807"/>
      <c r="L28" s="807"/>
      <c r="M28" s="807"/>
      <c r="N28" s="807"/>
      <c r="O28" s="807"/>
      <c r="P28" s="807"/>
      <c r="Q28" s="807"/>
      <c r="R28" s="807"/>
      <c r="S28" s="807"/>
      <c r="T28" s="807"/>
      <c r="U28" s="807"/>
      <c r="V28" s="807"/>
      <c r="W28" s="807"/>
      <c r="X28" s="807"/>
      <c r="Y28" s="807"/>
      <c r="Z28" s="807"/>
      <c r="AA28" s="807"/>
      <c r="AB28" s="807"/>
      <c r="AC28" s="807"/>
      <c r="AD28" s="807"/>
      <c r="AE28" s="807"/>
      <c r="AF28" s="807"/>
      <c r="AG28" s="807"/>
      <c r="AH28" s="807"/>
      <c r="AI28" s="807"/>
      <c r="AJ28" s="807"/>
      <c r="AK28" s="807"/>
      <c r="AL28" s="807"/>
      <c r="AM28" s="807"/>
      <c r="AN28" s="807"/>
      <c r="AO28" s="807">
        <v>-619</v>
      </c>
      <c r="AP28" s="807">
        <f>-613-4</f>
        <v>-617</v>
      </c>
      <c r="AQ28" s="807">
        <f>-622+'[3]Sales USD'!$BA$7</f>
        <v>-619</v>
      </c>
      <c r="AR28" s="807">
        <f>-573-3</f>
        <v>-576</v>
      </c>
      <c r="AS28" s="807">
        <f>-7+'[3]Sales USD'!$AY$7</f>
        <v>-5</v>
      </c>
      <c r="AT28" s="807"/>
      <c r="AU28" s="1283">
        <f>SUM(S28:AT28)</f>
        <v>-2436</v>
      </c>
      <c r="AV28" s="817">
        <f>SUM('Summary Total Pigs'!X50:X52)</f>
        <v>-2436</v>
      </c>
      <c r="AW28" s="1170">
        <f>AU28-AV28</f>
        <v>0</v>
      </c>
      <c r="AX28" s="1100"/>
      <c r="AY28" s="818"/>
      <c r="BB28" s="805"/>
    </row>
    <row r="29" spans="1:54" ht="16.149999999999999" thickBot="1">
      <c r="A29" s="1070" t="str">
        <f>+'Grasmere Pig Cost'!A29</f>
        <v>Closing Stock (pigs)</v>
      </c>
      <c r="B29" s="1071">
        <f t="shared" ref="B29:R29" si="5">SUM(B11:B27)</f>
        <v>0</v>
      </c>
      <c r="C29" s="1071">
        <f t="shared" si="5"/>
        <v>0</v>
      </c>
      <c r="D29" s="1071">
        <f t="shared" si="5"/>
        <v>0</v>
      </c>
      <c r="E29" s="1071">
        <f t="shared" si="5"/>
        <v>0</v>
      </c>
      <c r="F29" s="1071">
        <f t="shared" si="5"/>
        <v>0</v>
      </c>
      <c r="G29" s="1071">
        <f t="shared" si="5"/>
        <v>0</v>
      </c>
      <c r="H29" s="1071">
        <f t="shared" si="5"/>
        <v>0</v>
      </c>
      <c r="I29" s="1071">
        <f t="shared" si="5"/>
        <v>0</v>
      </c>
      <c r="J29" s="1071">
        <f t="shared" si="5"/>
        <v>0</v>
      </c>
      <c r="K29" s="1071">
        <f t="shared" si="5"/>
        <v>0</v>
      </c>
      <c r="L29" s="1071">
        <f t="shared" si="5"/>
        <v>0</v>
      </c>
      <c r="M29" s="1071">
        <f t="shared" si="5"/>
        <v>0</v>
      </c>
      <c r="N29" s="1071">
        <f t="shared" si="5"/>
        <v>0</v>
      </c>
      <c r="O29" s="1071">
        <f t="shared" si="5"/>
        <v>0</v>
      </c>
      <c r="P29" s="1071">
        <f t="shared" si="5"/>
        <v>0</v>
      </c>
      <c r="Q29" s="1071">
        <f t="shared" si="5"/>
        <v>0</v>
      </c>
      <c r="R29" s="1071">
        <f t="shared" si="5"/>
        <v>0</v>
      </c>
      <c r="S29" s="1071">
        <f>SUM(S11:S28)</f>
        <v>277</v>
      </c>
      <c r="T29" s="1071">
        <f t="shared" ref="T29:AT29" si="6">SUM(T11:T28)</f>
        <v>728</v>
      </c>
      <c r="U29" s="1071">
        <f>SUM(U11:U28)</f>
        <v>676</v>
      </c>
      <c r="V29" s="1071">
        <f t="shared" si="6"/>
        <v>654</v>
      </c>
      <c r="W29" s="1071">
        <f t="shared" si="6"/>
        <v>650</v>
      </c>
      <c r="X29" s="1071">
        <f t="shared" si="6"/>
        <v>646</v>
      </c>
      <c r="Y29" s="1071">
        <f t="shared" si="6"/>
        <v>627</v>
      </c>
      <c r="Z29" s="1071">
        <f t="shared" si="6"/>
        <v>648</v>
      </c>
      <c r="AA29" s="1071">
        <f t="shared" si="6"/>
        <v>648</v>
      </c>
      <c r="AB29" s="1071">
        <f t="shared" si="6"/>
        <v>645</v>
      </c>
      <c r="AC29" s="1071">
        <f t="shared" si="6"/>
        <v>640</v>
      </c>
      <c r="AD29" s="1071">
        <f t="shared" si="6"/>
        <v>642</v>
      </c>
      <c r="AE29" s="1071">
        <f t="shared" si="6"/>
        <v>611</v>
      </c>
      <c r="AF29" s="1071">
        <f t="shared" si="6"/>
        <v>615</v>
      </c>
      <c r="AG29" s="1071">
        <f t="shared" si="6"/>
        <v>576</v>
      </c>
      <c r="AH29" s="1792">
        <f t="shared" si="6"/>
        <v>584</v>
      </c>
      <c r="AI29" s="1071">
        <f t="shared" si="6"/>
        <v>591</v>
      </c>
      <c r="AJ29" s="1071">
        <f t="shared" si="6"/>
        <v>637</v>
      </c>
      <c r="AK29" s="1071">
        <f t="shared" si="6"/>
        <v>639</v>
      </c>
      <c r="AL29" s="1071">
        <f t="shared" si="6"/>
        <v>634</v>
      </c>
      <c r="AM29" s="1071">
        <f t="shared" si="6"/>
        <v>612</v>
      </c>
      <c r="AN29" s="1071">
        <f t="shared" si="6"/>
        <v>574</v>
      </c>
      <c r="AO29" s="1071">
        <f>SUM(AO11:AO28)</f>
        <v>0</v>
      </c>
      <c r="AP29" s="1071">
        <f t="shared" si="6"/>
        <v>0</v>
      </c>
      <c r="AQ29" s="1071">
        <f>SUM(AQ11:AQ28)</f>
        <v>0</v>
      </c>
      <c r="AR29" s="1071">
        <f>SUM(AR11:AR28)</f>
        <v>0</v>
      </c>
      <c r="AS29" s="1071">
        <f t="shared" si="6"/>
        <v>0</v>
      </c>
      <c r="AT29" s="1071">
        <f t="shared" si="6"/>
        <v>0</v>
      </c>
      <c r="AU29" s="1071">
        <f>SUM(AU11:AU28)</f>
        <v>13554</v>
      </c>
      <c r="AV29" s="1071">
        <f>SUM(AV11:AV28)</f>
        <v>13554</v>
      </c>
      <c r="AW29" s="1170">
        <f>AU29-AV29</f>
        <v>0</v>
      </c>
    </row>
    <row r="30" spans="1:54">
      <c r="S30" s="1058">
        <f>+'Lionhead Valuation'!E10</f>
        <v>277</v>
      </c>
      <c r="T30" s="1058">
        <f>+'Lionhead Valuation'!E11</f>
        <v>728</v>
      </c>
      <c r="U30" s="1831">
        <f>+'Lionhead Valuation'!E12</f>
        <v>676</v>
      </c>
      <c r="V30" s="1058">
        <f>+'Lionhead Valuation'!E13</f>
        <v>654</v>
      </c>
      <c r="W30" s="1058">
        <f>+'Lionhead Valuation'!E14</f>
        <v>650</v>
      </c>
      <c r="X30" s="1058">
        <f>+'Lionhead Valuation'!E15</f>
        <v>646</v>
      </c>
      <c r="Y30" s="1058">
        <f>+'Lionhead Valuation'!E16</f>
        <v>627</v>
      </c>
      <c r="Z30" s="1058">
        <f>+'Lionhead Valuation'!E17</f>
        <v>648</v>
      </c>
      <c r="AA30" s="1058">
        <f>+'Lionhead Valuation'!E18</f>
        <v>648</v>
      </c>
      <c r="AB30" s="1058">
        <f>+'Lionhead Valuation'!E19</f>
        <v>645</v>
      </c>
      <c r="AC30" s="1058">
        <f>+'Lionhead Valuation'!E20</f>
        <v>640</v>
      </c>
      <c r="AD30" s="1058">
        <f>+'Lionhead Valuation'!E21</f>
        <v>642</v>
      </c>
      <c r="AE30" s="1058">
        <f>+'Lionhead Valuation'!E22</f>
        <v>611</v>
      </c>
      <c r="AF30" s="1058">
        <f>+'Lionhead Valuation'!E23</f>
        <v>615</v>
      </c>
      <c r="AG30" s="1058">
        <f>+'Lionhead Valuation'!E24</f>
        <v>576</v>
      </c>
      <c r="AH30" s="1058">
        <f>+'Lionhead Valuation'!E25</f>
        <v>584</v>
      </c>
      <c r="AI30" s="1058">
        <f>+'Lionhead Valuation'!E26</f>
        <v>591</v>
      </c>
      <c r="AJ30" s="1058">
        <f>+'Lionhead Valuation'!E27</f>
        <v>637</v>
      </c>
      <c r="AK30" s="1058">
        <f>+'Lionhead Valuation'!E28</f>
        <v>639</v>
      </c>
      <c r="AL30" s="1058">
        <f>+'Lionhead Valuation'!E29</f>
        <v>634</v>
      </c>
      <c r="AM30" s="1058">
        <f>+'Lionhead Valuation'!E30</f>
        <v>612</v>
      </c>
      <c r="AN30" s="1058">
        <f>+'Lionhead Valuation'!E31</f>
        <v>574</v>
      </c>
      <c r="AO30" s="1058">
        <f>+'Lionhead Valuation'!E32</f>
        <v>0</v>
      </c>
      <c r="AP30" s="1058">
        <f>+'Lionhead Valuation'!E33</f>
        <v>0</v>
      </c>
      <c r="AQ30" s="1058">
        <f>+'Lionhead Valuation'!E34</f>
        <v>0</v>
      </c>
      <c r="AR30" s="1058">
        <f>+'Lionhead Valuation'!E35</f>
        <v>0</v>
      </c>
      <c r="AS30" s="1058">
        <f>+'Lionhead Valuation'!E36</f>
        <v>0</v>
      </c>
      <c r="AT30" s="1058">
        <f>+'Lionhead Valuation'!E37</f>
        <v>0</v>
      </c>
      <c r="AU30" s="1057">
        <f>SUM(B30:AT30)</f>
        <v>13554</v>
      </c>
      <c r="AV30" s="818">
        <f>SUM('Lionhead Valuation'!E10:E41)</f>
        <v>13554</v>
      </c>
      <c r="AW30" s="1170">
        <f>AU30-AV30</f>
        <v>0</v>
      </c>
    </row>
    <row r="31" spans="1:54">
      <c r="S31" s="1058">
        <f>+S29-S30</f>
        <v>0</v>
      </c>
      <c r="T31" s="1058">
        <f t="shared" ref="T31:AT31" si="7">+T29-T30</f>
        <v>0</v>
      </c>
      <c r="U31" s="1058">
        <f t="shared" si="7"/>
        <v>0</v>
      </c>
      <c r="V31" s="1058">
        <f t="shared" si="7"/>
        <v>0</v>
      </c>
      <c r="W31" s="1896">
        <f t="shared" ref="W31:AD31" si="8">+W29-W30</f>
        <v>0</v>
      </c>
      <c r="X31" s="1830">
        <f t="shared" si="8"/>
        <v>0</v>
      </c>
      <c r="Y31" s="1830">
        <f t="shared" si="8"/>
        <v>0</v>
      </c>
      <c r="Z31" s="1058">
        <f t="shared" si="8"/>
        <v>0</v>
      </c>
      <c r="AA31" s="1058">
        <f t="shared" si="8"/>
        <v>0</v>
      </c>
      <c r="AB31" s="1058">
        <f t="shared" si="8"/>
        <v>0</v>
      </c>
      <c r="AC31" s="1752">
        <f t="shared" si="8"/>
        <v>0</v>
      </c>
      <c r="AD31" s="1058">
        <f t="shared" si="8"/>
        <v>0</v>
      </c>
      <c r="AE31" s="1058">
        <f t="shared" si="7"/>
        <v>0</v>
      </c>
      <c r="AF31" s="1752">
        <f t="shared" si="7"/>
        <v>0</v>
      </c>
      <c r="AG31" s="1058">
        <f t="shared" si="7"/>
        <v>0</v>
      </c>
      <c r="AH31" s="1749">
        <f t="shared" si="7"/>
        <v>0</v>
      </c>
      <c r="AI31" s="1058">
        <f t="shared" si="7"/>
        <v>0</v>
      </c>
      <c r="AJ31" s="1058">
        <f t="shared" si="7"/>
        <v>0</v>
      </c>
      <c r="AK31" s="1058">
        <f t="shared" si="7"/>
        <v>0</v>
      </c>
      <c r="AL31" s="1058">
        <f t="shared" si="7"/>
        <v>0</v>
      </c>
      <c r="AM31" s="1752">
        <f t="shared" si="7"/>
        <v>0</v>
      </c>
      <c r="AN31" s="1058">
        <f t="shared" si="7"/>
        <v>0</v>
      </c>
      <c r="AO31" s="1058">
        <f>+AO29-AO30</f>
        <v>0</v>
      </c>
      <c r="AP31" s="1058">
        <f>+AP29-AP30</f>
        <v>0</v>
      </c>
      <c r="AQ31" s="1058">
        <f>+AQ29-AQ30</f>
        <v>0</v>
      </c>
      <c r="AR31" s="1058">
        <f>+AR29-AR30</f>
        <v>0</v>
      </c>
      <c r="AS31" s="1058">
        <f t="shared" si="7"/>
        <v>0</v>
      </c>
      <c r="AT31" s="1058">
        <f t="shared" si="7"/>
        <v>0</v>
      </c>
      <c r="AU31" s="1058">
        <f>+AU29-AU30</f>
        <v>0</v>
      </c>
      <c r="AV31" s="818">
        <f>SUM('Summary Total Pigs'!AF50:AF52)</f>
        <v>13554</v>
      </c>
      <c r="AW31" s="1170">
        <f>SUM('Summary Total Pigs'!AF50:AF52)-AV31</f>
        <v>0</v>
      </c>
    </row>
    <row r="32" spans="1:54">
      <c r="A32" s="1066" t="str">
        <f>+'Grasmere Pig Cost'!A32</f>
        <v>Cost</v>
      </c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1271"/>
      <c r="AG32" s="817"/>
      <c r="AH32" s="817"/>
      <c r="AI32" s="817"/>
      <c r="AJ32" s="817"/>
      <c r="AK32" s="817"/>
      <c r="AL32" s="817"/>
      <c r="AM32" s="817"/>
      <c r="AN32" s="817"/>
      <c r="AO32" s="817"/>
      <c r="AP32" s="817"/>
      <c r="AQ32" s="817"/>
      <c r="AR32" s="817"/>
      <c r="AS32" s="817"/>
      <c r="AT32" s="817"/>
      <c r="AU32" s="817"/>
      <c r="AV32" s="817"/>
      <c r="AW32" s="818"/>
      <c r="BB32" s="805"/>
    </row>
    <row r="33" spans="1:59">
      <c r="A33" s="142" t="str">
        <f>+'Grasmere Pig Cost'!A33</f>
        <v>Opening cost</v>
      </c>
      <c r="B33" s="818"/>
      <c r="C33" s="818"/>
      <c r="D33" s="818"/>
      <c r="E33" s="818"/>
      <c r="F33" s="818">
        <f>'[2]Lionhead Pig Cost'!B62</f>
        <v>6226.513452914799</v>
      </c>
      <c r="G33" s="818">
        <f>'[2]Lionhead Pig Cost'!C62</f>
        <v>6226.513452914799</v>
      </c>
      <c r="H33" s="818">
        <f>'[2]Lionhead Pig Cost'!D62</f>
        <v>6226.513452914799</v>
      </c>
      <c r="I33" s="818">
        <f>'[2]Lionhead Pig Cost'!E62</f>
        <v>6226.513452914799</v>
      </c>
      <c r="J33" s="818">
        <f>'[2]Lionhead Pig Cost'!F62</f>
        <v>5728.3923766816151</v>
      </c>
      <c r="K33" s="818">
        <f>'[2]Lionhead Pig Cost'!G62</f>
        <v>10494.838565022421</v>
      </c>
      <c r="L33" s="818">
        <f>'[2]Lionhead Pig Cost'!H62</f>
        <v>10494.838565022421</v>
      </c>
      <c r="M33" s="818">
        <f>'[2]Lionhead Pig Cost'!I62</f>
        <v>10494.838565022421</v>
      </c>
      <c r="N33" s="818">
        <f>'[2]Lionhead Pig Cost'!J62</f>
        <v>10494.838565022421</v>
      </c>
      <c r="O33" s="818">
        <f>'[2]Lionhead Pig Cost'!K62</f>
        <v>14730.849103139013</v>
      </c>
      <c r="P33" s="818">
        <f>'[2]Lionhead Pig Cost'!L62</f>
        <v>14730.849103139013</v>
      </c>
      <c r="Q33" s="818">
        <f>'[2]Lionhead Pig Cost'!M62</f>
        <v>14730.849103139013</v>
      </c>
      <c r="R33" s="818">
        <f>'[2]Lionhead Pig Cost'!N62</f>
        <v>15976.151793721972</v>
      </c>
      <c r="S33" s="818">
        <f>'[2]Lionhead Pig Cost'!O62</f>
        <v>21555.566143497759</v>
      </c>
      <c r="T33" s="818">
        <f>'[2]Lionhead Pig Cost'!P62</f>
        <v>21555.566143497759</v>
      </c>
      <c r="U33" s="818">
        <f>'[2]Lionhead Pig Cost'!Q62</f>
        <v>21555.566143497759</v>
      </c>
      <c r="V33" s="818">
        <f>'[2]Lionhead Pig Cost'!R62</f>
        <v>27034.897982062779</v>
      </c>
      <c r="W33" s="818">
        <f>'[2]Lionhead Pig Cost'!S62</f>
        <v>20956.606890230865</v>
      </c>
      <c r="X33" s="818">
        <f>'[2]Lionhead Pig Cost'!T62</f>
        <v>30694.929010317628</v>
      </c>
      <c r="Y33" s="818">
        <f>'[2]Lionhead Pig Cost'!U62</f>
        <v>30841.476909444365</v>
      </c>
      <c r="Z33" s="818">
        <f>'[2]Lionhead Pig Cost'!V62</f>
        <v>34888.197569743876</v>
      </c>
      <c r="AA33" s="818">
        <f>'[2]Lionhead Pig Cost'!W62</f>
        <v>26405.919852863284</v>
      </c>
      <c r="AB33" s="818">
        <f>'[2]Lionhead Pig Cost'!X62</f>
        <v>37339.43407039639</v>
      </c>
      <c r="AC33" s="818">
        <f>'[2]Lionhead Pig Cost'!Y62</f>
        <v>52689.572766949204</v>
      </c>
      <c r="AD33" s="818">
        <f>'[2]Lionhead Pig Cost'!Z62</f>
        <v>64856.511478656183</v>
      </c>
      <c r="AE33" s="818">
        <f>'[2]Lionhead Pig Cost'!AA62</f>
        <v>59660.83207603007</v>
      </c>
      <c r="AF33" s="818">
        <f>'[2]Lionhead Pig Cost'!AB62</f>
        <v>58961.057075354882</v>
      </c>
      <c r="AG33" s="818">
        <f>'[2]Lionhead Pig Cost'!AC62</f>
        <v>77593.090548232954</v>
      </c>
      <c r="AH33" s="818">
        <f>'[2]Lionhead Pig Cost'!AD62</f>
        <v>99914.36717109126</v>
      </c>
      <c r="AI33" s="818">
        <f>'[2]Lionhead Pig Cost'!AE62</f>
        <v>107097.09372835318</v>
      </c>
      <c r="AJ33" s="818">
        <f>'[2]Lionhead Pig Cost'!AF62</f>
        <v>95955.143718703097</v>
      </c>
      <c r="AK33" s="818">
        <f>'[2]Lionhead Pig Cost'!AG62</f>
        <v>118095.77220837252</v>
      </c>
      <c r="AL33" s="818">
        <f>'[2]Lionhead Pig Cost'!AH62</f>
        <v>136863.31211652415</v>
      </c>
      <c r="AM33" s="818">
        <f>'[2]Lionhead Pig Cost'!AI62</f>
        <v>156012.24613015639</v>
      </c>
      <c r="AN33" s="818">
        <f>'[2]Lionhead Pig Cost'!AJ62</f>
        <v>151695.6529831464</v>
      </c>
      <c r="AO33" s="818">
        <f>'[2]Lionhead Pig Cost'!AK62</f>
        <v>182172.9835702581</v>
      </c>
      <c r="AP33" s="818">
        <f>'[2]Lionhead Pig Cost'!AL62</f>
        <v>193939.16033163029</v>
      </c>
      <c r="AQ33" s="818">
        <f>'[2]Lionhead Pig Cost'!AM62</f>
        <v>241954.06474609996</v>
      </c>
      <c r="AR33" s="818">
        <f>'[2]Lionhead Pig Cost'!AN62</f>
        <v>225095.8455695562</v>
      </c>
      <c r="AS33" s="818">
        <f>'[2]Lionhead Pig Cost'!AO62</f>
        <v>1869.3402760362078</v>
      </c>
      <c r="AT33" s="818">
        <f>'[2]Lionhead Pig Cost'!AP62</f>
        <v>304.77308172933408</v>
      </c>
      <c r="AU33" s="1057">
        <f>SUM(B33:AT33)</f>
        <v>2430341.4798440025</v>
      </c>
      <c r="AV33" s="818">
        <f>'[2]Lionhead Pig Cost'!AU62</f>
        <v>2430341.4798440025</v>
      </c>
      <c r="AW33" s="1170">
        <f>+AU33-AV33</f>
        <v>0</v>
      </c>
    </row>
    <row r="34" spans="1:59">
      <c r="A34" s="1066" t="str">
        <f>+'Grasmere Pig Cost'!A34</f>
        <v>Transfer In</v>
      </c>
      <c r="S34" s="1689">
        <f>-T35/2</f>
        <v>106.31598591120967</v>
      </c>
      <c r="T34" s="1689">
        <f>-S35-U35</f>
        <v>145.25314112869108</v>
      </c>
      <c r="U34" s="1689">
        <f>-T35/2</f>
        <v>106.31598591120967</v>
      </c>
      <c r="V34" s="1689"/>
      <c r="W34" s="1689">
        <f t="shared" ref="W34:X34" si="9">-V35</f>
        <v>214.84687138063137</v>
      </c>
      <c r="X34" s="1689">
        <f t="shared" si="9"/>
        <v>1344.1555439798224</v>
      </c>
      <c r="Y34" s="1689">
        <f>-X35-Z35</f>
        <v>963.32159518828507</v>
      </c>
      <c r="Z34" s="1689">
        <f>-Y35-AA35</f>
        <v>189.50216227001147</v>
      </c>
      <c r="AA34" s="1689"/>
      <c r="AB34" s="1689">
        <v>0</v>
      </c>
      <c r="AC34" s="1689"/>
      <c r="AD34" s="1689">
        <f>-AC35</f>
        <v>0</v>
      </c>
      <c r="AE34" s="1689">
        <f>-AD35</f>
        <v>0</v>
      </c>
      <c r="AF34" s="1689">
        <f>-AE35</f>
        <v>0</v>
      </c>
      <c r="AG34" s="1689">
        <f>-AF35</f>
        <v>0</v>
      </c>
      <c r="AH34" s="1689">
        <f>-AG35</f>
        <v>0</v>
      </c>
      <c r="AI34" s="1689">
        <v>0</v>
      </c>
      <c r="AJ34" s="1689">
        <v>0</v>
      </c>
      <c r="AK34" s="1689">
        <v>0</v>
      </c>
      <c r="AL34" s="1689">
        <f t="shared" ref="AL34:AO34" si="10">-AK35</f>
        <v>0</v>
      </c>
      <c r="AM34" s="1689"/>
      <c r="AN34" s="1689">
        <f>-AP35-AQ35-AR35</f>
        <v>0</v>
      </c>
      <c r="AO34" s="1689">
        <f t="shared" si="10"/>
        <v>0</v>
      </c>
      <c r="AP34" s="1689"/>
      <c r="AQ34" s="1689">
        <v>0</v>
      </c>
      <c r="AR34" s="1689">
        <f>-AO35</f>
        <v>0</v>
      </c>
      <c r="AS34" s="1689"/>
      <c r="AT34" s="1689"/>
      <c r="AU34" s="807">
        <f>SUM(B34:AT34)</f>
        <v>3069.7112857698608</v>
      </c>
      <c r="AV34" s="818"/>
      <c r="BB34" s="805"/>
    </row>
    <row r="35" spans="1:59">
      <c r="A35" s="1066" t="str">
        <f>+'Grasmere Pig Cost'!A35</f>
        <v>Transfer (Out)</v>
      </c>
      <c r="S35" s="1690">
        <f>+S33/S8*S10</f>
        <v>0</v>
      </c>
      <c r="T35" s="1690">
        <f>T33/T8*T10</f>
        <v>-212.63197182241933</v>
      </c>
      <c r="U35" s="1690">
        <f>U33/U8*U10</f>
        <v>-145.25314112869108</v>
      </c>
      <c r="V35" s="1690">
        <f>IFERROR(V33/V8*V10,0)</f>
        <v>-214.84687138063137</v>
      </c>
      <c r="W35" s="1690">
        <f>W33/W8*W10</f>
        <v>-1344.1555439798224</v>
      </c>
      <c r="X35" s="1690">
        <f>X33/X7*X10</f>
        <v>-963.32159518828507</v>
      </c>
      <c r="Y35" s="1690">
        <f>Y33/Y7*Y10</f>
        <v>-189.50216227001147</v>
      </c>
      <c r="Z35" s="1690">
        <f>+Z33/(Z8+Z7)*Z10</f>
        <v>0</v>
      </c>
      <c r="AA35" s="1690">
        <f>AA33/AA7*AA10</f>
        <v>0</v>
      </c>
      <c r="AB35" s="1690">
        <f>+AB33/(AB8+AB7)*AB10</f>
        <v>0</v>
      </c>
      <c r="AC35" s="1690">
        <f>AC33/AC7*AC10</f>
        <v>0</v>
      </c>
      <c r="AD35" s="1690">
        <f>AD33/AD7*AD10</f>
        <v>0</v>
      </c>
      <c r="AE35" s="1690">
        <f>AE33/AE7*AE10</f>
        <v>0</v>
      </c>
      <c r="AF35" s="1690">
        <f t="shared" ref="AF35:AQ35" si="11">+AF33/(AF8+AF7)*AF10</f>
        <v>0</v>
      </c>
      <c r="AG35" s="1690">
        <f t="shared" si="11"/>
        <v>0</v>
      </c>
      <c r="AH35" s="1690">
        <f t="shared" si="11"/>
        <v>0</v>
      </c>
      <c r="AI35" s="1690">
        <f t="shared" si="11"/>
        <v>0</v>
      </c>
      <c r="AJ35" s="1690">
        <f t="shared" si="11"/>
        <v>0</v>
      </c>
      <c r="AK35" s="1690">
        <f t="shared" si="11"/>
        <v>0</v>
      </c>
      <c r="AL35" s="1690">
        <f t="shared" si="11"/>
        <v>0</v>
      </c>
      <c r="AM35" s="1690">
        <f t="shared" si="11"/>
        <v>0</v>
      </c>
      <c r="AN35" s="1690">
        <f t="shared" si="11"/>
        <v>0</v>
      </c>
      <c r="AO35" s="1690">
        <f>+AO33/(AO8+AO7)*AO10</f>
        <v>0</v>
      </c>
      <c r="AP35" s="1690">
        <f>+AP33/(AP8+AP7)*AP10</f>
        <v>0</v>
      </c>
      <c r="AQ35" s="1690">
        <f t="shared" si="11"/>
        <v>0</v>
      </c>
      <c r="AR35" s="1690">
        <f>+AR33/(AR8+AR7)*AR10</f>
        <v>0</v>
      </c>
      <c r="AS35" s="1690">
        <v>0</v>
      </c>
      <c r="AT35" s="1690"/>
      <c r="AU35" s="807">
        <f>SUM(B35:AT35)</f>
        <v>-3069.7112857698603</v>
      </c>
      <c r="AV35" s="818"/>
      <c r="BB35" s="805"/>
    </row>
    <row r="36" spans="1:59">
      <c r="A36" s="1059" t="s">
        <v>1804</v>
      </c>
      <c r="B36" s="818">
        <f>IFERROR(SUM(B33:B35),0)</f>
        <v>0</v>
      </c>
      <c r="C36" s="818">
        <f t="shared" ref="C36:AU36" si="12">IFERROR(SUM(C33:C35),0)</f>
        <v>0</v>
      </c>
      <c r="D36" s="818">
        <f t="shared" si="12"/>
        <v>0</v>
      </c>
      <c r="E36" s="818">
        <f t="shared" si="12"/>
        <v>0</v>
      </c>
      <c r="F36" s="818">
        <f t="shared" si="12"/>
        <v>6226.513452914799</v>
      </c>
      <c r="G36" s="818">
        <f t="shared" si="12"/>
        <v>6226.513452914799</v>
      </c>
      <c r="H36" s="818">
        <f t="shared" si="12"/>
        <v>6226.513452914799</v>
      </c>
      <c r="I36" s="818">
        <f t="shared" si="12"/>
        <v>6226.513452914799</v>
      </c>
      <c r="J36" s="818">
        <f t="shared" si="12"/>
        <v>5728.3923766816151</v>
      </c>
      <c r="K36" s="818">
        <f t="shared" si="12"/>
        <v>10494.838565022421</v>
      </c>
      <c r="L36" s="818">
        <f t="shared" si="12"/>
        <v>10494.838565022421</v>
      </c>
      <c r="M36" s="818">
        <f t="shared" si="12"/>
        <v>10494.838565022421</v>
      </c>
      <c r="N36" s="818">
        <f t="shared" si="12"/>
        <v>10494.838565022421</v>
      </c>
      <c r="O36" s="818">
        <f t="shared" si="12"/>
        <v>14730.849103139013</v>
      </c>
      <c r="P36" s="818">
        <f t="shared" si="12"/>
        <v>14730.849103139013</v>
      </c>
      <c r="Q36" s="818">
        <f t="shared" si="12"/>
        <v>14730.849103139013</v>
      </c>
      <c r="R36" s="818">
        <f t="shared" si="12"/>
        <v>15976.151793721972</v>
      </c>
      <c r="S36" s="818">
        <f t="shared" si="12"/>
        <v>21661.882129408968</v>
      </c>
      <c r="T36" s="818">
        <f t="shared" si="12"/>
        <v>21488.187312804032</v>
      </c>
      <c r="U36" s="818">
        <f t="shared" si="12"/>
        <v>21516.628988280278</v>
      </c>
      <c r="V36" s="818">
        <f t="shared" si="12"/>
        <v>26820.051110682147</v>
      </c>
      <c r="W36" s="818">
        <f t="shared" si="12"/>
        <v>19827.298217631676</v>
      </c>
      <c r="X36" s="818">
        <f t="shared" si="12"/>
        <v>31075.762959109165</v>
      </c>
      <c r="Y36" s="818">
        <f t="shared" si="12"/>
        <v>31615.296342362639</v>
      </c>
      <c r="Z36" s="818">
        <f t="shared" si="12"/>
        <v>35077.699732013891</v>
      </c>
      <c r="AA36" s="818">
        <f t="shared" si="12"/>
        <v>26405.919852863284</v>
      </c>
      <c r="AB36" s="818">
        <f t="shared" si="12"/>
        <v>37339.43407039639</v>
      </c>
      <c r="AC36" s="818">
        <f t="shared" si="12"/>
        <v>52689.572766949204</v>
      </c>
      <c r="AD36" s="818">
        <f t="shared" si="12"/>
        <v>64856.511478656183</v>
      </c>
      <c r="AE36" s="818">
        <f t="shared" si="12"/>
        <v>59660.83207603007</v>
      </c>
      <c r="AF36" s="818">
        <f t="shared" si="12"/>
        <v>58961.057075354882</v>
      </c>
      <c r="AG36" s="818">
        <f t="shared" si="12"/>
        <v>77593.090548232954</v>
      </c>
      <c r="AH36" s="818">
        <f t="shared" si="12"/>
        <v>99914.36717109126</v>
      </c>
      <c r="AI36" s="818">
        <f t="shared" si="12"/>
        <v>107097.09372835318</v>
      </c>
      <c r="AJ36" s="818">
        <f t="shared" si="12"/>
        <v>95955.143718703097</v>
      </c>
      <c r="AK36" s="818">
        <f t="shared" si="12"/>
        <v>118095.77220837252</v>
      </c>
      <c r="AL36" s="818">
        <f t="shared" si="12"/>
        <v>136863.31211652415</v>
      </c>
      <c r="AM36" s="818">
        <f t="shared" si="12"/>
        <v>156012.24613015639</v>
      </c>
      <c r="AN36" s="818">
        <f t="shared" si="12"/>
        <v>151695.6529831464</v>
      </c>
      <c r="AO36" s="818">
        <f t="shared" si="12"/>
        <v>182172.9835702581</v>
      </c>
      <c r="AP36" s="818">
        <f t="shared" si="12"/>
        <v>193939.16033163029</v>
      </c>
      <c r="AQ36" s="818">
        <f t="shared" si="12"/>
        <v>241954.06474609996</v>
      </c>
      <c r="AR36" s="818">
        <f t="shared" si="12"/>
        <v>225095.8455695562</v>
      </c>
      <c r="AS36" s="818">
        <f t="shared" si="12"/>
        <v>1869.3402760362078</v>
      </c>
      <c r="AT36" s="818">
        <f t="shared" si="12"/>
        <v>304.77308172933408</v>
      </c>
      <c r="AU36" s="818">
        <f t="shared" si="12"/>
        <v>2430341.4798440025</v>
      </c>
      <c r="AV36" s="817"/>
      <c r="AW36" s="1170"/>
    </row>
    <row r="37" spans="1:59">
      <c r="A37" s="1059" t="s">
        <v>1805</v>
      </c>
      <c r="B37" s="818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>
        <f>IFERROR(S36/S11,0)</f>
        <v>76.274232850031581</v>
      </c>
      <c r="T37" s="818">
        <f t="shared" ref="T37:AT37" si="13">IFERROR(T36/T11,0)</f>
        <v>26.759884573853089</v>
      </c>
      <c r="U37" s="818">
        <f t="shared" si="13"/>
        <v>29.1553238323581</v>
      </c>
      <c r="V37" s="818">
        <f t="shared" si="13"/>
        <v>35.570359563238924</v>
      </c>
      <c r="W37" s="818">
        <f t="shared" si="13"/>
        <v>27.730487017666679</v>
      </c>
      <c r="X37" s="818">
        <f t="shared" si="13"/>
        <v>44.330617630683541</v>
      </c>
      <c r="Y37" s="818">
        <f t="shared" si="13"/>
        <v>47.257543112649685</v>
      </c>
      <c r="Z37" s="818">
        <f t="shared" si="13"/>
        <v>53.882795287271719</v>
      </c>
      <c r="AA37" s="818">
        <f t="shared" si="13"/>
        <v>40.749876316147045</v>
      </c>
      <c r="AB37" s="818">
        <f t="shared" si="13"/>
        <v>57.622583441969738</v>
      </c>
      <c r="AC37" s="818">
        <f t="shared" si="13"/>
        <v>81.436743071018867</v>
      </c>
      <c r="AD37" s="818">
        <f t="shared" si="13"/>
        <v>100.7088687556773</v>
      </c>
      <c r="AE37" s="818">
        <f t="shared" si="13"/>
        <v>92.785119869409129</v>
      </c>
      <c r="AF37" s="818">
        <f t="shared" si="13"/>
        <v>95.25211159184957</v>
      </c>
      <c r="AG37" s="818">
        <f t="shared" si="13"/>
        <v>134.24410129452068</v>
      </c>
      <c r="AH37" s="818">
        <f t="shared" si="13"/>
        <v>169.92239314811439</v>
      </c>
      <c r="AI37" s="818">
        <f t="shared" si="13"/>
        <v>179.39211679791154</v>
      </c>
      <c r="AJ37" s="818">
        <f t="shared" si="13"/>
        <v>149.92991206047358</v>
      </c>
      <c r="AK37" s="818">
        <f t="shared" si="13"/>
        <v>183.94980094762076</v>
      </c>
      <c r="AL37" s="818">
        <f t="shared" si="13"/>
        <v>214.183587036814</v>
      </c>
      <c r="AM37" s="818">
        <f t="shared" si="13"/>
        <v>252.44700021060905</v>
      </c>
      <c r="AN37" s="818">
        <f t="shared" si="13"/>
        <v>262.90407796039239</v>
      </c>
      <c r="AO37" s="818">
        <f t="shared" si="13"/>
        <v>291.94388392669566</v>
      </c>
      <c r="AP37" s="818">
        <f t="shared" si="13"/>
        <v>310.30265653060849</v>
      </c>
      <c r="AQ37" s="818">
        <f>IFERROR(AQ36/AQ11,0)</f>
        <v>388.36928530674152</v>
      </c>
      <c r="AR37" s="818">
        <f t="shared" si="13"/>
        <v>389.43917918608338</v>
      </c>
      <c r="AS37" s="818">
        <f t="shared" si="13"/>
        <v>267.0486108623154</v>
      </c>
      <c r="AT37" s="818">
        <f t="shared" si="13"/>
        <v>304.77308172933408</v>
      </c>
      <c r="AU37" s="818">
        <f>IFERROR(AU36/AU11,0)</f>
        <v>147.28449668771606</v>
      </c>
      <c r="AV37" s="817"/>
      <c r="AW37" s="1170"/>
      <c r="BA37" s="142">
        <f>AU33/AU7</f>
        <v>179.05706032888841</v>
      </c>
    </row>
    <row r="38" spans="1:59">
      <c r="B38" s="818"/>
      <c r="C38" s="818"/>
      <c r="D38" s="818"/>
      <c r="E38" s="818"/>
      <c r="F38" s="818"/>
      <c r="G38" s="818"/>
      <c r="H38" s="818"/>
      <c r="I38" s="818"/>
      <c r="J38" s="818"/>
      <c r="K38" s="818"/>
      <c r="L38" s="818"/>
      <c r="M38" s="818"/>
      <c r="N38" s="818"/>
      <c r="O38" s="818"/>
      <c r="P38" s="818"/>
      <c r="Q38" s="818"/>
      <c r="R38" s="818"/>
      <c r="S38" s="818"/>
      <c r="T38" s="818"/>
      <c r="U38" s="818"/>
      <c r="V38" s="818"/>
      <c r="W38" s="818"/>
      <c r="X38" s="818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  <c r="AI38" s="818"/>
      <c r="AJ38" s="818"/>
      <c r="AK38" s="818"/>
      <c r="AL38" s="818"/>
      <c r="AM38" s="818"/>
      <c r="AN38" s="818"/>
      <c r="AO38" s="818"/>
      <c r="AP38" s="818"/>
      <c r="AQ38" s="818"/>
      <c r="AR38" s="818"/>
      <c r="AS38" s="818"/>
      <c r="AT38" s="818"/>
      <c r="AU38" s="1057"/>
      <c r="AV38" s="817"/>
      <c r="AW38" s="1170"/>
      <c r="BA38" s="142">
        <f>AU62/AU30</f>
        <v>176.21293369817212</v>
      </c>
    </row>
    <row r="39" spans="1:59">
      <c r="A39" s="1687" t="s">
        <v>1806</v>
      </c>
      <c r="B39" s="1318">
        <f t="shared" ref="B39:AT39" si="14">IFERROR(B36+SUM(B45:B56),0)</f>
        <v>0</v>
      </c>
      <c r="C39" s="1318">
        <f t="shared" si="14"/>
        <v>0</v>
      </c>
      <c r="D39" s="1318">
        <f t="shared" si="14"/>
        <v>0</v>
      </c>
      <c r="E39" s="1318">
        <f t="shared" si="14"/>
        <v>0</v>
      </c>
      <c r="F39" s="1318">
        <f t="shared" si="14"/>
        <v>6226.513452914799</v>
      </c>
      <c r="G39" s="1318">
        <f t="shared" si="14"/>
        <v>6226.513452914799</v>
      </c>
      <c r="H39" s="1318">
        <f t="shared" si="14"/>
        <v>6226.513452914799</v>
      </c>
      <c r="I39" s="1318">
        <f t="shared" si="14"/>
        <v>6226.513452914799</v>
      </c>
      <c r="J39" s="1318">
        <f t="shared" si="14"/>
        <v>5728.3923766816151</v>
      </c>
      <c r="K39" s="1318">
        <f t="shared" si="14"/>
        <v>10494.838565022421</v>
      </c>
      <c r="L39" s="1318">
        <f t="shared" si="14"/>
        <v>10494.838565022421</v>
      </c>
      <c r="M39" s="1318">
        <f t="shared" si="14"/>
        <v>10494.838565022421</v>
      </c>
      <c r="N39" s="1318">
        <f t="shared" si="14"/>
        <v>10494.838565022421</v>
      </c>
      <c r="O39" s="1318">
        <f t="shared" si="14"/>
        <v>14730.849103139013</v>
      </c>
      <c r="P39" s="1318">
        <f t="shared" si="14"/>
        <v>14730.849103139013</v>
      </c>
      <c r="Q39" s="1318">
        <f t="shared" si="14"/>
        <v>14730.849103139013</v>
      </c>
      <c r="R39" s="1318">
        <f t="shared" si="14"/>
        <v>15976.151793721972</v>
      </c>
      <c r="S39" s="1317">
        <f t="shared" si="14"/>
        <v>21661.882129408968</v>
      </c>
      <c r="T39" s="1317">
        <f t="shared" si="14"/>
        <v>21488.187312804032</v>
      </c>
      <c r="U39" s="1317">
        <f t="shared" si="14"/>
        <v>21516.628988280278</v>
      </c>
      <c r="V39" s="1319">
        <f t="shared" si="14"/>
        <v>26820.051110682147</v>
      </c>
      <c r="W39" s="1319">
        <f t="shared" si="14"/>
        <v>19161.766529207674</v>
      </c>
      <c r="X39" s="1060">
        <f t="shared" si="14"/>
        <v>29612.85257729661</v>
      </c>
      <c r="Y39" s="1060">
        <f t="shared" si="14"/>
        <v>30339.342678321096</v>
      </c>
      <c r="Z39" s="1551">
        <f t="shared" si="14"/>
        <v>35077.699732013891</v>
      </c>
      <c r="AA39" s="1551">
        <f t="shared" si="14"/>
        <v>26405.919852863284</v>
      </c>
      <c r="AB39" s="1551">
        <f t="shared" si="14"/>
        <v>39183.854325242828</v>
      </c>
      <c r="AC39" s="1551">
        <f t="shared" si="14"/>
        <v>52200.95230852309</v>
      </c>
      <c r="AD39" s="1320">
        <f t="shared" si="14"/>
        <v>64856.511478656183</v>
      </c>
      <c r="AE39" s="1320">
        <f t="shared" si="14"/>
        <v>56877.278479947796</v>
      </c>
      <c r="AF39" s="1553">
        <f t="shared" si="14"/>
        <v>58961.057075354882</v>
      </c>
      <c r="AG39" s="1553">
        <f t="shared" si="14"/>
        <v>77593.090548232954</v>
      </c>
      <c r="AH39" s="1554">
        <f t="shared" si="14"/>
        <v>99914.36717109126</v>
      </c>
      <c r="AI39" s="1554">
        <f t="shared" si="14"/>
        <v>107097.09372835318</v>
      </c>
      <c r="AJ39" s="1552">
        <f t="shared" si="14"/>
        <v>95955.143718703097</v>
      </c>
      <c r="AK39" s="1552">
        <f t="shared" si="14"/>
        <v>118095.77220837252</v>
      </c>
      <c r="AL39" s="1552">
        <f>IFERROR(AL36+SUM(AL45:AL56),0)</f>
        <v>136863.31211652415</v>
      </c>
      <c r="AM39" s="1552">
        <f t="shared" si="14"/>
        <v>156012.24613015639</v>
      </c>
      <c r="AN39" s="1552">
        <f t="shared" si="14"/>
        <v>151695.6529831464</v>
      </c>
      <c r="AO39" s="818">
        <f t="shared" si="14"/>
        <v>182172.9835702581</v>
      </c>
      <c r="AP39" s="818">
        <f t="shared" si="14"/>
        <v>193939.16033163029</v>
      </c>
      <c r="AQ39" s="818">
        <f t="shared" si="14"/>
        <v>241954.06474609996</v>
      </c>
      <c r="AR39" s="818">
        <f t="shared" si="14"/>
        <v>225095.8455695562</v>
      </c>
      <c r="AS39" s="818">
        <f t="shared" si="14"/>
        <v>1869.3402760362078</v>
      </c>
      <c r="AT39" s="818">
        <f t="shared" si="14"/>
        <v>304.77308172933408</v>
      </c>
      <c r="AU39" s="807">
        <f>IFERROR(AU36+SUM(AU45:AU56),0)</f>
        <v>2425509.3303100625</v>
      </c>
      <c r="AV39" s="817"/>
      <c r="AW39" s="1170"/>
      <c r="BB39" s="1059">
        <f>BA38-BA37</f>
        <v>-2.8441266307162891</v>
      </c>
    </row>
    <row r="40" spans="1:59">
      <c r="A40" s="1066" t="str">
        <f>+'Grasmere Pig Cost'!A40</f>
        <v>Month Feed consumption</v>
      </c>
      <c r="B40" s="1318">
        <f>B76*$B$68</f>
        <v>4670.9080717488787</v>
      </c>
      <c r="C40" s="1318">
        <f t="shared" ref="C40:R40" si="15">C76*$B$68</f>
        <v>4670.9080717488787</v>
      </c>
      <c r="D40" s="1318">
        <f t="shared" si="15"/>
        <v>4670.9080717488787</v>
      </c>
      <c r="E40" s="1318">
        <f t="shared" si="15"/>
        <v>4670.9080717488787</v>
      </c>
      <c r="F40" s="1318">
        <f t="shared" si="15"/>
        <v>4297.2354260089678</v>
      </c>
      <c r="G40" s="1318">
        <f t="shared" si="15"/>
        <v>4297.2354260089678</v>
      </c>
      <c r="H40" s="1318">
        <f t="shared" si="15"/>
        <v>4297.2354260089678</v>
      </c>
      <c r="I40" s="1318">
        <f t="shared" si="15"/>
        <v>4297.2354260089678</v>
      </c>
      <c r="J40" s="1318">
        <f t="shared" si="15"/>
        <v>4297.2354260089678</v>
      </c>
      <c r="K40" s="1318">
        <f t="shared" si="15"/>
        <v>4297.2354260089678</v>
      </c>
      <c r="L40" s="1318">
        <f t="shared" si="15"/>
        <v>4297.2354260089678</v>
      </c>
      <c r="M40" s="1318">
        <f t="shared" si="15"/>
        <v>4297.2354260089678</v>
      </c>
      <c r="N40" s="1318">
        <f t="shared" si="15"/>
        <v>5231.4170403587432</v>
      </c>
      <c r="O40" s="1318">
        <f t="shared" si="15"/>
        <v>5231.4170403587432</v>
      </c>
      <c r="P40" s="1318">
        <f t="shared" si="15"/>
        <v>5231.4170403587432</v>
      </c>
      <c r="Q40" s="1318">
        <f t="shared" si="15"/>
        <v>5231.4170403587432</v>
      </c>
      <c r="R40" s="1318">
        <f t="shared" si="15"/>
        <v>9341.8161434977574</v>
      </c>
      <c r="S40" s="1317">
        <f>S76*$D$68</f>
        <v>8705.2258064516136</v>
      </c>
      <c r="T40" s="1317">
        <f>T76*$D$68</f>
        <v>15959.580645161292</v>
      </c>
      <c r="U40" s="1317">
        <f>U76*$D$68</f>
        <v>20312.193548387098</v>
      </c>
      <c r="V40" s="1319">
        <f>V76*'Feed Cost &amp; Allocation'!B75+V76*SUM('Feed Cost &amp; Allocation'!Y75:Z75)</f>
        <v>9037.3066820837284</v>
      </c>
      <c r="W40" s="1319">
        <f>W76*'Feed Cost &amp; Allocation'!B75+W76*SUM('Feed Cost &amp; Allocation'!Y75:Z75)</f>
        <v>2520.6933179162702</v>
      </c>
      <c r="X40" s="1060">
        <f>X76*$F$68</f>
        <v>20973.677575718139</v>
      </c>
      <c r="Y40" s="1060">
        <f>Y76*$F$68</f>
        <v>21511.322424281858</v>
      </c>
      <c r="Z40" s="1551">
        <f>Z7/(Z7+AA7+AB7+AC7)*('Feed Cost &amp; Allocation'!D75+'Feed Cost &amp; Allocation'!E75)</f>
        <v>27833.615250965253</v>
      </c>
      <c r="AA40" s="1551">
        <f>AA7/(Z7+AA7+AB7+AC7)*('Feed Cost &amp; Allocation'!D75+'Feed Cost &amp; Allocation'!E75)</f>
        <v>27876.634749034751</v>
      </c>
      <c r="AB40" s="1551">
        <f>AB7/(AA7+AB7+AC7+Z7)*('Feed Cost &amp; Allocation'!D75+'Feed Cost &amp; Allocation'!E75)</f>
        <v>27876.634749034751</v>
      </c>
      <c r="AC40" s="1551">
        <f>AC7/(AB7+AC7+AA7+Z7)*('Feed Cost &amp; Allocation'!D75+'Feed Cost &amp; Allocation'!E75)</f>
        <v>27833.615250965253</v>
      </c>
      <c r="AD40" s="1320">
        <f>(AD7/(AD7+AE7))*'Feed Cost &amp; Allocation'!F75</f>
        <v>42618.588966588963</v>
      </c>
      <c r="AE40" s="1320">
        <f>+'Feed Cost &amp; Allocation'!F75-AD40</f>
        <v>42552.411033411037</v>
      </c>
      <c r="AF40" s="1553">
        <f>AF7/(AF7+AG7)*('Feed Cost &amp; Allocation'!G75+'Feed Cost &amp; Allocation'!AI75)</f>
        <v>43849.711779448626</v>
      </c>
      <c r="AG40" s="1553">
        <f>AG7/(AF7+AG7)*('Feed Cost &amp; Allocation'!G75+'Feed Cost &amp; Allocation'!AI75)</f>
        <v>40945.288220551374</v>
      </c>
      <c r="AH40" s="1554">
        <f>AH7/(AH7+AI7)*('Feed Cost &amp; Allocation'!H75+'Feed Cost &amp; Allocation'!AJ75+'Feed Cost &amp; Allocation'!AK75)</f>
        <v>54967.82784810126</v>
      </c>
      <c r="AI40" s="1554">
        <f>AI7/(AH7+AI7)*('Feed Cost &amp; Allocation'!H75+'Feed Cost &amp; Allocation'!AJ75+'Feed Cost &amp; Allocation'!AK75)</f>
        <v>55809.17215189874</v>
      </c>
      <c r="AJ40" s="1552">
        <f>AJ7/(AJ7+AK7+AL7+AM7+AN7)*('Feed Cost &amp; Allocation'!J75+'Feed Cost &amp; Allocation'!AF75)</f>
        <v>53727.958921694481</v>
      </c>
      <c r="AK40" s="1552">
        <f>AK7/(AJ7+AK7+AL7+AM7+AN7)*('Feed Cost &amp; Allocation'!J75+'Feed Cost &amp; Allocation'!AF75)</f>
        <v>53895.858793324776</v>
      </c>
      <c r="AL40" s="1552">
        <f>AL7/(AJ7+AK7+AL7+AM7+AN7)*('Feed Cost &amp; Allocation'!J75+'Feed Cost &amp; Allocation'!AF75)</f>
        <v>53644.008985879329</v>
      </c>
      <c r="AM40" s="1552">
        <f>AM7/(AJ7+AK7+AL7+AM7+AN7)*('Feed Cost &amp; Allocation'!J75+'Feed Cost &amp; Allocation'!AF75)</f>
        <v>51881.060333761234</v>
      </c>
      <c r="AN40" s="1552">
        <f>AN7/(AJ7+AK7+AL7+AM7+AN7)*('Feed Cost &amp; Allocation'!J75+'Feed Cost &amp; Allocation'!AF75)</f>
        <v>48439.11296534018</v>
      </c>
      <c r="AO40" s="818"/>
      <c r="AP40" s="818"/>
      <c r="AQ40" s="818"/>
      <c r="AR40" s="818"/>
      <c r="AS40" s="818"/>
      <c r="AT40" s="818"/>
      <c r="AU40" s="807">
        <f>SUM(B40:AT40)</f>
        <v>836100.5</v>
      </c>
      <c r="AV40" s="1199">
        <f>+AU40-'Feed Cost &amp; Allocation'!AY75+'Feed Cost &amp; Allocation'!R75+'Feed Cost &amp; Allocation'!Q75+'Feed Cost &amp; Allocation'!P75+'Feed Cost &amp; Allocation'!X75+'Feed Cost &amp; Allocation'!AB75+'Feed Cost &amp; Allocation'!W75+'Feed Cost &amp; Allocation'!AH75-F67</f>
        <v>2.3646862246096134E-11</v>
      </c>
      <c r="AW40" s="1088">
        <f>+'Feed Cost &amp; Allocation'!P75+'Feed Cost &amp; Allocation'!Q75+'Feed Cost &amp; Allocation'!R75+'Feed Cost &amp; Allocation'!W75+'Feed Cost &amp; Allocation'!X75+'Feed Cost &amp; Allocation'!AB75-'Lionhead Pig Cost'!F67</f>
        <v>20442.599999999999</v>
      </c>
      <c r="AX40" s="1085"/>
      <c r="AY40" s="818">
        <f>'Feed Cost &amp; Allocation'!AY75-'Lionhead Pig Cost'!AU40</f>
        <v>20442.599999999977</v>
      </c>
      <c r="BB40" s="1992">
        <f>BA38/BA37-1</f>
        <v>-1.5883912231621888E-2</v>
      </c>
    </row>
    <row r="41" spans="1:59">
      <c r="A41" s="1790" t="s">
        <v>1808</v>
      </c>
      <c r="B41" s="1318">
        <f>IFERROR(SUM(B39:B40),0)</f>
        <v>4670.9080717488787</v>
      </c>
      <c r="C41" s="1318">
        <f t="shared" ref="C41:AT41" si="16">IFERROR(SUM(C39:C40),0)</f>
        <v>4670.9080717488787</v>
      </c>
      <c r="D41" s="1318">
        <f t="shared" si="16"/>
        <v>4670.9080717488787</v>
      </c>
      <c r="E41" s="1318">
        <f t="shared" si="16"/>
        <v>4670.9080717488787</v>
      </c>
      <c r="F41" s="1318">
        <f t="shared" si="16"/>
        <v>10523.748878923767</v>
      </c>
      <c r="G41" s="1318">
        <f t="shared" si="16"/>
        <v>10523.748878923767</v>
      </c>
      <c r="H41" s="1318">
        <f t="shared" si="16"/>
        <v>10523.748878923767</v>
      </c>
      <c r="I41" s="1318">
        <f t="shared" si="16"/>
        <v>10523.748878923767</v>
      </c>
      <c r="J41" s="1318">
        <f t="shared" si="16"/>
        <v>10025.627802690582</v>
      </c>
      <c r="K41" s="1318">
        <f t="shared" si="16"/>
        <v>14792.07399103139</v>
      </c>
      <c r="L41" s="1318">
        <f t="shared" si="16"/>
        <v>14792.07399103139</v>
      </c>
      <c r="M41" s="1318">
        <f t="shared" si="16"/>
        <v>14792.07399103139</v>
      </c>
      <c r="N41" s="1318">
        <f t="shared" si="16"/>
        <v>15726.255605381164</v>
      </c>
      <c r="O41" s="1318">
        <f t="shared" si="16"/>
        <v>19962.266143497756</v>
      </c>
      <c r="P41" s="1318">
        <f t="shared" si="16"/>
        <v>19962.266143497756</v>
      </c>
      <c r="Q41" s="1318">
        <f t="shared" si="16"/>
        <v>19962.266143497756</v>
      </c>
      <c r="R41" s="1318">
        <f t="shared" si="16"/>
        <v>25317.967937219728</v>
      </c>
      <c r="S41" s="1318">
        <f t="shared" si="16"/>
        <v>30367.107935860582</v>
      </c>
      <c r="T41" s="1318">
        <f t="shared" si="16"/>
        <v>37447.76795796532</v>
      </c>
      <c r="U41" s="1318">
        <f t="shared" si="16"/>
        <v>41828.822536667372</v>
      </c>
      <c r="V41" s="1318">
        <f t="shared" si="16"/>
        <v>35857.357792765877</v>
      </c>
      <c r="W41" s="1318">
        <f t="shared" si="16"/>
        <v>21682.459847123944</v>
      </c>
      <c r="X41" s="1318">
        <f t="shared" si="16"/>
        <v>50586.530153014748</v>
      </c>
      <c r="Y41" s="1318">
        <f t="shared" si="16"/>
        <v>51850.665102602958</v>
      </c>
      <c r="Z41" s="1318">
        <f t="shared" si="16"/>
        <v>62911.314982979144</v>
      </c>
      <c r="AA41" s="1318">
        <f t="shared" si="16"/>
        <v>54282.554601898039</v>
      </c>
      <c r="AB41" s="1318">
        <f t="shared" si="16"/>
        <v>67060.489074277575</v>
      </c>
      <c r="AC41" s="1318">
        <f t="shared" si="16"/>
        <v>80034.567559488351</v>
      </c>
      <c r="AD41" s="1318">
        <f t="shared" si="16"/>
        <v>107475.10044524515</v>
      </c>
      <c r="AE41" s="1318">
        <f t="shared" si="16"/>
        <v>99429.68951335884</v>
      </c>
      <c r="AF41" s="1318">
        <f t="shared" si="16"/>
        <v>102810.76885480351</v>
      </c>
      <c r="AG41" s="1318">
        <f t="shared" si="16"/>
        <v>118538.37876878433</v>
      </c>
      <c r="AH41" s="1318">
        <f t="shared" si="16"/>
        <v>154882.19501919253</v>
      </c>
      <c r="AI41" s="1318">
        <f t="shared" si="16"/>
        <v>162906.26588025191</v>
      </c>
      <c r="AJ41" s="1318">
        <f t="shared" si="16"/>
        <v>149683.10264039758</v>
      </c>
      <c r="AK41" s="1318">
        <f t="shared" si="16"/>
        <v>171991.6310016973</v>
      </c>
      <c r="AL41" s="1318">
        <f t="shared" si="16"/>
        <v>190507.32110240348</v>
      </c>
      <c r="AM41" s="1318">
        <f t="shared" si="16"/>
        <v>207893.30646391763</v>
      </c>
      <c r="AN41" s="1318">
        <f t="shared" si="16"/>
        <v>200134.76594848657</v>
      </c>
      <c r="AO41" s="1318">
        <f t="shared" si="16"/>
        <v>182172.9835702581</v>
      </c>
      <c r="AP41" s="1318">
        <f t="shared" si="16"/>
        <v>193939.16033163029</v>
      </c>
      <c r="AQ41" s="1318">
        <f t="shared" si="16"/>
        <v>241954.06474609996</v>
      </c>
      <c r="AR41" s="1318">
        <f t="shared" si="16"/>
        <v>225095.8455695562</v>
      </c>
      <c r="AS41" s="1318">
        <f>IFERROR(SUM(AS39:AS40),0)</f>
        <v>1869.3402760362078</v>
      </c>
      <c r="AT41" s="1318">
        <f t="shared" si="16"/>
        <v>304.77308172933408</v>
      </c>
      <c r="AU41" s="1579">
        <f>SUM(AU39:AU40)</f>
        <v>3261609.8303100625</v>
      </c>
      <c r="BD41" s="817"/>
    </row>
    <row r="42" spans="1:59">
      <c r="AU42" s="1057"/>
      <c r="BG42" s="817"/>
    </row>
    <row r="43" spans="1:59">
      <c r="A43" s="1790" t="s">
        <v>1809</v>
      </c>
      <c r="S43" s="1074">
        <f>IFERROR(S41/SUM(S11:S23),0)</f>
        <v>106.92643639387529</v>
      </c>
      <c r="T43" s="1074">
        <f t="shared" ref="T43:AT43" si="17">IFERROR(T41/SUM(T11:T23),0)</f>
        <v>46.634829337441246</v>
      </c>
      <c r="U43" s="1074">
        <f t="shared" si="17"/>
        <v>56.678621323397522</v>
      </c>
      <c r="V43" s="1074">
        <f t="shared" si="17"/>
        <v>47.556177443986577</v>
      </c>
      <c r="W43" s="1074">
        <f t="shared" si="17"/>
        <v>31.378378939397894</v>
      </c>
      <c r="X43" s="1074">
        <f t="shared" si="17"/>
        <v>75.728338552417284</v>
      </c>
      <c r="Y43" s="1074">
        <f t="shared" si="17"/>
        <v>80.764275860752264</v>
      </c>
      <c r="Z43" s="1074">
        <f t="shared" si="17"/>
        <v>96.637964643593151</v>
      </c>
      <c r="AA43" s="1074">
        <f t="shared" si="17"/>
        <v>83.769374385645122</v>
      </c>
      <c r="AB43" s="1074">
        <f t="shared" si="17"/>
        <v>103.48840906524318</v>
      </c>
      <c r="AC43" s="1074">
        <f t="shared" si="17"/>
        <v>124.85891974959181</v>
      </c>
      <c r="AD43" s="1074">
        <f t="shared" si="17"/>
        <v>166.88680193361049</v>
      </c>
      <c r="AE43" s="1074">
        <f t="shared" si="17"/>
        <v>162.2017773464255</v>
      </c>
      <c r="AF43" s="1074">
        <f t="shared" si="17"/>
        <v>166.09171058934331</v>
      </c>
      <c r="AG43" s="1074">
        <f t="shared" si="17"/>
        <v>205.08370029201441</v>
      </c>
      <c r="AH43" s="1074">
        <f t="shared" si="17"/>
        <v>263.40509357005533</v>
      </c>
      <c r="AI43" s="1074">
        <f t="shared" si="17"/>
        <v>272.87481721985245</v>
      </c>
      <c r="AJ43" s="1074">
        <f t="shared" si="17"/>
        <v>233.87984787562124</v>
      </c>
      <c r="AK43" s="1074">
        <f t="shared" si="17"/>
        <v>267.89973676276838</v>
      </c>
      <c r="AL43" s="1074">
        <f t="shared" si="17"/>
        <v>298.13352285196163</v>
      </c>
      <c r="AM43" s="1074">
        <f t="shared" si="17"/>
        <v>336.3969360257567</v>
      </c>
      <c r="AN43" s="1074">
        <f t="shared" si="17"/>
        <v>346.85401377554001</v>
      </c>
      <c r="AO43" s="1074">
        <f t="shared" si="17"/>
        <v>291.94388392669566</v>
      </c>
      <c r="AP43" s="1074">
        <f t="shared" si="17"/>
        <v>310.30265653060849</v>
      </c>
      <c r="AQ43" s="1074">
        <f>IFERROR(AQ41/SUM(AQ11:AQ23),0)</f>
        <v>388.36928530674152</v>
      </c>
      <c r="AR43" s="1074">
        <f t="shared" si="17"/>
        <v>389.43917918608338</v>
      </c>
      <c r="AS43" s="1074">
        <f t="shared" si="17"/>
        <v>267.0486108623154</v>
      </c>
      <c r="AT43" s="1074">
        <f t="shared" si="17"/>
        <v>304.77308172933408</v>
      </c>
      <c r="AU43" s="1074">
        <f>IFERROR(AU41/SUM(AU11:AU23),0)</f>
        <v>199.10932362554561</v>
      </c>
      <c r="AY43" s="1301"/>
    </row>
    <row r="44" spans="1:59">
      <c r="A44" s="131"/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74"/>
      <c r="AJ44" s="1074"/>
      <c r="AK44" s="1074"/>
      <c r="AL44" s="1074"/>
      <c r="AM44" s="1074"/>
      <c r="AN44" s="1074"/>
      <c r="AO44" s="1074"/>
      <c r="AP44" s="1074"/>
      <c r="AQ44" s="1074"/>
      <c r="AR44" s="1074"/>
      <c r="AS44" s="1074"/>
      <c r="AT44" s="1074"/>
      <c r="AU44" s="1074"/>
      <c r="AY44" s="1301"/>
    </row>
    <row r="45" spans="1:59">
      <c r="A45" s="142" t="str">
        <f t="shared" ref="A45:A61" si="18">+A12</f>
        <v>Transfers Grasmere</v>
      </c>
      <c r="S45" s="1059">
        <f>-'Grasmere Pig Cost'!S45</f>
        <v>0</v>
      </c>
      <c r="T45" s="1059">
        <f>-'Grasmere Pig Cost'!T45</f>
        <v>0</v>
      </c>
      <c r="U45" s="1059">
        <f>-'Grasmere Pig Cost'!U45</f>
        <v>0</v>
      </c>
      <c r="V45" s="1059">
        <f>-'Grasmere Pig Cost'!V45</f>
        <v>0</v>
      </c>
      <c r="W45" s="1059">
        <f>-'Grasmere Pig Cost'!W45</f>
        <v>0</v>
      </c>
      <c r="X45" s="1059">
        <f>-'Grasmere Pig Cost'!X45</f>
        <v>0</v>
      </c>
      <c r="Y45" s="1059">
        <f>-'Grasmere Pig Cost'!Y45</f>
        <v>0</v>
      </c>
      <c r="Z45" s="1059">
        <f>-'Grasmere Pig Cost'!Z45</f>
        <v>0</v>
      </c>
      <c r="AA45" s="1059">
        <f>-'Grasmere Pig Cost'!AA45</f>
        <v>0</v>
      </c>
      <c r="AB45" s="1059">
        <f>-'Grasmere Pig Cost'!AB45</f>
        <v>0</v>
      </c>
      <c r="AC45" s="1059">
        <f>-'Grasmere Pig Cost'!AC45</f>
        <v>0</v>
      </c>
      <c r="AD45" s="1059">
        <f>-'Grasmere Pig Cost'!AD45</f>
        <v>0</v>
      </c>
      <c r="AE45" s="1059">
        <f>-'Grasmere Pig Cost'!AE45</f>
        <v>0</v>
      </c>
      <c r="AF45" s="1059">
        <f>-'Grasmere Pig Cost'!AF45</f>
        <v>0</v>
      </c>
      <c r="AG45" s="1059">
        <f>-'Grasmere Pig Cost'!AG45</f>
        <v>0</v>
      </c>
      <c r="AH45" s="1059">
        <f>-'Grasmere Pig Cost'!AH45</f>
        <v>0</v>
      </c>
      <c r="AI45" s="1059">
        <f>-'Grasmere Pig Cost'!AI45</f>
        <v>0</v>
      </c>
      <c r="AJ45" s="1059">
        <f>-'Grasmere Pig Cost'!AJ45</f>
        <v>0</v>
      </c>
      <c r="AK45" s="1059">
        <f>-'Grasmere Pig Cost'!AK45</f>
        <v>0</v>
      </c>
      <c r="AL45" s="1059">
        <f>-'Grasmere Pig Cost'!AL45</f>
        <v>0</v>
      </c>
      <c r="AM45" s="1059">
        <f>-'Grasmere Pig Cost'!AM45</f>
        <v>0</v>
      </c>
      <c r="AN45" s="1059">
        <f>-'Grasmere Pig Cost'!AN45</f>
        <v>0</v>
      </c>
      <c r="AO45" s="1059">
        <f>-'Grasmere Pig Cost'!AO45</f>
        <v>0</v>
      </c>
      <c r="AP45" s="1059">
        <f>-'Grasmere Pig Cost'!AP45</f>
        <v>0</v>
      </c>
      <c r="AQ45" s="1059">
        <f>-'Grasmere Pig Cost'!AQ45</f>
        <v>0</v>
      </c>
      <c r="AR45" s="1059">
        <f>-'Grasmere Pig Cost'!AR45</f>
        <v>0</v>
      </c>
      <c r="AS45" s="1059">
        <f>-'Grasmere Pig Cost'!AS45</f>
        <v>0</v>
      </c>
      <c r="AT45" s="1059">
        <f>-'Grasmere Pig Cost'!AT45</f>
        <v>0</v>
      </c>
      <c r="AU45" s="1282">
        <f>SUM(B45:AT45)</f>
        <v>0</v>
      </c>
      <c r="AY45" s="1091">
        <f>+AU32-AW29</f>
        <v>0</v>
      </c>
    </row>
    <row r="46" spans="1:59">
      <c r="A46" s="142" t="str">
        <f t="shared" si="18"/>
        <v>Transfers Lionshead Ext.</v>
      </c>
      <c r="S46" s="1059">
        <f t="shared" ref="S46:AT46" si="19">S13*S37</f>
        <v>0</v>
      </c>
      <c r="T46" s="1059">
        <f t="shared" si="19"/>
        <v>0</v>
      </c>
      <c r="U46" s="1059">
        <f t="shared" si="19"/>
        <v>0</v>
      </c>
      <c r="V46" s="1059">
        <f t="shared" si="19"/>
        <v>0</v>
      </c>
      <c r="W46" s="1059">
        <f t="shared" si="19"/>
        <v>-665.53168842400032</v>
      </c>
      <c r="X46" s="1059">
        <f t="shared" si="19"/>
        <v>-1462.9103818125568</v>
      </c>
      <c r="Y46" s="1059">
        <f t="shared" si="19"/>
        <v>-1275.9536640415415</v>
      </c>
      <c r="Z46" s="1059">
        <f>Z13*Z37</f>
        <v>0</v>
      </c>
      <c r="AA46" s="1059">
        <f t="shared" si="19"/>
        <v>0</v>
      </c>
      <c r="AB46" s="1059">
        <f t="shared" si="19"/>
        <v>0</v>
      </c>
      <c r="AC46" s="1059">
        <f t="shared" si="19"/>
        <v>-488.6204584261132</v>
      </c>
      <c r="AD46" s="1059">
        <f t="shared" si="19"/>
        <v>0</v>
      </c>
      <c r="AE46" s="1059">
        <f t="shared" si="19"/>
        <v>-2783.553596082274</v>
      </c>
      <c r="AF46" s="1059">
        <f>-'Lionhead Ext. Pig Cost'!AF46</f>
        <v>0</v>
      </c>
      <c r="AG46" s="1059">
        <f>AG13*AG37</f>
        <v>0</v>
      </c>
      <c r="AH46" s="1059">
        <f t="shared" si="19"/>
        <v>0</v>
      </c>
      <c r="AI46" s="1059">
        <f t="shared" si="19"/>
        <v>0</v>
      </c>
      <c r="AJ46" s="1059">
        <f t="shared" si="19"/>
        <v>0</v>
      </c>
      <c r="AK46" s="1059">
        <f t="shared" si="19"/>
        <v>0</v>
      </c>
      <c r="AL46" s="1059">
        <f t="shared" si="19"/>
        <v>0</v>
      </c>
      <c r="AM46" s="1059">
        <f t="shared" si="19"/>
        <v>0</v>
      </c>
      <c r="AN46" s="1059">
        <f t="shared" si="19"/>
        <v>0</v>
      </c>
      <c r="AO46" s="1059">
        <f t="shared" si="19"/>
        <v>0</v>
      </c>
      <c r="AP46" s="1059">
        <f t="shared" si="19"/>
        <v>0</v>
      </c>
      <c r="AQ46" s="1059">
        <f t="shared" si="19"/>
        <v>0</v>
      </c>
      <c r="AR46" s="1059">
        <f t="shared" si="19"/>
        <v>0</v>
      </c>
      <c r="AS46" s="1059">
        <f t="shared" si="19"/>
        <v>0</v>
      </c>
      <c r="AT46" s="1059">
        <f t="shared" si="19"/>
        <v>0</v>
      </c>
      <c r="AU46" s="1282">
        <f>SUM(B46:AT46)</f>
        <v>-6676.5697887864862</v>
      </c>
    </row>
    <row r="47" spans="1:59">
      <c r="A47" s="142" t="str">
        <f t="shared" si="18"/>
        <v>Transfers  Richlands</v>
      </c>
      <c r="S47" s="1059">
        <f t="shared" ref="S47:AT47" si="20">S14*S37</f>
        <v>0</v>
      </c>
      <c r="T47" s="1059">
        <f t="shared" si="20"/>
        <v>0</v>
      </c>
      <c r="U47" s="1059">
        <f t="shared" si="20"/>
        <v>0</v>
      </c>
      <c r="V47" s="1059">
        <f t="shared" si="20"/>
        <v>0</v>
      </c>
      <c r="W47" s="1059">
        <f>W14*W37</f>
        <v>0</v>
      </c>
      <c r="X47" s="1059">
        <f>X14*X37</f>
        <v>0</v>
      </c>
      <c r="Y47" s="1059">
        <f t="shared" si="20"/>
        <v>0</v>
      </c>
      <c r="Z47" s="1059">
        <f t="shared" si="20"/>
        <v>0</v>
      </c>
      <c r="AA47" s="1059">
        <f t="shared" si="20"/>
        <v>0</v>
      </c>
      <c r="AB47" s="1059">
        <f t="shared" si="20"/>
        <v>0</v>
      </c>
      <c r="AC47" s="1059">
        <f t="shared" si="20"/>
        <v>0</v>
      </c>
      <c r="AD47" s="1059">
        <f t="shared" si="20"/>
        <v>0</v>
      </c>
      <c r="AE47" s="1059">
        <f t="shared" si="20"/>
        <v>0</v>
      </c>
      <c r="AF47" s="1059">
        <f t="shared" si="20"/>
        <v>0</v>
      </c>
      <c r="AG47" s="1059">
        <f t="shared" si="20"/>
        <v>0</v>
      </c>
      <c r="AH47" s="1059">
        <f t="shared" si="20"/>
        <v>0</v>
      </c>
      <c r="AI47" s="1059">
        <f t="shared" si="20"/>
        <v>0</v>
      </c>
      <c r="AJ47" s="1059">
        <f t="shared" si="20"/>
        <v>0</v>
      </c>
      <c r="AK47" s="1059">
        <f t="shared" si="20"/>
        <v>0</v>
      </c>
      <c r="AL47" s="1087">
        <f>IFERROR(AL14*AL37,0)</f>
        <v>0</v>
      </c>
      <c r="AM47" s="1059">
        <f t="shared" si="20"/>
        <v>0</v>
      </c>
      <c r="AN47" s="1059">
        <f t="shared" si="20"/>
        <v>0</v>
      </c>
      <c r="AO47" s="1059">
        <f t="shared" si="20"/>
        <v>0</v>
      </c>
      <c r="AP47" s="1059">
        <f t="shared" si="20"/>
        <v>0</v>
      </c>
      <c r="AQ47" s="1059">
        <f t="shared" si="20"/>
        <v>0</v>
      </c>
      <c r="AR47" s="1059">
        <f t="shared" si="20"/>
        <v>0</v>
      </c>
      <c r="AS47" s="1059">
        <f t="shared" si="20"/>
        <v>0</v>
      </c>
      <c r="AT47" s="1059">
        <f t="shared" si="20"/>
        <v>0</v>
      </c>
      <c r="AU47" s="1282">
        <f>SUM(B47:AT47)</f>
        <v>0</v>
      </c>
    </row>
    <row r="48" spans="1:59">
      <c r="A48" s="142" t="str">
        <f t="shared" si="18"/>
        <v>Transfers Learig</v>
      </c>
      <c r="S48" s="1059">
        <f t="shared" ref="S48:AT48" si="21">S15*S37</f>
        <v>0</v>
      </c>
      <c r="T48" s="1059">
        <f t="shared" si="21"/>
        <v>0</v>
      </c>
      <c r="U48" s="1059">
        <f t="shared" si="21"/>
        <v>0</v>
      </c>
      <c r="V48" s="1059">
        <f t="shared" si="21"/>
        <v>0</v>
      </c>
      <c r="W48" s="1059">
        <f t="shared" si="21"/>
        <v>0</v>
      </c>
      <c r="X48" s="1059">
        <f t="shared" si="21"/>
        <v>0</v>
      </c>
      <c r="Y48" s="1059">
        <f t="shared" si="21"/>
        <v>0</v>
      </c>
      <c r="Z48" s="1059">
        <f t="shared" si="21"/>
        <v>0</v>
      </c>
      <c r="AA48" s="1059">
        <f t="shared" si="21"/>
        <v>0</v>
      </c>
      <c r="AB48" s="1059">
        <f t="shared" si="21"/>
        <v>0</v>
      </c>
      <c r="AC48" s="1059">
        <f t="shared" si="21"/>
        <v>0</v>
      </c>
      <c r="AD48" s="1059">
        <f t="shared" si="21"/>
        <v>0</v>
      </c>
      <c r="AE48" s="1059">
        <f t="shared" si="21"/>
        <v>0</v>
      </c>
      <c r="AF48" s="1059">
        <f t="shared" si="21"/>
        <v>0</v>
      </c>
      <c r="AG48" s="1059">
        <f t="shared" si="21"/>
        <v>0</v>
      </c>
      <c r="AH48" s="1059">
        <f t="shared" si="21"/>
        <v>0</v>
      </c>
      <c r="AI48" s="1059">
        <f t="shared" si="21"/>
        <v>0</v>
      </c>
      <c r="AJ48" s="1059">
        <f t="shared" si="21"/>
        <v>0</v>
      </c>
      <c r="AK48" s="1059">
        <f t="shared" si="21"/>
        <v>0</v>
      </c>
      <c r="AL48" s="1059">
        <f t="shared" si="21"/>
        <v>0</v>
      </c>
      <c r="AM48" s="1059">
        <f t="shared" si="21"/>
        <v>0</v>
      </c>
      <c r="AN48" s="1059">
        <f t="shared" si="21"/>
        <v>0</v>
      </c>
      <c r="AO48" s="1059">
        <f t="shared" si="21"/>
        <v>0</v>
      </c>
      <c r="AP48" s="1059">
        <f t="shared" si="21"/>
        <v>0</v>
      </c>
      <c r="AQ48" s="1059">
        <f t="shared" si="21"/>
        <v>0</v>
      </c>
      <c r="AR48" s="1059">
        <f t="shared" si="21"/>
        <v>0</v>
      </c>
      <c r="AS48" s="1059">
        <f t="shared" si="21"/>
        <v>0</v>
      </c>
      <c r="AT48" s="1059">
        <f t="shared" si="21"/>
        <v>0</v>
      </c>
      <c r="AU48" s="1282">
        <f t="shared" ref="AU48:AU61" si="22">SUM(B48:AT48)</f>
        <v>0</v>
      </c>
    </row>
    <row r="49" spans="1:53">
      <c r="A49" s="142" t="str">
        <f t="shared" si="18"/>
        <v>Transfers Villa</v>
      </c>
      <c r="S49" s="1059">
        <f t="shared" ref="S49:AT49" si="23">S16*S37</f>
        <v>0</v>
      </c>
      <c r="T49" s="1059">
        <f t="shared" si="23"/>
        <v>0</v>
      </c>
      <c r="U49" s="1059">
        <f t="shared" si="23"/>
        <v>0</v>
      </c>
      <c r="V49" s="1059">
        <f t="shared" si="23"/>
        <v>0</v>
      </c>
      <c r="W49" s="1059">
        <f t="shared" si="23"/>
        <v>0</v>
      </c>
      <c r="X49" s="1059">
        <f t="shared" si="23"/>
        <v>0</v>
      </c>
      <c r="Y49" s="1059">
        <f t="shared" si="23"/>
        <v>0</v>
      </c>
      <c r="Z49" s="1059">
        <f t="shared" si="23"/>
        <v>0</v>
      </c>
      <c r="AA49" s="1059">
        <f t="shared" si="23"/>
        <v>0</v>
      </c>
      <c r="AB49" s="1059">
        <f t="shared" si="23"/>
        <v>0</v>
      </c>
      <c r="AC49" s="1059">
        <f t="shared" si="23"/>
        <v>0</v>
      </c>
      <c r="AD49" s="1059">
        <f t="shared" si="23"/>
        <v>0</v>
      </c>
      <c r="AE49" s="1059">
        <f t="shared" si="23"/>
        <v>0</v>
      </c>
      <c r="AF49" s="1059">
        <f t="shared" si="23"/>
        <v>0</v>
      </c>
      <c r="AG49" s="1059">
        <f t="shared" si="23"/>
        <v>0</v>
      </c>
      <c r="AH49" s="1059">
        <f t="shared" si="23"/>
        <v>0</v>
      </c>
      <c r="AI49" s="1059">
        <f t="shared" si="23"/>
        <v>0</v>
      </c>
      <c r="AJ49" s="1059">
        <f t="shared" si="23"/>
        <v>0</v>
      </c>
      <c r="AK49" s="1059">
        <f t="shared" si="23"/>
        <v>0</v>
      </c>
      <c r="AL49" s="1059">
        <f t="shared" si="23"/>
        <v>0</v>
      </c>
      <c r="AM49" s="1059">
        <f t="shared" si="23"/>
        <v>0</v>
      </c>
      <c r="AN49" s="1059">
        <f t="shared" si="23"/>
        <v>0</v>
      </c>
      <c r="AO49" s="1059">
        <f t="shared" si="23"/>
        <v>0</v>
      </c>
      <c r="AP49" s="1059">
        <f t="shared" si="23"/>
        <v>0</v>
      </c>
      <c r="AQ49" s="1059">
        <f t="shared" si="23"/>
        <v>0</v>
      </c>
      <c r="AR49" s="1059">
        <f t="shared" si="23"/>
        <v>0</v>
      </c>
      <c r="AS49" s="1059">
        <f t="shared" si="23"/>
        <v>0</v>
      </c>
      <c r="AT49" s="1059">
        <f t="shared" si="23"/>
        <v>0</v>
      </c>
      <c r="AU49" s="1282">
        <f t="shared" si="22"/>
        <v>0</v>
      </c>
    </row>
    <row r="50" spans="1:53">
      <c r="A50" s="142" t="str">
        <f t="shared" si="18"/>
        <v>Transfers Porta</v>
      </c>
      <c r="S50" s="1059"/>
      <c r="T50" s="1059"/>
      <c r="U50" s="1059"/>
      <c r="V50" s="1059"/>
      <c r="W50" s="1059"/>
      <c r="X50" s="1059"/>
      <c r="Y50" s="1059"/>
      <c r="Z50" s="1059"/>
      <c r="AA50" s="1059"/>
      <c r="AB50" s="1059"/>
      <c r="AC50" s="1059"/>
      <c r="AD50" s="1059"/>
      <c r="AE50" s="1059"/>
      <c r="AF50" s="1059"/>
      <c r="AG50" s="1059"/>
      <c r="AH50" s="1059"/>
      <c r="AI50" s="1059"/>
      <c r="AJ50" s="1059"/>
      <c r="AK50" s="1059"/>
      <c r="AL50" s="1059"/>
      <c r="AM50" s="1059"/>
      <c r="AN50" s="1059"/>
      <c r="AO50" s="1059"/>
      <c r="AP50" s="1059"/>
      <c r="AQ50" s="1059"/>
      <c r="AR50" s="1059"/>
      <c r="AS50" s="1059"/>
      <c r="AT50" s="1059"/>
      <c r="AU50" s="1282"/>
    </row>
    <row r="51" spans="1:53">
      <c r="A51" s="142" t="str">
        <f t="shared" si="18"/>
        <v>Transfers Multiplier</v>
      </c>
      <c r="S51" s="1059"/>
      <c r="T51" s="1059"/>
      <c r="U51" s="1059"/>
      <c r="V51" s="1059"/>
      <c r="W51" s="1059"/>
      <c r="X51" s="1059"/>
      <c r="Y51" s="1059"/>
      <c r="Z51" s="1059"/>
      <c r="AA51" s="1059"/>
      <c r="AB51" s="1059"/>
      <c r="AC51" s="1059"/>
      <c r="AD51" s="1059"/>
      <c r="AE51" s="1059"/>
      <c r="AF51" s="1059"/>
      <c r="AG51" s="1059"/>
      <c r="AH51" s="1059"/>
      <c r="AI51" s="1059"/>
      <c r="AJ51" s="1059"/>
      <c r="AK51" s="1059"/>
      <c r="AL51" s="1059"/>
      <c r="AM51" s="1059"/>
      <c r="AN51" s="1059"/>
      <c r="AO51" s="1059"/>
      <c r="AP51" s="1059"/>
      <c r="AQ51" s="1059"/>
      <c r="AR51" s="1059"/>
      <c r="AS51" s="1059"/>
      <c r="AT51" s="1059"/>
      <c r="AU51" s="1282"/>
    </row>
    <row r="52" spans="1:53">
      <c r="A52" s="142">
        <f t="shared" si="18"/>
        <v>0</v>
      </c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59"/>
      <c r="AJ52" s="1059"/>
      <c r="AK52" s="1059"/>
      <c r="AL52" s="1059"/>
      <c r="AM52" s="1059"/>
      <c r="AN52" s="1059"/>
      <c r="AO52" s="1059"/>
      <c r="AP52" s="1059"/>
      <c r="AQ52" s="1059"/>
      <c r="AR52" s="1059"/>
      <c r="AS52" s="1059"/>
      <c r="AT52" s="1059"/>
      <c r="AU52" s="1282"/>
    </row>
    <row r="53" spans="1:53">
      <c r="A53" s="142" t="str">
        <f t="shared" si="18"/>
        <v>Transfers  Boars</v>
      </c>
      <c r="S53" s="1059">
        <f t="shared" ref="S53:AT53" si="24">S20*S37</f>
        <v>0</v>
      </c>
      <c r="T53" s="1059">
        <f t="shared" si="24"/>
        <v>0</v>
      </c>
      <c r="U53" s="1059">
        <f t="shared" si="24"/>
        <v>0</v>
      </c>
      <c r="V53" s="1059">
        <f t="shared" si="24"/>
        <v>0</v>
      </c>
      <c r="W53" s="1059">
        <f t="shared" si="24"/>
        <v>0</v>
      </c>
      <c r="X53" s="1059">
        <f t="shared" si="24"/>
        <v>0</v>
      </c>
      <c r="Y53" s="1059">
        <f t="shared" si="24"/>
        <v>0</v>
      </c>
      <c r="Z53" s="1059">
        <f t="shared" si="24"/>
        <v>0</v>
      </c>
      <c r="AA53" s="1059">
        <f t="shared" si="24"/>
        <v>0</v>
      </c>
      <c r="AB53" s="1059">
        <f t="shared" si="24"/>
        <v>0</v>
      </c>
      <c r="AC53" s="1059">
        <f t="shared" si="24"/>
        <v>0</v>
      </c>
      <c r="AD53" s="1059">
        <f t="shared" si="24"/>
        <v>0</v>
      </c>
      <c r="AE53" s="1059">
        <f t="shared" si="24"/>
        <v>0</v>
      </c>
      <c r="AF53" s="1059">
        <f t="shared" si="24"/>
        <v>0</v>
      </c>
      <c r="AG53" s="1059">
        <f t="shared" si="24"/>
        <v>0</v>
      </c>
      <c r="AH53" s="1059">
        <f t="shared" si="24"/>
        <v>0</v>
      </c>
      <c r="AI53" s="1059">
        <f t="shared" si="24"/>
        <v>0</v>
      </c>
      <c r="AJ53" s="1059">
        <f t="shared" si="24"/>
        <v>0</v>
      </c>
      <c r="AK53" s="1059">
        <f t="shared" si="24"/>
        <v>0</v>
      </c>
      <c r="AL53" s="1059">
        <f t="shared" si="24"/>
        <v>0</v>
      </c>
      <c r="AM53" s="1059">
        <f t="shared" si="24"/>
        <v>0</v>
      </c>
      <c r="AN53" s="1059">
        <f t="shared" si="24"/>
        <v>0</v>
      </c>
      <c r="AO53" s="1059">
        <f>AO20*AO37</f>
        <v>0</v>
      </c>
      <c r="AP53" s="1059">
        <f t="shared" si="24"/>
        <v>0</v>
      </c>
      <c r="AQ53" s="1059">
        <f t="shared" si="24"/>
        <v>0</v>
      </c>
      <c r="AR53" s="1059">
        <f t="shared" si="24"/>
        <v>0</v>
      </c>
      <c r="AS53" s="1059">
        <f t="shared" si="24"/>
        <v>0</v>
      </c>
      <c r="AT53" s="1059">
        <f t="shared" si="24"/>
        <v>0</v>
      </c>
      <c r="AU53" s="1282">
        <f t="shared" si="22"/>
        <v>0</v>
      </c>
    </row>
    <row r="54" spans="1:53">
      <c r="A54" s="142" t="str">
        <f t="shared" si="18"/>
        <v>Transfers Grower</v>
      </c>
      <c r="S54" s="1059">
        <f t="shared" ref="S54:AT54" si="25">S21*S37</f>
        <v>0</v>
      </c>
      <c r="T54" s="1059">
        <f t="shared" si="25"/>
        <v>0</v>
      </c>
      <c r="U54" s="1059">
        <f t="shared" si="25"/>
        <v>0</v>
      </c>
      <c r="V54" s="1059">
        <f t="shared" si="25"/>
        <v>0</v>
      </c>
      <c r="W54" s="1059">
        <f t="shared" si="25"/>
        <v>0</v>
      </c>
      <c r="X54" s="1059">
        <f t="shared" si="25"/>
        <v>0</v>
      </c>
      <c r="Y54" s="1059">
        <f t="shared" si="25"/>
        <v>0</v>
      </c>
      <c r="Z54" s="1059">
        <f t="shared" si="25"/>
        <v>0</v>
      </c>
      <c r="AA54" s="1059">
        <f t="shared" si="25"/>
        <v>0</v>
      </c>
      <c r="AB54" s="1059">
        <f>-'Non Current'!O30</f>
        <v>1844.4202548464386</v>
      </c>
      <c r="AC54" s="1059">
        <f t="shared" si="25"/>
        <v>0</v>
      </c>
      <c r="AD54" s="1059">
        <f t="shared" si="25"/>
        <v>0</v>
      </c>
      <c r="AE54" s="1059">
        <f t="shared" si="25"/>
        <v>0</v>
      </c>
      <c r="AF54" s="1059">
        <f t="shared" si="25"/>
        <v>0</v>
      </c>
      <c r="AG54" s="1059">
        <f t="shared" si="25"/>
        <v>0</v>
      </c>
      <c r="AH54" s="1059">
        <f t="shared" si="25"/>
        <v>0</v>
      </c>
      <c r="AI54" s="1059">
        <f t="shared" si="25"/>
        <v>0</v>
      </c>
      <c r="AJ54" s="1059">
        <f t="shared" si="25"/>
        <v>0</v>
      </c>
      <c r="AK54" s="1059">
        <f t="shared" si="25"/>
        <v>0</v>
      </c>
      <c r="AL54" s="1059">
        <f t="shared" si="25"/>
        <v>0</v>
      </c>
      <c r="AM54" s="1059">
        <f t="shared" si="25"/>
        <v>0</v>
      </c>
      <c r="AN54" s="1059">
        <f t="shared" si="25"/>
        <v>0</v>
      </c>
      <c r="AO54" s="1059">
        <f t="shared" si="25"/>
        <v>0</v>
      </c>
      <c r="AP54" s="1059">
        <f t="shared" si="25"/>
        <v>0</v>
      </c>
      <c r="AQ54" s="1059">
        <f t="shared" si="25"/>
        <v>0</v>
      </c>
      <c r="AR54" s="1059">
        <f t="shared" si="25"/>
        <v>0</v>
      </c>
      <c r="AS54" s="1059">
        <f t="shared" si="25"/>
        <v>0</v>
      </c>
      <c r="AT54" s="1059">
        <f t="shared" si="25"/>
        <v>0</v>
      </c>
      <c r="AU54" s="1097">
        <f t="shared" si="22"/>
        <v>1844.4202548464386</v>
      </c>
    </row>
    <row r="55" spans="1:53">
      <c r="A55" s="142" t="str">
        <f t="shared" si="18"/>
        <v>Transfer to Sick Block</v>
      </c>
      <c r="S55" s="1059">
        <f t="shared" ref="S55:AT55" si="26">S22*S37</f>
        <v>0</v>
      </c>
      <c r="T55" s="1059">
        <f t="shared" si="26"/>
        <v>0</v>
      </c>
      <c r="U55" s="1059">
        <f t="shared" si="26"/>
        <v>0</v>
      </c>
      <c r="V55" s="1059">
        <f t="shared" si="26"/>
        <v>0</v>
      </c>
      <c r="W55" s="1059">
        <f t="shared" si="26"/>
        <v>0</v>
      </c>
      <c r="X55" s="1059">
        <f t="shared" si="26"/>
        <v>0</v>
      </c>
      <c r="Y55" s="1059">
        <f t="shared" si="26"/>
        <v>0</v>
      </c>
      <c r="Z55" s="1059">
        <f t="shared" si="26"/>
        <v>0</v>
      </c>
      <c r="AA55" s="1059">
        <f t="shared" si="26"/>
        <v>0</v>
      </c>
      <c r="AB55" s="1059">
        <f t="shared" si="26"/>
        <v>0</v>
      </c>
      <c r="AC55" s="1059">
        <f t="shared" si="26"/>
        <v>0</v>
      </c>
      <c r="AD55" s="1059">
        <f t="shared" si="26"/>
        <v>0</v>
      </c>
      <c r="AE55" s="1059">
        <f t="shared" si="26"/>
        <v>0</v>
      </c>
      <c r="AF55" s="1059">
        <f t="shared" si="26"/>
        <v>0</v>
      </c>
      <c r="AG55" s="1059">
        <f t="shared" si="26"/>
        <v>0</v>
      </c>
      <c r="AH55" s="1059">
        <f t="shared" si="26"/>
        <v>0</v>
      </c>
      <c r="AI55" s="1059">
        <f t="shared" si="26"/>
        <v>0</v>
      </c>
      <c r="AJ55" s="1059">
        <f t="shared" si="26"/>
        <v>0</v>
      </c>
      <c r="AK55" s="1059">
        <f t="shared" si="26"/>
        <v>0</v>
      </c>
      <c r="AL55" s="1059">
        <f t="shared" si="26"/>
        <v>0</v>
      </c>
      <c r="AM55" s="1059">
        <f t="shared" si="26"/>
        <v>0</v>
      </c>
      <c r="AN55" s="1059">
        <f t="shared" si="26"/>
        <v>0</v>
      </c>
      <c r="AO55" s="1059">
        <f t="shared" si="26"/>
        <v>0</v>
      </c>
      <c r="AP55" s="1059">
        <f t="shared" si="26"/>
        <v>0</v>
      </c>
      <c r="AQ55" s="1059">
        <f t="shared" si="26"/>
        <v>0</v>
      </c>
      <c r="AR55" s="1059">
        <f t="shared" si="26"/>
        <v>0</v>
      </c>
      <c r="AS55" s="1059">
        <f t="shared" si="26"/>
        <v>0</v>
      </c>
      <c r="AT55" s="1059">
        <f t="shared" si="26"/>
        <v>0</v>
      </c>
      <c r="AU55" s="1282">
        <f t="shared" si="22"/>
        <v>0</v>
      </c>
    </row>
    <row r="56" spans="1:53">
      <c r="A56" s="142" t="str">
        <f t="shared" si="18"/>
        <v>Transfers Gilts</v>
      </c>
      <c r="S56" s="1059">
        <f t="shared" ref="S56:AT56" si="27">S23*S37</f>
        <v>0</v>
      </c>
      <c r="T56" s="1059">
        <f t="shared" si="27"/>
        <v>0</v>
      </c>
      <c r="U56" s="1059">
        <f t="shared" si="27"/>
        <v>0</v>
      </c>
      <c r="V56" s="1059">
        <f t="shared" si="27"/>
        <v>0</v>
      </c>
      <c r="W56" s="1059">
        <f t="shared" si="27"/>
        <v>0</v>
      </c>
      <c r="X56" s="1059">
        <f t="shared" si="27"/>
        <v>0</v>
      </c>
      <c r="Y56" s="1059">
        <f t="shared" si="27"/>
        <v>0</v>
      </c>
      <c r="Z56" s="1059">
        <f t="shared" si="27"/>
        <v>0</v>
      </c>
      <c r="AA56" s="1059">
        <f t="shared" si="27"/>
        <v>0</v>
      </c>
      <c r="AB56" s="1059">
        <f t="shared" si="27"/>
        <v>0</v>
      </c>
      <c r="AC56" s="1059">
        <f t="shared" si="27"/>
        <v>0</v>
      </c>
      <c r="AD56" s="1059">
        <f t="shared" si="27"/>
        <v>0</v>
      </c>
      <c r="AE56" s="1059">
        <f t="shared" si="27"/>
        <v>0</v>
      </c>
      <c r="AF56" s="1059">
        <f t="shared" si="27"/>
        <v>0</v>
      </c>
      <c r="AG56" s="1059">
        <f t="shared" si="27"/>
        <v>0</v>
      </c>
      <c r="AH56" s="1059">
        <f t="shared" si="27"/>
        <v>0</v>
      </c>
      <c r="AI56" s="1059">
        <f t="shared" si="27"/>
        <v>0</v>
      </c>
      <c r="AJ56" s="1059">
        <f t="shared" si="27"/>
        <v>0</v>
      </c>
      <c r="AK56" s="1059">
        <f>AK23*AK37</f>
        <v>0</v>
      </c>
      <c r="AL56" s="1059">
        <f t="shared" si="27"/>
        <v>0</v>
      </c>
      <c r="AM56" s="1059">
        <f t="shared" si="27"/>
        <v>0</v>
      </c>
      <c r="AN56" s="1059">
        <f t="shared" si="27"/>
        <v>0</v>
      </c>
      <c r="AO56" s="1059">
        <f t="shared" si="27"/>
        <v>0</v>
      </c>
      <c r="AP56" s="1059">
        <f t="shared" si="27"/>
        <v>0</v>
      </c>
      <c r="AQ56" s="1059">
        <f t="shared" si="27"/>
        <v>0</v>
      </c>
      <c r="AR56" s="1059">
        <f t="shared" si="27"/>
        <v>0</v>
      </c>
      <c r="AS56" s="1059">
        <f t="shared" si="27"/>
        <v>0</v>
      </c>
      <c r="AT56" s="1059">
        <f t="shared" si="27"/>
        <v>0</v>
      </c>
      <c r="AU56" s="1282">
        <f t="shared" si="22"/>
        <v>0</v>
      </c>
    </row>
    <row r="57" spans="1:53">
      <c r="A57" s="142" t="str">
        <f t="shared" si="18"/>
        <v>Mortality</v>
      </c>
      <c r="S57" s="1059">
        <f t="shared" ref="S57:AT57" si="28">S24*S43</f>
        <v>-748.48505475712705</v>
      </c>
      <c r="T57" s="1059">
        <f t="shared" si="28"/>
        <v>-3497.6122003080936</v>
      </c>
      <c r="U57" s="1059">
        <f t="shared" si="28"/>
        <v>-3514.0745220506465</v>
      </c>
      <c r="V57" s="1059">
        <f t="shared" si="28"/>
        <v>-4755.617744398658</v>
      </c>
      <c r="W57" s="1059">
        <f t="shared" si="28"/>
        <v>-1286.5135365153137</v>
      </c>
      <c r="X57" s="1059">
        <f t="shared" si="28"/>
        <v>-1666.0234481531802</v>
      </c>
      <c r="Y57" s="1059">
        <f t="shared" si="28"/>
        <v>-1211.4641379112841</v>
      </c>
      <c r="Z57" s="1059">
        <f t="shared" si="28"/>
        <v>-289.91389393077947</v>
      </c>
      <c r="AA57" s="1059">
        <f t="shared" si="28"/>
        <v>0</v>
      </c>
      <c r="AB57" s="1059">
        <f t="shared" si="28"/>
        <v>-310.46522719572954</v>
      </c>
      <c r="AC57" s="1059">
        <f t="shared" si="28"/>
        <v>-124.85891974959181</v>
      </c>
      <c r="AD57" s="1059">
        <f t="shared" si="28"/>
        <v>-333.77360386722097</v>
      </c>
      <c r="AE57" s="1059">
        <f t="shared" si="28"/>
        <v>-324.403554692851</v>
      </c>
      <c r="AF57" s="1059">
        <f t="shared" si="28"/>
        <v>-498.27513176802995</v>
      </c>
      <c r="AG57" s="1059">
        <f t="shared" si="28"/>
        <v>-410.16740058402883</v>
      </c>
      <c r="AH57" s="1059">
        <f t="shared" si="28"/>
        <v>-790.21528071016598</v>
      </c>
      <c r="AI57" s="1059">
        <f t="shared" si="28"/>
        <v>-1637.2489033191146</v>
      </c>
      <c r="AJ57" s="1059">
        <f t="shared" si="28"/>
        <v>-701.63954362686377</v>
      </c>
      <c r="AK57" s="1059">
        <f t="shared" si="28"/>
        <v>-803.69921028830515</v>
      </c>
      <c r="AL57" s="1059">
        <f t="shared" si="28"/>
        <v>-1490.667614259808</v>
      </c>
      <c r="AM57" s="1059">
        <f t="shared" si="28"/>
        <v>-2018.3816161545401</v>
      </c>
      <c r="AN57" s="1059">
        <f t="shared" si="28"/>
        <v>-693.70802755108002</v>
      </c>
      <c r="AO57" s="1059">
        <f t="shared" si="28"/>
        <v>-875.83165178008699</v>
      </c>
      <c r="AP57" s="1059">
        <f t="shared" si="28"/>
        <v>-1551.5132826530426</v>
      </c>
      <c r="AQ57" s="1059">
        <f t="shared" si="28"/>
        <v>-1553.4771412269661</v>
      </c>
      <c r="AR57" s="1059">
        <f t="shared" si="28"/>
        <v>-778.87835837216676</v>
      </c>
      <c r="AS57" s="1059">
        <f t="shared" si="28"/>
        <v>-534.0972217246308</v>
      </c>
      <c r="AT57" s="1059">
        <f t="shared" si="28"/>
        <v>0</v>
      </c>
      <c r="AU57" s="1282">
        <f t="shared" si="22"/>
        <v>-32401.006227549311</v>
      </c>
    </row>
    <row r="58" spans="1:53">
      <c r="A58" s="142" t="str">
        <f t="shared" si="18"/>
        <v>Rations</v>
      </c>
      <c r="S58" s="1059">
        <f t="shared" ref="S58:AT58" si="29">S25*S43</f>
        <v>0</v>
      </c>
      <c r="T58" s="1059">
        <f t="shared" si="29"/>
        <v>0</v>
      </c>
      <c r="U58" s="1059">
        <f t="shared" si="29"/>
        <v>0</v>
      </c>
      <c r="V58" s="1059">
        <f t="shared" si="29"/>
        <v>0</v>
      </c>
      <c r="W58" s="1059">
        <f t="shared" si="29"/>
        <v>0</v>
      </c>
      <c r="X58" s="1059">
        <f t="shared" si="29"/>
        <v>0</v>
      </c>
      <c r="Y58" s="1059">
        <f t="shared" si="29"/>
        <v>0</v>
      </c>
      <c r="Z58" s="1059">
        <f t="shared" si="29"/>
        <v>0</v>
      </c>
      <c r="AA58" s="1059">
        <f t="shared" si="29"/>
        <v>0</v>
      </c>
      <c r="AB58" s="1059">
        <f t="shared" si="29"/>
        <v>0</v>
      </c>
      <c r="AC58" s="1059">
        <f t="shared" si="29"/>
        <v>0</v>
      </c>
      <c r="AD58" s="1059">
        <f t="shared" si="29"/>
        <v>0</v>
      </c>
      <c r="AE58" s="1059">
        <f t="shared" si="29"/>
        <v>0</v>
      </c>
      <c r="AF58" s="1059">
        <f t="shared" si="29"/>
        <v>-166.09171058934331</v>
      </c>
      <c r="AG58" s="1059">
        <f t="shared" si="29"/>
        <v>0</v>
      </c>
      <c r="AH58" s="1059">
        <f t="shared" si="29"/>
        <v>-263.40509357005533</v>
      </c>
      <c r="AI58" s="1059">
        <f t="shared" si="29"/>
        <v>0</v>
      </c>
      <c r="AJ58" s="1059">
        <f t="shared" si="29"/>
        <v>0</v>
      </c>
      <c r="AK58" s="1059">
        <f t="shared" si="29"/>
        <v>0</v>
      </c>
      <c r="AL58" s="1059">
        <f t="shared" si="29"/>
        <v>0</v>
      </c>
      <c r="AM58" s="1059">
        <f t="shared" si="29"/>
        <v>0</v>
      </c>
      <c r="AN58" s="1059">
        <f t="shared" si="29"/>
        <v>-346.85401377554001</v>
      </c>
      <c r="AO58" s="1059">
        <f t="shared" si="29"/>
        <v>-583.88776785339132</v>
      </c>
      <c r="AP58" s="1059">
        <f t="shared" si="29"/>
        <v>-930.90796959182546</v>
      </c>
      <c r="AQ58" s="1059">
        <f t="shared" si="29"/>
        <v>0</v>
      </c>
      <c r="AR58" s="1059">
        <f t="shared" si="29"/>
        <v>0</v>
      </c>
      <c r="AS58" s="1059">
        <f t="shared" si="29"/>
        <v>0</v>
      </c>
      <c r="AT58" s="1059">
        <f t="shared" si="29"/>
        <v>-304.77308172933408</v>
      </c>
      <c r="AU58" s="1282">
        <f t="shared" si="22"/>
        <v>-2595.9196371094895</v>
      </c>
    </row>
    <row r="59" spans="1:53">
      <c r="A59" s="142" t="str">
        <f t="shared" si="18"/>
        <v>Pet Food</v>
      </c>
      <c r="S59" s="1059">
        <f t="shared" ref="S59:AT59" si="30">S26*S43</f>
        <v>0</v>
      </c>
      <c r="T59" s="1059">
        <f t="shared" si="30"/>
        <v>0</v>
      </c>
      <c r="U59" s="1059">
        <f t="shared" si="30"/>
        <v>0</v>
      </c>
      <c r="V59" s="1059">
        <f t="shared" si="30"/>
        <v>0</v>
      </c>
      <c r="W59" s="1059">
        <f t="shared" si="30"/>
        <v>0</v>
      </c>
      <c r="X59" s="1059">
        <f t="shared" si="30"/>
        <v>0</v>
      </c>
      <c r="Y59" s="1059">
        <f t="shared" si="30"/>
        <v>0</v>
      </c>
      <c r="Z59" s="1059">
        <f t="shared" si="30"/>
        <v>0</v>
      </c>
      <c r="AA59" s="1059">
        <f t="shared" si="30"/>
        <v>0</v>
      </c>
      <c r="AB59" s="1059">
        <f t="shared" si="30"/>
        <v>0</v>
      </c>
      <c r="AC59" s="1059">
        <f t="shared" si="30"/>
        <v>0</v>
      </c>
      <c r="AD59" s="1059">
        <f t="shared" si="30"/>
        <v>0</v>
      </c>
      <c r="AE59" s="1059">
        <f t="shared" si="30"/>
        <v>0</v>
      </c>
      <c r="AF59" s="1059">
        <f t="shared" si="30"/>
        <v>0</v>
      </c>
      <c r="AG59" s="1059">
        <f t="shared" si="30"/>
        <v>0</v>
      </c>
      <c r="AH59" s="1059">
        <f t="shared" si="30"/>
        <v>0</v>
      </c>
      <c r="AI59" s="1059">
        <f t="shared" si="30"/>
        <v>0</v>
      </c>
      <c r="AJ59" s="1059">
        <f t="shared" si="30"/>
        <v>0</v>
      </c>
      <c r="AK59" s="1059">
        <f t="shared" si="30"/>
        <v>0</v>
      </c>
      <c r="AL59" s="1059">
        <f t="shared" si="30"/>
        <v>0</v>
      </c>
      <c r="AM59" s="1059">
        <f t="shared" si="30"/>
        <v>0</v>
      </c>
      <c r="AN59" s="1059">
        <f t="shared" si="30"/>
        <v>0</v>
      </c>
      <c r="AO59" s="1059">
        <f t="shared" si="30"/>
        <v>0</v>
      </c>
      <c r="AP59" s="1059">
        <f t="shared" si="30"/>
        <v>0</v>
      </c>
      <c r="AQ59" s="1059">
        <f t="shared" si="30"/>
        <v>0</v>
      </c>
      <c r="AR59" s="1059">
        <f t="shared" si="30"/>
        <v>0</v>
      </c>
      <c r="AS59" s="1059">
        <f>AS26*AS43</f>
        <v>0</v>
      </c>
      <c r="AT59" s="1059">
        <f t="shared" si="30"/>
        <v>0</v>
      </c>
      <c r="AU59" s="1282">
        <f t="shared" si="22"/>
        <v>0</v>
      </c>
      <c r="AY59" s="817"/>
      <c r="AZ59" s="818"/>
      <c r="BA59" s="1091"/>
    </row>
    <row r="60" spans="1:53">
      <c r="A60" s="142" t="str">
        <f t="shared" si="18"/>
        <v>Farm Sales</v>
      </c>
      <c r="S60" s="1059">
        <f t="shared" ref="S60:AT60" si="31">S27*S43</f>
        <v>0</v>
      </c>
      <c r="T60" s="1059">
        <f t="shared" si="31"/>
        <v>0</v>
      </c>
      <c r="U60" s="1059">
        <f t="shared" si="31"/>
        <v>0</v>
      </c>
      <c r="V60" s="1059">
        <f t="shared" si="31"/>
        <v>0</v>
      </c>
      <c r="W60" s="1059">
        <f t="shared" si="31"/>
        <v>0</v>
      </c>
      <c r="X60" s="1059">
        <f t="shared" si="31"/>
        <v>0</v>
      </c>
      <c r="Y60" s="1059">
        <f t="shared" si="31"/>
        <v>0</v>
      </c>
      <c r="Z60" s="1059">
        <f t="shared" si="31"/>
        <v>0</v>
      </c>
      <c r="AA60" s="1059">
        <f t="shared" si="31"/>
        <v>0</v>
      </c>
      <c r="AB60" s="1059">
        <f t="shared" si="31"/>
        <v>0</v>
      </c>
      <c r="AC60" s="1059">
        <f t="shared" si="31"/>
        <v>0</v>
      </c>
      <c r="AD60" s="1059">
        <f t="shared" si="31"/>
        <v>0</v>
      </c>
      <c r="AE60" s="1059">
        <f t="shared" si="31"/>
        <v>0</v>
      </c>
      <c r="AF60" s="1059">
        <f t="shared" si="31"/>
        <v>0</v>
      </c>
      <c r="AG60" s="1059">
        <f t="shared" si="31"/>
        <v>0</v>
      </c>
      <c r="AH60" s="1059">
        <f t="shared" si="31"/>
        <v>0</v>
      </c>
      <c r="AI60" s="1059">
        <f t="shared" si="31"/>
        <v>0</v>
      </c>
      <c r="AJ60" s="1059">
        <f t="shared" si="31"/>
        <v>0</v>
      </c>
      <c r="AK60" s="1059">
        <f t="shared" si="31"/>
        <v>0</v>
      </c>
      <c r="AL60" s="1059">
        <f t="shared" si="31"/>
        <v>0</v>
      </c>
      <c r="AM60" s="1059">
        <f t="shared" si="31"/>
        <v>0</v>
      </c>
      <c r="AN60" s="1059">
        <f t="shared" si="31"/>
        <v>0</v>
      </c>
      <c r="AO60" s="1059">
        <f t="shared" si="31"/>
        <v>0</v>
      </c>
      <c r="AP60" s="1059">
        <f t="shared" si="31"/>
        <v>0</v>
      </c>
      <c r="AQ60" s="1059">
        <f t="shared" si="31"/>
        <v>0</v>
      </c>
      <c r="AR60" s="1059">
        <f t="shared" si="31"/>
        <v>0</v>
      </c>
      <c r="AS60" s="1059">
        <f t="shared" si="31"/>
        <v>0</v>
      </c>
      <c r="AT60" s="1059">
        <f t="shared" si="31"/>
        <v>0</v>
      </c>
      <c r="AU60" s="1282">
        <f t="shared" si="22"/>
        <v>0</v>
      </c>
    </row>
    <row r="61" spans="1:53" ht="16.149999999999999" thickBot="1">
      <c r="A61" s="142" t="str">
        <f t="shared" si="18"/>
        <v xml:space="preserve"> Colcom Sales</v>
      </c>
      <c r="S61" s="1059">
        <f t="shared" ref="S61:AR61" si="32">S28*S43</f>
        <v>0</v>
      </c>
      <c r="T61" s="1059">
        <f t="shared" si="32"/>
        <v>0</v>
      </c>
      <c r="U61" s="1059">
        <f t="shared" si="32"/>
        <v>0</v>
      </c>
      <c r="V61" s="1059">
        <f t="shared" si="32"/>
        <v>0</v>
      </c>
      <c r="W61" s="1059">
        <f t="shared" si="32"/>
        <v>0</v>
      </c>
      <c r="X61" s="1059">
        <f t="shared" si="32"/>
        <v>0</v>
      </c>
      <c r="Y61" s="1059">
        <f t="shared" si="32"/>
        <v>0</v>
      </c>
      <c r="Z61" s="1059">
        <f t="shared" si="32"/>
        <v>0</v>
      </c>
      <c r="AA61" s="1059">
        <f t="shared" si="32"/>
        <v>0</v>
      </c>
      <c r="AB61" s="1059">
        <f t="shared" si="32"/>
        <v>0</v>
      </c>
      <c r="AC61" s="1059">
        <f t="shared" si="32"/>
        <v>0</v>
      </c>
      <c r="AD61" s="1059">
        <f t="shared" si="32"/>
        <v>0</v>
      </c>
      <c r="AE61" s="1059">
        <f t="shared" si="32"/>
        <v>0</v>
      </c>
      <c r="AF61" s="1059">
        <f t="shared" si="32"/>
        <v>0</v>
      </c>
      <c r="AG61" s="1059">
        <f t="shared" si="32"/>
        <v>0</v>
      </c>
      <c r="AH61" s="1059">
        <f t="shared" si="32"/>
        <v>0</v>
      </c>
      <c r="AI61" s="1059">
        <f t="shared" si="32"/>
        <v>0</v>
      </c>
      <c r="AJ61" s="1059">
        <f t="shared" si="32"/>
        <v>0</v>
      </c>
      <c r="AK61" s="1059">
        <f t="shared" si="32"/>
        <v>0</v>
      </c>
      <c r="AL61" s="1059">
        <f t="shared" si="32"/>
        <v>0</v>
      </c>
      <c r="AM61" s="1059">
        <f t="shared" si="32"/>
        <v>0</v>
      </c>
      <c r="AN61" s="1059">
        <f t="shared" si="32"/>
        <v>0</v>
      </c>
      <c r="AO61" s="1059">
        <f t="shared" si="32"/>
        <v>-180713.26415062463</v>
      </c>
      <c r="AP61" s="1059">
        <f t="shared" si="32"/>
        <v>-191456.73907938544</v>
      </c>
      <c r="AQ61" s="1059">
        <f t="shared" si="32"/>
        <v>-240400.587604873</v>
      </c>
      <c r="AR61" s="1059">
        <f t="shared" si="32"/>
        <v>-224316.96721118403</v>
      </c>
      <c r="AS61" s="1059">
        <f>AS28*AS43</f>
        <v>-1335.243054311577</v>
      </c>
      <c r="AT61" s="1059">
        <f>AT28*AT43</f>
        <v>0</v>
      </c>
      <c r="AU61" s="1282">
        <f t="shared" si="22"/>
        <v>-838222.80110037874</v>
      </c>
    </row>
    <row r="62" spans="1:53" ht="16.149999999999999" thickBot="1">
      <c r="A62" s="1070" t="s">
        <v>1810</v>
      </c>
      <c r="B62" s="1318">
        <f>SUM(B57:B61)+B41</f>
        <v>4670.9080717488787</v>
      </c>
      <c r="C62" s="1318">
        <f t="shared" ref="C62:AT62" si="33">SUM(C57:C61)+C41</f>
        <v>4670.9080717488787</v>
      </c>
      <c r="D62" s="1318">
        <f t="shared" si="33"/>
        <v>4670.9080717488787</v>
      </c>
      <c r="E62" s="1318">
        <f t="shared" si="33"/>
        <v>4670.9080717488787</v>
      </c>
      <c r="F62" s="1318">
        <f t="shared" si="33"/>
        <v>10523.748878923767</v>
      </c>
      <c r="G62" s="1318">
        <f t="shared" si="33"/>
        <v>10523.748878923767</v>
      </c>
      <c r="H62" s="1318">
        <f t="shared" si="33"/>
        <v>10523.748878923767</v>
      </c>
      <c r="I62" s="1318">
        <f t="shared" si="33"/>
        <v>10523.748878923767</v>
      </c>
      <c r="J62" s="1318">
        <f t="shared" si="33"/>
        <v>10025.627802690582</v>
      </c>
      <c r="K62" s="1318">
        <f t="shared" si="33"/>
        <v>14792.07399103139</v>
      </c>
      <c r="L62" s="1318">
        <f t="shared" si="33"/>
        <v>14792.07399103139</v>
      </c>
      <c r="M62" s="1318">
        <f t="shared" si="33"/>
        <v>14792.07399103139</v>
      </c>
      <c r="N62" s="1318">
        <f t="shared" si="33"/>
        <v>15726.255605381164</v>
      </c>
      <c r="O62" s="1318">
        <f t="shared" si="33"/>
        <v>19962.266143497756</v>
      </c>
      <c r="P62" s="1318">
        <f t="shared" si="33"/>
        <v>19962.266143497756</v>
      </c>
      <c r="Q62" s="1318">
        <f t="shared" si="33"/>
        <v>19962.266143497756</v>
      </c>
      <c r="R62" s="1318">
        <f t="shared" si="33"/>
        <v>25317.967937219728</v>
      </c>
      <c r="S62" s="1318">
        <f t="shared" si="33"/>
        <v>29618.622881103456</v>
      </c>
      <c r="T62" s="1318">
        <f t="shared" si="33"/>
        <v>33950.155757657223</v>
      </c>
      <c r="U62" s="1318">
        <f t="shared" si="33"/>
        <v>38314.748014616729</v>
      </c>
      <c r="V62" s="1318">
        <f t="shared" si="33"/>
        <v>31101.740048367217</v>
      </c>
      <c r="W62" s="1318">
        <f t="shared" si="33"/>
        <v>20395.94631060863</v>
      </c>
      <c r="X62" s="1318">
        <f t="shared" si="33"/>
        <v>48920.506704861567</v>
      </c>
      <c r="Y62" s="1318">
        <f t="shared" si="33"/>
        <v>50639.20096469167</v>
      </c>
      <c r="Z62" s="1318">
        <f t="shared" si="33"/>
        <v>62621.401089048362</v>
      </c>
      <c r="AA62" s="1318">
        <f t="shared" si="33"/>
        <v>54282.554601898039</v>
      </c>
      <c r="AB62" s="1318">
        <f t="shared" si="33"/>
        <v>66750.023847081844</v>
      </c>
      <c r="AC62" s="1318">
        <f t="shared" si="33"/>
        <v>79909.708639738761</v>
      </c>
      <c r="AD62" s="1318">
        <f t="shared" si="33"/>
        <v>107141.32684137793</v>
      </c>
      <c r="AE62" s="1318">
        <f t="shared" si="33"/>
        <v>99105.285958665991</v>
      </c>
      <c r="AF62" s="1318">
        <f t="shared" si="33"/>
        <v>102146.40201244614</v>
      </c>
      <c r="AG62" s="1318">
        <f t="shared" si="33"/>
        <v>118128.2113682003</v>
      </c>
      <c r="AH62" s="1318">
        <f t="shared" si="33"/>
        <v>153828.5746449123</v>
      </c>
      <c r="AI62" s="1318">
        <f t="shared" si="33"/>
        <v>161269.01697693279</v>
      </c>
      <c r="AJ62" s="1318">
        <f t="shared" si="33"/>
        <v>148981.46309677072</v>
      </c>
      <c r="AK62" s="1318">
        <f t="shared" si="33"/>
        <v>171187.93179140901</v>
      </c>
      <c r="AL62" s="1318">
        <f t="shared" si="33"/>
        <v>189016.65348814367</v>
      </c>
      <c r="AM62" s="1318">
        <f t="shared" si="33"/>
        <v>205874.92484776309</v>
      </c>
      <c r="AN62" s="1318">
        <f t="shared" si="33"/>
        <v>199094.20390715994</v>
      </c>
      <c r="AO62" s="1318">
        <f t="shared" si="33"/>
        <v>0</v>
      </c>
      <c r="AP62" s="1318">
        <f t="shared" si="33"/>
        <v>0</v>
      </c>
      <c r="AQ62" s="1318">
        <f t="shared" si="33"/>
        <v>0</v>
      </c>
      <c r="AR62" s="1318">
        <f t="shared" si="33"/>
        <v>0</v>
      </c>
      <c r="AS62" s="1318">
        <f t="shared" si="33"/>
        <v>0</v>
      </c>
      <c r="AT62" s="1318">
        <f t="shared" si="33"/>
        <v>0</v>
      </c>
      <c r="AU62" s="818">
        <f>SUM(B62:AT62)</f>
        <v>2388390.1033450249</v>
      </c>
      <c r="AV62" s="1066"/>
      <c r="AW62" s="1066"/>
      <c r="AX62" s="1066"/>
      <c r="AY62" s="1066"/>
    </row>
    <row r="63" spans="1:53">
      <c r="A63" s="1075"/>
      <c r="B63" s="1061"/>
      <c r="C63" s="1061"/>
      <c r="D63" s="1075"/>
      <c r="E63" s="1061"/>
      <c r="F63" s="1075"/>
      <c r="G63" s="1061"/>
      <c r="H63" s="1061"/>
      <c r="I63" s="1061"/>
      <c r="J63" s="1061"/>
      <c r="K63" s="1061"/>
      <c r="L63" s="1061"/>
      <c r="M63" s="1061"/>
      <c r="N63" s="1061"/>
      <c r="O63" s="1061"/>
      <c r="P63" s="1061"/>
      <c r="Q63" s="1061"/>
      <c r="R63" s="1061"/>
      <c r="S63" s="1061"/>
      <c r="T63" s="1061"/>
      <c r="U63" s="1061"/>
      <c r="V63" s="1061"/>
      <c r="W63" s="1061"/>
      <c r="X63" s="1061"/>
      <c r="Y63" s="1061"/>
      <c r="Z63" s="1061"/>
      <c r="AA63" s="1061"/>
      <c r="AB63" s="1061"/>
      <c r="AC63" s="1061"/>
      <c r="AD63" s="1061"/>
      <c r="AE63" s="1061"/>
      <c r="AF63" s="1061"/>
      <c r="AG63" s="1061"/>
      <c r="AH63" s="1061"/>
      <c r="AI63" s="1061"/>
      <c r="AJ63" s="1061"/>
      <c r="AK63" s="1061"/>
      <c r="AL63" s="1061"/>
      <c r="AM63" s="1061"/>
      <c r="AN63" s="1061"/>
      <c r="AO63" s="1061"/>
      <c r="AP63" s="1061"/>
      <c r="AQ63" s="1061"/>
      <c r="AR63" s="1061"/>
      <c r="AS63" s="1061"/>
      <c r="AT63" s="1061"/>
      <c r="AU63" s="1062"/>
      <c r="AV63" s="1061"/>
      <c r="AW63" s="1061"/>
      <c r="AX63" s="1089"/>
    </row>
    <row r="64" spans="1:53">
      <c r="A64" s="1075" t="s">
        <v>1811</v>
      </c>
      <c r="B64" s="1061"/>
      <c r="C64" s="1061"/>
      <c r="D64" s="1075" t="s">
        <v>1812</v>
      </c>
      <c r="E64" s="1061"/>
      <c r="F64" s="1075" t="s">
        <v>62</v>
      </c>
      <c r="G64" s="1061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1"/>
      <c r="X64" s="1061"/>
      <c r="Y64" s="1061"/>
      <c r="Z64" s="1061"/>
      <c r="AA64" s="1061"/>
      <c r="AB64" s="1061"/>
      <c r="AC64" s="1061"/>
      <c r="AD64" s="1061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061"/>
      <c r="AP64" s="1061"/>
      <c r="AQ64" s="1061"/>
      <c r="AR64" s="1061"/>
      <c r="AS64" s="1061"/>
      <c r="AT64" s="1061"/>
      <c r="AU64" s="1062"/>
      <c r="AV64" s="1061"/>
      <c r="AW64" s="1061"/>
      <c r="AX64" s="1089"/>
    </row>
    <row r="65" spans="1:51">
      <c r="A65" s="1061" t="s">
        <v>1813</v>
      </c>
      <c r="B65" s="1064">
        <f>+'Feed Cost &amp; Allocation'!T75+'Feed Cost &amp; Allocation'!I75</f>
        <v>14162</v>
      </c>
      <c r="C65" s="1061"/>
      <c r="D65" s="1061"/>
      <c r="E65" s="1061"/>
      <c r="F65" s="1061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  <c r="AR65" s="1061"/>
      <c r="AS65" s="1061"/>
      <c r="AT65" s="1061"/>
      <c r="AU65" s="1062"/>
      <c r="AV65" s="1061"/>
      <c r="AW65" s="1061"/>
      <c r="AX65" s="1089"/>
    </row>
    <row r="66" spans="1:51">
      <c r="A66" s="1061" t="s">
        <v>60</v>
      </c>
      <c r="B66" s="1064">
        <f>+'Feed Cost &amp; Allocation'!K75+'Feed Cost &amp; Allocation'!N75+'Feed Cost &amp; Allocation'!AE75</f>
        <v>58814</v>
      </c>
      <c r="C66" s="1061"/>
      <c r="D66" s="1064">
        <f>+'Feed Cost &amp; Allocation'!L75</f>
        <v>0</v>
      </c>
      <c r="E66" s="1061"/>
      <c r="F66" s="1064">
        <f>+'Feed Cost &amp; Allocation'!C75+'Feed Cost &amp; Allocation'!AC75+'Feed Cost &amp; Allocation'!AG75</f>
        <v>42485</v>
      </c>
      <c r="G66" s="1061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061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1"/>
      <c r="AW66" s="1061"/>
      <c r="AX66" s="1089"/>
    </row>
    <row r="67" spans="1:51">
      <c r="A67" s="1061" t="s">
        <v>1829</v>
      </c>
      <c r="B67" s="1064">
        <f>+'Feed Cost &amp; Allocation'!O75</f>
        <v>10353</v>
      </c>
      <c r="C67" s="1061"/>
      <c r="D67" s="1064">
        <f>+'Feed Cost &amp; Allocation'!M75</f>
        <v>44977</v>
      </c>
      <c r="E67" s="1061"/>
      <c r="F67" s="1064">
        <f>SUM(W26:Z26)/(SUM(W29:Z29)-SUM(W26:Z26))*F66</f>
        <v>0</v>
      </c>
      <c r="G67" s="1061"/>
      <c r="H67" s="1061"/>
      <c r="I67" s="1061"/>
      <c r="J67" s="1061"/>
      <c r="K67" s="1061"/>
      <c r="L67" s="1061"/>
      <c r="M67" s="1061"/>
      <c r="N67" s="1061"/>
      <c r="O67" s="1061"/>
      <c r="P67" s="1061"/>
      <c r="Q67" s="1061"/>
      <c r="R67" s="1061"/>
      <c r="S67" s="1061"/>
      <c r="T67" s="1061"/>
      <c r="U67" s="1061"/>
      <c r="V67" s="1061"/>
      <c r="W67" s="1061"/>
      <c r="X67" s="1061"/>
      <c r="Y67" s="1061"/>
      <c r="Z67" s="1061"/>
      <c r="AA67" s="1061"/>
      <c r="AB67" s="1061"/>
      <c r="AC67" s="1061"/>
      <c r="AD67" s="1061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  <c r="AR67" s="1061"/>
      <c r="AS67" s="1061"/>
      <c r="AT67" s="1061"/>
      <c r="AU67" s="1062"/>
      <c r="AV67" s="1061"/>
      <c r="AW67" s="1061"/>
      <c r="AX67" s="1089"/>
    </row>
    <row r="68" spans="1:51">
      <c r="A68" s="1075" t="s">
        <v>71</v>
      </c>
      <c r="B68" s="1076">
        <f>SUM(B65:B67)</f>
        <v>83329</v>
      </c>
      <c r="C68" s="1061"/>
      <c r="D68" s="1076">
        <f>SUM(D65:D67)</f>
        <v>44977</v>
      </c>
      <c r="E68" s="1061"/>
      <c r="F68" s="1064">
        <f>SUM(F66:F67)</f>
        <v>42485</v>
      </c>
      <c r="G68" s="1061"/>
      <c r="H68" s="1061"/>
      <c r="I68" s="1061"/>
      <c r="J68" s="1061"/>
      <c r="K68" s="1061"/>
      <c r="L68" s="1061"/>
      <c r="M68" s="1061"/>
      <c r="N68" s="1061"/>
      <c r="O68" s="1061"/>
      <c r="P68" s="1061"/>
      <c r="Q68" s="1061"/>
      <c r="R68" s="1061"/>
      <c r="S68" s="1061"/>
      <c r="T68" s="1061"/>
      <c r="U68" s="1061"/>
      <c r="V68" s="1061"/>
      <c r="W68" s="1061"/>
      <c r="X68" s="1061"/>
      <c r="Y68" s="1061"/>
      <c r="Z68" s="1061"/>
      <c r="AA68" s="1061"/>
      <c r="AB68" s="1061"/>
      <c r="AC68" s="1061"/>
      <c r="AD68" s="1061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  <c r="AR68" s="1061"/>
      <c r="AS68" s="1061"/>
      <c r="AT68" s="1061"/>
      <c r="AU68" s="1062"/>
      <c r="AV68" s="1061"/>
      <c r="AW68" s="1061"/>
      <c r="AX68" s="1089"/>
    </row>
    <row r="69" spans="1:51">
      <c r="A69" s="1061"/>
      <c r="B69" s="1061"/>
      <c r="C69" s="1061"/>
      <c r="D69" s="1061"/>
      <c r="E69" s="1061"/>
      <c r="F69" s="1061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1"/>
      <c r="AW69" s="1061"/>
      <c r="AX69" s="1089"/>
    </row>
    <row r="70" spans="1:51">
      <c r="A70" s="1077" t="s">
        <v>1815</v>
      </c>
      <c r="B70" s="1077" t="str">
        <f t="shared" ref="B70:AA70" si="34">B3</f>
        <v>DRY SOW</v>
      </c>
      <c r="C70" s="1077" t="str">
        <f t="shared" si="34"/>
        <v>DRY SOW</v>
      </c>
      <c r="D70" s="1077" t="str">
        <f t="shared" si="34"/>
        <v>DRY SOW</v>
      </c>
      <c r="E70" s="1078" t="str">
        <f t="shared" si="34"/>
        <v>DRY SOW</v>
      </c>
      <c r="F70" s="1078" t="str">
        <f t="shared" si="34"/>
        <v>DRY SOW</v>
      </c>
      <c r="G70" s="1078" t="str">
        <f t="shared" si="34"/>
        <v>DRY SOW</v>
      </c>
      <c r="H70" s="1078" t="str">
        <f t="shared" si="34"/>
        <v>DRY SOW</v>
      </c>
      <c r="I70" s="1078" t="str">
        <f t="shared" si="34"/>
        <v>DRY SOW</v>
      </c>
      <c r="J70" s="1078" t="str">
        <f t="shared" si="34"/>
        <v>DRY SOW</v>
      </c>
      <c r="K70" s="1078" t="str">
        <f t="shared" si="34"/>
        <v>DRY SOW</v>
      </c>
      <c r="L70" s="1078" t="str">
        <f t="shared" si="34"/>
        <v>DRY SOW</v>
      </c>
      <c r="M70" s="1078" t="str">
        <f t="shared" si="34"/>
        <v>DRY SOW</v>
      </c>
      <c r="N70" s="1078" t="str">
        <f t="shared" si="34"/>
        <v>DRY SOW</v>
      </c>
      <c r="O70" s="1078" t="str">
        <f t="shared" si="34"/>
        <v>DRY SOW</v>
      </c>
      <c r="P70" s="1078" t="str">
        <f t="shared" si="34"/>
        <v>DRY SOW</v>
      </c>
      <c r="Q70" s="1078" t="str">
        <f t="shared" si="34"/>
        <v>DRY SOW</v>
      </c>
      <c r="R70" s="1078" t="str">
        <f t="shared" si="34"/>
        <v>Flush</v>
      </c>
      <c r="S70" s="1078" t="str">
        <f t="shared" si="34"/>
        <v>LACTATE</v>
      </c>
      <c r="T70" s="1078" t="str">
        <f t="shared" si="34"/>
        <v>LACTATE</v>
      </c>
      <c r="U70" s="1078" t="str">
        <f t="shared" si="34"/>
        <v>LACTATE</v>
      </c>
      <c r="V70" s="1078" t="str">
        <f t="shared" si="34"/>
        <v>Early Wean</v>
      </c>
      <c r="W70" s="1078" t="str">
        <f t="shared" si="34"/>
        <v>Early Wean</v>
      </c>
      <c r="X70" s="1078" t="str">
        <f t="shared" si="34"/>
        <v>CREEP</v>
      </c>
      <c r="Y70" s="1078" t="str">
        <f t="shared" si="34"/>
        <v>CREEP</v>
      </c>
      <c r="Z70" s="1078" t="str">
        <f t="shared" si="34"/>
        <v>WEANER</v>
      </c>
      <c r="AA70" s="1078" t="str">
        <f t="shared" si="34"/>
        <v>WEANER</v>
      </c>
      <c r="AB70" s="1078" t="str">
        <f>AA70</f>
        <v>WEANER</v>
      </c>
      <c r="AC70" s="1078" t="str">
        <f>AB70</f>
        <v>WEANER</v>
      </c>
      <c r="AD70" s="1078" t="str">
        <f t="shared" ref="AD70:AN70" si="35">AD3</f>
        <v>GROWER 1</v>
      </c>
      <c r="AE70" s="1078" t="str">
        <f t="shared" si="35"/>
        <v>GROWER 1</v>
      </c>
      <c r="AF70" s="1078" t="str">
        <f t="shared" si="35"/>
        <v>GROWER 2</v>
      </c>
      <c r="AG70" s="1078" t="str">
        <f t="shared" si="35"/>
        <v>GROWER 2</v>
      </c>
      <c r="AH70" s="1078" t="str">
        <f t="shared" si="35"/>
        <v>GROWER 3</v>
      </c>
      <c r="AI70" s="1078" t="str">
        <f t="shared" si="35"/>
        <v>GROWER 3</v>
      </c>
      <c r="AJ70" s="1078" t="str">
        <f t="shared" si="35"/>
        <v>FINISHER</v>
      </c>
      <c r="AK70" s="1078" t="str">
        <f t="shared" si="35"/>
        <v>FINISHER</v>
      </c>
      <c r="AL70" s="1078" t="str">
        <f t="shared" si="35"/>
        <v>FINISHER</v>
      </c>
      <c r="AM70" s="1078" t="str">
        <f t="shared" si="35"/>
        <v>FINISHER</v>
      </c>
      <c r="AN70" s="1078" t="str">
        <f t="shared" si="35"/>
        <v>FINISHER</v>
      </c>
      <c r="AO70" s="1078" t="s">
        <v>71</v>
      </c>
      <c r="AP70" s="1079"/>
      <c r="AQ70" s="1079"/>
      <c r="AR70" s="1079"/>
      <c r="AS70" s="1066"/>
      <c r="AT70" s="1066"/>
      <c r="AU70" s="1068"/>
      <c r="AV70" s="1066"/>
      <c r="AW70" s="1066"/>
      <c r="AX70" s="1066"/>
      <c r="AY70" s="1066"/>
    </row>
    <row r="71" spans="1:51">
      <c r="A71" s="1077" t="s">
        <v>1816</v>
      </c>
      <c r="B71" s="1077">
        <v>7</v>
      </c>
      <c r="C71" s="1077">
        <v>7</v>
      </c>
      <c r="D71" s="1077">
        <v>7</v>
      </c>
      <c r="E71" s="1077">
        <v>7</v>
      </c>
      <c r="F71" s="1077">
        <v>7</v>
      </c>
      <c r="G71" s="1077">
        <v>7</v>
      </c>
      <c r="H71" s="1077">
        <v>7</v>
      </c>
      <c r="I71" s="1077">
        <v>7</v>
      </c>
      <c r="J71" s="1077">
        <v>7</v>
      </c>
      <c r="K71" s="1077">
        <v>7</v>
      </c>
      <c r="L71" s="1077">
        <v>7</v>
      </c>
      <c r="M71" s="1077">
        <v>7</v>
      </c>
      <c r="N71" s="1077">
        <v>7</v>
      </c>
      <c r="O71" s="1077">
        <v>7</v>
      </c>
      <c r="P71" s="1077">
        <v>7</v>
      </c>
      <c r="Q71" s="1077">
        <v>7</v>
      </c>
      <c r="R71" s="1077">
        <v>7</v>
      </c>
      <c r="S71" s="1077">
        <v>7</v>
      </c>
      <c r="T71" s="1077">
        <v>7</v>
      </c>
      <c r="U71" s="1077">
        <v>7</v>
      </c>
      <c r="V71" s="1077">
        <v>7</v>
      </c>
      <c r="W71" s="1077">
        <v>7</v>
      </c>
      <c r="X71" s="1077">
        <v>7</v>
      </c>
      <c r="Y71" s="1077">
        <v>7</v>
      </c>
      <c r="Z71" s="1077">
        <v>7</v>
      </c>
      <c r="AA71" s="1077">
        <v>7</v>
      </c>
      <c r="AB71" s="1077">
        <v>7</v>
      </c>
      <c r="AC71" s="1077">
        <v>7</v>
      </c>
      <c r="AD71" s="1077">
        <v>7</v>
      </c>
      <c r="AE71" s="1077">
        <v>7</v>
      </c>
      <c r="AF71" s="1077">
        <v>7</v>
      </c>
      <c r="AG71" s="1077">
        <v>7</v>
      </c>
      <c r="AH71" s="1077">
        <v>7</v>
      </c>
      <c r="AI71" s="1077">
        <v>7</v>
      </c>
      <c r="AJ71" s="1077">
        <v>7</v>
      </c>
      <c r="AK71" s="1077">
        <v>7</v>
      </c>
      <c r="AL71" s="1077">
        <v>7</v>
      </c>
      <c r="AM71" s="1077">
        <v>7</v>
      </c>
      <c r="AN71" s="1077">
        <v>7</v>
      </c>
      <c r="AO71" s="1077"/>
      <c r="AP71" s="1066"/>
      <c r="AQ71" s="1066"/>
      <c r="AR71" s="1066"/>
      <c r="AS71" s="1066"/>
      <c r="AT71" s="1066"/>
      <c r="AU71" s="1068"/>
      <c r="AV71" s="1066"/>
      <c r="AW71" s="1066"/>
      <c r="AX71" s="1066"/>
      <c r="AY71" s="1066"/>
    </row>
    <row r="72" spans="1:51">
      <c r="A72" s="1077" t="s">
        <v>1817</v>
      </c>
      <c r="B72" s="1077">
        <v>2.5</v>
      </c>
      <c r="C72" s="1077">
        <v>2.5</v>
      </c>
      <c r="D72" s="1077">
        <v>2.5</v>
      </c>
      <c r="E72" s="1077">
        <v>2.5</v>
      </c>
      <c r="F72" s="1077">
        <v>2.2999999999999998</v>
      </c>
      <c r="G72" s="1077">
        <v>2.2999999999999998</v>
      </c>
      <c r="H72" s="1077">
        <v>2.2999999999999998</v>
      </c>
      <c r="I72" s="1077">
        <v>2.2999999999999998</v>
      </c>
      <c r="J72" s="1077">
        <v>2.2999999999999998</v>
      </c>
      <c r="K72" s="1077">
        <v>2.2999999999999998</v>
      </c>
      <c r="L72" s="1077">
        <v>2.2999999999999998</v>
      </c>
      <c r="M72" s="1077">
        <v>2.2999999999999998</v>
      </c>
      <c r="N72" s="1077">
        <v>2.8</v>
      </c>
      <c r="O72" s="1077">
        <v>2.8</v>
      </c>
      <c r="P72" s="1077">
        <v>2.8</v>
      </c>
      <c r="Q72" s="1077">
        <v>2.8</v>
      </c>
      <c r="R72" s="1077">
        <v>5</v>
      </c>
      <c r="S72" s="1080">
        <v>3</v>
      </c>
      <c r="T72" s="1080">
        <v>5.5</v>
      </c>
      <c r="U72" s="1080">
        <v>7</v>
      </c>
      <c r="V72" s="1080">
        <v>9.5</v>
      </c>
      <c r="W72" s="1077">
        <v>0.35</v>
      </c>
      <c r="X72" s="1077">
        <v>0.5</v>
      </c>
      <c r="Y72" s="1077">
        <v>0.6</v>
      </c>
      <c r="Z72" s="1077">
        <v>0.9</v>
      </c>
      <c r="AA72" s="1077">
        <v>1.1000000000000001</v>
      </c>
      <c r="AB72" s="1077">
        <v>1.2</v>
      </c>
      <c r="AC72" s="1080">
        <v>1.4</v>
      </c>
      <c r="AD72" s="1080">
        <v>1.6</v>
      </c>
      <c r="AE72" s="1080">
        <v>1.8</v>
      </c>
      <c r="AF72" s="1080">
        <v>2</v>
      </c>
      <c r="AG72" s="1080">
        <v>2.2000000000000002</v>
      </c>
      <c r="AH72" s="1080">
        <v>2.2999999999999998</v>
      </c>
      <c r="AI72" s="1080">
        <v>2.4</v>
      </c>
      <c r="AJ72" s="1080">
        <v>2.5</v>
      </c>
      <c r="AK72" s="1080">
        <v>2.7</v>
      </c>
      <c r="AL72" s="1080">
        <v>2.9</v>
      </c>
      <c r="AM72" s="1080">
        <v>3</v>
      </c>
      <c r="AN72" s="1080">
        <v>3</v>
      </c>
      <c r="AO72" s="1080"/>
      <c r="AP72" s="1073"/>
      <c r="AQ72" s="1073"/>
      <c r="AR72" s="1073"/>
      <c r="AS72" s="1066"/>
      <c r="AT72" s="1066"/>
      <c r="AU72" s="1068"/>
      <c r="AV72" s="1066"/>
      <c r="AW72" s="1066"/>
      <c r="AX72" s="1066"/>
      <c r="AY72" s="1066"/>
    </row>
    <row r="73" spans="1:51">
      <c r="A73" s="1077" t="s">
        <v>1818</v>
      </c>
      <c r="B73" s="1081">
        <f>+'Summary Total Pigs'!AF54/17*5</f>
        <v>315.29411764705884</v>
      </c>
      <c r="C73" s="1081">
        <f>B73</f>
        <v>315.29411764705884</v>
      </c>
      <c r="D73" s="1081">
        <f t="shared" ref="D73:R73" si="36">C73</f>
        <v>315.29411764705884</v>
      </c>
      <c r="E73" s="1081">
        <f t="shared" si="36"/>
        <v>315.29411764705884</v>
      </c>
      <c r="F73" s="1081">
        <f t="shared" si="36"/>
        <v>315.29411764705884</v>
      </c>
      <c r="G73" s="1081">
        <f t="shared" si="36"/>
        <v>315.29411764705884</v>
      </c>
      <c r="H73" s="1081">
        <f t="shared" si="36"/>
        <v>315.29411764705884</v>
      </c>
      <c r="I73" s="1081">
        <f t="shared" si="36"/>
        <v>315.29411764705884</v>
      </c>
      <c r="J73" s="1081">
        <f t="shared" si="36"/>
        <v>315.29411764705884</v>
      </c>
      <c r="K73" s="1081">
        <f t="shared" si="36"/>
        <v>315.29411764705884</v>
      </c>
      <c r="L73" s="1081">
        <f t="shared" si="36"/>
        <v>315.29411764705884</v>
      </c>
      <c r="M73" s="1081">
        <f t="shared" si="36"/>
        <v>315.29411764705884</v>
      </c>
      <c r="N73" s="1081">
        <f t="shared" si="36"/>
        <v>315.29411764705884</v>
      </c>
      <c r="O73" s="1081">
        <f t="shared" si="36"/>
        <v>315.29411764705884</v>
      </c>
      <c r="P73" s="1081">
        <f t="shared" si="36"/>
        <v>315.29411764705884</v>
      </c>
      <c r="Q73" s="1081">
        <f t="shared" si="36"/>
        <v>315.29411764705884</v>
      </c>
      <c r="R73" s="1081">
        <f t="shared" si="36"/>
        <v>315.29411764705884</v>
      </c>
      <c r="S73" s="1081">
        <f>R73</f>
        <v>315.29411764705884</v>
      </c>
      <c r="T73" s="1081">
        <f>S73</f>
        <v>315.29411764705884</v>
      </c>
      <c r="U73" s="1081">
        <f>T73</f>
        <v>315.29411764705884</v>
      </c>
      <c r="V73" s="1081">
        <f>U73</f>
        <v>315.29411764705884</v>
      </c>
      <c r="W73" s="1081">
        <f>SUM(W7:Z7)</f>
        <v>2387</v>
      </c>
      <c r="X73" s="1081">
        <f>SUM(W7:AA7)</f>
        <v>3035</v>
      </c>
      <c r="Y73" s="1081">
        <f t="shared" ref="Y73:AN73" si="37">SUM(Y7:AB7)</f>
        <v>2594</v>
      </c>
      <c r="Z73" s="1081">
        <f t="shared" si="37"/>
        <v>2590</v>
      </c>
      <c r="AA73" s="1081">
        <f t="shared" si="37"/>
        <v>2587</v>
      </c>
      <c r="AB73" s="1081">
        <f t="shared" si="37"/>
        <v>2582</v>
      </c>
      <c r="AC73" s="1081">
        <f t="shared" si="37"/>
        <v>2553</v>
      </c>
      <c r="AD73" s="1081">
        <f t="shared" si="37"/>
        <v>2484</v>
      </c>
      <c r="AE73" s="1081">
        <f t="shared" si="37"/>
        <v>2428</v>
      </c>
      <c r="AF73" s="1081">
        <f t="shared" si="37"/>
        <v>2382</v>
      </c>
      <c r="AG73" s="1081">
        <f t="shared" si="37"/>
        <v>2403</v>
      </c>
      <c r="AH73" s="1081">
        <f t="shared" si="37"/>
        <v>2467</v>
      </c>
      <c r="AI73" s="1081">
        <f t="shared" si="37"/>
        <v>2518</v>
      </c>
      <c r="AJ73" s="1081">
        <f t="shared" si="37"/>
        <v>2539</v>
      </c>
      <c r="AK73" s="1081">
        <f t="shared" si="37"/>
        <v>2476</v>
      </c>
      <c r="AL73" s="1081">
        <f t="shared" si="37"/>
        <v>2458</v>
      </c>
      <c r="AM73" s="1081">
        <f t="shared" si="37"/>
        <v>2444</v>
      </c>
      <c r="AN73" s="1081">
        <f t="shared" si="37"/>
        <v>2449</v>
      </c>
      <c r="AO73" s="1077"/>
      <c r="AP73" s="1066"/>
      <c r="AQ73" s="1066"/>
      <c r="AR73" s="1066"/>
      <c r="AS73" s="1066"/>
      <c r="AT73" s="1066"/>
      <c r="AU73" s="1068"/>
      <c r="AV73" s="1066"/>
      <c r="AW73" s="1066"/>
      <c r="AX73" s="1066"/>
      <c r="AY73" s="1066"/>
    </row>
    <row r="74" spans="1:51">
      <c r="A74" s="1077" t="s">
        <v>1819</v>
      </c>
      <c r="B74" s="1081">
        <f>B71*B72*B73</f>
        <v>5517.6470588235297</v>
      </c>
      <c r="C74" s="1081">
        <f t="shared" ref="C74:Q74" si="38">C71*C72*C73</f>
        <v>5517.6470588235297</v>
      </c>
      <c r="D74" s="1081">
        <f t="shared" si="38"/>
        <v>5517.6470588235297</v>
      </c>
      <c r="E74" s="1081">
        <f t="shared" si="38"/>
        <v>5517.6470588235297</v>
      </c>
      <c r="F74" s="1081">
        <f t="shared" si="38"/>
        <v>5076.2352941176468</v>
      </c>
      <c r="G74" s="1081">
        <f t="shared" si="38"/>
        <v>5076.2352941176468</v>
      </c>
      <c r="H74" s="1081">
        <f t="shared" si="38"/>
        <v>5076.2352941176468</v>
      </c>
      <c r="I74" s="1081">
        <f t="shared" si="38"/>
        <v>5076.2352941176468</v>
      </c>
      <c r="J74" s="1081">
        <f t="shared" si="38"/>
        <v>5076.2352941176468</v>
      </c>
      <c r="K74" s="1081">
        <f t="shared" si="38"/>
        <v>5076.2352941176468</v>
      </c>
      <c r="L74" s="1081">
        <f t="shared" si="38"/>
        <v>5076.2352941176468</v>
      </c>
      <c r="M74" s="1081">
        <f t="shared" si="38"/>
        <v>5076.2352941176468</v>
      </c>
      <c r="N74" s="1081">
        <f t="shared" si="38"/>
        <v>6179.7647058823522</v>
      </c>
      <c r="O74" s="1081">
        <f t="shared" si="38"/>
        <v>6179.7647058823522</v>
      </c>
      <c r="P74" s="1081">
        <f t="shared" si="38"/>
        <v>6179.7647058823522</v>
      </c>
      <c r="Q74" s="1081">
        <f t="shared" si="38"/>
        <v>6179.7647058823522</v>
      </c>
      <c r="R74" s="1081">
        <f>R71*R72*R73</f>
        <v>11035.294117647059</v>
      </c>
      <c r="S74" s="1081">
        <f>S71*S72*S73</f>
        <v>6621.176470588236</v>
      </c>
      <c r="T74" s="1081">
        <f t="shared" ref="T74:AN74" si="39">T71*T72*T73</f>
        <v>12138.823529411766</v>
      </c>
      <c r="U74" s="1081">
        <f t="shared" si="39"/>
        <v>15449.411764705883</v>
      </c>
      <c r="V74" s="1081">
        <f t="shared" si="39"/>
        <v>20967.058823529413</v>
      </c>
      <c r="W74" s="1081">
        <f t="shared" si="39"/>
        <v>5848.15</v>
      </c>
      <c r="X74" s="1081">
        <f t="shared" si="39"/>
        <v>10622.5</v>
      </c>
      <c r="Y74" s="1081">
        <f t="shared" si="39"/>
        <v>10894.800000000001</v>
      </c>
      <c r="Z74" s="1081">
        <f t="shared" si="39"/>
        <v>16317</v>
      </c>
      <c r="AA74" s="1081">
        <f t="shared" si="39"/>
        <v>19919.900000000001</v>
      </c>
      <c r="AB74" s="1081">
        <f t="shared" si="39"/>
        <v>21688.799999999999</v>
      </c>
      <c r="AC74" s="1081">
        <f t="shared" si="39"/>
        <v>25019.399999999998</v>
      </c>
      <c r="AD74" s="1081">
        <f t="shared" si="39"/>
        <v>27820.800000000003</v>
      </c>
      <c r="AE74" s="1081">
        <f t="shared" si="39"/>
        <v>30592.799999999999</v>
      </c>
      <c r="AF74" s="1081">
        <f t="shared" si="39"/>
        <v>33348</v>
      </c>
      <c r="AG74" s="1081">
        <f t="shared" si="39"/>
        <v>37006.200000000004</v>
      </c>
      <c r="AH74" s="1081">
        <f t="shared" si="39"/>
        <v>39718.699999999997</v>
      </c>
      <c r="AI74" s="1081">
        <f t="shared" si="39"/>
        <v>42302.400000000001</v>
      </c>
      <c r="AJ74" s="1081">
        <f t="shared" si="39"/>
        <v>44432.5</v>
      </c>
      <c r="AK74" s="1081">
        <f t="shared" si="39"/>
        <v>46796.400000000009</v>
      </c>
      <c r="AL74" s="1081">
        <f t="shared" si="39"/>
        <v>49897.4</v>
      </c>
      <c r="AM74" s="1081">
        <f t="shared" si="39"/>
        <v>51324</v>
      </c>
      <c r="AN74" s="1081">
        <f t="shared" si="39"/>
        <v>51429</v>
      </c>
      <c r="AO74" s="1081">
        <f>SUM(B74:AN74)</f>
        <v>718590.04411764711</v>
      </c>
      <c r="AP74" s="1066"/>
      <c r="AQ74" s="1066"/>
      <c r="AR74" s="1066"/>
      <c r="AS74" s="1066"/>
      <c r="AT74" s="1066"/>
      <c r="AU74" s="1068"/>
      <c r="AV74" s="1066"/>
      <c r="AW74" s="1066"/>
      <c r="AX74" s="1066"/>
      <c r="AY74" s="1066"/>
    </row>
    <row r="75" spans="1:51">
      <c r="A75" s="1077"/>
      <c r="B75" s="1081"/>
      <c r="C75" s="1081"/>
      <c r="D75" s="1081"/>
      <c r="E75" s="1081"/>
      <c r="F75" s="1081"/>
      <c r="G75" s="1081"/>
      <c r="H75" s="1081"/>
      <c r="I75" s="1081"/>
      <c r="J75" s="1081"/>
      <c r="K75" s="1081"/>
      <c r="L75" s="1081"/>
      <c r="M75" s="1081"/>
      <c r="N75" s="1081"/>
      <c r="O75" s="1081"/>
      <c r="P75" s="1081"/>
      <c r="Q75" s="1081"/>
      <c r="R75" s="1081">
        <f>SUM(B74:R74)</f>
        <v>98434.823529411777</v>
      </c>
      <c r="S75" s="1081"/>
      <c r="T75" s="1081"/>
      <c r="U75" s="1081">
        <f>SUM(S74:U74)</f>
        <v>34209.411764705881</v>
      </c>
      <c r="V75" s="1081"/>
      <c r="W75" s="1081">
        <f>SUM(V74:W74)</f>
        <v>26815.208823529414</v>
      </c>
      <c r="X75" s="1081"/>
      <c r="Y75" s="1081">
        <f>SUM(X74:Y74)</f>
        <v>21517.300000000003</v>
      </c>
      <c r="Z75" s="1081"/>
      <c r="AA75" s="1081">
        <v>0</v>
      </c>
      <c r="AB75" s="1081"/>
      <c r="AC75" s="1081">
        <f>SUM(Z74:AC74)</f>
        <v>82945.099999999991</v>
      </c>
      <c r="AD75" s="1081"/>
      <c r="AE75" s="1081">
        <f>SUM(AD74:AE74)</f>
        <v>58413.600000000006</v>
      </c>
      <c r="AF75" s="1081"/>
      <c r="AG75" s="1081">
        <f>SUM(AF74:AG74)</f>
        <v>70354.200000000012</v>
      </c>
      <c r="AH75" s="1081"/>
      <c r="AI75" s="1081">
        <f>SUM(AH74:AI74)</f>
        <v>82021.100000000006</v>
      </c>
      <c r="AJ75" s="1081"/>
      <c r="AK75" s="1081"/>
      <c r="AL75" s="1081"/>
      <c r="AM75" s="1081"/>
      <c r="AN75" s="1081">
        <f>SUM(AJ74:AN74)</f>
        <v>243879.30000000002</v>
      </c>
      <c r="AO75" s="1081">
        <f>SUM(B75:AN75)</f>
        <v>718590.04411764711</v>
      </c>
      <c r="AP75" s="1066"/>
      <c r="AQ75" s="1066"/>
      <c r="AR75" s="1066"/>
      <c r="AS75" s="1066"/>
      <c r="AT75" s="1066"/>
      <c r="AU75" s="1068"/>
      <c r="AV75" s="1066"/>
      <c r="AW75" s="1066"/>
      <c r="AX75" s="1066"/>
      <c r="AY75" s="1066"/>
    </row>
    <row r="76" spans="1:51">
      <c r="A76" s="1077" t="s">
        <v>1820</v>
      </c>
      <c r="B76" s="1082">
        <f>B74/$R$75</f>
        <v>5.605381165919282E-2</v>
      </c>
      <c r="C76" s="1082">
        <f t="shared" ref="C76:Q76" si="40">C74/$R$75</f>
        <v>5.605381165919282E-2</v>
      </c>
      <c r="D76" s="1082">
        <f t="shared" si="40"/>
        <v>5.605381165919282E-2</v>
      </c>
      <c r="E76" s="1082">
        <f t="shared" si="40"/>
        <v>5.605381165919282E-2</v>
      </c>
      <c r="F76" s="1082">
        <f t="shared" si="40"/>
        <v>5.1569506726457388E-2</v>
      </c>
      <c r="G76" s="1082">
        <f t="shared" si="40"/>
        <v>5.1569506726457388E-2</v>
      </c>
      <c r="H76" s="1082">
        <f t="shared" si="40"/>
        <v>5.1569506726457388E-2</v>
      </c>
      <c r="I76" s="1082">
        <f t="shared" si="40"/>
        <v>5.1569506726457388E-2</v>
      </c>
      <c r="J76" s="1082">
        <f t="shared" si="40"/>
        <v>5.1569506726457388E-2</v>
      </c>
      <c r="K76" s="1082">
        <f t="shared" si="40"/>
        <v>5.1569506726457388E-2</v>
      </c>
      <c r="L76" s="1082">
        <f t="shared" si="40"/>
        <v>5.1569506726457388E-2</v>
      </c>
      <c r="M76" s="1082">
        <f t="shared" si="40"/>
        <v>5.1569506726457388E-2</v>
      </c>
      <c r="N76" s="1082">
        <f t="shared" si="40"/>
        <v>6.2780269058295951E-2</v>
      </c>
      <c r="O76" s="1082">
        <f t="shared" si="40"/>
        <v>6.2780269058295951E-2</v>
      </c>
      <c r="P76" s="1082">
        <f t="shared" si="40"/>
        <v>6.2780269058295951E-2</v>
      </c>
      <c r="Q76" s="1082">
        <f t="shared" si="40"/>
        <v>6.2780269058295951E-2</v>
      </c>
      <c r="R76" s="1082">
        <f>R74/$R$75</f>
        <v>0.11210762331838564</v>
      </c>
      <c r="S76" s="1082">
        <f>S74/$U$75</f>
        <v>0.19354838709677422</v>
      </c>
      <c r="T76" s="1082">
        <f>T74/$U$75</f>
        <v>0.35483870967741937</v>
      </c>
      <c r="U76" s="1082">
        <f>U74/$U$75</f>
        <v>0.45161290322580649</v>
      </c>
      <c r="V76" s="1082">
        <f>V74/$W$75</f>
        <v>0.7819092128468359</v>
      </c>
      <c r="W76" s="1082">
        <f>W74/$W$75</f>
        <v>0.21809078715316405</v>
      </c>
      <c r="X76" s="1082">
        <f>X74/$Y$75</f>
        <v>0.49367253326393173</v>
      </c>
      <c r="Y76" s="1082">
        <f>Y74/$Y$75</f>
        <v>0.50632746673606821</v>
      </c>
      <c r="Z76" s="1082">
        <f>Z74/$AC$75</f>
        <v>0.19672048137864687</v>
      </c>
      <c r="AA76" s="1082">
        <f>AA74/$AC$75</f>
        <v>0.24015764644324986</v>
      </c>
      <c r="AB76" s="1082">
        <f>AB74/$AC$75</f>
        <v>0.26148380073084487</v>
      </c>
      <c r="AC76" s="1082">
        <f>AC74/$AC$75</f>
        <v>0.30163807144725852</v>
      </c>
      <c r="AD76" s="1082">
        <f>AD74/$AE$75</f>
        <v>0.47627264883520276</v>
      </c>
      <c r="AE76" s="1082">
        <f>AE74/$AE$75</f>
        <v>0.52372735116479718</v>
      </c>
      <c r="AF76" s="1082">
        <f>AF74/$AG$75</f>
        <v>0.47400155214614043</v>
      </c>
      <c r="AG76" s="1082">
        <f>AG74/$AG$75</f>
        <v>0.52599844785385941</v>
      </c>
      <c r="AH76" s="1082">
        <f>AH74/$AI$75</f>
        <v>0.48424978450666956</v>
      </c>
      <c r="AI76" s="1082">
        <f>AI74/$AI$75</f>
        <v>0.51575021549333033</v>
      </c>
      <c r="AJ76" s="1082">
        <f>AJ74/$AN$75</f>
        <v>0.18219053441600003</v>
      </c>
      <c r="AK76" s="1082">
        <f>AK74/$AN$75</f>
        <v>0.19188344398233062</v>
      </c>
      <c r="AL76" s="1082">
        <f>AL74/$AN$75</f>
        <v>0.20459875028343938</v>
      </c>
      <c r="AM76" s="1082">
        <f>AM74/$AN$75</f>
        <v>0.21044836523640997</v>
      </c>
      <c r="AN76" s="1082">
        <f>AN74/$AN$75</f>
        <v>0.21087890608181997</v>
      </c>
      <c r="AO76" s="1065"/>
      <c r="AU76" s="1057"/>
    </row>
    <row r="77" spans="1:51">
      <c r="A77" s="1065"/>
      <c r="B77" s="1065"/>
      <c r="C77" s="1065"/>
      <c r="D77" s="1065"/>
      <c r="E77" s="1065"/>
      <c r="F77" s="1065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5"/>
      <c r="AD77" s="1065"/>
      <c r="AE77" s="1065"/>
      <c r="AF77" s="1065"/>
      <c r="AG77" s="1065"/>
      <c r="AH77" s="1065"/>
      <c r="AI77" s="1065"/>
      <c r="AJ77" s="1065"/>
      <c r="AK77" s="1065"/>
      <c r="AL77" s="1065"/>
      <c r="AM77" s="1065"/>
      <c r="AN77" s="1065"/>
      <c r="AO77" s="1065"/>
      <c r="AU77" s="1057"/>
    </row>
    <row r="78" spans="1:51">
      <c r="A78" s="1065"/>
      <c r="B78" s="1065"/>
      <c r="C78" s="1065"/>
      <c r="D78" s="1065"/>
      <c r="E78" s="1065"/>
      <c r="F78" s="1065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5"/>
      <c r="AD78" s="1065"/>
      <c r="AE78" s="1065"/>
      <c r="AF78" s="1065"/>
      <c r="AG78" s="1065"/>
      <c r="AH78" s="1065"/>
      <c r="AI78" s="1065"/>
      <c r="AJ78" s="1065"/>
      <c r="AK78" s="1065"/>
      <c r="AL78" s="1065"/>
      <c r="AM78" s="1065"/>
      <c r="AN78" s="1065"/>
      <c r="AO78" s="1065"/>
      <c r="AU78" s="1057"/>
    </row>
    <row r="79" spans="1:51">
      <c r="A79" s="1081" t="s">
        <v>1821</v>
      </c>
      <c r="B79" s="1081"/>
      <c r="C79" s="1081"/>
      <c r="D79" s="1081"/>
      <c r="E79" s="1081"/>
      <c r="F79" s="1081"/>
      <c r="G79" s="1081"/>
      <c r="H79" s="1081"/>
      <c r="I79" s="1081"/>
      <c r="J79" s="1081"/>
      <c r="K79" s="1081"/>
      <c r="L79" s="1081"/>
      <c r="M79" s="1081"/>
      <c r="N79" s="1081"/>
      <c r="O79" s="1081"/>
      <c r="P79" s="1081"/>
      <c r="Q79" s="1081">
        <f>SUM(B74:Q74)</f>
        <v>87399.529411764714</v>
      </c>
      <c r="R79" s="1081">
        <f>R74</f>
        <v>11035.294117647059</v>
      </c>
      <c r="S79" s="1081">
        <f>S74</f>
        <v>6621.176470588236</v>
      </c>
      <c r="T79" s="1081">
        <f>T73*T71*T72</f>
        <v>12138.823529411764</v>
      </c>
      <c r="U79" s="1081">
        <f>U73*U71*U72</f>
        <v>15449.411764705881</v>
      </c>
      <c r="V79" s="1081">
        <f>V73*V71*V72</f>
        <v>20967.058823529413</v>
      </c>
      <c r="W79" s="1081">
        <f>W74</f>
        <v>5848.15</v>
      </c>
      <c r="X79" s="1081"/>
      <c r="Y79" s="1081">
        <f>Y75</f>
        <v>21517.300000000003</v>
      </c>
      <c r="Z79" s="1081"/>
      <c r="AA79" s="1081"/>
      <c r="AB79" s="1081"/>
      <c r="AC79" s="1081">
        <f>AC75</f>
        <v>82945.099999999991</v>
      </c>
      <c r="AD79" s="1081"/>
      <c r="AE79" s="1081">
        <f>AE75</f>
        <v>58413.600000000006</v>
      </c>
      <c r="AF79" s="1081"/>
      <c r="AG79" s="1081">
        <f>AG75</f>
        <v>70354.200000000012</v>
      </c>
      <c r="AH79" s="1081"/>
      <c r="AI79" s="1081"/>
      <c r="AJ79" s="1081">
        <f>AJ75</f>
        <v>0</v>
      </c>
      <c r="AK79" s="1081"/>
      <c r="AL79" s="1081"/>
      <c r="AM79" s="1081"/>
      <c r="AN79" s="1081">
        <f>AN75</f>
        <v>243879.30000000002</v>
      </c>
      <c r="AO79" s="1081">
        <f>SUM(B79:AN79)</f>
        <v>636568.94411764701</v>
      </c>
      <c r="AP79" s="1068"/>
      <c r="AQ79" s="1068"/>
      <c r="AR79" s="1068"/>
      <c r="AS79" s="1068"/>
      <c r="AT79" s="1068"/>
      <c r="AU79" s="1068"/>
      <c r="AV79" s="1068"/>
      <c r="AW79" s="1068"/>
      <c r="AX79" s="1068"/>
      <c r="AY79" s="1068"/>
    </row>
    <row r="80" spans="1:51">
      <c r="A80" s="1081" t="s">
        <v>1822</v>
      </c>
      <c r="B80" s="1081"/>
      <c r="C80" s="1081"/>
      <c r="D80" s="1081"/>
      <c r="E80" s="1081"/>
      <c r="F80" s="1081"/>
      <c r="G80" s="1081"/>
      <c r="H80" s="1081"/>
      <c r="I80" s="1081"/>
      <c r="J80" s="1081"/>
      <c r="K80" s="1081"/>
      <c r="L80" s="1081"/>
      <c r="M80" s="1081"/>
      <c r="N80" s="1081"/>
      <c r="O80" s="1081"/>
      <c r="P80" s="1081"/>
      <c r="Q80" s="1081">
        <f>'[4]Feed Costing &amp; Appotionment '!K122+'[4]Feed Costing &amp; Appotionment '!O122</f>
        <v>273392.90000000002</v>
      </c>
      <c r="R80" s="1081">
        <f>'[4]Feed Costing &amp; Appotionment '!T122</f>
        <v>47127.5</v>
      </c>
      <c r="S80" s="1081">
        <f>'[4]Feed Costing &amp; Appotionment '!N122</f>
        <v>17559.5</v>
      </c>
      <c r="T80" s="1081"/>
      <c r="U80" s="1081"/>
      <c r="V80" s="1081">
        <f>'[4]Feed Costing &amp; Appotionment '!L122+'[4]Feed Costing &amp; Appotionment '!M122</f>
        <v>117633</v>
      </c>
      <c r="W80" s="1081">
        <f>'[4]Feed Costing &amp; Appotionment '!B122</f>
        <v>29254.2</v>
      </c>
      <c r="X80" s="1081"/>
      <c r="Y80" s="1081">
        <f>'[4]Feed Costing &amp; Appotionment '!C122</f>
        <v>126974</v>
      </c>
      <c r="Z80" s="1081"/>
      <c r="AA80" s="1081"/>
      <c r="AB80" s="1081"/>
      <c r="AC80" s="1081">
        <f>'[4]Feed Costing &amp; Appotionment '!D122+'[4]Feed Costing &amp; Appotionment '!E122</f>
        <v>243037.40000000002</v>
      </c>
      <c r="AD80" s="1081"/>
      <c r="AE80" s="1081">
        <f>'[4]Feed Costing &amp; Appotionment '!F122</f>
        <v>176588.4</v>
      </c>
      <c r="AF80" s="1081"/>
      <c r="AG80" s="1081">
        <f>'[4]Feed Costing &amp; Appotionment '!G122</f>
        <v>59290</v>
      </c>
      <c r="AH80" s="1081"/>
      <c r="AI80" s="1081"/>
      <c r="AJ80" s="1081">
        <f>'[4]Feed Costing &amp; Appotionment '!H122</f>
        <v>949048.7</v>
      </c>
      <c r="AK80" s="1081"/>
      <c r="AL80" s="1081"/>
      <c r="AM80" s="1081"/>
      <c r="AN80" s="1081">
        <f>'[4]Feed Costing &amp; Appotionment '!J122</f>
        <v>710118.55</v>
      </c>
      <c r="AO80" s="1081">
        <f>SUM(B80:AN80)</f>
        <v>2750024.1500000004</v>
      </c>
      <c r="AP80" s="1068">
        <f>AO80-'[4]Feed Costing &amp; Appotionment '!U122+'[4]Feed Costing &amp; Appotionment '!P122+'[4]Feed Costing &amp; Appotionment '!Q122+'[4]Feed Costing &amp; Appotionment '!R122</f>
        <v>1.8917489796876907E-10</v>
      </c>
      <c r="AQ80" s="1068"/>
      <c r="AR80" s="1068"/>
      <c r="AS80" s="1068"/>
      <c r="AT80" s="1068"/>
      <c r="AU80" s="1068"/>
      <c r="AV80" s="1068"/>
      <c r="AW80" s="1068"/>
      <c r="AX80" s="1068"/>
      <c r="AY80" s="1068"/>
    </row>
    <row r="81" spans="1:51">
      <c r="A81" s="1081" t="s">
        <v>1823</v>
      </c>
      <c r="B81" s="1081"/>
      <c r="C81" s="1081"/>
      <c r="D81" s="1081"/>
      <c r="E81" s="1081"/>
      <c r="F81" s="1081"/>
      <c r="G81" s="1081"/>
      <c r="H81" s="1081"/>
      <c r="I81" s="1081"/>
      <c r="J81" s="1081"/>
      <c r="K81" s="1081"/>
      <c r="L81" s="1081"/>
      <c r="M81" s="1081"/>
      <c r="N81" s="1081"/>
      <c r="O81" s="1081"/>
      <c r="P81" s="1081"/>
      <c r="Q81" s="1081">
        <f>Q79-Q80</f>
        <v>-185993.37058823532</v>
      </c>
      <c r="R81" s="1081">
        <f>R79-R80</f>
        <v>-36092.205882352937</v>
      </c>
      <c r="S81" s="1081">
        <f>S79-S80</f>
        <v>-10938.323529411764</v>
      </c>
      <c r="T81" s="1081"/>
      <c r="U81" s="1081"/>
      <c r="V81" s="1081">
        <f>SUM(T79:V79)-V80</f>
        <v>-69077.705882352951</v>
      </c>
      <c r="W81" s="1081">
        <f>W79-W80</f>
        <v>-23406.050000000003</v>
      </c>
      <c r="X81" s="1081">
        <f>X79-X80</f>
        <v>0</v>
      </c>
      <c r="Y81" s="1081">
        <f>Y79-Y80</f>
        <v>-105456.7</v>
      </c>
      <c r="Z81" s="1081"/>
      <c r="AA81" s="1081"/>
      <c r="AB81" s="1081"/>
      <c r="AC81" s="1081">
        <f>AC79-AC80</f>
        <v>-160092.30000000005</v>
      </c>
      <c r="AD81" s="1081"/>
      <c r="AE81" s="1081">
        <f>AE79-AE80</f>
        <v>-118174.79999999999</v>
      </c>
      <c r="AF81" s="1081"/>
      <c r="AG81" s="1081">
        <f>AG79-AG80</f>
        <v>11064.200000000012</v>
      </c>
      <c r="AH81" s="1081"/>
      <c r="AI81" s="1081"/>
      <c r="AJ81" s="1081">
        <f>AJ79-AJ80</f>
        <v>-949048.7</v>
      </c>
      <c r="AK81" s="1081"/>
      <c r="AL81" s="1081"/>
      <c r="AM81" s="1081"/>
      <c r="AN81" s="1081">
        <f>AN79-AN80</f>
        <v>-466239.25</v>
      </c>
      <c r="AO81" s="1081">
        <f>SUM(B81:AN81)</f>
        <v>-2113455.2058823528</v>
      </c>
      <c r="AP81" s="1068">
        <f>AO80-'[4]Feed Costing &amp; Appotionment '!U122</f>
        <v>-86697.799999999814</v>
      </c>
      <c r="AQ81" s="1068"/>
      <c r="AR81" s="1068"/>
      <c r="AS81" s="1068"/>
      <c r="AT81" s="1068"/>
      <c r="AU81" s="1068"/>
      <c r="AV81" s="1068"/>
      <c r="AW81" s="1068"/>
      <c r="AX81" s="1068"/>
      <c r="AY81" s="1068"/>
    </row>
    <row r="82" spans="1:51">
      <c r="A82" s="1081" t="s">
        <v>1824</v>
      </c>
      <c r="B82" s="1077"/>
      <c r="C82" s="1077"/>
      <c r="D82" s="1077"/>
      <c r="E82" s="1077"/>
      <c r="F82" s="1077"/>
      <c r="G82" s="1077"/>
      <c r="H82" s="1077"/>
      <c r="I82" s="1077"/>
      <c r="J82" s="1077"/>
      <c r="K82" s="1077"/>
      <c r="L82" s="1077"/>
      <c r="M82" s="1077"/>
      <c r="N82" s="1077"/>
      <c r="O82" s="1077"/>
      <c r="P82" s="1077"/>
      <c r="Q82" s="1083">
        <f>('[4]Feed Costing &amp; Appotionment '!K123+'[4]Feed Costing &amp; Appotionment '!O123)/('[4]Feed Costing &amp; Appotionment '!K122+'[4]Feed Costing &amp; Appotionment '!O122)</f>
        <v>0.33022565021567968</v>
      </c>
      <c r="R82" s="1080">
        <f>'[4]Feed Costing &amp; Appotionment '!T124</f>
        <v>0.37880590011098036</v>
      </c>
      <c r="S82" s="1080">
        <f>'[4]Feed Costing &amp; Appotionment '!N124</f>
        <v>0.36773334194341661</v>
      </c>
      <c r="T82" s="1077"/>
      <c r="U82" s="1077"/>
      <c r="V82" s="1080">
        <f>('[4]Feed Costing &amp; Appotionment '!M123+'[4]Feed Costing &amp; Appotionment '!L123)/('[4]Feed Costing &amp; Appotionment '!L122+'[4]Feed Costing &amp; Appotionment '!M122)</f>
        <v>0.38986305594770371</v>
      </c>
      <c r="W82" s="1080">
        <f>'[4]Feed Costing &amp; Appotionment '!B124</f>
        <v>0.70516028376225237</v>
      </c>
      <c r="X82" s="1077"/>
      <c r="Y82" s="1080">
        <f>'[4]Feed Costing &amp; Appotionment '!C124</f>
        <v>0.553048745740369</v>
      </c>
      <c r="Z82" s="1077"/>
      <c r="AA82" s="1080"/>
      <c r="AB82" s="1077"/>
      <c r="AC82" s="1080">
        <f>'[4]Feed Costing &amp; Appotionment '!D124</f>
        <v>0.45761789674138609</v>
      </c>
      <c r="AD82" s="1077"/>
      <c r="AE82" s="1080">
        <f>'[4]Feed Costing &amp; Appotionment '!F124</f>
        <v>0.36072118784213153</v>
      </c>
      <c r="AF82" s="1077"/>
      <c r="AG82" s="1080">
        <f>'[4]Feed Costing &amp; Appotionment '!G124</f>
        <v>0.35277419368699731</v>
      </c>
      <c r="AH82" s="1077"/>
      <c r="AI82" s="1077"/>
      <c r="AJ82" s="1080">
        <f>'[4]Feed Costing &amp; Appotionment '!H124</f>
        <v>0.32545898419719504</v>
      </c>
      <c r="AK82" s="1077"/>
      <c r="AL82" s="1077"/>
      <c r="AM82" s="1077"/>
      <c r="AN82" s="1080">
        <f>'[4]Feed Costing &amp; Appotionment '!J124</f>
        <v>0.34727367194923103</v>
      </c>
      <c r="AO82" s="1083">
        <f>AO83/AO81</f>
        <v>0.36132670248671056</v>
      </c>
      <c r="AP82" s="1068">
        <f>'[4]Feed Costing &amp; Appotionment '!P122+'[4]Feed Costing &amp; Appotionment '!Q122+'[4]Feed Costing &amp; Appotionment '!R122</f>
        <v>86697.8</v>
      </c>
      <c r="AQ82" s="1066"/>
      <c r="AR82" s="1066"/>
      <c r="AS82" s="1066"/>
      <c r="AT82" s="1066"/>
      <c r="AU82" s="1068"/>
      <c r="AV82" s="1066"/>
      <c r="AW82" s="1066"/>
      <c r="AX82" s="1066"/>
      <c r="AY82" s="1066"/>
    </row>
    <row r="83" spans="1:51">
      <c r="A83" s="1081" t="s">
        <v>1825</v>
      </c>
      <c r="B83" s="1077"/>
      <c r="C83" s="1077"/>
      <c r="D83" s="1077"/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83">
        <f>Q81*Q82</f>
        <v>-61419.781738305879</v>
      </c>
      <c r="R83" s="1083">
        <f>R81*R82</f>
        <v>-13671.940536255524</v>
      </c>
      <c r="S83" s="1083">
        <f>S81*S82</f>
        <v>-4022.3862667288959</v>
      </c>
      <c r="T83" s="1077"/>
      <c r="U83" s="1077"/>
      <c r="V83" s="1083">
        <f>V81*V82</f>
        <v>-26930.845513150791</v>
      </c>
      <c r="W83" s="1083">
        <f>W81*W82</f>
        <v>-16505.016859753468</v>
      </c>
      <c r="X83" s="1077"/>
      <c r="Y83" s="1083">
        <f>Y81*Y82</f>
        <v>-58322.69566491837</v>
      </c>
      <c r="Z83" s="1077"/>
      <c r="AA83" s="1083"/>
      <c r="AB83" s="1077"/>
      <c r="AC83" s="1083">
        <f>AC81*AC82</f>
        <v>-73261.101610491023</v>
      </c>
      <c r="AD83" s="1077"/>
      <c r="AE83" s="1083">
        <f>AE81*AE82</f>
        <v>-42628.154229006323</v>
      </c>
      <c r="AF83" s="1077"/>
      <c r="AG83" s="1083">
        <f>AG81*AG82</f>
        <v>3903.1642337916796</v>
      </c>
      <c r="AH83" s="1077"/>
      <c r="AI83" s="1077"/>
      <c r="AJ83" s="1083">
        <f>AJ81*AJ82</f>
        <v>-308876.42585566849</v>
      </c>
      <c r="AK83" s="1077"/>
      <c r="AL83" s="1077"/>
      <c r="AM83" s="1077"/>
      <c r="AN83" s="1083">
        <f>AN81*AN82</f>
        <v>-161912.6163543555</v>
      </c>
      <c r="AO83" s="1081">
        <f>SUM(B83:AN83)</f>
        <v>-763647.80039484252</v>
      </c>
      <c r="AP83" s="1084">
        <f>SUM(AP81:AP82)</f>
        <v>1.8917489796876907E-10</v>
      </c>
      <c r="AQ83" s="1066"/>
      <c r="AR83" s="1066"/>
      <c r="AS83" s="1066"/>
      <c r="AT83" s="1066"/>
      <c r="AU83" s="1068"/>
      <c r="AV83" s="1066"/>
      <c r="AW83" s="1066"/>
      <c r="AX83" s="1066"/>
      <c r="AY83" s="1066"/>
    </row>
    <row r="84" spans="1:51">
      <c r="AU84" s="1057"/>
    </row>
    <row r="86" spans="1:51">
      <c r="A86" s="131" t="s">
        <v>1816</v>
      </c>
      <c r="B86" s="1716">
        <v>7</v>
      </c>
      <c r="C86" s="1716">
        <v>7</v>
      </c>
      <c r="D86" s="1716">
        <v>7</v>
      </c>
      <c r="E86" s="1716">
        <v>7</v>
      </c>
      <c r="F86" s="1716">
        <v>7</v>
      </c>
      <c r="G86" s="1716">
        <v>7</v>
      </c>
      <c r="H86" s="1716">
        <v>7</v>
      </c>
      <c r="I86" s="1716">
        <v>7</v>
      </c>
      <c r="J86" s="1716">
        <v>7</v>
      </c>
      <c r="K86" s="1716">
        <v>7</v>
      </c>
      <c r="L86" s="1716">
        <v>7</v>
      </c>
      <c r="M86" s="1716">
        <v>7</v>
      </c>
      <c r="N86" s="1716">
        <v>7</v>
      </c>
      <c r="O86" s="1716">
        <v>7</v>
      </c>
      <c r="P86" s="1716">
        <v>7</v>
      </c>
      <c r="Q86" s="1717">
        <v>7</v>
      </c>
      <c r="R86" s="1717">
        <v>7</v>
      </c>
      <c r="S86" s="1709">
        <v>3</v>
      </c>
      <c r="T86" s="1710">
        <v>7</v>
      </c>
      <c r="U86" s="1710">
        <v>7</v>
      </c>
      <c r="V86" s="1709">
        <v>7</v>
      </c>
      <c r="W86" s="1709">
        <v>4</v>
      </c>
      <c r="X86" s="1710">
        <v>7</v>
      </c>
      <c r="Y86" s="1709">
        <v>7</v>
      </c>
      <c r="Z86" s="1710">
        <v>7</v>
      </c>
      <c r="AA86" s="1709">
        <v>7</v>
      </c>
      <c r="AB86" s="1710">
        <v>7</v>
      </c>
      <c r="AC86" s="1709">
        <v>7</v>
      </c>
      <c r="AD86" s="1710">
        <v>7</v>
      </c>
      <c r="AE86" s="1709">
        <v>7</v>
      </c>
      <c r="AF86" s="1710">
        <v>7</v>
      </c>
      <c r="AG86" s="1709">
        <v>7</v>
      </c>
      <c r="AH86" s="1710">
        <v>7</v>
      </c>
      <c r="AI86" s="1710">
        <v>7</v>
      </c>
      <c r="AJ86" s="1709">
        <v>3</v>
      </c>
      <c r="AK86" s="1710">
        <v>5</v>
      </c>
      <c r="AL86" s="1710">
        <v>7</v>
      </c>
      <c r="AM86" s="1710">
        <v>7</v>
      </c>
      <c r="AN86" s="1709">
        <v>7</v>
      </c>
      <c r="AO86" s="1709">
        <v>2</v>
      </c>
    </row>
    <row r="87" spans="1:51">
      <c r="A87" s="131" t="s">
        <v>1815</v>
      </c>
      <c r="B87" s="1711" t="s">
        <v>1773</v>
      </c>
      <c r="C87" s="1711" t="s">
        <v>1773</v>
      </c>
      <c r="D87" s="1711" t="s">
        <v>1773</v>
      </c>
      <c r="E87" s="1711" t="s">
        <v>1773</v>
      </c>
      <c r="F87" s="1711" t="s">
        <v>1773</v>
      </c>
      <c r="G87" s="1711" t="s">
        <v>1773</v>
      </c>
      <c r="H87" s="1711" t="s">
        <v>1773</v>
      </c>
      <c r="I87" s="1711" t="s">
        <v>1773</v>
      </c>
      <c r="J87" s="1711" t="s">
        <v>1773</v>
      </c>
      <c r="K87" s="1711" t="s">
        <v>1773</v>
      </c>
      <c r="L87" s="1711" t="s">
        <v>1773</v>
      </c>
      <c r="M87" s="1711" t="s">
        <v>1773</v>
      </c>
      <c r="N87" s="1711" t="s">
        <v>1773</v>
      </c>
      <c r="O87" s="1711" t="s">
        <v>1773</v>
      </c>
      <c r="P87" s="1711" t="s">
        <v>1773</v>
      </c>
      <c r="Q87" s="1711" t="s">
        <v>1773</v>
      </c>
      <c r="R87" s="1711" t="s">
        <v>1826</v>
      </c>
      <c r="S87" s="1711" t="s">
        <v>1775</v>
      </c>
      <c r="T87" s="1711" t="s">
        <v>1775</v>
      </c>
      <c r="U87" s="1711" t="s">
        <v>1775</v>
      </c>
      <c r="V87" s="1711" t="s">
        <v>1775</v>
      </c>
      <c r="W87" s="1711" t="s">
        <v>1775</v>
      </c>
      <c r="X87" s="1711" t="s">
        <v>1776</v>
      </c>
      <c r="Y87" s="1711" t="s">
        <v>1777</v>
      </c>
      <c r="Z87" s="1711" t="s">
        <v>1777</v>
      </c>
      <c r="AA87" s="1711" t="s">
        <v>108</v>
      </c>
      <c r="AB87" s="1711" t="s">
        <v>108</v>
      </c>
      <c r="AC87" s="1711" t="s">
        <v>108</v>
      </c>
      <c r="AD87" s="1711" t="s">
        <v>1778</v>
      </c>
      <c r="AE87" s="1711" t="s">
        <v>1778</v>
      </c>
      <c r="AF87" s="1711" t="s">
        <v>1779</v>
      </c>
      <c r="AG87" s="1711" t="s">
        <v>1779</v>
      </c>
      <c r="AH87" s="1711" t="s">
        <v>1780</v>
      </c>
      <c r="AI87" s="1711" t="s">
        <v>1780</v>
      </c>
      <c r="AJ87" s="1711" t="s">
        <v>1780</v>
      </c>
      <c r="AK87" s="1711" t="s">
        <v>1781</v>
      </c>
      <c r="AL87" s="1711" t="s">
        <v>1781</v>
      </c>
      <c r="AM87" s="1711" t="s">
        <v>1781</v>
      </c>
      <c r="AN87" s="1711" t="s">
        <v>1781</v>
      </c>
      <c r="AO87" s="1711" t="s">
        <v>1781</v>
      </c>
    </row>
    <row r="88" spans="1:51">
      <c r="A88" s="131" t="s">
        <v>323</v>
      </c>
      <c r="B88" s="1711">
        <v>-16</v>
      </c>
      <c r="C88" s="1711">
        <v>-15</v>
      </c>
      <c r="D88" s="1711">
        <v>-14</v>
      </c>
      <c r="E88" s="1711">
        <v>-13</v>
      </c>
      <c r="F88" s="1711">
        <v>-12</v>
      </c>
      <c r="G88" s="1711">
        <v>-11</v>
      </c>
      <c r="H88" s="1711">
        <v>-10</v>
      </c>
      <c r="I88" s="1711">
        <v>-9</v>
      </c>
      <c r="J88" s="1711">
        <v>-8</v>
      </c>
      <c r="K88" s="1711">
        <v>-7</v>
      </c>
      <c r="L88" s="1711">
        <v>-6</v>
      </c>
      <c r="M88" s="1711">
        <v>-5</v>
      </c>
      <c r="N88" s="1711">
        <v>-4</v>
      </c>
      <c r="O88" s="1711">
        <v>-3</v>
      </c>
      <c r="P88" s="1711">
        <v>-2</v>
      </c>
      <c r="Q88" s="1711">
        <v>-1</v>
      </c>
      <c r="R88" s="1711">
        <v>0</v>
      </c>
      <c r="S88" s="276">
        <v>1</v>
      </c>
      <c r="T88" s="276">
        <v>2</v>
      </c>
      <c r="U88" s="276">
        <v>3</v>
      </c>
      <c r="V88" s="276">
        <v>4</v>
      </c>
      <c r="W88" s="276">
        <v>5</v>
      </c>
      <c r="X88" s="276">
        <v>6</v>
      </c>
      <c r="Y88" s="276">
        <v>7</v>
      </c>
      <c r="Z88" s="276">
        <v>8</v>
      </c>
      <c r="AA88" s="276">
        <v>9</v>
      </c>
      <c r="AB88" s="276">
        <v>10</v>
      </c>
      <c r="AC88" s="276">
        <v>11</v>
      </c>
      <c r="AD88" s="276">
        <v>12</v>
      </c>
      <c r="AE88" s="276">
        <v>13</v>
      </c>
      <c r="AF88" s="276">
        <v>14</v>
      </c>
      <c r="AG88" s="276">
        <v>15</v>
      </c>
      <c r="AH88" s="276">
        <v>16</v>
      </c>
      <c r="AI88" s="276">
        <v>17</v>
      </c>
      <c r="AJ88" s="276">
        <v>18</v>
      </c>
      <c r="AK88" s="276">
        <v>18</v>
      </c>
      <c r="AL88" s="276">
        <v>19</v>
      </c>
      <c r="AM88" s="276">
        <v>20</v>
      </c>
      <c r="AN88" s="276">
        <v>21</v>
      </c>
      <c r="AO88" s="276">
        <v>22</v>
      </c>
    </row>
    <row r="89" spans="1:51" ht="16.149999999999999" thickBot="1">
      <c r="A89" s="131"/>
      <c r="B89" s="1718">
        <f>+B90*B86</f>
        <v>17.5</v>
      </c>
      <c r="C89" s="1718">
        <f t="shared" ref="C89:R89" si="41">+C90*C86</f>
        <v>17.5</v>
      </c>
      <c r="D89" s="1718">
        <f t="shared" si="41"/>
        <v>17.5</v>
      </c>
      <c r="E89" s="1718">
        <f t="shared" si="41"/>
        <v>17.5</v>
      </c>
      <c r="F89" s="1718">
        <f t="shared" si="41"/>
        <v>16.099999999999998</v>
      </c>
      <c r="G89" s="1718">
        <f t="shared" si="41"/>
        <v>16.099999999999998</v>
      </c>
      <c r="H89" s="1718">
        <f t="shared" si="41"/>
        <v>16.099999999999998</v>
      </c>
      <c r="I89" s="1718">
        <f t="shared" si="41"/>
        <v>16.099999999999998</v>
      </c>
      <c r="J89" s="1718">
        <f t="shared" si="41"/>
        <v>16.099999999999998</v>
      </c>
      <c r="K89" s="1718">
        <f t="shared" si="41"/>
        <v>16.099999999999998</v>
      </c>
      <c r="L89" s="1718">
        <f t="shared" si="41"/>
        <v>16.099999999999998</v>
      </c>
      <c r="M89" s="1718">
        <f t="shared" si="41"/>
        <v>16.099999999999998</v>
      </c>
      <c r="N89" s="1718">
        <f t="shared" si="41"/>
        <v>19.599999999999998</v>
      </c>
      <c r="O89" s="1718">
        <f t="shared" si="41"/>
        <v>19.599999999999998</v>
      </c>
      <c r="P89" s="1718">
        <f t="shared" si="41"/>
        <v>19.599999999999998</v>
      </c>
      <c r="Q89" s="1718">
        <f t="shared" si="41"/>
        <v>19.599999999999998</v>
      </c>
      <c r="R89" s="1718">
        <f t="shared" si="41"/>
        <v>35</v>
      </c>
      <c r="S89" s="1698">
        <v>0.3</v>
      </c>
      <c r="T89" s="1699">
        <v>1.8</v>
      </c>
      <c r="U89" s="1699">
        <v>2.5</v>
      </c>
      <c r="V89" s="1699">
        <v>3.5</v>
      </c>
      <c r="W89" s="1700">
        <v>2</v>
      </c>
      <c r="X89" s="1701">
        <v>4.5</v>
      </c>
      <c r="Y89" s="1702">
        <v>6</v>
      </c>
      <c r="Z89" s="1702">
        <v>7</v>
      </c>
      <c r="AA89" s="1703">
        <v>10.5</v>
      </c>
      <c r="AB89" s="1703">
        <v>11.9</v>
      </c>
      <c r="AC89" s="1703">
        <v>13.3</v>
      </c>
      <c r="AD89" s="1704">
        <v>15.4</v>
      </c>
      <c r="AE89" s="1704">
        <v>17.5</v>
      </c>
      <c r="AF89" s="1705">
        <v>18.2</v>
      </c>
      <c r="AG89" s="1705">
        <v>18.899999999999999</v>
      </c>
      <c r="AH89" s="1706">
        <v>20.3</v>
      </c>
      <c r="AI89" s="1706">
        <v>21.7</v>
      </c>
      <c r="AJ89" s="1706">
        <v>9.3000000000000007</v>
      </c>
      <c r="AK89" s="1707">
        <v>15.5</v>
      </c>
      <c r="AL89" s="1707">
        <v>21.7</v>
      </c>
      <c r="AM89" s="1707">
        <v>21.7</v>
      </c>
      <c r="AN89" s="1708">
        <v>21.7</v>
      </c>
      <c r="AO89" s="1708">
        <v>6.2</v>
      </c>
    </row>
    <row r="90" spans="1:51">
      <c r="A90" s="131" t="s">
        <v>1817</v>
      </c>
      <c r="B90" s="142">
        <v>2.5</v>
      </c>
      <c r="C90" s="142">
        <v>2.5</v>
      </c>
      <c r="D90" s="142">
        <v>2.5</v>
      </c>
      <c r="E90" s="142">
        <v>2.5</v>
      </c>
      <c r="F90" s="142">
        <v>2.2999999999999998</v>
      </c>
      <c r="G90" s="142">
        <v>2.2999999999999998</v>
      </c>
      <c r="H90" s="142">
        <v>2.2999999999999998</v>
      </c>
      <c r="I90" s="142">
        <v>2.2999999999999998</v>
      </c>
      <c r="J90" s="142">
        <v>2.2999999999999998</v>
      </c>
      <c r="K90" s="142">
        <v>2.2999999999999998</v>
      </c>
      <c r="L90" s="142">
        <v>2.2999999999999998</v>
      </c>
      <c r="M90" s="142">
        <v>2.2999999999999998</v>
      </c>
      <c r="N90" s="142">
        <v>2.8</v>
      </c>
      <c r="O90" s="142">
        <v>2.8</v>
      </c>
      <c r="P90" s="142">
        <v>2.8</v>
      </c>
      <c r="Q90" s="142">
        <v>2.8</v>
      </c>
      <c r="R90" s="142">
        <v>5</v>
      </c>
      <c r="S90" s="1712">
        <f>+S89/S86</f>
        <v>9.9999999999999992E-2</v>
      </c>
      <c r="T90" s="1712">
        <f t="shared" ref="T90:V90" si="42">+T89/T86</f>
        <v>0.25714285714285717</v>
      </c>
      <c r="U90" s="1712">
        <f t="shared" si="42"/>
        <v>0.35714285714285715</v>
      </c>
      <c r="V90" s="1712">
        <f t="shared" si="42"/>
        <v>0.5</v>
      </c>
      <c r="W90" s="1712">
        <f>+W89/W86</f>
        <v>0.5</v>
      </c>
      <c r="X90" s="1712">
        <f t="shared" ref="X90:AD90" si="43">+X89/X86</f>
        <v>0.6428571428571429</v>
      </c>
      <c r="Y90" s="1712">
        <f t="shared" si="43"/>
        <v>0.8571428571428571</v>
      </c>
      <c r="Z90" s="1712">
        <f t="shared" si="43"/>
        <v>1</v>
      </c>
      <c r="AA90" s="1712">
        <f t="shared" si="43"/>
        <v>1.5</v>
      </c>
      <c r="AB90" s="1712">
        <f t="shared" si="43"/>
        <v>1.7</v>
      </c>
      <c r="AC90" s="1712">
        <f t="shared" si="43"/>
        <v>1.9000000000000001</v>
      </c>
      <c r="AD90" s="1712">
        <f t="shared" si="43"/>
        <v>2.2000000000000002</v>
      </c>
      <c r="AE90" s="1712">
        <f>+AE89/AE86</f>
        <v>2.5</v>
      </c>
      <c r="AF90" s="1712">
        <f t="shared" ref="AF90:AJ90" si="44">+AF89/AF86</f>
        <v>2.6</v>
      </c>
      <c r="AG90" s="1712">
        <f t="shared" si="44"/>
        <v>2.6999999999999997</v>
      </c>
      <c r="AH90" s="1712">
        <f t="shared" si="44"/>
        <v>2.9</v>
      </c>
      <c r="AI90" s="1712">
        <f t="shared" si="44"/>
        <v>3.1</v>
      </c>
      <c r="AJ90" s="1712">
        <f t="shared" si="44"/>
        <v>3.1</v>
      </c>
      <c r="AK90" s="1712">
        <f>+AK89/AK86</f>
        <v>3.1</v>
      </c>
      <c r="AL90" s="1712">
        <f t="shared" ref="AL90:AO90" si="45">+AL89/AL86</f>
        <v>3.1</v>
      </c>
      <c r="AM90" s="1712">
        <f t="shared" si="45"/>
        <v>3.1</v>
      </c>
      <c r="AN90" s="1712">
        <f t="shared" si="45"/>
        <v>3.1</v>
      </c>
      <c r="AO90" s="1712">
        <f t="shared" si="45"/>
        <v>3.1</v>
      </c>
    </row>
    <row r="91" spans="1:51">
      <c r="B91" s="1081">
        <f>'Summary Total Pigs'!AF54/17*4</f>
        <v>252.23529411764707</v>
      </c>
      <c r="C91" s="817">
        <f>+B91</f>
        <v>252.23529411764707</v>
      </c>
      <c r="D91" s="817">
        <f t="shared" ref="D91:R91" si="46">+C91</f>
        <v>252.23529411764707</v>
      </c>
      <c r="E91" s="817">
        <f t="shared" si="46"/>
        <v>252.23529411764707</v>
      </c>
      <c r="F91" s="817">
        <f t="shared" si="46"/>
        <v>252.23529411764707</v>
      </c>
      <c r="G91" s="817">
        <f t="shared" si="46"/>
        <v>252.23529411764707</v>
      </c>
      <c r="H91" s="817">
        <f t="shared" si="46"/>
        <v>252.23529411764707</v>
      </c>
      <c r="I91" s="817">
        <f t="shared" si="46"/>
        <v>252.23529411764707</v>
      </c>
      <c r="J91" s="817">
        <f t="shared" si="46"/>
        <v>252.23529411764707</v>
      </c>
      <c r="K91" s="817">
        <f t="shared" si="46"/>
        <v>252.23529411764707</v>
      </c>
      <c r="L91" s="817">
        <f t="shared" si="46"/>
        <v>252.23529411764707</v>
      </c>
      <c r="M91" s="817">
        <f t="shared" si="46"/>
        <v>252.23529411764707</v>
      </c>
      <c r="N91" s="817">
        <f t="shared" si="46"/>
        <v>252.23529411764707</v>
      </c>
      <c r="O91" s="817">
        <f t="shared" si="46"/>
        <v>252.23529411764707</v>
      </c>
      <c r="P91" s="817">
        <f t="shared" si="46"/>
        <v>252.23529411764707</v>
      </c>
      <c r="Q91" s="817">
        <f t="shared" si="46"/>
        <v>252.23529411764707</v>
      </c>
      <c r="R91" s="817">
        <f t="shared" si="46"/>
        <v>252.23529411764707</v>
      </c>
      <c r="S91" s="817">
        <f>+R91</f>
        <v>252.23529411764707</v>
      </c>
      <c r="T91" s="817">
        <f t="shared" ref="T91:V91" si="47">+S91</f>
        <v>252.23529411764707</v>
      </c>
      <c r="U91" s="817">
        <f t="shared" si="47"/>
        <v>252.23529411764707</v>
      </c>
      <c r="V91" s="817">
        <f t="shared" si="47"/>
        <v>252.23529411764707</v>
      </c>
      <c r="W91" s="1059">
        <f t="shared" ref="W91:AK91" si="48">SUM(W7:Z7)</f>
        <v>2387</v>
      </c>
      <c r="X91" s="1059">
        <f t="shared" si="48"/>
        <v>2647</v>
      </c>
      <c r="Y91" s="1059">
        <f t="shared" si="48"/>
        <v>2594</v>
      </c>
      <c r="Z91" s="1059">
        <f t="shared" si="48"/>
        <v>2590</v>
      </c>
      <c r="AA91" s="1059">
        <f t="shared" si="48"/>
        <v>2587</v>
      </c>
      <c r="AB91" s="1059">
        <f t="shared" si="48"/>
        <v>2582</v>
      </c>
      <c r="AC91" s="1059">
        <f t="shared" si="48"/>
        <v>2553</v>
      </c>
      <c r="AD91" s="1059">
        <f t="shared" si="48"/>
        <v>2484</v>
      </c>
      <c r="AE91" s="1059">
        <f t="shared" si="48"/>
        <v>2428</v>
      </c>
      <c r="AF91" s="1059">
        <f t="shared" si="48"/>
        <v>2382</v>
      </c>
      <c r="AG91" s="1059">
        <f t="shared" si="48"/>
        <v>2403</v>
      </c>
      <c r="AH91" s="1059">
        <f t="shared" si="48"/>
        <v>2467</v>
      </c>
      <c r="AI91" s="1059">
        <f t="shared" si="48"/>
        <v>2518</v>
      </c>
      <c r="AJ91" s="1059">
        <f t="shared" si="48"/>
        <v>2539</v>
      </c>
      <c r="AK91" s="1059">
        <f t="shared" si="48"/>
        <v>2476</v>
      </c>
      <c r="AL91" s="1059">
        <f>SUM(AK7:AN7)</f>
        <v>2476</v>
      </c>
      <c r="AM91" s="1059">
        <f>SUM(AL7:AO7)</f>
        <v>2458</v>
      </c>
      <c r="AN91" s="1059">
        <f>SUM(AM7:AP7)</f>
        <v>2444</v>
      </c>
      <c r="AO91" s="1059">
        <f>SUM(AN7:AQ7)</f>
        <v>2449</v>
      </c>
    </row>
    <row r="92" spans="1:51">
      <c r="B92" s="1059">
        <f t="shared" ref="B92:R92" si="49">+B86*B90*B91</f>
        <v>4414.1176470588234</v>
      </c>
      <c r="C92" s="1059">
        <f>+C86*C90*C91</f>
        <v>4414.1176470588234</v>
      </c>
      <c r="D92" s="1059">
        <f t="shared" si="49"/>
        <v>4414.1176470588234</v>
      </c>
      <c r="E92" s="1059">
        <f t="shared" si="49"/>
        <v>4414.1176470588234</v>
      </c>
      <c r="F92" s="1059">
        <f t="shared" si="49"/>
        <v>4060.9882352941172</v>
      </c>
      <c r="G92" s="1059">
        <f t="shared" si="49"/>
        <v>4060.9882352941172</v>
      </c>
      <c r="H92" s="1059">
        <f t="shared" si="49"/>
        <v>4060.9882352941172</v>
      </c>
      <c r="I92" s="1059">
        <f t="shared" si="49"/>
        <v>4060.9882352941172</v>
      </c>
      <c r="J92" s="1059">
        <f t="shared" si="49"/>
        <v>4060.9882352941172</v>
      </c>
      <c r="K92" s="1059">
        <f t="shared" si="49"/>
        <v>4060.9882352941172</v>
      </c>
      <c r="L92" s="1059">
        <f t="shared" si="49"/>
        <v>4060.9882352941172</v>
      </c>
      <c r="M92" s="1059">
        <f t="shared" si="49"/>
        <v>4060.9882352941172</v>
      </c>
      <c r="N92" s="1059">
        <f t="shared" si="49"/>
        <v>4943.8117647058825</v>
      </c>
      <c r="O92" s="1059">
        <f t="shared" si="49"/>
        <v>4943.8117647058825</v>
      </c>
      <c r="P92" s="1059">
        <f t="shared" si="49"/>
        <v>4943.8117647058825</v>
      </c>
      <c r="Q92" s="1059">
        <f t="shared" si="49"/>
        <v>4943.8117647058825</v>
      </c>
      <c r="R92" s="1059">
        <f t="shared" si="49"/>
        <v>8828.2352941176468</v>
      </c>
      <c r="S92" s="1059">
        <f>+S86*S90*S91</f>
        <v>75.670588235294119</v>
      </c>
      <c r="T92" s="1059">
        <f t="shared" ref="T92:X92" si="50">+T86*T90*T91</f>
        <v>454.0235294117648</v>
      </c>
      <c r="U92" s="1059">
        <f t="shared" si="50"/>
        <v>630.58823529411768</v>
      </c>
      <c r="V92" s="1059">
        <f t="shared" si="50"/>
        <v>882.82352941176475</v>
      </c>
      <c r="W92" s="1059">
        <f t="shared" si="50"/>
        <v>4774</v>
      </c>
      <c r="X92" s="1059">
        <f t="shared" si="50"/>
        <v>11911.5</v>
      </c>
      <c r="Y92" s="1059">
        <f>+Y86*Y90*Y91</f>
        <v>15564</v>
      </c>
      <c r="Z92" s="1059">
        <f>+Z86*Z90*Z91</f>
        <v>18130</v>
      </c>
      <c r="AA92" s="1059">
        <f t="shared" ref="AA92:AC92" si="51">+AA86*AA90*AA91</f>
        <v>27163.5</v>
      </c>
      <c r="AB92" s="1059">
        <f t="shared" si="51"/>
        <v>30725.8</v>
      </c>
      <c r="AC92" s="1059">
        <f t="shared" si="51"/>
        <v>33954.9</v>
      </c>
      <c r="AD92" s="1059">
        <f>+AD86*AD90*AD91</f>
        <v>38253.600000000006</v>
      </c>
      <c r="AE92" s="1059">
        <f>+AE86*AE90*AE91</f>
        <v>42490</v>
      </c>
      <c r="AF92" s="1059">
        <f t="shared" ref="AF92:AO92" si="52">+AF86*AF90*AF91</f>
        <v>43352.4</v>
      </c>
      <c r="AG92" s="1059">
        <f t="shared" si="52"/>
        <v>45416.7</v>
      </c>
      <c r="AH92" s="1059">
        <f t="shared" si="52"/>
        <v>50080.1</v>
      </c>
      <c r="AI92" s="1059">
        <f t="shared" si="52"/>
        <v>54640.6</v>
      </c>
      <c r="AJ92" s="1059">
        <f t="shared" si="52"/>
        <v>23612.7</v>
      </c>
      <c r="AK92" s="1059">
        <f t="shared" si="52"/>
        <v>38378</v>
      </c>
      <c r="AL92" s="1059">
        <f t="shared" si="52"/>
        <v>53729.2</v>
      </c>
      <c r="AM92" s="1059">
        <f t="shared" si="52"/>
        <v>53338.6</v>
      </c>
      <c r="AN92" s="1059">
        <f t="shared" si="52"/>
        <v>53034.799999999996</v>
      </c>
      <c r="AO92" s="1059">
        <f t="shared" si="52"/>
        <v>15183.800000000001</v>
      </c>
    </row>
    <row r="93" spans="1:51">
      <c r="R93" s="818">
        <f>SUM(B92:R92)</f>
        <v>78747.858823529416</v>
      </c>
      <c r="W93" s="818">
        <f>SUM(S92:W92)</f>
        <v>6817.105882352942</v>
      </c>
      <c r="X93" s="818">
        <f>SUM(X92)</f>
        <v>11911.5</v>
      </c>
      <c r="Z93" s="818">
        <f>SUM(Y92:Z92)</f>
        <v>33694</v>
      </c>
      <c r="AC93" s="818">
        <f>SUM(AA92:AC92)</f>
        <v>91844.200000000012</v>
      </c>
      <c r="AE93" s="818">
        <f>SUM(AD92:AE92)</f>
        <v>80743.600000000006</v>
      </c>
      <c r="AG93" s="818">
        <f>SUM(AF92:AG92)</f>
        <v>88769.1</v>
      </c>
      <c r="AJ93" s="818">
        <f>SUM(AH92:AJ92)</f>
        <v>128333.4</v>
      </c>
      <c r="AO93" s="818">
        <f>SUM(AK92:AO92)</f>
        <v>213664.39999999997</v>
      </c>
    </row>
    <row r="94" spans="1:51">
      <c r="B94" s="1715">
        <f>+B92/$R$93</f>
        <v>5.605381165919282E-2</v>
      </c>
      <c r="C94" s="1715">
        <f t="shared" ref="C94:R94" si="53">+C92/$R$93</f>
        <v>5.605381165919282E-2</v>
      </c>
      <c r="D94" s="1715">
        <f t="shared" si="53"/>
        <v>5.605381165919282E-2</v>
      </c>
      <c r="E94" s="1715">
        <f t="shared" si="53"/>
        <v>5.605381165919282E-2</v>
      </c>
      <c r="F94" s="1715">
        <f t="shared" si="53"/>
        <v>5.1569506726457388E-2</v>
      </c>
      <c r="G94" s="1715">
        <f t="shared" si="53"/>
        <v>5.1569506726457388E-2</v>
      </c>
      <c r="H94" s="1715">
        <f t="shared" si="53"/>
        <v>5.1569506726457388E-2</v>
      </c>
      <c r="I94" s="1715">
        <f t="shared" si="53"/>
        <v>5.1569506726457388E-2</v>
      </c>
      <c r="J94" s="1715">
        <f t="shared" si="53"/>
        <v>5.1569506726457388E-2</v>
      </c>
      <c r="K94" s="1715">
        <f t="shared" si="53"/>
        <v>5.1569506726457388E-2</v>
      </c>
      <c r="L94" s="1715">
        <f t="shared" si="53"/>
        <v>5.1569506726457388E-2</v>
      </c>
      <c r="M94" s="1715">
        <f t="shared" si="53"/>
        <v>5.1569506726457388E-2</v>
      </c>
      <c r="N94" s="1715">
        <f t="shared" si="53"/>
        <v>6.2780269058295965E-2</v>
      </c>
      <c r="O94" s="1715">
        <f t="shared" si="53"/>
        <v>6.2780269058295965E-2</v>
      </c>
      <c r="P94" s="1715">
        <f t="shared" si="53"/>
        <v>6.2780269058295965E-2</v>
      </c>
      <c r="Q94" s="1715">
        <f t="shared" si="53"/>
        <v>6.2780269058295965E-2</v>
      </c>
      <c r="R94" s="1715">
        <f t="shared" si="53"/>
        <v>0.11210762331838564</v>
      </c>
      <c r="S94" s="1715">
        <f>+S92/$W$93</f>
        <v>1.1100104581209205E-2</v>
      </c>
      <c r="T94" s="1715">
        <f t="shared" ref="T94:W94" si="54">+T92/$W$93</f>
        <v>6.6600627487255246E-2</v>
      </c>
      <c r="U94" s="1715">
        <f t="shared" si="54"/>
        <v>9.2500871510076715E-2</v>
      </c>
      <c r="V94" s="1715">
        <f t="shared" si="54"/>
        <v>0.12950122011410742</v>
      </c>
      <c r="W94" s="1715">
        <f t="shared" si="54"/>
        <v>0.70029717630735133</v>
      </c>
      <c r="X94" s="1715">
        <f>+X92/X93</f>
        <v>1</v>
      </c>
      <c r="Y94" s="1715">
        <f>+Y92/Z93</f>
        <v>0.46192200391761146</v>
      </c>
      <c r="Z94" s="1715">
        <f>+Z92/Z93</f>
        <v>0.5380779960823886</v>
      </c>
      <c r="AA94" s="1715">
        <f>+AA92/AC93</f>
        <v>0.29575629163300454</v>
      </c>
      <c r="AB94" s="1715">
        <f>+AB92/AC93</f>
        <v>0.33454262762373665</v>
      </c>
      <c r="AC94" s="1715">
        <f>+AC92/AC93</f>
        <v>0.36970108074325864</v>
      </c>
      <c r="AD94" s="1715">
        <f>+AD92/AE93</f>
        <v>0.47376634185248123</v>
      </c>
      <c r="AE94" s="1715">
        <f>+AE92/AE93</f>
        <v>0.52623365814751877</v>
      </c>
      <c r="AF94" s="1715">
        <f>+AF92/AG93</f>
        <v>0.48837264318326984</v>
      </c>
      <c r="AG94" s="1715">
        <f>+AG92/AG93</f>
        <v>0.51162735681673011</v>
      </c>
      <c r="AH94" s="1715">
        <f>+AH92/AJ93</f>
        <v>0.39023434273540636</v>
      </c>
      <c r="AI94" s="1715">
        <f>+AI92/AJ93</f>
        <v>0.42577068791133094</v>
      </c>
      <c r="AJ94" s="1715">
        <f>+AJ92/AJ93</f>
        <v>0.18399496935326268</v>
      </c>
      <c r="AK94" s="1715">
        <f>+AK92/AO93</f>
        <v>0.17961813011432887</v>
      </c>
      <c r="AL94" s="1715">
        <f>+AL92/AO93</f>
        <v>0.25146538216006037</v>
      </c>
      <c r="AM94" s="1715">
        <f>+AM92/AO93</f>
        <v>0.24963728164354945</v>
      </c>
      <c r="AN94" s="1715">
        <f>+AN92/AO93</f>
        <v>0.24821542568626315</v>
      </c>
      <c r="AO94" s="1715">
        <f>+AO92/AO93</f>
        <v>7.106378039579829E-2</v>
      </c>
    </row>
  </sheetData>
  <pageMargins left="0.70866141732283472" right="0.70866141732283472" top="0.74803149606299213" bottom="0.74803149606299213" header="0.31496062992125984" footer="0.31496062992125984"/>
  <pageSetup paperSize="9" scale="11" orientation="landscape" r:id="rId1"/>
  <legacy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52">
    <tabColor theme="6" tint="-0.249977111117893"/>
  </sheetPr>
  <dimension ref="A1:BG87"/>
  <sheetViews>
    <sheetView view="pageBreakPreview" zoomScale="61" zoomScaleNormal="100" zoomScaleSheetLayoutView="61" workbookViewId="0">
      <pane xSplit="1" ySplit="3" topLeftCell="AO10" activePane="bottomRight" state="frozen"/>
      <selection pane="bottomRight" activeCell="B36" sqref="B36"/>
      <selection pane="bottomLeft" activeCell="A4" sqref="A4"/>
      <selection pane="topRight" activeCell="B1" sqref="B1"/>
    </sheetView>
  </sheetViews>
  <sheetFormatPr defaultColWidth="9.140625" defaultRowHeight="15.6"/>
  <cols>
    <col min="1" max="1" width="36.28515625" style="142" bestFit="1" customWidth="1"/>
    <col min="2" max="2" width="23.140625" style="142" bestFit="1" customWidth="1"/>
    <col min="3" max="3" width="21.42578125" style="142" bestFit="1" customWidth="1"/>
    <col min="4" max="4" width="23.140625" style="142" bestFit="1" customWidth="1"/>
    <col min="5" max="5" width="21.42578125" style="142" bestFit="1" customWidth="1"/>
    <col min="6" max="10" width="21" style="142" bestFit="1" customWidth="1"/>
    <col min="11" max="13" width="21.42578125" style="142" bestFit="1" customWidth="1"/>
    <col min="14" max="14" width="21" style="142" bestFit="1" customWidth="1"/>
    <col min="15" max="18" width="21.42578125" style="142" bestFit="1" customWidth="1"/>
    <col min="19" max="19" width="21.85546875" style="142" bestFit="1" customWidth="1"/>
    <col min="20" max="20" width="21.42578125" style="142" bestFit="1" customWidth="1"/>
    <col min="21" max="21" width="21.85546875" style="142" bestFit="1" customWidth="1"/>
    <col min="22" max="22" width="21.42578125" style="142" bestFit="1" customWidth="1"/>
    <col min="23" max="23" width="21.85546875" style="142" bestFit="1" customWidth="1"/>
    <col min="24" max="24" width="21.42578125" style="142" bestFit="1" customWidth="1"/>
    <col min="25" max="25" width="22.28515625" style="142" bestFit="1" customWidth="1"/>
    <col min="26" max="26" width="22.5703125" style="142" bestFit="1" customWidth="1"/>
    <col min="27" max="27" width="23.140625" style="142" bestFit="1" customWidth="1"/>
    <col min="28" max="31" width="22.28515625" style="142" bestFit="1" customWidth="1"/>
    <col min="32" max="32" width="23.140625" style="142" bestFit="1" customWidth="1"/>
    <col min="33" max="33" width="23.5703125" style="142" bestFit="1" customWidth="1"/>
    <col min="34" max="34" width="22.28515625" style="142" bestFit="1" customWidth="1"/>
    <col min="35" max="38" width="23.5703125" style="142" bestFit="1" customWidth="1"/>
    <col min="39" max="39" width="23.42578125" style="142" bestFit="1" customWidth="1"/>
    <col min="40" max="40" width="23.5703125" style="142" bestFit="1" customWidth="1"/>
    <col min="41" max="42" width="22.28515625" style="142" bestFit="1" customWidth="1"/>
    <col min="43" max="44" width="23.42578125" style="142" bestFit="1" customWidth="1"/>
    <col min="45" max="45" width="23.140625" style="142" bestFit="1" customWidth="1"/>
    <col min="46" max="46" width="21.85546875" style="142" customWidth="1"/>
    <col min="47" max="47" width="20.140625" style="142" bestFit="1" customWidth="1"/>
    <col min="48" max="48" width="18.42578125" style="142" bestFit="1" customWidth="1"/>
    <col min="49" max="49" width="21.85546875" style="142" bestFit="1" customWidth="1"/>
    <col min="50" max="50" width="9.5703125" style="131" bestFit="1" customWidth="1"/>
    <col min="51" max="51" width="15.7109375" style="142" bestFit="1" customWidth="1"/>
    <col min="52" max="52" width="12.28515625" style="142" bestFit="1" customWidth="1"/>
    <col min="53" max="53" width="12.140625" style="142" bestFit="1" customWidth="1"/>
    <col min="54" max="54" width="16.28515625" style="1059" bestFit="1" customWidth="1"/>
    <col min="55" max="55" width="9.140625" style="142"/>
    <col min="56" max="56" width="16.28515625" style="142" bestFit="1" customWidth="1"/>
    <col min="57" max="58" width="9.140625" style="142"/>
    <col min="59" max="59" width="11" style="142" bestFit="1" customWidth="1"/>
    <col min="60" max="16384" width="9.140625" style="142"/>
  </cols>
  <sheetData>
    <row r="1" spans="1:54">
      <c r="AU1" s="1057"/>
    </row>
    <row r="2" spans="1:54">
      <c r="A2" s="1066" t="s">
        <v>1772</v>
      </c>
      <c r="B2" s="1079">
        <f>[1]Grasmere!B2</f>
        <v>1</v>
      </c>
      <c r="C2" s="1079">
        <f>[1]Grasmere!C2</f>
        <v>2</v>
      </c>
      <c r="D2" s="1079">
        <f>[1]Grasmere!D2</f>
        <v>3</v>
      </c>
      <c r="E2" s="1079">
        <f>[1]Grasmere!E2</f>
        <v>4</v>
      </c>
      <c r="F2" s="1079">
        <f>[1]Grasmere!F2</f>
        <v>5</v>
      </c>
      <c r="G2" s="1079">
        <f>[1]Grasmere!G2</f>
        <v>6</v>
      </c>
      <c r="H2" s="1079">
        <f>[1]Grasmere!H2</f>
        <v>7</v>
      </c>
      <c r="I2" s="1079">
        <f>[1]Grasmere!I2</f>
        <v>8</v>
      </c>
      <c r="J2" s="1079">
        <f>[1]Grasmere!J2</f>
        <v>9</v>
      </c>
      <c r="K2" s="1079">
        <f>[1]Grasmere!K2</f>
        <v>10</v>
      </c>
      <c r="L2" s="1079">
        <f>[1]Grasmere!L2</f>
        <v>11</v>
      </c>
      <c r="M2" s="1079">
        <f>[1]Grasmere!M2</f>
        <v>12</v>
      </c>
      <c r="N2" s="1079">
        <f>[1]Grasmere!N2</f>
        <v>13</v>
      </c>
      <c r="O2" s="1079">
        <f>[1]Grasmere!O2</f>
        <v>14</v>
      </c>
      <c r="P2" s="1079">
        <f>[1]Grasmere!P2</f>
        <v>15</v>
      </c>
      <c r="Q2" s="1079">
        <f>[1]Grasmere!Q2</f>
        <v>16</v>
      </c>
      <c r="R2" s="1079">
        <f>[1]Grasmere!R2</f>
        <v>17</v>
      </c>
      <c r="S2" s="1079">
        <f>[1]Grasmere!S2</f>
        <v>18</v>
      </c>
      <c r="T2" s="1079">
        <f>[1]Grasmere!T2</f>
        <v>19</v>
      </c>
      <c r="U2" s="1079">
        <f>[1]Grasmere!U2</f>
        <v>20</v>
      </c>
      <c r="V2" s="1079">
        <f>[1]Grasmere!V2</f>
        <v>21</v>
      </c>
      <c r="W2" s="1079">
        <f>[1]Grasmere!W2</f>
        <v>22</v>
      </c>
      <c r="X2" s="1079">
        <f>[1]Grasmere!X2</f>
        <v>23</v>
      </c>
      <c r="Y2" s="1079">
        <f>[1]Grasmere!Y2</f>
        <v>24</v>
      </c>
      <c r="Z2" s="1079">
        <f>[1]Grasmere!Z2</f>
        <v>25</v>
      </c>
      <c r="AA2" s="1079">
        <f>[1]Grasmere!AA2</f>
        <v>26</v>
      </c>
      <c r="AB2" s="1079">
        <f>[1]Grasmere!AB2</f>
        <v>27</v>
      </c>
      <c r="AC2" s="1079">
        <f>[1]Grasmere!AC2</f>
        <v>28</v>
      </c>
      <c r="AD2" s="1079">
        <f>[1]Grasmere!AD2</f>
        <v>29</v>
      </c>
      <c r="AE2" s="1079">
        <f>[1]Grasmere!AE2</f>
        <v>30</v>
      </c>
      <c r="AF2" s="1079">
        <f>[1]Grasmere!AF2</f>
        <v>31</v>
      </c>
      <c r="AG2" s="1079">
        <f>[1]Grasmere!AG2</f>
        <v>32</v>
      </c>
      <c r="AH2" s="1079">
        <f>[1]Grasmere!AH2</f>
        <v>33</v>
      </c>
      <c r="AI2" s="1079">
        <f>[1]Grasmere!AI2</f>
        <v>34</v>
      </c>
      <c r="AJ2" s="1079">
        <f>[1]Grasmere!AJ2</f>
        <v>35</v>
      </c>
      <c r="AK2" s="1079">
        <f>[1]Grasmere!AK2</f>
        <v>36</v>
      </c>
      <c r="AL2" s="1079">
        <f>[1]Grasmere!AL2</f>
        <v>37</v>
      </c>
      <c r="AM2" s="1079">
        <f>[1]Grasmere!AM2</f>
        <v>38</v>
      </c>
      <c r="AN2" s="1079">
        <f>[1]Grasmere!AN2</f>
        <v>39</v>
      </c>
      <c r="AO2" s="1079">
        <v>40</v>
      </c>
      <c r="AP2" s="1079"/>
      <c r="AQ2" s="1079"/>
      <c r="AR2" s="1079"/>
      <c r="AS2" s="1079"/>
      <c r="AT2" s="1079"/>
      <c r="AU2" s="1057"/>
    </row>
    <row r="3" spans="1:54">
      <c r="B3" s="1079" t="s">
        <v>1773</v>
      </c>
      <c r="C3" s="1079" t="s">
        <v>1773</v>
      </c>
      <c r="D3" s="1079" t="s">
        <v>1773</v>
      </c>
      <c r="E3" s="1079" t="s">
        <v>1773</v>
      </c>
      <c r="F3" s="1079" t="s">
        <v>1773</v>
      </c>
      <c r="G3" s="1079" t="s">
        <v>1773</v>
      </c>
      <c r="H3" s="1079" t="s">
        <v>1773</v>
      </c>
      <c r="I3" s="1079" t="s">
        <v>1773</v>
      </c>
      <c r="J3" s="1079" t="s">
        <v>1773</v>
      </c>
      <c r="K3" s="1079" t="s">
        <v>1773</v>
      </c>
      <c r="L3" s="1079" t="s">
        <v>1773</v>
      </c>
      <c r="M3" s="1079" t="s">
        <v>1773</v>
      </c>
      <c r="N3" s="1079" t="s">
        <v>1773</v>
      </c>
      <c r="O3" s="1079" t="s">
        <v>1773</v>
      </c>
      <c r="P3" s="1079" t="s">
        <v>1773</v>
      </c>
      <c r="Q3" s="1079" t="s">
        <v>1773</v>
      </c>
      <c r="R3" s="1079" t="s">
        <v>1774</v>
      </c>
      <c r="S3" s="1079" t="s">
        <v>1775</v>
      </c>
      <c r="T3" s="1079" t="s">
        <v>1775</v>
      </c>
      <c r="U3" s="1079" t="s">
        <v>1775</v>
      </c>
      <c r="V3" s="1079" t="s">
        <v>1776</v>
      </c>
      <c r="W3" s="1079" t="s">
        <v>1776</v>
      </c>
      <c r="X3" s="1079" t="s">
        <v>1777</v>
      </c>
      <c r="Y3" s="1079" t="s">
        <v>1777</v>
      </c>
      <c r="Z3" s="1079" t="s">
        <v>108</v>
      </c>
      <c r="AA3" s="1079" t="s">
        <v>108</v>
      </c>
      <c r="AB3" s="1079" t="s">
        <v>108</v>
      </c>
      <c r="AC3" s="1079" t="s">
        <v>108</v>
      </c>
      <c r="AD3" s="1079" t="s">
        <v>1778</v>
      </c>
      <c r="AE3" s="1079" t="s">
        <v>1778</v>
      </c>
      <c r="AF3" s="1079" t="s">
        <v>1779</v>
      </c>
      <c r="AG3" s="1079" t="s">
        <v>1779</v>
      </c>
      <c r="AH3" s="1079" t="s">
        <v>1780</v>
      </c>
      <c r="AI3" s="1079" t="s">
        <v>1780</v>
      </c>
      <c r="AJ3" s="1079" t="s">
        <v>1781</v>
      </c>
      <c r="AK3" s="1079" t="s">
        <v>1781</v>
      </c>
      <c r="AL3" s="1079" t="s">
        <v>1781</v>
      </c>
      <c r="AM3" s="1079" t="s">
        <v>1781</v>
      </c>
      <c r="AN3" s="1079" t="s">
        <v>1781</v>
      </c>
      <c r="AO3" s="1079" t="s">
        <v>1781</v>
      </c>
      <c r="AP3" s="1079"/>
      <c r="AQ3" s="1079"/>
      <c r="AR3" s="1079"/>
      <c r="AS3" s="1079"/>
      <c r="AT3" s="1079"/>
      <c r="AU3" s="1057"/>
    </row>
    <row r="4" spans="1:54">
      <c r="A4" s="1066" t="s">
        <v>1782</v>
      </c>
      <c r="B4" s="1079">
        <f>[1]Grasmere!B4</f>
        <v>23</v>
      </c>
      <c r="C4" s="1079">
        <f>[1]Grasmere!C4</f>
        <v>24</v>
      </c>
      <c r="D4" s="1079">
        <f>[1]Grasmere!D4</f>
        <v>25</v>
      </c>
      <c r="E4" s="1079">
        <f>[1]Grasmere!E4</f>
        <v>26</v>
      </c>
      <c r="F4" s="1079">
        <f>[1]Grasmere!F4</f>
        <v>27</v>
      </c>
      <c r="G4" s="1079">
        <f>[1]Grasmere!G4</f>
        <v>28</v>
      </c>
      <c r="H4" s="1079">
        <f>[1]Grasmere!H4</f>
        <v>29</v>
      </c>
      <c r="I4" s="1079">
        <f>[1]Grasmere!I4</f>
        <v>30</v>
      </c>
      <c r="J4" s="1079">
        <f>[1]Grasmere!J4</f>
        <v>31</v>
      </c>
      <c r="K4" s="1079">
        <f>[1]Grasmere!K4</f>
        <v>32</v>
      </c>
      <c r="L4" s="1079">
        <f>[1]Grasmere!L4</f>
        <v>33</v>
      </c>
      <c r="M4" s="1079">
        <f>[1]Grasmere!M4</f>
        <v>34</v>
      </c>
      <c r="N4" s="1079">
        <f>[1]Grasmere!N4</f>
        <v>35</v>
      </c>
      <c r="O4" s="1079">
        <f>[1]Grasmere!O4</f>
        <v>36</v>
      </c>
      <c r="P4" s="1079">
        <f>[1]Grasmere!P4</f>
        <v>37</v>
      </c>
      <c r="Q4" s="1079">
        <f>[1]Grasmere!Q4</f>
        <v>38</v>
      </c>
      <c r="R4" s="1079">
        <f>[1]Grasmere!R4</f>
        <v>39</v>
      </c>
      <c r="S4" s="1067">
        <f>[1]Grasmere!S4</f>
        <v>40</v>
      </c>
      <c r="T4" s="1079">
        <f>[1]Grasmere!T4</f>
        <v>41</v>
      </c>
      <c r="U4" s="1079">
        <f>[1]Grasmere!U4</f>
        <v>42</v>
      </c>
      <c r="V4" s="1079">
        <f>[1]Grasmere!V4</f>
        <v>43</v>
      </c>
      <c r="W4" s="1079">
        <f>[1]Grasmere!W4</f>
        <v>44</v>
      </c>
      <c r="X4" s="1079">
        <f>[1]Grasmere!X4</f>
        <v>45</v>
      </c>
      <c r="Y4" s="1079">
        <f>[1]Grasmere!Y4</f>
        <v>46</v>
      </c>
      <c r="Z4" s="1079">
        <f>[1]Grasmere!Z4</f>
        <v>47</v>
      </c>
      <c r="AA4" s="1079">
        <f>[1]Grasmere!AA4</f>
        <v>48</v>
      </c>
      <c r="AB4" s="1079">
        <f>[1]Grasmere!AB4</f>
        <v>49</v>
      </c>
      <c r="AC4" s="1079">
        <f>[1]Grasmere!AC4</f>
        <v>50</v>
      </c>
      <c r="AD4" s="1079">
        <f>[1]Grasmere!AD4</f>
        <v>51</v>
      </c>
      <c r="AE4" s="1079">
        <f>[1]Grasmere!AE4</f>
        <v>52</v>
      </c>
      <c r="AF4" s="1079">
        <f>[1]Grasmere!AF4</f>
        <v>1</v>
      </c>
      <c r="AG4" s="1079">
        <f>[1]Grasmere!AG4</f>
        <v>2</v>
      </c>
      <c r="AH4" s="1079">
        <f>[1]Grasmere!AH4</f>
        <v>3</v>
      </c>
      <c r="AI4" s="1079">
        <f>[1]Grasmere!AI4</f>
        <v>4</v>
      </c>
      <c r="AJ4" s="1079">
        <f>[1]Grasmere!AJ4</f>
        <v>5</v>
      </c>
      <c r="AK4" s="1079">
        <f>[1]Grasmere!AK4</f>
        <v>6</v>
      </c>
      <c r="AL4" s="1079">
        <f>[1]Grasmere!AL4</f>
        <v>7</v>
      </c>
      <c r="AM4" s="1079">
        <f>[1]Grasmere!AM4</f>
        <v>8</v>
      </c>
      <c r="AN4" s="1079">
        <f>[1]Grasmere!AN4</f>
        <v>9</v>
      </c>
      <c r="AO4" s="1079">
        <v>10</v>
      </c>
      <c r="AP4" s="1079"/>
      <c r="AQ4" s="1079"/>
      <c r="AR4" s="1079"/>
      <c r="AS4" s="1079"/>
      <c r="AT4" s="1079"/>
      <c r="AU4" s="1068"/>
      <c r="AV4" s="1066"/>
      <c r="AW4" s="1066"/>
      <c r="AX4" s="1066"/>
    </row>
    <row r="5" spans="1:54">
      <c r="A5" s="1066" t="s">
        <v>1783</v>
      </c>
      <c r="B5" s="1079">
        <f>[1]Grasmere!B5</f>
        <v>-16</v>
      </c>
      <c r="C5" s="1079">
        <f>[1]Grasmere!C5</f>
        <v>-15</v>
      </c>
      <c r="D5" s="1079">
        <f>[1]Grasmere!D5</f>
        <v>-14</v>
      </c>
      <c r="E5" s="1079">
        <f>[1]Grasmere!E5</f>
        <v>-13</v>
      </c>
      <c r="F5" s="1079">
        <f>[1]Grasmere!F5</f>
        <v>-12</v>
      </c>
      <c r="G5" s="1079">
        <f>[1]Grasmere!G5</f>
        <v>-11</v>
      </c>
      <c r="H5" s="1079">
        <f>[1]Grasmere!H5</f>
        <v>-10</v>
      </c>
      <c r="I5" s="1079">
        <f>[1]Grasmere!I5</f>
        <v>-9</v>
      </c>
      <c r="J5" s="1079">
        <f>[1]Grasmere!J5</f>
        <v>-8</v>
      </c>
      <c r="K5" s="1079">
        <f>[1]Grasmere!K5</f>
        <v>-7</v>
      </c>
      <c r="L5" s="1079">
        <f>[1]Grasmere!L5</f>
        <v>-6</v>
      </c>
      <c r="M5" s="1079">
        <f>[1]Grasmere!M5</f>
        <v>-5</v>
      </c>
      <c r="N5" s="1079">
        <f>[1]Grasmere!N5</f>
        <v>-4</v>
      </c>
      <c r="O5" s="1079">
        <f>[1]Grasmere!O5</f>
        <v>-3</v>
      </c>
      <c r="P5" s="1079">
        <f>[1]Grasmere!P5</f>
        <v>-2</v>
      </c>
      <c r="Q5" s="1079">
        <f>[1]Grasmere!Q5</f>
        <v>-1</v>
      </c>
      <c r="R5" s="1079">
        <f>[1]Grasmere!R5</f>
        <v>0</v>
      </c>
      <c r="S5" s="1079">
        <f>[1]Grasmere!S5</f>
        <v>1</v>
      </c>
      <c r="T5" s="1079">
        <f>[1]Grasmere!T5</f>
        <v>2</v>
      </c>
      <c r="U5" s="1079">
        <f>[1]Grasmere!U5</f>
        <v>3</v>
      </c>
      <c r="V5" s="1079">
        <f>[1]Grasmere!V5</f>
        <v>4</v>
      </c>
      <c r="W5" s="1079">
        <f>[1]Grasmere!W5</f>
        <v>5</v>
      </c>
      <c r="X5" s="1079">
        <f>[1]Grasmere!X5</f>
        <v>6</v>
      </c>
      <c r="Y5" s="1079">
        <f>[1]Grasmere!Y5</f>
        <v>7</v>
      </c>
      <c r="Z5" s="1079">
        <f>[1]Grasmere!Z5</f>
        <v>8</v>
      </c>
      <c r="AA5" s="1079">
        <f>[1]Grasmere!AA5</f>
        <v>9</v>
      </c>
      <c r="AB5" s="1079">
        <f>[1]Grasmere!AB5</f>
        <v>10</v>
      </c>
      <c r="AC5" s="1079">
        <f>[1]Grasmere!AC5</f>
        <v>11</v>
      </c>
      <c r="AD5" s="1079">
        <f>[1]Grasmere!AD5</f>
        <v>12</v>
      </c>
      <c r="AE5" s="1079">
        <f>[1]Grasmere!AE5</f>
        <v>13</v>
      </c>
      <c r="AF5" s="1079">
        <f>[1]Grasmere!AF5</f>
        <v>14</v>
      </c>
      <c r="AG5" s="1079">
        <f>[1]Grasmere!AG5</f>
        <v>15</v>
      </c>
      <c r="AH5" s="1079">
        <f>[1]Grasmere!AH5</f>
        <v>16</v>
      </c>
      <c r="AI5" s="1079">
        <f>[1]Grasmere!AI5</f>
        <v>17</v>
      </c>
      <c r="AJ5" s="1079">
        <f>[1]Grasmere!AJ5</f>
        <v>18</v>
      </c>
      <c r="AK5" s="1079">
        <f>[1]Grasmere!AK5</f>
        <v>19</v>
      </c>
      <c r="AL5" s="1079">
        <f>[1]Grasmere!AL5</f>
        <v>20</v>
      </c>
      <c r="AM5" s="1079">
        <f>[1]Grasmere!AM5</f>
        <v>21</v>
      </c>
      <c r="AN5" s="1079">
        <f>[1]Grasmere!AN5</f>
        <v>22</v>
      </c>
      <c r="AO5" s="1079">
        <v>23</v>
      </c>
      <c r="AP5" s="1079" t="str">
        <f>[1]Grasmere!AP5</f>
        <v>Sold</v>
      </c>
      <c r="AQ5" s="1079" t="str">
        <f>[1]Grasmere!AQ5</f>
        <v>Sold</v>
      </c>
      <c r="AR5" s="1079" t="str">
        <f>[1]Grasmere!AR5</f>
        <v>Sold</v>
      </c>
      <c r="AS5" s="1079" t="str">
        <f>[1]Grasmere!AS5</f>
        <v>Sold</v>
      </c>
      <c r="AT5" s="1079" t="s">
        <v>1784</v>
      </c>
      <c r="AU5" s="1069" t="s">
        <v>71</v>
      </c>
    </row>
    <row r="6" spans="1:54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U6" s="1057"/>
    </row>
    <row r="7" spans="1:54" s="1100" customFormat="1">
      <c r="A7" s="1066" t="str">
        <f>+'Grasmere Pig Cost'!A7</f>
        <v>Opening Stock (Pigs)</v>
      </c>
      <c r="B7" s="1283"/>
      <c r="C7" s="1283"/>
      <c r="D7" s="1283"/>
      <c r="E7" s="1283"/>
      <c r="F7" s="1283"/>
      <c r="G7" s="1283"/>
      <c r="H7" s="1283"/>
      <c r="I7" s="1283"/>
      <c r="J7" s="1283"/>
      <c r="K7" s="1283"/>
      <c r="L7" s="1283"/>
      <c r="M7" s="1283"/>
      <c r="N7" s="1283"/>
      <c r="O7" s="1283"/>
      <c r="P7" s="1283"/>
      <c r="Q7" s="1283"/>
      <c r="R7" s="1283"/>
      <c r="S7" s="1283"/>
      <c r="T7" s="1283"/>
      <c r="U7" s="1283"/>
      <c r="V7" s="1283"/>
      <c r="W7" s="1283"/>
      <c r="X7" s="1283">
        <f>+'[77]Lionhead Pig Cost'!S26</f>
        <v>616</v>
      </c>
      <c r="Y7" s="1283">
        <f>+'[77]Lionhead Pig Cost'!T26</f>
        <v>618</v>
      </c>
      <c r="Z7" s="1283">
        <f>+'[77]Lionhead Pig Cost'!U26</f>
        <v>590</v>
      </c>
      <c r="AA7" s="1283">
        <f>+'[77]Lionhead Pig Cost'!V26</f>
        <v>676</v>
      </c>
      <c r="AB7" s="1283">
        <f>+'[77]Lionhead Pig Cost'!W26</f>
        <v>611</v>
      </c>
      <c r="AC7" s="1283">
        <f>+'[77]Lionhead Pig Cost'!X26</f>
        <v>549</v>
      </c>
      <c r="AD7" s="1283">
        <f>+'[77]Lionhead Pig Cost'!Y26</f>
        <v>477</v>
      </c>
      <c r="AE7" s="1283">
        <f>+'[77]Lionhead Pig Cost'!Z26</f>
        <v>489</v>
      </c>
      <c r="AF7" s="1283">
        <f>+'[77]Lionhead Pig Cost'!AA26</f>
        <v>473</v>
      </c>
      <c r="AG7" s="1283">
        <f>+'[77]Lionhead Pig Cost'!AB26</f>
        <v>467</v>
      </c>
      <c r="AH7" s="1283">
        <f>+'[77]Lionhead Pig Cost'!AC26</f>
        <v>469</v>
      </c>
      <c r="AI7" s="1283">
        <f>+'[77]Lionhead Pig Cost'!AD26</f>
        <v>466</v>
      </c>
      <c r="AJ7" s="1283">
        <f>+'[77]Lionhead Pig Cost'!AE26</f>
        <v>464</v>
      </c>
      <c r="AK7" s="1283">
        <f>+'[77]Lionhead Pig Cost'!AF26</f>
        <v>467</v>
      </c>
      <c r="AL7" s="1283">
        <f>+'[77]Lionhead Pig Cost'!AG26</f>
        <v>463</v>
      </c>
      <c r="AM7" s="1283">
        <f>+'[77]Lionhead Pig Cost'!AH26</f>
        <v>460</v>
      </c>
      <c r="AN7" s="1283">
        <f>+'[77]Lionhead Pig Cost'!AI26</f>
        <v>367</v>
      </c>
      <c r="AO7" s="1283">
        <f>+'[77]Lionhead Pig Cost'!AJ26</f>
        <v>367</v>
      </c>
      <c r="AP7" s="1283">
        <f>+'[77]Lionhead Pig Cost'!AK26</f>
        <v>446</v>
      </c>
      <c r="AQ7" s="1283">
        <f>+'[77]Lionhead Pig Cost'!AL26</f>
        <v>429</v>
      </c>
      <c r="AR7" s="1283">
        <f>+'[77]Lionhead Pig Cost'!AM26</f>
        <v>435</v>
      </c>
      <c r="AS7" s="1283">
        <f>+'[77]Lionhead Pig Cost'!AN26</f>
        <v>460</v>
      </c>
      <c r="AT7" s="1283">
        <f>+'[77]Lionhead Pig Cost'!AO26</f>
        <v>0</v>
      </c>
      <c r="AU7" s="1283">
        <f>SUM(W7:AS7)</f>
        <v>10859</v>
      </c>
      <c r="AV7" s="1121">
        <f>+'[77]Lionhead Pig Cost'!$AU$26</f>
        <v>10859</v>
      </c>
      <c r="AW7" s="1170">
        <f>+AU7-AV7</f>
        <v>0</v>
      </c>
      <c r="AX7" s="1073"/>
      <c r="BB7" s="1101"/>
    </row>
    <row r="8" spans="1:54" s="1100" customFormat="1">
      <c r="A8" s="1066" t="str">
        <f>+'Grasmere Pig Cost'!A8</f>
        <v>Birth</v>
      </c>
      <c r="B8" s="1283">
        <v>0</v>
      </c>
      <c r="C8" s="1283">
        <v>0</v>
      </c>
      <c r="D8" s="1283">
        <v>0</v>
      </c>
      <c r="E8" s="1283">
        <v>0</v>
      </c>
      <c r="F8" s="1283">
        <v>0</v>
      </c>
      <c r="G8" s="1283">
        <v>0</v>
      </c>
      <c r="H8" s="1283">
        <v>0</v>
      </c>
      <c r="I8" s="1283">
        <v>0</v>
      </c>
      <c r="J8" s="1283">
        <v>0</v>
      </c>
      <c r="K8" s="1283">
        <v>0</v>
      </c>
      <c r="L8" s="1283">
        <v>0</v>
      </c>
      <c r="M8" s="1283">
        <v>0</v>
      </c>
      <c r="N8" s="1283">
        <v>0</v>
      </c>
      <c r="O8" s="1283">
        <v>0</v>
      </c>
      <c r="P8" s="1283">
        <v>0</v>
      </c>
      <c r="Q8" s="1283">
        <v>0</v>
      </c>
      <c r="R8" s="1283"/>
      <c r="S8" s="1283">
        <f>355+303</f>
        <v>658</v>
      </c>
      <c r="T8" s="1283">
        <f>662</f>
        <v>662</v>
      </c>
      <c r="U8" s="1283">
        <f>751</f>
        <v>751</v>
      </c>
      <c r="V8" s="1283">
        <v>669</v>
      </c>
      <c r="W8" s="1283">
        <v>337</v>
      </c>
      <c r="X8" s="1283"/>
      <c r="Y8" s="1283"/>
      <c r="Z8" s="1283"/>
      <c r="AA8" s="1283"/>
      <c r="AB8" s="1283"/>
      <c r="AC8" s="1283"/>
      <c r="AD8" s="1283"/>
      <c r="AE8" s="1283"/>
      <c r="AF8" s="1283"/>
      <c r="AG8" s="1283"/>
      <c r="AH8" s="1283"/>
      <c r="AI8" s="1283"/>
      <c r="AJ8" s="1283"/>
      <c r="AK8" s="1283"/>
      <c r="AL8" s="1283"/>
      <c r="AM8" s="1283"/>
      <c r="AN8" s="1283"/>
      <c r="AO8" s="1283"/>
      <c r="AP8" s="1283"/>
      <c r="AQ8" s="1283"/>
      <c r="AR8" s="1283"/>
      <c r="AS8" s="1283"/>
      <c r="AT8" s="1283"/>
      <c r="AU8" s="1283">
        <f>SUM(S8:AT8)</f>
        <v>3077</v>
      </c>
      <c r="AV8" s="1121">
        <f>SUM('Summary Total Pigs'!J50)</f>
        <v>2928</v>
      </c>
      <c r="AW8" s="1170">
        <f>+AU8-AV8</f>
        <v>149</v>
      </c>
      <c r="AX8" s="1073"/>
      <c r="BB8" s="1101"/>
    </row>
    <row r="9" spans="1:54" s="1100" customFormat="1">
      <c r="A9" s="1066" t="str">
        <f>+'Grasmere Pig Cost'!A9</f>
        <v>Transfer In</v>
      </c>
      <c r="B9" s="1283"/>
      <c r="C9" s="1283"/>
      <c r="D9" s="1283"/>
      <c r="E9" s="1283"/>
      <c r="F9" s="1283"/>
      <c r="G9" s="1283"/>
      <c r="H9" s="1283"/>
      <c r="I9" s="1283"/>
      <c r="J9" s="1283"/>
      <c r="K9" s="1283"/>
      <c r="L9" s="1283"/>
      <c r="M9" s="1283"/>
      <c r="N9" s="1283"/>
      <c r="O9" s="1283"/>
      <c r="P9" s="1283"/>
      <c r="Q9" s="1283"/>
      <c r="R9" s="1283"/>
      <c r="S9" s="1283"/>
      <c r="T9" s="1283"/>
      <c r="U9" s="1283"/>
      <c r="V9" s="807">
        <f>85</f>
        <v>85</v>
      </c>
      <c r="W9" s="1283">
        <f>11+2</f>
        <v>13</v>
      </c>
      <c r="X9" s="1283">
        <f>39+2</f>
        <v>41</v>
      </c>
      <c r="Y9" s="1283">
        <f>58+1</f>
        <v>59</v>
      </c>
      <c r="Z9" s="1283">
        <f>20</f>
        <v>20</v>
      </c>
      <c r="AA9" s="1283"/>
      <c r="AB9" s="1283"/>
      <c r="AC9" s="1283">
        <f>1</f>
        <v>1</v>
      </c>
      <c r="AD9" s="1283"/>
      <c r="AE9" s="1283">
        <f>1</f>
        <v>1</v>
      </c>
      <c r="AF9" s="1745">
        <v>1</v>
      </c>
      <c r="AG9" s="1283"/>
      <c r="AH9" s="1283"/>
      <c r="AI9" s="1283"/>
      <c r="AJ9" s="1283"/>
      <c r="AK9" s="1283"/>
      <c r="AL9" s="1283"/>
      <c r="AM9" s="1283"/>
      <c r="AN9" s="1283"/>
      <c r="AO9" s="1283"/>
      <c r="AP9" s="1283"/>
      <c r="AQ9" s="1283"/>
      <c r="AR9" s="1751">
        <v>1</v>
      </c>
      <c r="AS9" s="1283"/>
      <c r="AT9" s="1283"/>
      <c r="AU9" s="1283">
        <f t="shared" ref="AU9:AU10" si="0">SUM(S9:AT9)</f>
        <v>222</v>
      </c>
      <c r="AV9" s="1121">
        <f>SUM('Summary Total Pigs'!D50:D52)+'Summary Total Pigs'!D53</f>
        <v>5095</v>
      </c>
      <c r="AW9" s="818"/>
      <c r="AX9" s="1073"/>
      <c r="BB9" s="1101"/>
    </row>
    <row r="10" spans="1:54" s="1100" customFormat="1">
      <c r="A10" s="1066" t="str">
        <f>+'Grasmere Pig Cost'!A10</f>
        <v>Transfer (Out)</v>
      </c>
      <c r="B10" s="1283"/>
      <c r="C10" s="1283"/>
      <c r="D10" s="1283"/>
      <c r="E10" s="1283"/>
      <c r="F10" s="1283"/>
      <c r="G10" s="1283"/>
      <c r="H10" s="1283"/>
      <c r="I10" s="1283"/>
      <c r="J10" s="1283"/>
      <c r="K10" s="1283"/>
      <c r="L10" s="1283"/>
      <c r="M10" s="1283"/>
      <c r="N10" s="1283"/>
      <c r="O10" s="1283"/>
      <c r="P10" s="1283"/>
      <c r="Q10" s="1283"/>
      <c r="R10" s="1283"/>
      <c r="S10" s="1283"/>
      <c r="T10" s="1283"/>
      <c r="U10" s="1283">
        <f>-85</f>
        <v>-85</v>
      </c>
      <c r="V10" s="1283">
        <f>-11-2</f>
        <v>-13</v>
      </c>
      <c r="W10" s="1283">
        <f>-39-2</f>
        <v>-41</v>
      </c>
      <c r="X10" s="1283">
        <f>-58-1</f>
        <v>-59</v>
      </c>
      <c r="Y10" s="1283">
        <f>-20</f>
        <v>-20</v>
      </c>
      <c r="Z10" s="1283"/>
      <c r="AA10" s="1283"/>
      <c r="AB10" s="1283"/>
      <c r="AC10" s="1283"/>
      <c r="AD10" s="1283">
        <f>-1-1</f>
        <v>-2</v>
      </c>
      <c r="AE10" s="1283">
        <f>-1</f>
        <v>-1</v>
      </c>
      <c r="AF10" s="1283"/>
      <c r="AG10" s="1283"/>
      <c r="AH10" s="1283">
        <v>-1</v>
      </c>
      <c r="AI10" s="1283"/>
      <c r="AJ10" s="1283"/>
      <c r="AK10" s="1283"/>
      <c r="AL10" s="1283"/>
      <c r="AM10" s="1283"/>
      <c r="AN10" s="1283"/>
      <c r="AO10" s="1283"/>
      <c r="AP10" s="1283"/>
      <c r="AQ10" s="1283"/>
      <c r="AR10" s="1283"/>
      <c r="AS10" s="1283"/>
      <c r="AT10" s="1283"/>
      <c r="AU10" s="1283">
        <f t="shared" si="0"/>
        <v>-222</v>
      </c>
      <c r="AV10" s="1121">
        <f>SUM('Summary Total Pigs'!N50:N52)</f>
        <v>-5095</v>
      </c>
      <c r="AW10" s="818">
        <f>SUM('Summary Total Pigs'!N50:N52)-AV10</f>
        <v>0</v>
      </c>
      <c r="AX10" s="1073"/>
      <c r="BB10" s="1101"/>
    </row>
    <row r="11" spans="1:54" s="1100" customFormat="1">
      <c r="A11" s="1066" t="str">
        <f>+'Grasmere Pig Cost'!A11</f>
        <v>Total before Mortality</v>
      </c>
      <c r="B11" s="1282">
        <f t="shared" ref="B11:R11" si="1">SUM(B7:B8)</f>
        <v>0</v>
      </c>
      <c r="C11" s="1282">
        <f t="shared" si="1"/>
        <v>0</v>
      </c>
      <c r="D11" s="1282">
        <f t="shared" si="1"/>
        <v>0</v>
      </c>
      <c r="E11" s="1282">
        <f t="shared" si="1"/>
        <v>0</v>
      </c>
      <c r="F11" s="1282">
        <f t="shared" si="1"/>
        <v>0</v>
      </c>
      <c r="G11" s="1282">
        <f t="shared" si="1"/>
        <v>0</v>
      </c>
      <c r="H11" s="1282">
        <f t="shared" si="1"/>
        <v>0</v>
      </c>
      <c r="I11" s="1282">
        <f t="shared" si="1"/>
        <v>0</v>
      </c>
      <c r="J11" s="1282">
        <f t="shared" si="1"/>
        <v>0</v>
      </c>
      <c r="K11" s="1282">
        <f t="shared" si="1"/>
        <v>0</v>
      </c>
      <c r="L11" s="1282">
        <f t="shared" si="1"/>
        <v>0</v>
      </c>
      <c r="M11" s="1282">
        <f t="shared" si="1"/>
        <v>0</v>
      </c>
      <c r="N11" s="1282">
        <f t="shared" si="1"/>
        <v>0</v>
      </c>
      <c r="O11" s="1282">
        <f t="shared" si="1"/>
        <v>0</v>
      </c>
      <c r="P11" s="1282">
        <f t="shared" si="1"/>
        <v>0</v>
      </c>
      <c r="Q11" s="1282">
        <f t="shared" si="1"/>
        <v>0</v>
      </c>
      <c r="R11" s="1282">
        <f t="shared" si="1"/>
        <v>0</v>
      </c>
      <c r="S11" s="1282">
        <f>SUM(S7:S10)</f>
        <v>658</v>
      </c>
      <c r="T11" s="1282">
        <f t="shared" ref="T11:AT11" si="2">SUM(T7:T10)</f>
        <v>662</v>
      </c>
      <c r="U11" s="1282">
        <f t="shared" si="2"/>
        <v>666</v>
      </c>
      <c r="V11" s="1282">
        <f t="shared" si="2"/>
        <v>741</v>
      </c>
      <c r="W11" s="1282">
        <f t="shared" si="2"/>
        <v>309</v>
      </c>
      <c r="X11" s="1282">
        <f t="shared" si="2"/>
        <v>598</v>
      </c>
      <c r="Y11" s="1282">
        <f t="shared" si="2"/>
        <v>657</v>
      </c>
      <c r="Z11" s="1282">
        <f t="shared" si="2"/>
        <v>610</v>
      </c>
      <c r="AA11" s="1282">
        <f t="shared" si="2"/>
        <v>676</v>
      </c>
      <c r="AB11" s="1282">
        <f t="shared" si="2"/>
        <v>611</v>
      </c>
      <c r="AC11" s="1282">
        <f t="shared" si="2"/>
        <v>550</v>
      </c>
      <c r="AD11" s="1282">
        <f t="shared" si="2"/>
        <v>475</v>
      </c>
      <c r="AE11" s="1282">
        <f t="shared" si="2"/>
        <v>489</v>
      </c>
      <c r="AF11" s="1282">
        <f t="shared" si="2"/>
        <v>474</v>
      </c>
      <c r="AG11" s="1282">
        <f t="shared" si="2"/>
        <v>467</v>
      </c>
      <c r="AH11" s="1282">
        <f t="shared" si="2"/>
        <v>468</v>
      </c>
      <c r="AI11" s="1282">
        <f t="shared" si="2"/>
        <v>466</v>
      </c>
      <c r="AJ11" s="1282">
        <f t="shared" si="2"/>
        <v>464</v>
      </c>
      <c r="AK11" s="1282">
        <f t="shared" si="2"/>
        <v>467</v>
      </c>
      <c r="AL11" s="1282">
        <f t="shared" si="2"/>
        <v>463</v>
      </c>
      <c r="AM11" s="1282">
        <f t="shared" si="2"/>
        <v>460</v>
      </c>
      <c r="AN11" s="1282">
        <f t="shared" si="2"/>
        <v>367</v>
      </c>
      <c r="AO11" s="1282">
        <f t="shared" si="2"/>
        <v>367</v>
      </c>
      <c r="AP11" s="1282">
        <f t="shared" si="2"/>
        <v>446</v>
      </c>
      <c r="AQ11" s="1282">
        <f t="shared" si="2"/>
        <v>429</v>
      </c>
      <c r="AR11" s="1282">
        <f t="shared" si="2"/>
        <v>436</v>
      </c>
      <c r="AS11" s="1282">
        <f t="shared" si="2"/>
        <v>460</v>
      </c>
      <c r="AT11" s="1282">
        <f t="shared" si="2"/>
        <v>0</v>
      </c>
      <c r="AU11" s="1282">
        <f>SUM(S11:AT11)</f>
        <v>13936</v>
      </c>
      <c r="AV11" s="1282">
        <f>SUM(AV7:AV10)</f>
        <v>13787</v>
      </c>
      <c r="AW11" s="818">
        <f>AU11-AV11</f>
        <v>149</v>
      </c>
      <c r="AX11" s="1066"/>
      <c r="AY11" s="1084"/>
      <c r="BB11" s="1101"/>
    </row>
    <row r="12" spans="1:54" s="1100" customFormat="1" ht="15">
      <c r="A12" s="1100" t="s">
        <v>1828</v>
      </c>
      <c r="B12" s="1283"/>
      <c r="C12" s="1283"/>
      <c r="D12" s="1283"/>
      <c r="E12" s="1283"/>
      <c r="F12" s="1283"/>
      <c r="G12" s="1283"/>
      <c r="H12" s="1283"/>
      <c r="I12" s="1283"/>
      <c r="J12" s="1283"/>
      <c r="K12" s="1283"/>
      <c r="L12" s="1283"/>
      <c r="M12" s="1283"/>
      <c r="N12" s="1283"/>
      <c r="O12" s="1283"/>
      <c r="P12" s="1283"/>
      <c r="Q12" s="1283"/>
      <c r="R12" s="1283"/>
      <c r="S12" s="1283"/>
      <c r="T12" s="1283"/>
      <c r="U12" s="1283"/>
      <c r="V12" s="1283"/>
      <c r="W12" s="1283"/>
      <c r="X12" s="1283"/>
      <c r="Y12" s="1283"/>
      <c r="Z12" s="1283"/>
      <c r="AA12" s="1283"/>
      <c r="AB12" s="1283"/>
      <c r="AC12" s="1283"/>
      <c r="AD12" s="1283"/>
      <c r="AE12" s="1283"/>
      <c r="AF12" s="1283"/>
      <c r="AG12" s="1283"/>
      <c r="AH12" s="1283"/>
      <c r="AI12" s="1283"/>
      <c r="AJ12" s="1283"/>
      <c r="AK12" s="807"/>
      <c r="AL12" s="807"/>
      <c r="AM12" s="807"/>
      <c r="AN12" s="1283"/>
      <c r="AO12" s="1283"/>
      <c r="AP12" s="1283"/>
      <c r="AQ12" s="1283"/>
      <c r="AR12" s="1283"/>
      <c r="AS12" s="1283"/>
      <c r="AT12" s="1283"/>
      <c r="AU12" s="1283">
        <f>SUM(S12:AT12)</f>
        <v>0</v>
      </c>
      <c r="AV12" s="1283">
        <f>SUM('Summary Total Pigs'!E50:E52,'Summary Total Pigs'!O50:O52)</f>
        <v>0</v>
      </c>
      <c r="AW12" s="1170">
        <f>AU12-AV12</f>
        <v>0</v>
      </c>
      <c r="AY12" s="1603"/>
      <c r="BB12" s="1101"/>
    </row>
    <row r="13" spans="1:54" s="1100" customFormat="1" ht="15">
      <c r="A13" s="1100" t="str">
        <f>+'Grasmere Pig Cost'!A13</f>
        <v>Transfers Lionshead Ext.</v>
      </c>
      <c r="B13" s="1283"/>
      <c r="C13" s="1283"/>
      <c r="D13" s="1283"/>
      <c r="E13" s="1283"/>
      <c r="F13" s="1283"/>
      <c r="G13" s="1283"/>
      <c r="H13" s="1283"/>
      <c r="I13" s="1283"/>
      <c r="J13" s="1283"/>
      <c r="K13" s="1283"/>
      <c r="L13" s="1283"/>
      <c r="M13" s="1283"/>
      <c r="N13" s="1283"/>
      <c r="O13" s="1283"/>
      <c r="P13" s="1283"/>
      <c r="Q13" s="1283"/>
      <c r="R13" s="1283"/>
      <c r="S13" s="1283"/>
      <c r="T13" s="1283"/>
      <c r="U13" s="1283"/>
      <c r="V13" s="1283"/>
      <c r="W13" s="1283"/>
      <c r="X13" s="807">
        <f>-71</f>
        <v>-71</v>
      </c>
      <c r="Y13" s="807">
        <f>-170</f>
        <v>-170</v>
      </c>
      <c r="Z13" s="1283">
        <f>-200</f>
        <v>-200</v>
      </c>
      <c r="AA13" s="1283">
        <f>-90</f>
        <v>-90</v>
      </c>
      <c r="AB13" s="1283"/>
      <c r="AC13" s="1283"/>
      <c r="AD13" s="1283"/>
      <c r="AE13" s="1283"/>
      <c r="AF13" s="1283"/>
      <c r="AG13" s="1283"/>
      <c r="AH13" s="1283"/>
      <c r="AI13" s="1283"/>
      <c r="AJ13" s="1283"/>
      <c r="AK13" s="1283"/>
      <c r="AL13" s="1283"/>
      <c r="AM13" s="1283"/>
      <c r="AN13" s="1283"/>
      <c r="AO13" s="1283"/>
      <c r="AP13" s="1283"/>
      <c r="AQ13" s="1283"/>
      <c r="AR13" s="1283"/>
      <c r="AS13" s="1283"/>
      <c r="AT13" s="1283"/>
      <c r="AU13" s="1283">
        <f t="shared" ref="AU13:AU25" si="3">SUM(S13:AT13)</f>
        <v>-531</v>
      </c>
      <c r="AV13" s="1283">
        <f>SUM('Summary Total Pigs'!F50:F52,'Summary Total Pigs'!P50:P52)</f>
        <v>-120</v>
      </c>
      <c r="AW13" s="1170">
        <f>AU13-AV13</f>
        <v>-411</v>
      </c>
      <c r="BB13" s="1101"/>
    </row>
    <row r="14" spans="1:54" s="1100" customFormat="1" ht="15">
      <c r="A14" s="1100" t="str">
        <f>+'Grasmere Pig Cost'!A14</f>
        <v>Transfers  Richlands</v>
      </c>
      <c r="B14" s="1283"/>
      <c r="C14" s="1283"/>
      <c r="D14" s="1283"/>
      <c r="E14" s="1283"/>
      <c r="F14" s="1283"/>
      <c r="G14" s="1283"/>
      <c r="H14" s="1283"/>
      <c r="I14" s="1283"/>
      <c r="J14" s="1283"/>
      <c r="K14" s="1283"/>
      <c r="L14" s="1283"/>
      <c r="M14" s="1283"/>
      <c r="N14" s="1283"/>
      <c r="O14" s="1283"/>
      <c r="P14" s="1283"/>
      <c r="Q14" s="1283"/>
      <c r="R14" s="1283"/>
      <c r="S14" s="1283"/>
      <c r="T14" s="1283"/>
      <c r="U14" s="1283"/>
      <c r="V14" s="1283"/>
      <c r="W14" s="1283"/>
      <c r="X14" s="1283"/>
      <c r="Y14" s="1283"/>
      <c r="Z14" s="1283"/>
      <c r="AA14" s="1283"/>
      <c r="AB14" s="1283"/>
      <c r="AC14" s="1283"/>
      <c r="AD14" s="1283"/>
      <c r="AE14" s="1283"/>
      <c r="AF14" s="1283"/>
      <c r="AG14" s="1283"/>
      <c r="AH14" s="1283"/>
      <c r="AI14" s="1283"/>
      <c r="AJ14" s="1283"/>
      <c r="AK14" s="1283"/>
      <c r="AL14" s="1283"/>
      <c r="AM14" s="1283"/>
      <c r="AN14" s="1283"/>
      <c r="AO14" s="1283"/>
      <c r="AP14" s="1283"/>
      <c r="AQ14" s="1283"/>
      <c r="AR14" s="1283"/>
      <c r="AS14" s="1283"/>
      <c r="AT14" s="1283"/>
      <c r="AU14" s="1283">
        <f t="shared" si="3"/>
        <v>0</v>
      </c>
      <c r="AV14" s="1283">
        <f>SUM('Summary Total Pigs'!G50:G52,'Summary Total Pigs'!Q50:Q52)</f>
        <v>0</v>
      </c>
      <c r="AW14" s="1170">
        <f>AU14-AV14</f>
        <v>0</v>
      </c>
      <c r="BB14" s="1101"/>
    </row>
    <row r="15" spans="1:54" s="1100" customFormat="1" ht="15">
      <c r="A15" s="1100" t="str">
        <f>+'Grasmere Pig Cost'!A15</f>
        <v>Transfers Learig</v>
      </c>
      <c r="B15" s="1283"/>
      <c r="C15" s="1283"/>
      <c r="D15" s="1283"/>
      <c r="E15" s="1283"/>
      <c r="F15" s="1283"/>
      <c r="G15" s="1283"/>
      <c r="H15" s="1283"/>
      <c r="I15" s="1283"/>
      <c r="J15" s="1283"/>
      <c r="K15" s="1283"/>
      <c r="L15" s="1283"/>
      <c r="M15" s="1283"/>
      <c r="N15" s="1283"/>
      <c r="O15" s="1283"/>
      <c r="P15" s="1283"/>
      <c r="Q15" s="1283"/>
      <c r="R15" s="1283"/>
      <c r="S15" s="1283"/>
      <c r="T15" s="1283"/>
      <c r="U15" s="1283"/>
      <c r="V15" s="1283"/>
      <c r="W15" s="1283"/>
      <c r="X15" s="1283"/>
      <c r="Y15" s="1283"/>
      <c r="Z15" s="1283"/>
      <c r="AA15" s="1283"/>
      <c r="AB15" s="1283"/>
      <c r="AC15" s="1283"/>
      <c r="AD15" s="1283"/>
      <c r="AE15" s="1283"/>
      <c r="AF15" s="1283"/>
      <c r="AG15" s="1283"/>
      <c r="AH15" s="1283"/>
      <c r="AI15" s="1283"/>
      <c r="AJ15" s="1283"/>
      <c r="AK15" s="1283"/>
      <c r="AL15" s="1283"/>
      <c r="AM15" s="1283"/>
      <c r="AN15" s="1283"/>
      <c r="AO15" s="1283"/>
      <c r="AP15" s="1283"/>
      <c r="AQ15" s="1283"/>
      <c r="AR15" s="1283"/>
      <c r="AS15" s="1283"/>
      <c r="AT15" s="1283"/>
      <c r="AU15" s="1283">
        <f t="shared" si="3"/>
        <v>0</v>
      </c>
      <c r="AV15" s="1283">
        <f>SUM('Summary Total Pigs'!H50:H52,'Summary Total Pigs'!R50:R52)</f>
        <v>0</v>
      </c>
      <c r="AW15" s="1170">
        <f t="shared" ref="AW15:AW25" si="4">AU15-AV15</f>
        <v>0</v>
      </c>
      <c r="BB15" s="1101"/>
    </row>
    <row r="16" spans="1:54" s="1100" customFormat="1" ht="15">
      <c r="A16" s="1100" t="str">
        <f>+'Grasmere Pig Cost'!A16</f>
        <v>Transfers Villa</v>
      </c>
      <c r="B16" s="1283"/>
      <c r="C16" s="1283"/>
      <c r="D16" s="1283"/>
      <c r="E16" s="1283"/>
      <c r="F16" s="1283"/>
      <c r="G16" s="1283"/>
      <c r="H16" s="1283"/>
      <c r="I16" s="1283"/>
      <c r="J16" s="1283"/>
      <c r="K16" s="1283"/>
      <c r="L16" s="1283"/>
      <c r="M16" s="1283"/>
      <c r="N16" s="1283"/>
      <c r="O16" s="1283"/>
      <c r="P16" s="1283"/>
      <c r="Q16" s="1283"/>
      <c r="R16" s="1283"/>
      <c r="S16" s="1283"/>
      <c r="T16" s="1283"/>
      <c r="U16" s="1283"/>
      <c r="V16" s="1283"/>
      <c r="W16" s="1283"/>
      <c r="X16" s="1283"/>
      <c r="Y16" s="1283"/>
      <c r="Z16" s="1283"/>
      <c r="AA16" s="1283"/>
      <c r="AB16" s="1283"/>
      <c r="AC16" s="1283"/>
      <c r="AD16" s="1283"/>
      <c r="AE16" s="1283"/>
      <c r="AF16" s="1283"/>
      <c r="AG16" s="1283"/>
      <c r="AH16" s="1283"/>
      <c r="AI16" s="1283"/>
      <c r="AJ16" s="1283"/>
      <c r="AK16" s="1283"/>
      <c r="AL16" s="1283"/>
      <c r="AM16" s="1283"/>
      <c r="AN16" s="1283"/>
      <c r="AO16" s="1283"/>
      <c r="AP16" s="1283"/>
      <c r="AQ16" s="1283"/>
      <c r="AR16" s="1283"/>
      <c r="AS16" s="1283"/>
      <c r="AT16" s="1283"/>
      <c r="AU16" s="1283">
        <f t="shared" si="3"/>
        <v>0</v>
      </c>
      <c r="AV16" s="1283">
        <f>SUM('Summary Total Pigs'!I50:I52,'Summary Total Pigs'!S50:S52)</f>
        <v>0</v>
      </c>
      <c r="AW16" s="1170">
        <f t="shared" si="4"/>
        <v>0</v>
      </c>
      <c r="BB16" s="1101"/>
    </row>
    <row r="17" spans="1:54" s="1100" customFormat="1" ht="15">
      <c r="A17" s="1100" t="str">
        <f>+'Grasmere Pig Cost'!A20</f>
        <v>Transfers  Boars</v>
      </c>
      <c r="B17" s="1283"/>
      <c r="C17" s="1283"/>
      <c r="D17" s="1283"/>
      <c r="E17" s="1283"/>
      <c r="F17" s="1283"/>
      <c r="G17" s="1283"/>
      <c r="H17" s="1283"/>
      <c r="I17" s="1283"/>
      <c r="J17" s="1283"/>
      <c r="K17" s="1283"/>
      <c r="L17" s="1283"/>
      <c r="M17" s="1283"/>
      <c r="N17" s="1283"/>
      <c r="O17" s="1283"/>
      <c r="P17" s="1283"/>
      <c r="Q17" s="1283"/>
      <c r="R17" s="1283"/>
      <c r="S17" s="1283"/>
      <c r="T17" s="1283"/>
      <c r="U17" s="1283"/>
      <c r="V17" s="1283"/>
      <c r="W17" s="1283"/>
      <c r="X17" s="1283"/>
      <c r="Y17" s="1283"/>
      <c r="Z17" s="1283"/>
      <c r="AA17" s="1283"/>
      <c r="AB17" s="1283"/>
      <c r="AC17" s="1283"/>
      <c r="AD17" s="1283"/>
      <c r="AE17" s="1283"/>
      <c r="AF17" s="1283"/>
      <c r="AG17" s="1283"/>
      <c r="AH17" s="1283"/>
      <c r="AI17" s="1283"/>
      <c r="AJ17" s="1283"/>
      <c r="AK17" s="1283"/>
      <c r="AL17" s="1283"/>
      <c r="AM17" s="1283"/>
      <c r="AN17" s="1283"/>
      <c r="AO17" s="1283"/>
      <c r="AP17" s="1283"/>
      <c r="AQ17" s="1283"/>
      <c r="AR17" s="1283"/>
      <c r="AS17" s="1283"/>
      <c r="AT17" s="1283"/>
      <c r="AU17" s="1283">
        <f t="shared" si="3"/>
        <v>0</v>
      </c>
      <c r="AV17" s="1283">
        <f>-'Summary Total Pigs'!D55</f>
        <v>0</v>
      </c>
      <c r="AW17" s="1170">
        <f t="shared" si="4"/>
        <v>0</v>
      </c>
      <c r="BB17" s="1101"/>
    </row>
    <row r="18" spans="1:54" s="1100" customFormat="1" ht="15">
      <c r="A18" s="1100" t="str">
        <f>+'Grasmere Pig Cost'!A21</f>
        <v>Transfers Grower</v>
      </c>
      <c r="U18" s="1283"/>
      <c r="V18" s="1283"/>
      <c r="W18" s="1283"/>
      <c r="X18" s="1283"/>
      <c r="Y18" s="1283"/>
      <c r="Z18" s="1283"/>
      <c r="AA18" s="1283"/>
      <c r="AB18" s="1283"/>
      <c r="AC18" s="1283"/>
      <c r="AD18" s="1283"/>
      <c r="AE18" s="1283"/>
      <c r="AF18" s="1283"/>
      <c r="AG18" s="1283"/>
      <c r="AH18" s="1283"/>
      <c r="AI18" s="1283"/>
      <c r="AJ18" s="1283"/>
      <c r="AK18" s="1283"/>
      <c r="AL18" s="1283"/>
      <c r="AM18" s="1283"/>
      <c r="AN18" s="1283"/>
      <c r="AO18" s="1283"/>
      <c r="AP18" s="1283"/>
      <c r="AQ18" s="1283"/>
      <c r="AR18" s="1283"/>
      <c r="AS18" s="1283"/>
      <c r="AT18" s="1283"/>
      <c r="AU18" s="1283">
        <f t="shared" si="3"/>
        <v>0</v>
      </c>
      <c r="AV18" s="1283">
        <v>0</v>
      </c>
      <c r="AW18" s="1170">
        <f t="shared" si="4"/>
        <v>0</v>
      </c>
      <c r="BB18" s="1101"/>
    </row>
    <row r="19" spans="1:54" s="1100" customFormat="1" ht="15">
      <c r="A19" s="1100" t="str">
        <f>+'Grasmere Pig Cost'!A22</f>
        <v>Transfer to Sick Block</v>
      </c>
      <c r="B19" s="1283"/>
      <c r="C19" s="1283"/>
      <c r="D19" s="1283"/>
      <c r="E19" s="1283"/>
      <c r="F19" s="1283"/>
      <c r="G19" s="1283"/>
      <c r="H19" s="1283"/>
      <c r="I19" s="1283"/>
      <c r="J19" s="1283"/>
      <c r="K19" s="1283"/>
      <c r="L19" s="1283"/>
      <c r="M19" s="1283"/>
      <c r="N19" s="1283"/>
      <c r="O19" s="1283"/>
      <c r="P19" s="1283"/>
      <c r="Q19" s="1283"/>
      <c r="R19" s="1283"/>
      <c r="S19" s="1283"/>
      <c r="T19" s="1283"/>
      <c r="U19" s="1283"/>
      <c r="V19" s="1283"/>
      <c r="W19" s="1283"/>
      <c r="X19" s="1283"/>
      <c r="Y19" s="1283"/>
      <c r="Z19" s="1283"/>
      <c r="AA19" s="1283"/>
      <c r="AB19" s="1283"/>
      <c r="AC19" s="1283"/>
      <c r="AD19" s="1283"/>
      <c r="AE19" s="1283"/>
      <c r="AF19" s="1283"/>
      <c r="AG19" s="1283"/>
      <c r="AH19" s="1283"/>
      <c r="AI19" s="1283"/>
      <c r="AJ19" s="1283"/>
      <c r="AK19" s="1283"/>
      <c r="AL19" s="1283"/>
      <c r="AM19" s="1283"/>
      <c r="AN19" s="1283"/>
      <c r="AO19" s="1283"/>
      <c r="AP19" s="1283"/>
      <c r="AQ19" s="1283"/>
      <c r="AR19" s="1283"/>
      <c r="AS19" s="1283"/>
      <c r="AT19" s="1283"/>
      <c r="AU19" s="1283">
        <f t="shared" si="3"/>
        <v>0</v>
      </c>
      <c r="AV19" s="1283"/>
      <c r="AW19" s="1170"/>
      <c r="BB19" s="1101"/>
    </row>
    <row r="20" spans="1:54" s="1100" customFormat="1" ht="16.5" customHeight="1">
      <c r="A20" s="1100" t="str">
        <f>+'Grasmere Pig Cost'!A23</f>
        <v>Transfers Gilts</v>
      </c>
      <c r="B20" s="1283"/>
      <c r="C20" s="1283"/>
      <c r="D20" s="1283"/>
      <c r="E20" s="1283"/>
      <c r="F20" s="1283"/>
      <c r="G20" s="1283"/>
      <c r="H20" s="1283"/>
      <c r="I20" s="1283"/>
      <c r="J20" s="1283"/>
      <c r="K20" s="1283"/>
      <c r="L20" s="1283"/>
      <c r="M20" s="1283"/>
      <c r="N20" s="1283"/>
      <c r="O20" s="1283"/>
      <c r="P20" s="1283"/>
      <c r="Q20" s="1283"/>
      <c r="R20" s="1283"/>
      <c r="S20" s="1283"/>
      <c r="T20" s="1283"/>
      <c r="U20" s="1283"/>
      <c r="V20" s="1283"/>
      <c r="W20" s="1283"/>
      <c r="X20" s="1283"/>
      <c r="Y20" s="1283"/>
      <c r="Z20" s="1283"/>
      <c r="AA20" s="1283"/>
      <c r="AB20" s="1283"/>
      <c r="AC20" s="1283"/>
      <c r="AD20" s="1283"/>
      <c r="AE20" s="1283"/>
      <c r="AF20" s="1283"/>
      <c r="AG20" s="1283"/>
      <c r="AH20" s="1283"/>
      <c r="AI20" s="1283"/>
      <c r="AJ20" s="1283"/>
      <c r="AK20" s="1283"/>
      <c r="AL20" s="1283"/>
      <c r="AM20" s="1283"/>
      <c r="AN20" s="1283"/>
      <c r="AO20" s="1283"/>
      <c r="AP20" s="1283"/>
      <c r="AQ20" s="1283"/>
      <c r="AR20" s="1283"/>
      <c r="AS20" s="1283"/>
      <c r="AT20" s="1283"/>
      <c r="AU20" s="1283">
        <f t="shared" si="3"/>
        <v>0</v>
      </c>
      <c r="AV20" s="1283">
        <f>-SUM('Summary Total Pigs'!D53)</f>
        <v>0</v>
      </c>
      <c r="AW20" s="1170">
        <f t="shared" si="4"/>
        <v>0</v>
      </c>
      <c r="BB20" s="1101"/>
    </row>
    <row r="21" spans="1:54" s="1100" customFormat="1" ht="16.5" customHeight="1">
      <c r="A21" s="1100" t="str">
        <f>+'Grasmere Pig Cost'!A24</f>
        <v>Mortality</v>
      </c>
      <c r="B21" s="1283"/>
      <c r="C21" s="1283"/>
      <c r="D21" s="1283"/>
      <c r="E21" s="1283"/>
      <c r="F21" s="1283"/>
      <c r="G21" s="1283"/>
      <c r="H21" s="1283"/>
      <c r="I21" s="1283"/>
      <c r="J21" s="1283"/>
      <c r="K21" s="1283"/>
      <c r="L21" s="1283"/>
      <c r="M21" s="1283"/>
      <c r="N21" s="1283"/>
      <c r="O21" s="1283"/>
      <c r="P21" s="1283"/>
      <c r="Q21" s="1283"/>
      <c r="R21" s="1283"/>
      <c r="S21" s="1283">
        <f>-2-40</f>
        <v>-42</v>
      </c>
      <c r="T21" s="1283">
        <f>-32-12</f>
        <v>-44</v>
      </c>
      <c r="U21" s="1283">
        <f>-42-34</f>
        <v>-76</v>
      </c>
      <c r="V21" s="1283">
        <f>-27-26-11-1</f>
        <v>-65</v>
      </c>
      <c r="W21" s="1283">
        <f>-17-19-6-13-1</f>
        <v>-56</v>
      </c>
      <c r="X21" s="1283">
        <f>-4-9-6-11</f>
        <v>-30</v>
      </c>
      <c r="Y21" s="1745">
        <f>-1-6-4-1-1</f>
        <v>-13</v>
      </c>
      <c r="Z21" s="1283">
        <f>-3-3-2-1-1-1</f>
        <v>-11</v>
      </c>
      <c r="AA21" s="1283">
        <f>-1-1</f>
        <v>-2</v>
      </c>
      <c r="AB21" s="1283">
        <f>-1-1-1</f>
        <v>-3</v>
      </c>
      <c r="AC21" s="1283"/>
      <c r="AD21" s="1283">
        <f>-1</f>
        <v>-1</v>
      </c>
      <c r="AE21" s="1283">
        <f>-1-1-1</f>
        <v>-3</v>
      </c>
      <c r="AF21" s="1283">
        <f>-1</f>
        <v>-1</v>
      </c>
      <c r="AG21" s="1283">
        <f>-1</f>
        <v>-1</v>
      </c>
      <c r="AH21" s="1751">
        <f>-1-1-1-1-1-1-1</f>
        <v>-7</v>
      </c>
      <c r="AI21" s="1283"/>
      <c r="AJ21" s="1283">
        <f>-1-2</f>
        <v>-3</v>
      </c>
      <c r="AK21" s="1283">
        <f>-1-1-1-1-2-1</f>
        <v>-7</v>
      </c>
      <c r="AL21" s="1283">
        <f>-1-1-1-1</f>
        <v>-4</v>
      </c>
      <c r="AM21" s="1283">
        <f>-1-1-1-1</f>
        <v>-4</v>
      </c>
      <c r="AN21" s="1283">
        <f>-1-2-1</f>
        <v>-4</v>
      </c>
      <c r="AO21" s="1283"/>
      <c r="AP21" s="1283">
        <f>-1</f>
        <v>-1</v>
      </c>
      <c r="AQ21" s="1283">
        <f>-1-1-2-2+3</f>
        <v>-3</v>
      </c>
      <c r="AR21" s="1283"/>
      <c r="AS21" s="1283"/>
      <c r="AT21" s="1283"/>
      <c r="AU21" s="1283">
        <f t="shared" si="3"/>
        <v>-381</v>
      </c>
      <c r="AV21" s="1283">
        <f>SUM('Summary Total Pigs'!W50:W52,'Summary Total Pigs'!Y50:Y52)</f>
        <v>-382</v>
      </c>
      <c r="AW21" s="1170">
        <f t="shared" si="4"/>
        <v>1</v>
      </c>
      <c r="BB21" s="1101"/>
    </row>
    <row r="22" spans="1:54" s="1100" customFormat="1" ht="15">
      <c r="A22" s="1100" t="str">
        <f>+'Grasmere Pig Cost'!A25</f>
        <v>Rations</v>
      </c>
      <c r="B22" s="1283"/>
      <c r="C22" s="1283"/>
      <c r="D22" s="1283"/>
      <c r="E22" s="1283"/>
      <c r="F22" s="1283"/>
      <c r="G22" s="1283"/>
      <c r="H22" s="1283"/>
      <c r="I22" s="1283"/>
      <c r="J22" s="1283"/>
      <c r="K22" s="1283"/>
      <c r="L22" s="1283"/>
      <c r="M22" s="1283"/>
      <c r="N22" s="1283"/>
      <c r="O22" s="1283"/>
      <c r="P22" s="1283"/>
      <c r="Q22" s="1283"/>
      <c r="R22" s="1283"/>
      <c r="S22" s="1283"/>
      <c r="T22" s="1283"/>
      <c r="U22" s="1283"/>
      <c r="V22" s="1283"/>
      <c r="W22" s="1283"/>
      <c r="X22" s="1283"/>
      <c r="Y22" s="1283"/>
      <c r="Z22" s="1283"/>
      <c r="AA22" s="1283"/>
      <c r="AB22" s="1283"/>
      <c r="AC22" s="1283"/>
      <c r="AD22" s="1283"/>
      <c r="AE22" s="1283"/>
      <c r="AF22" s="1283">
        <f>-1</f>
        <v>-1</v>
      </c>
      <c r="AG22" s="1283"/>
      <c r="AH22" s="1283"/>
      <c r="AI22" s="1283"/>
      <c r="AJ22" s="1283">
        <f>-1</f>
        <v>-1</v>
      </c>
      <c r="AK22" s="1283">
        <f>-3</f>
        <v>-3</v>
      </c>
      <c r="AL22" s="1283"/>
      <c r="AM22" s="1283">
        <f>-3-3</f>
        <v>-6</v>
      </c>
      <c r="AN22" s="1283">
        <f>-1</f>
        <v>-1</v>
      </c>
      <c r="AO22" s="1283">
        <f>-1-1-3-1</f>
        <v>-6</v>
      </c>
      <c r="AP22" s="1283">
        <f>-1-1-2</f>
        <v>-4</v>
      </c>
      <c r="AQ22" s="1283">
        <f>-2-1-1</f>
        <v>-4</v>
      </c>
      <c r="AR22" s="1283"/>
      <c r="AS22" s="1283"/>
      <c r="AT22" s="1283"/>
      <c r="AU22" s="1283">
        <f t="shared" si="3"/>
        <v>-26</v>
      </c>
      <c r="AV22" s="1283">
        <f>SUM('Summary Total Pigs'!Z50:Z52)</f>
        <v>-9</v>
      </c>
      <c r="AW22" s="1170">
        <f t="shared" si="4"/>
        <v>-17</v>
      </c>
      <c r="BB22" s="1101"/>
    </row>
    <row r="23" spans="1:54" s="1100" customFormat="1" ht="15">
      <c r="A23" s="1100" t="str">
        <f>+'Grasmere Pig Cost'!A26</f>
        <v>Pet Food</v>
      </c>
      <c r="B23" s="1283"/>
      <c r="C23" s="1283"/>
      <c r="D23" s="1283"/>
      <c r="E23" s="1283"/>
      <c r="F23" s="1283"/>
      <c r="G23" s="1283"/>
      <c r="H23" s="1283"/>
      <c r="I23" s="1283"/>
      <c r="J23" s="1283"/>
      <c r="K23" s="1283"/>
      <c r="L23" s="1283"/>
      <c r="M23" s="1283"/>
      <c r="N23" s="1283"/>
      <c r="O23" s="1283"/>
      <c r="P23" s="1283"/>
      <c r="Q23" s="1283"/>
      <c r="R23" s="1283"/>
      <c r="S23" s="1283"/>
      <c r="T23" s="1283"/>
      <c r="U23" s="1283"/>
      <c r="V23" s="1283"/>
      <c r="W23" s="1283"/>
      <c r="X23" s="1283"/>
      <c r="Y23" s="1283"/>
      <c r="Z23" s="1283"/>
      <c r="AA23" s="1283"/>
      <c r="AB23" s="1283"/>
      <c r="AC23" s="1283"/>
      <c r="AD23" s="1283"/>
      <c r="AE23" s="1283"/>
      <c r="AF23" s="1283"/>
      <c r="AG23" s="1283"/>
      <c r="AH23" s="1283"/>
      <c r="AI23" s="1283"/>
      <c r="AJ23" s="1283"/>
      <c r="AK23" s="1283"/>
      <c r="AL23" s="1283"/>
      <c r="AM23" s="1283"/>
      <c r="AN23" s="1283"/>
      <c r="AO23" s="1283"/>
      <c r="AP23" s="1283"/>
      <c r="AQ23" s="1283"/>
      <c r="AR23" s="1283"/>
      <c r="AS23" s="1283"/>
      <c r="AT23" s="1283"/>
      <c r="AU23" s="1283">
        <f t="shared" si="3"/>
        <v>0</v>
      </c>
      <c r="AV23" s="1283">
        <f>SUM('Summary Total Pigs'!AB50:AB52)</f>
        <v>0</v>
      </c>
      <c r="AW23" s="1170">
        <f t="shared" si="4"/>
        <v>0</v>
      </c>
      <c r="BB23" s="1101"/>
    </row>
    <row r="24" spans="1:54" s="1100" customFormat="1" ht="15">
      <c r="A24" s="1100" t="str">
        <f>+'Grasmere Pig Cost'!A27</f>
        <v>Farm Sales</v>
      </c>
      <c r="B24" s="1283"/>
      <c r="C24" s="1283"/>
      <c r="D24" s="1283"/>
      <c r="E24" s="1283"/>
      <c r="F24" s="1283"/>
      <c r="G24" s="1283"/>
      <c r="H24" s="1283"/>
      <c r="I24" s="1283"/>
      <c r="J24" s="1283"/>
      <c r="K24" s="1283"/>
      <c r="L24" s="1283"/>
      <c r="M24" s="1283"/>
      <c r="N24" s="1283"/>
      <c r="O24" s="1283"/>
      <c r="P24" s="1283"/>
      <c r="Q24" s="1283"/>
      <c r="R24" s="1283"/>
      <c r="S24" s="1283"/>
      <c r="T24" s="1283"/>
      <c r="U24" s="1283"/>
      <c r="V24" s="1283"/>
      <c r="W24" s="1283"/>
      <c r="X24" s="1283"/>
      <c r="Y24" s="1283"/>
      <c r="Z24" s="1283"/>
      <c r="AA24" s="1283"/>
      <c r="AB24" s="1283"/>
      <c r="AC24" s="1283"/>
      <c r="AD24" s="1283"/>
      <c r="AE24" s="1283"/>
      <c r="AF24" s="1283"/>
      <c r="AG24" s="1283"/>
      <c r="AH24" s="1283"/>
      <c r="AI24" s="1283"/>
      <c r="AJ24" s="1283"/>
      <c r="AK24" s="1283"/>
      <c r="AL24" s="1283"/>
      <c r="AM24" s="1283"/>
      <c r="AN24" s="1283"/>
      <c r="AO24" s="1283"/>
      <c r="AP24" s="1283"/>
      <c r="AQ24" s="1283"/>
      <c r="AR24" s="1283"/>
      <c r="AS24" s="1283"/>
      <c r="AT24" s="1283"/>
      <c r="AU24" s="1283">
        <f t="shared" si="3"/>
        <v>0</v>
      </c>
      <c r="AV24" s="1121">
        <f>SUM('Summary Total Pigs'!AC50:AC52)</f>
        <v>0</v>
      </c>
      <c r="AW24" s="1170">
        <f t="shared" si="4"/>
        <v>0</v>
      </c>
      <c r="AY24" s="1121"/>
      <c r="BB24" s="1101"/>
    </row>
    <row r="25" spans="1:54" thickBot="1">
      <c r="A25" s="142" t="str">
        <f>+'Grasmere Pig Cost'!A28</f>
        <v xml:space="preserve"> Colcom Sales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/>
      <c r="AO25" s="807">
        <f>-457</f>
        <v>-457</v>
      </c>
      <c r="AP25" s="807">
        <f>-451</f>
        <v>-451</v>
      </c>
      <c r="AQ25" s="807">
        <f>-451+2</f>
        <v>-449</v>
      </c>
      <c r="AR25" s="807">
        <f>-447</f>
        <v>-447</v>
      </c>
      <c r="AS25" s="807"/>
      <c r="AT25" s="807"/>
      <c r="AU25" s="1283">
        <f t="shared" si="3"/>
        <v>-1804</v>
      </c>
      <c r="AV25" s="817">
        <f>SUM('Summary Total Pigs'!X50:X52)</f>
        <v>-2436</v>
      </c>
      <c r="AW25" s="1170">
        <f t="shared" si="4"/>
        <v>632</v>
      </c>
      <c r="AX25" s="1100"/>
      <c r="AY25" s="818"/>
      <c r="BB25" s="805"/>
    </row>
    <row r="26" spans="1:54" ht="16.149999999999999" thickBot="1">
      <c r="A26" s="1070" t="str">
        <f>+'Grasmere Pig Cost'!A29</f>
        <v>Closing Stock (pigs)</v>
      </c>
      <c r="B26" s="1071">
        <f t="shared" ref="B26:R26" si="5">SUM(B11:B24)</f>
        <v>0</v>
      </c>
      <c r="C26" s="1071">
        <f t="shared" si="5"/>
        <v>0</v>
      </c>
      <c r="D26" s="1071">
        <f t="shared" si="5"/>
        <v>0</v>
      </c>
      <c r="E26" s="1071">
        <f t="shared" si="5"/>
        <v>0</v>
      </c>
      <c r="F26" s="1071">
        <f t="shared" si="5"/>
        <v>0</v>
      </c>
      <c r="G26" s="1071">
        <f t="shared" si="5"/>
        <v>0</v>
      </c>
      <c r="H26" s="1071">
        <f t="shared" si="5"/>
        <v>0</v>
      </c>
      <c r="I26" s="1071">
        <f t="shared" si="5"/>
        <v>0</v>
      </c>
      <c r="J26" s="1071">
        <f t="shared" si="5"/>
        <v>0</v>
      </c>
      <c r="K26" s="1071">
        <f t="shared" si="5"/>
        <v>0</v>
      </c>
      <c r="L26" s="1071">
        <f t="shared" si="5"/>
        <v>0</v>
      </c>
      <c r="M26" s="1071">
        <f t="shared" si="5"/>
        <v>0</v>
      </c>
      <c r="N26" s="1071">
        <f t="shared" si="5"/>
        <v>0</v>
      </c>
      <c r="O26" s="1071">
        <f t="shared" si="5"/>
        <v>0</v>
      </c>
      <c r="P26" s="1071">
        <f t="shared" si="5"/>
        <v>0</v>
      </c>
      <c r="Q26" s="1071">
        <f t="shared" si="5"/>
        <v>0</v>
      </c>
      <c r="R26" s="1071">
        <f t="shared" si="5"/>
        <v>0</v>
      </c>
      <c r="S26" s="1071">
        <f>SUM(S11:S25)</f>
        <v>616</v>
      </c>
      <c r="T26" s="1071">
        <f t="shared" ref="T26:AT26" si="6">SUM(T11:T25)</f>
        <v>618</v>
      </c>
      <c r="U26" s="1071">
        <f>SUM(U11:U25)</f>
        <v>590</v>
      </c>
      <c r="V26" s="1071">
        <f t="shared" si="6"/>
        <v>676</v>
      </c>
      <c r="W26" s="1071">
        <f t="shared" si="6"/>
        <v>253</v>
      </c>
      <c r="X26" s="1071">
        <f t="shared" si="6"/>
        <v>497</v>
      </c>
      <c r="Y26" s="1071">
        <f t="shared" si="6"/>
        <v>474</v>
      </c>
      <c r="Z26" s="1071">
        <f t="shared" si="6"/>
        <v>399</v>
      </c>
      <c r="AA26" s="1071">
        <f t="shared" si="6"/>
        <v>584</v>
      </c>
      <c r="AB26" s="1071">
        <f t="shared" si="6"/>
        <v>608</v>
      </c>
      <c r="AC26" s="1071">
        <f t="shared" si="6"/>
        <v>550</v>
      </c>
      <c r="AD26" s="1071">
        <f t="shared" si="6"/>
        <v>474</v>
      </c>
      <c r="AE26" s="1071">
        <f t="shared" si="6"/>
        <v>486</v>
      </c>
      <c r="AF26" s="1071">
        <f t="shared" si="6"/>
        <v>472</v>
      </c>
      <c r="AG26" s="1071">
        <f t="shared" si="6"/>
        <v>466</v>
      </c>
      <c r="AH26" s="1071">
        <f t="shared" si="6"/>
        <v>461</v>
      </c>
      <c r="AI26" s="1071">
        <f t="shared" si="6"/>
        <v>466</v>
      </c>
      <c r="AJ26" s="1071">
        <f t="shared" si="6"/>
        <v>460</v>
      </c>
      <c r="AK26" s="1071">
        <f t="shared" si="6"/>
        <v>457</v>
      </c>
      <c r="AL26" s="1071">
        <f t="shared" si="6"/>
        <v>459</v>
      </c>
      <c r="AM26" s="1071">
        <f t="shared" si="6"/>
        <v>450</v>
      </c>
      <c r="AN26" s="1071">
        <f t="shared" si="6"/>
        <v>362</v>
      </c>
      <c r="AO26" s="1071">
        <f t="shared" si="6"/>
        <v>-96</v>
      </c>
      <c r="AP26" s="1071">
        <f t="shared" si="6"/>
        <v>-10</v>
      </c>
      <c r="AQ26" s="1071">
        <f t="shared" si="6"/>
        <v>-27</v>
      </c>
      <c r="AR26" s="1071">
        <f t="shared" si="6"/>
        <v>-11</v>
      </c>
      <c r="AS26" s="1071">
        <f t="shared" si="6"/>
        <v>460</v>
      </c>
      <c r="AT26" s="1071">
        <f t="shared" si="6"/>
        <v>0</v>
      </c>
      <c r="AU26" s="1071">
        <f>SUM(AU11:AU25)</f>
        <v>11194</v>
      </c>
      <c r="AV26" s="1071">
        <f>SUM(AV11:AV25)</f>
        <v>10840</v>
      </c>
      <c r="AW26" s="1170">
        <f>AU26-AV26</f>
        <v>354</v>
      </c>
    </row>
    <row r="27" spans="1:54">
      <c r="S27" s="1058">
        <f>+'Lionhead Valuation'!E10</f>
        <v>277</v>
      </c>
      <c r="T27" s="1058">
        <f>+'Lionhead Valuation'!E11</f>
        <v>728</v>
      </c>
      <c r="U27" s="1058">
        <f>+'Lionhead Valuation'!E12</f>
        <v>676</v>
      </c>
      <c r="V27" s="1058">
        <f>+'Lionhead Valuation'!E13</f>
        <v>654</v>
      </c>
      <c r="W27" s="1058">
        <f>+'Lionhead Valuation'!E14</f>
        <v>650</v>
      </c>
      <c r="X27" s="1058">
        <f>+'Lionhead Valuation'!E15</f>
        <v>646</v>
      </c>
      <c r="Y27" s="1058">
        <f>+'Lionhead Valuation'!E16</f>
        <v>627</v>
      </c>
      <c r="Z27" s="1058">
        <f>+'Lionhead Valuation'!E17</f>
        <v>648</v>
      </c>
      <c r="AA27" s="1058">
        <f>+'Lionhead Valuation'!E18</f>
        <v>648</v>
      </c>
      <c r="AB27" s="1058">
        <f>+'Lionhead Valuation'!E19</f>
        <v>645</v>
      </c>
      <c r="AC27" s="1058">
        <f>+'Lionhead Valuation'!E20</f>
        <v>640</v>
      </c>
      <c r="AD27" s="1058">
        <f>+'Lionhead Valuation'!E21</f>
        <v>642</v>
      </c>
      <c r="AE27" s="1058">
        <f>+'Lionhead Valuation'!E22</f>
        <v>611</v>
      </c>
      <c r="AF27" s="1058">
        <f>+'Lionhead Valuation'!E23</f>
        <v>615</v>
      </c>
      <c r="AG27" s="1058">
        <f>+'Lionhead Valuation'!E24</f>
        <v>576</v>
      </c>
      <c r="AH27" s="1058">
        <f>+'Lionhead Valuation'!E25</f>
        <v>584</v>
      </c>
      <c r="AI27" s="1058">
        <f>+'Lionhead Valuation'!E26</f>
        <v>591</v>
      </c>
      <c r="AJ27" s="1058">
        <f>+'Lionhead Valuation'!E27</f>
        <v>637</v>
      </c>
      <c r="AK27" s="1058">
        <f>+'Lionhead Valuation'!E28</f>
        <v>639</v>
      </c>
      <c r="AL27" s="1058">
        <f>+'Lionhead Valuation'!E29</f>
        <v>634</v>
      </c>
      <c r="AM27" s="1058">
        <f>+'Lionhead Valuation'!E30</f>
        <v>612</v>
      </c>
      <c r="AN27" s="1058">
        <f>+'Lionhead Valuation'!E31</f>
        <v>574</v>
      </c>
      <c r="AO27" s="1058">
        <f>+'Lionhead Valuation'!E32</f>
        <v>0</v>
      </c>
      <c r="AP27" s="1058">
        <f>+'Lionhead Valuation'!E33</f>
        <v>0</v>
      </c>
      <c r="AQ27" s="1058">
        <f>+'Lionhead Valuation'!E34</f>
        <v>0</v>
      </c>
      <c r="AR27" s="1058">
        <f>+'Lionhead Valuation'!E35</f>
        <v>0</v>
      </c>
      <c r="AS27" s="1058">
        <f>+'Lionhead Valuation'!E36</f>
        <v>0</v>
      </c>
      <c r="AT27" s="1058">
        <f>+'Lionhead Valuation'!E37</f>
        <v>0</v>
      </c>
      <c r="AU27" s="1057">
        <f>SUM(B27:AT27)</f>
        <v>13554</v>
      </c>
      <c r="AV27" s="818">
        <f>SUM('Lionhead Valuation'!E10:E41)</f>
        <v>13554</v>
      </c>
      <c r="AW27" s="1170">
        <f>AU27-AV27</f>
        <v>0</v>
      </c>
    </row>
    <row r="28" spans="1:54">
      <c r="S28" s="1058">
        <f>+S26-S27</f>
        <v>339</v>
      </c>
      <c r="T28" s="1058">
        <f t="shared" ref="T28:AT28" si="7">+T26-T27</f>
        <v>-110</v>
      </c>
      <c r="U28" s="1058">
        <f t="shared" si="7"/>
        <v>-86</v>
      </c>
      <c r="V28" s="1058">
        <f t="shared" si="7"/>
        <v>22</v>
      </c>
      <c r="W28" s="1058">
        <f t="shared" si="7"/>
        <v>-397</v>
      </c>
      <c r="X28" s="1058">
        <f t="shared" si="7"/>
        <v>-149</v>
      </c>
      <c r="Y28" s="1058">
        <f t="shared" si="7"/>
        <v>-153</v>
      </c>
      <c r="Z28" s="1058">
        <f t="shared" si="7"/>
        <v>-249</v>
      </c>
      <c r="AA28" s="1058">
        <f t="shared" si="7"/>
        <v>-64</v>
      </c>
      <c r="AB28" s="1058">
        <f t="shared" si="7"/>
        <v>-37</v>
      </c>
      <c r="AC28" s="1058">
        <f t="shared" si="7"/>
        <v>-90</v>
      </c>
      <c r="AD28" s="1058">
        <f t="shared" si="7"/>
        <v>-168</v>
      </c>
      <c r="AE28" s="1058">
        <f t="shared" si="7"/>
        <v>-125</v>
      </c>
      <c r="AF28" s="1752">
        <f t="shared" si="7"/>
        <v>-143</v>
      </c>
      <c r="AG28" s="1058">
        <f t="shared" si="7"/>
        <v>-110</v>
      </c>
      <c r="AH28" s="1749">
        <f t="shared" si="7"/>
        <v>-123</v>
      </c>
      <c r="AI28" s="1058">
        <f t="shared" si="7"/>
        <v>-125</v>
      </c>
      <c r="AJ28" s="1058">
        <f t="shared" si="7"/>
        <v>-177</v>
      </c>
      <c r="AK28" s="1058">
        <f t="shared" si="7"/>
        <v>-182</v>
      </c>
      <c r="AL28" s="1058">
        <f t="shared" si="7"/>
        <v>-175</v>
      </c>
      <c r="AM28" s="1058">
        <f t="shared" si="7"/>
        <v>-162</v>
      </c>
      <c r="AN28" s="1058">
        <f t="shared" si="7"/>
        <v>-212</v>
      </c>
      <c r="AO28" s="1058">
        <f t="shared" si="7"/>
        <v>-96</v>
      </c>
      <c r="AP28" s="1058">
        <f t="shared" si="7"/>
        <v>-10</v>
      </c>
      <c r="AQ28" s="1058">
        <f t="shared" si="7"/>
        <v>-27</v>
      </c>
      <c r="AR28" s="1058">
        <f t="shared" si="7"/>
        <v>-11</v>
      </c>
      <c r="AS28" s="1058">
        <f t="shared" si="7"/>
        <v>460</v>
      </c>
      <c r="AT28" s="1058">
        <f t="shared" si="7"/>
        <v>0</v>
      </c>
      <c r="AU28" s="1058">
        <f>+AU26-AU27</f>
        <v>-2360</v>
      </c>
      <c r="AV28" s="818">
        <f>SUM('Summary Total Pigs'!AF50:AF52)</f>
        <v>13554</v>
      </c>
      <c r="AW28" s="1170">
        <f>SUM('Summary Total Pigs'!AF50:AF52)-AV28</f>
        <v>0</v>
      </c>
    </row>
    <row r="29" spans="1:54">
      <c r="A29" s="1066" t="str">
        <f>+'Grasmere Pig Cost'!A32</f>
        <v>Cost</v>
      </c>
      <c r="S29" s="817"/>
      <c r="T29" s="817"/>
      <c r="U29" s="817"/>
      <c r="V29" s="817"/>
      <c r="W29" s="817"/>
      <c r="X29" s="817"/>
      <c r="Y29" s="817"/>
      <c r="Z29" s="817"/>
      <c r="AA29" s="817"/>
      <c r="AB29" s="817"/>
      <c r="AC29" s="817"/>
      <c r="AD29" s="817"/>
      <c r="AE29" s="817"/>
      <c r="AF29" s="1271"/>
      <c r="AG29" s="817"/>
      <c r="AH29" s="1199"/>
      <c r="AI29" s="817"/>
      <c r="AJ29" s="817"/>
      <c r="AK29" s="817"/>
      <c r="AL29" s="817"/>
      <c r="AM29" s="817"/>
      <c r="AN29" s="817"/>
      <c r="AO29" s="817"/>
      <c r="AP29" s="817"/>
      <c r="AQ29" s="817"/>
      <c r="AR29" s="817"/>
      <c r="AS29" s="817"/>
      <c r="AT29" s="817"/>
      <c r="AU29" s="817"/>
      <c r="AV29" s="817"/>
      <c r="AW29" s="818"/>
      <c r="BB29" s="805"/>
    </row>
    <row r="30" spans="1:54">
      <c r="A30" s="142" t="str">
        <f>+'Grasmere Pig Cost'!A33</f>
        <v>Opening cost</v>
      </c>
      <c r="B30" s="818"/>
      <c r="C30" s="818"/>
      <c r="D30" s="818"/>
      <c r="E30" s="818"/>
      <c r="F30" s="818"/>
      <c r="G30" s="818">
        <f>+'[77]Lionhead Pig Cost'!B53</f>
        <v>936740.9496193924</v>
      </c>
      <c r="H30" s="818">
        <f>+'[77]Lionhead Pig Cost'!C53</f>
        <v>936740.9496193924</v>
      </c>
      <c r="I30" s="818">
        <f>+'[77]Lionhead Pig Cost'!D53</f>
        <v>936740.9496193924</v>
      </c>
      <c r="J30" s="818">
        <f>+'[77]Lionhead Pig Cost'!E53</f>
        <v>936740.9496193924</v>
      </c>
      <c r="K30" s="818">
        <f>+'[77]Lionhead Pig Cost'!F53</f>
        <v>1833917.079376864</v>
      </c>
      <c r="L30" s="818">
        <f>+'[77]Lionhead Pig Cost'!G53</f>
        <v>1833917.079376864</v>
      </c>
      <c r="M30" s="818">
        <f>+'[77]Lionhead Pig Cost'!H53</f>
        <v>1833917.079376864</v>
      </c>
      <c r="N30" s="818">
        <f>+'[77]Lionhead Pig Cost'!I53</f>
        <v>1833917.079376864</v>
      </c>
      <c r="O30" s="818">
        <f>+'[77]Lionhead Pig Cost'!J53</f>
        <v>3013163.8036062513</v>
      </c>
      <c r="P30" s="818">
        <f>+'[77]Lionhead Pig Cost'!K53</f>
        <v>3013163.8036062513</v>
      </c>
      <c r="Q30" s="818">
        <f>+'[77]Lionhead Pig Cost'!L53</f>
        <v>3013163.8036062513</v>
      </c>
      <c r="R30" s="818">
        <f>+'[77]Lionhead Pig Cost'!M53</f>
        <v>3013163.8036062513</v>
      </c>
      <c r="S30" s="818">
        <f>+'[77]Lionhead Pig Cost'!N53</f>
        <v>3099950.7169951256</v>
      </c>
      <c r="T30" s="818">
        <f>+'[77]Lionhead Pig Cost'!O53</f>
        <v>3989091.3735545194</v>
      </c>
      <c r="U30" s="818">
        <f>+'[77]Lionhead Pig Cost'!P53</f>
        <v>3989091.3735545194</v>
      </c>
      <c r="V30" s="818">
        <f>+'[77]Lionhead Pig Cost'!Q53</f>
        <v>3989091.3735545194</v>
      </c>
      <c r="W30" s="818">
        <f>+'[77]Lionhead Pig Cost'!R53</f>
        <v>5007846.4903649893</v>
      </c>
      <c r="X30" s="818">
        <f>+'[77]Lionhead Pig Cost'!S53</f>
        <v>5903207.8264203528</v>
      </c>
      <c r="Y30" s="818">
        <f>+'[77]Lionhead Pig Cost'!T53</f>
        <v>7627795.3199305767</v>
      </c>
      <c r="Z30" s="818">
        <f>+'[77]Lionhead Pig Cost'!U53</f>
        <v>7822028.2481011003</v>
      </c>
      <c r="AA30" s="818">
        <f>+'[77]Lionhead Pig Cost'!V53</f>
        <v>9454107.9144681413</v>
      </c>
      <c r="AB30" s="818">
        <f>+'[77]Lionhead Pig Cost'!W53</f>
        <v>5805472.560033774</v>
      </c>
      <c r="AC30" s="818">
        <f>+'[77]Lionhead Pig Cost'!X53</f>
        <v>10232760.907967674</v>
      </c>
      <c r="AD30" s="818">
        <f>+'[77]Lionhead Pig Cost'!Y53</f>
        <v>9522301.0430389158</v>
      </c>
      <c r="AE30" s="818">
        <f>+'[77]Lionhead Pig Cost'!Z53</f>
        <v>12726090.747571021</v>
      </c>
      <c r="AF30" s="818">
        <f>+'[77]Lionhead Pig Cost'!AA53</f>
        <v>11516669.785878543</v>
      </c>
      <c r="AG30" s="818">
        <f>+'[77]Lionhead Pig Cost'!AB53</f>
        <v>14753614.399430711</v>
      </c>
      <c r="AH30" s="818">
        <f>+'[77]Lionhead Pig Cost'!AC53</f>
        <v>16312010.398246227</v>
      </c>
      <c r="AI30" s="818">
        <f>+'[77]Lionhead Pig Cost'!AD53</f>
        <v>18200921.343768355</v>
      </c>
      <c r="AJ30" s="818">
        <f>+'[77]Lionhead Pig Cost'!AE53</f>
        <v>16220344.498060703</v>
      </c>
      <c r="AK30" s="818">
        <f>+'[77]Lionhead Pig Cost'!AF53</f>
        <v>19556210.295454413</v>
      </c>
      <c r="AL30" s="818">
        <f>+'[77]Lionhead Pig Cost'!AG53</f>
        <v>22490430.67516873</v>
      </c>
      <c r="AM30" s="818">
        <f>+'[77]Lionhead Pig Cost'!AH53</f>
        <v>28648668.047250878</v>
      </c>
      <c r="AN30" s="818">
        <f>+'[77]Lionhead Pig Cost'!AI53</f>
        <v>24098799.71621646</v>
      </c>
      <c r="AO30" s="818">
        <f>+'[77]Lionhead Pig Cost'!AJ53</f>
        <v>19360663.742699914</v>
      </c>
      <c r="AP30" s="818">
        <f>+'[77]Lionhead Pig Cost'!AK53</f>
        <v>27162150.00324006</v>
      </c>
      <c r="AQ30" s="818">
        <f>+'[77]Lionhead Pig Cost'!AL53</f>
        <v>27571854.146037571</v>
      </c>
      <c r="AR30" s="818">
        <f>+'[77]Lionhead Pig Cost'!AM53</f>
        <v>30848640.751214504</v>
      </c>
      <c r="AS30" s="818">
        <f>+'[77]Lionhead Pig Cost'!AN53</f>
        <v>33480661.363965567</v>
      </c>
      <c r="AT30" s="818">
        <f>+'[77]Lionhead Pig Cost'!AO53</f>
        <v>0</v>
      </c>
      <c r="AU30" s="1057">
        <f>SUM(B30:AT30)</f>
        <v>422525762.39259791</v>
      </c>
      <c r="AV30" s="817">
        <f>+'[77]Lionhead Pig Cost'!$AU$53</f>
        <v>422525762.39259791</v>
      </c>
      <c r="AW30" s="1170">
        <f>+AU30-AV30</f>
        <v>0</v>
      </c>
    </row>
    <row r="31" spans="1:54">
      <c r="A31" s="1066" t="str">
        <f>+'Grasmere Pig Cost'!A34</f>
        <v>Transfer In</v>
      </c>
      <c r="S31" s="1689"/>
      <c r="T31" s="1689">
        <f t="shared" ref="T31:AB31" si="8">-S32</f>
        <v>0</v>
      </c>
      <c r="U31" s="1689">
        <f t="shared" si="8"/>
        <v>0</v>
      </c>
      <c r="V31" s="1689">
        <f t="shared" si="8"/>
        <v>451495.02896422654</v>
      </c>
      <c r="W31" s="1689">
        <f t="shared" si="8"/>
        <v>77515.975868772424</v>
      </c>
      <c r="X31" s="1689">
        <f t="shared" si="8"/>
        <v>609263.22286339628</v>
      </c>
      <c r="Y31" s="1689">
        <f t="shared" si="8"/>
        <v>565404.64571233897</v>
      </c>
      <c r="Z31" s="1689">
        <f t="shared" si="8"/>
        <v>246854.21747348143</v>
      </c>
      <c r="AA31" s="1689">
        <f t="shared" si="8"/>
        <v>0</v>
      </c>
      <c r="AB31" s="1689">
        <f t="shared" si="8"/>
        <v>0</v>
      </c>
      <c r="AC31" s="1689">
        <f>AD32/AD10</f>
        <v>19962.8952684254</v>
      </c>
      <c r="AD31" s="1689">
        <f>-AC32</f>
        <v>0</v>
      </c>
      <c r="AE31" s="1689">
        <f>+AD32/AD10</f>
        <v>19962.8952684254</v>
      </c>
      <c r="AF31" s="1689">
        <f>-AE32</f>
        <v>26024.725455155462</v>
      </c>
      <c r="AG31" s="1689">
        <f>-AF32</f>
        <v>0</v>
      </c>
      <c r="AH31" s="1689">
        <f>-AG32</f>
        <v>0</v>
      </c>
      <c r="AI31" s="1689">
        <v>0</v>
      </c>
      <c r="AJ31" s="1689">
        <f t="shared" ref="AJ31:AQ31" si="9">-AI32</f>
        <v>0</v>
      </c>
      <c r="AK31" s="1689">
        <f t="shared" si="9"/>
        <v>0</v>
      </c>
      <c r="AL31" s="1689">
        <f t="shared" si="9"/>
        <v>0</v>
      </c>
      <c r="AM31" s="1689">
        <f t="shared" si="9"/>
        <v>0</v>
      </c>
      <c r="AN31" s="1689">
        <f t="shared" si="9"/>
        <v>0</v>
      </c>
      <c r="AO31" s="1689">
        <f t="shared" si="9"/>
        <v>0</v>
      </c>
      <c r="AP31" s="1689">
        <f t="shared" si="9"/>
        <v>0</v>
      </c>
      <c r="AQ31" s="1689">
        <f t="shared" si="9"/>
        <v>0</v>
      </c>
      <c r="AR31" s="1689">
        <f>-AH32</f>
        <v>34780.405966409868</v>
      </c>
      <c r="AS31" s="1689"/>
      <c r="AT31" s="1689"/>
      <c r="AU31" s="807">
        <f>SUM(B31:AT31)</f>
        <v>2051264.0128406317</v>
      </c>
      <c r="AV31" s="818"/>
      <c r="BB31" s="805"/>
    </row>
    <row r="32" spans="1:54">
      <c r="A32" s="1066" t="str">
        <f>+'Grasmere Pig Cost'!A35</f>
        <v>Transfer (Out)</v>
      </c>
      <c r="S32" s="1690">
        <f>+S30/S8*S10</f>
        <v>0</v>
      </c>
      <c r="T32" s="1690">
        <f>+T30/T8*T10</f>
        <v>0</v>
      </c>
      <c r="U32" s="1690">
        <f>+U30/U8*U10</f>
        <v>-451495.02896422654</v>
      </c>
      <c r="V32" s="1690">
        <f>+V30/V8*V10</f>
        <v>-77515.975868772424</v>
      </c>
      <c r="W32" s="1690">
        <f t="shared" ref="W32:AR32" si="10">+W30/(W8+W7)*W10</f>
        <v>-609263.22286339628</v>
      </c>
      <c r="X32" s="1690">
        <f t="shared" si="10"/>
        <v>-565404.64571233897</v>
      </c>
      <c r="Y32" s="1690">
        <f t="shared" si="10"/>
        <v>-246854.21747348143</v>
      </c>
      <c r="Z32" s="1690">
        <f t="shared" si="10"/>
        <v>0</v>
      </c>
      <c r="AA32" s="1690">
        <f t="shared" si="10"/>
        <v>0</v>
      </c>
      <c r="AB32" s="1690">
        <f t="shared" si="10"/>
        <v>0</v>
      </c>
      <c r="AC32" s="1690">
        <f t="shared" si="10"/>
        <v>0</v>
      </c>
      <c r="AD32" s="1690">
        <f t="shared" si="10"/>
        <v>-39925.7905368508</v>
      </c>
      <c r="AE32" s="1690">
        <f t="shared" si="10"/>
        <v>-26024.725455155462</v>
      </c>
      <c r="AF32" s="1690">
        <f t="shared" si="10"/>
        <v>0</v>
      </c>
      <c r="AG32" s="1690">
        <f t="shared" si="10"/>
        <v>0</v>
      </c>
      <c r="AH32" s="1690">
        <f t="shared" si="10"/>
        <v>-34780.405966409868</v>
      </c>
      <c r="AI32" s="1690">
        <f t="shared" si="10"/>
        <v>0</v>
      </c>
      <c r="AJ32" s="1690">
        <f t="shared" si="10"/>
        <v>0</v>
      </c>
      <c r="AK32" s="1690">
        <f t="shared" si="10"/>
        <v>0</v>
      </c>
      <c r="AL32" s="1690">
        <f t="shared" si="10"/>
        <v>0</v>
      </c>
      <c r="AM32" s="1690">
        <f t="shared" si="10"/>
        <v>0</v>
      </c>
      <c r="AN32" s="1690">
        <f t="shared" si="10"/>
        <v>0</v>
      </c>
      <c r="AO32" s="1690">
        <f t="shared" si="10"/>
        <v>0</v>
      </c>
      <c r="AP32" s="1690">
        <f t="shared" si="10"/>
        <v>0</v>
      </c>
      <c r="AQ32" s="1690">
        <f t="shared" si="10"/>
        <v>0</v>
      </c>
      <c r="AR32" s="1690">
        <f t="shared" si="10"/>
        <v>0</v>
      </c>
      <c r="AS32" s="1690"/>
      <c r="AT32" s="1690"/>
      <c r="AU32" s="807">
        <f>SUM(B32:AT32)</f>
        <v>-2051264.0128406317</v>
      </c>
      <c r="AV32" s="818"/>
      <c r="BB32" s="805"/>
    </row>
    <row r="33" spans="1:51">
      <c r="A33" s="1059" t="s">
        <v>1804</v>
      </c>
      <c r="B33" s="818">
        <f>SUM(B30:B32)</f>
        <v>0</v>
      </c>
      <c r="C33" s="818">
        <f t="shared" ref="C33:AS33" si="11">SUM(C30:C32)</f>
        <v>0</v>
      </c>
      <c r="D33" s="818">
        <f t="shared" si="11"/>
        <v>0</v>
      </c>
      <c r="E33" s="818">
        <f t="shared" si="11"/>
        <v>0</v>
      </c>
      <c r="F33" s="818">
        <f t="shared" si="11"/>
        <v>0</v>
      </c>
      <c r="G33" s="818">
        <f t="shared" si="11"/>
        <v>936740.9496193924</v>
      </c>
      <c r="H33" s="818">
        <f t="shared" si="11"/>
        <v>936740.9496193924</v>
      </c>
      <c r="I33" s="818">
        <f t="shared" si="11"/>
        <v>936740.9496193924</v>
      </c>
      <c r="J33" s="818">
        <f t="shared" si="11"/>
        <v>936740.9496193924</v>
      </c>
      <c r="K33" s="818">
        <f t="shared" si="11"/>
        <v>1833917.079376864</v>
      </c>
      <c r="L33" s="818">
        <f t="shared" si="11"/>
        <v>1833917.079376864</v>
      </c>
      <c r="M33" s="818">
        <f t="shared" si="11"/>
        <v>1833917.079376864</v>
      </c>
      <c r="N33" s="818">
        <f t="shared" si="11"/>
        <v>1833917.079376864</v>
      </c>
      <c r="O33" s="818">
        <f t="shared" si="11"/>
        <v>3013163.8036062513</v>
      </c>
      <c r="P33" s="818">
        <f t="shared" si="11"/>
        <v>3013163.8036062513</v>
      </c>
      <c r="Q33" s="818">
        <f t="shared" si="11"/>
        <v>3013163.8036062513</v>
      </c>
      <c r="R33" s="818">
        <f t="shared" si="11"/>
        <v>3013163.8036062513</v>
      </c>
      <c r="S33" s="818">
        <f t="shared" si="11"/>
        <v>3099950.7169951256</v>
      </c>
      <c r="T33" s="818">
        <f>SUM(T30:T32)</f>
        <v>3989091.3735545194</v>
      </c>
      <c r="U33" s="818">
        <f t="shared" si="11"/>
        <v>3537596.3445902928</v>
      </c>
      <c r="V33" s="818">
        <f>SUM(V30:V32)</f>
        <v>4363070.4266499728</v>
      </c>
      <c r="W33" s="818">
        <f>SUM(W30:W32)</f>
        <v>4476099.2433703654</v>
      </c>
      <c r="X33" s="818">
        <f t="shared" si="11"/>
        <v>5947066.4035714101</v>
      </c>
      <c r="Y33" s="818">
        <f t="shared" si="11"/>
        <v>7946345.7481694343</v>
      </c>
      <c r="Z33" s="818">
        <f t="shared" si="11"/>
        <v>8068882.4655745821</v>
      </c>
      <c r="AA33" s="818">
        <f t="shared" si="11"/>
        <v>9454107.9144681413</v>
      </c>
      <c r="AB33" s="818">
        <f t="shared" si="11"/>
        <v>5805472.560033774</v>
      </c>
      <c r="AC33" s="818">
        <f t="shared" si="11"/>
        <v>10252723.803236099</v>
      </c>
      <c r="AD33" s="818">
        <f t="shared" si="11"/>
        <v>9482375.2525020652</v>
      </c>
      <c r="AE33" s="818">
        <f t="shared" si="11"/>
        <v>12720028.917384291</v>
      </c>
      <c r="AF33" s="818">
        <f t="shared" si="11"/>
        <v>11542694.511333698</v>
      </c>
      <c r="AG33" s="818">
        <f t="shared" si="11"/>
        <v>14753614.399430711</v>
      </c>
      <c r="AH33" s="818">
        <f t="shared" si="11"/>
        <v>16277229.992279816</v>
      </c>
      <c r="AI33" s="818">
        <f t="shared" si="11"/>
        <v>18200921.343768355</v>
      </c>
      <c r="AJ33" s="818">
        <f t="shared" si="11"/>
        <v>16220344.498060703</v>
      </c>
      <c r="AK33" s="818">
        <f t="shared" si="11"/>
        <v>19556210.295454413</v>
      </c>
      <c r="AL33" s="818">
        <f t="shared" si="11"/>
        <v>22490430.67516873</v>
      </c>
      <c r="AM33" s="818">
        <f t="shared" si="11"/>
        <v>28648668.047250878</v>
      </c>
      <c r="AN33" s="818">
        <f t="shared" si="11"/>
        <v>24098799.71621646</v>
      </c>
      <c r="AO33" s="818">
        <f t="shared" si="11"/>
        <v>19360663.742699914</v>
      </c>
      <c r="AP33" s="818">
        <f t="shared" si="11"/>
        <v>27162150.00324006</v>
      </c>
      <c r="AQ33" s="818">
        <f t="shared" si="11"/>
        <v>27571854.146037571</v>
      </c>
      <c r="AR33" s="818">
        <f t="shared" si="11"/>
        <v>30883421.157180913</v>
      </c>
      <c r="AS33" s="818">
        <f t="shared" si="11"/>
        <v>33480661.363965567</v>
      </c>
      <c r="AT33" s="818">
        <f>SUM(AT30:AT32)</f>
        <v>0</v>
      </c>
      <c r="AU33" s="818">
        <f>SUM(AU30:AU32)</f>
        <v>422525762.39259791</v>
      </c>
      <c r="AV33" s="817"/>
      <c r="AW33" s="1170"/>
    </row>
    <row r="34" spans="1:51">
      <c r="A34" s="1059" t="s">
        <v>1805</v>
      </c>
      <c r="B34" s="818"/>
      <c r="C34" s="818"/>
      <c r="D34" s="818"/>
      <c r="E34" s="818"/>
      <c r="F34" s="818"/>
      <c r="G34" s="818"/>
      <c r="H34" s="818"/>
      <c r="I34" s="818"/>
      <c r="J34" s="818"/>
      <c r="K34" s="818"/>
      <c r="L34" s="818"/>
      <c r="M34" s="818"/>
      <c r="N34" s="818"/>
      <c r="O34" s="818"/>
      <c r="P34" s="818"/>
      <c r="Q34" s="818"/>
      <c r="R34" s="818"/>
      <c r="S34" s="818">
        <f>S33/S11</f>
        <v>4711.1713024242035</v>
      </c>
      <c r="T34" s="818">
        <f t="shared" ref="T34:AR34" si="12">T33/T11</f>
        <v>6025.8177848255582</v>
      </c>
      <c r="U34" s="818">
        <f t="shared" si="12"/>
        <v>5311.7062231085474</v>
      </c>
      <c r="V34" s="818">
        <f t="shared" si="12"/>
        <v>5888.0842464911912</v>
      </c>
      <c r="W34" s="818">
        <f t="shared" si="12"/>
        <v>14485.758069159758</v>
      </c>
      <c r="X34" s="818">
        <f t="shared" si="12"/>
        <v>9944.9270962732608</v>
      </c>
      <c r="Y34" s="818">
        <f t="shared" si="12"/>
        <v>12094.894593865196</v>
      </c>
      <c r="Z34" s="818">
        <f t="shared" si="12"/>
        <v>13227.676173073085</v>
      </c>
      <c r="AA34" s="818">
        <f t="shared" si="12"/>
        <v>13985.366737378907</v>
      </c>
      <c r="AB34" s="818">
        <f t="shared" si="12"/>
        <v>9501.5917512827727</v>
      </c>
      <c r="AC34" s="818">
        <f t="shared" si="12"/>
        <v>18641.316005883815</v>
      </c>
      <c r="AD34" s="818">
        <f t="shared" si="12"/>
        <v>19962.8952684254</v>
      </c>
      <c r="AE34" s="818">
        <f t="shared" si="12"/>
        <v>26012.329074405505</v>
      </c>
      <c r="AF34" s="818">
        <f t="shared" si="12"/>
        <v>24351.67618424831</v>
      </c>
      <c r="AG34" s="818">
        <f t="shared" si="12"/>
        <v>31592.322054455482</v>
      </c>
      <c r="AH34" s="818">
        <f t="shared" si="12"/>
        <v>34780.405966409868</v>
      </c>
      <c r="AI34" s="818">
        <f t="shared" si="12"/>
        <v>39057.771123966428</v>
      </c>
      <c r="AJ34" s="818">
        <f t="shared" si="12"/>
        <v>34957.639004441167</v>
      </c>
      <c r="AK34" s="818">
        <f t="shared" si="12"/>
        <v>41876.253309324224</v>
      </c>
      <c r="AL34" s="818">
        <f t="shared" si="12"/>
        <v>48575.444222826634</v>
      </c>
      <c r="AM34" s="818">
        <f t="shared" si="12"/>
        <v>62279.713146197559</v>
      </c>
      <c r="AN34" s="818">
        <f t="shared" si="12"/>
        <v>65664.304403859569</v>
      </c>
      <c r="AO34" s="818">
        <f t="shared" si="12"/>
        <v>52753.852159945272</v>
      </c>
      <c r="AP34" s="818">
        <f t="shared" si="12"/>
        <v>60901.681621614487</v>
      </c>
      <c r="AQ34" s="818">
        <f t="shared" si="12"/>
        <v>64270.056284469865</v>
      </c>
      <c r="AR34" s="818">
        <f t="shared" si="12"/>
        <v>70833.534764176409</v>
      </c>
      <c r="AS34" s="818">
        <f>IFERROR(AS33/AS11,0)</f>
        <v>72784.046443403407</v>
      </c>
      <c r="AT34" s="818">
        <f>IFERROR(AT33/AT11,0)</f>
        <v>0</v>
      </c>
      <c r="AU34" s="818">
        <f>IFERROR(AU33/AU11,0)</f>
        <v>30319.01280084658</v>
      </c>
      <c r="AV34" s="817"/>
      <c r="AW34" s="1170"/>
    </row>
    <row r="35" spans="1:51" ht="14.45" customHeight="1">
      <c r="B35" s="818"/>
      <c r="C35" s="818"/>
      <c r="D35" s="818"/>
      <c r="E35" s="818"/>
      <c r="F35" s="818"/>
      <c r="G35" s="818"/>
      <c r="H35" s="818"/>
      <c r="I35" s="818"/>
      <c r="J35" s="818"/>
      <c r="K35" s="818"/>
      <c r="L35" s="818"/>
      <c r="M35" s="818"/>
      <c r="N35" s="818"/>
      <c r="O35" s="818"/>
      <c r="P35" s="818"/>
      <c r="Q35" s="818"/>
      <c r="R35" s="818"/>
      <c r="S35" s="818"/>
      <c r="T35" s="818"/>
      <c r="U35" s="818"/>
      <c r="V35" s="818"/>
      <c r="W35" s="818"/>
      <c r="X35" s="818"/>
      <c r="Y35" s="818"/>
      <c r="Z35" s="818"/>
      <c r="AA35" s="818"/>
      <c r="AB35" s="818"/>
      <c r="AC35" s="818"/>
      <c r="AD35" s="818"/>
      <c r="AE35" s="818"/>
      <c r="AF35" s="818"/>
      <c r="AG35" s="818"/>
      <c r="AH35" s="818"/>
      <c r="AI35" s="818"/>
      <c r="AJ35" s="818"/>
      <c r="AK35" s="818"/>
      <c r="AL35" s="818"/>
      <c r="AM35" s="818"/>
      <c r="AN35" s="818"/>
      <c r="AO35" s="818"/>
      <c r="AP35" s="818"/>
      <c r="AQ35" s="818"/>
      <c r="AR35" s="818"/>
      <c r="AS35" s="818"/>
      <c r="AT35" s="818"/>
      <c r="AU35" s="1057"/>
      <c r="AV35" s="817"/>
      <c r="AW35" s="1170"/>
    </row>
    <row r="36" spans="1:51">
      <c r="A36" s="1687" t="s">
        <v>1806</v>
      </c>
      <c r="B36" s="818">
        <f>B33+SUM(B41:B49)</f>
        <v>0</v>
      </c>
      <c r="C36" s="818">
        <f t="shared" ref="C36:AT36" si="13">C33+SUM(C41:C49)</f>
        <v>0</v>
      </c>
      <c r="D36" s="818">
        <f t="shared" si="13"/>
        <v>0</v>
      </c>
      <c r="E36" s="818">
        <f t="shared" si="13"/>
        <v>0</v>
      </c>
      <c r="F36" s="818">
        <f t="shared" si="13"/>
        <v>0</v>
      </c>
      <c r="G36" s="818">
        <f t="shared" si="13"/>
        <v>936740.9496193924</v>
      </c>
      <c r="H36" s="818">
        <f t="shared" si="13"/>
        <v>936740.9496193924</v>
      </c>
      <c r="I36" s="818">
        <f t="shared" si="13"/>
        <v>936740.9496193924</v>
      </c>
      <c r="J36" s="818">
        <f t="shared" si="13"/>
        <v>936740.9496193924</v>
      </c>
      <c r="K36" s="818">
        <f t="shared" si="13"/>
        <v>1833917.079376864</v>
      </c>
      <c r="L36" s="818">
        <f t="shared" si="13"/>
        <v>1833917.079376864</v>
      </c>
      <c r="M36" s="818">
        <f t="shared" si="13"/>
        <v>1833917.079376864</v>
      </c>
      <c r="N36" s="818">
        <f t="shared" si="13"/>
        <v>1833917.079376864</v>
      </c>
      <c r="O36" s="818">
        <f t="shared" si="13"/>
        <v>3013163.8036062513</v>
      </c>
      <c r="P36" s="818">
        <f t="shared" si="13"/>
        <v>3013163.8036062513</v>
      </c>
      <c r="Q36" s="818">
        <f t="shared" si="13"/>
        <v>3013163.8036062513</v>
      </c>
      <c r="R36" s="818">
        <f t="shared" si="13"/>
        <v>3013163.8036062513</v>
      </c>
      <c r="S36" s="818">
        <f t="shared" si="13"/>
        <v>3099950.7169951256</v>
      </c>
      <c r="T36" s="818">
        <f t="shared" si="13"/>
        <v>3989091.3735545194</v>
      </c>
      <c r="U36" s="818">
        <f t="shared" si="13"/>
        <v>3537596.3445902928</v>
      </c>
      <c r="V36" s="818">
        <f t="shared" si="13"/>
        <v>4363070.4266499728</v>
      </c>
      <c r="W36" s="818">
        <f t="shared" si="13"/>
        <v>4476099.2433703654</v>
      </c>
      <c r="X36" s="818">
        <f t="shared" si="13"/>
        <v>5240976.5797360083</v>
      </c>
      <c r="Y36" s="818">
        <f t="shared" si="13"/>
        <v>5890213.6672123512</v>
      </c>
      <c r="Z36" s="818">
        <f t="shared" si="13"/>
        <v>5423347.2309599649</v>
      </c>
      <c r="AA36" s="818">
        <f t="shared" si="13"/>
        <v>8195424.9081040397</v>
      </c>
      <c r="AB36" s="818">
        <f t="shared" si="13"/>
        <v>5805472.560033774</v>
      </c>
      <c r="AC36" s="818">
        <f t="shared" si="13"/>
        <v>10252723.803236099</v>
      </c>
      <c r="AD36" s="818">
        <f t="shared" si="13"/>
        <v>9482375.2525020652</v>
      </c>
      <c r="AE36" s="818">
        <f t="shared" si="13"/>
        <v>12720028.917384291</v>
      </c>
      <c r="AF36" s="818">
        <f t="shared" si="13"/>
        <v>11542694.511333698</v>
      </c>
      <c r="AG36" s="818">
        <f t="shared" si="13"/>
        <v>14753614.399430711</v>
      </c>
      <c r="AH36" s="818">
        <f t="shared" si="13"/>
        <v>16277229.992279816</v>
      </c>
      <c r="AI36" s="818">
        <f t="shared" si="13"/>
        <v>18200921.343768355</v>
      </c>
      <c r="AJ36" s="818">
        <f t="shared" si="13"/>
        <v>16220344.498060703</v>
      </c>
      <c r="AK36" s="818">
        <f t="shared" si="13"/>
        <v>19556210.295454413</v>
      </c>
      <c r="AL36" s="818">
        <f t="shared" si="13"/>
        <v>22490430.67516873</v>
      </c>
      <c r="AM36" s="818">
        <f t="shared" si="13"/>
        <v>28648668.047250878</v>
      </c>
      <c r="AN36" s="818">
        <f t="shared" si="13"/>
        <v>24098799.71621646</v>
      </c>
      <c r="AO36" s="818">
        <f t="shared" si="13"/>
        <v>19360663.742699914</v>
      </c>
      <c r="AP36" s="818">
        <f t="shared" si="13"/>
        <v>27162150.00324006</v>
      </c>
      <c r="AQ36" s="818">
        <f t="shared" si="13"/>
        <v>27571854.146037571</v>
      </c>
      <c r="AR36" s="818">
        <f t="shared" si="13"/>
        <v>30883421.157180913</v>
      </c>
      <c r="AS36" s="818">
        <f t="shared" si="13"/>
        <v>33480661.363965567</v>
      </c>
      <c r="AT36" s="818">
        <f t="shared" si="13"/>
        <v>0</v>
      </c>
      <c r="AU36" s="807">
        <f>SUM(B36:AT36)</f>
        <v>415859322.24682671</v>
      </c>
      <c r="AV36" s="817"/>
      <c r="AW36" s="1170"/>
    </row>
    <row r="37" spans="1:51">
      <c r="A37" s="1066" t="str">
        <f>+'Grasmere Pig Cost'!A40</f>
        <v>Month Feed consumption</v>
      </c>
      <c r="B37" s="1318">
        <f>B69*$B$61</f>
        <v>2968.0493273542597</v>
      </c>
      <c r="C37" s="1318">
        <f t="shared" ref="C37:R37" si="14">C69*$B$61</f>
        <v>2968.0493273542597</v>
      </c>
      <c r="D37" s="1318">
        <f t="shared" si="14"/>
        <v>2968.0493273542597</v>
      </c>
      <c r="E37" s="1318">
        <f t="shared" si="14"/>
        <v>2968.0493273542597</v>
      </c>
      <c r="F37" s="1318">
        <f t="shared" si="14"/>
        <v>2730.6053811659185</v>
      </c>
      <c r="G37" s="1318">
        <f t="shared" si="14"/>
        <v>2730.6053811659185</v>
      </c>
      <c r="H37" s="1318">
        <f t="shared" si="14"/>
        <v>2730.6053811659185</v>
      </c>
      <c r="I37" s="1318">
        <f t="shared" si="14"/>
        <v>2730.6053811659185</v>
      </c>
      <c r="J37" s="1318">
        <f t="shared" si="14"/>
        <v>2730.6053811659185</v>
      </c>
      <c r="K37" s="1318">
        <f t="shared" si="14"/>
        <v>2730.6053811659185</v>
      </c>
      <c r="L37" s="1318">
        <f t="shared" si="14"/>
        <v>2730.6053811659185</v>
      </c>
      <c r="M37" s="1318">
        <f t="shared" si="14"/>
        <v>2730.6053811659185</v>
      </c>
      <c r="N37" s="1318">
        <f t="shared" si="14"/>
        <v>3324.2152466367706</v>
      </c>
      <c r="O37" s="1318">
        <f t="shared" si="14"/>
        <v>3324.2152466367706</v>
      </c>
      <c r="P37" s="1318">
        <f t="shared" si="14"/>
        <v>3324.2152466367706</v>
      </c>
      <c r="Q37" s="1318">
        <f t="shared" si="14"/>
        <v>3324.2152466367706</v>
      </c>
      <c r="R37" s="1318">
        <f t="shared" si="14"/>
        <v>5936.0986547085195</v>
      </c>
      <c r="S37" s="1317">
        <f>S69*$D$61</f>
        <v>8705.2258064516136</v>
      </c>
      <c r="T37" s="1317">
        <f>T69*$D$61</f>
        <v>15959.580645161292</v>
      </c>
      <c r="U37" s="1317">
        <f>U69*$D$61</f>
        <v>20312.193548387098</v>
      </c>
      <c r="V37" s="1319">
        <f>V69*'Feed Cost &amp; Allocation'!B75</f>
        <v>0</v>
      </c>
      <c r="W37" s="1319">
        <f>W69*'Feed Cost &amp; Allocation'!B75</f>
        <v>0</v>
      </c>
      <c r="X37" s="1060">
        <f>X69*$F$61</f>
        <v>18922.91590826356</v>
      </c>
      <c r="Y37" s="1060">
        <f>Y69*$F$61</f>
        <v>22662.084091736437</v>
      </c>
      <c r="Z37" s="1551">
        <f>Z7/(Z7+AA7+AB7+AC7)*'Feed Cost &amp; Allocation'!D75</f>
        <v>10236.11088211047</v>
      </c>
      <c r="AA37" s="1551">
        <f>AA7/(Z7+AA7+AB7+AC7)*'Feed Cost &amp; Allocation'!D75</f>
        <v>11728.154163231658</v>
      </c>
      <c r="AB37" s="1551">
        <f>AB7/(AA7+AB7+AC7+Z7)*'Feed Cost &amp; Allocation'!D75</f>
        <v>10600.447032151691</v>
      </c>
      <c r="AC37" s="1551">
        <f>AC7/(AB7+AC7+AA7+Z7)*'Feed Cost &amp; Allocation'!D75</f>
        <v>9524.7879225061843</v>
      </c>
      <c r="AD37" s="1320">
        <f>(AD7/(AD7+AE7))*'Feed Cost &amp; Allocation'!F75</f>
        <v>42056.487577639753</v>
      </c>
      <c r="AE37" s="1320">
        <f>+'Feed Cost &amp; Allocation'!F75-AD37</f>
        <v>43114.512422360247</v>
      </c>
      <c r="AF37" s="1553">
        <f>AF7/(AF7+AG7)*'Feed Cost &amp; Allocation'!G75</f>
        <v>42668.122340425529</v>
      </c>
      <c r="AG37" s="1553">
        <f>AG7/(AF7+AG7)*'Feed Cost &amp; Allocation'!G75</f>
        <v>42126.877659574471</v>
      </c>
      <c r="AH37" s="1554">
        <f>AH7/(AH7+AI7)*'Feed Cost &amp; Allocation'!H75</f>
        <v>55566.217112299462</v>
      </c>
      <c r="AI37" s="1554">
        <f>AI7/(AH7+AI7)*'Feed Cost &amp; Allocation'!H75</f>
        <v>55210.782887700538</v>
      </c>
      <c r="AJ37" s="1552">
        <f>AJ7/(AJ7+AK7+AL7+AM7+AN7)*'Feed Cost &amp; Allocation'!J75</f>
        <v>54649.631697433586</v>
      </c>
      <c r="AK37" s="1552">
        <f>AK7/(AJ7+AK7+AL7+AM7+AN7)*'Feed Cost &amp; Allocation'!J75</f>
        <v>55002.969833408373</v>
      </c>
      <c r="AL37" s="1552">
        <f>AL7/(AJ7+AK7+AL7+AM7+AN7)*'Feed Cost &amp; Allocation'!J75</f>
        <v>54531.852318775331</v>
      </c>
      <c r="AM37" s="1552">
        <f>AM7/(AJ7+AK7+AL7+AM7+AN7)*'Feed Cost &amp; Allocation'!J75</f>
        <v>54178.514182800543</v>
      </c>
      <c r="AN37" s="1552">
        <f>AN7/(AJ7+AK7+AL7+AM7+AN7)*'Feed Cost &amp; Allocation'!J75</f>
        <v>43225.031967582167</v>
      </c>
      <c r="AO37" s="818">
        <v>0</v>
      </c>
      <c r="AP37" s="818">
        <v>0</v>
      </c>
      <c r="AQ37" s="818">
        <v>0</v>
      </c>
      <c r="AR37" s="818"/>
      <c r="AS37" s="818">
        <v>0</v>
      </c>
      <c r="AT37" s="818"/>
      <c r="AU37" s="807">
        <f>SUM(B37:AT37)</f>
        <v>723932.50000000012</v>
      </c>
      <c r="AV37" s="1199">
        <f>+AU37-'Feed Cost &amp; Allocation'!Z75+'Feed Cost &amp; Allocation'!R75+'Feed Cost &amp; Allocation'!Q75+'Feed Cost &amp; Allocation'!P75-F60</f>
        <v>722927.10000000009</v>
      </c>
      <c r="AW37" s="1088">
        <f>+'Feed Cost &amp; Allocation'!P75+'Feed Cost &amp; Allocation'!Q75+'Feed Cost &amp; Allocation'!R75-'Lionhead Pig Cost (2)'!F60</f>
        <v>8918.6</v>
      </c>
      <c r="AX37" s="1085"/>
    </row>
    <row r="38" spans="1:51">
      <c r="A38" s="131" t="s">
        <v>1808</v>
      </c>
      <c r="B38" s="1091">
        <f t="shared" ref="B38:Z38" si="15">SUM(B36:B37)</f>
        <v>2968.0493273542597</v>
      </c>
      <c r="C38" s="1091">
        <f t="shared" si="15"/>
        <v>2968.0493273542597</v>
      </c>
      <c r="D38" s="1091">
        <f t="shared" si="15"/>
        <v>2968.0493273542597</v>
      </c>
      <c r="E38" s="1091">
        <f t="shared" si="15"/>
        <v>2968.0493273542597</v>
      </c>
      <c r="F38" s="1091">
        <f t="shared" si="15"/>
        <v>2730.6053811659185</v>
      </c>
      <c r="G38" s="1091">
        <f t="shared" si="15"/>
        <v>939471.55500055826</v>
      </c>
      <c r="H38" s="1091">
        <f t="shared" si="15"/>
        <v>939471.55500055826</v>
      </c>
      <c r="I38" s="1091">
        <f t="shared" si="15"/>
        <v>939471.55500055826</v>
      </c>
      <c r="J38" s="1091">
        <f t="shared" si="15"/>
        <v>939471.55500055826</v>
      </c>
      <c r="K38" s="1091">
        <f t="shared" si="15"/>
        <v>1836647.6847580299</v>
      </c>
      <c r="L38" s="1091">
        <f t="shared" si="15"/>
        <v>1836647.6847580299</v>
      </c>
      <c r="M38" s="1091">
        <f t="shared" si="15"/>
        <v>1836647.6847580299</v>
      </c>
      <c r="N38" s="1091">
        <f t="shared" si="15"/>
        <v>1837241.2946235009</v>
      </c>
      <c r="O38" s="1091">
        <f t="shared" si="15"/>
        <v>3016488.0188528881</v>
      </c>
      <c r="P38" s="1091">
        <f t="shared" si="15"/>
        <v>3016488.0188528881</v>
      </c>
      <c r="Q38" s="1091">
        <f t="shared" si="15"/>
        <v>3016488.0188528881</v>
      </c>
      <c r="R38" s="1091">
        <f t="shared" si="15"/>
        <v>3019099.9022609596</v>
      </c>
      <c r="S38" s="1091">
        <f t="shared" si="15"/>
        <v>3108655.942801577</v>
      </c>
      <c r="T38" s="1091">
        <f t="shared" si="15"/>
        <v>4005050.9541996806</v>
      </c>
      <c r="U38" s="1091">
        <f t="shared" si="15"/>
        <v>3557908.5381386797</v>
      </c>
      <c r="V38" s="1091">
        <f t="shared" si="15"/>
        <v>4363070.4266499728</v>
      </c>
      <c r="W38" s="1091">
        <f t="shared" si="15"/>
        <v>4476099.2433703654</v>
      </c>
      <c r="X38" s="1091">
        <f t="shared" si="15"/>
        <v>5259899.4956442723</v>
      </c>
      <c r="Y38" s="1091">
        <f t="shared" si="15"/>
        <v>5912875.7513040872</v>
      </c>
      <c r="Z38" s="1091">
        <f t="shared" si="15"/>
        <v>5433583.3418420758</v>
      </c>
      <c r="AA38" s="1091">
        <f t="shared" ref="AA38:AS38" si="16">SUM(AA36:AA37)</f>
        <v>8207153.0622672718</v>
      </c>
      <c r="AB38" s="1091">
        <f t="shared" si="16"/>
        <v>5816073.0070659257</v>
      </c>
      <c r="AC38" s="1091">
        <f t="shared" si="16"/>
        <v>10262248.591158604</v>
      </c>
      <c r="AD38" s="1091">
        <f t="shared" si="16"/>
        <v>9524431.7400797047</v>
      </c>
      <c r="AE38" s="1091">
        <f t="shared" si="16"/>
        <v>12763143.429806652</v>
      </c>
      <c r="AF38" s="1091">
        <f t="shared" si="16"/>
        <v>11585362.633674124</v>
      </c>
      <c r="AG38" s="1091">
        <f t="shared" si="16"/>
        <v>14795741.277090285</v>
      </c>
      <c r="AH38" s="1091">
        <f t="shared" si="16"/>
        <v>16332796.209392115</v>
      </c>
      <c r="AI38" s="1091">
        <f t="shared" si="16"/>
        <v>18256132.126656055</v>
      </c>
      <c r="AJ38" s="1091">
        <f t="shared" si="16"/>
        <v>16274994.129758136</v>
      </c>
      <c r="AK38" s="1091">
        <f t="shared" si="16"/>
        <v>19611213.26528782</v>
      </c>
      <c r="AL38" s="1091">
        <f t="shared" si="16"/>
        <v>22544962.527487505</v>
      </c>
      <c r="AM38" s="1091">
        <f t="shared" si="16"/>
        <v>28702846.56143368</v>
      </c>
      <c r="AN38" s="1091">
        <f t="shared" si="16"/>
        <v>24142024.74818404</v>
      </c>
      <c r="AO38" s="1091">
        <f t="shared" si="16"/>
        <v>19360663.742699914</v>
      </c>
      <c r="AP38" s="1091">
        <f t="shared" si="16"/>
        <v>27162150.00324006</v>
      </c>
      <c r="AQ38" s="1091">
        <f t="shared" si="16"/>
        <v>27571854.146037571</v>
      </c>
      <c r="AR38" s="1091">
        <f t="shared" si="16"/>
        <v>30883421.157180913</v>
      </c>
      <c r="AS38" s="1091">
        <f t="shared" si="16"/>
        <v>33480661.363965567</v>
      </c>
      <c r="AT38" s="1091">
        <f>SUM(AT36:AT37)</f>
        <v>0</v>
      </c>
      <c r="AU38" s="1091">
        <f>SUM(AU36:AU37)</f>
        <v>416583254.74682671</v>
      </c>
    </row>
    <row r="39" spans="1:51">
      <c r="A39" s="131" t="s">
        <v>1809</v>
      </c>
      <c r="S39" s="142">
        <f>IFERROR(S38/SUM(S11:S20),0)</f>
        <v>4724.4011288777765</v>
      </c>
      <c r="T39" s="142">
        <f t="shared" ref="T39:AU39" si="17">IFERROR(T38/SUM(T11:T20),0)</f>
        <v>6049.9259126883389</v>
      </c>
      <c r="U39" s="142">
        <f t="shared" si="17"/>
        <v>5342.20501222024</v>
      </c>
      <c r="V39" s="142">
        <f t="shared" si="17"/>
        <v>5888.0842464911912</v>
      </c>
      <c r="W39" s="142">
        <f t="shared" si="17"/>
        <v>14485.758069159758</v>
      </c>
      <c r="X39" s="142">
        <f t="shared" si="17"/>
        <v>9980.8339575792652</v>
      </c>
      <c r="Y39" s="142">
        <f t="shared" si="17"/>
        <v>12141.428647441657</v>
      </c>
      <c r="Z39" s="142">
        <f t="shared" si="17"/>
        <v>13252.642297175795</v>
      </c>
      <c r="AA39" s="142">
        <f t="shared" si="17"/>
        <v>14005.380652333228</v>
      </c>
      <c r="AB39" s="142">
        <f t="shared" si="17"/>
        <v>9518.9410917609257</v>
      </c>
      <c r="AC39" s="142">
        <f t="shared" si="17"/>
        <v>18658.633802106553</v>
      </c>
      <c r="AD39" s="142">
        <f t="shared" si="17"/>
        <v>20051.435242273063</v>
      </c>
      <c r="AE39" s="142">
        <f t="shared" si="17"/>
        <v>26100.497811465546</v>
      </c>
      <c r="AF39" s="142">
        <f t="shared" si="17"/>
        <v>24441.693319987604</v>
      </c>
      <c r="AG39" s="142">
        <f t="shared" si="17"/>
        <v>31682.529501263994</v>
      </c>
      <c r="AH39" s="142">
        <f t="shared" si="17"/>
        <v>34899.1371995558</v>
      </c>
      <c r="AI39" s="142">
        <f t="shared" si="17"/>
        <v>39176.249198832738</v>
      </c>
      <c r="AJ39" s="142">
        <f t="shared" si="17"/>
        <v>35075.41838309943</v>
      </c>
      <c r="AK39" s="142">
        <f t="shared" si="17"/>
        <v>41994.032687982486</v>
      </c>
      <c r="AL39" s="142">
        <f t="shared" si="17"/>
        <v>48693.22360148489</v>
      </c>
      <c r="AM39" s="142">
        <f t="shared" si="17"/>
        <v>62397.492524855828</v>
      </c>
      <c r="AN39" s="142">
        <f t="shared" si="17"/>
        <v>65782.083782517817</v>
      </c>
      <c r="AO39" s="142">
        <f t="shared" si="17"/>
        <v>52753.852159945272</v>
      </c>
      <c r="AP39" s="142">
        <f t="shared" si="17"/>
        <v>60901.681621614487</v>
      </c>
      <c r="AQ39" s="142">
        <f t="shared" si="17"/>
        <v>64270.056284469865</v>
      </c>
      <c r="AR39" s="142">
        <f t="shared" si="17"/>
        <v>70833.534764176409</v>
      </c>
      <c r="AS39" s="142">
        <f t="shared" si="17"/>
        <v>72784.046443403407</v>
      </c>
      <c r="AT39" s="142">
        <f t="shared" si="17"/>
        <v>0</v>
      </c>
      <c r="AU39" s="142">
        <f t="shared" si="17"/>
        <v>31076.706806924783</v>
      </c>
    </row>
    <row r="40" spans="1:51">
      <c r="A40" s="131"/>
      <c r="S40" s="1074"/>
      <c r="T40" s="1074"/>
      <c r="U40" s="1074"/>
      <c r="V40" s="1074"/>
      <c r="W40" s="1074"/>
      <c r="X40" s="1074"/>
      <c r="Y40" s="1074"/>
      <c r="Z40" s="1074"/>
      <c r="AA40" s="1074"/>
      <c r="AB40" s="1074"/>
      <c r="AC40" s="1074"/>
      <c r="AD40" s="1074"/>
      <c r="AE40" s="1074"/>
      <c r="AF40" s="1074"/>
      <c r="AG40" s="1074"/>
      <c r="AH40" s="1074"/>
      <c r="AI40" s="1074"/>
      <c r="AJ40" s="1074"/>
      <c r="AK40" s="1074"/>
      <c r="AL40" s="1074"/>
      <c r="AM40" s="1074"/>
      <c r="AN40" s="1074"/>
      <c r="AO40" s="1074"/>
      <c r="AP40" s="1074"/>
      <c r="AQ40" s="1074"/>
      <c r="AR40" s="1074"/>
      <c r="AS40" s="1074"/>
      <c r="AT40" s="1074"/>
      <c r="AU40" s="1074"/>
      <c r="AY40" s="1301"/>
    </row>
    <row r="41" spans="1:51">
      <c r="A41" s="1770" t="str">
        <f t="shared" ref="A41:A54" si="18">+A12</f>
        <v>Transfers Grasmere</v>
      </c>
      <c r="S41" s="1059">
        <f>-'Grasmere Pig Cost (2)'!S41</f>
        <v>0</v>
      </c>
      <c r="T41" s="1059">
        <f>-'Grasmere Pig Cost (2)'!T41</f>
        <v>0</v>
      </c>
      <c r="U41" s="1059">
        <f>-'Grasmere Pig Cost (2)'!U41</f>
        <v>0</v>
      </c>
      <c r="V41" s="1059">
        <f>-'Grasmere Pig Cost (2)'!V41</f>
        <v>0</v>
      </c>
      <c r="W41" s="1059">
        <f>-'Grasmere Pig Cost (2)'!W41</f>
        <v>0</v>
      </c>
      <c r="X41" s="1059">
        <f>-'Grasmere Pig Cost (2)'!X41</f>
        <v>0</v>
      </c>
      <c r="Y41" s="1059">
        <f>-'Grasmere Pig Cost (2)'!Y41</f>
        <v>0</v>
      </c>
      <c r="Z41" s="1059">
        <f>-'Grasmere Pig Cost (2)'!Z41</f>
        <v>0</v>
      </c>
      <c r="AA41" s="1059">
        <f>-'Grasmere Pig Cost (2)'!AA41</f>
        <v>0</v>
      </c>
      <c r="AB41" s="1059">
        <f>-'Grasmere Pig Cost (2)'!AB41</f>
        <v>0</v>
      </c>
      <c r="AC41" s="1059">
        <f>-'Grasmere Pig Cost (2)'!AC41</f>
        <v>0</v>
      </c>
      <c r="AD41" s="1059">
        <f>-'Grasmere Pig Cost (2)'!AD41</f>
        <v>0</v>
      </c>
      <c r="AE41" s="1059">
        <f>-'Grasmere Pig Cost (2)'!AE41</f>
        <v>0</v>
      </c>
      <c r="AF41" s="1059">
        <f>-'Grasmere Pig Cost (2)'!AF41</f>
        <v>0</v>
      </c>
      <c r="AG41" s="1059">
        <f>-'Grasmere Pig Cost (2)'!AG41</f>
        <v>0</v>
      </c>
      <c r="AH41" s="1059">
        <f>-'Grasmere Pig Cost (2)'!AH41</f>
        <v>0</v>
      </c>
      <c r="AI41" s="1059">
        <f>-'Grasmere Pig Cost (2)'!AI41</f>
        <v>0</v>
      </c>
      <c r="AJ41" s="1059">
        <f>-'Grasmere Pig Cost (2)'!AJ41</f>
        <v>0</v>
      </c>
      <c r="AK41" s="1059">
        <f>-'Grasmere Pig Cost (2)'!AK41</f>
        <v>0</v>
      </c>
      <c r="AL41" s="1059">
        <f>-'Grasmere Pig Cost (2)'!AL41</f>
        <v>0</v>
      </c>
      <c r="AM41" s="1059">
        <f>-'Grasmere Pig Cost (2)'!AM41</f>
        <v>0</v>
      </c>
      <c r="AN41" s="1059">
        <f>-'Grasmere Pig Cost (2)'!AN41</f>
        <v>0</v>
      </c>
      <c r="AO41" s="1059">
        <f>-'Grasmere Pig Cost (2)'!AO41</f>
        <v>0</v>
      </c>
      <c r="AP41" s="1059">
        <f>-'Grasmere Pig Cost (2)'!AP41</f>
        <v>0</v>
      </c>
      <c r="AQ41" s="1059">
        <f>-'Grasmere Pig Cost (2)'!AQ41</f>
        <v>0</v>
      </c>
      <c r="AR41" s="1059">
        <f>-'Grasmere Pig Cost (2)'!AR41</f>
        <v>0</v>
      </c>
      <c r="AS41" s="1059">
        <f>-'Grasmere Pig Cost (2)'!AS41</f>
        <v>0</v>
      </c>
      <c r="AT41" s="1059">
        <f>-'Grasmere Pig Cost (2)'!AT41</f>
        <v>0</v>
      </c>
      <c r="AU41" s="1282">
        <f>SUM(B41:AT41)</f>
        <v>0</v>
      </c>
      <c r="AY41" s="1091">
        <f>+AU29-AW26</f>
        <v>-354</v>
      </c>
    </row>
    <row r="42" spans="1:51">
      <c r="A42" s="1769" t="str">
        <f t="shared" si="18"/>
        <v>Transfers Lionshead Ext.</v>
      </c>
      <c r="S42" s="1059">
        <f>S13*S34</f>
        <v>0</v>
      </c>
      <c r="T42" s="1059">
        <f t="shared" ref="T42:W42" si="19">T13*T34</f>
        <v>0</v>
      </c>
      <c r="U42" s="1059">
        <f t="shared" si="19"/>
        <v>0</v>
      </c>
      <c r="V42" s="1059">
        <f t="shared" si="19"/>
        <v>0</v>
      </c>
      <c r="W42" s="1059">
        <f t="shared" si="19"/>
        <v>0</v>
      </c>
      <c r="X42" s="1059">
        <f t="shared" ref="X42:AT42" si="20">X13*X34</f>
        <v>-706089.82383540156</v>
      </c>
      <c r="Y42" s="1059">
        <f t="shared" si="20"/>
        <v>-2056132.0809570833</v>
      </c>
      <c r="Z42" s="1059">
        <f t="shared" si="20"/>
        <v>-2645535.2346146172</v>
      </c>
      <c r="AA42" s="1059">
        <f t="shared" si="20"/>
        <v>-1258683.0063641015</v>
      </c>
      <c r="AB42" s="1059">
        <f t="shared" si="20"/>
        <v>0</v>
      </c>
      <c r="AC42" s="1059">
        <f t="shared" si="20"/>
        <v>0</v>
      </c>
      <c r="AD42" s="1059">
        <f t="shared" si="20"/>
        <v>0</v>
      </c>
      <c r="AE42" s="1059">
        <f t="shared" si="20"/>
        <v>0</v>
      </c>
      <c r="AF42" s="1059">
        <f t="shared" si="20"/>
        <v>0</v>
      </c>
      <c r="AG42" s="1059">
        <f t="shared" si="20"/>
        <v>0</v>
      </c>
      <c r="AH42" s="1059">
        <f t="shared" si="20"/>
        <v>0</v>
      </c>
      <c r="AI42" s="1059">
        <f t="shared" si="20"/>
        <v>0</v>
      </c>
      <c r="AJ42" s="1059">
        <f t="shared" si="20"/>
        <v>0</v>
      </c>
      <c r="AK42" s="1059">
        <f t="shared" si="20"/>
        <v>0</v>
      </c>
      <c r="AL42" s="1059">
        <f t="shared" si="20"/>
        <v>0</v>
      </c>
      <c r="AM42" s="1059">
        <f t="shared" si="20"/>
        <v>0</v>
      </c>
      <c r="AN42" s="1059">
        <f t="shared" si="20"/>
        <v>0</v>
      </c>
      <c r="AO42" s="1059">
        <f t="shared" si="20"/>
        <v>0</v>
      </c>
      <c r="AP42" s="1059">
        <f t="shared" si="20"/>
        <v>0</v>
      </c>
      <c r="AQ42" s="1059">
        <f t="shared" si="20"/>
        <v>0</v>
      </c>
      <c r="AR42" s="1059">
        <f t="shared" si="20"/>
        <v>0</v>
      </c>
      <c r="AS42" s="1059">
        <f t="shared" si="20"/>
        <v>0</v>
      </c>
      <c r="AT42" s="1059">
        <f t="shared" si="20"/>
        <v>0</v>
      </c>
      <c r="AU42" s="1282">
        <f t="shared" ref="AU42:AU54" si="21">SUM(B42:AT42)</f>
        <v>-6666440.1457712036</v>
      </c>
    </row>
    <row r="43" spans="1:51">
      <c r="A43" s="1769" t="str">
        <f t="shared" si="18"/>
        <v>Transfers  Richlands</v>
      </c>
      <c r="S43" s="1059">
        <f>-'Richlands Pig Cost (2)'!S41</f>
        <v>0</v>
      </c>
      <c r="T43" s="1059">
        <f>-'Richlands Pig Cost (2)'!T41</f>
        <v>0</v>
      </c>
      <c r="U43" s="1059">
        <f>-'Richlands Pig Cost (2)'!U41</f>
        <v>0</v>
      </c>
      <c r="V43" s="1059">
        <f>-'Richlands Pig Cost (2)'!V41</f>
        <v>0</v>
      </c>
      <c r="W43" s="1059">
        <f>-'Richlands Pig Cost (2)'!W41</f>
        <v>0</v>
      </c>
      <c r="X43" s="1059">
        <f>-'Richlands Pig Cost (2)'!X41</f>
        <v>0</v>
      </c>
      <c r="Y43" s="1059">
        <f>-'Richlands Pig Cost (2)'!Y41</f>
        <v>0</v>
      </c>
      <c r="Z43" s="1059">
        <f>-'Richlands Pig Cost (2)'!Z41</f>
        <v>0</v>
      </c>
      <c r="AA43" s="1059">
        <f>-'Richlands Pig Cost (2)'!AA41</f>
        <v>0</v>
      </c>
      <c r="AB43" s="1059">
        <f>-'Richlands Pig Cost (2)'!AB41</f>
        <v>0</v>
      </c>
      <c r="AC43" s="1059">
        <f>-'Richlands Pig Cost (2)'!AC41</f>
        <v>0</v>
      </c>
      <c r="AD43" s="1059">
        <f>-'Richlands Pig Cost (2)'!AD41</f>
        <v>0</v>
      </c>
      <c r="AE43" s="1059">
        <f>-'Richlands Pig Cost (2)'!AE41</f>
        <v>0</v>
      </c>
      <c r="AF43" s="1059">
        <f>-'Richlands Pig Cost (2)'!AF41</f>
        <v>0</v>
      </c>
      <c r="AG43" s="1059">
        <f>-'Richlands Pig Cost (2)'!AG41</f>
        <v>0</v>
      </c>
      <c r="AH43" s="1059">
        <f>-'Richlands Pig Cost (2)'!AH41</f>
        <v>0</v>
      </c>
      <c r="AI43" s="1059">
        <f>-'Richlands Pig Cost (2)'!AI41</f>
        <v>0</v>
      </c>
      <c r="AJ43" s="1059">
        <f>-'Richlands Pig Cost (2)'!AJ41</f>
        <v>0</v>
      </c>
      <c r="AK43" s="1059">
        <f>-'Richlands Pig Cost (2)'!AK41</f>
        <v>0</v>
      </c>
      <c r="AL43" s="1059">
        <f>-'Richlands Pig Cost (2)'!AL41</f>
        <v>0</v>
      </c>
      <c r="AM43" s="1059">
        <f>-'Richlands Pig Cost (2)'!AM41</f>
        <v>0</v>
      </c>
      <c r="AN43" s="1059">
        <f>-'Richlands Pig Cost (2)'!AN41</f>
        <v>0</v>
      </c>
      <c r="AO43" s="1059">
        <f>-'Richlands Pig Cost (2)'!AO41</f>
        <v>0</v>
      </c>
      <c r="AP43" s="1059">
        <f>-'Richlands Pig Cost (2)'!AP41</f>
        <v>0</v>
      </c>
      <c r="AQ43" s="1059">
        <f>-'Richlands Pig Cost (2)'!AQ41</f>
        <v>0</v>
      </c>
      <c r="AR43" s="1059">
        <f>-'Richlands Pig Cost (2)'!AR41</f>
        <v>0</v>
      </c>
      <c r="AS43" s="1059">
        <f>-'Richlands Pig Cost (2)'!AS41</f>
        <v>0</v>
      </c>
      <c r="AT43" s="1059">
        <f>-'Richlands Pig Cost (2)'!AT41</f>
        <v>0</v>
      </c>
      <c r="AU43" s="1282">
        <f t="shared" si="21"/>
        <v>0</v>
      </c>
    </row>
    <row r="44" spans="1:51">
      <c r="A44" s="1769" t="str">
        <f t="shared" si="18"/>
        <v>Transfers Learig</v>
      </c>
      <c r="S44" s="1059">
        <f>S15*S34</f>
        <v>0</v>
      </c>
      <c r="T44" s="1059">
        <f t="shared" ref="T44:W44" si="22">T15*T34</f>
        <v>0</v>
      </c>
      <c r="U44" s="1059">
        <f t="shared" si="22"/>
        <v>0</v>
      </c>
      <c r="V44" s="1059">
        <f t="shared" si="22"/>
        <v>0</v>
      </c>
      <c r="W44" s="1059">
        <f t="shared" si="22"/>
        <v>0</v>
      </c>
      <c r="X44" s="1059">
        <f t="shared" ref="X44:AT44" si="23">X15*X34</f>
        <v>0</v>
      </c>
      <c r="Y44" s="1059">
        <f t="shared" si="23"/>
        <v>0</v>
      </c>
      <c r="Z44" s="1059">
        <f t="shared" si="23"/>
        <v>0</v>
      </c>
      <c r="AA44" s="1059">
        <f t="shared" si="23"/>
        <v>0</v>
      </c>
      <c r="AB44" s="1059">
        <f t="shared" si="23"/>
        <v>0</v>
      </c>
      <c r="AC44" s="1059">
        <f t="shared" si="23"/>
        <v>0</v>
      </c>
      <c r="AD44" s="1059">
        <f t="shared" si="23"/>
        <v>0</v>
      </c>
      <c r="AE44" s="1059">
        <f t="shared" si="23"/>
        <v>0</v>
      </c>
      <c r="AF44" s="1059">
        <f t="shared" si="23"/>
        <v>0</v>
      </c>
      <c r="AG44" s="1059">
        <f t="shared" si="23"/>
        <v>0</v>
      </c>
      <c r="AH44" s="1059">
        <f t="shared" si="23"/>
        <v>0</v>
      </c>
      <c r="AI44" s="1059">
        <f t="shared" si="23"/>
        <v>0</v>
      </c>
      <c r="AJ44" s="1059">
        <f t="shared" si="23"/>
        <v>0</v>
      </c>
      <c r="AK44" s="1059">
        <f t="shared" si="23"/>
        <v>0</v>
      </c>
      <c r="AL44" s="1059">
        <f t="shared" si="23"/>
        <v>0</v>
      </c>
      <c r="AM44" s="1059">
        <f t="shared" si="23"/>
        <v>0</v>
      </c>
      <c r="AN44" s="1059">
        <f t="shared" si="23"/>
        <v>0</v>
      </c>
      <c r="AO44" s="1059">
        <f t="shared" si="23"/>
        <v>0</v>
      </c>
      <c r="AP44" s="1059">
        <f t="shared" si="23"/>
        <v>0</v>
      </c>
      <c r="AQ44" s="1059">
        <f t="shared" si="23"/>
        <v>0</v>
      </c>
      <c r="AR44" s="1059">
        <f t="shared" si="23"/>
        <v>0</v>
      </c>
      <c r="AS44" s="1059">
        <f t="shared" si="23"/>
        <v>0</v>
      </c>
      <c r="AT44" s="1059">
        <f t="shared" si="23"/>
        <v>0</v>
      </c>
      <c r="AU44" s="1282">
        <f t="shared" si="21"/>
        <v>0</v>
      </c>
    </row>
    <row r="45" spans="1:51">
      <c r="A45" s="1769" t="str">
        <f t="shared" si="18"/>
        <v>Transfers Villa</v>
      </c>
      <c r="S45" s="1059">
        <f>S16*S34</f>
        <v>0</v>
      </c>
      <c r="T45" s="1059">
        <f t="shared" ref="T45:W45" si="24">T16*T34</f>
        <v>0</v>
      </c>
      <c r="U45" s="1059">
        <f t="shared" si="24"/>
        <v>0</v>
      </c>
      <c r="V45" s="1059">
        <f t="shared" si="24"/>
        <v>0</v>
      </c>
      <c r="W45" s="1059">
        <f t="shared" si="24"/>
        <v>0</v>
      </c>
      <c r="X45" s="1059">
        <f t="shared" ref="X45:AT45" si="25">X16*X34</f>
        <v>0</v>
      </c>
      <c r="Y45" s="1059">
        <f t="shared" si="25"/>
        <v>0</v>
      </c>
      <c r="Z45" s="1059">
        <f t="shared" si="25"/>
        <v>0</v>
      </c>
      <c r="AA45" s="1059">
        <f t="shared" si="25"/>
        <v>0</v>
      </c>
      <c r="AB45" s="1059">
        <f t="shared" si="25"/>
        <v>0</v>
      </c>
      <c r="AC45" s="1059">
        <f t="shared" si="25"/>
        <v>0</v>
      </c>
      <c r="AD45" s="1059">
        <f t="shared" si="25"/>
        <v>0</v>
      </c>
      <c r="AE45" s="1059">
        <f t="shared" si="25"/>
        <v>0</v>
      </c>
      <c r="AF45" s="1059">
        <f t="shared" si="25"/>
        <v>0</v>
      </c>
      <c r="AG45" s="1059">
        <f t="shared" si="25"/>
        <v>0</v>
      </c>
      <c r="AH45" s="1059">
        <f t="shared" si="25"/>
        <v>0</v>
      </c>
      <c r="AI45" s="1059">
        <f t="shared" si="25"/>
        <v>0</v>
      </c>
      <c r="AJ45" s="1059">
        <f t="shared" si="25"/>
        <v>0</v>
      </c>
      <c r="AK45" s="1059">
        <f t="shared" si="25"/>
        <v>0</v>
      </c>
      <c r="AL45" s="1059">
        <f t="shared" si="25"/>
        <v>0</v>
      </c>
      <c r="AM45" s="1059">
        <f t="shared" si="25"/>
        <v>0</v>
      </c>
      <c r="AN45" s="1059">
        <f t="shared" si="25"/>
        <v>0</v>
      </c>
      <c r="AO45" s="1059">
        <f t="shared" si="25"/>
        <v>0</v>
      </c>
      <c r="AP45" s="1059">
        <f t="shared" si="25"/>
        <v>0</v>
      </c>
      <c r="AQ45" s="1059">
        <f t="shared" si="25"/>
        <v>0</v>
      </c>
      <c r="AR45" s="1059">
        <f t="shared" si="25"/>
        <v>0</v>
      </c>
      <c r="AS45" s="1059">
        <f t="shared" si="25"/>
        <v>0</v>
      </c>
      <c r="AT45" s="1059">
        <f t="shared" si="25"/>
        <v>0</v>
      </c>
      <c r="AU45" s="1282">
        <f t="shared" si="21"/>
        <v>0</v>
      </c>
    </row>
    <row r="46" spans="1:51">
      <c r="A46" s="1769" t="str">
        <f t="shared" si="18"/>
        <v>Transfers  Boars</v>
      </c>
      <c r="S46" s="1059">
        <f>S17*S34</f>
        <v>0</v>
      </c>
      <c r="T46" s="1059">
        <f t="shared" ref="T46:W46" si="26">T17*T34</f>
        <v>0</v>
      </c>
      <c r="U46" s="1059">
        <f t="shared" si="26"/>
        <v>0</v>
      </c>
      <c r="V46" s="1059">
        <f t="shared" si="26"/>
        <v>0</v>
      </c>
      <c r="W46" s="1059">
        <f t="shared" si="26"/>
        <v>0</v>
      </c>
      <c r="X46" s="1059">
        <f t="shared" ref="X46:AT46" si="27">X17*X34</f>
        <v>0</v>
      </c>
      <c r="Y46" s="1059">
        <f t="shared" si="27"/>
        <v>0</v>
      </c>
      <c r="Z46" s="1059">
        <f t="shared" si="27"/>
        <v>0</v>
      </c>
      <c r="AA46" s="1059">
        <f t="shared" si="27"/>
        <v>0</v>
      </c>
      <c r="AB46" s="1059">
        <f t="shared" si="27"/>
        <v>0</v>
      </c>
      <c r="AC46" s="1059">
        <f t="shared" si="27"/>
        <v>0</v>
      </c>
      <c r="AD46" s="1059">
        <f t="shared" si="27"/>
        <v>0</v>
      </c>
      <c r="AE46" s="1059">
        <f t="shared" si="27"/>
        <v>0</v>
      </c>
      <c r="AF46" s="1059">
        <f t="shared" si="27"/>
        <v>0</v>
      </c>
      <c r="AG46" s="1059">
        <f t="shared" si="27"/>
        <v>0</v>
      </c>
      <c r="AH46" s="1059">
        <f t="shared" si="27"/>
        <v>0</v>
      </c>
      <c r="AI46" s="1059">
        <f t="shared" si="27"/>
        <v>0</v>
      </c>
      <c r="AJ46" s="1059">
        <f t="shared" si="27"/>
        <v>0</v>
      </c>
      <c r="AK46" s="1059">
        <f t="shared" si="27"/>
        <v>0</v>
      </c>
      <c r="AL46" s="1059">
        <f t="shared" si="27"/>
        <v>0</v>
      </c>
      <c r="AM46" s="1059">
        <f t="shared" si="27"/>
        <v>0</v>
      </c>
      <c r="AN46" s="1059">
        <f t="shared" si="27"/>
        <v>0</v>
      </c>
      <c r="AO46" s="1059">
        <f t="shared" si="27"/>
        <v>0</v>
      </c>
      <c r="AP46" s="1059">
        <f t="shared" si="27"/>
        <v>0</v>
      </c>
      <c r="AQ46" s="1059">
        <f t="shared" si="27"/>
        <v>0</v>
      </c>
      <c r="AR46" s="1059">
        <f t="shared" si="27"/>
        <v>0</v>
      </c>
      <c r="AS46" s="1059">
        <f t="shared" si="27"/>
        <v>0</v>
      </c>
      <c r="AT46" s="1059">
        <f t="shared" si="27"/>
        <v>0</v>
      </c>
      <c r="AU46" s="1282">
        <f t="shared" si="21"/>
        <v>0</v>
      </c>
    </row>
    <row r="47" spans="1:51">
      <c r="A47" s="1769" t="str">
        <f t="shared" si="18"/>
        <v>Transfers Grower</v>
      </c>
      <c r="S47" s="1059">
        <f>S18*S34</f>
        <v>0</v>
      </c>
      <c r="T47" s="1059">
        <f t="shared" ref="T47:W47" si="28">T18*T34</f>
        <v>0</v>
      </c>
      <c r="U47" s="1059">
        <f t="shared" si="28"/>
        <v>0</v>
      </c>
      <c r="V47" s="1059">
        <f t="shared" si="28"/>
        <v>0</v>
      </c>
      <c r="W47" s="1059">
        <f t="shared" si="28"/>
        <v>0</v>
      </c>
      <c r="X47" s="1059">
        <f t="shared" ref="X47:AT47" si="29">X18*X34</f>
        <v>0</v>
      </c>
      <c r="Y47" s="1059">
        <f t="shared" si="29"/>
        <v>0</v>
      </c>
      <c r="Z47" s="1059">
        <f t="shared" si="29"/>
        <v>0</v>
      </c>
      <c r="AA47" s="1059">
        <f t="shared" si="29"/>
        <v>0</v>
      </c>
      <c r="AB47" s="1059">
        <f t="shared" si="29"/>
        <v>0</v>
      </c>
      <c r="AC47" s="1059">
        <f t="shared" si="29"/>
        <v>0</v>
      </c>
      <c r="AD47" s="1059">
        <f t="shared" si="29"/>
        <v>0</v>
      </c>
      <c r="AE47" s="1059">
        <f t="shared" si="29"/>
        <v>0</v>
      </c>
      <c r="AF47" s="1059">
        <f t="shared" si="29"/>
        <v>0</v>
      </c>
      <c r="AG47" s="1059">
        <f t="shared" si="29"/>
        <v>0</v>
      </c>
      <c r="AH47" s="1059">
        <f t="shared" si="29"/>
        <v>0</v>
      </c>
      <c r="AI47" s="1059">
        <f t="shared" si="29"/>
        <v>0</v>
      </c>
      <c r="AJ47" s="1059">
        <f t="shared" si="29"/>
        <v>0</v>
      </c>
      <c r="AK47" s="1059">
        <f t="shared" si="29"/>
        <v>0</v>
      </c>
      <c r="AL47" s="1059">
        <f t="shared" si="29"/>
        <v>0</v>
      </c>
      <c r="AM47" s="1059">
        <f t="shared" si="29"/>
        <v>0</v>
      </c>
      <c r="AN47" s="1059">
        <f t="shared" si="29"/>
        <v>0</v>
      </c>
      <c r="AO47" s="1059">
        <f t="shared" si="29"/>
        <v>0</v>
      </c>
      <c r="AP47" s="1059">
        <f t="shared" si="29"/>
        <v>0</v>
      </c>
      <c r="AQ47" s="1059">
        <f t="shared" si="29"/>
        <v>0</v>
      </c>
      <c r="AR47" s="1059">
        <f t="shared" si="29"/>
        <v>0</v>
      </c>
      <c r="AS47" s="1059">
        <f t="shared" si="29"/>
        <v>0</v>
      </c>
      <c r="AT47" s="1059">
        <f t="shared" si="29"/>
        <v>0</v>
      </c>
      <c r="AU47" s="1282">
        <f t="shared" si="21"/>
        <v>0</v>
      </c>
    </row>
    <row r="48" spans="1:51">
      <c r="A48" s="1769" t="str">
        <f t="shared" si="18"/>
        <v>Transfer to Sick Block</v>
      </c>
      <c r="S48" s="1059">
        <f>S19*S34</f>
        <v>0</v>
      </c>
      <c r="T48" s="1059">
        <f t="shared" ref="T48:W48" si="30">T19*T34</f>
        <v>0</v>
      </c>
      <c r="U48" s="1059">
        <f t="shared" si="30"/>
        <v>0</v>
      </c>
      <c r="V48" s="1059">
        <f t="shared" si="30"/>
        <v>0</v>
      </c>
      <c r="W48" s="1059">
        <f t="shared" si="30"/>
        <v>0</v>
      </c>
      <c r="X48" s="1059">
        <f t="shared" ref="X48:AT48" si="31">X19*X34</f>
        <v>0</v>
      </c>
      <c r="Y48" s="1059">
        <f t="shared" si="31"/>
        <v>0</v>
      </c>
      <c r="Z48" s="1059">
        <f t="shared" si="31"/>
        <v>0</v>
      </c>
      <c r="AA48" s="1059">
        <f t="shared" si="31"/>
        <v>0</v>
      </c>
      <c r="AB48" s="1059">
        <f t="shared" si="31"/>
        <v>0</v>
      </c>
      <c r="AC48" s="1059">
        <f t="shared" si="31"/>
        <v>0</v>
      </c>
      <c r="AD48" s="1059">
        <f t="shared" si="31"/>
        <v>0</v>
      </c>
      <c r="AE48" s="1059">
        <f t="shared" si="31"/>
        <v>0</v>
      </c>
      <c r="AF48" s="1059">
        <f t="shared" si="31"/>
        <v>0</v>
      </c>
      <c r="AG48" s="1059">
        <f t="shared" si="31"/>
        <v>0</v>
      </c>
      <c r="AH48" s="1059">
        <f t="shared" si="31"/>
        <v>0</v>
      </c>
      <c r="AI48" s="1059">
        <f t="shared" si="31"/>
        <v>0</v>
      </c>
      <c r="AJ48" s="1059">
        <f t="shared" si="31"/>
        <v>0</v>
      </c>
      <c r="AK48" s="1059">
        <f t="shared" si="31"/>
        <v>0</v>
      </c>
      <c r="AL48" s="1059">
        <f t="shared" si="31"/>
        <v>0</v>
      </c>
      <c r="AM48" s="1059">
        <f t="shared" si="31"/>
        <v>0</v>
      </c>
      <c r="AN48" s="1059">
        <f t="shared" si="31"/>
        <v>0</v>
      </c>
      <c r="AO48" s="1059">
        <f t="shared" si="31"/>
        <v>0</v>
      </c>
      <c r="AP48" s="1059">
        <f t="shared" si="31"/>
        <v>0</v>
      </c>
      <c r="AQ48" s="1059">
        <f t="shared" si="31"/>
        <v>0</v>
      </c>
      <c r="AR48" s="1059">
        <f t="shared" si="31"/>
        <v>0</v>
      </c>
      <c r="AS48" s="1059">
        <f t="shared" si="31"/>
        <v>0</v>
      </c>
      <c r="AT48" s="1059">
        <f t="shared" si="31"/>
        <v>0</v>
      </c>
      <c r="AU48" s="1282">
        <f t="shared" si="21"/>
        <v>0</v>
      </c>
    </row>
    <row r="49" spans="1:59">
      <c r="A49" s="1769" t="str">
        <f t="shared" si="18"/>
        <v>Transfers Gilts</v>
      </c>
      <c r="S49" s="1059">
        <f>S20*S34</f>
        <v>0</v>
      </c>
      <c r="T49" s="1059">
        <f t="shared" ref="T49:W49" si="32">T20*T34</f>
        <v>0</v>
      </c>
      <c r="U49" s="1059">
        <f t="shared" si="32"/>
        <v>0</v>
      </c>
      <c r="V49" s="1059">
        <f t="shared" si="32"/>
        <v>0</v>
      </c>
      <c r="W49" s="1059">
        <f t="shared" si="32"/>
        <v>0</v>
      </c>
      <c r="X49" s="1059">
        <f t="shared" ref="X49:AT49" si="33">X20*X34</f>
        <v>0</v>
      </c>
      <c r="Y49" s="1059">
        <f t="shared" si="33"/>
        <v>0</v>
      </c>
      <c r="Z49" s="1059">
        <f t="shared" si="33"/>
        <v>0</v>
      </c>
      <c r="AA49" s="1059">
        <f t="shared" si="33"/>
        <v>0</v>
      </c>
      <c r="AB49" s="1059">
        <f t="shared" si="33"/>
        <v>0</v>
      </c>
      <c r="AC49" s="1059">
        <f t="shared" si="33"/>
        <v>0</v>
      </c>
      <c r="AD49" s="1059">
        <f t="shared" si="33"/>
        <v>0</v>
      </c>
      <c r="AE49" s="1059">
        <f t="shared" si="33"/>
        <v>0</v>
      </c>
      <c r="AF49" s="1059">
        <f t="shared" si="33"/>
        <v>0</v>
      </c>
      <c r="AG49" s="1059">
        <f t="shared" si="33"/>
        <v>0</v>
      </c>
      <c r="AH49" s="1059">
        <f t="shared" si="33"/>
        <v>0</v>
      </c>
      <c r="AI49" s="1059">
        <f t="shared" si="33"/>
        <v>0</v>
      </c>
      <c r="AJ49" s="1059">
        <f t="shared" si="33"/>
        <v>0</v>
      </c>
      <c r="AK49" s="1059">
        <f t="shared" si="33"/>
        <v>0</v>
      </c>
      <c r="AL49" s="1059">
        <f t="shared" si="33"/>
        <v>0</v>
      </c>
      <c r="AM49" s="1059">
        <f t="shared" si="33"/>
        <v>0</v>
      </c>
      <c r="AN49" s="1059">
        <f t="shared" si="33"/>
        <v>0</v>
      </c>
      <c r="AO49" s="1059">
        <f t="shared" si="33"/>
        <v>0</v>
      </c>
      <c r="AP49" s="1059">
        <f t="shared" si="33"/>
        <v>0</v>
      </c>
      <c r="AQ49" s="1059">
        <f t="shared" si="33"/>
        <v>0</v>
      </c>
      <c r="AR49" s="1059">
        <f t="shared" si="33"/>
        <v>0</v>
      </c>
      <c r="AS49" s="1059">
        <f t="shared" si="33"/>
        <v>0</v>
      </c>
      <c r="AT49" s="1059">
        <f t="shared" si="33"/>
        <v>0</v>
      </c>
      <c r="AU49" s="1282">
        <f t="shared" si="21"/>
        <v>0</v>
      </c>
    </row>
    <row r="50" spans="1:59">
      <c r="A50" s="1769" t="str">
        <f t="shared" si="18"/>
        <v>Mortality</v>
      </c>
      <c r="S50" s="1059">
        <f>S21*S39</f>
        <v>-198424.8474128666</v>
      </c>
      <c r="T50" s="1059">
        <f t="shared" ref="T50:W50" si="34">T21*T39</f>
        <v>-266196.74015828694</v>
      </c>
      <c r="U50" s="1059">
        <f t="shared" si="34"/>
        <v>-406007.58092873823</v>
      </c>
      <c r="V50" s="1059">
        <f t="shared" si="34"/>
        <v>-382725.47602192743</v>
      </c>
      <c r="W50" s="1059">
        <f t="shared" si="34"/>
        <v>-811202.45187294646</v>
      </c>
      <c r="X50" s="1059">
        <f t="shared" ref="X50:AT50" si="35">X21*X39</f>
        <v>-299425.01872737793</v>
      </c>
      <c r="Y50" s="1059">
        <f t="shared" si="35"/>
        <v>-157838.57241674155</v>
      </c>
      <c r="Z50" s="1059">
        <f t="shared" si="35"/>
        <v>-145779.06526893374</v>
      </c>
      <c r="AA50" s="1059">
        <f t="shared" si="35"/>
        <v>-28010.761304666456</v>
      </c>
      <c r="AB50" s="1059">
        <f t="shared" si="35"/>
        <v>-28556.823275282775</v>
      </c>
      <c r="AC50" s="1059">
        <f t="shared" si="35"/>
        <v>0</v>
      </c>
      <c r="AD50" s="1059">
        <f t="shared" si="35"/>
        <v>-20051.435242273063</v>
      </c>
      <c r="AE50" s="1059">
        <f t="shared" si="35"/>
        <v>-78301.493434396631</v>
      </c>
      <c r="AF50" s="1059">
        <f t="shared" si="35"/>
        <v>-24441.693319987604</v>
      </c>
      <c r="AG50" s="1059">
        <f t="shared" si="35"/>
        <v>-31682.529501263994</v>
      </c>
      <c r="AH50" s="1059">
        <f t="shared" si="35"/>
        <v>-244293.96039689059</v>
      </c>
      <c r="AI50" s="1059">
        <f t="shared" si="35"/>
        <v>0</v>
      </c>
      <c r="AJ50" s="1059">
        <f t="shared" si="35"/>
        <v>-105226.25514929829</v>
      </c>
      <c r="AK50" s="1059">
        <f t="shared" si="35"/>
        <v>-293958.2288158774</v>
      </c>
      <c r="AL50" s="1059">
        <f t="shared" si="35"/>
        <v>-194772.89440593956</v>
      </c>
      <c r="AM50" s="1059">
        <f t="shared" si="35"/>
        <v>-249589.97009942331</v>
      </c>
      <c r="AN50" s="1059">
        <f t="shared" si="35"/>
        <v>-263128.33513007127</v>
      </c>
      <c r="AO50" s="1059">
        <f t="shared" si="35"/>
        <v>0</v>
      </c>
      <c r="AP50" s="1059">
        <f t="shared" si="35"/>
        <v>-60901.681621614487</v>
      </c>
      <c r="AQ50" s="1059">
        <f t="shared" si="35"/>
        <v>-192810.16885340959</v>
      </c>
      <c r="AR50" s="1059">
        <f t="shared" si="35"/>
        <v>0</v>
      </c>
      <c r="AS50" s="1059">
        <f t="shared" si="35"/>
        <v>0</v>
      </c>
      <c r="AT50" s="1059">
        <f t="shared" si="35"/>
        <v>0</v>
      </c>
      <c r="AU50" s="1282">
        <f t="shared" si="21"/>
        <v>-4483325.9833582137</v>
      </c>
    </row>
    <row r="51" spans="1:59" s="1059" customFormat="1">
      <c r="A51" s="1769" t="str">
        <f t="shared" si="18"/>
        <v>Rations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059">
        <f>S22*S39</f>
        <v>0</v>
      </c>
      <c r="T51" s="1059">
        <f t="shared" ref="T51:W51" si="36">T22*T39</f>
        <v>0</v>
      </c>
      <c r="U51" s="1059">
        <f t="shared" si="36"/>
        <v>0</v>
      </c>
      <c r="V51" s="1059">
        <f t="shared" si="36"/>
        <v>0</v>
      </c>
      <c r="W51" s="1059">
        <f t="shared" si="36"/>
        <v>0</v>
      </c>
      <c r="X51" s="1059">
        <f t="shared" ref="X51:AT51" si="37">X22*X39</f>
        <v>0</v>
      </c>
      <c r="Y51" s="1059">
        <f t="shared" si="37"/>
        <v>0</v>
      </c>
      <c r="Z51" s="1059">
        <f t="shared" si="37"/>
        <v>0</v>
      </c>
      <c r="AA51" s="1059">
        <f t="shared" si="37"/>
        <v>0</v>
      </c>
      <c r="AB51" s="1059">
        <f t="shared" si="37"/>
        <v>0</v>
      </c>
      <c r="AC51" s="1059">
        <f t="shared" si="37"/>
        <v>0</v>
      </c>
      <c r="AD51" s="1059">
        <f t="shared" si="37"/>
        <v>0</v>
      </c>
      <c r="AE51" s="1059">
        <f t="shared" si="37"/>
        <v>0</v>
      </c>
      <c r="AF51" s="1059">
        <f t="shared" si="37"/>
        <v>-24441.693319987604</v>
      </c>
      <c r="AG51" s="1059">
        <f t="shared" si="37"/>
        <v>0</v>
      </c>
      <c r="AH51" s="1059">
        <f t="shared" si="37"/>
        <v>0</v>
      </c>
      <c r="AI51" s="1059">
        <f t="shared" si="37"/>
        <v>0</v>
      </c>
      <c r="AJ51" s="1059">
        <f t="shared" si="37"/>
        <v>-35075.41838309943</v>
      </c>
      <c r="AK51" s="1059">
        <f t="shared" si="37"/>
        <v>-125982.09806394746</v>
      </c>
      <c r="AL51" s="1059">
        <f t="shared" si="37"/>
        <v>0</v>
      </c>
      <c r="AM51" s="1059">
        <f t="shared" si="37"/>
        <v>-374384.95514913497</v>
      </c>
      <c r="AN51" s="1059">
        <f t="shared" si="37"/>
        <v>-65782.083782517817</v>
      </c>
      <c r="AO51" s="1059">
        <f t="shared" si="37"/>
        <v>-316523.11295967165</v>
      </c>
      <c r="AP51" s="1059">
        <f t="shared" si="37"/>
        <v>-243606.72648645795</v>
      </c>
      <c r="AQ51" s="1059">
        <f t="shared" si="37"/>
        <v>-257080.22513787946</v>
      </c>
      <c r="AR51" s="1059">
        <f t="shared" si="37"/>
        <v>0</v>
      </c>
      <c r="AS51" s="1059">
        <f t="shared" si="37"/>
        <v>0</v>
      </c>
      <c r="AT51" s="1059">
        <f t="shared" si="37"/>
        <v>0</v>
      </c>
      <c r="AU51" s="1282">
        <f t="shared" si="21"/>
        <v>-1442876.3132826963</v>
      </c>
      <c r="AV51" s="142"/>
      <c r="AW51" s="142"/>
      <c r="AX51" s="131"/>
      <c r="AY51" s="142"/>
      <c r="AZ51" s="142"/>
      <c r="BA51" s="142"/>
      <c r="BC51" s="142"/>
      <c r="BD51" s="142"/>
      <c r="BE51" s="142"/>
      <c r="BF51" s="142"/>
      <c r="BG51" s="142"/>
    </row>
    <row r="52" spans="1:59" s="1059" customFormat="1">
      <c r="A52" s="1769" t="str">
        <f t="shared" si="18"/>
        <v>Pet Food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059">
        <f>S23*S39</f>
        <v>0</v>
      </c>
      <c r="T52" s="1059">
        <f t="shared" ref="T52:W52" si="38">T23*T39</f>
        <v>0</v>
      </c>
      <c r="U52" s="1059">
        <f t="shared" si="38"/>
        <v>0</v>
      </c>
      <c r="V52" s="1059">
        <f t="shared" si="38"/>
        <v>0</v>
      </c>
      <c r="W52" s="1059">
        <f t="shared" si="38"/>
        <v>0</v>
      </c>
      <c r="X52" s="1059">
        <f t="shared" ref="X52:AT52" si="39">X23*X39</f>
        <v>0</v>
      </c>
      <c r="Y52" s="1059">
        <f t="shared" si="39"/>
        <v>0</v>
      </c>
      <c r="Z52" s="1059">
        <f t="shared" si="39"/>
        <v>0</v>
      </c>
      <c r="AA52" s="1059">
        <f t="shared" si="39"/>
        <v>0</v>
      </c>
      <c r="AB52" s="1059">
        <f t="shared" si="39"/>
        <v>0</v>
      </c>
      <c r="AC52" s="1059">
        <f t="shared" si="39"/>
        <v>0</v>
      </c>
      <c r="AD52" s="1059">
        <f t="shared" si="39"/>
        <v>0</v>
      </c>
      <c r="AE52" s="1059">
        <f t="shared" si="39"/>
        <v>0</v>
      </c>
      <c r="AF52" s="1059">
        <f t="shared" si="39"/>
        <v>0</v>
      </c>
      <c r="AG52" s="1059">
        <f t="shared" si="39"/>
        <v>0</v>
      </c>
      <c r="AH52" s="1059">
        <f t="shared" si="39"/>
        <v>0</v>
      </c>
      <c r="AI52" s="1059">
        <f t="shared" si="39"/>
        <v>0</v>
      </c>
      <c r="AJ52" s="1059">
        <f t="shared" si="39"/>
        <v>0</v>
      </c>
      <c r="AK52" s="1059">
        <f t="shared" si="39"/>
        <v>0</v>
      </c>
      <c r="AL52" s="1059">
        <f t="shared" si="39"/>
        <v>0</v>
      </c>
      <c r="AM52" s="1059">
        <f t="shared" si="39"/>
        <v>0</v>
      </c>
      <c r="AN52" s="1059">
        <f t="shared" si="39"/>
        <v>0</v>
      </c>
      <c r="AO52" s="1059">
        <f t="shared" si="39"/>
        <v>0</v>
      </c>
      <c r="AP52" s="1059">
        <f t="shared" si="39"/>
        <v>0</v>
      </c>
      <c r="AQ52" s="1059">
        <f t="shared" si="39"/>
        <v>0</v>
      </c>
      <c r="AR52" s="1059">
        <f t="shared" si="39"/>
        <v>0</v>
      </c>
      <c r="AS52" s="1059">
        <f t="shared" si="39"/>
        <v>0</v>
      </c>
      <c r="AT52" s="1059">
        <f t="shared" si="39"/>
        <v>0</v>
      </c>
      <c r="AU52" s="1282">
        <f t="shared" si="21"/>
        <v>0</v>
      </c>
      <c r="AV52" s="142"/>
      <c r="AW52" s="142"/>
      <c r="AX52" s="131"/>
      <c r="AY52" s="817"/>
      <c r="AZ52" s="818"/>
      <c r="BA52" s="1091"/>
      <c r="BC52" s="142"/>
      <c r="BD52" s="142"/>
      <c r="BE52" s="142"/>
      <c r="BF52" s="142"/>
      <c r="BG52" s="142"/>
    </row>
    <row r="53" spans="1:59" s="1059" customFormat="1">
      <c r="A53" s="1769" t="str">
        <f t="shared" si="18"/>
        <v>Farm Sales</v>
      </c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059">
        <f>S24*S39</f>
        <v>0</v>
      </c>
      <c r="T53" s="1059">
        <f t="shared" ref="T53:W53" si="40">T24*T39</f>
        <v>0</v>
      </c>
      <c r="U53" s="1059">
        <f t="shared" si="40"/>
        <v>0</v>
      </c>
      <c r="V53" s="1059">
        <f t="shared" si="40"/>
        <v>0</v>
      </c>
      <c r="W53" s="1059">
        <f t="shared" si="40"/>
        <v>0</v>
      </c>
      <c r="X53" s="1059">
        <f t="shared" ref="X53:AT53" si="41">X24*X39</f>
        <v>0</v>
      </c>
      <c r="Y53" s="1059">
        <f t="shared" si="41"/>
        <v>0</v>
      </c>
      <c r="Z53" s="1059">
        <f t="shared" si="41"/>
        <v>0</v>
      </c>
      <c r="AA53" s="1059">
        <f t="shared" si="41"/>
        <v>0</v>
      </c>
      <c r="AB53" s="1059">
        <f t="shared" si="41"/>
        <v>0</v>
      </c>
      <c r="AC53" s="1059">
        <f t="shared" si="41"/>
        <v>0</v>
      </c>
      <c r="AD53" s="1059">
        <f t="shared" si="41"/>
        <v>0</v>
      </c>
      <c r="AE53" s="1059">
        <f t="shared" si="41"/>
        <v>0</v>
      </c>
      <c r="AF53" s="1059">
        <f t="shared" si="41"/>
        <v>0</v>
      </c>
      <c r="AG53" s="1059">
        <f t="shared" si="41"/>
        <v>0</v>
      </c>
      <c r="AH53" s="1059">
        <f t="shared" si="41"/>
        <v>0</v>
      </c>
      <c r="AI53" s="1059">
        <f t="shared" si="41"/>
        <v>0</v>
      </c>
      <c r="AJ53" s="1059">
        <f t="shared" si="41"/>
        <v>0</v>
      </c>
      <c r="AK53" s="1059">
        <f t="shared" si="41"/>
        <v>0</v>
      </c>
      <c r="AL53" s="1059">
        <f t="shared" si="41"/>
        <v>0</v>
      </c>
      <c r="AM53" s="1059">
        <f t="shared" si="41"/>
        <v>0</v>
      </c>
      <c r="AN53" s="1059">
        <f t="shared" si="41"/>
        <v>0</v>
      </c>
      <c r="AO53" s="1059">
        <f t="shared" si="41"/>
        <v>0</v>
      </c>
      <c r="AP53" s="1059">
        <f t="shared" si="41"/>
        <v>0</v>
      </c>
      <c r="AQ53" s="1059">
        <f t="shared" si="41"/>
        <v>0</v>
      </c>
      <c r="AR53" s="1059">
        <f t="shared" si="41"/>
        <v>0</v>
      </c>
      <c r="AS53" s="1059">
        <f t="shared" si="41"/>
        <v>0</v>
      </c>
      <c r="AT53" s="1059">
        <f t="shared" si="41"/>
        <v>0</v>
      </c>
      <c r="AU53" s="1282">
        <f t="shared" si="21"/>
        <v>0</v>
      </c>
      <c r="AV53" s="142"/>
      <c r="AW53" s="142"/>
      <c r="AX53" s="131"/>
      <c r="AY53" s="142"/>
      <c r="AZ53" s="142"/>
      <c r="BA53" s="142"/>
      <c r="BC53" s="142"/>
      <c r="BD53" s="142"/>
      <c r="BE53" s="142"/>
      <c r="BF53" s="142"/>
      <c r="BG53" s="142"/>
    </row>
    <row r="54" spans="1:59" s="1059" customFormat="1" ht="16.149999999999999" thickBot="1">
      <c r="A54" s="1769" t="str">
        <f t="shared" si="18"/>
        <v xml:space="preserve"> Colcom Sales</v>
      </c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059">
        <f>S25*S34</f>
        <v>0</v>
      </c>
      <c r="T54" s="1059">
        <f t="shared" ref="T54:W54" si="42">T25*T34</f>
        <v>0</v>
      </c>
      <c r="U54" s="1059">
        <f t="shared" si="42"/>
        <v>0</v>
      </c>
      <c r="V54" s="1059">
        <f t="shared" si="42"/>
        <v>0</v>
      </c>
      <c r="W54" s="1059">
        <f t="shared" si="42"/>
        <v>0</v>
      </c>
      <c r="X54" s="1059">
        <f t="shared" ref="X54:AT54" si="43">X25*X34</f>
        <v>0</v>
      </c>
      <c r="Y54" s="1059">
        <f t="shared" si="43"/>
        <v>0</v>
      </c>
      <c r="Z54" s="1059">
        <f t="shared" si="43"/>
        <v>0</v>
      </c>
      <c r="AA54" s="1059">
        <f t="shared" si="43"/>
        <v>0</v>
      </c>
      <c r="AB54" s="1059">
        <f t="shared" si="43"/>
        <v>0</v>
      </c>
      <c r="AC54" s="1059">
        <f t="shared" si="43"/>
        <v>0</v>
      </c>
      <c r="AD54" s="1059">
        <f t="shared" si="43"/>
        <v>0</v>
      </c>
      <c r="AE54" s="1059">
        <f t="shared" si="43"/>
        <v>0</v>
      </c>
      <c r="AF54" s="1059">
        <f t="shared" si="43"/>
        <v>0</v>
      </c>
      <c r="AG54" s="1059">
        <f t="shared" si="43"/>
        <v>0</v>
      </c>
      <c r="AH54" s="1059">
        <f t="shared" si="43"/>
        <v>0</v>
      </c>
      <c r="AI54" s="1059">
        <f t="shared" si="43"/>
        <v>0</v>
      </c>
      <c r="AJ54" s="1059">
        <f t="shared" si="43"/>
        <v>0</v>
      </c>
      <c r="AK54" s="1059">
        <f t="shared" si="43"/>
        <v>0</v>
      </c>
      <c r="AL54" s="1059">
        <f t="shared" si="43"/>
        <v>0</v>
      </c>
      <c r="AM54" s="1059">
        <f t="shared" si="43"/>
        <v>0</v>
      </c>
      <c r="AN54" s="1059">
        <f t="shared" si="43"/>
        <v>0</v>
      </c>
      <c r="AO54" s="1059">
        <f t="shared" si="43"/>
        <v>-24108510.43709499</v>
      </c>
      <c r="AP54" s="1059">
        <f t="shared" si="43"/>
        <v>-27466658.411348134</v>
      </c>
      <c r="AQ54" s="1059">
        <f t="shared" si="43"/>
        <v>-28857255.27172697</v>
      </c>
      <c r="AR54" s="1059">
        <f t="shared" si="43"/>
        <v>-31662590.039586853</v>
      </c>
      <c r="AS54" s="1059">
        <f t="shared" si="43"/>
        <v>0</v>
      </c>
      <c r="AT54" s="1059">
        <f t="shared" si="43"/>
        <v>0</v>
      </c>
      <c r="AU54" s="1282">
        <f t="shared" si="21"/>
        <v>-112095014.15975694</v>
      </c>
      <c r="AV54" s="142"/>
      <c r="AW54" s="142"/>
      <c r="AX54" s="131"/>
      <c r="AY54" s="142"/>
      <c r="AZ54" s="142"/>
      <c r="BA54" s="142"/>
      <c r="BC54" s="142"/>
      <c r="BD54" s="142"/>
      <c r="BE54" s="142"/>
      <c r="BF54" s="142"/>
      <c r="BG54" s="142"/>
    </row>
    <row r="55" spans="1:59" s="1059" customFormat="1" ht="16.149999999999999" thickBot="1">
      <c r="A55" s="1070" t="s">
        <v>1810</v>
      </c>
      <c r="B55" s="1555">
        <f t="shared" ref="B55:AT55" si="44">SUM(B41:B54)+B38</f>
        <v>2968.0493273542597</v>
      </c>
      <c r="C55" s="1555">
        <f t="shared" si="44"/>
        <v>2968.0493273542597</v>
      </c>
      <c r="D55" s="1555">
        <f t="shared" si="44"/>
        <v>2968.0493273542597</v>
      </c>
      <c r="E55" s="1555">
        <f t="shared" si="44"/>
        <v>2968.0493273542597</v>
      </c>
      <c r="F55" s="1555">
        <f t="shared" si="44"/>
        <v>2730.6053811659185</v>
      </c>
      <c r="G55" s="1555">
        <f t="shared" si="44"/>
        <v>939471.55500055826</v>
      </c>
      <c r="H55" s="1555">
        <f t="shared" si="44"/>
        <v>939471.55500055826</v>
      </c>
      <c r="I55" s="1555">
        <f t="shared" si="44"/>
        <v>939471.55500055826</v>
      </c>
      <c r="J55" s="1555">
        <f t="shared" si="44"/>
        <v>939471.55500055826</v>
      </c>
      <c r="K55" s="1555">
        <f t="shared" si="44"/>
        <v>1836647.6847580299</v>
      </c>
      <c r="L55" s="1555">
        <f t="shared" si="44"/>
        <v>1836647.6847580299</v>
      </c>
      <c r="M55" s="1555">
        <f t="shared" si="44"/>
        <v>1836647.6847580299</v>
      </c>
      <c r="N55" s="1555">
        <f t="shared" si="44"/>
        <v>1837241.2946235009</v>
      </c>
      <c r="O55" s="1555">
        <f t="shared" si="44"/>
        <v>3016488.0188528881</v>
      </c>
      <c r="P55" s="1555">
        <f t="shared" si="44"/>
        <v>3016488.0188528881</v>
      </c>
      <c r="Q55" s="1555">
        <f t="shared" si="44"/>
        <v>3016488.0188528881</v>
      </c>
      <c r="R55" s="1555">
        <f t="shared" si="44"/>
        <v>3019099.9022609596</v>
      </c>
      <c r="S55" s="1555">
        <f t="shared" si="44"/>
        <v>2910231.0953887105</v>
      </c>
      <c r="T55" s="1555">
        <f t="shared" si="44"/>
        <v>3738854.2140413937</v>
      </c>
      <c r="U55" s="1555">
        <f t="shared" si="44"/>
        <v>3151900.9572099415</v>
      </c>
      <c r="V55" s="1555">
        <f t="shared" si="44"/>
        <v>3980344.9506280455</v>
      </c>
      <c r="W55" s="1555">
        <f t="shared" si="44"/>
        <v>3664896.7914974187</v>
      </c>
      <c r="X55" s="1555">
        <f t="shared" si="44"/>
        <v>4254384.6530814925</v>
      </c>
      <c r="Y55" s="1555">
        <f t="shared" si="44"/>
        <v>3698905.0979302623</v>
      </c>
      <c r="Z55" s="1555">
        <f t="shared" si="44"/>
        <v>2642269.0419585248</v>
      </c>
      <c r="AA55" s="1555">
        <f t="shared" si="44"/>
        <v>6920459.294598504</v>
      </c>
      <c r="AB55" s="1555">
        <f t="shared" si="44"/>
        <v>5787516.1837906428</v>
      </c>
      <c r="AC55" s="1555">
        <f t="shared" si="44"/>
        <v>10262248.591158604</v>
      </c>
      <c r="AD55" s="1555">
        <f t="shared" si="44"/>
        <v>9504380.3048374318</v>
      </c>
      <c r="AE55" s="1555">
        <f t="shared" si="44"/>
        <v>12684841.936372254</v>
      </c>
      <c r="AF55" s="1555">
        <f t="shared" si="44"/>
        <v>11536479.247034149</v>
      </c>
      <c r="AG55" s="1555">
        <f t="shared" si="44"/>
        <v>14764058.74758902</v>
      </c>
      <c r="AH55" s="1555">
        <f t="shared" si="44"/>
        <v>16088502.248995224</v>
      </c>
      <c r="AI55" s="1555">
        <f t="shared" si="44"/>
        <v>18256132.126656055</v>
      </c>
      <c r="AJ55" s="1555">
        <f t="shared" si="44"/>
        <v>16134692.456225738</v>
      </c>
      <c r="AK55" s="1555">
        <f t="shared" si="44"/>
        <v>19191272.938407995</v>
      </c>
      <c r="AL55" s="1555">
        <f t="shared" si="44"/>
        <v>22350189.633081567</v>
      </c>
      <c r="AM55" s="1555">
        <f t="shared" si="44"/>
        <v>28078871.636185121</v>
      </c>
      <c r="AN55" s="1555">
        <f t="shared" si="44"/>
        <v>23813114.329271451</v>
      </c>
      <c r="AO55" s="1555">
        <f t="shared" si="44"/>
        <v>-5064369.8073547482</v>
      </c>
      <c r="AP55" s="1555">
        <f t="shared" si="44"/>
        <v>-609016.81621614844</v>
      </c>
      <c r="AQ55" s="1555">
        <f t="shared" si="44"/>
        <v>-1735291.5196806863</v>
      </c>
      <c r="AR55" s="1555">
        <f t="shared" si="44"/>
        <v>-779168.88240594044</v>
      </c>
      <c r="AS55" s="1555">
        <f t="shared" si="44"/>
        <v>33480661.363965567</v>
      </c>
      <c r="AT55" s="1555">
        <f t="shared" si="44"/>
        <v>0</v>
      </c>
      <c r="AU55" s="1556">
        <f>IFERROR(SUM(AU41:AU54)+#REF!,0)</f>
        <v>0</v>
      </c>
      <c r="AV55" s="1066"/>
      <c r="AW55" s="1066"/>
      <c r="AX55" s="1066"/>
      <c r="AY55" s="1066"/>
      <c r="AZ55" s="142"/>
      <c r="BA55" s="142"/>
      <c r="BC55" s="142"/>
      <c r="BD55" s="142"/>
      <c r="BE55" s="142"/>
      <c r="BF55" s="142"/>
      <c r="BG55" s="142"/>
    </row>
    <row r="56" spans="1:59" s="1059" customFormat="1">
      <c r="A56" s="1075"/>
      <c r="B56" s="1061"/>
      <c r="C56" s="1061"/>
      <c r="D56" s="1075"/>
      <c r="E56" s="1061"/>
      <c r="F56" s="1075"/>
      <c r="G56" s="1061"/>
      <c r="H56" s="1061"/>
      <c r="I56" s="1061"/>
      <c r="J56" s="1061"/>
      <c r="K56" s="1061"/>
      <c r="L56" s="1061"/>
      <c r="M56" s="1061"/>
      <c r="N56" s="1061"/>
      <c r="O56" s="1061"/>
      <c r="P56" s="1061"/>
      <c r="Q56" s="1061"/>
      <c r="R56" s="1061"/>
      <c r="S56" s="1061"/>
      <c r="T56" s="1061"/>
      <c r="U56" s="1061"/>
      <c r="V56" s="1061"/>
      <c r="W56" s="1061"/>
      <c r="X56" s="1061"/>
      <c r="Y56" s="1061"/>
      <c r="Z56" s="1061"/>
      <c r="AA56" s="1061"/>
      <c r="AB56" s="1061"/>
      <c r="AC56" s="1061"/>
      <c r="AD56" s="1061"/>
      <c r="AE56" s="1061"/>
      <c r="AF56" s="1061"/>
      <c r="AG56" s="1061"/>
      <c r="AH56" s="1061"/>
      <c r="AI56" s="1061"/>
      <c r="AJ56" s="1061"/>
      <c r="AK56" s="1061"/>
      <c r="AL56" s="1061"/>
      <c r="AM56" s="1061"/>
      <c r="AN56" s="1061"/>
      <c r="AO56" s="1061"/>
      <c r="AP56" s="1061"/>
      <c r="AQ56" s="1061"/>
      <c r="AR56" s="1061"/>
      <c r="AS56" s="1061"/>
      <c r="AT56" s="1061"/>
      <c r="AU56" s="1062"/>
      <c r="AV56" s="1061"/>
      <c r="AW56" s="1061"/>
      <c r="AX56" s="1089"/>
      <c r="AY56" s="142"/>
      <c r="AZ56" s="142"/>
      <c r="BA56" s="142"/>
      <c r="BC56" s="142"/>
      <c r="BD56" s="142"/>
      <c r="BE56" s="142"/>
      <c r="BF56" s="142"/>
      <c r="BG56" s="142"/>
    </row>
    <row r="57" spans="1:59" s="1059" customFormat="1">
      <c r="A57" s="1075" t="s">
        <v>1811</v>
      </c>
      <c r="B57" s="1061"/>
      <c r="C57" s="1061"/>
      <c r="D57" s="1075" t="s">
        <v>1812</v>
      </c>
      <c r="E57" s="1061"/>
      <c r="F57" s="1075" t="s">
        <v>62</v>
      </c>
      <c r="G57" s="1061"/>
      <c r="H57" s="1061"/>
      <c r="I57" s="1061"/>
      <c r="J57" s="1061"/>
      <c r="K57" s="1061"/>
      <c r="L57" s="1061"/>
      <c r="M57" s="1061"/>
      <c r="N57" s="1061"/>
      <c r="O57" s="1061"/>
      <c r="P57" s="1061"/>
      <c r="Q57" s="1061"/>
      <c r="R57" s="1061"/>
      <c r="S57" s="1061"/>
      <c r="T57" s="1061"/>
      <c r="U57" s="1061"/>
      <c r="V57" s="1061"/>
      <c r="W57" s="1061"/>
      <c r="X57" s="1061"/>
      <c r="Y57" s="1061"/>
      <c r="Z57" s="1061"/>
      <c r="AA57" s="1061"/>
      <c r="AB57" s="1061"/>
      <c r="AC57" s="1061"/>
      <c r="AD57" s="1061"/>
      <c r="AE57" s="1061"/>
      <c r="AF57" s="1061"/>
      <c r="AG57" s="1061"/>
      <c r="AH57" s="1061"/>
      <c r="AI57" s="1061"/>
      <c r="AJ57" s="1061"/>
      <c r="AK57" s="1061"/>
      <c r="AL57" s="1061"/>
      <c r="AM57" s="1061"/>
      <c r="AN57" s="1061"/>
      <c r="AO57" s="1061"/>
      <c r="AP57" s="1061"/>
      <c r="AQ57" s="1061"/>
      <c r="AR57" s="1061"/>
      <c r="AS57" s="1061"/>
      <c r="AT57" s="1061"/>
      <c r="AU57" s="1062"/>
      <c r="AV57" s="1061"/>
      <c r="AW57" s="1061"/>
      <c r="AX57" s="1089"/>
      <c r="AY57" s="142"/>
      <c r="AZ57" s="142"/>
      <c r="BA57" s="142"/>
      <c r="BC57" s="142"/>
      <c r="BD57" s="142"/>
      <c r="BE57" s="142"/>
      <c r="BF57" s="142"/>
      <c r="BG57" s="142"/>
    </row>
    <row r="58" spans="1:59" s="1059" customFormat="1">
      <c r="A58" s="1061" t="s">
        <v>1813</v>
      </c>
      <c r="B58" s="1064">
        <f>+'Feed Cost &amp; Allocation'!T75</f>
        <v>0</v>
      </c>
      <c r="C58" s="1061"/>
      <c r="D58" s="1061"/>
      <c r="E58" s="1061"/>
      <c r="F58" s="1061"/>
      <c r="G58" s="1061"/>
      <c r="H58" s="1061"/>
      <c r="I58" s="1061"/>
      <c r="J58" s="1061"/>
      <c r="K58" s="1061"/>
      <c r="L58" s="1061"/>
      <c r="M58" s="1061"/>
      <c r="N58" s="1061"/>
      <c r="O58" s="1061"/>
      <c r="P58" s="1061"/>
      <c r="Q58" s="1061"/>
      <c r="R58" s="1061"/>
      <c r="S58" s="1061"/>
      <c r="T58" s="1061"/>
      <c r="U58" s="1061"/>
      <c r="V58" s="1061"/>
      <c r="W58" s="1061"/>
      <c r="X58" s="1061"/>
      <c r="Y58" s="1061"/>
      <c r="Z58" s="1061"/>
      <c r="AA58" s="1061"/>
      <c r="AB58" s="1061"/>
      <c r="AC58" s="1061"/>
      <c r="AD58" s="1061"/>
      <c r="AE58" s="1061"/>
      <c r="AF58" s="1061"/>
      <c r="AG58" s="1061"/>
      <c r="AH58" s="1061"/>
      <c r="AI58" s="1061"/>
      <c r="AJ58" s="1061"/>
      <c r="AK58" s="1061"/>
      <c r="AL58" s="1061"/>
      <c r="AM58" s="1061"/>
      <c r="AN58" s="1061"/>
      <c r="AO58" s="1061"/>
      <c r="AP58" s="1061"/>
      <c r="AQ58" s="1061"/>
      <c r="AR58" s="1061"/>
      <c r="AS58" s="1061"/>
      <c r="AT58" s="1061"/>
      <c r="AU58" s="1062"/>
      <c r="AV58" s="1061"/>
      <c r="AW58" s="1061"/>
      <c r="AX58" s="1089"/>
      <c r="AY58" s="142"/>
      <c r="AZ58" s="142"/>
      <c r="BA58" s="142"/>
      <c r="BC58" s="142"/>
      <c r="BD58" s="142"/>
      <c r="BE58" s="142"/>
      <c r="BF58" s="142"/>
      <c r="BG58" s="142"/>
    </row>
    <row r="59" spans="1:59" s="1059" customFormat="1">
      <c r="A59" s="1061" t="s">
        <v>60</v>
      </c>
      <c r="B59" s="1064">
        <f>+'Feed Cost &amp; Allocation'!K75</f>
        <v>42597</v>
      </c>
      <c r="C59" s="1061"/>
      <c r="D59" s="1064">
        <f>+'Feed Cost &amp; Allocation'!L75</f>
        <v>0</v>
      </c>
      <c r="E59" s="1061"/>
      <c r="F59" s="1064">
        <f>+'Feed Cost &amp; Allocation'!C75</f>
        <v>41585</v>
      </c>
      <c r="G59" s="1061"/>
      <c r="H59" s="1061"/>
      <c r="I59" s="1061"/>
      <c r="J59" s="1061"/>
      <c r="K59" s="1061"/>
      <c r="L59" s="1061"/>
      <c r="M59" s="1061"/>
      <c r="N59" s="1061"/>
      <c r="O59" s="1061"/>
      <c r="P59" s="1061"/>
      <c r="Q59" s="1061"/>
      <c r="R59" s="1061"/>
      <c r="S59" s="1061"/>
      <c r="T59" s="1061"/>
      <c r="U59" s="1061"/>
      <c r="V59" s="1061"/>
      <c r="W59" s="1061"/>
      <c r="X59" s="1061"/>
      <c r="Y59" s="1061"/>
      <c r="Z59" s="1061"/>
      <c r="AA59" s="1061"/>
      <c r="AB59" s="1061"/>
      <c r="AC59" s="1061"/>
      <c r="AD59" s="1061"/>
      <c r="AE59" s="1061"/>
      <c r="AF59" s="1061"/>
      <c r="AG59" s="1061"/>
      <c r="AH59" s="1061"/>
      <c r="AI59" s="1061"/>
      <c r="AJ59" s="1061"/>
      <c r="AK59" s="1061"/>
      <c r="AL59" s="1061"/>
      <c r="AM59" s="1061"/>
      <c r="AN59" s="1061"/>
      <c r="AO59" s="1061"/>
      <c r="AP59" s="1061"/>
      <c r="AQ59" s="1061"/>
      <c r="AR59" s="1061"/>
      <c r="AS59" s="1061"/>
      <c r="AT59" s="1061"/>
      <c r="AU59" s="1062"/>
      <c r="AV59" s="1061"/>
      <c r="AW59" s="1061"/>
      <c r="AX59" s="1089"/>
      <c r="AY59" s="142"/>
      <c r="AZ59" s="142"/>
      <c r="BA59" s="142"/>
      <c r="BC59" s="142"/>
      <c r="BD59" s="142"/>
      <c r="BE59" s="142"/>
      <c r="BF59" s="142"/>
      <c r="BG59" s="142"/>
    </row>
    <row r="60" spans="1:59" s="1059" customFormat="1">
      <c r="A60" s="1061" t="s">
        <v>1829</v>
      </c>
      <c r="B60" s="1064">
        <f>+'Feed Cost &amp; Allocation'!O75</f>
        <v>10353</v>
      </c>
      <c r="C60" s="1061"/>
      <c r="D60" s="1064">
        <f>+'Feed Cost &amp; Allocation'!M75</f>
        <v>44977</v>
      </c>
      <c r="E60" s="1061"/>
      <c r="F60" s="1064">
        <f>SUM(W23:Z23)/(SUM(W26:Z26)-SUM(W23:Z23))*F59</f>
        <v>0</v>
      </c>
      <c r="G60" s="1061"/>
      <c r="H60" s="1061"/>
      <c r="I60" s="1061"/>
      <c r="J60" s="1061"/>
      <c r="K60" s="1061"/>
      <c r="L60" s="1061"/>
      <c r="M60" s="1061"/>
      <c r="N60" s="1061"/>
      <c r="O60" s="1061"/>
      <c r="P60" s="1061"/>
      <c r="Q60" s="1061"/>
      <c r="R60" s="1061"/>
      <c r="S60" s="1061"/>
      <c r="T60" s="1061"/>
      <c r="U60" s="1061"/>
      <c r="V60" s="1061"/>
      <c r="W60" s="1061"/>
      <c r="X60" s="1061"/>
      <c r="Y60" s="1061"/>
      <c r="Z60" s="1061"/>
      <c r="AA60" s="1061"/>
      <c r="AB60" s="1061"/>
      <c r="AC60" s="1061"/>
      <c r="AD60" s="1061"/>
      <c r="AE60" s="1061"/>
      <c r="AF60" s="1061"/>
      <c r="AG60" s="1061"/>
      <c r="AH60" s="1061"/>
      <c r="AI60" s="1061"/>
      <c r="AJ60" s="1061"/>
      <c r="AK60" s="1061"/>
      <c r="AL60" s="1061"/>
      <c r="AM60" s="1061"/>
      <c r="AN60" s="1061"/>
      <c r="AO60" s="1061"/>
      <c r="AP60" s="1061"/>
      <c r="AQ60" s="1061"/>
      <c r="AR60" s="1061"/>
      <c r="AS60" s="1061"/>
      <c r="AT60" s="1061"/>
      <c r="AU60" s="1062"/>
      <c r="AV60" s="1061"/>
      <c r="AW60" s="1061"/>
      <c r="AX60" s="1089"/>
      <c r="AY60" s="142"/>
      <c r="AZ60" s="142"/>
      <c r="BA60" s="142"/>
      <c r="BC60" s="142"/>
      <c r="BD60" s="142"/>
      <c r="BE60" s="142"/>
      <c r="BF60" s="142"/>
      <c r="BG60" s="142"/>
    </row>
    <row r="61" spans="1:59" s="1059" customFormat="1">
      <c r="A61" s="1075" t="s">
        <v>71</v>
      </c>
      <c r="B61" s="1076">
        <f>SUM(B58:B60)</f>
        <v>52950</v>
      </c>
      <c r="C61" s="1061"/>
      <c r="D61" s="1076">
        <f>SUM(D58:D60)</f>
        <v>44977</v>
      </c>
      <c r="E61" s="1061"/>
      <c r="F61" s="1064">
        <f>SUM(F59:F60)</f>
        <v>41585</v>
      </c>
      <c r="G61" s="1061"/>
      <c r="H61" s="1061"/>
      <c r="I61" s="1061"/>
      <c r="J61" s="1061"/>
      <c r="K61" s="1061"/>
      <c r="L61" s="1061"/>
      <c r="M61" s="1061"/>
      <c r="N61" s="1061"/>
      <c r="O61" s="1061"/>
      <c r="P61" s="1061"/>
      <c r="Q61" s="1061"/>
      <c r="R61" s="1061"/>
      <c r="S61" s="1061"/>
      <c r="T61" s="1061"/>
      <c r="U61" s="1061"/>
      <c r="V61" s="1061"/>
      <c r="W61" s="1061"/>
      <c r="X61" s="1061"/>
      <c r="Y61" s="1061"/>
      <c r="Z61" s="1061"/>
      <c r="AA61" s="1061"/>
      <c r="AB61" s="1061"/>
      <c r="AC61" s="1061"/>
      <c r="AD61" s="1061"/>
      <c r="AE61" s="1061"/>
      <c r="AF61" s="1061"/>
      <c r="AG61" s="1061"/>
      <c r="AH61" s="1061"/>
      <c r="AI61" s="1061"/>
      <c r="AJ61" s="1061"/>
      <c r="AK61" s="1061"/>
      <c r="AL61" s="1061"/>
      <c r="AM61" s="1061"/>
      <c r="AN61" s="1061"/>
      <c r="AO61" s="1061"/>
      <c r="AP61" s="1061"/>
      <c r="AQ61" s="1061"/>
      <c r="AR61" s="1061"/>
      <c r="AS61" s="1061"/>
      <c r="AT61" s="1061"/>
      <c r="AU61" s="1062"/>
      <c r="AV61" s="1061"/>
      <c r="AW61" s="1061"/>
      <c r="AX61" s="1089"/>
      <c r="AY61" s="142"/>
      <c r="AZ61" s="142"/>
      <c r="BA61" s="142"/>
      <c r="BC61" s="142"/>
      <c r="BD61" s="142"/>
      <c r="BE61" s="142"/>
      <c r="BF61" s="142"/>
      <c r="BG61" s="142"/>
    </row>
    <row r="62" spans="1:59" s="1059" customFormat="1">
      <c r="A62" s="1061"/>
      <c r="B62" s="1061"/>
      <c r="C62" s="1061"/>
      <c r="D62" s="1061"/>
      <c r="E62" s="1061"/>
      <c r="F62" s="1061"/>
      <c r="G62" s="1061"/>
      <c r="H62" s="1061"/>
      <c r="I62" s="1061"/>
      <c r="J62" s="1061"/>
      <c r="K62" s="1061"/>
      <c r="L62" s="1061"/>
      <c r="M62" s="1061"/>
      <c r="N62" s="1061"/>
      <c r="O62" s="1061"/>
      <c r="P62" s="1061"/>
      <c r="Q62" s="1061"/>
      <c r="R62" s="1061"/>
      <c r="S62" s="1061"/>
      <c r="T62" s="1061"/>
      <c r="U62" s="1061"/>
      <c r="V62" s="1061"/>
      <c r="W62" s="1061"/>
      <c r="X62" s="1061"/>
      <c r="Y62" s="1061"/>
      <c r="Z62" s="1061"/>
      <c r="AA62" s="1061"/>
      <c r="AB62" s="1061"/>
      <c r="AC62" s="1061"/>
      <c r="AD62" s="1061"/>
      <c r="AE62" s="1061"/>
      <c r="AF62" s="1061"/>
      <c r="AG62" s="1061"/>
      <c r="AH62" s="1061"/>
      <c r="AI62" s="1061"/>
      <c r="AJ62" s="1061"/>
      <c r="AK62" s="1061"/>
      <c r="AL62" s="1061"/>
      <c r="AM62" s="1061"/>
      <c r="AN62" s="1061"/>
      <c r="AO62" s="1061"/>
      <c r="AP62" s="1061"/>
      <c r="AQ62" s="1061"/>
      <c r="AR62" s="1061"/>
      <c r="AS62" s="1061"/>
      <c r="AT62" s="1061"/>
      <c r="AU62" s="1062"/>
      <c r="AV62" s="1061"/>
      <c r="AW62" s="1061"/>
      <c r="AX62" s="1089"/>
      <c r="AY62" s="142"/>
      <c r="AZ62" s="142"/>
      <c r="BA62" s="142"/>
      <c r="BC62" s="142"/>
      <c r="BD62" s="142"/>
      <c r="BE62" s="142"/>
      <c r="BF62" s="142"/>
      <c r="BG62" s="142"/>
    </row>
    <row r="63" spans="1:59" s="1059" customFormat="1">
      <c r="A63" s="1077" t="s">
        <v>1815</v>
      </c>
      <c r="B63" s="1077" t="str">
        <f t="shared" ref="B63:AA63" si="45">B3</f>
        <v>DRY SOW</v>
      </c>
      <c r="C63" s="1077" t="str">
        <f t="shared" si="45"/>
        <v>DRY SOW</v>
      </c>
      <c r="D63" s="1077" t="str">
        <f t="shared" si="45"/>
        <v>DRY SOW</v>
      </c>
      <c r="E63" s="1078" t="str">
        <f t="shared" si="45"/>
        <v>DRY SOW</v>
      </c>
      <c r="F63" s="1078" t="str">
        <f t="shared" si="45"/>
        <v>DRY SOW</v>
      </c>
      <c r="G63" s="1078" t="str">
        <f t="shared" si="45"/>
        <v>DRY SOW</v>
      </c>
      <c r="H63" s="1078" t="str">
        <f t="shared" si="45"/>
        <v>DRY SOW</v>
      </c>
      <c r="I63" s="1078" t="str">
        <f t="shared" si="45"/>
        <v>DRY SOW</v>
      </c>
      <c r="J63" s="1078" t="str">
        <f t="shared" si="45"/>
        <v>DRY SOW</v>
      </c>
      <c r="K63" s="1078" t="str">
        <f t="shared" si="45"/>
        <v>DRY SOW</v>
      </c>
      <c r="L63" s="1078" t="str">
        <f t="shared" si="45"/>
        <v>DRY SOW</v>
      </c>
      <c r="M63" s="1078" t="str">
        <f t="shared" si="45"/>
        <v>DRY SOW</v>
      </c>
      <c r="N63" s="1078" t="str">
        <f t="shared" si="45"/>
        <v>DRY SOW</v>
      </c>
      <c r="O63" s="1078" t="str">
        <f t="shared" si="45"/>
        <v>DRY SOW</v>
      </c>
      <c r="P63" s="1078" t="str">
        <f t="shared" si="45"/>
        <v>DRY SOW</v>
      </c>
      <c r="Q63" s="1078" t="str">
        <f t="shared" si="45"/>
        <v>DRY SOW</v>
      </c>
      <c r="R63" s="1078" t="str">
        <f t="shared" si="45"/>
        <v>Flush</v>
      </c>
      <c r="S63" s="1078" t="str">
        <f t="shared" si="45"/>
        <v>LACTATE</v>
      </c>
      <c r="T63" s="1078" t="str">
        <f t="shared" si="45"/>
        <v>LACTATE</v>
      </c>
      <c r="U63" s="1078" t="str">
        <f t="shared" si="45"/>
        <v>LACTATE</v>
      </c>
      <c r="V63" s="1078" t="str">
        <f t="shared" si="45"/>
        <v>Early Wean</v>
      </c>
      <c r="W63" s="1078" t="str">
        <f t="shared" si="45"/>
        <v>Early Wean</v>
      </c>
      <c r="X63" s="1078" t="str">
        <f t="shared" si="45"/>
        <v>CREEP</v>
      </c>
      <c r="Y63" s="1078" t="str">
        <f t="shared" si="45"/>
        <v>CREEP</v>
      </c>
      <c r="Z63" s="1078" t="str">
        <f t="shared" si="45"/>
        <v>WEANER</v>
      </c>
      <c r="AA63" s="1078" t="str">
        <f t="shared" si="45"/>
        <v>WEANER</v>
      </c>
      <c r="AB63" s="1078" t="str">
        <f>AA63</f>
        <v>WEANER</v>
      </c>
      <c r="AC63" s="1078" t="str">
        <f>AB63</f>
        <v>WEANER</v>
      </c>
      <c r="AD63" s="1078" t="str">
        <f t="shared" ref="AD63:AN63" si="46">AD3</f>
        <v>GROWER 1</v>
      </c>
      <c r="AE63" s="1078" t="str">
        <f t="shared" si="46"/>
        <v>GROWER 1</v>
      </c>
      <c r="AF63" s="1078" t="str">
        <f t="shared" si="46"/>
        <v>GROWER 2</v>
      </c>
      <c r="AG63" s="1078" t="str">
        <f t="shared" si="46"/>
        <v>GROWER 2</v>
      </c>
      <c r="AH63" s="1078" t="str">
        <f t="shared" si="46"/>
        <v>GROWER 3</v>
      </c>
      <c r="AI63" s="1078" t="str">
        <f t="shared" si="46"/>
        <v>GROWER 3</v>
      </c>
      <c r="AJ63" s="1078" t="str">
        <f t="shared" si="46"/>
        <v>FINISHER</v>
      </c>
      <c r="AK63" s="1078" t="str">
        <f t="shared" si="46"/>
        <v>FINISHER</v>
      </c>
      <c r="AL63" s="1078" t="str">
        <f t="shared" si="46"/>
        <v>FINISHER</v>
      </c>
      <c r="AM63" s="1078" t="str">
        <f t="shared" si="46"/>
        <v>FINISHER</v>
      </c>
      <c r="AN63" s="1078" t="str">
        <f t="shared" si="46"/>
        <v>FINISHER</v>
      </c>
      <c r="AO63" s="1078" t="s">
        <v>71</v>
      </c>
      <c r="AP63" s="1079"/>
      <c r="AQ63" s="1079"/>
      <c r="AR63" s="1079"/>
      <c r="AS63" s="1066"/>
      <c r="AT63" s="1066"/>
      <c r="AU63" s="1068"/>
      <c r="AV63" s="1066"/>
      <c r="AW63" s="1066"/>
      <c r="AX63" s="1066"/>
      <c r="AY63" s="1066"/>
      <c r="AZ63" s="142"/>
      <c r="BA63" s="142"/>
      <c r="BC63" s="142"/>
      <c r="BD63" s="142"/>
      <c r="BE63" s="142"/>
      <c r="BF63" s="142"/>
      <c r="BG63" s="142"/>
    </row>
    <row r="64" spans="1:59" s="1059" customFormat="1">
      <c r="A64" s="1077" t="s">
        <v>1816</v>
      </c>
      <c r="B64" s="1077">
        <v>7</v>
      </c>
      <c r="C64" s="1077">
        <v>7</v>
      </c>
      <c r="D64" s="1077">
        <v>7</v>
      </c>
      <c r="E64" s="1077">
        <v>7</v>
      </c>
      <c r="F64" s="1077">
        <v>7</v>
      </c>
      <c r="G64" s="1077">
        <v>7</v>
      </c>
      <c r="H64" s="1077">
        <v>7</v>
      </c>
      <c r="I64" s="1077">
        <v>7</v>
      </c>
      <c r="J64" s="1077">
        <v>7</v>
      </c>
      <c r="K64" s="1077">
        <v>7</v>
      </c>
      <c r="L64" s="1077">
        <v>7</v>
      </c>
      <c r="M64" s="1077">
        <v>7</v>
      </c>
      <c r="N64" s="1077">
        <v>7</v>
      </c>
      <c r="O64" s="1077">
        <v>7</v>
      </c>
      <c r="P64" s="1077">
        <v>7</v>
      </c>
      <c r="Q64" s="1077">
        <v>7</v>
      </c>
      <c r="R64" s="1077">
        <v>7</v>
      </c>
      <c r="S64" s="1077">
        <v>7</v>
      </c>
      <c r="T64" s="1077">
        <v>7</v>
      </c>
      <c r="U64" s="1077">
        <v>7</v>
      </c>
      <c r="V64" s="1077">
        <v>7</v>
      </c>
      <c r="W64" s="1077">
        <v>7</v>
      </c>
      <c r="X64" s="1077">
        <v>7</v>
      </c>
      <c r="Y64" s="1077">
        <v>7</v>
      </c>
      <c r="Z64" s="1077">
        <v>7</v>
      </c>
      <c r="AA64" s="1077">
        <v>7</v>
      </c>
      <c r="AB64" s="1077">
        <v>7</v>
      </c>
      <c r="AC64" s="1077">
        <v>7</v>
      </c>
      <c r="AD64" s="1077">
        <v>7</v>
      </c>
      <c r="AE64" s="1077">
        <v>7</v>
      </c>
      <c r="AF64" s="1077">
        <v>7</v>
      </c>
      <c r="AG64" s="1077">
        <v>7</v>
      </c>
      <c r="AH64" s="1077">
        <v>7</v>
      </c>
      <c r="AI64" s="1077">
        <v>7</v>
      </c>
      <c r="AJ64" s="1077">
        <v>7</v>
      </c>
      <c r="AK64" s="1077">
        <v>7</v>
      </c>
      <c r="AL64" s="1077">
        <v>7</v>
      </c>
      <c r="AM64" s="1077">
        <v>7</v>
      </c>
      <c r="AN64" s="1077">
        <v>7</v>
      </c>
      <c r="AO64" s="1077"/>
      <c r="AP64" s="1066"/>
      <c r="AQ64" s="1066"/>
      <c r="AR64" s="1066"/>
      <c r="AS64" s="1066"/>
      <c r="AT64" s="1066"/>
      <c r="AU64" s="1068"/>
      <c r="AV64" s="1066"/>
      <c r="AW64" s="1066"/>
      <c r="AX64" s="1066"/>
      <c r="AY64" s="1066"/>
      <c r="AZ64" s="142"/>
      <c r="BA64" s="142"/>
      <c r="BC64" s="142"/>
      <c r="BD64" s="142"/>
      <c r="BE64" s="142"/>
      <c r="BF64" s="142"/>
      <c r="BG64" s="142"/>
    </row>
    <row r="65" spans="1:59" s="1059" customFormat="1">
      <c r="A65" s="1077" t="s">
        <v>1817</v>
      </c>
      <c r="B65" s="1077">
        <v>2.5</v>
      </c>
      <c r="C65" s="1077">
        <v>2.5</v>
      </c>
      <c r="D65" s="1077">
        <v>2.5</v>
      </c>
      <c r="E65" s="1077">
        <v>2.5</v>
      </c>
      <c r="F65" s="1077">
        <v>2.2999999999999998</v>
      </c>
      <c r="G65" s="1077">
        <v>2.2999999999999998</v>
      </c>
      <c r="H65" s="1077">
        <v>2.2999999999999998</v>
      </c>
      <c r="I65" s="1077">
        <v>2.2999999999999998</v>
      </c>
      <c r="J65" s="1077">
        <v>2.2999999999999998</v>
      </c>
      <c r="K65" s="1077">
        <v>2.2999999999999998</v>
      </c>
      <c r="L65" s="1077">
        <v>2.2999999999999998</v>
      </c>
      <c r="M65" s="1077">
        <v>2.2999999999999998</v>
      </c>
      <c r="N65" s="1077">
        <v>2.8</v>
      </c>
      <c r="O65" s="1077">
        <v>2.8</v>
      </c>
      <c r="P65" s="1077">
        <v>2.8</v>
      </c>
      <c r="Q65" s="1077">
        <v>2.8</v>
      </c>
      <c r="R65" s="1077">
        <v>5</v>
      </c>
      <c r="S65" s="1080">
        <v>3</v>
      </c>
      <c r="T65" s="1080">
        <v>5.5</v>
      </c>
      <c r="U65" s="1080">
        <v>7</v>
      </c>
      <c r="V65" s="1080">
        <v>9.5</v>
      </c>
      <c r="W65" s="1077">
        <v>0.35</v>
      </c>
      <c r="X65" s="1077">
        <v>0.5</v>
      </c>
      <c r="Y65" s="1077">
        <v>0.6</v>
      </c>
      <c r="Z65" s="1077">
        <v>0.9</v>
      </c>
      <c r="AA65" s="1077">
        <v>1.1000000000000001</v>
      </c>
      <c r="AB65" s="1077">
        <v>1.2</v>
      </c>
      <c r="AC65" s="1080">
        <v>1.4</v>
      </c>
      <c r="AD65" s="1080">
        <v>1.6</v>
      </c>
      <c r="AE65" s="1080">
        <v>1.8</v>
      </c>
      <c r="AF65" s="1080">
        <v>2</v>
      </c>
      <c r="AG65" s="1080">
        <v>2.2000000000000002</v>
      </c>
      <c r="AH65" s="1080">
        <v>2.2999999999999998</v>
      </c>
      <c r="AI65" s="1080">
        <v>2.4</v>
      </c>
      <c r="AJ65" s="1080">
        <v>2.5</v>
      </c>
      <c r="AK65" s="1080">
        <v>2.7</v>
      </c>
      <c r="AL65" s="1080">
        <v>2.9</v>
      </c>
      <c r="AM65" s="1080">
        <v>3</v>
      </c>
      <c r="AN65" s="1080">
        <v>3</v>
      </c>
      <c r="AO65" s="1080"/>
      <c r="AP65" s="1073"/>
      <c r="AQ65" s="1073"/>
      <c r="AR65" s="1073"/>
      <c r="AS65" s="1066"/>
      <c r="AT65" s="1066"/>
      <c r="AU65" s="1068"/>
      <c r="AV65" s="1066"/>
      <c r="AW65" s="1066"/>
      <c r="AX65" s="1066"/>
      <c r="AY65" s="1066"/>
      <c r="AZ65" s="142"/>
      <c r="BA65" s="142"/>
      <c r="BC65" s="142"/>
      <c r="BD65" s="142"/>
      <c r="BE65" s="142"/>
      <c r="BF65" s="142"/>
      <c r="BG65" s="142"/>
    </row>
    <row r="66" spans="1:59" s="1059" customFormat="1">
      <c r="A66" s="1077" t="s">
        <v>1818</v>
      </c>
      <c r="B66" s="1081">
        <f>+'Summary Total Pigs'!AF54/17*5</f>
        <v>315.29411764705884</v>
      </c>
      <c r="C66" s="1081">
        <f>B66</f>
        <v>315.29411764705884</v>
      </c>
      <c r="D66" s="1081">
        <f t="shared" ref="D66:R66" si="47">C66</f>
        <v>315.29411764705884</v>
      </c>
      <c r="E66" s="1081">
        <f t="shared" si="47"/>
        <v>315.29411764705884</v>
      </c>
      <c r="F66" s="1081">
        <f t="shared" si="47"/>
        <v>315.29411764705884</v>
      </c>
      <c r="G66" s="1081">
        <f t="shared" si="47"/>
        <v>315.29411764705884</v>
      </c>
      <c r="H66" s="1081">
        <f t="shared" si="47"/>
        <v>315.29411764705884</v>
      </c>
      <c r="I66" s="1081">
        <f t="shared" si="47"/>
        <v>315.29411764705884</v>
      </c>
      <c r="J66" s="1081">
        <f t="shared" si="47"/>
        <v>315.29411764705884</v>
      </c>
      <c r="K66" s="1081">
        <f t="shared" si="47"/>
        <v>315.29411764705884</v>
      </c>
      <c r="L66" s="1081">
        <f t="shared" si="47"/>
        <v>315.29411764705884</v>
      </c>
      <c r="M66" s="1081">
        <f t="shared" si="47"/>
        <v>315.29411764705884</v>
      </c>
      <c r="N66" s="1081">
        <f t="shared" si="47"/>
        <v>315.29411764705884</v>
      </c>
      <c r="O66" s="1081">
        <f t="shared" si="47"/>
        <v>315.29411764705884</v>
      </c>
      <c r="P66" s="1081">
        <f t="shared" si="47"/>
        <v>315.29411764705884</v>
      </c>
      <c r="Q66" s="1081">
        <f t="shared" si="47"/>
        <v>315.29411764705884</v>
      </c>
      <c r="R66" s="1081">
        <f t="shared" si="47"/>
        <v>315.29411764705884</v>
      </c>
      <c r="S66" s="1081">
        <f>R66</f>
        <v>315.29411764705884</v>
      </c>
      <c r="T66" s="1081">
        <f>S66</f>
        <v>315.29411764705884</v>
      </c>
      <c r="U66" s="1081">
        <f>T66</f>
        <v>315.29411764705884</v>
      </c>
      <c r="V66" s="1081">
        <f>U66</f>
        <v>315.29411764705884</v>
      </c>
      <c r="W66" s="1081">
        <f>SUM(W7:Z7)</f>
        <v>1824</v>
      </c>
      <c r="X66" s="1081">
        <f>SUM(W7:AA7)</f>
        <v>2500</v>
      </c>
      <c r="Y66" s="1081">
        <f t="shared" ref="Y66:AN66" si="48">SUM(Y7:AB7)</f>
        <v>2495</v>
      </c>
      <c r="Z66" s="1081">
        <f t="shared" si="48"/>
        <v>2426</v>
      </c>
      <c r="AA66" s="1081">
        <f t="shared" si="48"/>
        <v>2313</v>
      </c>
      <c r="AB66" s="1081">
        <f t="shared" si="48"/>
        <v>2126</v>
      </c>
      <c r="AC66" s="1081">
        <f t="shared" si="48"/>
        <v>1988</v>
      </c>
      <c r="AD66" s="1081">
        <f t="shared" si="48"/>
        <v>1906</v>
      </c>
      <c r="AE66" s="1081">
        <f t="shared" si="48"/>
        <v>1898</v>
      </c>
      <c r="AF66" s="1081">
        <f t="shared" si="48"/>
        <v>1875</v>
      </c>
      <c r="AG66" s="1081">
        <f t="shared" si="48"/>
        <v>1866</v>
      </c>
      <c r="AH66" s="1081">
        <f t="shared" si="48"/>
        <v>1866</v>
      </c>
      <c r="AI66" s="1081">
        <f t="shared" si="48"/>
        <v>1860</v>
      </c>
      <c r="AJ66" s="1081">
        <f t="shared" si="48"/>
        <v>1854</v>
      </c>
      <c r="AK66" s="1081">
        <f t="shared" si="48"/>
        <v>1757</v>
      </c>
      <c r="AL66" s="1081">
        <f t="shared" si="48"/>
        <v>1657</v>
      </c>
      <c r="AM66" s="1081">
        <f t="shared" si="48"/>
        <v>1640</v>
      </c>
      <c r="AN66" s="1081">
        <f t="shared" si="48"/>
        <v>1609</v>
      </c>
      <c r="AO66" s="1077"/>
      <c r="AP66" s="1066"/>
      <c r="AQ66" s="1066"/>
      <c r="AR66" s="1066"/>
      <c r="AS66" s="1066"/>
      <c r="AT66" s="1066"/>
      <c r="AU66" s="1068"/>
      <c r="AV66" s="1066"/>
      <c r="AW66" s="1066"/>
      <c r="AX66" s="1066"/>
      <c r="AY66" s="1066"/>
      <c r="AZ66" s="142"/>
      <c r="BA66" s="142"/>
      <c r="BC66" s="142"/>
      <c r="BD66" s="142"/>
      <c r="BE66" s="142"/>
      <c r="BF66" s="142"/>
      <c r="BG66" s="142"/>
    </row>
    <row r="67" spans="1:59">
      <c r="A67" s="1077" t="s">
        <v>1819</v>
      </c>
      <c r="B67" s="1081">
        <f>B64*B65*B66</f>
        <v>5517.6470588235297</v>
      </c>
      <c r="C67" s="1081">
        <f t="shared" ref="C67:Q67" si="49">C64*C65*C66</f>
        <v>5517.6470588235297</v>
      </c>
      <c r="D67" s="1081">
        <f t="shared" si="49"/>
        <v>5517.6470588235297</v>
      </c>
      <c r="E67" s="1081">
        <f t="shared" si="49"/>
        <v>5517.6470588235297</v>
      </c>
      <c r="F67" s="1081">
        <f t="shared" si="49"/>
        <v>5076.2352941176468</v>
      </c>
      <c r="G67" s="1081">
        <f t="shared" si="49"/>
        <v>5076.2352941176468</v>
      </c>
      <c r="H67" s="1081">
        <f t="shared" si="49"/>
        <v>5076.2352941176468</v>
      </c>
      <c r="I67" s="1081">
        <f t="shared" si="49"/>
        <v>5076.2352941176468</v>
      </c>
      <c r="J67" s="1081">
        <f t="shared" si="49"/>
        <v>5076.2352941176468</v>
      </c>
      <c r="K67" s="1081">
        <f t="shared" si="49"/>
        <v>5076.2352941176468</v>
      </c>
      <c r="L67" s="1081">
        <f t="shared" si="49"/>
        <v>5076.2352941176468</v>
      </c>
      <c r="M67" s="1081">
        <f t="shared" si="49"/>
        <v>5076.2352941176468</v>
      </c>
      <c r="N67" s="1081">
        <f t="shared" si="49"/>
        <v>6179.7647058823522</v>
      </c>
      <c r="O67" s="1081">
        <f t="shared" si="49"/>
        <v>6179.7647058823522</v>
      </c>
      <c r="P67" s="1081">
        <f t="shared" si="49"/>
        <v>6179.7647058823522</v>
      </c>
      <c r="Q67" s="1081">
        <f t="shared" si="49"/>
        <v>6179.7647058823522</v>
      </c>
      <c r="R67" s="1081">
        <f>R64*R65*R66</f>
        <v>11035.294117647059</v>
      </c>
      <c r="S67" s="1081">
        <f>S64*S65*S66</f>
        <v>6621.176470588236</v>
      </c>
      <c r="T67" s="1081">
        <f t="shared" ref="T67:AN67" si="50">T64*T65*T66</f>
        <v>12138.823529411766</v>
      </c>
      <c r="U67" s="1081">
        <f t="shared" si="50"/>
        <v>15449.411764705883</v>
      </c>
      <c r="V67" s="1081">
        <f t="shared" si="50"/>
        <v>20967.058823529413</v>
      </c>
      <c r="W67" s="1081">
        <f t="shared" si="50"/>
        <v>4468.7999999999993</v>
      </c>
      <c r="X67" s="1081">
        <f t="shared" si="50"/>
        <v>8750</v>
      </c>
      <c r="Y67" s="1081">
        <f t="shared" si="50"/>
        <v>10479</v>
      </c>
      <c r="Z67" s="1081">
        <f t="shared" si="50"/>
        <v>15283.8</v>
      </c>
      <c r="AA67" s="1081">
        <f t="shared" si="50"/>
        <v>17810.100000000002</v>
      </c>
      <c r="AB67" s="1081">
        <f t="shared" si="50"/>
        <v>17858.400000000001</v>
      </c>
      <c r="AC67" s="1081">
        <f t="shared" si="50"/>
        <v>19482.399999999998</v>
      </c>
      <c r="AD67" s="1081">
        <f t="shared" si="50"/>
        <v>21347.200000000001</v>
      </c>
      <c r="AE67" s="1081">
        <f t="shared" si="50"/>
        <v>23914.799999999999</v>
      </c>
      <c r="AF67" s="1081">
        <f t="shared" si="50"/>
        <v>26250</v>
      </c>
      <c r="AG67" s="1081">
        <f t="shared" si="50"/>
        <v>28736.400000000005</v>
      </c>
      <c r="AH67" s="1081">
        <f t="shared" si="50"/>
        <v>30042.599999999995</v>
      </c>
      <c r="AI67" s="1081">
        <f t="shared" si="50"/>
        <v>31248</v>
      </c>
      <c r="AJ67" s="1081">
        <f t="shared" si="50"/>
        <v>32445</v>
      </c>
      <c r="AK67" s="1081">
        <f t="shared" si="50"/>
        <v>33207.300000000003</v>
      </c>
      <c r="AL67" s="1081">
        <f t="shared" si="50"/>
        <v>33637.1</v>
      </c>
      <c r="AM67" s="1081">
        <f t="shared" si="50"/>
        <v>34440</v>
      </c>
      <c r="AN67" s="1081">
        <f t="shared" si="50"/>
        <v>33789</v>
      </c>
      <c r="AO67" s="1081">
        <f>SUM(B67:AN67)</f>
        <v>576801.1941176469</v>
      </c>
      <c r="AP67" s="1066"/>
      <c r="AQ67" s="1066"/>
      <c r="AR67" s="1066"/>
      <c r="AS67" s="1066"/>
      <c r="AT67" s="1066"/>
      <c r="AU67" s="1068"/>
      <c r="AV67" s="1066"/>
      <c r="AW67" s="1066"/>
      <c r="AX67" s="1066"/>
      <c r="AY67" s="1066"/>
    </row>
    <row r="68" spans="1:59">
      <c r="A68" s="1077"/>
      <c r="B68" s="1081"/>
      <c r="C68" s="1081"/>
      <c r="D68" s="1081"/>
      <c r="E68" s="1081"/>
      <c r="F68" s="1081"/>
      <c r="G68" s="1081"/>
      <c r="H68" s="1081"/>
      <c r="I68" s="1081"/>
      <c r="J68" s="1081"/>
      <c r="K68" s="1081"/>
      <c r="L68" s="1081"/>
      <c r="M68" s="1081"/>
      <c r="N68" s="1081"/>
      <c r="O68" s="1081"/>
      <c r="P68" s="1081"/>
      <c r="Q68" s="1081"/>
      <c r="R68" s="1081">
        <f>SUM(B67:R67)</f>
        <v>98434.823529411777</v>
      </c>
      <c r="S68" s="1081"/>
      <c r="T68" s="1081"/>
      <c r="U68" s="1081">
        <f>SUM(S67:U67)</f>
        <v>34209.411764705881</v>
      </c>
      <c r="V68" s="1081"/>
      <c r="W68" s="1081">
        <f>SUM(V67:W67)</f>
        <v>25435.858823529412</v>
      </c>
      <c r="X68" s="1081"/>
      <c r="Y68" s="1081">
        <f>SUM(X67:Y67)</f>
        <v>19229</v>
      </c>
      <c r="Z68" s="1081"/>
      <c r="AA68" s="1081">
        <v>0</v>
      </c>
      <c r="AB68" s="1081"/>
      <c r="AC68" s="1081">
        <f>SUM(Z67:AC67)</f>
        <v>70434.7</v>
      </c>
      <c r="AD68" s="1081"/>
      <c r="AE68" s="1081">
        <f>SUM(AD67:AE67)</f>
        <v>45262</v>
      </c>
      <c r="AF68" s="1081"/>
      <c r="AG68" s="1081">
        <f>SUM(AF67:AG67)</f>
        <v>54986.400000000009</v>
      </c>
      <c r="AH68" s="1081"/>
      <c r="AI68" s="1081">
        <f>SUM(AH67:AI67)</f>
        <v>61290.599999999991</v>
      </c>
      <c r="AJ68" s="1081"/>
      <c r="AK68" s="1081"/>
      <c r="AL68" s="1081"/>
      <c r="AM68" s="1081"/>
      <c r="AN68" s="1081">
        <f>SUM(AJ67:AN67)</f>
        <v>167518.39999999999</v>
      </c>
      <c r="AO68" s="1081">
        <f>SUM(B68:AN68)</f>
        <v>576801.19411764701</v>
      </c>
      <c r="AP68" s="1066"/>
      <c r="AQ68" s="1066"/>
      <c r="AR68" s="1066"/>
      <c r="AS68" s="1066"/>
      <c r="AT68" s="1066"/>
      <c r="AU68" s="1068"/>
      <c r="AV68" s="1066"/>
      <c r="AW68" s="1066"/>
      <c r="AX68" s="1066"/>
      <c r="AY68" s="1066"/>
    </row>
    <row r="69" spans="1:59">
      <c r="A69" s="1077" t="s">
        <v>1820</v>
      </c>
      <c r="B69" s="1082">
        <f>B67/$R$68</f>
        <v>5.605381165919282E-2</v>
      </c>
      <c r="C69" s="1082">
        <f t="shared" ref="C69:Q69" si="51">C67/$R$68</f>
        <v>5.605381165919282E-2</v>
      </c>
      <c r="D69" s="1082">
        <f t="shared" si="51"/>
        <v>5.605381165919282E-2</v>
      </c>
      <c r="E69" s="1082">
        <f t="shared" si="51"/>
        <v>5.605381165919282E-2</v>
      </c>
      <c r="F69" s="1082">
        <f t="shared" si="51"/>
        <v>5.1569506726457388E-2</v>
      </c>
      <c r="G69" s="1082">
        <f t="shared" si="51"/>
        <v>5.1569506726457388E-2</v>
      </c>
      <c r="H69" s="1082">
        <f t="shared" si="51"/>
        <v>5.1569506726457388E-2</v>
      </c>
      <c r="I69" s="1082">
        <f t="shared" si="51"/>
        <v>5.1569506726457388E-2</v>
      </c>
      <c r="J69" s="1082">
        <f t="shared" si="51"/>
        <v>5.1569506726457388E-2</v>
      </c>
      <c r="K69" s="1082">
        <f t="shared" si="51"/>
        <v>5.1569506726457388E-2</v>
      </c>
      <c r="L69" s="1082">
        <f t="shared" si="51"/>
        <v>5.1569506726457388E-2</v>
      </c>
      <c r="M69" s="1082">
        <f t="shared" si="51"/>
        <v>5.1569506726457388E-2</v>
      </c>
      <c r="N69" s="1082">
        <f t="shared" si="51"/>
        <v>6.2780269058295951E-2</v>
      </c>
      <c r="O69" s="1082">
        <f t="shared" si="51"/>
        <v>6.2780269058295951E-2</v>
      </c>
      <c r="P69" s="1082">
        <f t="shared" si="51"/>
        <v>6.2780269058295951E-2</v>
      </c>
      <c r="Q69" s="1082">
        <f t="shared" si="51"/>
        <v>6.2780269058295951E-2</v>
      </c>
      <c r="R69" s="1082">
        <f>R67/$R$68</f>
        <v>0.11210762331838564</v>
      </c>
      <c r="S69" s="1082">
        <f>S67/$U$68</f>
        <v>0.19354838709677422</v>
      </c>
      <c r="T69" s="1082">
        <f>T67/$U$68</f>
        <v>0.35483870967741937</v>
      </c>
      <c r="U69" s="1082">
        <f>U67/$U$68</f>
        <v>0.45161290322580649</v>
      </c>
      <c r="V69" s="1082">
        <f>V67/$W$68</f>
        <v>0.82431102362204722</v>
      </c>
      <c r="W69" s="1082">
        <f>W67/$W$68</f>
        <v>0.17568897637795272</v>
      </c>
      <c r="X69" s="1082">
        <f>X67/$Y$68</f>
        <v>0.45504186385147433</v>
      </c>
      <c r="Y69" s="1082">
        <f>Y67/$Y$68</f>
        <v>0.54495813614852562</v>
      </c>
      <c r="Z69" s="1082">
        <f>Z67/$AC$68</f>
        <v>0.21699247671957145</v>
      </c>
      <c r="AA69" s="1082">
        <f>AA67/$AC$68</f>
        <v>0.25285974100833825</v>
      </c>
      <c r="AB69" s="1082">
        <f>AB67/$AC$68</f>
        <v>0.25354548255334375</v>
      </c>
      <c r="AC69" s="1082">
        <f>AC67/$AC$68</f>
        <v>0.27660229971874656</v>
      </c>
      <c r="AD69" s="1082">
        <f>AD67/$AE$68</f>
        <v>0.47163625115991342</v>
      </c>
      <c r="AE69" s="1082">
        <f>AE67/$AE$68</f>
        <v>0.52836374884008663</v>
      </c>
      <c r="AF69" s="1082">
        <f>AF67/$AG$68</f>
        <v>0.47739077299113958</v>
      </c>
      <c r="AG69" s="1082">
        <f>AG67/$AG$68</f>
        <v>0.52260922700886037</v>
      </c>
      <c r="AH69" s="1082">
        <f>AH67/$AI$68</f>
        <v>0.49016651819365448</v>
      </c>
      <c r="AI69" s="1082">
        <f>AI67/$AI$68</f>
        <v>0.50983348180634558</v>
      </c>
      <c r="AJ69" s="1082">
        <f>AJ67/$AN$68</f>
        <v>0.19368021662098014</v>
      </c>
      <c r="AK69" s="1082">
        <f>AK67/$AN$68</f>
        <v>0.19823076151634689</v>
      </c>
      <c r="AL69" s="1082">
        <f>AL67/$AN$68</f>
        <v>0.20079644982282543</v>
      </c>
      <c r="AM69" s="1082">
        <f>AM67/$AN$68</f>
        <v>0.20558935615430904</v>
      </c>
      <c r="AN69" s="1082">
        <f>AN67/$AN$68</f>
        <v>0.20170321588553855</v>
      </c>
      <c r="AO69" s="1065"/>
      <c r="AU69" s="1057"/>
    </row>
    <row r="70" spans="1:59">
      <c r="A70" s="1065"/>
      <c r="B70" s="1065"/>
      <c r="C70" s="1065"/>
      <c r="D70" s="1065"/>
      <c r="E70" s="1065"/>
      <c r="F70" s="1065"/>
      <c r="G70" s="1065"/>
      <c r="H70" s="1065"/>
      <c r="I70" s="1065"/>
      <c r="J70" s="1065"/>
      <c r="K70" s="1065"/>
      <c r="L70" s="1065"/>
      <c r="M70" s="1065"/>
      <c r="N70" s="1065"/>
      <c r="O70" s="1065"/>
      <c r="P70" s="1065"/>
      <c r="Q70" s="1065"/>
      <c r="R70" s="1065"/>
      <c r="S70" s="1065"/>
      <c r="T70" s="1065"/>
      <c r="U70" s="1065"/>
      <c r="V70" s="1065"/>
      <c r="W70" s="1065"/>
      <c r="X70" s="1065"/>
      <c r="Y70" s="1065"/>
      <c r="Z70" s="1065"/>
      <c r="AA70" s="1065"/>
      <c r="AB70" s="1065"/>
      <c r="AC70" s="1065"/>
      <c r="AD70" s="1065"/>
      <c r="AE70" s="1065"/>
      <c r="AF70" s="1065"/>
      <c r="AG70" s="1065"/>
      <c r="AH70" s="1065"/>
      <c r="AI70" s="1065"/>
      <c r="AJ70" s="1065"/>
      <c r="AK70" s="1065"/>
      <c r="AL70" s="1065"/>
      <c r="AM70" s="1065"/>
      <c r="AN70" s="1065"/>
      <c r="AO70" s="1065"/>
      <c r="AU70" s="1057"/>
    </row>
    <row r="71" spans="1:59">
      <c r="A71" s="1065"/>
      <c r="B71" s="1065"/>
      <c r="C71" s="1065"/>
      <c r="D71" s="1065"/>
      <c r="E71" s="1065"/>
      <c r="F71" s="1065"/>
      <c r="G71" s="1065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5"/>
      <c r="AD71" s="1065"/>
      <c r="AE71" s="1065"/>
      <c r="AF71" s="1065"/>
      <c r="AG71" s="1065"/>
      <c r="AH71" s="1065"/>
      <c r="AI71" s="1065"/>
      <c r="AJ71" s="1065"/>
      <c r="AK71" s="1065"/>
      <c r="AL71" s="1065"/>
      <c r="AM71" s="1065"/>
      <c r="AN71" s="1065"/>
      <c r="AO71" s="1065"/>
      <c r="AU71" s="1057"/>
    </row>
    <row r="72" spans="1:59">
      <c r="A72" s="1081" t="s">
        <v>1821</v>
      </c>
      <c r="B72" s="1081"/>
      <c r="C72" s="1081"/>
      <c r="D72" s="1081"/>
      <c r="E72" s="1081"/>
      <c r="F72" s="1081"/>
      <c r="G72" s="1081"/>
      <c r="H72" s="1081"/>
      <c r="I72" s="1081"/>
      <c r="J72" s="1081"/>
      <c r="K72" s="1081"/>
      <c r="L72" s="1081"/>
      <c r="M72" s="1081"/>
      <c r="N72" s="1081"/>
      <c r="O72" s="1081"/>
      <c r="P72" s="1081"/>
      <c r="Q72" s="1081">
        <f>SUM(B67:Q67)</f>
        <v>87399.529411764714</v>
      </c>
      <c r="R72" s="1081">
        <f>R67</f>
        <v>11035.294117647059</v>
      </c>
      <c r="S72" s="1081">
        <f>S67</f>
        <v>6621.176470588236</v>
      </c>
      <c r="T72" s="1081">
        <f>T66*T64*T65</f>
        <v>12138.823529411764</v>
      </c>
      <c r="U72" s="1081">
        <f>U66*U64*U65</f>
        <v>15449.411764705881</v>
      </c>
      <c r="V72" s="1081">
        <f>V66*V64*V65</f>
        <v>20967.058823529413</v>
      </c>
      <c r="W72" s="1081">
        <f>W67</f>
        <v>4468.7999999999993</v>
      </c>
      <c r="X72" s="1081"/>
      <c r="Y72" s="1081">
        <f>Y68</f>
        <v>19229</v>
      </c>
      <c r="Z72" s="1081"/>
      <c r="AA72" s="1081"/>
      <c r="AB72" s="1081"/>
      <c r="AC72" s="1081">
        <f>AC68</f>
        <v>70434.7</v>
      </c>
      <c r="AD72" s="1081"/>
      <c r="AE72" s="1081">
        <f>AE68</f>
        <v>45262</v>
      </c>
      <c r="AF72" s="1081"/>
      <c r="AG72" s="1081">
        <f>AG68</f>
        <v>54986.400000000009</v>
      </c>
      <c r="AH72" s="1081"/>
      <c r="AI72" s="1081"/>
      <c r="AJ72" s="1081">
        <f>AJ68</f>
        <v>0</v>
      </c>
      <c r="AK72" s="1081"/>
      <c r="AL72" s="1081"/>
      <c r="AM72" s="1081"/>
      <c r="AN72" s="1081">
        <f>AN68</f>
        <v>167518.39999999999</v>
      </c>
      <c r="AO72" s="1081">
        <f>SUM(B72:AN72)</f>
        <v>515510.59411764704</v>
      </c>
      <c r="AP72" s="1068"/>
      <c r="AQ72" s="1068"/>
      <c r="AR72" s="1068"/>
      <c r="AS72" s="1068"/>
      <c r="AT72" s="1068"/>
      <c r="AU72" s="1068"/>
      <c r="AV72" s="1068"/>
      <c r="AW72" s="1068"/>
      <c r="AX72" s="1068"/>
      <c r="AY72" s="1068"/>
    </row>
    <row r="73" spans="1:59">
      <c r="A73" s="1081" t="s">
        <v>1822</v>
      </c>
      <c r="B73" s="1081"/>
      <c r="C73" s="1081"/>
      <c r="D73" s="1081"/>
      <c r="E73" s="1081"/>
      <c r="F73" s="1081"/>
      <c r="G73" s="1081"/>
      <c r="H73" s="1081"/>
      <c r="I73" s="1081"/>
      <c r="J73" s="1081"/>
      <c r="K73" s="1081"/>
      <c r="L73" s="1081"/>
      <c r="M73" s="1081"/>
      <c r="N73" s="1081"/>
      <c r="O73" s="1081"/>
      <c r="P73" s="1081"/>
      <c r="Q73" s="1081">
        <f>'[4]Feed Costing &amp; Appotionment '!K122+'[4]Feed Costing &amp; Appotionment '!O122</f>
        <v>273392.90000000002</v>
      </c>
      <c r="R73" s="1081">
        <f>'[4]Feed Costing &amp; Appotionment '!T122</f>
        <v>47127.5</v>
      </c>
      <c r="S73" s="1081">
        <f>'[4]Feed Costing &amp; Appotionment '!N122</f>
        <v>17559.5</v>
      </c>
      <c r="T73" s="1081"/>
      <c r="U73" s="1081"/>
      <c r="V73" s="1081">
        <f>'[4]Feed Costing &amp; Appotionment '!L122+'[4]Feed Costing &amp; Appotionment '!M122</f>
        <v>117633</v>
      </c>
      <c r="W73" s="1081">
        <f>'[4]Feed Costing &amp; Appotionment '!B122</f>
        <v>29254.2</v>
      </c>
      <c r="X73" s="1081"/>
      <c r="Y73" s="1081">
        <f>'[4]Feed Costing &amp; Appotionment '!C122</f>
        <v>126974</v>
      </c>
      <c r="Z73" s="1081"/>
      <c r="AA73" s="1081"/>
      <c r="AB73" s="1081"/>
      <c r="AC73" s="1081">
        <f>'[4]Feed Costing &amp; Appotionment '!D122+'[4]Feed Costing &amp; Appotionment '!E122</f>
        <v>243037.40000000002</v>
      </c>
      <c r="AD73" s="1081"/>
      <c r="AE73" s="1081">
        <f>'[4]Feed Costing &amp; Appotionment '!F122</f>
        <v>176588.4</v>
      </c>
      <c r="AF73" s="1081"/>
      <c r="AG73" s="1081">
        <f>'[4]Feed Costing &amp; Appotionment '!G122</f>
        <v>59290</v>
      </c>
      <c r="AH73" s="1081"/>
      <c r="AI73" s="1081"/>
      <c r="AJ73" s="1081">
        <f>'[4]Feed Costing &amp; Appotionment '!H122</f>
        <v>949048.7</v>
      </c>
      <c r="AK73" s="1081"/>
      <c r="AL73" s="1081"/>
      <c r="AM73" s="1081"/>
      <c r="AN73" s="1081">
        <f>'[4]Feed Costing &amp; Appotionment '!J122</f>
        <v>710118.55</v>
      </c>
      <c r="AO73" s="1081">
        <f>SUM(B73:AN73)</f>
        <v>2750024.1500000004</v>
      </c>
      <c r="AP73" s="1068">
        <f>AO73-'[4]Feed Costing &amp; Appotionment '!U122+'[4]Feed Costing &amp; Appotionment '!P122+'[4]Feed Costing &amp; Appotionment '!Q122+'[4]Feed Costing &amp; Appotionment '!R122</f>
        <v>1.8917489796876907E-10</v>
      </c>
      <c r="AQ73" s="1068"/>
      <c r="AR73" s="1068"/>
      <c r="AS73" s="1068"/>
      <c r="AT73" s="1068"/>
      <c r="AU73" s="1068"/>
      <c r="AV73" s="1068"/>
      <c r="AW73" s="1068"/>
      <c r="AX73" s="1068"/>
      <c r="AY73" s="1068"/>
    </row>
    <row r="74" spans="1:59">
      <c r="A74" s="1081" t="s">
        <v>1823</v>
      </c>
      <c r="B74" s="1081"/>
      <c r="C74" s="1081"/>
      <c r="D74" s="1081"/>
      <c r="E74" s="1081"/>
      <c r="F74" s="1081"/>
      <c r="G74" s="1081"/>
      <c r="H74" s="1081"/>
      <c r="I74" s="1081"/>
      <c r="J74" s="1081"/>
      <c r="K74" s="1081"/>
      <c r="L74" s="1081"/>
      <c r="M74" s="1081"/>
      <c r="N74" s="1081"/>
      <c r="O74" s="1081"/>
      <c r="P74" s="1081"/>
      <c r="Q74" s="1081">
        <f>Q72-Q73</f>
        <v>-185993.37058823532</v>
      </c>
      <c r="R74" s="1081">
        <f>R72-R73</f>
        <v>-36092.205882352937</v>
      </c>
      <c r="S74" s="1081">
        <f>S72-S73</f>
        <v>-10938.323529411764</v>
      </c>
      <c r="T74" s="1081"/>
      <c r="U74" s="1081"/>
      <c r="V74" s="1081">
        <f>SUM(T72:V72)-V73</f>
        <v>-69077.705882352951</v>
      </c>
      <c r="W74" s="1081">
        <f>W72-W73</f>
        <v>-24785.4</v>
      </c>
      <c r="X74" s="1081">
        <f>X72-X73</f>
        <v>0</v>
      </c>
      <c r="Y74" s="1081">
        <f>Y72-Y73</f>
        <v>-107745</v>
      </c>
      <c r="Z74" s="1081"/>
      <c r="AA74" s="1081"/>
      <c r="AB74" s="1081"/>
      <c r="AC74" s="1081">
        <f>AC72-AC73</f>
        <v>-172602.7</v>
      </c>
      <c r="AD74" s="1081"/>
      <c r="AE74" s="1081">
        <f>AE72-AE73</f>
        <v>-131326.39999999999</v>
      </c>
      <c r="AF74" s="1081"/>
      <c r="AG74" s="1081">
        <f>AG72-AG73</f>
        <v>-4303.5999999999913</v>
      </c>
      <c r="AH74" s="1081"/>
      <c r="AI74" s="1081"/>
      <c r="AJ74" s="1081">
        <f>AJ72-AJ73</f>
        <v>-949048.7</v>
      </c>
      <c r="AK74" s="1081"/>
      <c r="AL74" s="1081"/>
      <c r="AM74" s="1081"/>
      <c r="AN74" s="1081">
        <f>AN72-AN73</f>
        <v>-542600.15</v>
      </c>
      <c r="AO74" s="1081">
        <f>SUM(B74:AN74)</f>
        <v>-2234513.5558823529</v>
      </c>
      <c r="AP74" s="1068">
        <f>AO73-'[4]Feed Costing &amp; Appotionment '!U122</f>
        <v>-86697.799999999814</v>
      </c>
      <c r="AQ74" s="1068"/>
      <c r="AR74" s="1068"/>
      <c r="AS74" s="1068"/>
      <c r="AT74" s="1068"/>
      <c r="AU74" s="1068"/>
      <c r="AV74" s="1068"/>
      <c r="AW74" s="1068"/>
      <c r="AX74" s="1068"/>
      <c r="AY74" s="1068"/>
    </row>
    <row r="75" spans="1:59">
      <c r="A75" s="1081" t="s">
        <v>1824</v>
      </c>
      <c r="B75" s="1077"/>
      <c r="C75" s="1077"/>
      <c r="D75" s="1077"/>
      <c r="E75" s="1077"/>
      <c r="F75" s="1077"/>
      <c r="G75" s="1077"/>
      <c r="H75" s="1077"/>
      <c r="I75" s="1077"/>
      <c r="J75" s="1077"/>
      <c r="K75" s="1077"/>
      <c r="L75" s="1077"/>
      <c r="M75" s="1077"/>
      <c r="N75" s="1077"/>
      <c r="O75" s="1077"/>
      <c r="P75" s="1077"/>
      <c r="Q75" s="1083">
        <f>('[4]Feed Costing &amp; Appotionment '!K123+'[4]Feed Costing &amp; Appotionment '!O123)/('[4]Feed Costing &amp; Appotionment '!K122+'[4]Feed Costing &amp; Appotionment '!O122)</f>
        <v>0.33022565021567968</v>
      </c>
      <c r="R75" s="1080">
        <f>'[4]Feed Costing &amp; Appotionment '!T124</f>
        <v>0.37880590011098036</v>
      </c>
      <c r="S75" s="1080">
        <f>'[4]Feed Costing &amp; Appotionment '!N124</f>
        <v>0.36773334194341661</v>
      </c>
      <c r="T75" s="1077"/>
      <c r="U75" s="1077"/>
      <c r="V75" s="1080">
        <f>('[4]Feed Costing &amp; Appotionment '!M123+'[4]Feed Costing &amp; Appotionment '!L123)/('[4]Feed Costing &amp; Appotionment '!L122+'[4]Feed Costing &amp; Appotionment '!M122)</f>
        <v>0.38986305594770371</v>
      </c>
      <c r="W75" s="1080">
        <f>'[4]Feed Costing &amp; Appotionment '!B124</f>
        <v>0.70516028376225237</v>
      </c>
      <c r="X75" s="1077"/>
      <c r="Y75" s="1080">
        <f>'[4]Feed Costing &amp; Appotionment '!C124</f>
        <v>0.553048745740369</v>
      </c>
      <c r="Z75" s="1077"/>
      <c r="AA75" s="1080"/>
      <c r="AB75" s="1077"/>
      <c r="AC75" s="1080">
        <f>'[4]Feed Costing &amp; Appotionment '!D124</f>
        <v>0.45761789674138609</v>
      </c>
      <c r="AD75" s="1077"/>
      <c r="AE75" s="1080">
        <f>'[4]Feed Costing &amp; Appotionment '!F124</f>
        <v>0.36072118784213153</v>
      </c>
      <c r="AF75" s="1077"/>
      <c r="AG75" s="1080">
        <f>'[4]Feed Costing &amp; Appotionment '!G124</f>
        <v>0.35277419368699731</v>
      </c>
      <c r="AH75" s="1077"/>
      <c r="AI75" s="1077"/>
      <c r="AJ75" s="1080">
        <f>'[4]Feed Costing &amp; Appotionment '!H124</f>
        <v>0.32545898419719504</v>
      </c>
      <c r="AK75" s="1077"/>
      <c r="AL75" s="1077"/>
      <c r="AM75" s="1077"/>
      <c r="AN75" s="1080">
        <f>'[4]Feed Costing &amp; Appotionment '!J124</f>
        <v>0.34727367194923103</v>
      </c>
      <c r="AO75" s="1083">
        <f>AO76/AO74</f>
        <v>0.36173176915790145</v>
      </c>
      <c r="AP75" s="1068">
        <f>'[4]Feed Costing &amp; Appotionment '!P122+'[4]Feed Costing &amp; Appotionment '!Q122+'[4]Feed Costing &amp; Appotionment '!R122</f>
        <v>86697.8</v>
      </c>
      <c r="AQ75" s="1066"/>
      <c r="AR75" s="1066"/>
      <c r="AS75" s="1066"/>
      <c r="AT75" s="1066"/>
      <c r="AU75" s="1068"/>
      <c r="AV75" s="1066"/>
      <c r="AW75" s="1066"/>
      <c r="AX75" s="1066"/>
      <c r="AY75" s="1066"/>
    </row>
    <row r="76" spans="1:59">
      <c r="A76" s="1081" t="s">
        <v>1825</v>
      </c>
      <c r="B76" s="1077"/>
      <c r="C76" s="1077"/>
      <c r="D76" s="1077"/>
      <c r="E76" s="1077"/>
      <c r="F76" s="1077"/>
      <c r="G76" s="1077"/>
      <c r="H76" s="1077"/>
      <c r="I76" s="1077"/>
      <c r="J76" s="1077"/>
      <c r="K76" s="1077"/>
      <c r="L76" s="1077"/>
      <c r="M76" s="1077"/>
      <c r="N76" s="1077"/>
      <c r="O76" s="1077"/>
      <c r="P76" s="1077"/>
      <c r="Q76" s="1083">
        <f>Q74*Q75</f>
        <v>-61419.781738305879</v>
      </c>
      <c r="R76" s="1083">
        <f>R74*R75</f>
        <v>-13671.940536255524</v>
      </c>
      <c r="S76" s="1083">
        <f>S74*S75</f>
        <v>-4022.3862667288959</v>
      </c>
      <c r="T76" s="1077"/>
      <c r="U76" s="1077"/>
      <c r="V76" s="1083">
        <f>V74*V75</f>
        <v>-26930.845513150791</v>
      </c>
      <c r="W76" s="1083">
        <f>W74*W75</f>
        <v>-17477.679697160929</v>
      </c>
      <c r="X76" s="1077"/>
      <c r="Y76" s="1083">
        <f>Y74*Y75</f>
        <v>-59588.237109796057</v>
      </c>
      <c r="Z76" s="1077"/>
      <c r="AA76" s="1083"/>
      <c r="AB76" s="1077"/>
      <c r="AC76" s="1083">
        <f>AC74*AC75</f>
        <v>-78986.084545884441</v>
      </c>
      <c r="AD76" s="1077"/>
      <c r="AE76" s="1083">
        <f>AE74*AE75</f>
        <v>-47372.215003030899</v>
      </c>
      <c r="AF76" s="1077"/>
      <c r="AG76" s="1083">
        <f>AG74*AG75</f>
        <v>-1518.1990199513584</v>
      </c>
      <c r="AH76" s="1077"/>
      <c r="AI76" s="1077"/>
      <c r="AJ76" s="1083">
        <f>AJ74*AJ75</f>
        <v>-308876.42585566849</v>
      </c>
      <c r="AK76" s="1077"/>
      <c r="AL76" s="1077"/>
      <c r="AM76" s="1077"/>
      <c r="AN76" s="1083">
        <f>AN74*AN75</f>
        <v>-188430.74649070355</v>
      </c>
      <c r="AO76" s="1081">
        <f>SUM(B76:AN76)</f>
        <v>-808294.54177663673</v>
      </c>
      <c r="AP76" s="1084">
        <f>SUM(AP74:AP75)</f>
        <v>1.8917489796876907E-10</v>
      </c>
      <c r="AQ76" s="1066"/>
      <c r="AR76" s="1066"/>
      <c r="AS76" s="1066"/>
      <c r="AT76" s="1066"/>
      <c r="AU76" s="1068"/>
      <c r="AV76" s="1066"/>
      <c r="AW76" s="1066"/>
      <c r="AX76" s="1066"/>
      <c r="AY76" s="1066"/>
    </row>
    <row r="77" spans="1:59">
      <c r="AU77" s="1057"/>
    </row>
    <row r="79" spans="1:59">
      <c r="A79" s="131" t="s">
        <v>1816</v>
      </c>
      <c r="B79" s="1716">
        <v>7</v>
      </c>
      <c r="C79" s="1716">
        <v>7</v>
      </c>
      <c r="D79" s="1716">
        <v>7</v>
      </c>
      <c r="E79" s="1716">
        <v>7</v>
      </c>
      <c r="F79" s="1716">
        <v>7</v>
      </c>
      <c r="G79" s="1716">
        <v>7</v>
      </c>
      <c r="H79" s="1716">
        <v>7</v>
      </c>
      <c r="I79" s="1716">
        <v>7</v>
      </c>
      <c r="J79" s="1716">
        <v>7</v>
      </c>
      <c r="K79" s="1716">
        <v>7</v>
      </c>
      <c r="L79" s="1716">
        <v>7</v>
      </c>
      <c r="M79" s="1716">
        <v>7</v>
      </c>
      <c r="N79" s="1716">
        <v>7</v>
      </c>
      <c r="O79" s="1716">
        <v>7</v>
      </c>
      <c r="P79" s="1716">
        <v>7</v>
      </c>
      <c r="Q79" s="1717">
        <v>7</v>
      </c>
      <c r="R79" s="1717">
        <v>7</v>
      </c>
      <c r="S79" s="1709">
        <v>3</v>
      </c>
      <c r="T79" s="1710">
        <v>7</v>
      </c>
      <c r="U79" s="1710">
        <v>7</v>
      </c>
      <c r="V79" s="1709">
        <v>7</v>
      </c>
      <c r="W79" s="1709">
        <v>4</v>
      </c>
      <c r="X79" s="1710">
        <v>7</v>
      </c>
      <c r="Y79" s="1709">
        <v>7</v>
      </c>
      <c r="Z79" s="1710">
        <v>7</v>
      </c>
      <c r="AA79" s="1709">
        <v>7</v>
      </c>
      <c r="AB79" s="1710">
        <v>7</v>
      </c>
      <c r="AC79" s="1709">
        <v>7</v>
      </c>
      <c r="AD79" s="1710">
        <v>7</v>
      </c>
      <c r="AE79" s="1709">
        <v>7</v>
      </c>
      <c r="AF79" s="1710">
        <v>7</v>
      </c>
      <c r="AG79" s="1709">
        <v>7</v>
      </c>
      <c r="AH79" s="1710">
        <v>7</v>
      </c>
      <c r="AI79" s="1710">
        <v>7</v>
      </c>
      <c r="AJ79" s="1709">
        <v>3</v>
      </c>
      <c r="AK79" s="1710">
        <v>5</v>
      </c>
      <c r="AL79" s="1710">
        <v>7</v>
      </c>
      <c r="AM79" s="1710">
        <v>7</v>
      </c>
      <c r="AN79" s="1709">
        <v>7</v>
      </c>
      <c r="AO79" s="1709">
        <v>2</v>
      </c>
    </row>
    <row r="80" spans="1:59">
      <c r="A80" s="131" t="s">
        <v>1815</v>
      </c>
      <c r="B80" s="1711" t="s">
        <v>1773</v>
      </c>
      <c r="C80" s="1711" t="s">
        <v>1773</v>
      </c>
      <c r="D80" s="1711" t="s">
        <v>1773</v>
      </c>
      <c r="E80" s="1711" t="s">
        <v>1773</v>
      </c>
      <c r="F80" s="1711" t="s">
        <v>1773</v>
      </c>
      <c r="G80" s="1711" t="s">
        <v>1773</v>
      </c>
      <c r="H80" s="1711" t="s">
        <v>1773</v>
      </c>
      <c r="I80" s="1711" t="s">
        <v>1773</v>
      </c>
      <c r="J80" s="1711" t="s">
        <v>1773</v>
      </c>
      <c r="K80" s="1711" t="s">
        <v>1773</v>
      </c>
      <c r="L80" s="1711" t="s">
        <v>1773</v>
      </c>
      <c r="M80" s="1711" t="s">
        <v>1773</v>
      </c>
      <c r="N80" s="1711" t="s">
        <v>1773</v>
      </c>
      <c r="O80" s="1711" t="s">
        <v>1773</v>
      </c>
      <c r="P80" s="1711" t="s">
        <v>1773</v>
      </c>
      <c r="Q80" s="1711" t="s">
        <v>1773</v>
      </c>
      <c r="R80" s="1711" t="s">
        <v>1826</v>
      </c>
      <c r="S80" s="1711" t="s">
        <v>1775</v>
      </c>
      <c r="T80" s="1711" t="s">
        <v>1775</v>
      </c>
      <c r="U80" s="1711" t="s">
        <v>1775</v>
      </c>
      <c r="V80" s="1711" t="s">
        <v>1775</v>
      </c>
      <c r="W80" s="1711" t="s">
        <v>1775</v>
      </c>
      <c r="X80" s="1711" t="s">
        <v>1776</v>
      </c>
      <c r="Y80" s="1711" t="s">
        <v>1777</v>
      </c>
      <c r="Z80" s="1711" t="s">
        <v>1777</v>
      </c>
      <c r="AA80" s="1711" t="s">
        <v>108</v>
      </c>
      <c r="AB80" s="1711" t="s">
        <v>108</v>
      </c>
      <c r="AC80" s="1711" t="s">
        <v>108</v>
      </c>
      <c r="AD80" s="1711" t="s">
        <v>1778</v>
      </c>
      <c r="AE80" s="1711" t="s">
        <v>1778</v>
      </c>
      <c r="AF80" s="1711" t="s">
        <v>1779</v>
      </c>
      <c r="AG80" s="1711" t="s">
        <v>1779</v>
      </c>
      <c r="AH80" s="1711" t="s">
        <v>1780</v>
      </c>
      <c r="AI80" s="1711" t="s">
        <v>1780</v>
      </c>
      <c r="AJ80" s="1711" t="s">
        <v>1780</v>
      </c>
      <c r="AK80" s="1711" t="s">
        <v>1781</v>
      </c>
      <c r="AL80" s="1711" t="s">
        <v>1781</v>
      </c>
      <c r="AM80" s="1711" t="s">
        <v>1781</v>
      </c>
      <c r="AN80" s="1711" t="s">
        <v>1781</v>
      </c>
      <c r="AO80" s="1711" t="s">
        <v>1781</v>
      </c>
    </row>
    <row r="81" spans="1:41">
      <c r="A81" s="131" t="s">
        <v>323</v>
      </c>
      <c r="B81" s="1711">
        <v>-16</v>
      </c>
      <c r="C81" s="1711">
        <v>-15</v>
      </c>
      <c r="D81" s="1711">
        <v>-14</v>
      </c>
      <c r="E81" s="1711">
        <v>-13</v>
      </c>
      <c r="F81" s="1711">
        <v>-12</v>
      </c>
      <c r="G81" s="1711">
        <v>-11</v>
      </c>
      <c r="H81" s="1711">
        <v>-10</v>
      </c>
      <c r="I81" s="1711">
        <v>-9</v>
      </c>
      <c r="J81" s="1711">
        <v>-8</v>
      </c>
      <c r="K81" s="1711">
        <v>-7</v>
      </c>
      <c r="L81" s="1711">
        <v>-6</v>
      </c>
      <c r="M81" s="1711">
        <v>-5</v>
      </c>
      <c r="N81" s="1711">
        <v>-4</v>
      </c>
      <c r="O81" s="1711">
        <v>-3</v>
      </c>
      <c r="P81" s="1711">
        <v>-2</v>
      </c>
      <c r="Q81" s="1711">
        <v>-1</v>
      </c>
      <c r="R81" s="1711">
        <v>0</v>
      </c>
      <c r="S81" s="276">
        <v>1</v>
      </c>
      <c r="T81" s="276">
        <v>2</v>
      </c>
      <c r="U81" s="276">
        <v>3</v>
      </c>
      <c r="V81" s="276">
        <v>4</v>
      </c>
      <c r="W81" s="276">
        <v>5</v>
      </c>
      <c r="X81" s="276">
        <v>6</v>
      </c>
      <c r="Y81" s="276">
        <v>7</v>
      </c>
      <c r="Z81" s="276">
        <v>8</v>
      </c>
      <c r="AA81" s="276">
        <v>9</v>
      </c>
      <c r="AB81" s="276">
        <v>10</v>
      </c>
      <c r="AC81" s="276">
        <v>11</v>
      </c>
      <c r="AD81" s="276">
        <v>12</v>
      </c>
      <c r="AE81" s="276">
        <v>13</v>
      </c>
      <c r="AF81" s="276">
        <v>14</v>
      </c>
      <c r="AG81" s="276">
        <v>15</v>
      </c>
      <c r="AH81" s="276">
        <v>16</v>
      </c>
      <c r="AI81" s="276">
        <v>17</v>
      </c>
      <c r="AJ81" s="276">
        <v>18</v>
      </c>
      <c r="AK81" s="276">
        <v>18</v>
      </c>
      <c r="AL81" s="276">
        <v>19</v>
      </c>
      <c r="AM81" s="276">
        <v>20</v>
      </c>
      <c r="AN81" s="276">
        <v>21</v>
      </c>
      <c r="AO81" s="276">
        <v>22</v>
      </c>
    </row>
    <row r="82" spans="1:41" ht="16.149999999999999" thickBot="1">
      <c r="A82" s="131"/>
      <c r="B82" s="1718">
        <f>+B83*B79</f>
        <v>17.5</v>
      </c>
      <c r="C82" s="1718">
        <f t="shared" ref="C82:R82" si="52">+C83*C79</f>
        <v>17.5</v>
      </c>
      <c r="D82" s="1718">
        <f t="shared" si="52"/>
        <v>17.5</v>
      </c>
      <c r="E82" s="1718">
        <f t="shared" si="52"/>
        <v>17.5</v>
      </c>
      <c r="F82" s="1718">
        <f t="shared" si="52"/>
        <v>16.099999999999998</v>
      </c>
      <c r="G82" s="1718">
        <f t="shared" si="52"/>
        <v>16.099999999999998</v>
      </c>
      <c r="H82" s="1718">
        <f t="shared" si="52"/>
        <v>16.099999999999998</v>
      </c>
      <c r="I82" s="1718">
        <f t="shared" si="52"/>
        <v>16.099999999999998</v>
      </c>
      <c r="J82" s="1718">
        <f t="shared" si="52"/>
        <v>16.099999999999998</v>
      </c>
      <c r="K82" s="1718">
        <f t="shared" si="52"/>
        <v>16.099999999999998</v>
      </c>
      <c r="L82" s="1718">
        <f t="shared" si="52"/>
        <v>16.099999999999998</v>
      </c>
      <c r="M82" s="1718">
        <f t="shared" si="52"/>
        <v>16.099999999999998</v>
      </c>
      <c r="N82" s="1718">
        <f t="shared" si="52"/>
        <v>19.599999999999998</v>
      </c>
      <c r="O82" s="1718">
        <f t="shared" si="52"/>
        <v>19.599999999999998</v>
      </c>
      <c r="P82" s="1718">
        <f t="shared" si="52"/>
        <v>19.599999999999998</v>
      </c>
      <c r="Q82" s="1718">
        <f t="shared" si="52"/>
        <v>19.599999999999998</v>
      </c>
      <c r="R82" s="1718">
        <f t="shared" si="52"/>
        <v>35</v>
      </c>
      <c r="S82" s="1698">
        <v>0.3</v>
      </c>
      <c r="T82" s="1699">
        <v>1.8</v>
      </c>
      <c r="U82" s="1699">
        <v>2.5</v>
      </c>
      <c r="V82" s="1699">
        <v>3.5</v>
      </c>
      <c r="W82" s="1700">
        <v>2</v>
      </c>
      <c r="X82" s="1701">
        <v>4.5</v>
      </c>
      <c r="Y82" s="1702">
        <v>6</v>
      </c>
      <c r="Z82" s="1702">
        <v>7</v>
      </c>
      <c r="AA82" s="1703">
        <v>10.5</v>
      </c>
      <c r="AB82" s="1703">
        <v>11.9</v>
      </c>
      <c r="AC82" s="1703">
        <v>13.3</v>
      </c>
      <c r="AD82" s="1704">
        <v>15.4</v>
      </c>
      <c r="AE82" s="1704">
        <v>17.5</v>
      </c>
      <c r="AF82" s="1705">
        <v>18.2</v>
      </c>
      <c r="AG82" s="1705">
        <v>18.899999999999999</v>
      </c>
      <c r="AH82" s="1706">
        <v>20.3</v>
      </c>
      <c r="AI82" s="1706">
        <v>21.7</v>
      </c>
      <c r="AJ82" s="1706">
        <v>9.3000000000000007</v>
      </c>
      <c r="AK82" s="1707">
        <v>15.5</v>
      </c>
      <c r="AL82" s="1707">
        <v>21.7</v>
      </c>
      <c r="AM82" s="1707">
        <v>21.7</v>
      </c>
      <c r="AN82" s="1708">
        <v>21.7</v>
      </c>
      <c r="AO82" s="1708">
        <v>6.2</v>
      </c>
    </row>
    <row r="83" spans="1:41">
      <c r="A83" s="131" t="s">
        <v>1817</v>
      </c>
      <c r="B83" s="142">
        <v>2.5</v>
      </c>
      <c r="C83" s="142">
        <v>2.5</v>
      </c>
      <c r="D83" s="142">
        <v>2.5</v>
      </c>
      <c r="E83" s="142">
        <v>2.5</v>
      </c>
      <c r="F83" s="142">
        <v>2.2999999999999998</v>
      </c>
      <c r="G83" s="142">
        <v>2.2999999999999998</v>
      </c>
      <c r="H83" s="142">
        <v>2.2999999999999998</v>
      </c>
      <c r="I83" s="142">
        <v>2.2999999999999998</v>
      </c>
      <c r="J83" s="142">
        <v>2.2999999999999998</v>
      </c>
      <c r="K83" s="142">
        <v>2.2999999999999998</v>
      </c>
      <c r="L83" s="142">
        <v>2.2999999999999998</v>
      </c>
      <c r="M83" s="142">
        <v>2.2999999999999998</v>
      </c>
      <c r="N83" s="142">
        <v>2.8</v>
      </c>
      <c r="O83" s="142">
        <v>2.8</v>
      </c>
      <c r="P83" s="142">
        <v>2.8</v>
      </c>
      <c r="Q83" s="142">
        <v>2.8</v>
      </c>
      <c r="R83" s="142">
        <v>5</v>
      </c>
      <c r="S83" s="1712">
        <f>+S82/S79</f>
        <v>9.9999999999999992E-2</v>
      </c>
      <c r="T83" s="1712">
        <f t="shared" ref="T83:V83" si="53">+T82/T79</f>
        <v>0.25714285714285717</v>
      </c>
      <c r="U83" s="1712">
        <f t="shared" si="53"/>
        <v>0.35714285714285715</v>
      </c>
      <c r="V83" s="1712">
        <f t="shared" si="53"/>
        <v>0.5</v>
      </c>
      <c r="W83" s="1712">
        <f>+W82/W79</f>
        <v>0.5</v>
      </c>
      <c r="X83" s="1712">
        <f t="shared" ref="X83:AD83" si="54">+X82/X79</f>
        <v>0.6428571428571429</v>
      </c>
      <c r="Y83" s="1712">
        <f t="shared" si="54"/>
        <v>0.8571428571428571</v>
      </c>
      <c r="Z83" s="1712">
        <f t="shared" si="54"/>
        <v>1</v>
      </c>
      <c r="AA83" s="1712">
        <f t="shared" si="54"/>
        <v>1.5</v>
      </c>
      <c r="AB83" s="1712">
        <f t="shared" si="54"/>
        <v>1.7</v>
      </c>
      <c r="AC83" s="1712">
        <f t="shared" si="54"/>
        <v>1.9000000000000001</v>
      </c>
      <c r="AD83" s="1712">
        <f t="shared" si="54"/>
        <v>2.2000000000000002</v>
      </c>
      <c r="AE83" s="1712">
        <f>+AE82/AE79</f>
        <v>2.5</v>
      </c>
      <c r="AF83" s="1712">
        <f t="shared" ref="AF83:AJ83" si="55">+AF82/AF79</f>
        <v>2.6</v>
      </c>
      <c r="AG83" s="1712">
        <f t="shared" si="55"/>
        <v>2.6999999999999997</v>
      </c>
      <c r="AH83" s="1712">
        <f t="shared" si="55"/>
        <v>2.9</v>
      </c>
      <c r="AI83" s="1712">
        <f t="shared" si="55"/>
        <v>3.1</v>
      </c>
      <c r="AJ83" s="1712">
        <f t="shared" si="55"/>
        <v>3.1</v>
      </c>
      <c r="AK83" s="1712">
        <f>+AK82/AK79</f>
        <v>3.1</v>
      </c>
      <c r="AL83" s="1712">
        <f t="shared" ref="AL83:AO83" si="56">+AL82/AL79</f>
        <v>3.1</v>
      </c>
      <c r="AM83" s="1712">
        <f t="shared" si="56"/>
        <v>3.1</v>
      </c>
      <c r="AN83" s="1712">
        <f t="shared" si="56"/>
        <v>3.1</v>
      </c>
      <c r="AO83" s="1712">
        <f t="shared" si="56"/>
        <v>3.1</v>
      </c>
    </row>
    <row r="84" spans="1:41">
      <c r="B84" s="1081">
        <f>'Summary Total Pigs'!AF54/17*4</f>
        <v>252.23529411764707</v>
      </c>
      <c r="C84" s="817">
        <f>+B84</f>
        <v>252.23529411764707</v>
      </c>
      <c r="D84" s="817">
        <f t="shared" ref="D84:R84" si="57">+C84</f>
        <v>252.23529411764707</v>
      </c>
      <c r="E84" s="817">
        <f t="shared" si="57"/>
        <v>252.23529411764707</v>
      </c>
      <c r="F84" s="817">
        <f t="shared" si="57"/>
        <v>252.23529411764707</v>
      </c>
      <c r="G84" s="817">
        <f t="shared" si="57"/>
        <v>252.23529411764707</v>
      </c>
      <c r="H84" s="817">
        <f t="shared" si="57"/>
        <v>252.23529411764707</v>
      </c>
      <c r="I84" s="817">
        <f t="shared" si="57"/>
        <v>252.23529411764707</v>
      </c>
      <c r="J84" s="817">
        <f t="shared" si="57"/>
        <v>252.23529411764707</v>
      </c>
      <c r="K84" s="817">
        <f t="shared" si="57"/>
        <v>252.23529411764707</v>
      </c>
      <c r="L84" s="817">
        <f t="shared" si="57"/>
        <v>252.23529411764707</v>
      </c>
      <c r="M84" s="817">
        <f t="shared" si="57"/>
        <v>252.23529411764707</v>
      </c>
      <c r="N84" s="817">
        <f t="shared" si="57"/>
        <v>252.23529411764707</v>
      </c>
      <c r="O84" s="817">
        <f t="shared" si="57"/>
        <v>252.23529411764707</v>
      </c>
      <c r="P84" s="817">
        <f t="shared" si="57"/>
        <v>252.23529411764707</v>
      </c>
      <c r="Q84" s="817">
        <f t="shared" si="57"/>
        <v>252.23529411764707</v>
      </c>
      <c r="R84" s="817">
        <f t="shared" si="57"/>
        <v>252.23529411764707</v>
      </c>
      <c r="S84" s="817">
        <f>+R84</f>
        <v>252.23529411764707</v>
      </c>
      <c r="T84" s="817">
        <f t="shared" ref="T84:V84" si="58">+S84</f>
        <v>252.23529411764707</v>
      </c>
      <c r="U84" s="817">
        <f t="shared" si="58"/>
        <v>252.23529411764707</v>
      </c>
      <c r="V84" s="817">
        <f t="shared" si="58"/>
        <v>252.23529411764707</v>
      </c>
      <c r="W84" s="1059">
        <f t="shared" ref="W84:AK84" si="59">SUM(W7:Z7)</f>
        <v>1824</v>
      </c>
      <c r="X84" s="1059">
        <f t="shared" si="59"/>
        <v>2500</v>
      </c>
      <c r="Y84" s="1059">
        <f t="shared" si="59"/>
        <v>2495</v>
      </c>
      <c r="Z84" s="1059">
        <f t="shared" si="59"/>
        <v>2426</v>
      </c>
      <c r="AA84" s="1059">
        <f t="shared" si="59"/>
        <v>2313</v>
      </c>
      <c r="AB84" s="1059">
        <f t="shared" si="59"/>
        <v>2126</v>
      </c>
      <c r="AC84" s="1059">
        <f t="shared" si="59"/>
        <v>1988</v>
      </c>
      <c r="AD84" s="1059">
        <f t="shared" si="59"/>
        <v>1906</v>
      </c>
      <c r="AE84" s="1059">
        <f t="shared" si="59"/>
        <v>1898</v>
      </c>
      <c r="AF84" s="1059">
        <f t="shared" si="59"/>
        <v>1875</v>
      </c>
      <c r="AG84" s="1059">
        <f t="shared" si="59"/>
        <v>1866</v>
      </c>
      <c r="AH84" s="1059">
        <f t="shared" si="59"/>
        <v>1866</v>
      </c>
      <c r="AI84" s="1059">
        <f t="shared" si="59"/>
        <v>1860</v>
      </c>
      <c r="AJ84" s="1059">
        <f t="shared" si="59"/>
        <v>1854</v>
      </c>
      <c r="AK84" s="1059">
        <f t="shared" si="59"/>
        <v>1757</v>
      </c>
      <c r="AL84" s="1059">
        <f>SUM(AK7:AN7)</f>
        <v>1757</v>
      </c>
      <c r="AM84" s="1059">
        <f>SUM(AL7:AO7)</f>
        <v>1657</v>
      </c>
      <c r="AN84" s="1059">
        <f>SUM(AM7:AP7)</f>
        <v>1640</v>
      </c>
      <c r="AO84" s="1059">
        <f>SUM(AN7:AQ7)</f>
        <v>1609</v>
      </c>
    </row>
    <row r="85" spans="1:41">
      <c r="B85" s="1059">
        <f t="shared" ref="B85:R85" si="60">+B79*B83*B84</f>
        <v>4414.1176470588234</v>
      </c>
      <c r="C85" s="1059">
        <f>+C79*C83*C84</f>
        <v>4414.1176470588234</v>
      </c>
      <c r="D85" s="1059">
        <f t="shared" si="60"/>
        <v>4414.1176470588234</v>
      </c>
      <c r="E85" s="1059">
        <f t="shared" si="60"/>
        <v>4414.1176470588234</v>
      </c>
      <c r="F85" s="1059">
        <f t="shared" si="60"/>
        <v>4060.9882352941172</v>
      </c>
      <c r="G85" s="1059">
        <f t="shared" si="60"/>
        <v>4060.9882352941172</v>
      </c>
      <c r="H85" s="1059">
        <f t="shared" si="60"/>
        <v>4060.9882352941172</v>
      </c>
      <c r="I85" s="1059">
        <f t="shared" si="60"/>
        <v>4060.9882352941172</v>
      </c>
      <c r="J85" s="1059">
        <f t="shared" si="60"/>
        <v>4060.9882352941172</v>
      </c>
      <c r="K85" s="1059">
        <f t="shared" si="60"/>
        <v>4060.9882352941172</v>
      </c>
      <c r="L85" s="1059">
        <f t="shared" si="60"/>
        <v>4060.9882352941172</v>
      </c>
      <c r="M85" s="1059">
        <f t="shared" si="60"/>
        <v>4060.9882352941172</v>
      </c>
      <c r="N85" s="1059">
        <f t="shared" si="60"/>
        <v>4943.8117647058825</v>
      </c>
      <c r="O85" s="1059">
        <f t="shared" si="60"/>
        <v>4943.8117647058825</v>
      </c>
      <c r="P85" s="1059">
        <f t="shared" si="60"/>
        <v>4943.8117647058825</v>
      </c>
      <c r="Q85" s="1059">
        <f t="shared" si="60"/>
        <v>4943.8117647058825</v>
      </c>
      <c r="R85" s="1059">
        <f t="shared" si="60"/>
        <v>8828.2352941176468</v>
      </c>
      <c r="S85" s="1059">
        <f>+S79*S83*S84</f>
        <v>75.670588235294119</v>
      </c>
      <c r="T85" s="1059">
        <f t="shared" ref="T85:X85" si="61">+T79*T83*T84</f>
        <v>454.0235294117648</v>
      </c>
      <c r="U85" s="1059">
        <f t="shared" si="61"/>
        <v>630.58823529411768</v>
      </c>
      <c r="V85" s="1059">
        <f t="shared" si="61"/>
        <v>882.82352941176475</v>
      </c>
      <c r="W85" s="1059">
        <f t="shared" si="61"/>
        <v>3648</v>
      </c>
      <c r="X85" s="1059">
        <f t="shared" si="61"/>
        <v>11250</v>
      </c>
      <c r="Y85" s="1059">
        <f>+Y79*Y83*Y84</f>
        <v>14970</v>
      </c>
      <c r="Z85" s="1059">
        <f>+Z79*Z83*Z84</f>
        <v>16982</v>
      </c>
      <c r="AA85" s="1059">
        <f t="shared" ref="AA85:AC85" si="62">+AA79*AA83*AA84</f>
        <v>24286.5</v>
      </c>
      <c r="AB85" s="1059">
        <f t="shared" si="62"/>
        <v>25299.4</v>
      </c>
      <c r="AC85" s="1059">
        <f t="shared" si="62"/>
        <v>26440.400000000001</v>
      </c>
      <c r="AD85" s="1059">
        <f>+AD79*AD83*AD84</f>
        <v>29352.400000000005</v>
      </c>
      <c r="AE85" s="1059">
        <f>+AE79*AE83*AE84</f>
        <v>33215</v>
      </c>
      <c r="AF85" s="1059">
        <f t="shared" ref="AF85:AO85" si="63">+AF79*AF83*AF84</f>
        <v>34125</v>
      </c>
      <c r="AG85" s="1059">
        <f t="shared" si="63"/>
        <v>35267.399999999994</v>
      </c>
      <c r="AH85" s="1059">
        <f t="shared" si="63"/>
        <v>37879.800000000003</v>
      </c>
      <c r="AI85" s="1059">
        <f t="shared" si="63"/>
        <v>40362</v>
      </c>
      <c r="AJ85" s="1059">
        <f t="shared" si="63"/>
        <v>17242.2</v>
      </c>
      <c r="AK85" s="1059">
        <f t="shared" si="63"/>
        <v>27233.5</v>
      </c>
      <c r="AL85" s="1059">
        <f t="shared" si="63"/>
        <v>38126.9</v>
      </c>
      <c r="AM85" s="1059">
        <f t="shared" si="63"/>
        <v>35956.9</v>
      </c>
      <c r="AN85" s="1059">
        <f t="shared" si="63"/>
        <v>35588</v>
      </c>
      <c r="AO85" s="1059">
        <f t="shared" si="63"/>
        <v>9975.8000000000011</v>
      </c>
    </row>
    <row r="86" spans="1:41">
      <c r="R86" s="818">
        <f>SUM(B85:R85)</f>
        <v>78747.858823529416</v>
      </c>
      <c r="W86" s="818">
        <f>SUM(S85:W85)</f>
        <v>5691.105882352942</v>
      </c>
      <c r="X86" s="818">
        <f>SUM(X85)</f>
        <v>11250</v>
      </c>
      <c r="Z86" s="818">
        <f>SUM(Y85:Z85)</f>
        <v>31952</v>
      </c>
      <c r="AC86" s="818">
        <f>SUM(AA85:AC85)</f>
        <v>76026.3</v>
      </c>
      <c r="AE86" s="818">
        <f>SUM(AD85:AE85)</f>
        <v>62567.400000000009</v>
      </c>
      <c r="AG86" s="818">
        <f>SUM(AF85:AG85)</f>
        <v>69392.399999999994</v>
      </c>
      <c r="AJ86" s="818">
        <f>SUM(AH85:AJ85)</f>
        <v>95484</v>
      </c>
      <c r="AO86" s="818">
        <f>SUM(AK85:AO85)</f>
        <v>146881.09999999998</v>
      </c>
    </row>
    <row r="87" spans="1:41">
      <c r="B87" s="1715">
        <f>+B85/$R$86</f>
        <v>5.605381165919282E-2</v>
      </c>
      <c r="C87" s="1715">
        <f t="shared" ref="C87:R87" si="64">+C85/$R$86</f>
        <v>5.605381165919282E-2</v>
      </c>
      <c r="D87" s="1715">
        <f t="shared" si="64"/>
        <v>5.605381165919282E-2</v>
      </c>
      <c r="E87" s="1715">
        <f t="shared" si="64"/>
        <v>5.605381165919282E-2</v>
      </c>
      <c r="F87" s="1715">
        <f t="shared" si="64"/>
        <v>5.1569506726457388E-2</v>
      </c>
      <c r="G87" s="1715">
        <f t="shared" si="64"/>
        <v>5.1569506726457388E-2</v>
      </c>
      <c r="H87" s="1715">
        <f t="shared" si="64"/>
        <v>5.1569506726457388E-2</v>
      </c>
      <c r="I87" s="1715">
        <f t="shared" si="64"/>
        <v>5.1569506726457388E-2</v>
      </c>
      <c r="J87" s="1715">
        <f t="shared" si="64"/>
        <v>5.1569506726457388E-2</v>
      </c>
      <c r="K87" s="1715">
        <f t="shared" si="64"/>
        <v>5.1569506726457388E-2</v>
      </c>
      <c r="L87" s="1715">
        <f t="shared" si="64"/>
        <v>5.1569506726457388E-2</v>
      </c>
      <c r="M87" s="1715">
        <f t="shared" si="64"/>
        <v>5.1569506726457388E-2</v>
      </c>
      <c r="N87" s="1715">
        <f t="shared" si="64"/>
        <v>6.2780269058295965E-2</v>
      </c>
      <c r="O87" s="1715">
        <f t="shared" si="64"/>
        <v>6.2780269058295965E-2</v>
      </c>
      <c r="P87" s="1715">
        <f t="shared" si="64"/>
        <v>6.2780269058295965E-2</v>
      </c>
      <c r="Q87" s="1715">
        <f t="shared" si="64"/>
        <v>6.2780269058295965E-2</v>
      </c>
      <c r="R87" s="1715">
        <f t="shared" si="64"/>
        <v>0.11210762331838564</v>
      </c>
      <c r="S87" s="1715">
        <f>+S85/$W$86</f>
        <v>1.3296288946219486E-2</v>
      </c>
      <c r="T87" s="1715">
        <f t="shared" ref="T87:W87" si="65">+T85/$W$86</f>
        <v>7.9777733677316928E-2</v>
      </c>
      <c r="U87" s="1715">
        <f t="shared" si="65"/>
        <v>0.11080240788516239</v>
      </c>
      <c r="V87" s="1715">
        <f t="shared" si="65"/>
        <v>0.15512337103922735</v>
      </c>
      <c r="W87" s="1715">
        <f t="shared" si="65"/>
        <v>0.64100019845207368</v>
      </c>
      <c r="X87" s="1715">
        <f>+X85/X86</f>
        <v>1</v>
      </c>
      <c r="Y87" s="1715">
        <f>+Y85/Z86</f>
        <v>0.46851527290936407</v>
      </c>
      <c r="Z87" s="1715">
        <f>+Z85/Z86</f>
        <v>0.53148472709063599</v>
      </c>
      <c r="AA87" s="1715">
        <f>+AA85/AC86</f>
        <v>0.31944866447531972</v>
      </c>
      <c r="AB87" s="1715">
        <f>+AB85/AC86</f>
        <v>0.33277168558775055</v>
      </c>
      <c r="AC87" s="1715">
        <f>+AC85/AC86</f>
        <v>0.34777964993692972</v>
      </c>
      <c r="AD87" s="1715">
        <f>+AD85/AE86</f>
        <v>0.46913248752545256</v>
      </c>
      <c r="AE87" s="1715">
        <f>+AE85/AE86</f>
        <v>0.53086751247454733</v>
      </c>
      <c r="AF87" s="1715">
        <f>+AF85/AG86</f>
        <v>0.49176855102287864</v>
      </c>
      <c r="AG87" s="1715">
        <f>+AG85/AG86</f>
        <v>0.50823144897712136</v>
      </c>
      <c r="AH87" s="1715">
        <f>+AH85/AJ86</f>
        <v>0.39671358552218178</v>
      </c>
      <c r="AI87" s="1715">
        <f>+AI85/AJ86</f>
        <v>0.42270956390599473</v>
      </c>
      <c r="AJ87" s="1715">
        <f>+AJ85/AJ86</f>
        <v>0.18057685057182357</v>
      </c>
      <c r="AK87" s="1715">
        <f>+AK85/AO86</f>
        <v>0.18541187395791564</v>
      </c>
      <c r="AL87" s="1715">
        <f>+AL85/AO86</f>
        <v>0.25957662354108191</v>
      </c>
      <c r="AM87" s="1715">
        <f>+AM85/AO86</f>
        <v>0.24480276904244322</v>
      </c>
      <c r="AN87" s="1715">
        <f>+AN85/AO86</f>
        <v>0.24229121377767462</v>
      </c>
      <c r="AO87" s="1715">
        <f>+AO85/AO86</f>
        <v>6.7917519680884761E-2</v>
      </c>
    </row>
  </sheetData>
  <pageMargins left="0.7" right="0.7" top="0.75" bottom="0.75" header="0.3" footer="0.3"/>
  <pageSetup paperSize="9" scale="10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53">
    <tabColor theme="6" tint="-0.249977111117893"/>
  </sheetPr>
  <dimension ref="A1:AX95"/>
  <sheetViews>
    <sheetView view="pageBreakPreview" zoomScale="54" zoomScaleNormal="60" zoomScaleSheetLayoutView="70" workbookViewId="0">
      <pane xSplit="1" ySplit="4" topLeftCell="AI32" activePane="bottomRight" state="frozen"/>
      <selection pane="bottomRight" activeCell="AO63" sqref="AO63:AR63"/>
      <selection pane="bottomLeft" activeCell="A5" sqref="A5"/>
      <selection pane="topRight" activeCell="B1" sqref="B1"/>
    </sheetView>
  </sheetViews>
  <sheetFormatPr defaultRowHeight="13.15"/>
  <cols>
    <col min="1" max="1" width="36.28515625" bestFit="1" customWidth="1"/>
    <col min="2" max="2" width="22.28515625" bestFit="1" customWidth="1"/>
    <col min="3" max="3" width="18.42578125" bestFit="1" customWidth="1"/>
    <col min="4" max="4" width="21.85546875" bestFit="1" customWidth="1"/>
    <col min="5" max="5" width="18.42578125" bestFit="1" customWidth="1"/>
    <col min="6" max="6" width="19" bestFit="1" customWidth="1"/>
    <col min="7" max="13" width="19.42578125" bestFit="1" customWidth="1"/>
    <col min="14" max="14" width="18.42578125" bestFit="1" customWidth="1"/>
    <col min="15" max="17" width="19.42578125" bestFit="1" customWidth="1"/>
    <col min="18" max="18" width="18.42578125" bestFit="1" customWidth="1"/>
    <col min="19" max="19" width="21.28515625" bestFit="1" customWidth="1"/>
    <col min="20" max="20" width="16.85546875" bestFit="1" customWidth="1"/>
    <col min="21" max="21" width="17.28515625" bestFit="1" customWidth="1"/>
    <col min="22" max="22" width="18.28515625" bestFit="1" customWidth="1"/>
    <col min="23" max="25" width="22.28515625" bestFit="1" customWidth="1"/>
    <col min="26" max="26" width="21.28515625" customWidth="1"/>
    <col min="27" max="28" width="21.85546875" bestFit="1" customWidth="1"/>
    <col min="29" max="29" width="23" bestFit="1" customWidth="1"/>
    <col min="30" max="30" width="22.28515625" bestFit="1" customWidth="1"/>
    <col min="31" max="32" width="21.85546875" bestFit="1" customWidth="1"/>
    <col min="33" max="33" width="22.28515625" bestFit="1" customWidth="1"/>
    <col min="34" max="34" width="21.85546875" bestFit="1" customWidth="1"/>
    <col min="35" max="35" width="22.28515625" bestFit="1" customWidth="1"/>
    <col min="36" max="36" width="23.42578125" bestFit="1" customWidth="1"/>
    <col min="37" max="37" width="22.28515625" bestFit="1" customWidth="1"/>
    <col min="38" max="38" width="23.42578125" bestFit="1" customWidth="1"/>
    <col min="39" max="39" width="22.28515625" bestFit="1" customWidth="1"/>
    <col min="40" max="40" width="22.5703125" bestFit="1" customWidth="1"/>
    <col min="41" max="43" width="21.85546875" bestFit="1" customWidth="1"/>
    <col min="44" max="45" width="23" bestFit="1" customWidth="1"/>
    <col min="46" max="46" width="23" customWidth="1"/>
    <col min="47" max="47" width="20.5703125" bestFit="1" customWidth="1"/>
    <col min="48" max="48" width="17" bestFit="1" customWidth="1"/>
    <col min="49" max="49" width="18.42578125" bestFit="1" customWidth="1"/>
  </cols>
  <sheetData>
    <row r="1" spans="1:49" ht="15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057"/>
      <c r="AV1" s="142"/>
      <c r="AW1" s="142"/>
    </row>
    <row r="2" spans="1:49" ht="15.6">
      <c r="A2" s="1066" t="s">
        <v>1772</v>
      </c>
      <c r="B2" s="1079">
        <f>[1]Grasmere!B2</f>
        <v>1</v>
      </c>
      <c r="C2" s="1079">
        <f>[1]Grasmere!C2</f>
        <v>2</v>
      </c>
      <c r="D2" s="1079">
        <f>[1]Grasmere!D2</f>
        <v>3</v>
      </c>
      <c r="E2" s="1079">
        <f>[1]Grasmere!E2</f>
        <v>4</v>
      </c>
      <c r="F2" s="1079">
        <f>[1]Grasmere!F2</f>
        <v>5</v>
      </c>
      <c r="G2" s="1079">
        <f>[1]Grasmere!G2</f>
        <v>6</v>
      </c>
      <c r="H2" s="1079">
        <f>[1]Grasmere!H2</f>
        <v>7</v>
      </c>
      <c r="I2" s="1079">
        <f>[1]Grasmere!I2</f>
        <v>8</v>
      </c>
      <c r="J2" s="1079">
        <f>[1]Grasmere!J2</f>
        <v>9</v>
      </c>
      <c r="K2" s="1079">
        <f>[1]Grasmere!K2</f>
        <v>10</v>
      </c>
      <c r="L2" s="1079">
        <f>[1]Grasmere!L2</f>
        <v>11</v>
      </c>
      <c r="M2" s="1079">
        <f>[1]Grasmere!M2</f>
        <v>12</v>
      </c>
      <c r="N2" s="1079">
        <f>[1]Grasmere!N2</f>
        <v>13</v>
      </c>
      <c r="O2" s="1079">
        <f>[1]Grasmere!O2</f>
        <v>14</v>
      </c>
      <c r="P2" s="1079">
        <f>[1]Grasmere!P2</f>
        <v>15</v>
      </c>
      <c r="Q2" s="1079">
        <f>[1]Grasmere!Q2</f>
        <v>16</v>
      </c>
      <c r="R2" s="1079">
        <f>[1]Grasmere!R2</f>
        <v>17</v>
      </c>
      <c r="S2" s="1079">
        <f>[1]Grasmere!S2</f>
        <v>18</v>
      </c>
      <c r="T2" s="1079">
        <f>[1]Grasmere!T2</f>
        <v>19</v>
      </c>
      <c r="U2" s="1079">
        <f>[1]Grasmere!U2</f>
        <v>20</v>
      </c>
      <c r="V2" s="1079">
        <f>[1]Grasmere!V2</f>
        <v>21</v>
      </c>
      <c r="W2" s="1079">
        <f>[1]Grasmere!W2</f>
        <v>22</v>
      </c>
      <c r="X2" s="1079">
        <f>[1]Grasmere!X2</f>
        <v>23</v>
      </c>
      <c r="Y2" s="1079">
        <f>[1]Grasmere!Y2</f>
        <v>24</v>
      </c>
      <c r="Z2" s="1079">
        <f>[1]Grasmere!Z2</f>
        <v>25</v>
      </c>
      <c r="AA2" s="1079">
        <f>[1]Grasmere!AA2</f>
        <v>26</v>
      </c>
      <c r="AB2" s="1079">
        <f>[1]Grasmere!AB2</f>
        <v>27</v>
      </c>
      <c r="AC2" s="1079">
        <f>[1]Grasmere!AC2</f>
        <v>28</v>
      </c>
      <c r="AD2" s="1079">
        <f>[1]Grasmere!AD2</f>
        <v>29</v>
      </c>
      <c r="AE2" s="1079">
        <f>[1]Grasmere!AE2</f>
        <v>30</v>
      </c>
      <c r="AF2" s="1079">
        <f>[1]Grasmere!AF2</f>
        <v>31</v>
      </c>
      <c r="AG2" s="1079">
        <f>[1]Grasmere!AG2</f>
        <v>32</v>
      </c>
      <c r="AH2" s="1079">
        <f>[1]Grasmere!AH2</f>
        <v>33</v>
      </c>
      <c r="AI2" s="1079">
        <f>[1]Grasmere!AI2</f>
        <v>34</v>
      </c>
      <c r="AJ2" s="1079">
        <f>[1]Grasmere!AJ2</f>
        <v>35</v>
      </c>
      <c r="AK2" s="1079">
        <f>[1]Grasmere!AK2</f>
        <v>36</v>
      </c>
      <c r="AL2" s="1079">
        <f>[1]Grasmere!AL2</f>
        <v>37</v>
      </c>
      <c r="AM2" s="1079">
        <f>[1]Grasmere!AM2</f>
        <v>38</v>
      </c>
      <c r="AN2" s="1079">
        <f>[1]Grasmere!AN2</f>
        <v>39</v>
      </c>
      <c r="AO2" s="1079">
        <v>40</v>
      </c>
      <c r="AP2" s="1079"/>
      <c r="AQ2" s="1079"/>
      <c r="AR2" s="1079"/>
      <c r="AS2" s="1079"/>
      <c r="AT2" s="1079"/>
      <c r="AU2" s="1057"/>
      <c r="AV2" s="142"/>
      <c r="AW2" s="142"/>
    </row>
    <row r="3" spans="1:49" ht="15.6">
      <c r="A3" s="142"/>
      <c r="B3" s="1079" t="s">
        <v>1773</v>
      </c>
      <c r="C3" s="1079" t="s">
        <v>1773</v>
      </c>
      <c r="D3" s="1079" t="s">
        <v>1773</v>
      </c>
      <c r="E3" s="1079" t="s">
        <v>1773</v>
      </c>
      <c r="F3" s="1079" t="s">
        <v>1773</v>
      </c>
      <c r="G3" s="1079" t="s">
        <v>1773</v>
      </c>
      <c r="H3" s="1079" t="s">
        <v>1773</v>
      </c>
      <c r="I3" s="1079" t="s">
        <v>1773</v>
      </c>
      <c r="J3" s="1079" t="s">
        <v>1773</v>
      </c>
      <c r="K3" s="1079" t="s">
        <v>1773</v>
      </c>
      <c r="L3" s="1079" t="s">
        <v>1773</v>
      </c>
      <c r="M3" s="1079" t="s">
        <v>1773</v>
      </c>
      <c r="N3" s="1079" t="s">
        <v>1773</v>
      </c>
      <c r="O3" s="1079" t="s">
        <v>1773</v>
      </c>
      <c r="P3" s="1079" t="s">
        <v>1773</v>
      </c>
      <c r="Q3" s="1079" t="s">
        <v>1773</v>
      </c>
      <c r="R3" s="1079" t="s">
        <v>1774</v>
      </c>
      <c r="S3" s="1079" t="s">
        <v>1775</v>
      </c>
      <c r="T3" s="1079" t="s">
        <v>1775</v>
      </c>
      <c r="U3" s="1079" t="s">
        <v>1775</v>
      </c>
      <c r="V3" s="1079" t="s">
        <v>1776</v>
      </c>
      <c r="W3" s="1079" t="s">
        <v>1776</v>
      </c>
      <c r="X3" s="1079" t="s">
        <v>1777</v>
      </c>
      <c r="Y3" s="1079" t="s">
        <v>1777</v>
      </c>
      <c r="Z3" s="1079" t="s">
        <v>108</v>
      </c>
      <c r="AA3" s="1079" t="s">
        <v>108</v>
      </c>
      <c r="AB3" s="1079" t="s">
        <v>108</v>
      </c>
      <c r="AC3" s="1079" t="s">
        <v>108</v>
      </c>
      <c r="AD3" s="1079" t="s">
        <v>1778</v>
      </c>
      <c r="AE3" s="1079" t="s">
        <v>1778</v>
      </c>
      <c r="AF3" s="1079" t="s">
        <v>1779</v>
      </c>
      <c r="AG3" s="1079" t="s">
        <v>1779</v>
      </c>
      <c r="AH3" s="1079" t="s">
        <v>1780</v>
      </c>
      <c r="AI3" s="1079" t="s">
        <v>1780</v>
      </c>
      <c r="AJ3" s="1079" t="s">
        <v>1781</v>
      </c>
      <c r="AK3" s="1079" t="s">
        <v>1781</v>
      </c>
      <c r="AL3" s="1079" t="s">
        <v>1781</v>
      </c>
      <c r="AM3" s="1079" t="s">
        <v>1781</v>
      </c>
      <c r="AN3" s="1079" t="s">
        <v>1781</v>
      </c>
      <c r="AO3" s="1079" t="s">
        <v>1781</v>
      </c>
      <c r="AP3" s="1079"/>
      <c r="AQ3" s="1079"/>
      <c r="AR3" s="1079"/>
      <c r="AS3" s="1079"/>
      <c r="AT3" s="1079"/>
      <c r="AU3" s="1057"/>
      <c r="AV3" s="142"/>
      <c r="AW3" s="142"/>
    </row>
    <row r="4" spans="1:49" ht="15.6">
      <c r="A4" s="1066" t="s">
        <v>1782</v>
      </c>
      <c r="B4" s="1079">
        <f>[1]Grasmere!B4</f>
        <v>23</v>
      </c>
      <c r="C4" s="1079">
        <f>[1]Grasmere!C4</f>
        <v>24</v>
      </c>
      <c r="D4" s="1079">
        <f>[1]Grasmere!D4</f>
        <v>25</v>
      </c>
      <c r="E4" s="1079">
        <f>[1]Grasmere!E4</f>
        <v>26</v>
      </c>
      <c r="F4" s="1079">
        <f>[1]Grasmere!F4</f>
        <v>27</v>
      </c>
      <c r="G4" s="1079">
        <f>[1]Grasmere!G4</f>
        <v>28</v>
      </c>
      <c r="H4" s="1079">
        <f>[1]Grasmere!H4</f>
        <v>29</v>
      </c>
      <c r="I4" s="1079">
        <f>[1]Grasmere!I4</f>
        <v>30</v>
      </c>
      <c r="J4" s="1079">
        <f>[1]Grasmere!J4</f>
        <v>31</v>
      </c>
      <c r="K4" s="1079">
        <f>[1]Grasmere!K4</f>
        <v>32</v>
      </c>
      <c r="L4" s="1079">
        <f>[1]Grasmere!L4</f>
        <v>33</v>
      </c>
      <c r="M4" s="1079">
        <f>[1]Grasmere!M4</f>
        <v>34</v>
      </c>
      <c r="N4" s="1079">
        <f>[1]Grasmere!N4</f>
        <v>35</v>
      </c>
      <c r="O4" s="1079">
        <f>[1]Grasmere!O4</f>
        <v>36</v>
      </c>
      <c r="P4" s="1079">
        <f>[1]Grasmere!P4</f>
        <v>37</v>
      </c>
      <c r="Q4" s="1079">
        <f>[1]Grasmere!Q4</f>
        <v>38</v>
      </c>
      <c r="R4" s="1079">
        <f>[1]Grasmere!R4</f>
        <v>39</v>
      </c>
      <c r="S4" s="1067">
        <f>[1]Grasmere!S4</f>
        <v>40</v>
      </c>
      <c r="T4" s="1079">
        <f>[1]Grasmere!T4</f>
        <v>41</v>
      </c>
      <c r="U4" s="1079">
        <f>[1]Grasmere!U4</f>
        <v>42</v>
      </c>
      <c r="V4" s="1079">
        <f>[1]Grasmere!V4</f>
        <v>43</v>
      </c>
      <c r="W4" s="1079">
        <f>[1]Grasmere!W4</f>
        <v>44</v>
      </c>
      <c r="X4" s="1079">
        <f>[1]Grasmere!X4</f>
        <v>45</v>
      </c>
      <c r="Y4" s="1079">
        <f>[1]Grasmere!Y4</f>
        <v>46</v>
      </c>
      <c r="Z4" s="1079">
        <f>[1]Grasmere!Z4</f>
        <v>47</v>
      </c>
      <c r="AA4" s="1079">
        <f>[1]Grasmere!AA4</f>
        <v>48</v>
      </c>
      <c r="AB4" s="1079">
        <f>[1]Grasmere!AB4</f>
        <v>49</v>
      </c>
      <c r="AC4" s="1079">
        <f>[1]Grasmere!AC4</f>
        <v>50</v>
      </c>
      <c r="AD4" s="1079">
        <f>[1]Grasmere!AD4</f>
        <v>51</v>
      </c>
      <c r="AE4" s="1079">
        <f>[1]Grasmere!AE4</f>
        <v>52</v>
      </c>
      <c r="AF4" s="1079">
        <f>[1]Grasmere!AF4</f>
        <v>1</v>
      </c>
      <c r="AG4" s="1079">
        <f>[1]Grasmere!AG4</f>
        <v>2</v>
      </c>
      <c r="AH4" s="1079">
        <f>[1]Grasmere!AH4</f>
        <v>3</v>
      </c>
      <c r="AI4" s="1079">
        <f>[1]Grasmere!AI4</f>
        <v>4</v>
      </c>
      <c r="AJ4" s="1079">
        <f>[1]Grasmere!AJ4</f>
        <v>5</v>
      </c>
      <c r="AK4" s="1079">
        <f>[1]Grasmere!AK4</f>
        <v>6</v>
      </c>
      <c r="AL4" s="1079">
        <f>[1]Grasmere!AL4</f>
        <v>7</v>
      </c>
      <c r="AM4" s="1079">
        <f>[1]Grasmere!AM4</f>
        <v>8</v>
      </c>
      <c r="AN4" s="1079">
        <f>[1]Grasmere!AN4</f>
        <v>9</v>
      </c>
      <c r="AO4" s="1079">
        <v>10</v>
      </c>
      <c r="AP4" s="1079"/>
      <c r="AQ4" s="1079"/>
      <c r="AR4" s="1079"/>
      <c r="AS4" s="1079"/>
      <c r="AT4" s="1079"/>
      <c r="AU4" s="1068"/>
      <c r="AV4" s="1066"/>
      <c r="AW4" s="1066"/>
    </row>
    <row r="5" spans="1:49" ht="31.15">
      <c r="A5" s="1066" t="s">
        <v>1783</v>
      </c>
      <c r="B5" s="1079">
        <f>[1]Grasmere!B5</f>
        <v>-16</v>
      </c>
      <c r="C5" s="1079">
        <f>[1]Grasmere!C5</f>
        <v>-15</v>
      </c>
      <c r="D5" s="1079">
        <f>[1]Grasmere!D5</f>
        <v>-14</v>
      </c>
      <c r="E5" s="1079">
        <f>[1]Grasmere!E5</f>
        <v>-13</v>
      </c>
      <c r="F5" s="1079">
        <f>[1]Grasmere!F5</f>
        <v>-12</v>
      </c>
      <c r="G5" s="1079">
        <f>[1]Grasmere!G5</f>
        <v>-11</v>
      </c>
      <c r="H5" s="1079">
        <f>[1]Grasmere!H5</f>
        <v>-10</v>
      </c>
      <c r="I5" s="1079">
        <f>[1]Grasmere!I5</f>
        <v>-9</v>
      </c>
      <c r="J5" s="1079">
        <f>[1]Grasmere!J5</f>
        <v>-8</v>
      </c>
      <c r="K5" s="1079">
        <f>[1]Grasmere!K5</f>
        <v>-7</v>
      </c>
      <c r="L5" s="1079">
        <f>[1]Grasmere!L5</f>
        <v>-6</v>
      </c>
      <c r="M5" s="1079">
        <f>[1]Grasmere!M5</f>
        <v>-5</v>
      </c>
      <c r="N5" s="1079">
        <f>[1]Grasmere!N5</f>
        <v>-4</v>
      </c>
      <c r="O5" s="1079">
        <f>[1]Grasmere!O5</f>
        <v>-3</v>
      </c>
      <c r="P5" s="1079">
        <f>[1]Grasmere!P5</f>
        <v>-2</v>
      </c>
      <c r="Q5" s="1079">
        <f>[1]Grasmere!Q5</f>
        <v>-1</v>
      </c>
      <c r="R5" s="1079">
        <f>[1]Grasmere!R5</f>
        <v>0</v>
      </c>
      <c r="S5" s="1079">
        <f>[1]Grasmere!S5</f>
        <v>1</v>
      </c>
      <c r="T5" s="1079">
        <f>[1]Grasmere!T5</f>
        <v>2</v>
      </c>
      <c r="U5" s="1079">
        <f>[1]Grasmere!U5</f>
        <v>3</v>
      </c>
      <c r="V5" s="1079">
        <f>[1]Grasmere!V5</f>
        <v>4</v>
      </c>
      <c r="W5" s="1079">
        <f>[1]Grasmere!W5</f>
        <v>5</v>
      </c>
      <c r="X5" s="1079">
        <f>[1]Grasmere!X5</f>
        <v>6</v>
      </c>
      <c r="Y5" s="1079">
        <f>[1]Grasmere!Y5</f>
        <v>7</v>
      </c>
      <c r="Z5" s="1079">
        <f>[1]Grasmere!Z5</f>
        <v>8</v>
      </c>
      <c r="AA5" s="1079">
        <f>[1]Grasmere!AA5</f>
        <v>9</v>
      </c>
      <c r="AB5" s="1079">
        <f>[1]Grasmere!AB5</f>
        <v>10</v>
      </c>
      <c r="AC5" s="1079">
        <f>[1]Grasmere!AC5</f>
        <v>11</v>
      </c>
      <c r="AD5" s="1079">
        <f>[1]Grasmere!AD5</f>
        <v>12</v>
      </c>
      <c r="AE5" s="1079">
        <f>[1]Grasmere!AE5</f>
        <v>13</v>
      </c>
      <c r="AF5" s="1079">
        <f>[1]Grasmere!AF5</f>
        <v>14</v>
      </c>
      <c r="AG5" s="1079">
        <f>[1]Grasmere!AG5</f>
        <v>15</v>
      </c>
      <c r="AH5" s="1079">
        <f>[1]Grasmere!AH5</f>
        <v>16</v>
      </c>
      <c r="AI5" s="1079">
        <f>[1]Grasmere!AI5</f>
        <v>17</v>
      </c>
      <c r="AJ5" s="1079">
        <f>[1]Grasmere!AJ5</f>
        <v>18</v>
      </c>
      <c r="AK5" s="1079">
        <f>[1]Grasmere!AK5</f>
        <v>19</v>
      </c>
      <c r="AL5" s="1079">
        <f>[1]Grasmere!AL5</f>
        <v>20</v>
      </c>
      <c r="AM5" s="1079">
        <f>[1]Grasmere!AM5</f>
        <v>21</v>
      </c>
      <c r="AN5" s="1079">
        <f>[1]Grasmere!AN5</f>
        <v>22</v>
      </c>
      <c r="AO5" s="1079">
        <v>23</v>
      </c>
      <c r="AP5" s="1079" t="str">
        <f>[1]Grasmere!AP5</f>
        <v>Sold</v>
      </c>
      <c r="AQ5" s="1079" t="str">
        <f>[1]Grasmere!AQ5</f>
        <v>Sold</v>
      </c>
      <c r="AR5" s="1079" t="str">
        <f>[1]Grasmere!AR5</f>
        <v>Sold</v>
      </c>
      <c r="AS5" s="1079" t="str">
        <f>[1]Grasmere!AS5</f>
        <v>Sold</v>
      </c>
      <c r="AT5" s="1079" t="s">
        <v>1784</v>
      </c>
      <c r="AU5" s="1069" t="s">
        <v>71</v>
      </c>
      <c r="AV5" s="1601" t="s">
        <v>1827</v>
      </c>
      <c r="AW5" s="142"/>
    </row>
    <row r="6" spans="1:49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O6" s="142"/>
      <c r="AP6" s="142"/>
      <c r="AQ6" s="142"/>
      <c r="AR6" s="142"/>
      <c r="AS6" s="142"/>
      <c r="AT6" s="142"/>
      <c r="AU6" s="1057"/>
      <c r="AV6" s="142"/>
      <c r="AW6" s="142"/>
    </row>
    <row r="7" spans="1:49" ht="15.6">
      <c r="A7" s="1066" t="str">
        <f>+'Grasmere Pig Cost'!A7</f>
        <v>Opening Stock (Pigs)</v>
      </c>
      <c r="B7" s="807"/>
      <c r="C7" s="807"/>
      <c r="D7" s="807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  <c r="U7" s="807"/>
      <c r="V7" s="807"/>
      <c r="W7" s="807">
        <f>'[2]Lionhead Ext. Pig Cost'!S29</f>
        <v>0</v>
      </c>
      <c r="X7" s="807">
        <f>'[2]Lionhead Ext. Pig Cost'!T29</f>
        <v>0</v>
      </c>
      <c r="Y7" s="807">
        <f>'[2]Lionhead Ext. Pig Cost'!U29</f>
        <v>0</v>
      </c>
      <c r="Z7" s="807">
        <f>'[2]Lionhead Ext. Pig Cost'!V29</f>
        <v>0</v>
      </c>
      <c r="AA7" s="807">
        <f>'[2]Lionhead Ext. Pig Cost'!W29</f>
        <v>106</v>
      </c>
      <c r="AB7" s="807">
        <f>'[2]Lionhead Ext. Pig Cost'!X29</f>
        <v>175</v>
      </c>
      <c r="AC7" s="807">
        <f>'[2]Lionhead Ext. Pig Cost'!Y29</f>
        <v>101</v>
      </c>
      <c r="AD7" s="807">
        <f>'[2]Lionhead Ext. Pig Cost'!Z29</f>
        <v>111</v>
      </c>
      <c r="AE7" s="807">
        <f>'[2]Lionhead Ext. Pig Cost'!AA29</f>
        <v>40</v>
      </c>
      <c r="AF7" s="807">
        <f>'[2]Lionhead Ext. Pig Cost'!AB29</f>
        <v>190</v>
      </c>
      <c r="AG7" s="807">
        <f>'[2]Lionhead Ext. Pig Cost'!AC29</f>
        <v>182</v>
      </c>
      <c r="AH7" s="807">
        <f>'[2]Lionhead Ext. Pig Cost'!AD29</f>
        <v>182</v>
      </c>
      <c r="AI7" s="807">
        <f>'[2]Lionhead Ext. Pig Cost'!AE29</f>
        <v>177</v>
      </c>
      <c r="AJ7" s="807">
        <f>'[2]Lionhead Ext. Pig Cost'!AF29</f>
        <v>238</v>
      </c>
      <c r="AK7" s="807">
        <f>'[2]Lionhead Ext. Pig Cost'!AG29</f>
        <v>268</v>
      </c>
      <c r="AL7" s="807">
        <f>'[2]Lionhead Ext. Pig Cost'!AH29</f>
        <v>222</v>
      </c>
      <c r="AM7" s="807">
        <f>'[2]Lionhead Ext. Pig Cost'!AI29</f>
        <v>214</v>
      </c>
      <c r="AN7" s="807">
        <f>'[2]Lionhead Ext. Pig Cost'!AJ29</f>
        <v>193</v>
      </c>
      <c r="AO7" s="807">
        <f>'[2]Lionhead Ext. Pig Cost'!AK29</f>
        <v>211</v>
      </c>
      <c r="AP7" s="807">
        <f>'[2]Lionhead Ext. Pig Cost'!AL29</f>
        <v>157</v>
      </c>
      <c r="AQ7" s="807">
        <f>'[2]Lionhead Ext. Pig Cost'!AM29</f>
        <v>238</v>
      </c>
      <c r="AR7" s="807">
        <f>'[2]Lionhead Ext. Pig Cost'!AN29</f>
        <v>186</v>
      </c>
      <c r="AS7" s="807">
        <f>'[2]Lionhead Ext. Pig Cost'!AO29</f>
        <v>0</v>
      </c>
      <c r="AT7" s="807">
        <f>'[2]Lionhead Ext. Pig Cost'!AP29</f>
        <v>0</v>
      </c>
      <c r="AU7" s="807">
        <f>SUM(W7:AT7)</f>
        <v>3191</v>
      </c>
      <c r="AV7" s="807">
        <f>'[2]Lionhead Ext. Pig Cost'!AU29</f>
        <v>3191</v>
      </c>
      <c r="AW7" s="818">
        <f>AU7-AV7</f>
        <v>0</v>
      </c>
    </row>
    <row r="8" spans="1:49" ht="15.6">
      <c r="A8" s="1066" t="str">
        <f>+'Grasmere Pig Cost'!A8</f>
        <v>Birth</v>
      </c>
      <c r="B8" s="1057">
        <v>0</v>
      </c>
      <c r="C8" s="1057">
        <v>0</v>
      </c>
      <c r="D8" s="1057"/>
      <c r="E8" s="1057"/>
      <c r="F8" s="1057"/>
      <c r="G8" s="1057"/>
      <c r="H8" s="1057"/>
      <c r="I8" s="1057"/>
      <c r="J8" s="1057"/>
      <c r="K8" s="1057"/>
      <c r="L8" s="1057"/>
      <c r="M8" s="1057"/>
      <c r="N8" s="1057"/>
      <c r="O8" s="1057"/>
      <c r="P8" s="1057"/>
      <c r="Q8" s="1057"/>
      <c r="R8" s="1057"/>
      <c r="S8" s="1057"/>
      <c r="T8" s="1057"/>
      <c r="U8" s="1057"/>
      <c r="V8" s="1057"/>
      <c r="W8" s="1057"/>
      <c r="X8" s="1057"/>
      <c r="Y8" s="1057"/>
      <c r="Z8" s="1057"/>
      <c r="AA8" s="1057"/>
      <c r="AB8" s="1057"/>
      <c r="AC8" s="1057"/>
      <c r="AD8" s="1057"/>
      <c r="AE8" s="1057"/>
      <c r="AF8" s="1057"/>
      <c r="AG8" s="1057"/>
      <c r="AH8" s="1057"/>
      <c r="AI8" s="1057"/>
      <c r="AJ8" s="1057"/>
      <c r="AK8" s="1057"/>
      <c r="AL8" s="1057"/>
      <c r="AM8" s="1057"/>
      <c r="AN8" s="1057"/>
      <c r="AO8" s="1057"/>
      <c r="AP8" s="1057"/>
      <c r="AQ8" s="1057"/>
      <c r="AR8" s="1057"/>
      <c r="AS8" s="1057"/>
      <c r="AT8" s="1057"/>
      <c r="AU8" s="807">
        <f>SUM(W8:AT8)</f>
        <v>0</v>
      </c>
      <c r="AV8" s="818">
        <f>+'Summary Total Pigs'!J69</f>
        <v>0</v>
      </c>
      <c r="AW8" s="1170">
        <f t="shared" ref="AW8:AW13" si="0">AU8-AV8</f>
        <v>0</v>
      </c>
    </row>
    <row r="9" spans="1:49" ht="15.6">
      <c r="A9" s="1066" t="str">
        <f>+'Grasmere Pig Cost'!A9</f>
        <v>Transfer In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1057"/>
      <c r="T9" s="1057"/>
      <c r="U9" s="1057"/>
      <c r="V9" s="1057"/>
      <c r="W9" s="1057"/>
      <c r="X9" s="1057"/>
      <c r="Y9" s="1057"/>
      <c r="Z9" s="1057"/>
      <c r="AA9" s="1057"/>
      <c r="AB9" s="1057"/>
      <c r="AC9" s="1057"/>
      <c r="AD9" s="1057"/>
      <c r="AE9" s="1057"/>
      <c r="AF9" s="1057"/>
      <c r="AG9" s="1057"/>
      <c r="AH9" s="1057"/>
      <c r="AI9" s="1057"/>
      <c r="AJ9" s="1057"/>
      <c r="AK9" s="1057"/>
      <c r="AL9" s="1057"/>
      <c r="AM9" s="1057"/>
      <c r="AN9" s="1057"/>
      <c r="AO9" s="1057"/>
      <c r="AP9" s="1057"/>
      <c r="AQ9" s="1057"/>
      <c r="AR9" s="1057"/>
      <c r="AS9" s="1057"/>
      <c r="AT9" s="1057"/>
      <c r="AU9" s="807">
        <f t="shared" ref="AU9:AU10" si="1">SUM(W9:AT9)</f>
        <v>0</v>
      </c>
      <c r="AV9" s="818">
        <f>SUM('Summary Total Pigs'!D69:D71)</f>
        <v>815</v>
      </c>
      <c r="AW9" s="818"/>
    </row>
    <row r="10" spans="1:49" ht="15.6">
      <c r="A10" s="1066" t="str">
        <f>+'Grasmere Pig Cost'!A10</f>
        <v>Transfer (Out)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1057"/>
      <c r="T10" s="1057"/>
      <c r="U10" s="1057"/>
      <c r="V10" s="1057"/>
      <c r="W10" s="1057"/>
      <c r="X10" s="1057"/>
      <c r="Y10" s="1057"/>
      <c r="Z10" s="1057"/>
      <c r="AA10" s="1057"/>
      <c r="AB10" s="1057"/>
      <c r="AC10" s="1057"/>
      <c r="AD10" s="1057"/>
      <c r="AE10" s="1057"/>
      <c r="AF10" s="1057"/>
      <c r="AG10" s="1057"/>
      <c r="AH10" s="1057"/>
      <c r="AI10" s="1057"/>
      <c r="AJ10" s="1057"/>
      <c r="AK10" s="1057"/>
      <c r="AL10" s="1057"/>
      <c r="AM10" s="1057"/>
      <c r="AN10" s="1057"/>
      <c r="AO10" s="1057"/>
      <c r="AP10" s="1057"/>
      <c r="AQ10" s="1057"/>
      <c r="AR10" s="1057"/>
      <c r="AS10" s="1057"/>
      <c r="AT10" s="1057"/>
      <c r="AU10" s="807">
        <f t="shared" si="1"/>
        <v>0</v>
      </c>
      <c r="AV10" s="818">
        <f>SUM('Summary Total Pigs'!N69:N71)</f>
        <v>-815</v>
      </c>
      <c r="AW10" s="818"/>
    </row>
    <row r="11" spans="1:49" ht="15.6">
      <c r="A11" s="1066" t="str">
        <f>+'Grasmere Pig Cost'!A11</f>
        <v>Total before Mortality</v>
      </c>
      <c r="B11" s="1068">
        <f t="shared" ref="B11:R11" si="2">SUM(B7:B8)</f>
        <v>0</v>
      </c>
      <c r="C11" s="1068">
        <f t="shared" si="2"/>
        <v>0</v>
      </c>
      <c r="D11" s="1068">
        <f t="shared" si="2"/>
        <v>0</v>
      </c>
      <c r="E11" s="1068">
        <f t="shared" si="2"/>
        <v>0</v>
      </c>
      <c r="F11" s="1068">
        <f t="shared" si="2"/>
        <v>0</v>
      </c>
      <c r="G11" s="1068">
        <f t="shared" si="2"/>
        <v>0</v>
      </c>
      <c r="H11" s="1068">
        <f t="shared" si="2"/>
        <v>0</v>
      </c>
      <c r="I11" s="1068">
        <f t="shared" si="2"/>
        <v>0</v>
      </c>
      <c r="J11" s="1068">
        <f t="shared" si="2"/>
        <v>0</v>
      </c>
      <c r="K11" s="1068">
        <f t="shared" si="2"/>
        <v>0</v>
      </c>
      <c r="L11" s="1068">
        <f t="shared" si="2"/>
        <v>0</v>
      </c>
      <c r="M11" s="1068">
        <f t="shared" si="2"/>
        <v>0</v>
      </c>
      <c r="N11" s="1068">
        <f t="shared" si="2"/>
        <v>0</v>
      </c>
      <c r="O11" s="1068">
        <f t="shared" si="2"/>
        <v>0</v>
      </c>
      <c r="P11" s="1068">
        <f t="shared" si="2"/>
        <v>0</v>
      </c>
      <c r="Q11" s="1068">
        <f t="shared" si="2"/>
        <v>0</v>
      </c>
      <c r="R11" s="1068">
        <f t="shared" si="2"/>
        <v>0</v>
      </c>
      <c r="S11" s="1068">
        <f t="shared" ref="S11:AV11" si="3">SUM(S7:S10)</f>
        <v>0</v>
      </c>
      <c r="T11" s="1068">
        <f t="shared" si="3"/>
        <v>0</v>
      </c>
      <c r="U11" s="1068">
        <f t="shared" si="3"/>
        <v>0</v>
      </c>
      <c r="V11" s="1068">
        <f>SUM(V7:V10)</f>
        <v>0</v>
      </c>
      <c r="W11" s="1068">
        <f t="shared" ref="W11:AT11" si="4">SUM(W7:W10)</f>
        <v>0</v>
      </c>
      <c r="X11" s="1068">
        <f t="shared" si="4"/>
        <v>0</v>
      </c>
      <c r="Y11" s="1068">
        <f t="shared" si="4"/>
        <v>0</v>
      </c>
      <c r="Z11" s="1068">
        <f t="shared" si="4"/>
        <v>0</v>
      </c>
      <c r="AA11" s="1068">
        <f t="shared" si="4"/>
        <v>106</v>
      </c>
      <c r="AB11" s="1068">
        <f t="shared" si="4"/>
        <v>175</v>
      </c>
      <c r="AC11" s="1068">
        <f t="shared" si="4"/>
        <v>101</v>
      </c>
      <c r="AD11" s="1068">
        <f t="shared" si="4"/>
        <v>111</v>
      </c>
      <c r="AE11" s="1068">
        <f t="shared" si="4"/>
        <v>40</v>
      </c>
      <c r="AF11" s="1068">
        <f t="shared" si="4"/>
        <v>190</v>
      </c>
      <c r="AG11" s="1068">
        <f t="shared" si="4"/>
        <v>182</v>
      </c>
      <c r="AH11" s="1068">
        <f t="shared" si="4"/>
        <v>182</v>
      </c>
      <c r="AI11" s="1068">
        <f t="shared" si="4"/>
        <v>177</v>
      </c>
      <c r="AJ11" s="1068">
        <f t="shared" si="4"/>
        <v>238</v>
      </c>
      <c r="AK11" s="1068">
        <f t="shared" si="4"/>
        <v>268</v>
      </c>
      <c r="AL11" s="1068">
        <f t="shared" si="4"/>
        <v>222</v>
      </c>
      <c r="AM11" s="1068">
        <f t="shared" si="4"/>
        <v>214</v>
      </c>
      <c r="AN11" s="1068">
        <f t="shared" si="4"/>
        <v>193</v>
      </c>
      <c r="AO11" s="1068">
        <f t="shared" si="4"/>
        <v>211</v>
      </c>
      <c r="AP11" s="1068">
        <f t="shared" si="4"/>
        <v>157</v>
      </c>
      <c r="AQ11" s="1068">
        <f t="shared" si="4"/>
        <v>238</v>
      </c>
      <c r="AR11" s="1068">
        <f t="shared" si="4"/>
        <v>186</v>
      </c>
      <c r="AS11" s="1068">
        <f t="shared" si="4"/>
        <v>0</v>
      </c>
      <c r="AT11" s="1068">
        <f t="shared" si="4"/>
        <v>0</v>
      </c>
      <c r="AU11" s="1068">
        <f>SUM(AU7:AU10)</f>
        <v>3191</v>
      </c>
      <c r="AV11" s="1068">
        <f t="shared" si="3"/>
        <v>3191</v>
      </c>
      <c r="AW11" s="1170">
        <f t="shared" si="0"/>
        <v>0</v>
      </c>
    </row>
    <row r="12" spans="1:49" ht="15">
      <c r="A12" s="142" t="s">
        <v>1828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Y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807"/>
      <c r="AL12" s="807"/>
      <c r="AM12" s="807"/>
      <c r="AN12" s="807"/>
      <c r="AO12" s="807"/>
      <c r="AP12" s="807"/>
      <c r="AQ12" s="807"/>
      <c r="AR12" s="807"/>
      <c r="AS12" s="807"/>
      <c r="AT12" s="807"/>
      <c r="AU12" s="807">
        <f>SUM(W12:AT12)</f>
        <v>0</v>
      </c>
      <c r="AV12" s="817">
        <f>SUM('Summary Total Pigs'!E69:E71,'Summary Total Pigs'!O69:O71)</f>
        <v>0</v>
      </c>
      <c r="AW12" s="1170">
        <f t="shared" si="0"/>
        <v>0</v>
      </c>
    </row>
    <row r="13" spans="1:49" ht="15">
      <c r="A13" s="142" t="s">
        <v>1790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>
        <v>24</v>
      </c>
      <c r="X13" s="807">
        <v>33</v>
      </c>
      <c r="Y13" s="807">
        <v>27</v>
      </c>
      <c r="Z13" s="807"/>
      <c r="AA13" s="807"/>
      <c r="AB13" s="807"/>
      <c r="AC13" s="807">
        <v>5</v>
      </c>
      <c r="AD13" s="1661"/>
      <c r="AE13" s="807">
        <v>30</v>
      </c>
      <c r="AF13" s="807"/>
      <c r="AG13" s="807"/>
      <c r="AH13" s="807"/>
      <c r="AI13" s="807"/>
      <c r="AJ13" s="807"/>
      <c r="AK13" s="807"/>
      <c r="AL13" s="807"/>
      <c r="AM13" s="807"/>
      <c r="AN13" s="807"/>
      <c r="AO13" s="807"/>
      <c r="AP13" s="807"/>
      <c r="AQ13" s="807"/>
      <c r="AR13" s="807"/>
      <c r="AS13" s="807"/>
      <c r="AT13" s="807"/>
      <c r="AU13" s="807">
        <f t="shared" ref="AU13:AU27" si="5">SUM(W13:AT13)</f>
        <v>119</v>
      </c>
      <c r="AV13" s="817">
        <f>SUM('Summary Total Pigs'!F69:F71,'Summary Total Pigs'!P69:P71)</f>
        <v>119</v>
      </c>
      <c r="AW13" s="1170">
        <f t="shared" si="0"/>
        <v>0</v>
      </c>
    </row>
    <row r="14" spans="1:49" ht="15">
      <c r="A14" s="142" t="str">
        <f>+'Grasmere Pig Cost'!A14</f>
        <v>Transfers  Richlands</v>
      </c>
      <c r="B14" s="807"/>
      <c r="C14" s="807"/>
      <c r="D14" s="807"/>
      <c r="E14" s="807"/>
      <c r="F14" s="807"/>
      <c r="G14" s="807"/>
      <c r="H14" s="807"/>
      <c r="I14" s="807"/>
      <c r="J14" s="807"/>
      <c r="K14" s="807"/>
      <c r="L14" s="807"/>
      <c r="M14" s="807"/>
      <c r="N14" s="807"/>
      <c r="O14" s="807"/>
      <c r="P14" s="807"/>
      <c r="Q14" s="807"/>
      <c r="R14" s="807"/>
      <c r="S14" s="807"/>
      <c r="T14" s="807"/>
      <c r="U14" s="807"/>
      <c r="V14" s="807"/>
      <c r="W14" s="807"/>
      <c r="X14" s="807"/>
      <c r="Y14" s="807"/>
      <c r="Z14" s="807"/>
      <c r="AA14" s="807"/>
      <c r="AB14" s="807">
        <v>40</v>
      </c>
      <c r="AC14" s="807">
        <v>110</v>
      </c>
      <c r="AD14" s="807">
        <v>90</v>
      </c>
      <c r="AE14" s="807">
        <v>140</v>
      </c>
      <c r="AF14" s="807"/>
      <c r="AG14" s="807"/>
      <c r="AH14" s="807"/>
      <c r="AI14" s="807"/>
      <c r="AJ14" s="807"/>
      <c r="AK14" s="807"/>
      <c r="AL14" s="807"/>
      <c r="AM14" s="807"/>
      <c r="AN14" s="807"/>
      <c r="AO14" s="807"/>
      <c r="AP14" s="807"/>
      <c r="AQ14" s="807"/>
      <c r="AR14" s="807"/>
      <c r="AS14" s="807"/>
      <c r="AT14" s="807"/>
      <c r="AU14" s="807">
        <f t="shared" si="5"/>
        <v>380</v>
      </c>
      <c r="AV14" s="807">
        <f>SUM('Summary Total Pigs'!G69:G71,'Summary Total Pigs'!S69:S71)</f>
        <v>380</v>
      </c>
      <c r="AW14" s="1170">
        <f>AU14-AV14</f>
        <v>0</v>
      </c>
    </row>
    <row r="15" spans="1:49" ht="15">
      <c r="A15" s="142" t="str">
        <f>+'Grasmere Pig Cost'!A15</f>
        <v>Transfers Learig</v>
      </c>
      <c r="B15" s="807"/>
      <c r="C15" s="807"/>
      <c r="D15" s="807"/>
      <c r="E15" s="807"/>
      <c r="F15" s="807"/>
      <c r="G15" s="807"/>
      <c r="H15" s="807"/>
      <c r="I15" s="807"/>
      <c r="J15" s="807"/>
      <c r="K15" s="807"/>
      <c r="L15" s="807"/>
      <c r="M15" s="807"/>
      <c r="N15" s="807"/>
      <c r="O15" s="807"/>
      <c r="P15" s="807"/>
      <c r="Q15" s="807"/>
      <c r="R15" s="807"/>
      <c r="S15" s="807"/>
      <c r="T15" s="807"/>
      <c r="U15" s="807"/>
      <c r="V15" s="807"/>
      <c r="W15" s="807"/>
      <c r="X15" s="807"/>
      <c r="Y15" s="807"/>
      <c r="Z15" s="807"/>
      <c r="AA15" s="807"/>
      <c r="AB15" s="807"/>
      <c r="AC15" s="807"/>
      <c r="AD15" s="807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807"/>
      <c r="AP15" s="807"/>
      <c r="AQ15" s="807"/>
      <c r="AR15" s="807"/>
      <c r="AS15" s="807"/>
      <c r="AT15" s="807"/>
      <c r="AU15" s="807">
        <f t="shared" si="5"/>
        <v>0</v>
      </c>
      <c r="AV15" s="807">
        <f>SUM('Summary Total Pigs'!H69:H71,'Summary Total Pigs'!R69:R71)</f>
        <v>0</v>
      </c>
      <c r="AW15" s="1170">
        <f t="shared" ref="AW15:AW29" si="6">AU15-AV15</f>
        <v>0</v>
      </c>
    </row>
    <row r="16" spans="1:49" ht="15">
      <c r="A16" s="142" t="str">
        <f>+'Grasmere Pig Cost'!A16</f>
        <v>Transfers Villa</v>
      </c>
      <c r="B16" s="807"/>
      <c r="C16" s="807"/>
      <c r="D16" s="807"/>
      <c r="E16" s="807"/>
      <c r="F16" s="807"/>
      <c r="G16" s="807"/>
      <c r="H16" s="807"/>
      <c r="I16" s="807"/>
      <c r="J16" s="807"/>
      <c r="K16" s="807"/>
      <c r="L16" s="807"/>
      <c r="M16" s="807"/>
      <c r="N16" s="807"/>
      <c r="O16" s="807"/>
      <c r="P16" s="807"/>
      <c r="Q16" s="807"/>
      <c r="R16" s="807"/>
      <c r="S16" s="807"/>
      <c r="T16" s="807"/>
      <c r="U16" s="807"/>
      <c r="V16" s="807"/>
      <c r="W16" s="807"/>
      <c r="X16" s="807"/>
      <c r="Y16" s="807">
        <v>110</v>
      </c>
      <c r="Z16" s="807">
        <v>140</v>
      </c>
      <c r="AA16" s="807"/>
      <c r="AB16" s="807"/>
      <c r="AC16" s="807"/>
      <c r="AD16" s="807"/>
      <c r="AE16" s="807"/>
      <c r="AF16" s="807"/>
      <c r="AG16" s="807"/>
      <c r="AH16" s="807"/>
      <c r="AI16" s="807"/>
      <c r="AJ16" s="807"/>
      <c r="AK16" s="807"/>
      <c r="AL16" s="807"/>
      <c r="AM16" s="807"/>
      <c r="AN16" s="807"/>
      <c r="AO16" s="807"/>
      <c r="AP16" s="807"/>
      <c r="AQ16" s="807"/>
      <c r="AR16" s="807"/>
      <c r="AS16" s="807"/>
      <c r="AT16" s="807"/>
      <c r="AU16" s="807">
        <f t="shared" si="5"/>
        <v>250</v>
      </c>
      <c r="AV16" s="807">
        <f>SUM('Summary Total Pigs'!I69:I71,'Summary Total Pigs'!Q69:Q71)</f>
        <v>250</v>
      </c>
      <c r="AW16" s="1170">
        <f>AU16-AV16</f>
        <v>0</v>
      </c>
    </row>
    <row r="17" spans="1:49" ht="15">
      <c r="A17" s="142" t="str">
        <f>+'Grasmere Pig Cost'!A17</f>
        <v>Transfers Porta</v>
      </c>
      <c r="B17" s="807"/>
      <c r="C17" s="807"/>
      <c r="D17" s="807"/>
      <c r="E17" s="807"/>
      <c r="F17" s="807"/>
      <c r="G17" s="807"/>
      <c r="H17" s="807"/>
      <c r="I17" s="807"/>
      <c r="J17" s="807"/>
      <c r="K17" s="807"/>
      <c r="L17" s="807"/>
      <c r="M17" s="807"/>
      <c r="N17" s="807"/>
      <c r="O17" s="807"/>
      <c r="P17" s="807"/>
      <c r="Q17" s="807"/>
      <c r="R17" s="807"/>
      <c r="S17" s="807"/>
      <c r="T17" s="807"/>
      <c r="U17" s="807"/>
      <c r="V17" s="807"/>
      <c r="W17" s="807">
        <f>80+0</f>
        <v>80</v>
      </c>
      <c r="X17" s="807">
        <v>60</v>
      </c>
      <c r="Y17" s="807"/>
      <c r="Z17" s="807"/>
      <c r="AA17" s="807"/>
      <c r="AB17" s="807"/>
      <c r="AC17" s="807"/>
      <c r="AD17" s="807"/>
      <c r="AE17" s="807"/>
      <c r="AF17" s="807"/>
      <c r="AG17" s="807"/>
      <c r="AH17" s="807"/>
      <c r="AI17" s="807"/>
      <c r="AJ17" s="807"/>
      <c r="AK17" s="807"/>
      <c r="AL17" s="807"/>
      <c r="AM17" s="807"/>
      <c r="AN17" s="807"/>
      <c r="AO17" s="807"/>
      <c r="AP17" s="807"/>
      <c r="AQ17" s="807"/>
      <c r="AR17" s="807"/>
      <c r="AS17" s="807"/>
      <c r="AT17" s="807"/>
      <c r="AU17" s="807">
        <f t="shared" si="5"/>
        <v>140</v>
      </c>
      <c r="AV17" s="807">
        <f>SUM('Summary Total Pigs'!K69:K71)</f>
        <v>140</v>
      </c>
      <c r="AW17" s="1170">
        <f t="shared" ref="AW17:AW19" si="7">AU17-AV17</f>
        <v>0</v>
      </c>
    </row>
    <row r="18" spans="1:49" ht="15">
      <c r="A18" s="142" t="str">
        <f>+'Grasmere Pig Cost'!A18</f>
        <v>Transfers Multiplier</v>
      </c>
      <c r="B18" s="807"/>
      <c r="C18" s="807"/>
      <c r="D18" s="807"/>
      <c r="E18" s="807"/>
      <c r="F18" s="807"/>
      <c r="G18" s="807"/>
      <c r="H18" s="807"/>
      <c r="I18" s="807"/>
      <c r="J18" s="807"/>
      <c r="K18" s="807"/>
      <c r="L18" s="807"/>
      <c r="M18" s="807"/>
      <c r="N18" s="807"/>
      <c r="O18" s="807"/>
      <c r="P18" s="807"/>
      <c r="Q18" s="807"/>
      <c r="R18" s="807"/>
      <c r="S18" s="807"/>
      <c r="T18" s="807"/>
      <c r="U18" s="807"/>
      <c r="V18" s="807"/>
      <c r="W18" s="807"/>
      <c r="X18" s="807"/>
      <c r="Y18" s="807"/>
      <c r="Z18" s="807"/>
      <c r="AA18" s="807"/>
      <c r="AB18" s="807"/>
      <c r="AC18" s="807"/>
      <c r="AD18" s="807"/>
      <c r="AE18" s="807"/>
      <c r="AF18" s="807"/>
      <c r="AG18" s="807"/>
      <c r="AH18" s="807"/>
      <c r="AI18" s="807"/>
      <c r="AJ18" s="807"/>
      <c r="AK18" s="807"/>
      <c r="AL18" s="807"/>
      <c r="AM18" s="807"/>
      <c r="AN18" s="807"/>
      <c r="AO18" s="807"/>
      <c r="AP18" s="807"/>
      <c r="AQ18" s="807"/>
      <c r="AR18" s="807"/>
      <c r="AS18" s="807"/>
      <c r="AT18" s="807"/>
      <c r="AU18" s="807">
        <f t="shared" si="5"/>
        <v>0</v>
      </c>
      <c r="AV18" s="807">
        <f>SUM('Summary Total Pigs'!L69:L71)</f>
        <v>0</v>
      </c>
      <c r="AW18" s="1170">
        <f t="shared" si="7"/>
        <v>0</v>
      </c>
    </row>
    <row r="19" spans="1:49" ht="15">
      <c r="A19" s="142">
        <f>+'Grasmere Pig Cost'!A19</f>
        <v>0</v>
      </c>
      <c r="B19" s="807"/>
      <c r="C19" s="807"/>
      <c r="D19" s="807"/>
      <c r="E19" s="807"/>
      <c r="F19" s="807"/>
      <c r="G19" s="807"/>
      <c r="H19" s="807"/>
      <c r="I19" s="807"/>
      <c r="J19" s="807"/>
      <c r="K19" s="807"/>
      <c r="L19" s="807"/>
      <c r="M19" s="807"/>
      <c r="N19" s="807"/>
      <c r="O19" s="807"/>
      <c r="P19" s="807"/>
      <c r="Q19" s="807"/>
      <c r="R19" s="807"/>
      <c r="S19" s="807"/>
      <c r="T19" s="807"/>
      <c r="U19" s="807"/>
      <c r="V19" s="807"/>
      <c r="W19" s="807"/>
      <c r="X19" s="807"/>
      <c r="Y19" s="807"/>
      <c r="Z19" s="807"/>
      <c r="AA19" s="807"/>
      <c r="AB19" s="807"/>
      <c r="AC19" s="807"/>
      <c r="AD19" s="807"/>
      <c r="AE19" s="807"/>
      <c r="AF19" s="807"/>
      <c r="AG19" s="807"/>
      <c r="AH19" s="807"/>
      <c r="AI19" s="807"/>
      <c r="AJ19" s="807"/>
      <c r="AK19" s="807"/>
      <c r="AL19" s="807"/>
      <c r="AM19" s="807"/>
      <c r="AN19" s="807"/>
      <c r="AO19" s="807"/>
      <c r="AP19" s="807"/>
      <c r="AQ19" s="807"/>
      <c r="AR19" s="807"/>
      <c r="AS19" s="807"/>
      <c r="AT19" s="807"/>
      <c r="AU19" s="807">
        <f t="shared" si="5"/>
        <v>0</v>
      </c>
      <c r="AV19" s="807"/>
      <c r="AW19" s="1170">
        <f t="shared" si="7"/>
        <v>0</v>
      </c>
    </row>
    <row r="20" spans="1:49" ht="15">
      <c r="A20" s="142" t="str">
        <f>+'Grasmere Pig Cost'!A20</f>
        <v>Transfers  Boars</v>
      </c>
      <c r="B20" s="807"/>
      <c r="C20" s="807"/>
      <c r="D20" s="807"/>
      <c r="E20" s="807"/>
      <c r="F20" s="807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  <c r="V20" s="807"/>
      <c r="W20" s="807"/>
      <c r="X20" s="807"/>
      <c r="Y20" s="807"/>
      <c r="Z20" s="807"/>
      <c r="AA20" s="807"/>
      <c r="AB20" s="807"/>
      <c r="AC20" s="807"/>
      <c r="AD20" s="807"/>
      <c r="AE20" s="807"/>
      <c r="AF20" s="807"/>
      <c r="AG20" s="807"/>
      <c r="AH20" s="807"/>
      <c r="AI20" s="807"/>
      <c r="AJ20" s="807"/>
      <c r="AK20" s="807"/>
      <c r="AL20" s="807"/>
      <c r="AM20" s="807"/>
      <c r="AN20" s="807"/>
      <c r="AO20" s="807"/>
      <c r="AP20" s="807"/>
      <c r="AQ20" s="807"/>
      <c r="AR20" s="807"/>
      <c r="AS20" s="807"/>
      <c r="AT20" s="807"/>
      <c r="AU20" s="807">
        <f t="shared" si="5"/>
        <v>0</v>
      </c>
      <c r="AV20" s="807">
        <v>0</v>
      </c>
      <c r="AW20" s="1170">
        <f t="shared" si="6"/>
        <v>0</v>
      </c>
    </row>
    <row r="21" spans="1:49" ht="15">
      <c r="A21" s="142" t="str">
        <f>+'Grasmere Pig Cost'!A21</f>
        <v>Transfers Grower</v>
      </c>
      <c r="B21" s="807"/>
      <c r="C21" s="807"/>
      <c r="D21" s="807"/>
      <c r="E21" s="807"/>
      <c r="F21" s="807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/>
      <c r="T21" s="807"/>
      <c r="U21" s="807"/>
      <c r="V21" s="807"/>
      <c r="W21" s="807"/>
      <c r="X21" s="807"/>
      <c r="Y21" s="807"/>
      <c r="Z21" s="807"/>
      <c r="AA21" s="807"/>
      <c r="AB21" s="807"/>
      <c r="AC21" s="807"/>
      <c r="AD21" s="807"/>
      <c r="AE21" s="807"/>
      <c r="AF21" s="807"/>
      <c r="AG21" s="807"/>
      <c r="AH21" s="807"/>
      <c r="AI21" s="807"/>
      <c r="AJ21" s="807"/>
      <c r="AK21" s="807"/>
      <c r="AL21" s="807"/>
      <c r="AM21" s="807"/>
      <c r="AN21" s="807"/>
      <c r="AO21" s="807"/>
      <c r="AP21" s="807"/>
      <c r="AQ21" s="807"/>
      <c r="AR21" s="807"/>
      <c r="AS21" s="807"/>
      <c r="AT21" s="807"/>
      <c r="AU21" s="807">
        <f t="shared" si="5"/>
        <v>0</v>
      </c>
      <c r="AV21" s="807">
        <v>0</v>
      </c>
      <c r="AW21" s="1170">
        <f t="shared" si="6"/>
        <v>0</v>
      </c>
    </row>
    <row r="22" spans="1:49" ht="15">
      <c r="A22" s="142" t="str">
        <f>+'Grasmere Pig Cost'!A22</f>
        <v>Transfer to Sick Block</v>
      </c>
      <c r="B22" s="807"/>
      <c r="C22" s="807"/>
      <c r="D22" s="807"/>
      <c r="E22" s="807"/>
      <c r="F22" s="807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7"/>
      <c r="AB22" s="807"/>
      <c r="AC22" s="807"/>
      <c r="AD22" s="807"/>
      <c r="AE22" s="807"/>
      <c r="AF22" s="807"/>
      <c r="AG22" s="807"/>
      <c r="AH22" s="807"/>
      <c r="AI22" s="807"/>
      <c r="AJ22" s="807"/>
      <c r="AK22" s="807"/>
      <c r="AL22" s="807"/>
      <c r="AM22" s="807"/>
      <c r="AN22" s="807"/>
      <c r="AO22" s="807"/>
      <c r="AP22" s="807"/>
      <c r="AQ22" s="807"/>
      <c r="AR22" s="807"/>
      <c r="AS22" s="807"/>
      <c r="AT22" s="807"/>
      <c r="AU22" s="807">
        <f t="shared" si="5"/>
        <v>0</v>
      </c>
      <c r="AV22" s="807"/>
      <c r="AW22" s="1170">
        <f t="shared" si="6"/>
        <v>0</v>
      </c>
    </row>
    <row r="23" spans="1:49" ht="15">
      <c r="A23" s="142" t="str">
        <f>+'Grasmere Pig Cost'!A23</f>
        <v>Transfers Gilts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/>
      <c r="AD23" s="807"/>
      <c r="AE23" s="807"/>
      <c r="AF23" s="807"/>
      <c r="AG23" s="807"/>
      <c r="AH23" s="807"/>
      <c r="AI23" s="807"/>
      <c r="AJ23" s="807"/>
      <c r="AK23" s="807"/>
      <c r="AL23" s="807"/>
      <c r="AM23" s="807"/>
      <c r="AN23" s="807"/>
      <c r="AO23" s="807"/>
      <c r="AP23" s="807"/>
      <c r="AQ23" s="807"/>
      <c r="AR23" s="807"/>
      <c r="AS23" s="807"/>
      <c r="AT23" s="807"/>
      <c r="AU23" s="807">
        <f t="shared" si="5"/>
        <v>0</v>
      </c>
      <c r="AV23" s="807">
        <f>-SUM('Summary Total Pigs'!D72)</f>
        <v>0</v>
      </c>
      <c r="AW23" s="1170">
        <f t="shared" si="6"/>
        <v>0</v>
      </c>
    </row>
    <row r="24" spans="1:49" ht="15">
      <c r="A24" s="142" t="str">
        <f>+'Grasmere Pig Cost'!A24</f>
        <v>Mortality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/>
      <c r="T24" s="807"/>
      <c r="U24" s="807"/>
      <c r="V24" s="807"/>
      <c r="W24" s="807"/>
      <c r="X24" s="807"/>
      <c r="Y24" s="807"/>
      <c r="Z24" s="807"/>
      <c r="AA24" s="807">
        <v>-1</v>
      </c>
      <c r="AB24" s="807">
        <f>-2-1</f>
        <v>-3</v>
      </c>
      <c r="AC24" s="807"/>
      <c r="AD24" s="807">
        <v>-2</v>
      </c>
      <c r="AE24" s="807"/>
      <c r="AF24" s="807"/>
      <c r="AG24" s="807"/>
      <c r="AH24" s="807"/>
      <c r="AI24" s="807"/>
      <c r="AJ24" s="807">
        <f>-1-1</f>
        <v>-2</v>
      </c>
      <c r="AK24" s="807">
        <f>-1-1-1-3</f>
        <v>-6</v>
      </c>
      <c r="AL24" s="807">
        <f>-1-1</f>
        <v>-2</v>
      </c>
      <c r="AM24" s="807"/>
      <c r="AN24" s="807">
        <f>-1-1</f>
        <v>-2</v>
      </c>
      <c r="AO24" s="807"/>
      <c r="AP24" s="807">
        <v>-1</v>
      </c>
      <c r="AQ24" s="807">
        <f>-1-2</f>
        <v>-3</v>
      </c>
      <c r="AR24" s="807">
        <f>-'[3]Sales USD'!$AY$4</f>
        <v>-1</v>
      </c>
      <c r="AS24" s="807"/>
      <c r="AT24" s="807"/>
      <c r="AU24" s="807">
        <f>SUM(W24:AT24)</f>
        <v>-23</v>
      </c>
      <c r="AV24" s="807">
        <f>SUM('Summary Total Pigs'!W69:W71,'Summary Total Pigs'!Y69:Y71)</f>
        <v>-23</v>
      </c>
      <c r="AW24" s="1170">
        <f>AU24-AV24</f>
        <v>0</v>
      </c>
    </row>
    <row r="25" spans="1:49" ht="15">
      <c r="A25" s="142" t="str">
        <f>+'Grasmere Pig Cost'!A25</f>
        <v>Rations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1661"/>
      <c r="AF25" s="807"/>
      <c r="AG25" s="807"/>
      <c r="AH25" s="807"/>
      <c r="AI25" s="807"/>
      <c r="AJ25" s="807"/>
      <c r="AK25" s="807"/>
      <c r="AL25" s="807"/>
      <c r="AM25" s="807"/>
      <c r="AN25" s="807"/>
      <c r="AO25" s="807"/>
      <c r="AP25" s="807"/>
      <c r="AQ25" s="807"/>
      <c r="AR25" s="807"/>
      <c r="AS25" s="807"/>
      <c r="AT25" s="807"/>
      <c r="AU25" s="807">
        <f t="shared" si="5"/>
        <v>0</v>
      </c>
      <c r="AV25" s="807">
        <f>SUM('Summary Total Pigs'!Z69:Z71)</f>
        <v>0</v>
      </c>
      <c r="AW25" s="1170">
        <f t="shared" si="6"/>
        <v>0</v>
      </c>
    </row>
    <row r="26" spans="1:49" ht="15">
      <c r="A26" s="142" t="str">
        <f>+'Grasmere Pig Cost'!A26</f>
        <v>Pet Food</v>
      </c>
      <c r="B26" s="807"/>
      <c r="C26" s="807"/>
      <c r="D26" s="807"/>
      <c r="E26" s="807"/>
      <c r="F26" s="807"/>
      <c r="G26" s="807"/>
      <c r="H26" s="807"/>
      <c r="I26" s="807"/>
      <c r="J26" s="807"/>
      <c r="K26" s="807"/>
      <c r="L26" s="807"/>
      <c r="M26" s="807"/>
      <c r="N26" s="807"/>
      <c r="O26" s="807"/>
      <c r="P26" s="807"/>
      <c r="Q26" s="807"/>
      <c r="R26" s="807"/>
      <c r="S26" s="807"/>
      <c r="T26" s="807"/>
      <c r="U26" s="807"/>
      <c r="V26" s="807"/>
      <c r="W26" s="807"/>
      <c r="X26" s="807"/>
      <c r="Y26" s="807"/>
      <c r="Z26" s="807"/>
      <c r="AA26" s="807"/>
      <c r="AB26" s="807"/>
      <c r="AC26" s="807"/>
      <c r="AD26" s="807"/>
      <c r="AE26" s="807"/>
      <c r="AF26" s="807"/>
      <c r="AG26" s="807"/>
      <c r="AH26" s="807"/>
      <c r="AI26" s="807"/>
      <c r="AJ26" s="807"/>
      <c r="AK26" s="807"/>
      <c r="AL26" s="807"/>
      <c r="AM26" s="807"/>
      <c r="AN26" s="807"/>
      <c r="AO26" s="807"/>
      <c r="AP26" s="807"/>
      <c r="AQ26" s="807"/>
      <c r="AR26" s="807"/>
      <c r="AS26" s="807"/>
      <c r="AT26" s="807"/>
      <c r="AU26" s="807">
        <f t="shared" si="5"/>
        <v>0</v>
      </c>
      <c r="AV26" s="807">
        <f>SUM('Summary Total Pigs'!AB69:AB71)</f>
        <v>0</v>
      </c>
      <c r="AW26" s="1170">
        <f t="shared" si="6"/>
        <v>0</v>
      </c>
    </row>
    <row r="27" spans="1:49" ht="15">
      <c r="A27" s="142" t="str">
        <f>+'Grasmere Pig Cost'!A27</f>
        <v>Farm Sales</v>
      </c>
      <c r="B27" s="807"/>
      <c r="C27" s="807"/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07"/>
      <c r="V27" s="807"/>
      <c r="W27" s="807"/>
      <c r="X27" s="807"/>
      <c r="Y27" s="807"/>
      <c r="Z27" s="807"/>
      <c r="AA27" s="807"/>
      <c r="AB27" s="807"/>
      <c r="AC27" s="807"/>
      <c r="AD27" s="807"/>
      <c r="AE27" s="807"/>
      <c r="AF27" s="807"/>
      <c r="AG27" s="807"/>
      <c r="AH27" s="807"/>
      <c r="AI27" s="807"/>
      <c r="AJ27" s="807"/>
      <c r="AK27" s="807"/>
      <c r="AL27" s="807"/>
      <c r="AM27" s="807"/>
      <c r="AN27" s="807"/>
      <c r="AO27" s="807"/>
      <c r="AP27" s="807"/>
      <c r="AQ27" s="807"/>
      <c r="AR27" s="807"/>
      <c r="AS27" s="807"/>
      <c r="AT27" s="807"/>
      <c r="AU27" s="807">
        <f t="shared" si="5"/>
        <v>0</v>
      </c>
      <c r="AV27" s="818">
        <f>SUM('Summary Total Pigs'!AC69:AC71)</f>
        <v>0</v>
      </c>
      <c r="AW27" s="1170">
        <f t="shared" si="6"/>
        <v>0</v>
      </c>
    </row>
    <row r="28" spans="1:49" ht="15.6" thickBot="1">
      <c r="A28" s="142" t="str">
        <f>+'Grasmere Pig Cost'!A28</f>
        <v xml:space="preserve"> Colcom Sales</v>
      </c>
      <c r="B28" s="807"/>
      <c r="C28" s="807"/>
      <c r="D28" s="807"/>
      <c r="E28" s="807"/>
      <c r="F28" s="807"/>
      <c r="G28" s="807"/>
      <c r="H28" s="807"/>
      <c r="I28" s="807"/>
      <c r="J28" s="807"/>
      <c r="K28" s="807"/>
      <c r="L28" s="807"/>
      <c r="M28" s="807"/>
      <c r="N28" s="807"/>
      <c r="O28" s="807"/>
      <c r="P28" s="807"/>
      <c r="Q28" s="807"/>
      <c r="R28" s="807"/>
      <c r="S28" s="807"/>
      <c r="T28" s="807"/>
      <c r="U28" s="807"/>
      <c r="V28" s="807"/>
      <c r="W28" s="807"/>
      <c r="X28" s="807"/>
      <c r="Y28" s="807"/>
      <c r="Z28" s="807"/>
      <c r="AA28" s="807"/>
      <c r="AB28" s="807"/>
      <c r="AC28" s="807"/>
      <c r="AD28" s="807"/>
      <c r="AE28" s="807"/>
      <c r="AF28" s="807"/>
      <c r="AG28" s="807"/>
      <c r="AH28" s="807"/>
      <c r="AI28" s="807"/>
      <c r="AJ28" s="807"/>
      <c r="AK28" s="807"/>
      <c r="AL28" s="807"/>
      <c r="AM28" s="807"/>
      <c r="AN28" s="807"/>
      <c r="AO28" s="807">
        <v>-211</v>
      </c>
      <c r="AP28" s="807">
        <v>-156</v>
      </c>
      <c r="AQ28" s="807">
        <v>-235</v>
      </c>
      <c r="AR28" s="807">
        <f>-186+'[3]Sales USD'!$AY$4</f>
        <v>-185</v>
      </c>
      <c r="AS28" s="807"/>
      <c r="AT28" s="807"/>
      <c r="AU28" s="807">
        <f>SUM(W28:AT28)</f>
        <v>-787</v>
      </c>
      <c r="AV28" s="817">
        <f>SUM('Summary Total Pigs'!X69:X71)</f>
        <v>-787</v>
      </c>
      <c r="AW28" s="1170">
        <f t="shared" si="6"/>
        <v>0</v>
      </c>
    </row>
    <row r="29" spans="1:49" ht="16.149999999999999" thickBot="1">
      <c r="A29" s="1070" t="str">
        <f>+'Grasmere Pig Cost'!A29</f>
        <v>Closing Stock (pigs)</v>
      </c>
      <c r="B29" s="1071">
        <f>SUM(B11:B28)</f>
        <v>0</v>
      </c>
      <c r="C29" s="1071">
        <f t="shared" ref="C29:AT29" si="8">SUM(C11:C28)</f>
        <v>0</v>
      </c>
      <c r="D29" s="1071">
        <f t="shared" si="8"/>
        <v>0</v>
      </c>
      <c r="E29" s="1071">
        <f t="shared" si="8"/>
        <v>0</v>
      </c>
      <c r="F29" s="1071">
        <f t="shared" si="8"/>
        <v>0</v>
      </c>
      <c r="G29" s="1071">
        <f t="shared" si="8"/>
        <v>0</v>
      </c>
      <c r="H29" s="1071">
        <f t="shared" si="8"/>
        <v>0</v>
      </c>
      <c r="I29" s="1071">
        <f t="shared" si="8"/>
        <v>0</v>
      </c>
      <c r="J29" s="1071">
        <f t="shared" si="8"/>
        <v>0</v>
      </c>
      <c r="K29" s="1071">
        <f t="shared" si="8"/>
        <v>0</v>
      </c>
      <c r="L29" s="1071">
        <f t="shared" si="8"/>
        <v>0</v>
      </c>
      <c r="M29" s="1071">
        <f t="shared" si="8"/>
        <v>0</v>
      </c>
      <c r="N29" s="1071">
        <f t="shared" si="8"/>
        <v>0</v>
      </c>
      <c r="O29" s="1071">
        <f t="shared" si="8"/>
        <v>0</v>
      </c>
      <c r="P29" s="1071">
        <f t="shared" si="8"/>
        <v>0</v>
      </c>
      <c r="Q29" s="1071">
        <f t="shared" si="8"/>
        <v>0</v>
      </c>
      <c r="R29" s="1071">
        <f t="shared" si="8"/>
        <v>0</v>
      </c>
      <c r="S29" s="1071">
        <f t="shared" si="8"/>
        <v>0</v>
      </c>
      <c r="T29" s="1071">
        <f t="shared" si="8"/>
        <v>0</v>
      </c>
      <c r="U29" s="1071">
        <f t="shared" si="8"/>
        <v>0</v>
      </c>
      <c r="V29" s="1071">
        <f t="shared" si="8"/>
        <v>0</v>
      </c>
      <c r="W29" s="1071">
        <f t="shared" si="8"/>
        <v>104</v>
      </c>
      <c r="X29" s="1071">
        <f t="shared" si="8"/>
        <v>93</v>
      </c>
      <c r="Y29" s="1071">
        <f t="shared" si="8"/>
        <v>137</v>
      </c>
      <c r="Z29" s="1071">
        <f t="shared" si="8"/>
        <v>140</v>
      </c>
      <c r="AA29" s="1071">
        <f t="shared" si="8"/>
        <v>105</v>
      </c>
      <c r="AB29" s="1071">
        <f t="shared" si="8"/>
        <v>212</v>
      </c>
      <c r="AC29" s="1071">
        <f t="shared" si="8"/>
        <v>216</v>
      </c>
      <c r="AD29" s="1071">
        <f t="shared" si="8"/>
        <v>199</v>
      </c>
      <c r="AE29" s="1071">
        <f t="shared" si="8"/>
        <v>210</v>
      </c>
      <c r="AF29" s="1071">
        <f t="shared" si="8"/>
        <v>190</v>
      </c>
      <c r="AG29" s="1071">
        <f t="shared" si="8"/>
        <v>182</v>
      </c>
      <c r="AH29" s="1071">
        <f t="shared" si="8"/>
        <v>182</v>
      </c>
      <c r="AI29" s="1071">
        <f t="shared" si="8"/>
        <v>177</v>
      </c>
      <c r="AJ29" s="1071">
        <f t="shared" si="8"/>
        <v>236</v>
      </c>
      <c r="AK29" s="1071">
        <f t="shared" si="8"/>
        <v>262</v>
      </c>
      <c r="AL29" s="1071">
        <f t="shared" si="8"/>
        <v>220</v>
      </c>
      <c r="AM29" s="1071">
        <f t="shared" si="8"/>
        <v>214</v>
      </c>
      <c r="AN29" s="1071">
        <f t="shared" si="8"/>
        <v>191</v>
      </c>
      <c r="AO29" s="2110">
        <f t="shared" si="8"/>
        <v>0</v>
      </c>
      <c r="AP29" s="1071">
        <f>SUM(AP11:AP28)</f>
        <v>0</v>
      </c>
      <c r="AQ29" s="1071">
        <f>SUM(AQ11:AQ28)</f>
        <v>0</v>
      </c>
      <c r="AR29" s="1071">
        <f t="shared" si="8"/>
        <v>0</v>
      </c>
      <c r="AS29" s="1071">
        <f t="shared" si="8"/>
        <v>0</v>
      </c>
      <c r="AT29" s="1071">
        <f t="shared" si="8"/>
        <v>0</v>
      </c>
      <c r="AU29" s="1071">
        <f>SUM(AU11:AU28)</f>
        <v>3270</v>
      </c>
      <c r="AV29" s="1071">
        <f>SUM(AV11:AV28)</f>
        <v>3270</v>
      </c>
      <c r="AW29" s="1170">
        <f t="shared" si="6"/>
        <v>0</v>
      </c>
    </row>
    <row r="30" spans="1:49" ht="15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058">
        <f>+'Lionhead Ext. Valuation'!E10</f>
        <v>0</v>
      </c>
      <c r="T30" s="1058">
        <f>+'Lionhead Ext. Valuation'!E11</f>
        <v>0</v>
      </c>
      <c r="U30" s="1058">
        <f>+'Lionhead Ext. Valuation'!E12</f>
        <v>0</v>
      </c>
      <c r="V30" s="1058">
        <f>+'Lionhead Ext. Valuation'!E13</f>
        <v>0</v>
      </c>
      <c r="W30" s="1058">
        <f>+'Lionhead Ext. Valuation'!E14</f>
        <v>104</v>
      </c>
      <c r="X30" s="1058">
        <f>+'Lionhead Ext. Valuation'!E15</f>
        <v>93</v>
      </c>
      <c r="Y30" s="1058">
        <f>+'Lionhead Ext. Valuation'!E16</f>
        <v>137</v>
      </c>
      <c r="Z30" s="1058">
        <f>+'Lionhead Ext. Valuation'!E17</f>
        <v>140</v>
      </c>
      <c r="AA30" s="1058">
        <f>+'Lionhead Ext. Valuation'!E18</f>
        <v>105</v>
      </c>
      <c r="AB30" s="1058">
        <f>+'Lionhead Ext. Valuation'!E19</f>
        <v>212</v>
      </c>
      <c r="AC30" s="1058">
        <f>+'Lionhead Ext. Valuation'!E20</f>
        <v>216</v>
      </c>
      <c r="AD30" s="1058">
        <f>+'Lionhead Ext. Valuation'!E21</f>
        <v>199</v>
      </c>
      <c r="AE30" s="1058">
        <f>+'Lionhead Ext. Valuation'!E22</f>
        <v>210</v>
      </c>
      <c r="AF30" s="1058">
        <f>+'Lionhead Ext. Valuation'!E23</f>
        <v>190</v>
      </c>
      <c r="AG30" s="1058">
        <f>+'Lionhead Ext. Valuation'!E24</f>
        <v>182</v>
      </c>
      <c r="AH30" s="1058">
        <f>+'Lionhead Ext. Valuation'!E25</f>
        <v>182</v>
      </c>
      <c r="AI30" s="1058">
        <f>+'Lionhead Ext. Valuation'!E26</f>
        <v>177</v>
      </c>
      <c r="AJ30" s="1058">
        <f>+'Lionhead Ext. Valuation'!E27</f>
        <v>236</v>
      </c>
      <c r="AK30" s="1058">
        <f>+'Lionhead Ext. Valuation'!E28</f>
        <v>262</v>
      </c>
      <c r="AL30" s="1058">
        <f>+'Lionhead Ext. Valuation'!E29</f>
        <v>220</v>
      </c>
      <c r="AM30" s="1058">
        <f>+'Lionhead Ext. Valuation'!E30</f>
        <v>214</v>
      </c>
      <c r="AN30" s="1058">
        <f>+'Lionhead Ext. Valuation'!E31</f>
        <v>191</v>
      </c>
      <c r="AO30" s="1058">
        <f>+'Lionhead Ext. Valuation'!E32</f>
        <v>0</v>
      </c>
      <c r="AP30" s="1058">
        <f>+'Lionhead Ext. Valuation'!E33</f>
        <v>0</v>
      </c>
      <c r="AQ30" s="1058">
        <f>+'Lionhead Ext. Valuation'!E34</f>
        <v>0</v>
      </c>
      <c r="AR30" s="1058">
        <f>+'Lionhead Ext. Valuation'!E35</f>
        <v>0</v>
      </c>
      <c r="AS30" s="1058">
        <f>+'Lionhead Ext. Valuation'!E36</f>
        <v>0</v>
      </c>
      <c r="AT30" s="1058">
        <f>+'Lionhead Ext. Valuation'!E37</f>
        <v>0</v>
      </c>
      <c r="AU30" s="1057">
        <f>SUM(B30:AT30)</f>
        <v>3270</v>
      </c>
      <c r="AV30" s="818">
        <f>SUM('Lionhead Ext. Valuation'!E10:E41)</f>
        <v>3270</v>
      </c>
      <c r="AW30" s="1170">
        <f>AU30-AV30</f>
        <v>0</v>
      </c>
    </row>
    <row r="31" spans="1:49" ht="15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058">
        <f>+S29-S30</f>
        <v>0</v>
      </c>
      <c r="T31" s="1058">
        <f t="shared" ref="T31:AS31" si="9">+T29-T30</f>
        <v>0</v>
      </c>
      <c r="U31" s="1058">
        <f t="shared" si="9"/>
        <v>0</v>
      </c>
      <c r="V31" s="1058">
        <f t="shared" si="9"/>
        <v>0</v>
      </c>
      <c r="W31" s="1058">
        <f t="shared" si="9"/>
        <v>0</v>
      </c>
      <c r="X31" s="1058">
        <f t="shared" si="9"/>
        <v>0</v>
      </c>
      <c r="Y31" s="1058">
        <f t="shared" si="9"/>
        <v>0</v>
      </c>
      <c r="Z31" s="1058">
        <f t="shared" si="9"/>
        <v>0</v>
      </c>
      <c r="AA31" s="1058">
        <f t="shared" si="9"/>
        <v>0</v>
      </c>
      <c r="AB31" s="1058">
        <f t="shared" si="9"/>
        <v>0</v>
      </c>
      <c r="AC31" s="1058">
        <f t="shared" si="9"/>
        <v>0</v>
      </c>
      <c r="AD31" s="1058">
        <f t="shared" si="9"/>
        <v>0</v>
      </c>
      <c r="AE31" s="1058">
        <f t="shared" si="9"/>
        <v>0</v>
      </c>
      <c r="AF31" s="1058">
        <f t="shared" si="9"/>
        <v>0</v>
      </c>
      <c r="AG31" s="1058">
        <f t="shared" si="9"/>
        <v>0</v>
      </c>
      <c r="AH31" s="1058">
        <f t="shared" si="9"/>
        <v>0</v>
      </c>
      <c r="AI31" s="1058">
        <f t="shared" si="9"/>
        <v>0</v>
      </c>
      <c r="AJ31" s="1058">
        <f t="shared" si="9"/>
        <v>0</v>
      </c>
      <c r="AK31" s="1058">
        <f t="shared" si="9"/>
        <v>0</v>
      </c>
      <c r="AL31" s="1058">
        <f t="shared" si="9"/>
        <v>0</v>
      </c>
      <c r="AM31" s="1058">
        <f t="shared" si="9"/>
        <v>0</v>
      </c>
      <c r="AN31" s="1058">
        <f t="shared" si="9"/>
        <v>0</v>
      </c>
      <c r="AO31" s="1058">
        <f t="shared" si="9"/>
        <v>0</v>
      </c>
      <c r="AP31" s="1058">
        <f t="shared" si="9"/>
        <v>0</v>
      </c>
      <c r="AQ31" s="1058">
        <f t="shared" si="9"/>
        <v>0</v>
      </c>
      <c r="AR31" s="1058">
        <f t="shared" si="9"/>
        <v>0</v>
      </c>
      <c r="AS31" s="1058">
        <f t="shared" si="9"/>
        <v>0</v>
      </c>
      <c r="AT31" s="1058">
        <f t="shared" ref="AT31" si="10">+AT29-AT30</f>
        <v>0</v>
      </c>
      <c r="AU31" s="1058">
        <f>+AU29-AU30</f>
        <v>0</v>
      </c>
      <c r="AV31" s="1058">
        <f>+AV29-AV30</f>
        <v>0</v>
      </c>
      <c r="AW31" s="1170">
        <f>AU31-AV31</f>
        <v>0</v>
      </c>
    </row>
    <row r="32" spans="1:49" ht="15.6">
      <c r="A32" s="1066" t="str">
        <f>+'Grasmere Pig Cost'!A32</f>
        <v>Cost</v>
      </c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1271"/>
      <c r="AG32" s="817"/>
      <c r="AH32" s="817"/>
      <c r="AI32" s="817"/>
      <c r="AJ32" s="817"/>
      <c r="AK32" s="817"/>
      <c r="AL32" s="817"/>
      <c r="AM32" s="817"/>
      <c r="AN32" s="817"/>
      <c r="AO32" s="817"/>
      <c r="AP32" s="817"/>
      <c r="AQ32" s="817"/>
      <c r="AR32" s="817"/>
      <c r="AS32" s="817"/>
      <c r="AT32" s="817"/>
      <c r="AU32" s="817"/>
      <c r="AV32" s="817"/>
      <c r="AW32" s="818"/>
    </row>
    <row r="33" spans="1:50" ht="15">
      <c r="A33" s="142" t="str">
        <f>+'Grasmere Pig Cost'!A33</f>
        <v>Opening cost</v>
      </c>
      <c r="B33" s="818"/>
      <c r="C33" s="818"/>
      <c r="D33" s="818"/>
      <c r="E33" s="818"/>
      <c r="F33" s="818">
        <f>'[2]Lionhead Ext. Pig Cost'!B62</f>
        <v>0</v>
      </c>
      <c r="G33" s="818">
        <f>'[2]Lionhead Ext. Pig Cost'!C62</f>
        <v>0</v>
      </c>
      <c r="H33" s="818">
        <f>'[2]Lionhead Ext. Pig Cost'!D62</f>
        <v>0</v>
      </c>
      <c r="I33" s="818">
        <f>'[2]Lionhead Ext. Pig Cost'!E62</f>
        <v>0</v>
      </c>
      <c r="J33" s="818">
        <f>'[2]Lionhead Ext. Pig Cost'!F62</f>
        <v>0</v>
      </c>
      <c r="K33" s="818">
        <f>'[2]Lionhead Ext. Pig Cost'!G62</f>
        <v>0</v>
      </c>
      <c r="L33" s="818">
        <f>'[2]Lionhead Ext. Pig Cost'!H62</f>
        <v>0</v>
      </c>
      <c r="M33" s="818">
        <f>'[2]Lionhead Ext. Pig Cost'!I62</f>
        <v>0</v>
      </c>
      <c r="N33" s="818">
        <f>'[2]Lionhead Ext. Pig Cost'!J62</f>
        <v>0</v>
      </c>
      <c r="O33" s="818">
        <f>'[2]Lionhead Ext. Pig Cost'!K62</f>
        <v>0</v>
      </c>
      <c r="P33" s="818">
        <f>'[2]Lionhead Ext. Pig Cost'!L62</f>
        <v>0</v>
      </c>
      <c r="Q33" s="818">
        <f>'[2]Lionhead Ext. Pig Cost'!M62</f>
        <v>0</v>
      </c>
      <c r="R33" s="818">
        <f>'[2]Lionhead Ext. Pig Cost'!N62</f>
        <v>0</v>
      </c>
      <c r="S33" s="818">
        <f>'[2]Lionhead Ext. Pig Cost'!O62</f>
        <v>0</v>
      </c>
      <c r="T33" s="818">
        <f>'[2]Lionhead Ext. Pig Cost'!P62</f>
        <v>0</v>
      </c>
      <c r="U33" s="818">
        <f>'[2]Lionhead Ext. Pig Cost'!Q62</f>
        <v>0</v>
      </c>
      <c r="V33" s="818">
        <f>'[2]Lionhead Ext. Pig Cost'!R62</f>
        <v>0</v>
      </c>
      <c r="W33" s="818">
        <f>'[2]Lionhead Ext. Pig Cost'!S62</f>
        <v>0</v>
      </c>
      <c r="X33" s="818">
        <f>'[2]Lionhead Ext. Pig Cost'!T62</f>
        <v>0</v>
      </c>
      <c r="Y33" s="818">
        <f>'[2]Lionhead Ext. Pig Cost'!U62</f>
        <v>0</v>
      </c>
      <c r="Z33" s="818">
        <f>'[2]Lionhead Ext. Pig Cost'!V62</f>
        <v>0</v>
      </c>
      <c r="AA33" s="818">
        <f>'[2]Lionhead Ext. Pig Cost'!W62</f>
        <v>5668.4852430220726</v>
      </c>
      <c r="AB33" s="818">
        <f>'[2]Lionhead Ext. Pig Cost'!X62</f>
        <v>7763.7111386916895</v>
      </c>
      <c r="AC33" s="818">
        <f>'[2]Lionhead Ext. Pig Cost'!Y62</f>
        <v>6964.7886083626308</v>
      </c>
      <c r="AD33" s="818">
        <f>'[2]Lionhead Ext. Pig Cost'!Z62</f>
        <v>12286.081899592058</v>
      </c>
      <c r="AE33" s="818">
        <f>'[2]Lionhead Ext. Pig Cost'!AA62</f>
        <v>4282.563027581813</v>
      </c>
      <c r="AF33" s="818">
        <f>'[2]Lionhead Ext. Pig Cost'!AB62</f>
        <v>20430.89756213392</v>
      </c>
      <c r="AG33" s="818">
        <f>'[2]Lionhead Ext. Pig Cost'!AC62</f>
        <v>25050.521114715382</v>
      </c>
      <c r="AH33" s="818">
        <f>'[2]Lionhead Ext. Pig Cost'!AD62</f>
        <v>31963.724944349553</v>
      </c>
      <c r="AI33" s="818">
        <f>'[2]Lionhead Ext. Pig Cost'!AE62</f>
        <v>29880.363261537052</v>
      </c>
      <c r="AJ33" s="818">
        <f>'[2]Lionhead Ext. Pig Cost'!AF62</f>
        <v>32429.873090025314</v>
      </c>
      <c r="AK33" s="818">
        <f>'[2]Lionhead Ext. Pig Cost'!AG62</f>
        <v>53500.173811254695</v>
      </c>
      <c r="AL33" s="818">
        <f>'[2]Lionhead Ext. Pig Cost'!AH62</f>
        <v>44130.069622258423</v>
      </c>
      <c r="AM33" s="818">
        <f>'[2]Lionhead Ext. Pig Cost'!AI62</f>
        <v>47167.219921550815</v>
      </c>
      <c r="AN33" s="818">
        <f>'[2]Lionhead Ext. Pig Cost'!AJ62</f>
        <v>45554.525751417532</v>
      </c>
      <c r="AO33" s="818">
        <f>'[2]Lionhead Ext. Pig Cost'!AK62</f>
        <v>56493.179764876942</v>
      </c>
      <c r="AP33" s="818">
        <f>'[2]Lionhead Ext. Pig Cost'!AL62</f>
        <v>49058.827712842569</v>
      </c>
      <c r="AQ33" s="818">
        <f>'[2]Lionhead Ext. Pig Cost'!AM62</f>
        <v>74063.844213070755</v>
      </c>
      <c r="AR33" s="818">
        <f>'[2]Lionhead Ext. Pig Cost'!AN62</f>
        <v>60595.386555386678</v>
      </c>
      <c r="AS33" s="818">
        <f>'[2]Lionhead Ext. Pig Cost'!AO62</f>
        <v>0</v>
      </c>
      <c r="AT33" s="818">
        <f>'[2]Lionhead Ext. Pig Cost'!AP62</f>
        <v>0</v>
      </c>
      <c r="AU33" s="1057">
        <f>SUM(B33:AT33)</f>
        <v>607284.23724266991</v>
      </c>
      <c r="AV33" s="818">
        <f>'[2]Lionhead Ext. Pig Cost'!AU62</f>
        <v>607284.23724266991</v>
      </c>
      <c r="AW33" s="1170">
        <f>+AU33-AV33</f>
        <v>0</v>
      </c>
      <c r="AX33">
        <f>AU33/AU7</f>
        <v>190.31157544427137</v>
      </c>
    </row>
    <row r="34" spans="1:50" ht="15.6">
      <c r="A34" s="1066" t="str">
        <f>+'Grasmere Pig Cost'!A34</f>
        <v>Transfer In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817"/>
      <c r="T34" s="817"/>
      <c r="U34" s="817"/>
      <c r="V34" s="817"/>
      <c r="W34" s="817"/>
      <c r="X34" s="817"/>
      <c r="Y34" s="817"/>
      <c r="Z34" s="817"/>
      <c r="AA34" s="817"/>
      <c r="AB34" s="817"/>
      <c r="AC34" s="817"/>
      <c r="AD34" s="817"/>
      <c r="AE34" s="817"/>
      <c r="AF34" s="817"/>
      <c r="AG34" s="817"/>
      <c r="AH34" s="817"/>
      <c r="AI34" s="817"/>
      <c r="AJ34" s="817"/>
      <c r="AK34" s="817"/>
      <c r="AL34" s="817"/>
      <c r="AM34" s="817"/>
      <c r="AN34" s="817"/>
      <c r="AO34" s="142"/>
      <c r="AP34" s="142"/>
      <c r="AQ34" s="142"/>
      <c r="AR34" s="142"/>
      <c r="AS34" s="142"/>
      <c r="AT34" s="142"/>
      <c r="AU34" s="807">
        <f>SUM(B34:AT34)</f>
        <v>0</v>
      </c>
      <c r="AV34" s="818"/>
      <c r="AW34" s="142"/>
      <c r="AX34">
        <f>AU62/AU30</f>
        <v>188.86631576805485</v>
      </c>
    </row>
    <row r="35" spans="1:50" ht="15.6">
      <c r="A35" s="1066" t="str">
        <f>+'Grasmere Pig Cost'!A35</f>
        <v>Transfer (Out)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817"/>
      <c r="T35" s="817"/>
      <c r="U35" s="817"/>
      <c r="V35" s="817"/>
      <c r="W35" s="817"/>
      <c r="X35" s="817"/>
      <c r="Y35" s="817"/>
      <c r="Z35" s="817"/>
      <c r="AA35" s="142"/>
      <c r="AB35" s="817"/>
      <c r="AC35" s="817"/>
      <c r="AD35" s="817"/>
      <c r="AE35" s="817"/>
      <c r="AF35" s="817"/>
      <c r="AG35" s="817"/>
      <c r="AH35" s="817"/>
      <c r="AI35" s="817"/>
      <c r="AJ35" s="817"/>
      <c r="AK35" s="817"/>
      <c r="AL35" s="817"/>
      <c r="AM35" s="817"/>
      <c r="AN35" s="817"/>
      <c r="AO35" s="142"/>
      <c r="AP35" s="142"/>
      <c r="AQ35" s="142"/>
      <c r="AR35" s="142"/>
      <c r="AS35" s="142"/>
      <c r="AT35" s="142"/>
      <c r="AU35" s="807">
        <f>SUM(B35:AT35)</f>
        <v>0</v>
      </c>
      <c r="AV35" s="818"/>
      <c r="AW35" s="142"/>
      <c r="AX35">
        <f>AX33-AX34</f>
        <v>1.4452596762165228</v>
      </c>
    </row>
    <row r="36" spans="1:50" ht="15">
      <c r="A36" s="1059" t="s">
        <v>1804</v>
      </c>
      <c r="B36" s="818">
        <f>IFERROR(SUM(B33:B35),0)</f>
        <v>0</v>
      </c>
      <c r="C36" s="818">
        <f t="shared" ref="C36:AU36" si="11">IFERROR(SUM(C33:C35),0)</f>
        <v>0</v>
      </c>
      <c r="D36" s="818">
        <f t="shared" si="11"/>
        <v>0</v>
      </c>
      <c r="E36" s="818">
        <f t="shared" si="11"/>
        <v>0</v>
      </c>
      <c r="F36" s="818">
        <f t="shared" si="11"/>
        <v>0</v>
      </c>
      <c r="G36" s="818">
        <f t="shared" si="11"/>
        <v>0</v>
      </c>
      <c r="H36" s="818">
        <f t="shared" si="11"/>
        <v>0</v>
      </c>
      <c r="I36" s="818">
        <f t="shared" si="11"/>
        <v>0</v>
      </c>
      <c r="J36" s="818">
        <f t="shared" si="11"/>
        <v>0</v>
      </c>
      <c r="K36" s="818">
        <f t="shared" si="11"/>
        <v>0</v>
      </c>
      <c r="L36" s="818">
        <f t="shared" si="11"/>
        <v>0</v>
      </c>
      <c r="M36" s="818">
        <f t="shared" si="11"/>
        <v>0</v>
      </c>
      <c r="N36" s="818">
        <f t="shared" si="11"/>
        <v>0</v>
      </c>
      <c r="O36" s="818">
        <f t="shared" si="11"/>
        <v>0</v>
      </c>
      <c r="P36" s="818">
        <f t="shared" si="11"/>
        <v>0</v>
      </c>
      <c r="Q36" s="818">
        <f t="shared" si="11"/>
        <v>0</v>
      </c>
      <c r="R36" s="818">
        <f t="shared" si="11"/>
        <v>0</v>
      </c>
      <c r="S36" s="818">
        <f t="shared" si="11"/>
        <v>0</v>
      </c>
      <c r="T36" s="818">
        <f t="shared" si="11"/>
        <v>0</v>
      </c>
      <c r="U36" s="818">
        <f t="shared" si="11"/>
        <v>0</v>
      </c>
      <c r="V36" s="818">
        <f t="shared" si="11"/>
        <v>0</v>
      </c>
      <c r="W36" s="818">
        <f t="shared" si="11"/>
        <v>0</v>
      </c>
      <c r="X36" s="818">
        <f t="shared" si="11"/>
        <v>0</v>
      </c>
      <c r="Y36" s="818">
        <f t="shared" si="11"/>
        <v>0</v>
      </c>
      <c r="Z36" s="818">
        <f t="shared" si="11"/>
        <v>0</v>
      </c>
      <c r="AA36" s="818">
        <f t="shared" si="11"/>
        <v>5668.4852430220726</v>
      </c>
      <c r="AB36" s="818">
        <f t="shared" si="11"/>
        <v>7763.7111386916895</v>
      </c>
      <c r="AC36" s="818">
        <f t="shared" si="11"/>
        <v>6964.7886083626308</v>
      </c>
      <c r="AD36" s="818">
        <f t="shared" si="11"/>
        <v>12286.081899592058</v>
      </c>
      <c r="AE36" s="818">
        <f t="shared" si="11"/>
        <v>4282.563027581813</v>
      </c>
      <c r="AF36" s="818">
        <f t="shared" si="11"/>
        <v>20430.89756213392</v>
      </c>
      <c r="AG36" s="818">
        <f t="shared" si="11"/>
        <v>25050.521114715382</v>
      </c>
      <c r="AH36" s="818">
        <f t="shared" si="11"/>
        <v>31963.724944349553</v>
      </c>
      <c r="AI36" s="818">
        <f t="shared" si="11"/>
        <v>29880.363261537052</v>
      </c>
      <c r="AJ36" s="818">
        <f t="shared" si="11"/>
        <v>32429.873090025314</v>
      </c>
      <c r="AK36" s="818">
        <f t="shared" si="11"/>
        <v>53500.173811254695</v>
      </c>
      <c r="AL36" s="818">
        <f t="shared" si="11"/>
        <v>44130.069622258423</v>
      </c>
      <c r="AM36" s="818">
        <f t="shared" si="11"/>
        <v>47167.219921550815</v>
      </c>
      <c r="AN36" s="818">
        <f t="shared" si="11"/>
        <v>45554.525751417532</v>
      </c>
      <c r="AO36" s="818">
        <f t="shared" si="11"/>
        <v>56493.179764876942</v>
      </c>
      <c r="AP36" s="818">
        <f t="shared" si="11"/>
        <v>49058.827712842569</v>
      </c>
      <c r="AQ36" s="818">
        <f t="shared" si="11"/>
        <v>74063.844213070755</v>
      </c>
      <c r="AR36" s="818">
        <f t="shared" si="11"/>
        <v>60595.386555386678</v>
      </c>
      <c r="AS36" s="818">
        <f t="shared" si="11"/>
        <v>0</v>
      </c>
      <c r="AT36" s="818">
        <f t="shared" si="11"/>
        <v>0</v>
      </c>
      <c r="AU36" s="818">
        <f t="shared" si="11"/>
        <v>607284.23724266991</v>
      </c>
      <c r="AV36" s="817"/>
      <c r="AW36" s="1170"/>
      <c r="AX36" s="1188">
        <f>AX34/AX33-1</f>
        <v>-7.5941764069928919E-3</v>
      </c>
    </row>
    <row r="37" spans="1:50" ht="15">
      <c r="A37" s="1059" t="s">
        <v>1805</v>
      </c>
      <c r="B37" s="818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>
        <f>IFERROR(S36/S11,0)</f>
        <v>0</v>
      </c>
      <c r="T37" s="818">
        <f t="shared" ref="T37:AU37" si="12">IFERROR(T36/T11,0)</f>
        <v>0</v>
      </c>
      <c r="U37" s="818">
        <f t="shared" si="12"/>
        <v>0</v>
      </c>
      <c r="V37" s="818">
        <f t="shared" si="12"/>
        <v>0</v>
      </c>
      <c r="W37" s="818">
        <f>IFERROR(W46/W13,0)</f>
        <v>27.730487017666679</v>
      </c>
      <c r="X37" s="818">
        <f>IFERROR(X46/X13,0)</f>
        <v>44.330617630683541</v>
      </c>
      <c r="Y37" s="818">
        <f>IFERROR(Y46/Y13,0)</f>
        <v>47.257543112649685</v>
      </c>
      <c r="Z37" s="818">
        <f>IFERROR(Z46/Z13,0)</f>
        <v>0</v>
      </c>
      <c r="AA37" s="818">
        <f>IFERROR(AA36/AA11,0)</f>
        <v>53.476275877566721</v>
      </c>
      <c r="AB37" s="818">
        <f t="shared" si="12"/>
        <v>44.364063649666797</v>
      </c>
      <c r="AC37" s="818">
        <f>IFERROR(AC36/AC11,0)</f>
        <v>68.958303053095349</v>
      </c>
      <c r="AD37" s="818">
        <f t="shared" si="12"/>
        <v>110.68542251884737</v>
      </c>
      <c r="AE37" s="818">
        <f t="shared" si="12"/>
        <v>107.06407568954532</v>
      </c>
      <c r="AF37" s="818">
        <f t="shared" si="12"/>
        <v>107.53103980070485</v>
      </c>
      <c r="AG37" s="818">
        <f t="shared" si="12"/>
        <v>137.64022590502958</v>
      </c>
      <c r="AH37" s="818">
        <f t="shared" si="12"/>
        <v>175.62486233159095</v>
      </c>
      <c r="AI37" s="818">
        <f t="shared" si="12"/>
        <v>168.81561164710197</v>
      </c>
      <c r="AJ37" s="818">
        <f t="shared" si="12"/>
        <v>136.25997096649292</v>
      </c>
      <c r="AK37" s="818">
        <f t="shared" si="12"/>
        <v>199.6275142210996</v>
      </c>
      <c r="AL37" s="818">
        <f t="shared" si="12"/>
        <v>198.78409739756046</v>
      </c>
      <c r="AM37" s="818">
        <f t="shared" si="12"/>
        <v>220.40756972687296</v>
      </c>
      <c r="AN37" s="818">
        <f t="shared" si="12"/>
        <v>236.03381218351052</v>
      </c>
      <c r="AO37" s="818">
        <f t="shared" si="12"/>
        <v>267.74018845913241</v>
      </c>
      <c r="AP37" s="818">
        <f t="shared" si="12"/>
        <v>312.47660963593995</v>
      </c>
      <c r="AQ37" s="818">
        <f t="shared" si="12"/>
        <v>311.19262274399478</v>
      </c>
      <c r="AR37" s="818">
        <f t="shared" si="12"/>
        <v>325.78164814724022</v>
      </c>
      <c r="AS37" s="818">
        <f t="shared" si="12"/>
        <v>0</v>
      </c>
      <c r="AT37" s="818">
        <f t="shared" si="12"/>
        <v>0</v>
      </c>
      <c r="AU37" s="818">
        <f t="shared" si="12"/>
        <v>190.31157544427137</v>
      </c>
      <c r="AV37" s="817"/>
      <c r="AW37" s="1170"/>
    </row>
    <row r="38" spans="1:50" ht="15">
      <c r="A38" s="142"/>
      <c r="B38" s="818"/>
      <c r="C38" s="818"/>
      <c r="D38" s="818"/>
      <c r="E38" s="818"/>
      <c r="F38" s="818"/>
      <c r="G38" s="818"/>
      <c r="H38" s="818"/>
      <c r="I38" s="818"/>
      <c r="J38" s="818"/>
      <c r="K38" s="818"/>
      <c r="L38" s="818"/>
      <c r="M38" s="818"/>
      <c r="N38" s="818"/>
      <c r="O38" s="818"/>
      <c r="P38" s="818"/>
      <c r="Q38" s="818"/>
      <c r="R38" s="818"/>
      <c r="S38" s="818"/>
      <c r="T38" s="818"/>
      <c r="U38" s="818"/>
      <c r="V38" s="818"/>
      <c r="W38" s="818"/>
      <c r="X38" s="818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  <c r="AI38" s="818"/>
      <c r="AJ38" s="818"/>
      <c r="AK38" s="818"/>
      <c r="AL38" s="818"/>
      <c r="AM38" s="818"/>
      <c r="AN38" s="818"/>
      <c r="AO38" s="818"/>
      <c r="AP38" s="818"/>
      <c r="AQ38" s="818"/>
      <c r="AR38" s="818"/>
      <c r="AS38" s="818"/>
      <c r="AT38" s="818"/>
      <c r="AU38" s="1057"/>
      <c r="AV38" s="817"/>
      <c r="AW38" s="1170"/>
    </row>
    <row r="39" spans="1:50" ht="15.6">
      <c r="A39" s="1687" t="s">
        <v>1806</v>
      </c>
      <c r="B39" s="1682">
        <f t="shared" ref="B39:AU39" si="13">IFERROR(B36+SUM(B45:B56),0)</f>
        <v>0</v>
      </c>
      <c r="C39" s="1682">
        <f t="shared" si="13"/>
        <v>0</v>
      </c>
      <c r="D39" s="1682">
        <f t="shared" si="13"/>
        <v>0</v>
      </c>
      <c r="E39" s="1682">
        <f t="shared" si="13"/>
        <v>0</v>
      </c>
      <c r="F39" s="1682">
        <f t="shared" si="13"/>
        <v>0</v>
      </c>
      <c r="G39" s="1682">
        <f t="shared" si="13"/>
        <v>0</v>
      </c>
      <c r="H39" s="1682">
        <f t="shared" si="13"/>
        <v>0</v>
      </c>
      <c r="I39" s="1682">
        <f t="shared" si="13"/>
        <v>0</v>
      </c>
      <c r="J39" s="1682">
        <f t="shared" si="13"/>
        <v>0</v>
      </c>
      <c r="K39" s="1682">
        <f t="shared" si="13"/>
        <v>0</v>
      </c>
      <c r="L39" s="1682">
        <f t="shared" si="13"/>
        <v>0</v>
      </c>
      <c r="M39" s="1682">
        <f t="shared" si="13"/>
        <v>0</v>
      </c>
      <c r="N39" s="1682">
        <f t="shared" si="13"/>
        <v>0</v>
      </c>
      <c r="O39" s="1682">
        <f t="shared" si="13"/>
        <v>0</v>
      </c>
      <c r="P39" s="1682">
        <f t="shared" si="13"/>
        <v>0</v>
      </c>
      <c r="Q39" s="1682">
        <f t="shared" si="13"/>
        <v>0</v>
      </c>
      <c r="R39" s="1682">
        <f t="shared" si="13"/>
        <v>0</v>
      </c>
      <c r="S39" s="1683">
        <f t="shared" si="13"/>
        <v>0</v>
      </c>
      <c r="T39" s="1683">
        <f t="shared" si="13"/>
        <v>0</v>
      </c>
      <c r="U39" s="1683">
        <f t="shared" si="13"/>
        <v>0</v>
      </c>
      <c r="V39" s="1732">
        <f t="shared" si="13"/>
        <v>0</v>
      </c>
      <c r="W39" s="1732">
        <f>IFERROR(W36+SUM(W45:W56),0)</f>
        <v>3238.7101371319159</v>
      </c>
      <c r="X39" s="1509">
        <f t="shared" si="13"/>
        <v>4163.6850200540557</v>
      </c>
      <c r="Y39" s="1511">
        <f>IFERROR(Y36+SUM(Y45:Y56),0)</f>
        <v>7023.1315010622193</v>
      </c>
      <c r="Z39" s="1677">
        <f t="shared" si="13"/>
        <v>3510.1487560871997</v>
      </c>
      <c r="AA39" s="1677">
        <f t="shared" si="13"/>
        <v>5668.4852430220726</v>
      </c>
      <c r="AB39" s="1677">
        <f t="shared" si="13"/>
        <v>9882.6903039204826</v>
      </c>
      <c r="AC39" s="1677">
        <f t="shared" si="13"/>
        <v>15227.534442490656</v>
      </c>
      <c r="AD39" s="1678">
        <f t="shared" si="13"/>
        <v>20284.948417891799</v>
      </c>
      <c r="AE39" s="1678">
        <f t="shared" si="13"/>
        <v>24144.784141120479</v>
      </c>
      <c r="AF39" s="1679">
        <f>IFERROR(AF36+SUM(AF45:AF56),0)</f>
        <v>20430.89756213392</v>
      </c>
      <c r="AG39" s="1679">
        <f t="shared" si="13"/>
        <v>25050.521114715382</v>
      </c>
      <c r="AH39" s="1680">
        <f t="shared" si="13"/>
        <v>31963.724944349553</v>
      </c>
      <c r="AI39" s="1680">
        <f t="shared" si="13"/>
        <v>29880.363261537052</v>
      </c>
      <c r="AJ39" s="1681">
        <f t="shared" si="13"/>
        <v>32429.873090025314</v>
      </c>
      <c r="AK39" s="1681">
        <f t="shared" si="13"/>
        <v>53500.173811254695</v>
      </c>
      <c r="AL39" s="1681">
        <f t="shared" si="13"/>
        <v>44130.069622258423</v>
      </c>
      <c r="AM39" s="1681">
        <f t="shared" si="13"/>
        <v>47167.219921550815</v>
      </c>
      <c r="AN39" s="1681">
        <f t="shared" si="13"/>
        <v>45554.525751417532</v>
      </c>
      <c r="AO39" s="1121">
        <f t="shared" si="13"/>
        <v>56493.179764876942</v>
      </c>
      <c r="AP39" s="1121">
        <f t="shared" si="13"/>
        <v>49058.827712842569</v>
      </c>
      <c r="AQ39" s="1121">
        <f t="shared" si="13"/>
        <v>74063.844213070755</v>
      </c>
      <c r="AR39" s="1121">
        <f t="shared" si="13"/>
        <v>60595.386555386678</v>
      </c>
      <c r="AS39" s="1121">
        <f t="shared" si="13"/>
        <v>0</v>
      </c>
      <c r="AT39" s="1121">
        <f t="shared" si="13"/>
        <v>0</v>
      </c>
      <c r="AU39" s="807">
        <f t="shared" si="13"/>
        <v>663462.72528820054</v>
      </c>
      <c r="AV39" s="818"/>
      <c r="AW39" s="1170"/>
    </row>
    <row r="40" spans="1:50" ht="15.6">
      <c r="A40" s="1066" t="str">
        <f>+'Grasmere Pig Cost'!A40</f>
        <v>Month Feed consumption</v>
      </c>
      <c r="B40" s="1682">
        <f t="shared" ref="B40:R40" si="14">B76*$B$68</f>
        <v>0</v>
      </c>
      <c r="C40" s="1682">
        <f t="shared" si="14"/>
        <v>0</v>
      </c>
      <c r="D40" s="1682">
        <f t="shared" si="14"/>
        <v>0</v>
      </c>
      <c r="E40" s="1682">
        <f t="shared" si="14"/>
        <v>0</v>
      </c>
      <c r="F40" s="1682">
        <f t="shared" si="14"/>
        <v>0</v>
      </c>
      <c r="G40" s="1682">
        <f t="shared" si="14"/>
        <v>0</v>
      </c>
      <c r="H40" s="1682">
        <f t="shared" si="14"/>
        <v>0</v>
      </c>
      <c r="I40" s="1682">
        <f t="shared" si="14"/>
        <v>0</v>
      </c>
      <c r="J40" s="1682">
        <f t="shared" si="14"/>
        <v>0</v>
      </c>
      <c r="K40" s="1682">
        <f t="shared" si="14"/>
        <v>0</v>
      </c>
      <c r="L40" s="1682">
        <f t="shared" si="14"/>
        <v>0</v>
      </c>
      <c r="M40" s="1682">
        <f t="shared" si="14"/>
        <v>0</v>
      </c>
      <c r="N40" s="1682">
        <f t="shared" si="14"/>
        <v>0</v>
      </c>
      <c r="O40" s="1682">
        <f t="shared" si="14"/>
        <v>0</v>
      </c>
      <c r="P40" s="1682">
        <f t="shared" si="14"/>
        <v>0</v>
      </c>
      <c r="Q40" s="1682">
        <f t="shared" si="14"/>
        <v>0</v>
      </c>
      <c r="R40" s="1682">
        <f t="shared" si="14"/>
        <v>0</v>
      </c>
      <c r="S40" s="1683">
        <f>S76*$D$68</f>
        <v>0</v>
      </c>
      <c r="T40" s="1683">
        <f>T76*$D$68</f>
        <v>0</v>
      </c>
      <c r="U40" s="1683">
        <f>U76*$D$68</f>
        <v>0</v>
      </c>
      <c r="V40" s="1732">
        <f>IFERROR(V29/(V29+W29)*'Feed Cost &amp; Allocation'!B79,0)</f>
        <v>0</v>
      </c>
      <c r="W40" s="1732">
        <f>IFERROR(W29/(W29+V29)*'Feed Cost &amp; Allocation'!B79,0)+'Feed Cost &amp; Allocation'!AG79</f>
        <v>1550</v>
      </c>
      <c r="X40" s="1763">
        <f>X76*F68+X29/(X29+Y29)*'Feed Cost &amp; Allocation'!B79</f>
        <v>2237.4347533254754</v>
      </c>
      <c r="Y40" s="1763">
        <f>Y76*F68+Y29/(Y29+X29)*'Feed Cost &amp; Allocation'!B79+'Feed Cost &amp; Allocation'!Z79</f>
        <v>3357.5652466745241</v>
      </c>
      <c r="Z40" s="1677">
        <f>Z29/(Z29+AA29+AB29+AC29)*('Feed Cost &amp; Allocation'!D79+'Feed Cost &amp; Allocation'!E79)</f>
        <v>5691.9465081723629</v>
      </c>
      <c r="AA40" s="1677">
        <f>AA29/(Z29+AA29+AB29+AC29)*('Feed Cost &amp; Allocation'!D79+'Feed Cost &amp; Allocation'!E79)</f>
        <v>4268.9598811292717</v>
      </c>
      <c r="AB40" s="1677">
        <f>AB29/(AA29+AB29+AC29+Z29)*('Feed Cost &amp; Allocation'!D79+'Feed Cost &amp; Allocation'!E79)</f>
        <v>8619.2332838038637</v>
      </c>
      <c r="AC40" s="1677">
        <f>AC29/(AB29+AC29+AA29+Z29)*('Feed Cost &amp; Allocation'!D79+'Feed Cost &amp; Allocation'!E79)</f>
        <v>8781.8603268945026</v>
      </c>
      <c r="AD40" s="1678">
        <f>IFERROR((AD29/(AD29+AE29))*'Feed Cost &amp; Allocation'!F79,0)</f>
        <v>9319.9144254278726</v>
      </c>
      <c r="AE40" s="1678">
        <f>IFERROR((AE29/(AE29+AD29))*'Feed Cost &amp; Allocation'!F79,0)</f>
        <v>9835.0855745721274</v>
      </c>
      <c r="AF40" s="1679">
        <f>IFERROR(AF7/(AF7+AG7)*'Feed Cost &amp; Allocation'!G79,0)</f>
        <v>13937.930107526881</v>
      </c>
      <c r="AG40" s="1679">
        <f>IFERROR(AG7/(AF7+AG7)*'Feed Cost &amp; Allocation'!G79,0)</f>
        <v>13351.069892473119</v>
      </c>
      <c r="AH40" s="1680">
        <f>IFERROR(AH7/(AH7+AI7)*('Feed Cost &amp; Allocation'!H79),0)</f>
        <v>17997.214484679665</v>
      </c>
      <c r="AI40" s="1680">
        <f>AI7/(AI7+AH7)*'Feed Cost &amp; Allocation'!H79</f>
        <v>17502.785515320335</v>
      </c>
      <c r="AJ40" s="1681">
        <f>AJ7/(AJ7+AK7+AL7+AM7+AN7)*'Feed Cost &amp; Allocation'!J79</f>
        <v>17140.403524229074</v>
      </c>
      <c r="AK40" s="1681">
        <f>AK7/(AJ7+AK7+AL7+AM7+AN7)*'Feed Cost &amp; Allocation'!J79</f>
        <v>19300.958590308368</v>
      </c>
      <c r="AL40" s="1681">
        <f>AL7/(AJ7+AK7+AL7+AM7+AN7)*'Feed Cost &amp; Allocation'!J79</f>
        <v>15988.107488986785</v>
      </c>
      <c r="AM40" s="1681">
        <f>AM7/(AJ7+AK7+AL7+AM7+AN7)*'Feed Cost &amp; Allocation'!J79</f>
        <v>15411.959471365637</v>
      </c>
      <c r="AN40" s="1681">
        <f>AN7/(AJ7+AK7+AL7+AM7+AN7)*'Feed Cost &amp; Allocation'!J79</f>
        <v>13899.570925110133</v>
      </c>
      <c r="AO40" s="1121"/>
      <c r="AP40" s="1121"/>
      <c r="AQ40" s="1121"/>
      <c r="AR40" s="1121"/>
      <c r="AS40" s="1121"/>
      <c r="AT40" s="1121"/>
      <c r="AU40" s="807">
        <f>SUM(B40:AT40)</f>
        <v>198192</v>
      </c>
      <c r="AV40" s="1199">
        <f>+AU40-'Feed Cost &amp; Allocation'!AY79+'Feed Cost &amp; Allocation'!R79+'Feed Cost &amp; Allocation'!Q79+'Feed Cost &amp; Allocation'!P79-F67</f>
        <v>0</v>
      </c>
      <c r="AW40" s="818">
        <f>+'Feed Cost &amp; Allocation'!P79+'Feed Cost &amp; Allocation'!Q79+'Feed Cost &amp; Allocation'!R79-'Lionhead Ext. Pig Cost'!F67</f>
        <v>0</v>
      </c>
    </row>
    <row r="41" spans="1:50" ht="15.6">
      <c r="A41" s="1790" t="s">
        <v>1808</v>
      </c>
      <c r="B41" s="1682">
        <f>IFERROR(SUM(B39:B40),0)</f>
        <v>0</v>
      </c>
      <c r="C41" s="1682">
        <f t="shared" ref="C41:AS41" si="15">IFERROR(SUM(C39:C40),0)</f>
        <v>0</v>
      </c>
      <c r="D41" s="1682">
        <f t="shared" si="15"/>
        <v>0</v>
      </c>
      <c r="E41" s="1682">
        <f t="shared" si="15"/>
        <v>0</v>
      </c>
      <c r="F41" s="1682">
        <f t="shared" si="15"/>
        <v>0</v>
      </c>
      <c r="G41" s="1682">
        <f t="shared" si="15"/>
        <v>0</v>
      </c>
      <c r="H41" s="1682">
        <f t="shared" si="15"/>
        <v>0</v>
      </c>
      <c r="I41" s="1682">
        <f t="shared" si="15"/>
        <v>0</v>
      </c>
      <c r="J41" s="1682">
        <f t="shared" si="15"/>
        <v>0</v>
      </c>
      <c r="K41" s="1682">
        <f t="shared" si="15"/>
        <v>0</v>
      </c>
      <c r="L41" s="1682">
        <f t="shared" si="15"/>
        <v>0</v>
      </c>
      <c r="M41" s="1682">
        <f t="shared" si="15"/>
        <v>0</v>
      </c>
      <c r="N41" s="1682">
        <f t="shared" si="15"/>
        <v>0</v>
      </c>
      <c r="O41" s="1682">
        <f t="shared" si="15"/>
        <v>0</v>
      </c>
      <c r="P41" s="1682">
        <f t="shared" si="15"/>
        <v>0</v>
      </c>
      <c r="Q41" s="1682">
        <f t="shared" si="15"/>
        <v>0</v>
      </c>
      <c r="R41" s="1682">
        <f t="shared" si="15"/>
        <v>0</v>
      </c>
      <c r="S41" s="1683">
        <f t="shared" si="15"/>
        <v>0</v>
      </c>
      <c r="T41" s="1683">
        <f t="shared" si="15"/>
        <v>0</v>
      </c>
      <c r="U41" s="1683">
        <f t="shared" si="15"/>
        <v>0</v>
      </c>
      <c r="V41" s="1732">
        <f t="shared" si="15"/>
        <v>0</v>
      </c>
      <c r="W41" s="1732">
        <f t="shared" si="15"/>
        <v>4788.7101371319159</v>
      </c>
      <c r="X41" s="1509">
        <f t="shared" si="15"/>
        <v>6401.1197733795307</v>
      </c>
      <c r="Y41" s="1511">
        <f>IFERROR(SUM(Y39:Y40),0)</f>
        <v>10380.696747736743</v>
      </c>
      <c r="Z41" s="1677">
        <f t="shared" si="15"/>
        <v>9202.0952642595621</v>
      </c>
      <c r="AA41" s="1677">
        <f t="shared" si="15"/>
        <v>9937.4451241513452</v>
      </c>
      <c r="AB41" s="1677">
        <f t="shared" si="15"/>
        <v>18501.923587724348</v>
      </c>
      <c r="AC41" s="1677">
        <f t="shared" si="15"/>
        <v>24009.394769385159</v>
      </c>
      <c r="AD41" s="1678">
        <f>IFERROR(SUM(AD39:AD40),0)</f>
        <v>29604.862843319672</v>
      </c>
      <c r="AE41" s="1678">
        <f t="shared" si="15"/>
        <v>33979.869715692606</v>
      </c>
      <c r="AF41" s="1679">
        <f>IFERROR(SUM(AF39:AF40),0)</f>
        <v>34368.827669660801</v>
      </c>
      <c r="AG41" s="1679">
        <f t="shared" si="15"/>
        <v>38401.591007188501</v>
      </c>
      <c r="AH41" s="1680">
        <f t="shared" si="15"/>
        <v>49960.939429029218</v>
      </c>
      <c r="AI41" s="1680">
        <f t="shared" si="15"/>
        <v>47383.148776857386</v>
      </c>
      <c r="AJ41" s="1681">
        <f t="shared" si="15"/>
        <v>49570.276614254384</v>
      </c>
      <c r="AK41" s="1681">
        <f t="shared" si="15"/>
        <v>72801.132401563067</v>
      </c>
      <c r="AL41" s="1681">
        <f t="shared" si="15"/>
        <v>60118.177111245212</v>
      </c>
      <c r="AM41" s="1681">
        <f t="shared" si="15"/>
        <v>62579.179392916456</v>
      </c>
      <c r="AN41" s="1681">
        <f t="shared" si="15"/>
        <v>59454.096676527668</v>
      </c>
      <c r="AO41" s="1121">
        <f t="shared" si="15"/>
        <v>56493.179764876942</v>
      </c>
      <c r="AP41" s="1121">
        <f t="shared" si="15"/>
        <v>49058.827712842569</v>
      </c>
      <c r="AQ41" s="1121">
        <f t="shared" si="15"/>
        <v>74063.844213070755</v>
      </c>
      <c r="AR41" s="1121">
        <f t="shared" si="15"/>
        <v>60595.386555386678</v>
      </c>
      <c r="AS41" s="1121">
        <f t="shared" si="15"/>
        <v>0</v>
      </c>
      <c r="AT41" s="1121">
        <f>IFERROR(SUM(AT39:AT40),0)</f>
        <v>0</v>
      </c>
      <c r="AU41" s="807">
        <f>IFERROR(SUM(AU39:AU40),0)</f>
        <v>861654.72528820054</v>
      </c>
      <c r="AV41" s="142"/>
      <c r="AW41" s="142"/>
    </row>
    <row r="42" spans="1:50" ht="15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057"/>
      <c r="AV42" s="142"/>
      <c r="AW42" s="142"/>
    </row>
    <row r="43" spans="1:50" ht="15.6">
      <c r="A43" s="1790" t="s">
        <v>1809</v>
      </c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074">
        <f>IFERROR(S41/SUM(S11:S23),0)</f>
        <v>0</v>
      </c>
      <c r="T43" s="1074">
        <f t="shared" ref="T43:AU43" si="16">IFERROR(T41/SUM(T11:T23),0)</f>
        <v>0</v>
      </c>
      <c r="U43" s="1074">
        <f t="shared" si="16"/>
        <v>0</v>
      </c>
      <c r="V43" s="1074">
        <f t="shared" si="16"/>
        <v>0</v>
      </c>
      <c r="W43" s="1074">
        <f t="shared" si="16"/>
        <v>46.045289780114572</v>
      </c>
      <c r="X43" s="1074">
        <f t="shared" si="16"/>
        <v>68.829244875048715</v>
      </c>
      <c r="Y43" s="1074">
        <f>IFERROR(Y41/SUM(Y11:Y23),0)</f>
        <v>75.771509107567468</v>
      </c>
      <c r="Z43" s="1074">
        <f t="shared" si="16"/>
        <v>65.729251887568296</v>
      </c>
      <c r="AA43" s="1074">
        <f t="shared" si="16"/>
        <v>93.749482303314579</v>
      </c>
      <c r="AB43" s="1074">
        <f t="shared" si="16"/>
        <v>86.055458547555105</v>
      </c>
      <c r="AC43" s="1074">
        <f t="shared" si="16"/>
        <v>111.15460541382018</v>
      </c>
      <c r="AD43" s="1074">
        <f>IFERROR(AD41/SUM(AD11:AD23),0)</f>
        <v>147.28787484238643</v>
      </c>
      <c r="AE43" s="1074">
        <f t="shared" si="16"/>
        <v>161.80890340806002</v>
      </c>
      <c r="AF43" s="1074">
        <f t="shared" si="16"/>
        <v>180.88856668242528</v>
      </c>
      <c r="AG43" s="1074">
        <f t="shared" si="16"/>
        <v>210.99775278675</v>
      </c>
      <c r="AH43" s="1074">
        <f t="shared" si="16"/>
        <v>274.51065620345724</v>
      </c>
      <c r="AI43" s="1074">
        <f t="shared" si="16"/>
        <v>267.70140551896827</v>
      </c>
      <c r="AJ43" s="1074">
        <f t="shared" si="16"/>
        <v>208.27847316913608</v>
      </c>
      <c r="AK43" s="1074">
        <f t="shared" si="16"/>
        <v>271.64601642374276</v>
      </c>
      <c r="AL43" s="1074">
        <f t="shared" si="16"/>
        <v>270.80259960020368</v>
      </c>
      <c r="AM43" s="1074">
        <f t="shared" si="16"/>
        <v>292.42607192951613</v>
      </c>
      <c r="AN43" s="1074">
        <f t="shared" si="16"/>
        <v>308.05231438615374</v>
      </c>
      <c r="AO43" s="1074">
        <f t="shared" si="16"/>
        <v>267.74018845913241</v>
      </c>
      <c r="AP43" s="1074">
        <f t="shared" si="16"/>
        <v>312.47660963593995</v>
      </c>
      <c r="AQ43" s="1074">
        <f t="shared" si="16"/>
        <v>311.19262274399478</v>
      </c>
      <c r="AR43" s="1074">
        <f t="shared" si="16"/>
        <v>325.78164814724022</v>
      </c>
      <c r="AS43" s="1074">
        <f t="shared" si="16"/>
        <v>0</v>
      </c>
      <c r="AT43" s="1074">
        <f t="shared" si="16"/>
        <v>0</v>
      </c>
      <c r="AU43" s="1074">
        <f t="shared" si="16"/>
        <v>211.18988364906875</v>
      </c>
      <c r="AV43" s="142"/>
      <c r="AW43" s="142"/>
    </row>
    <row r="44" spans="1:50" ht="15.6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74"/>
      <c r="AJ44" s="1074"/>
      <c r="AK44" s="1074"/>
      <c r="AL44" s="1074"/>
      <c r="AM44" s="1074"/>
      <c r="AN44" s="1074"/>
      <c r="AO44" s="1074"/>
      <c r="AP44" s="1074"/>
      <c r="AQ44" s="1074"/>
      <c r="AR44" s="1074"/>
      <c r="AS44" s="1074"/>
      <c r="AT44" s="1074"/>
      <c r="AU44" s="1097"/>
      <c r="AV44" s="142"/>
      <c r="AW44" s="142"/>
    </row>
    <row r="45" spans="1:50" ht="15.6">
      <c r="A45" s="142" t="str">
        <f t="shared" ref="A45:A50" si="17">+A12</f>
        <v>Transfers Grasmere</v>
      </c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059">
        <f>-'Grasmere Pig Cost'!S46</f>
        <v>0</v>
      </c>
      <c r="T45" s="1059">
        <f>-'Grasmere Pig Cost'!T46</f>
        <v>0</v>
      </c>
      <c r="U45" s="1059">
        <f>-'Grasmere Pig Cost'!U46</f>
        <v>0</v>
      </c>
      <c r="V45" s="1059">
        <f>-'Grasmere Pig Cost'!V46</f>
        <v>0</v>
      </c>
      <c r="W45" s="1059">
        <f>-'Grasmere Pig Cost'!W46</f>
        <v>0</v>
      </c>
      <c r="X45" s="1059">
        <f>-'Grasmere Pig Cost'!X46</f>
        <v>0</v>
      </c>
      <c r="Y45" s="1059">
        <f>-'Grasmere Pig Cost'!Y46</f>
        <v>0</v>
      </c>
      <c r="Z45" s="1059">
        <f>-'Grasmere Pig Cost'!Z46</f>
        <v>0</v>
      </c>
      <c r="AA45" s="1059">
        <f>-'Grasmere Pig Cost'!AA46</f>
        <v>0</v>
      </c>
      <c r="AB45" s="1059">
        <f>-'Grasmere Pig Cost'!AB46</f>
        <v>0</v>
      </c>
      <c r="AC45" s="1059">
        <f>-'Grasmere Pig Cost'!AC46</f>
        <v>0</v>
      </c>
      <c r="AD45" s="1059">
        <f>-'Grasmere Pig Cost'!AD46</f>
        <v>0</v>
      </c>
      <c r="AE45" s="1059">
        <f>-'Grasmere Pig Cost'!AE46</f>
        <v>0</v>
      </c>
      <c r="AF45" s="1059">
        <f>-'Grasmere Pig Cost'!AF46</f>
        <v>0</v>
      </c>
      <c r="AG45" s="1059">
        <f>-'Grasmere Pig Cost'!AG46</f>
        <v>0</v>
      </c>
      <c r="AH45" s="1059">
        <f>-'Grasmere Pig Cost'!AH46</f>
        <v>0</v>
      </c>
      <c r="AI45" s="1059">
        <f>-'Grasmere Pig Cost'!AI46</f>
        <v>0</v>
      </c>
      <c r="AJ45" s="1059">
        <f>-'Grasmere Pig Cost'!AJ46</f>
        <v>0</v>
      </c>
      <c r="AK45" s="1059">
        <f>-'Grasmere Pig Cost'!AK46</f>
        <v>0</v>
      </c>
      <c r="AL45" s="1059">
        <f>-'Grasmere Pig Cost'!AL46</f>
        <v>0</v>
      </c>
      <c r="AM45" s="1059">
        <f>-'Grasmere Pig Cost'!AM46</f>
        <v>0</v>
      </c>
      <c r="AN45" s="1059">
        <f>-'Grasmere Pig Cost'!AN46</f>
        <v>0</v>
      </c>
      <c r="AO45" s="1059">
        <f>-'Grasmere Pig Cost'!AO46</f>
        <v>0</v>
      </c>
      <c r="AP45" s="1059">
        <f>-'Grasmere Pig Cost'!AP46</f>
        <v>0</v>
      </c>
      <c r="AQ45" s="1059">
        <f>-'Grasmere Pig Cost'!AQ46</f>
        <v>0</v>
      </c>
      <c r="AR45" s="1059">
        <f>-'Grasmere Pig Cost'!AR46</f>
        <v>0</v>
      </c>
      <c r="AS45" s="1059">
        <f>-'Grasmere Pig Cost'!AS46</f>
        <v>0</v>
      </c>
      <c r="AT45" s="1059">
        <f>-'Grasmere Pig Cost'!AT46</f>
        <v>0</v>
      </c>
      <c r="AU45" s="1282">
        <f>SUM(B45:AT45)</f>
        <v>0</v>
      </c>
      <c r="AV45" s="142"/>
      <c r="AW45" s="142"/>
    </row>
    <row r="46" spans="1:50" ht="15.6">
      <c r="A46" s="142" t="str">
        <f t="shared" si="17"/>
        <v>Transfers Lionshead</v>
      </c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059">
        <f>-'Lionhead Pig Cost'!S46</f>
        <v>0</v>
      </c>
      <c r="T46" s="1059">
        <f>-'Lionhead Pig Cost'!T46</f>
        <v>0</v>
      </c>
      <c r="U46" s="1059">
        <f>-'Lionhead Pig Cost'!U46</f>
        <v>0</v>
      </c>
      <c r="V46" s="1059">
        <f>-'Lionhead Pig Cost'!V46</f>
        <v>0</v>
      </c>
      <c r="W46" s="1059">
        <f>-'Lionhead Pig Cost'!W46</f>
        <v>665.53168842400032</v>
      </c>
      <c r="X46" s="1059">
        <f>-'Lionhead Pig Cost'!X46</f>
        <v>1462.9103818125568</v>
      </c>
      <c r="Y46" s="1059">
        <f>-'Lionhead Pig Cost'!Y46</f>
        <v>1275.9536640415415</v>
      </c>
      <c r="Z46" s="1059">
        <f>-'Lionhead Pig Cost'!Z46</f>
        <v>0</v>
      </c>
      <c r="AA46" s="1059">
        <f>-'Lionhead Pig Cost'!AA46</f>
        <v>0</v>
      </c>
      <c r="AB46" s="1059">
        <f>-'Lionhead Pig Cost'!AB46</f>
        <v>0</v>
      </c>
      <c r="AC46" s="1059">
        <f>-'Lionhead Pig Cost'!AC46</f>
        <v>488.6204584261132</v>
      </c>
      <c r="AD46" s="1059">
        <f>-'Lionhead Pig Cost'!AD46</f>
        <v>0</v>
      </c>
      <c r="AE46" s="1059">
        <f>-'Lionhead Pig Cost'!AE46</f>
        <v>2783.553596082274</v>
      </c>
      <c r="AF46" s="1059">
        <f>AF13*AF37</f>
        <v>0</v>
      </c>
      <c r="AG46" s="1059">
        <f t="shared" ref="AG46:AN46" si="18">AG13*AG37</f>
        <v>0</v>
      </c>
      <c r="AH46" s="1059">
        <f t="shared" si="18"/>
        <v>0</v>
      </c>
      <c r="AI46" s="1059">
        <f t="shared" si="18"/>
        <v>0</v>
      </c>
      <c r="AJ46" s="1059">
        <f t="shared" si="18"/>
        <v>0</v>
      </c>
      <c r="AK46" s="1059">
        <f t="shared" si="18"/>
        <v>0</v>
      </c>
      <c r="AL46" s="1059">
        <f t="shared" si="18"/>
        <v>0</v>
      </c>
      <c r="AM46" s="1059">
        <f t="shared" si="18"/>
        <v>0</v>
      </c>
      <c r="AN46" s="1059">
        <f t="shared" si="18"/>
        <v>0</v>
      </c>
      <c r="AO46" s="1059">
        <f>-'Lionhead Pig Cost'!AO46</f>
        <v>0</v>
      </c>
      <c r="AP46" s="1059">
        <f>-'Lionhead Pig Cost'!AP46</f>
        <v>0</v>
      </c>
      <c r="AQ46" s="1059">
        <f>-'Lionhead Pig Cost'!AQ46</f>
        <v>0</v>
      </c>
      <c r="AR46" s="1059">
        <f>-'Lionhead Pig Cost'!AR46</f>
        <v>0</v>
      </c>
      <c r="AS46" s="1059">
        <f>-'Lionhead Pig Cost'!AS46</f>
        <v>0</v>
      </c>
      <c r="AT46" s="1059">
        <f>-'Lionhead Pig Cost'!AT46</f>
        <v>0</v>
      </c>
      <c r="AU46" s="1282">
        <f t="shared" ref="AU46:AU60" si="19">SUM(B46:AT46)</f>
        <v>6676.5697887864862</v>
      </c>
      <c r="AV46" s="142"/>
      <c r="AW46" s="142"/>
    </row>
    <row r="47" spans="1:50" ht="17.25" customHeight="1">
      <c r="A47" s="142" t="str">
        <f t="shared" si="17"/>
        <v>Transfers  Richlands</v>
      </c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059">
        <f>-'Richlands Pig Cost'!S46</f>
        <v>0</v>
      </c>
      <c r="T47" s="1059">
        <f>-'Richlands Pig Cost'!T46</f>
        <v>0</v>
      </c>
      <c r="U47" s="1059">
        <f>-'Richlands Pig Cost'!U46</f>
        <v>0</v>
      </c>
      <c r="V47" s="1059">
        <f>-'Richlands Pig Cost'!V46</f>
        <v>0</v>
      </c>
      <c r="W47" s="1059">
        <f>-'Richlands Pig Cost'!W46</f>
        <v>0</v>
      </c>
      <c r="X47" s="1059">
        <f>-'Richlands Pig Cost'!X46</f>
        <v>0</v>
      </c>
      <c r="Y47" s="1059">
        <f>-'Richlands Pig Cost'!Y46</f>
        <v>0</v>
      </c>
      <c r="Z47" s="1059">
        <f>-'Richlands Pig Cost'!Z46</f>
        <v>0</v>
      </c>
      <c r="AA47" s="1059">
        <f>-'Richlands Pig Cost'!AA46</f>
        <v>0</v>
      </c>
      <c r="AB47" s="1059">
        <f>-'Richlands Pig Cost'!AB46</f>
        <v>2118.9791652287931</v>
      </c>
      <c r="AC47" s="1059">
        <f>-'Richlands Pig Cost'!AC46</f>
        <v>7774.1253757019113</v>
      </c>
      <c r="AD47" s="1059">
        <f>-'Richlands Pig Cost'!AD46</f>
        <v>7998.866518299742</v>
      </c>
      <c r="AE47" s="1059">
        <f>-'Richlands Pig Cost'!AE46</f>
        <v>17078.667517456393</v>
      </c>
      <c r="AF47" s="1059">
        <f>-'Richlands Pig Cost'!AF46</f>
        <v>0</v>
      </c>
      <c r="AG47" s="1059">
        <f>-'Richlands Pig Cost'!AG46</f>
        <v>0</v>
      </c>
      <c r="AH47" s="1059">
        <f>-'Richlands Pig Cost'!AH46</f>
        <v>0</v>
      </c>
      <c r="AI47" s="1059">
        <f>-'Richlands Pig Cost'!AI46</f>
        <v>0</v>
      </c>
      <c r="AJ47" s="1059">
        <f>-'Richlands Pig Cost'!AJ46</f>
        <v>0</v>
      </c>
      <c r="AK47" s="1059">
        <f>-'Richlands Pig Cost'!AK46</f>
        <v>0</v>
      </c>
      <c r="AL47" s="1059">
        <f>-'Richlands Pig Cost'!AL46</f>
        <v>0</v>
      </c>
      <c r="AM47" s="1059">
        <f>-'Richlands Pig Cost'!AM46</f>
        <v>0</v>
      </c>
      <c r="AN47" s="1059">
        <f>-'Richlands Pig Cost'!AN46</f>
        <v>0</v>
      </c>
      <c r="AO47" s="1059">
        <f>-'Richlands Pig Cost'!AO46</f>
        <v>0</v>
      </c>
      <c r="AP47" s="1059">
        <f>-'Richlands Pig Cost'!AP46</f>
        <v>0</v>
      </c>
      <c r="AQ47" s="1059">
        <f>-'Richlands Pig Cost'!AQ46</f>
        <v>0</v>
      </c>
      <c r="AR47" s="1059">
        <f>-'Richlands Pig Cost'!AR46</f>
        <v>0</v>
      </c>
      <c r="AS47" s="1059">
        <f>-'Richlands Pig Cost'!AS46</f>
        <v>0</v>
      </c>
      <c r="AT47" s="1059">
        <f>-'Richlands Pig Cost'!AT46</f>
        <v>0</v>
      </c>
      <c r="AU47" s="1282">
        <f>SUM(B47:AT47)</f>
        <v>34970.638576686841</v>
      </c>
      <c r="AV47" s="142"/>
      <c r="AW47" s="142"/>
    </row>
    <row r="48" spans="1:50" ht="15.6">
      <c r="A48" s="142" t="str">
        <f t="shared" si="17"/>
        <v>Transfers Learig</v>
      </c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059">
        <f>S15*S37</f>
        <v>0</v>
      </c>
      <c r="T48" s="1059">
        <f t="shared" ref="T48:X48" si="20">T15*T37</f>
        <v>0</v>
      </c>
      <c r="U48" s="1059">
        <f t="shared" si="20"/>
        <v>0</v>
      </c>
      <c r="V48" s="1059">
        <f t="shared" si="20"/>
        <v>0</v>
      </c>
      <c r="W48" s="1059">
        <f t="shared" si="20"/>
        <v>0</v>
      </c>
      <c r="X48" s="1059">
        <f t="shared" si="20"/>
        <v>0</v>
      </c>
      <c r="Y48" s="1059">
        <f>Y15*Y37</f>
        <v>0</v>
      </c>
      <c r="Z48" s="1059">
        <f>Z15*Z37</f>
        <v>0</v>
      </c>
      <c r="AA48" s="1059">
        <f>AA15*AA37</f>
        <v>0</v>
      </c>
      <c r="AB48" s="1059">
        <f>AB15*AB37</f>
        <v>0</v>
      </c>
      <c r="AC48" s="1059">
        <f>AC15*AC37</f>
        <v>0</v>
      </c>
      <c r="AD48" s="1059">
        <f t="shared" ref="AD48:AP48" si="21">AD15*AD37</f>
        <v>0</v>
      </c>
      <c r="AE48" s="1059">
        <f t="shared" si="21"/>
        <v>0</v>
      </c>
      <c r="AF48" s="1059">
        <f t="shared" si="21"/>
        <v>0</v>
      </c>
      <c r="AG48" s="1059">
        <f t="shared" si="21"/>
        <v>0</v>
      </c>
      <c r="AH48" s="1059">
        <f t="shared" si="21"/>
        <v>0</v>
      </c>
      <c r="AI48" s="1059">
        <f t="shared" si="21"/>
        <v>0</v>
      </c>
      <c r="AJ48" s="1059">
        <f t="shared" si="21"/>
        <v>0</v>
      </c>
      <c r="AK48" s="1059">
        <f t="shared" si="21"/>
        <v>0</v>
      </c>
      <c r="AL48" s="1059">
        <f t="shared" si="21"/>
        <v>0</v>
      </c>
      <c r="AM48" s="1059">
        <f t="shared" si="21"/>
        <v>0</v>
      </c>
      <c r="AN48" s="1059">
        <f t="shared" si="21"/>
        <v>0</v>
      </c>
      <c r="AO48" s="1059">
        <f t="shared" si="21"/>
        <v>0</v>
      </c>
      <c r="AP48" s="1059">
        <f t="shared" si="21"/>
        <v>0</v>
      </c>
      <c r="AQ48" s="1059">
        <f>AQ15*AQ37</f>
        <v>0</v>
      </c>
      <c r="AR48" s="1059">
        <f t="shared" ref="AR48:AT48" si="22">AR15*AR37</f>
        <v>0</v>
      </c>
      <c r="AS48" s="1059">
        <f t="shared" si="22"/>
        <v>0</v>
      </c>
      <c r="AT48" s="1059">
        <f t="shared" si="22"/>
        <v>0</v>
      </c>
      <c r="AU48" s="1282">
        <f t="shared" si="19"/>
        <v>0</v>
      </c>
      <c r="AV48" s="142"/>
      <c r="AW48" s="142"/>
    </row>
    <row r="49" spans="1:49" ht="15.6">
      <c r="A49" s="142" t="str">
        <f t="shared" si="17"/>
        <v>Transfers Villa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059">
        <f>-'Villa Pig Cost'!S46</f>
        <v>0</v>
      </c>
      <c r="T49" s="1059">
        <f>-'Villa Pig Cost'!T46</f>
        <v>0</v>
      </c>
      <c r="U49" s="1059">
        <f>-'Villa Pig Cost'!U46</f>
        <v>0</v>
      </c>
      <c r="V49" s="1059">
        <f>-'Villa Pig Cost'!V46</f>
        <v>0</v>
      </c>
      <c r="W49" s="1059">
        <f>-'Villa Pig Cost'!W46</f>
        <v>0</v>
      </c>
      <c r="X49" s="1059">
        <f>-'Villa Pig Cost'!X46</f>
        <v>0</v>
      </c>
      <c r="Y49" s="1059">
        <f>-'Villa Pig Cost'!Y46</f>
        <v>5747.1778370206775</v>
      </c>
      <c r="Z49" s="1059">
        <f>-'Villa Pig Cost'!Z46</f>
        <v>3510.1487560871997</v>
      </c>
      <c r="AA49" s="1059">
        <f>-'Villa Pig Cost'!AA46</f>
        <v>0</v>
      </c>
      <c r="AB49" s="1059">
        <f>-'Villa Pig Cost'!AB46</f>
        <v>0</v>
      </c>
      <c r="AC49" s="1059">
        <f>-'Villa Pig Cost'!AC46</f>
        <v>0</v>
      </c>
      <c r="AD49" s="1059">
        <f>-'Villa Pig Cost'!AD46</f>
        <v>0</v>
      </c>
      <c r="AE49" s="1059">
        <f>-'Villa Pig Cost'!AE46</f>
        <v>0</v>
      </c>
      <c r="AF49" s="1059">
        <f>-'Villa Pig Cost'!AF46</f>
        <v>0</v>
      </c>
      <c r="AG49" s="1059">
        <f>-'Villa Pig Cost'!AG46</f>
        <v>0</v>
      </c>
      <c r="AH49" s="1059">
        <f>-'Villa Pig Cost'!AH46</f>
        <v>0</v>
      </c>
      <c r="AI49" s="1059">
        <f>-'Villa Pig Cost'!AI46</f>
        <v>0</v>
      </c>
      <c r="AJ49" s="1059">
        <f>-'Villa Pig Cost'!AJ46</f>
        <v>0</v>
      </c>
      <c r="AK49" s="1059">
        <f>-'Villa Pig Cost'!AK46</f>
        <v>0</v>
      </c>
      <c r="AL49" s="1059">
        <f>-'Villa Pig Cost'!AL46</f>
        <v>0</v>
      </c>
      <c r="AM49" s="1059">
        <f>-'Villa Pig Cost'!AM46</f>
        <v>0</v>
      </c>
      <c r="AN49" s="1059">
        <f>-'Villa Pig Cost'!AN46</f>
        <v>0</v>
      </c>
      <c r="AO49" s="1059">
        <f>-'Villa Pig Cost'!AO46</f>
        <v>0</v>
      </c>
      <c r="AP49" s="1059">
        <f>-'Villa Pig Cost'!AP46</f>
        <v>0</v>
      </c>
      <c r="AQ49" s="1059">
        <f>-'Villa Pig Cost'!AQ46</f>
        <v>0</v>
      </c>
      <c r="AR49" s="1059">
        <f>-'Villa Pig Cost'!AR46</f>
        <v>0</v>
      </c>
      <c r="AS49" s="1059">
        <f>-'Villa Pig Cost'!AS46</f>
        <v>0</v>
      </c>
      <c r="AT49" s="1059">
        <f>-'Villa Pig Cost'!AT46</f>
        <v>0</v>
      </c>
      <c r="AU49" s="1282">
        <f t="shared" si="19"/>
        <v>9257.3265931078768</v>
      </c>
      <c r="AV49" s="142"/>
      <c r="AW49" s="142"/>
    </row>
    <row r="50" spans="1:49" ht="15.6">
      <c r="A50" s="142" t="str">
        <f t="shared" si="17"/>
        <v>Transfers Porta</v>
      </c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059"/>
      <c r="T50" s="1059"/>
      <c r="U50" s="1059"/>
      <c r="V50" s="1059">
        <f>-'Porta Pig Cost'!V46</f>
        <v>0</v>
      </c>
      <c r="W50" s="1059">
        <f>-'Porta Pig Cost'!W46</f>
        <v>2573.1784487079153</v>
      </c>
      <c r="X50" s="1059">
        <f>-'Porta Pig Cost'!X46</f>
        <v>2700.7746382414989</v>
      </c>
      <c r="Y50" s="1059">
        <f>-'Porta Pig Cost'!Y46</f>
        <v>0</v>
      </c>
      <c r="Z50" s="1059">
        <f>-'Porta Pig Cost'!Z46</f>
        <v>0</v>
      </c>
      <c r="AA50" s="1059">
        <f>-'Porta Pig Cost'!AA46</f>
        <v>0</v>
      </c>
      <c r="AB50" s="1059">
        <f>-'Porta Pig Cost'!AB46</f>
        <v>0</v>
      </c>
      <c r="AC50" s="1059">
        <f>-'Porta Pig Cost'!AC46</f>
        <v>0</v>
      </c>
      <c r="AD50" s="1059">
        <f>-'Porta Pig Cost'!AD46</f>
        <v>0</v>
      </c>
      <c r="AE50" s="1059">
        <f>-'Porta Pig Cost'!AE46</f>
        <v>0</v>
      </c>
      <c r="AF50" s="1059">
        <f>-'Porta Pig Cost'!AF46</f>
        <v>0</v>
      </c>
      <c r="AG50" s="1059">
        <f>-'Porta Pig Cost'!AG46</f>
        <v>0</v>
      </c>
      <c r="AH50" s="1059">
        <f>-'Porta Pig Cost'!AH46</f>
        <v>0</v>
      </c>
      <c r="AI50" s="1059">
        <f>-'Porta Pig Cost'!AI46</f>
        <v>0</v>
      </c>
      <c r="AJ50" s="1059">
        <f>-'Porta Pig Cost'!AJ46</f>
        <v>0</v>
      </c>
      <c r="AK50" s="1059">
        <f>-'Porta Pig Cost'!AK46</f>
        <v>0</v>
      </c>
      <c r="AL50" s="1059">
        <f>-'Porta Pig Cost'!AL46</f>
        <v>0</v>
      </c>
      <c r="AM50" s="1059">
        <f>-'Porta Pig Cost'!AM46</f>
        <v>0</v>
      </c>
      <c r="AN50" s="1059">
        <f>-'Porta Pig Cost'!AN46</f>
        <v>0</v>
      </c>
      <c r="AO50" s="1059">
        <f>-'Porta Pig Cost'!AO46</f>
        <v>0</v>
      </c>
      <c r="AP50" s="1059">
        <f>-'Porta Pig Cost'!AP46</f>
        <v>0</v>
      </c>
      <c r="AQ50" s="1059">
        <f>-'Porta Pig Cost'!AQ46</f>
        <v>0</v>
      </c>
      <c r="AR50" s="1059">
        <f>-'Porta Pig Cost'!AR46</f>
        <v>0</v>
      </c>
      <c r="AS50" s="1059"/>
      <c r="AT50" s="1059"/>
      <c r="AU50" s="1282">
        <f t="shared" si="19"/>
        <v>5273.9530869494138</v>
      </c>
      <c r="AV50" s="142"/>
      <c r="AW50" s="142"/>
    </row>
    <row r="51" spans="1:49" ht="15.6">
      <c r="A51" s="142" t="str">
        <f t="shared" ref="A51:A52" si="23">+A18</f>
        <v>Transfers Multiplier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059">
        <f>-'Multiplier Pig Cost '!S46</f>
        <v>0</v>
      </c>
      <c r="T51" s="1059">
        <f>-'Multiplier Pig Cost '!T46</f>
        <v>0</v>
      </c>
      <c r="U51" s="1059">
        <f>-'Multiplier Pig Cost '!U46</f>
        <v>0</v>
      </c>
      <c r="V51" s="1059">
        <f>-'Multiplier Pig Cost '!V46</f>
        <v>0</v>
      </c>
      <c r="W51" s="1059">
        <f>-'Multiplier Pig Cost '!W46</f>
        <v>0</v>
      </c>
      <c r="X51" s="1059">
        <f>-'Multiplier Pig Cost '!X46</f>
        <v>0</v>
      </c>
      <c r="Y51" s="1059">
        <f>-'Multiplier Pig Cost '!Y46</f>
        <v>0</v>
      </c>
      <c r="Z51" s="1059">
        <f>-'Multiplier Pig Cost '!Z46</f>
        <v>0</v>
      </c>
      <c r="AA51" s="1059">
        <f>-'Multiplier Pig Cost '!AA46</f>
        <v>0</v>
      </c>
      <c r="AB51" s="1059">
        <f>-'Multiplier Pig Cost '!AB46</f>
        <v>0</v>
      </c>
      <c r="AC51" s="1059">
        <f>-'Multiplier Pig Cost '!AC46</f>
        <v>0</v>
      </c>
      <c r="AD51" s="1059">
        <f>-'Multiplier Pig Cost '!AD46</f>
        <v>0</v>
      </c>
      <c r="AE51" s="1059">
        <f>-'Multiplier Pig Cost '!AE46</f>
        <v>0</v>
      </c>
      <c r="AF51" s="1059">
        <f>-'Multiplier Pig Cost '!AF46</f>
        <v>0</v>
      </c>
      <c r="AG51" s="1059">
        <f>-'Multiplier Pig Cost '!AG46</f>
        <v>0</v>
      </c>
      <c r="AH51" s="1059">
        <f>-'Multiplier Pig Cost '!AH46</f>
        <v>0</v>
      </c>
      <c r="AI51" s="1059">
        <f>-'Multiplier Pig Cost '!AI46</f>
        <v>0</v>
      </c>
      <c r="AJ51" s="1059">
        <f>-'Multiplier Pig Cost '!AJ46</f>
        <v>0</v>
      </c>
      <c r="AK51" s="1059">
        <f>-'Multiplier Pig Cost '!AK46</f>
        <v>0</v>
      </c>
      <c r="AL51" s="1059">
        <f>-'Multiplier Pig Cost '!AL46</f>
        <v>0</v>
      </c>
      <c r="AM51" s="1059">
        <f>-'Multiplier Pig Cost '!AM46</f>
        <v>0</v>
      </c>
      <c r="AN51" s="1059">
        <f>-'Multiplier Pig Cost '!AN46</f>
        <v>0</v>
      </c>
      <c r="AO51" s="1059">
        <f>-'Multiplier Pig Cost '!AO46</f>
        <v>0</v>
      </c>
      <c r="AP51" s="1059">
        <f>-'Multiplier Pig Cost '!AP46</f>
        <v>0</v>
      </c>
      <c r="AQ51" s="1059">
        <f>-'Multiplier Pig Cost '!AQ46</f>
        <v>0</v>
      </c>
      <c r="AR51" s="1059">
        <f>-'Multiplier Pig Cost '!AR46</f>
        <v>0</v>
      </c>
      <c r="AS51" s="1059">
        <f>-'Multiplier Pig Cost '!AS46</f>
        <v>0</v>
      </c>
      <c r="AT51" s="1059"/>
      <c r="AU51" s="1282">
        <f t="shared" si="19"/>
        <v>0</v>
      </c>
      <c r="AV51" s="142"/>
      <c r="AW51" s="142"/>
    </row>
    <row r="52" spans="1:49" ht="15.6">
      <c r="A52" s="142">
        <f t="shared" si="23"/>
        <v>0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59"/>
      <c r="AJ52" s="1059"/>
      <c r="AK52" s="1059"/>
      <c r="AL52" s="1059"/>
      <c r="AM52" s="1059"/>
      <c r="AN52" s="1059"/>
      <c r="AO52" s="1059"/>
      <c r="AP52" s="1059"/>
      <c r="AQ52" s="1059"/>
      <c r="AR52" s="1059"/>
      <c r="AS52" s="1059"/>
      <c r="AT52" s="1059"/>
      <c r="AU52" s="1282">
        <f t="shared" si="19"/>
        <v>0</v>
      </c>
      <c r="AV52" s="142"/>
      <c r="AW52" s="142"/>
    </row>
    <row r="53" spans="1:49" ht="15.6">
      <c r="A53" s="142" t="str">
        <f t="shared" ref="A53:A61" si="24">+A20</f>
        <v>Transfers  Boars</v>
      </c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059">
        <f>S20*S37</f>
        <v>0</v>
      </c>
      <c r="T53" s="1059">
        <f t="shared" ref="T53:X53" si="25">T20*T37</f>
        <v>0</v>
      </c>
      <c r="U53" s="1059">
        <f t="shared" si="25"/>
        <v>0</v>
      </c>
      <c r="V53" s="1059">
        <f t="shared" si="25"/>
        <v>0</v>
      </c>
      <c r="W53" s="1059">
        <f t="shared" si="25"/>
        <v>0</v>
      </c>
      <c r="X53" s="1059">
        <f t="shared" si="25"/>
        <v>0</v>
      </c>
      <c r="Y53" s="1059">
        <f>Y20*Y37</f>
        <v>0</v>
      </c>
      <c r="Z53" s="1059">
        <f>Z20*Z37</f>
        <v>0</v>
      </c>
      <c r="AA53" s="1059">
        <f>AA20*AA37</f>
        <v>0</v>
      </c>
      <c r="AB53" s="1059">
        <f>AB20*AB37</f>
        <v>0</v>
      </c>
      <c r="AC53" s="1059">
        <f>AC20*AC37</f>
        <v>0</v>
      </c>
      <c r="AD53" s="1059">
        <f t="shared" ref="AD53:AP53" si="26">AD20*AD37</f>
        <v>0</v>
      </c>
      <c r="AE53" s="1059">
        <f t="shared" si="26"/>
        <v>0</v>
      </c>
      <c r="AF53" s="1059">
        <f t="shared" si="26"/>
        <v>0</v>
      </c>
      <c r="AG53" s="1059">
        <f t="shared" si="26"/>
        <v>0</v>
      </c>
      <c r="AH53" s="1059">
        <f t="shared" si="26"/>
        <v>0</v>
      </c>
      <c r="AI53" s="1059">
        <f t="shared" si="26"/>
        <v>0</v>
      </c>
      <c r="AJ53" s="1059">
        <f t="shared" si="26"/>
        <v>0</v>
      </c>
      <c r="AK53" s="1059">
        <f t="shared" si="26"/>
        <v>0</v>
      </c>
      <c r="AL53" s="1059">
        <f t="shared" si="26"/>
        <v>0</v>
      </c>
      <c r="AM53" s="1059">
        <f t="shared" si="26"/>
        <v>0</v>
      </c>
      <c r="AN53" s="1059">
        <f t="shared" si="26"/>
        <v>0</v>
      </c>
      <c r="AO53" s="1059">
        <f t="shared" si="26"/>
        <v>0</v>
      </c>
      <c r="AP53" s="1059">
        <f t="shared" si="26"/>
        <v>0</v>
      </c>
      <c r="AQ53" s="1059">
        <f>AQ20*AQ37</f>
        <v>0</v>
      </c>
      <c r="AR53" s="1059">
        <f t="shared" ref="AR53:AT53" si="27">AR20*AR37</f>
        <v>0</v>
      </c>
      <c r="AS53" s="1059">
        <f t="shared" si="27"/>
        <v>0</v>
      </c>
      <c r="AT53" s="1059">
        <f t="shared" si="27"/>
        <v>0</v>
      </c>
      <c r="AU53" s="1282">
        <f t="shared" si="19"/>
        <v>0</v>
      </c>
      <c r="AV53" s="142"/>
      <c r="AW53" s="142"/>
    </row>
    <row r="54" spans="1:49" ht="15.6">
      <c r="A54" s="142" t="str">
        <f t="shared" si="24"/>
        <v>Transfers Grower</v>
      </c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059">
        <f>S21*S37</f>
        <v>0</v>
      </c>
      <c r="T54" s="1059">
        <f t="shared" ref="T54:X54" si="28">T21*T37</f>
        <v>0</v>
      </c>
      <c r="U54" s="1059">
        <f t="shared" si="28"/>
        <v>0</v>
      </c>
      <c r="V54" s="1059">
        <f t="shared" si="28"/>
        <v>0</v>
      </c>
      <c r="W54" s="1059">
        <f t="shared" si="28"/>
        <v>0</v>
      </c>
      <c r="X54" s="1059">
        <f t="shared" si="28"/>
        <v>0</v>
      </c>
      <c r="Y54" s="1059">
        <f>Y21*Y37</f>
        <v>0</v>
      </c>
      <c r="Z54" s="1059">
        <f>Z21*Z37</f>
        <v>0</v>
      </c>
      <c r="AA54" s="1059">
        <f>AA21*AA37</f>
        <v>0</v>
      </c>
      <c r="AB54" s="1059">
        <f>AB21*AB37</f>
        <v>0</v>
      </c>
      <c r="AC54" s="1059">
        <f>AC21*AC37</f>
        <v>0</v>
      </c>
      <c r="AD54" s="1059">
        <f t="shared" ref="AD54:AP54" si="29">AD21*AD37</f>
        <v>0</v>
      </c>
      <c r="AE54" s="1059">
        <f t="shared" si="29"/>
        <v>0</v>
      </c>
      <c r="AF54" s="1059">
        <f t="shared" si="29"/>
        <v>0</v>
      </c>
      <c r="AG54" s="1059">
        <f t="shared" si="29"/>
        <v>0</v>
      </c>
      <c r="AH54" s="1059">
        <f t="shared" si="29"/>
        <v>0</v>
      </c>
      <c r="AI54" s="1059">
        <f t="shared" si="29"/>
        <v>0</v>
      </c>
      <c r="AJ54" s="1059">
        <f t="shared" si="29"/>
        <v>0</v>
      </c>
      <c r="AK54" s="1059">
        <f t="shared" si="29"/>
        <v>0</v>
      </c>
      <c r="AL54" s="1059">
        <f t="shared" si="29"/>
        <v>0</v>
      </c>
      <c r="AM54" s="1059">
        <f t="shared" si="29"/>
        <v>0</v>
      </c>
      <c r="AN54" s="1059">
        <f t="shared" si="29"/>
        <v>0</v>
      </c>
      <c r="AO54" s="1059">
        <f t="shared" si="29"/>
        <v>0</v>
      </c>
      <c r="AP54" s="1059">
        <f t="shared" si="29"/>
        <v>0</v>
      </c>
      <c r="AQ54" s="1059">
        <f>AQ21*AQ37</f>
        <v>0</v>
      </c>
      <c r="AR54" s="1059">
        <f t="shared" ref="AR54:AT54" si="30">AR21*AR37</f>
        <v>0</v>
      </c>
      <c r="AS54" s="1059">
        <f t="shared" si="30"/>
        <v>0</v>
      </c>
      <c r="AT54" s="1059">
        <f t="shared" si="30"/>
        <v>0</v>
      </c>
      <c r="AU54" s="1282">
        <f t="shared" si="19"/>
        <v>0</v>
      </c>
      <c r="AV54" s="142"/>
      <c r="AW54" s="142"/>
    </row>
    <row r="55" spans="1:49" ht="15.6">
      <c r="A55" s="142" t="str">
        <f t="shared" si="24"/>
        <v>Transfer to Sick Block</v>
      </c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059">
        <f>S22*S37</f>
        <v>0</v>
      </c>
      <c r="T55" s="1059">
        <f t="shared" ref="T55:X55" si="31">T22*T37</f>
        <v>0</v>
      </c>
      <c r="U55" s="1059">
        <f t="shared" si="31"/>
        <v>0</v>
      </c>
      <c r="V55" s="1059">
        <f t="shared" si="31"/>
        <v>0</v>
      </c>
      <c r="W55" s="1059">
        <f t="shared" si="31"/>
        <v>0</v>
      </c>
      <c r="X55" s="1059">
        <f t="shared" si="31"/>
        <v>0</v>
      </c>
      <c r="Y55" s="1059">
        <f>Y22*Y37</f>
        <v>0</v>
      </c>
      <c r="Z55" s="1059">
        <f>Z22*Z37</f>
        <v>0</v>
      </c>
      <c r="AA55" s="1059">
        <f>AA22*AA37</f>
        <v>0</v>
      </c>
      <c r="AB55" s="1059">
        <f>AB22*AB37</f>
        <v>0</v>
      </c>
      <c r="AC55" s="1059">
        <f>AC22*AC37</f>
        <v>0</v>
      </c>
      <c r="AD55" s="1059">
        <f t="shared" ref="AD55:AP55" si="32">AD22*AD37</f>
        <v>0</v>
      </c>
      <c r="AE55" s="1059">
        <f t="shared" si="32"/>
        <v>0</v>
      </c>
      <c r="AF55" s="1059">
        <f t="shared" si="32"/>
        <v>0</v>
      </c>
      <c r="AG55" s="1059">
        <f t="shared" si="32"/>
        <v>0</v>
      </c>
      <c r="AH55" s="1059">
        <f t="shared" si="32"/>
        <v>0</v>
      </c>
      <c r="AI55" s="1059">
        <f t="shared" si="32"/>
        <v>0</v>
      </c>
      <c r="AJ55" s="1059">
        <f t="shared" si="32"/>
        <v>0</v>
      </c>
      <c r="AK55" s="1059">
        <f t="shared" si="32"/>
        <v>0</v>
      </c>
      <c r="AL55" s="1059">
        <f t="shared" si="32"/>
        <v>0</v>
      </c>
      <c r="AM55" s="1059">
        <f t="shared" si="32"/>
        <v>0</v>
      </c>
      <c r="AN55" s="1059">
        <f t="shared" si="32"/>
        <v>0</v>
      </c>
      <c r="AO55" s="1059">
        <f t="shared" si="32"/>
        <v>0</v>
      </c>
      <c r="AP55" s="1059">
        <f t="shared" si="32"/>
        <v>0</v>
      </c>
      <c r="AQ55" s="1059">
        <f>AQ22*AQ37</f>
        <v>0</v>
      </c>
      <c r="AR55" s="1059">
        <f t="shared" ref="AR55:AT55" si="33">AR22*AR37</f>
        <v>0</v>
      </c>
      <c r="AS55" s="1059">
        <f t="shared" si="33"/>
        <v>0</v>
      </c>
      <c r="AT55" s="1059">
        <f t="shared" si="33"/>
        <v>0</v>
      </c>
      <c r="AU55" s="1282">
        <f t="shared" si="19"/>
        <v>0</v>
      </c>
      <c r="AV55" s="142"/>
      <c r="AW55" s="142"/>
    </row>
    <row r="56" spans="1:49" ht="15.6">
      <c r="A56" s="142" t="str">
        <f t="shared" si="24"/>
        <v>Transfers Gilts</v>
      </c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059">
        <f>S23*S37</f>
        <v>0</v>
      </c>
      <c r="T56" s="1059">
        <f t="shared" ref="T56:X56" si="34">T23*T37</f>
        <v>0</v>
      </c>
      <c r="U56" s="1059">
        <f t="shared" si="34"/>
        <v>0</v>
      </c>
      <c r="V56" s="1059">
        <f t="shared" si="34"/>
        <v>0</v>
      </c>
      <c r="W56" s="1059">
        <f t="shared" si="34"/>
        <v>0</v>
      </c>
      <c r="X56" s="1059">
        <f t="shared" si="34"/>
        <v>0</v>
      </c>
      <c r="Y56" s="1059">
        <f>Y23*Y37</f>
        <v>0</v>
      </c>
      <c r="Z56" s="1059">
        <f>Z23*Z37</f>
        <v>0</v>
      </c>
      <c r="AA56" s="1059">
        <f>AA23*AA37</f>
        <v>0</v>
      </c>
      <c r="AB56" s="1059">
        <f>AB23*AB37</f>
        <v>0</v>
      </c>
      <c r="AC56" s="1059">
        <f>AC23*AC37</f>
        <v>0</v>
      </c>
      <c r="AD56" s="1059">
        <f t="shared" ref="AD56:AP56" si="35">AD23*AD37</f>
        <v>0</v>
      </c>
      <c r="AE56" s="1059">
        <f t="shared" si="35"/>
        <v>0</v>
      </c>
      <c r="AF56" s="1059">
        <f t="shared" si="35"/>
        <v>0</v>
      </c>
      <c r="AG56" s="1059">
        <f t="shared" si="35"/>
        <v>0</v>
      </c>
      <c r="AH56" s="1059">
        <f t="shared" si="35"/>
        <v>0</v>
      </c>
      <c r="AI56" s="1059">
        <f t="shared" si="35"/>
        <v>0</v>
      </c>
      <c r="AJ56" s="1059">
        <f t="shared" si="35"/>
        <v>0</v>
      </c>
      <c r="AK56" s="1059">
        <f t="shared" si="35"/>
        <v>0</v>
      </c>
      <c r="AL56" s="1059">
        <f t="shared" si="35"/>
        <v>0</v>
      </c>
      <c r="AM56" s="1059">
        <f t="shared" si="35"/>
        <v>0</v>
      </c>
      <c r="AN56" s="1059">
        <f t="shared" si="35"/>
        <v>0</v>
      </c>
      <c r="AO56" s="1059">
        <f t="shared" si="35"/>
        <v>0</v>
      </c>
      <c r="AP56" s="1059">
        <f t="shared" si="35"/>
        <v>0</v>
      </c>
      <c r="AQ56" s="1059">
        <f>AQ23*AQ37</f>
        <v>0</v>
      </c>
      <c r="AR56" s="1059">
        <f t="shared" ref="AR56:AT56" si="36">AR23*AR37</f>
        <v>0</v>
      </c>
      <c r="AS56" s="1059">
        <f t="shared" si="36"/>
        <v>0</v>
      </c>
      <c r="AT56" s="1059">
        <f t="shared" si="36"/>
        <v>0</v>
      </c>
      <c r="AU56" s="1282">
        <f t="shared" si="19"/>
        <v>0</v>
      </c>
      <c r="AV56" s="142"/>
      <c r="AW56" s="142"/>
    </row>
    <row r="57" spans="1:49" ht="15.6">
      <c r="A57" s="142" t="str">
        <f t="shared" si="24"/>
        <v>Mortality</v>
      </c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059">
        <f>S24*S43</f>
        <v>0</v>
      </c>
      <c r="T57" s="1059">
        <f t="shared" ref="T57:X57" si="37">T24*T43</f>
        <v>0</v>
      </c>
      <c r="U57" s="1059">
        <f t="shared" si="37"/>
        <v>0</v>
      </c>
      <c r="V57" s="1059">
        <f t="shared" si="37"/>
        <v>0</v>
      </c>
      <c r="W57" s="1059">
        <f t="shared" si="37"/>
        <v>0</v>
      </c>
      <c r="X57" s="1059">
        <f t="shared" si="37"/>
        <v>0</v>
      </c>
      <c r="Y57" s="1059">
        <f>Y24*Y43</f>
        <v>0</v>
      </c>
      <c r="Z57" s="1059">
        <f>Z24*Z43</f>
        <v>0</v>
      </c>
      <c r="AA57" s="1059">
        <f>AA24*AA43</f>
        <v>-93.749482303314579</v>
      </c>
      <c r="AB57" s="1059">
        <f>AB24*AB43</f>
        <v>-258.16637564266534</v>
      </c>
      <c r="AC57" s="1059">
        <f>AC24*AC43</f>
        <v>0</v>
      </c>
      <c r="AD57" s="1059">
        <f t="shared" ref="AD57:AP57" si="38">AD24*AD43</f>
        <v>-294.57574968477286</v>
      </c>
      <c r="AE57" s="1059">
        <f t="shared" si="38"/>
        <v>0</v>
      </c>
      <c r="AF57" s="1059">
        <f t="shared" si="38"/>
        <v>0</v>
      </c>
      <c r="AG57" s="1059">
        <f t="shared" si="38"/>
        <v>0</v>
      </c>
      <c r="AH57" s="1059">
        <f t="shared" si="38"/>
        <v>0</v>
      </c>
      <c r="AI57" s="1059">
        <f t="shared" si="38"/>
        <v>0</v>
      </c>
      <c r="AJ57" s="1059">
        <f t="shared" si="38"/>
        <v>-416.55694633827216</v>
      </c>
      <c r="AK57" s="1059">
        <f t="shared" si="38"/>
        <v>-1629.8760985424565</v>
      </c>
      <c r="AL57" s="1059">
        <f t="shared" si="38"/>
        <v>-541.60519920040736</v>
      </c>
      <c r="AM57" s="1059">
        <f t="shared" si="38"/>
        <v>0</v>
      </c>
      <c r="AN57" s="1059">
        <f t="shared" si="38"/>
        <v>-616.10462877230748</v>
      </c>
      <c r="AO57" s="1059">
        <f t="shared" si="38"/>
        <v>0</v>
      </c>
      <c r="AP57" s="1059">
        <f t="shared" si="38"/>
        <v>-312.47660963593995</v>
      </c>
      <c r="AQ57" s="1059">
        <f>AQ24*AQ43</f>
        <v>-933.57786823198433</v>
      </c>
      <c r="AR57" s="1059">
        <f t="shared" ref="AR57:AT57" si="39">AR24*AR43</f>
        <v>-325.78164814724022</v>
      </c>
      <c r="AS57" s="1059">
        <f t="shared" si="39"/>
        <v>0</v>
      </c>
      <c r="AT57" s="1059">
        <f t="shared" si="39"/>
        <v>0</v>
      </c>
      <c r="AU57" s="1282">
        <f t="shared" si="19"/>
        <v>-5422.4706064993607</v>
      </c>
      <c r="AV57" s="142"/>
      <c r="AW57" s="142"/>
    </row>
    <row r="58" spans="1:49" ht="15.6">
      <c r="A58" s="142" t="str">
        <f t="shared" si="24"/>
        <v>Rations</v>
      </c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059">
        <f>S25*S43</f>
        <v>0</v>
      </c>
      <c r="T58" s="1059">
        <f t="shared" ref="T58:X58" si="40">T25*T43</f>
        <v>0</v>
      </c>
      <c r="U58" s="1059">
        <f t="shared" si="40"/>
        <v>0</v>
      </c>
      <c r="V58" s="1059">
        <f t="shared" si="40"/>
        <v>0</v>
      </c>
      <c r="W58" s="1059">
        <f t="shared" si="40"/>
        <v>0</v>
      </c>
      <c r="X58" s="1059">
        <f t="shared" si="40"/>
        <v>0</v>
      </c>
      <c r="Y58" s="1059">
        <f>Y25*Y43</f>
        <v>0</v>
      </c>
      <c r="Z58" s="1059">
        <f>Z25*Z43</f>
        <v>0</v>
      </c>
      <c r="AA58" s="1059">
        <f>AA25*AA43</f>
        <v>0</v>
      </c>
      <c r="AB58" s="1059">
        <f>AB25*AB43</f>
        <v>0</v>
      </c>
      <c r="AC58" s="1059">
        <f>AC25*AC43</f>
        <v>0</v>
      </c>
      <c r="AD58" s="1059">
        <f t="shared" ref="AD58:AP58" si="41">AD25*AD43</f>
        <v>0</v>
      </c>
      <c r="AE58" s="1059">
        <f>AE25*AE43</f>
        <v>0</v>
      </c>
      <c r="AF58" s="1059">
        <f t="shared" si="41"/>
        <v>0</v>
      </c>
      <c r="AG58" s="1059">
        <f t="shared" si="41"/>
        <v>0</v>
      </c>
      <c r="AH58" s="1059">
        <f t="shared" si="41"/>
        <v>0</v>
      </c>
      <c r="AI58" s="1059">
        <f t="shared" si="41"/>
        <v>0</v>
      </c>
      <c r="AJ58" s="1059">
        <f t="shared" si="41"/>
        <v>0</v>
      </c>
      <c r="AK58" s="1059">
        <f t="shared" si="41"/>
        <v>0</v>
      </c>
      <c r="AL58" s="1059">
        <f t="shared" si="41"/>
        <v>0</v>
      </c>
      <c r="AM58" s="1059">
        <f t="shared" si="41"/>
        <v>0</v>
      </c>
      <c r="AN58" s="1059">
        <f t="shared" si="41"/>
        <v>0</v>
      </c>
      <c r="AO58" s="1059">
        <f t="shared" si="41"/>
        <v>0</v>
      </c>
      <c r="AP58" s="1059">
        <f t="shared" si="41"/>
        <v>0</v>
      </c>
      <c r="AQ58" s="1059">
        <f>AQ25*AQ43</f>
        <v>0</v>
      </c>
      <c r="AR58" s="1059">
        <f t="shared" ref="AR58:AT58" si="42">AR25*AR43</f>
        <v>0</v>
      </c>
      <c r="AS58" s="1059">
        <f t="shared" si="42"/>
        <v>0</v>
      </c>
      <c r="AT58" s="1059">
        <f t="shared" si="42"/>
        <v>0</v>
      </c>
      <c r="AU58" s="1282">
        <f t="shared" si="19"/>
        <v>0</v>
      </c>
      <c r="AV58" s="142"/>
      <c r="AW58" s="142"/>
    </row>
    <row r="59" spans="1:49" ht="15.6">
      <c r="A59" s="142" t="str">
        <f t="shared" si="24"/>
        <v>Pet Food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059">
        <f>S26*S43</f>
        <v>0</v>
      </c>
      <c r="T59" s="1059">
        <f t="shared" ref="T59:X59" si="43">T26*T43</f>
        <v>0</v>
      </c>
      <c r="U59" s="1059">
        <f t="shared" si="43"/>
        <v>0</v>
      </c>
      <c r="V59" s="1059">
        <f t="shared" si="43"/>
        <v>0</v>
      </c>
      <c r="W59" s="1059">
        <f t="shared" si="43"/>
        <v>0</v>
      </c>
      <c r="X59" s="1059">
        <f t="shared" si="43"/>
        <v>0</v>
      </c>
      <c r="Y59" s="1059">
        <f>Y26*Y43</f>
        <v>0</v>
      </c>
      <c r="Z59" s="1059">
        <f>Z26*Z43</f>
        <v>0</v>
      </c>
      <c r="AA59" s="1059">
        <f>AA26*AA43</f>
        <v>0</v>
      </c>
      <c r="AB59" s="1059">
        <f>AB26*AB43</f>
        <v>0</v>
      </c>
      <c r="AC59" s="1059">
        <f>AC26*AC43</f>
        <v>0</v>
      </c>
      <c r="AD59" s="1059">
        <f t="shared" ref="AD59:AP59" si="44">AD26*AD43</f>
        <v>0</v>
      </c>
      <c r="AE59" s="1059">
        <f t="shared" si="44"/>
        <v>0</v>
      </c>
      <c r="AF59" s="1059">
        <f t="shared" si="44"/>
        <v>0</v>
      </c>
      <c r="AG59" s="1059">
        <f t="shared" si="44"/>
        <v>0</v>
      </c>
      <c r="AH59" s="1059">
        <f t="shared" si="44"/>
        <v>0</v>
      </c>
      <c r="AI59" s="1059">
        <f t="shared" si="44"/>
        <v>0</v>
      </c>
      <c r="AJ59" s="1059">
        <f t="shared" si="44"/>
        <v>0</v>
      </c>
      <c r="AK59" s="1059">
        <f t="shared" si="44"/>
        <v>0</v>
      </c>
      <c r="AL59" s="1059">
        <f t="shared" si="44"/>
        <v>0</v>
      </c>
      <c r="AM59" s="1059">
        <f t="shared" si="44"/>
        <v>0</v>
      </c>
      <c r="AN59" s="1059">
        <f t="shared" si="44"/>
        <v>0</v>
      </c>
      <c r="AO59" s="1059">
        <f t="shared" si="44"/>
        <v>0</v>
      </c>
      <c r="AP59" s="1059">
        <f t="shared" si="44"/>
        <v>0</v>
      </c>
      <c r="AQ59" s="1059">
        <f>AQ26*AQ43</f>
        <v>0</v>
      </c>
      <c r="AR59" s="1059">
        <f t="shared" ref="AR59:AT59" si="45">AR26*AR43</f>
        <v>0</v>
      </c>
      <c r="AS59" s="1059">
        <f t="shared" si="45"/>
        <v>0</v>
      </c>
      <c r="AT59" s="1059">
        <f t="shared" si="45"/>
        <v>0</v>
      </c>
      <c r="AU59" s="1282">
        <f t="shared" si="19"/>
        <v>0</v>
      </c>
      <c r="AV59" s="142"/>
      <c r="AW59" s="142"/>
    </row>
    <row r="60" spans="1:49" ht="15.6">
      <c r="A60" s="142" t="str">
        <f t="shared" si="24"/>
        <v>Farm Sales</v>
      </c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059">
        <f>S27*S43</f>
        <v>0</v>
      </c>
      <c r="T60" s="1059">
        <f t="shared" ref="T60:X60" si="46">T27*T43</f>
        <v>0</v>
      </c>
      <c r="U60" s="1059">
        <f t="shared" si="46"/>
        <v>0</v>
      </c>
      <c r="V60" s="1059">
        <f t="shared" si="46"/>
        <v>0</v>
      </c>
      <c r="W60" s="1059">
        <f t="shared" si="46"/>
        <v>0</v>
      </c>
      <c r="X60" s="1059">
        <f t="shared" si="46"/>
        <v>0</v>
      </c>
      <c r="Y60" s="1059">
        <f>Y27*Y43</f>
        <v>0</v>
      </c>
      <c r="Z60" s="1059">
        <f>Z27*Z43</f>
        <v>0</v>
      </c>
      <c r="AA60" s="1059">
        <f>AA27*AA43</f>
        <v>0</v>
      </c>
      <c r="AB60" s="1059">
        <f>AB27*AB43</f>
        <v>0</v>
      </c>
      <c r="AC60" s="1059">
        <f>AC27*AC43</f>
        <v>0</v>
      </c>
      <c r="AD60" s="1059">
        <f t="shared" ref="AD60:AP60" si="47">AD27*AD43</f>
        <v>0</v>
      </c>
      <c r="AE60" s="1059">
        <f t="shared" si="47"/>
        <v>0</v>
      </c>
      <c r="AF60" s="1059">
        <f t="shared" si="47"/>
        <v>0</v>
      </c>
      <c r="AG60" s="1059">
        <f t="shared" si="47"/>
        <v>0</v>
      </c>
      <c r="AH60" s="1059">
        <f t="shared" si="47"/>
        <v>0</v>
      </c>
      <c r="AI60" s="1059">
        <f t="shared" si="47"/>
        <v>0</v>
      </c>
      <c r="AJ60" s="1059">
        <f t="shared" si="47"/>
        <v>0</v>
      </c>
      <c r="AK60" s="1059">
        <f t="shared" si="47"/>
        <v>0</v>
      </c>
      <c r="AL60" s="1059">
        <f t="shared" si="47"/>
        <v>0</v>
      </c>
      <c r="AM60" s="1059">
        <f t="shared" si="47"/>
        <v>0</v>
      </c>
      <c r="AN60" s="1059">
        <f t="shared" si="47"/>
        <v>0</v>
      </c>
      <c r="AO60" s="1059">
        <f t="shared" si="47"/>
        <v>0</v>
      </c>
      <c r="AP60" s="1059">
        <f t="shared" si="47"/>
        <v>0</v>
      </c>
      <c r="AQ60" s="1059">
        <f>AQ27*AQ43</f>
        <v>0</v>
      </c>
      <c r="AR60" s="1059">
        <f t="shared" ref="AR60:AT60" si="48">AR27*AR43</f>
        <v>0</v>
      </c>
      <c r="AS60" s="1059">
        <f t="shared" si="48"/>
        <v>0</v>
      </c>
      <c r="AT60" s="1059">
        <f t="shared" si="48"/>
        <v>0</v>
      </c>
      <c r="AU60" s="1282">
        <f t="shared" si="19"/>
        <v>0</v>
      </c>
      <c r="AV60" s="142"/>
      <c r="AW60" s="142"/>
    </row>
    <row r="61" spans="1:49" ht="16.149999999999999" thickBot="1">
      <c r="A61" s="142" t="str">
        <f t="shared" si="24"/>
        <v xml:space="preserve"> Colcom Sales</v>
      </c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059">
        <f>S28*S43</f>
        <v>0</v>
      </c>
      <c r="T61" s="1059">
        <f t="shared" ref="T61:X61" si="49">T28*T43</f>
        <v>0</v>
      </c>
      <c r="U61" s="1059">
        <f t="shared" si="49"/>
        <v>0</v>
      </c>
      <c r="V61" s="1059">
        <f t="shared" si="49"/>
        <v>0</v>
      </c>
      <c r="W61" s="1059">
        <f t="shared" si="49"/>
        <v>0</v>
      </c>
      <c r="X61" s="1059">
        <f t="shared" si="49"/>
        <v>0</v>
      </c>
      <c r="Y61" s="1059">
        <f>Y28*Y43</f>
        <v>0</v>
      </c>
      <c r="Z61" s="1059">
        <f>Z28*Z43</f>
        <v>0</v>
      </c>
      <c r="AA61" s="1059">
        <f>AA28*AA43</f>
        <v>0</v>
      </c>
      <c r="AB61" s="1059">
        <f>AB28*AB43</f>
        <v>0</v>
      </c>
      <c r="AC61" s="1059">
        <f>AC28*AC43</f>
        <v>0</v>
      </c>
      <c r="AD61" s="1059">
        <f t="shared" ref="AD61:AP61" si="50">AD28*AD43</f>
        <v>0</v>
      </c>
      <c r="AE61" s="1059">
        <f t="shared" si="50"/>
        <v>0</v>
      </c>
      <c r="AF61" s="1059">
        <f t="shared" si="50"/>
        <v>0</v>
      </c>
      <c r="AG61" s="1059">
        <f t="shared" si="50"/>
        <v>0</v>
      </c>
      <c r="AH61" s="1059">
        <f t="shared" si="50"/>
        <v>0</v>
      </c>
      <c r="AI61" s="1059">
        <f t="shared" si="50"/>
        <v>0</v>
      </c>
      <c r="AJ61" s="1059">
        <f t="shared" si="50"/>
        <v>0</v>
      </c>
      <c r="AK61" s="1059">
        <f t="shared" si="50"/>
        <v>0</v>
      </c>
      <c r="AL61" s="1059">
        <f t="shared" si="50"/>
        <v>0</v>
      </c>
      <c r="AM61" s="1059">
        <f t="shared" si="50"/>
        <v>0</v>
      </c>
      <c r="AN61" s="1059">
        <f t="shared" si="50"/>
        <v>0</v>
      </c>
      <c r="AO61" s="1059">
        <f t="shared" si="50"/>
        <v>-56493.179764876942</v>
      </c>
      <c r="AP61" s="1059">
        <f t="shared" si="50"/>
        <v>-48746.351103206631</v>
      </c>
      <c r="AQ61" s="1059">
        <f>AQ28*AQ43</f>
        <v>-73130.266344838776</v>
      </c>
      <c r="AR61" s="1059">
        <f t="shared" ref="AR61:AT61" si="51">AR28*AR43</f>
        <v>-60269.604907239438</v>
      </c>
      <c r="AS61" s="1059">
        <f t="shared" si="51"/>
        <v>0</v>
      </c>
      <c r="AT61" s="1059">
        <f t="shared" si="51"/>
        <v>0</v>
      </c>
      <c r="AU61" s="1282">
        <f>SUM(B61:AT61)</f>
        <v>-238639.4021201618</v>
      </c>
      <c r="AV61" s="142"/>
      <c r="AW61" s="142"/>
    </row>
    <row r="62" spans="1:49" ht="16.149999999999999" thickBot="1">
      <c r="A62" s="1070" t="s">
        <v>1810</v>
      </c>
      <c r="B62" s="1555">
        <f>SUM(B57:B61)+B41</f>
        <v>0</v>
      </c>
      <c r="C62" s="1555">
        <f t="shared" ref="C62:AT62" si="52">SUM(C57:C61)+C41</f>
        <v>0</v>
      </c>
      <c r="D62" s="1555">
        <f t="shared" si="52"/>
        <v>0</v>
      </c>
      <c r="E62" s="1555">
        <f t="shared" si="52"/>
        <v>0</v>
      </c>
      <c r="F62" s="1555">
        <f t="shared" si="52"/>
        <v>0</v>
      </c>
      <c r="G62" s="1555">
        <f t="shared" si="52"/>
        <v>0</v>
      </c>
      <c r="H62" s="1555">
        <f t="shared" si="52"/>
        <v>0</v>
      </c>
      <c r="I62" s="1555">
        <f t="shared" si="52"/>
        <v>0</v>
      </c>
      <c r="J62" s="1555">
        <f t="shared" si="52"/>
        <v>0</v>
      </c>
      <c r="K62" s="1555">
        <f t="shared" si="52"/>
        <v>0</v>
      </c>
      <c r="L62" s="1555">
        <f t="shared" si="52"/>
        <v>0</v>
      </c>
      <c r="M62" s="1555">
        <f t="shared" si="52"/>
        <v>0</v>
      </c>
      <c r="N62" s="1555">
        <f t="shared" si="52"/>
        <v>0</v>
      </c>
      <c r="O62" s="1555">
        <f t="shared" si="52"/>
        <v>0</v>
      </c>
      <c r="P62" s="1555">
        <f t="shared" si="52"/>
        <v>0</v>
      </c>
      <c r="Q62" s="1555">
        <f t="shared" si="52"/>
        <v>0</v>
      </c>
      <c r="R62" s="1555">
        <f t="shared" si="52"/>
        <v>0</v>
      </c>
      <c r="S62" s="1555">
        <f>SUM(S57:S61)+S41</f>
        <v>0</v>
      </c>
      <c r="T62" s="1555">
        <f t="shared" si="52"/>
        <v>0</v>
      </c>
      <c r="U62" s="1555">
        <f t="shared" si="52"/>
        <v>0</v>
      </c>
      <c r="V62" s="1555">
        <f t="shared" si="52"/>
        <v>0</v>
      </c>
      <c r="W62" s="1555">
        <f t="shared" si="52"/>
        <v>4788.7101371319159</v>
      </c>
      <c r="X62" s="1555">
        <f t="shared" si="52"/>
        <v>6401.1197733795307</v>
      </c>
      <c r="Y62" s="1555">
        <f t="shared" si="52"/>
        <v>10380.696747736743</v>
      </c>
      <c r="Z62" s="1555">
        <f t="shared" si="52"/>
        <v>9202.0952642595621</v>
      </c>
      <c r="AA62" s="1555">
        <f t="shared" si="52"/>
        <v>9843.6956418480313</v>
      </c>
      <c r="AB62" s="1555">
        <f t="shared" si="52"/>
        <v>18243.757212081684</v>
      </c>
      <c r="AC62" s="1555">
        <f t="shared" si="52"/>
        <v>24009.394769385159</v>
      </c>
      <c r="AD62" s="1555">
        <f>SUM(AD57:AD61)+AD41</f>
        <v>29310.287093634899</v>
      </c>
      <c r="AE62" s="1555">
        <f t="shared" si="52"/>
        <v>33979.869715692606</v>
      </c>
      <c r="AF62" s="1555">
        <f>SUM(AF57:AF61)+AF41</f>
        <v>34368.827669660801</v>
      </c>
      <c r="AG62" s="1555">
        <f t="shared" si="52"/>
        <v>38401.591007188501</v>
      </c>
      <c r="AH62" s="1555">
        <f t="shared" si="52"/>
        <v>49960.939429029218</v>
      </c>
      <c r="AI62" s="1555">
        <f t="shared" si="52"/>
        <v>47383.148776857386</v>
      </c>
      <c r="AJ62" s="1555">
        <f t="shared" si="52"/>
        <v>49153.719667916113</v>
      </c>
      <c r="AK62" s="1555">
        <f t="shared" si="52"/>
        <v>71171.256303020607</v>
      </c>
      <c r="AL62" s="1555">
        <f t="shared" si="52"/>
        <v>59576.571912044805</v>
      </c>
      <c r="AM62" s="1555">
        <f t="shared" si="52"/>
        <v>62579.179392916456</v>
      </c>
      <c r="AN62" s="1555">
        <f t="shared" si="52"/>
        <v>58837.992047755361</v>
      </c>
      <c r="AO62" s="1555">
        <f t="shared" si="52"/>
        <v>0</v>
      </c>
      <c r="AP62" s="1555">
        <f t="shared" si="52"/>
        <v>0</v>
      </c>
      <c r="AQ62" s="1555">
        <f t="shared" si="52"/>
        <v>0</v>
      </c>
      <c r="AR62" s="1555">
        <f t="shared" si="52"/>
        <v>0</v>
      </c>
      <c r="AS62" s="1555">
        <f t="shared" si="52"/>
        <v>0</v>
      </c>
      <c r="AT62" s="1555">
        <f t="shared" si="52"/>
        <v>0</v>
      </c>
      <c r="AU62" s="1558">
        <f>SUM(B62:AT62)</f>
        <v>617592.85256153939</v>
      </c>
      <c r="AV62" s="1066"/>
      <c r="AW62" s="1066"/>
    </row>
    <row r="63" spans="1:49" ht="15.6">
      <c r="A63" s="1075"/>
      <c r="B63" s="1061"/>
      <c r="C63" s="1061"/>
      <c r="D63" s="1075"/>
      <c r="E63" s="1061"/>
      <c r="F63" s="1075"/>
      <c r="G63" s="1061"/>
      <c r="H63" s="1061"/>
      <c r="I63" s="1061"/>
      <c r="J63" s="1061"/>
      <c r="K63" s="1061"/>
      <c r="L63" s="1061"/>
      <c r="M63" s="1061"/>
      <c r="N63" s="1061"/>
      <c r="O63" s="1061"/>
      <c r="P63" s="1061"/>
      <c r="Q63" s="1061"/>
      <c r="R63" s="1061"/>
      <c r="S63" s="1061"/>
      <c r="T63" s="1061"/>
      <c r="U63" s="1061"/>
      <c r="V63" s="1061"/>
      <c r="W63" s="1061"/>
      <c r="X63" s="1061"/>
      <c r="Y63" s="1061"/>
      <c r="Z63" s="1061"/>
      <c r="AA63" s="1061"/>
      <c r="AB63" s="1061"/>
      <c r="AC63" s="1061"/>
      <c r="AD63" s="1061"/>
      <c r="AE63" s="1061"/>
      <c r="AF63" s="1061"/>
      <c r="AG63" s="1061"/>
      <c r="AH63" s="1061"/>
      <c r="AI63" s="1061"/>
      <c r="AJ63" s="1061"/>
      <c r="AK63" s="1061"/>
      <c r="AL63" s="1061"/>
      <c r="AM63" s="1061"/>
      <c r="AN63" s="1061"/>
      <c r="AO63" s="1061"/>
      <c r="AP63" s="1061"/>
      <c r="AQ63" s="1061"/>
      <c r="AR63" s="1061"/>
      <c r="AS63" s="1061"/>
      <c r="AT63" s="1061"/>
      <c r="AU63" s="1062"/>
      <c r="AV63" s="1061"/>
      <c r="AW63" s="1061"/>
    </row>
    <row r="64" spans="1:49" ht="15.6">
      <c r="A64" s="1075" t="s">
        <v>1811</v>
      </c>
      <c r="B64" s="1061"/>
      <c r="C64" s="1061"/>
      <c r="D64" s="1075" t="s">
        <v>1812</v>
      </c>
      <c r="E64" s="1061"/>
      <c r="F64" s="1075" t="s">
        <v>62</v>
      </c>
      <c r="G64" s="1061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1"/>
      <c r="X64" s="1061"/>
      <c r="Y64" s="1061"/>
      <c r="Z64" s="1061"/>
      <c r="AA64" s="1061"/>
      <c r="AB64" s="1061"/>
      <c r="AC64" s="1061"/>
      <c r="AD64" s="1061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061"/>
      <c r="AP64" s="1061"/>
      <c r="AQ64" s="1061"/>
      <c r="AR64" s="1061"/>
      <c r="AS64" s="1061"/>
      <c r="AT64" s="1061"/>
      <c r="AU64" s="1062"/>
      <c r="AV64" s="1061"/>
      <c r="AW64" s="1061"/>
    </row>
    <row r="65" spans="1:49" ht="15">
      <c r="A65" s="1061" t="s">
        <v>1813</v>
      </c>
      <c r="B65" s="1064">
        <f>+'Feed Cost &amp; Allocation'!T79</f>
        <v>0</v>
      </c>
      <c r="C65" s="1061"/>
      <c r="D65" s="1061"/>
      <c r="E65" s="1061"/>
      <c r="F65" s="1061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  <c r="AR65" s="1061"/>
      <c r="AS65" s="1061"/>
      <c r="AT65" s="1061"/>
      <c r="AU65" s="1062"/>
      <c r="AV65" s="1061"/>
      <c r="AW65" s="1061"/>
    </row>
    <row r="66" spans="1:49" ht="15">
      <c r="A66" s="1061" t="s">
        <v>60</v>
      </c>
      <c r="B66" s="1064">
        <f>+'Feed Cost &amp; Allocation'!K79</f>
        <v>0</v>
      </c>
      <c r="C66" s="1061"/>
      <c r="D66" s="1064">
        <f>+'Feed Cost &amp; Allocation'!L79</f>
        <v>0</v>
      </c>
      <c r="E66" s="1061"/>
      <c r="F66" s="1064">
        <f>+'Feed Cost &amp; Allocation'!C79</f>
        <v>5595</v>
      </c>
      <c r="G66" s="1061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244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1"/>
      <c r="AW66" s="1061"/>
    </row>
    <row r="67" spans="1:49" ht="15">
      <c r="A67" s="1061" t="s">
        <v>1829</v>
      </c>
      <c r="B67" s="1064">
        <f>+'Feed Cost &amp; Allocation'!O79</f>
        <v>0</v>
      </c>
      <c r="C67" s="1061"/>
      <c r="D67" s="1064">
        <f>+'Feed Cost &amp; Allocation'!M79</f>
        <v>0</v>
      </c>
      <c r="E67" s="1061"/>
      <c r="F67" s="1064">
        <f>IFERROR(SUM(W23:Z23)/(SUM(W29:Z29)-SUM(W23:Z23))*F66,0)</f>
        <v>0</v>
      </c>
      <c r="G67" s="1061"/>
      <c r="H67" s="1061"/>
      <c r="I67" s="1061"/>
      <c r="J67" s="1061"/>
      <c r="K67" s="1061"/>
      <c r="L67" s="1061"/>
      <c r="M67" s="1061"/>
      <c r="N67" s="1061"/>
      <c r="O67" s="1061"/>
      <c r="P67" s="1061"/>
      <c r="Q67" s="1061"/>
      <c r="R67" s="1061"/>
      <c r="S67" s="1061"/>
      <c r="T67" s="1061"/>
      <c r="U67" s="1061"/>
      <c r="V67" s="1061"/>
      <c r="W67" s="1061"/>
      <c r="X67" s="1061"/>
      <c r="Y67" s="1061"/>
      <c r="Z67" s="1061"/>
      <c r="AA67" s="1061"/>
      <c r="AB67" s="1061"/>
      <c r="AC67" s="1061"/>
      <c r="AD67" s="1061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  <c r="AR67" s="1061"/>
      <c r="AS67" s="1061"/>
      <c r="AT67" s="1061"/>
      <c r="AU67" s="1062"/>
      <c r="AV67" s="1061"/>
      <c r="AW67" s="1061"/>
    </row>
    <row r="68" spans="1:49" ht="15.6">
      <c r="A68" s="1075" t="s">
        <v>71</v>
      </c>
      <c r="B68" s="1076">
        <f>SUM(B65:B67)</f>
        <v>0</v>
      </c>
      <c r="C68" s="1061"/>
      <c r="D68" s="1076">
        <f>SUM(D65:D67)</f>
        <v>0</v>
      </c>
      <c r="E68" s="1061"/>
      <c r="F68" s="1064">
        <f>SUM(F66:F67)</f>
        <v>5595</v>
      </c>
      <c r="G68" s="1061"/>
      <c r="H68" s="1061"/>
      <c r="I68" s="1061"/>
      <c r="J68" s="1061"/>
      <c r="K68" s="1061"/>
      <c r="L68" s="1061"/>
      <c r="M68" s="1061"/>
      <c r="N68" s="1061"/>
      <c r="O68" s="1061"/>
      <c r="P68" s="1061"/>
      <c r="Q68" s="1061"/>
      <c r="R68" s="1061"/>
      <c r="S68" s="1061"/>
      <c r="T68" s="1061"/>
      <c r="U68" s="1061"/>
      <c r="V68" s="1061"/>
      <c r="W68" s="1061"/>
      <c r="X68" s="1061"/>
      <c r="Y68" s="1061"/>
      <c r="Z68" s="1061"/>
      <c r="AA68" s="1061"/>
      <c r="AB68" s="1061"/>
      <c r="AC68" s="1061"/>
      <c r="AD68" s="1061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  <c r="AR68" s="1061"/>
      <c r="AS68" s="1061"/>
      <c r="AT68" s="1061"/>
      <c r="AU68" s="1062"/>
      <c r="AV68" s="1061"/>
      <c r="AW68" s="1061"/>
    </row>
    <row r="69" spans="1:49" ht="15">
      <c r="A69" s="1061"/>
      <c r="B69" s="1061"/>
      <c r="C69" s="1061"/>
      <c r="D69" s="1061"/>
      <c r="E69" s="1061"/>
      <c r="F69" s="1061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1"/>
      <c r="AW69" s="1061"/>
    </row>
    <row r="70" spans="1:49" ht="15.6">
      <c r="A70" s="1077" t="s">
        <v>1815</v>
      </c>
      <c r="B70" s="1077" t="str">
        <f t="shared" ref="B70:AA70" si="53">B3</f>
        <v>DRY SOW</v>
      </c>
      <c r="C70" s="1077" t="str">
        <f t="shared" si="53"/>
        <v>DRY SOW</v>
      </c>
      <c r="D70" s="1077" t="str">
        <f t="shared" si="53"/>
        <v>DRY SOW</v>
      </c>
      <c r="E70" s="1078" t="str">
        <f t="shared" si="53"/>
        <v>DRY SOW</v>
      </c>
      <c r="F70" s="1078" t="str">
        <f t="shared" si="53"/>
        <v>DRY SOW</v>
      </c>
      <c r="G70" s="1078" t="str">
        <f t="shared" si="53"/>
        <v>DRY SOW</v>
      </c>
      <c r="H70" s="1078" t="str">
        <f t="shared" si="53"/>
        <v>DRY SOW</v>
      </c>
      <c r="I70" s="1078" t="str">
        <f t="shared" si="53"/>
        <v>DRY SOW</v>
      </c>
      <c r="J70" s="1078" t="str">
        <f t="shared" si="53"/>
        <v>DRY SOW</v>
      </c>
      <c r="K70" s="1078" t="str">
        <f t="shared" si="53"/>
        <v>DRY SOW</v>
      </c>
      <c r="L70" s="1078" t="str">
        <f t="shared" si="53"/>
        <v>DRY SOW</v>
      </c>
      <c r="M70" s="1078" t="str">
        <f t="shared" si="53"/>
        <v>DRY SOW</v>
      </c>
      <c r="N70" s="1078" t="str">
        <f t="shared" si="53"/>
        <v>DRY SOW</v>
      </c>
      <c r="O70" s="1078" t="str">
        <f t="shared" si="53"/>
        <v>DRY SOW</v>
      </c>
      <c r="P70" s="1078" t="str">
        <f t="shared" si="53"/>
        <v>DRY SOW</v>
      </c>
      <c r="Q70" s="1078" t="str">
        <f t="shared" si="53"/>
        <v>DRY SOW</v>
      </c>
      <c r="R70" s="1078" t="str">
        <f t="shared" si="53"/>
        <v>Flush</v>
      </c>
      <c r="S70" s="1078" t="str">
        <f t="shared" si="53"/>
        <v>LACTATE</v>
      </c>
      <c r="T70" s="1078" t="str">
        <f t="shared" si="53"/>
        <v>LACTATE</v>
      </c>
      <c r="U70" s="1078" t="str">
        <f t="shared" si="53"/>
        <v>LACTATE</v>
      </c>
      <c r="V70" s="1078" t="str">
        <f t="shared" si="53"/>
        <v>Early Wean</v>
      </c>
      <c r="W70" s="1078" t="str">
        <f t="shared" si="53"/>
        <v>Early Wean</v>
      </c>
      <c r="X70" s="1078" t="str">
        <f t="shared" si="53"/>
        <v>CREEP</v>
      </c>
      <c r="Y70" s="1078" t="str">
        <f t="shared" si="53"/>
        <v>CREEP</v>
      </c>
      <c r="Z70" s="1078" t="str">
        <f t="shared" si="53"/>
        <v>WEANER</v>
      </c>
      <c r="AA70" s="1078" t="str">
        <f t="shared" si="53"/>
        <v>WEANER</v>
      </c>
      <c r="AB70" s="1078" t="str">
        <f>AA70</f>
        <v>WEANER</v>
      </c>
      <c r="AC70" s="1078" t="str">
        <f>AB70</f>
        <v>WEANER</v>
      </c>
      <c r="AD70" s="1078" t="str">
        <f t="shared" ref="AD70:AN70" si="54">AD3</f>
        <v>GROWER 1</v>
      </c>
      <c r="AE70" s="1078" t="str">
        <f t="shared" si="54"/>
        <v>GROWER 1</v>
      </c>
      <c r="AF70" s="1078" t="str">
        <f t="shared" si="54"/>
        <v>GROWER 2</v>
      </c>
      <c r="AG70" s="1078" t="str">
        <f t="shared" si="54"/>
        <v>GROWER 2</v>
      </c>
      <c r="AH70" s="1078" t="str">
        <f t="shared" si="54"/>
        <v>GROWER 3</v>
      </c>
      <c r="AI70" s="1078" t="str">
        <f t="shared" si="54"/>
        <v>GROWER 3</v>
      </c>
      <c r="AJ70" s="1078" t="str">
        <f t="shared" si="54"/>
        <v>FINISHER</v>
      </c>
      <c r="AK70" s="1078" t="str">
        <f t="shared" si="54"/>
        <v>FINISHER</v>
      </c>
      <c r="AL70" s="1078" t="str">
        <f t="shared" si="54"/>
        <v>FINISHER</v>
      </c>
      <c r="AM70" s="1078" t="str">
        <f t="shared" si="54"/>
        <v>FINISHER</v>
      </c>
      <c r="AN70" s="1078" t="str">
        <f t="shared" si="54"/>
        <v>FINISHER</v>
      </c>
      <c r="AO70" s="1078" t="s">
        <v>71</v>
      </c>
      <c r="AP70" s="1079"/>
      <c r="AQ70" s="1079"/>
      <c r="AR70" s="1079"/>
      <c r="AS70" s="1066"/>
      <c r="AT70" s="1066"/>
      <c r="AU70" s="1068"/>
      <c r="AV70" s="1066"/>
      <c r="AW70" s="1066"/>
    </row>
    <row r="71" spans="1:49" ht="15.6">
      <c r="A71" s="1077" t="s">
        <v>1816</v>
      </c>
      <c r="B71" s="1077">
        <v>7</v>
      </c>
      <c r="C71" s="1077">
        <v>7</v>
      </c>
      <c r="D71" s="1077">
        <v>7</v>
      </c>
      <c r="E71" s="1077">
        <v>7</v>
      </c>
      <c r="F71" s="1077">
        <v>7</v>
      </c>
      <c r="G71" s="1077">
        <v>7</v>
      </c>
      <c r="H71" s="1077">
        <v>7</v>
      </c>
      <c r="I71" s="1077">
        <v>7</v>
      </c>
      <c r="J71" s="1077">
        <v>7</v>
      </c>
      <c r="K71" s="1077">
        <v>7</v>
      </c>
      <c r="L71" s="1077">
        <v>7</v>
      </c>
      <c r="M71" s="1077">
        <v>7</v>
      </c>
      <c r="N71" s="1077">
        <v>7</v>
      </c>
      <c r="O71" s="1077">
        <v>7</v>
      </c>
      <c r="P71" s="1077">
        <v>7</v>
      </c>
      <c r="Q71" s="1077">
        <v>7</v>
      </c>
      <c r="R71" s="1077">
        <v>7</v>
      </c>
      <c r="S71" s="1077">
        <v>7</v>
      </c>
      <c r="T71" s="1077">
        <v>7</v>
      </c>
      <c r="U71" s="1077">
        <v>7</v>
      </c>
      <c r="V71" s="1077">
        <v>7</v>
      </c>
      <c r="W71" s="1077">
        <v>7</v>
      </c>
      <c r="X71" s="1077">
        <v>7</v>
      </c>
      <c r="Y71" s="1077">
        <v>7</v>
      </c>
      <c r="Z71" s="1077">
        <v>7</v>
      </c>
      <c r="AA71" s="1077">
        <v>7</v>
      </c>
      <c r="AB71" s="1077">
        <v>7</v>
      </c>
      <c r="AC71" s="1077">
        <v>7</v>
      </c>
      <c r="AD71" s="1077">
        <v>7</v>
      </c>
      <c r="AE71" s="1077">
        <v>7</v>
      </c>
      <c r="AF71" s="1077">
        <v>7</v>
      </c>
      <c r="AG71" s="1077">
        <v>7</v>
      </c>
      <c r="AH71" s="1077">
        <v>7</v>
      </c>
      <c r="AI71" s="1077">
        <v>7</v>
      </c>
      <c r="AJ71" s="1077">
        <v>7</v>
      </c>
      <c r="AK71" s="1077">
        <v>7</v>
      </c>
      <c r="AL71" s="1077">
        <v>7</v>
      </c>
      <c r="AM71" s="1077">
        <v>7</v>
      </c>
      <c r="AN71" s="1077">
        <v>7</v>
      </c>
      <c r="AO71" s="1077"/>
      <c r="AP71" s="1066"/>
      <c r="AQ71" s="1066"/>
      <c r="AR71" s="1066"/>
      <c r="AS71" s="1066"/>
      <c r="AT71" s="1066"/>
      <c r="AU71" s="1068"/>
      <c r="AV71" s="1066"/>
      <c r="AW71" s="1066"/>
    </row>
    <row r="72" spans="1:49" ht="15.6">
      <c r="A72" s="1077" t="s">
        <v>1817</v>
      </c>
      <c r="B72" s="1077">
        <v>2.5</v>
      </c>
      <c r="C72" s="1077">
        <v>2.5</v>
      </c>
      <c r="D72" s="1077">
        <v>2.5</v>
      </c>
      <c r="E72" s="1077">
        <v>2.5</v>
      </c>
      <c r="F72" s="1077">
        <v>2.2999999999999998</v>
      </c>
      <c r="G72" s="1077">
        <v>2.2999999999999998</v>
      </c>
      <c r="H72" s="1077">
        <v>2.2999999999999998</v>
      </c>
      <c r="I72" s="1077">
        <v>2.2999999999999998</v>
      </c>
      <c r="J72" s="1077">
        <v>2.2999999999999998</v>
      </c>
      <c r="K72" s="1077">
        <v>2.2999999999999998</v>
      </c>
      <c r="L72" s="1077">
        <v>2.2999999999999998</v>
      </c>
      <c r="M72" s="1077">
        <v>2.2999999999999998</v>
      </c>
      <c r="N72" s="1077">
        <v>2.8</v>
      </c>
      <c r="O72" s="1077">
        <v>2.8</v>
      </c>
      <c r="P72" s="1077">
        <v>2.8</v>
      </c>
      <c r="Q72" s="1077">
        <v>2.8</v>
      </c>
      <c r="R72" s="1077">
        <v>5</v>
      </c>
      <c r="S72" s="1080">
        <v>3</v>
      </c>
      <c r="T72" s="1080">
        <v>5.5</v>
      </c>
      <c r="U72" s="1080">
        <v>7</v>
      </c>
      <c r="V72" s="1080">
        <v>9.5</v>
      </c>
      <c r="W72" s="1077">
        <v>0.35</v>
      </c>
      <c r="X72" s="1077">
        <v>0.5</v>
      </c>
      <c r="Y72" s="1077">
        <v>0.6</v>
      </c>
      <c r="Z72" s="1077">
        <v>0.9</v>
      </c>
      <c r="AA72" s="1077">
        <v>1.1000000000000001</v>
      </c>
      <c r="AB72" s="1077">
        <v>1.2</v>
      </c>
      <c r="AC72" s="1080">
        <v>1.4</v>
      </c>
      <c r="AD72" s="1080">
        <v>1.6</v>
      </c>
      <c r="AE72" s="1080">
        <v>1.8</v>
      </c>
      <c r="AF72" s="1080">
        <v>2</v>
      </c>
      <c r="AG72" s="1080">
        <v>2.2000000000000002</v>
      </c>
      <c r="AH72" s="1080">
        <v>2.2999999999999998</v>
      </c>
      <c r="AI72" s="1080">
        <v>2.4</v>
      </c>
      <c r="AJ72" s="1080">
        <v>2.5</v>
      </c>
      <c r="AK72" s="1080">
        <v>2.7</v>
      </c>
      <c r="AL72" s="1080">
        <v>2.9</v>
      </c>
      <c r="AM72" s="1080">
        <v>3</v>
      </c>
      <c r="AN72" s="1080">
        <v>3</v>
      </c>
      <c r="AO72" s="1080"/>
      <c r="AP72" s="1073"/>
      <c r="AQ72" s="1073"/>
      <c r="AR72" s="1073"/>
      <c r="AS72" s="1066"/>
      <c r="AT72" s="1066"/>
      <c r="AU72" s="1068"/>
      <c r="AV72" s="1066"/>
      <c r="AW72" s="1066"/>
    </row>
    <row r="73" spans="1:49" ht="15.6">
      <c r="A73" s="1077" t="s">
        <v>1818</v>
      </c>
      <c r="B73" s="1081">
        <f>+'Summary Total Pigs'!AF73/17*5</f>
        <v>0</v>
      </c>
      <c r="C73" s="1081">
        <f>B73</f>
        <v>0</v>
      </c>
      <c r="D73" s="1081">
        <f t="shared" ref="D73:R73" si="55">C73</f>
        <v>0</v>
      </c>
      <c r="E73" s="1081">
        <f t="shared" si="55"/>
        <v>0</v>
      </c>
      <c r="F73" s="1081">
        <f t="shared" si="55"/>
        <v>0</v>
      </c>
      <c r="G73" s="1081">
        <f t="shared" si="55"/>
        <v>0</v>
      </c>
      <c r="H73" s="1081">
        <f t="shared" si="55"/>
        <v>0</v>
      </c>
      <c r="I73" s="1081">
        <f t="shared" si="55"/>
        <v>0</v>
      </c>
      <c r="J73" s="1081">
        <f t="shared" si="55"/>
        <v>0</v>
      </c>
      <c r="K73" s="1081">
        <f t="shared" si="55"/>
        <v>0</v>
      </c>
      <c r="L73" s="1081">
        <f t="shared" si="55"/>
        <v>0</v>
      </c>
      <c r="M73" s="1081">
        <f t="shared" si="55"/>
        <v>0</v>
      </c>
      <c r="N73" s="1081">
        <f t="shared" si="55"/>
        <v>0</v>
      </c>
      <c r="O73" s="1081">
        <f t="shared" si="55"/>
        <v>0</v>
      </c>
      <c r="P73" s="1081">
        <f t="shared" si="55"/>
        <v>0</v>
      </c>
      <c r="Q73" s="1081">
        <f t="shared" si="55"/>
        <v>0</v>
      </c>
      <c r="R73" s="1081">
        <f t="shared" si="55"/>
        <v>0</v>
      </c>
      <c r="S73" s="1081">
        <f>R73</f>
        <v>0</v>
      </c>
      <c r="T73" s="1081">
        <f>S73</f>
        <v>0</v>
      </c>
      <c r="U73" s="1081">
        <f>T73</f>
        <v>0</v>
      </c>
      <c r="V73" s="1081">
        <f>U73</f>
        <v>0</v>
      </c>
      <c r="W73" s="1081">
        <f t="shared" ref="W73:AC73" si="56">SUM(W29:Z29)</f>
        <v>474</v>
      </c>
      <c r="X73" s="1081">
        <f t="shared" si="56"/>
        <v>475</v>
      </c>
      <c r="Y73" s="1081">
        <f t="shared" si="56"/>
        <v>594</v>
      </c>
      <c r="Z73" s="1081">
        <f t="shared" si="56"/>
        <v>673</v>
      </c>
      <c r="AA73" s="1081">
        <f t="shared" si="56"/>
        <v>732</v>
      </c>
      <c r="AB73" s="1081">
        <f t="shared" si="56"/>
        <v>837</v>
      </c>
      <c r="AC73" s="1081">
        <f t="shared" si="56"/>
        <v>815</v>
      </c>
      <c r="AD73" s="1081">
        <f t="shared" ref="AD73:AN73" si="57">SUM(AD7:AG7)</f>
        <v>523</v>
      </c>
      <c r="AE73" s="1081">
        <f t="shared" si="57"/>
        <v>594</v>
      </c>
      <c r="AF73" s="1081">
        <f t="shared" si="57"/>
        <v>731</v>
      </c>
      <c r="AG73" s="1081">
        <f t="shared" si="57"/>
        <v>779</v>
      </c>
      <c r="AH73" s="1081">
        <f t="shared" si="57"/>
        <v>865</v>
      </c>
      <c r="AI73" s="1081">
        <f t="shared" si="57"/>
        <v>905</v>
      </c>
      <c r="AJ73" s="1081">
        <f t="shared" si="57"/>
        <v>942</v>
      </c>
      <c r="AK73" s="1081">
        <f t="shared" si="57"/>
        <v>897</v>
      </c>
      <c r="AL73" s="1081">
        <f t="shared" si="57"/>
        <v>840</v>
      </c>
      <c r="AM73" s="1081">
        <f t="shared" si="57"/>
        <v>775</v>
      </c>
      <c r="AN73" s="1081">
        <f t="shared" si="57"/>
        <v>799</v>
      </c>
      <c r="AO73" s="1077"/>
      <c r="AP73" s="1066"/>
      <c r="AQ73" s="1066"/>
      <c r="AR73" s="1066"/>
      <c r="AS73" s="1066"/>
      <c r="AT73" s="1066"/>
      <c r="AU73" s="1068"/>
      <c r="AV73" s="1066"/>
      <c r="AW73" s="1066"/>
    </row>
    <row r="74" spans="1:49" ht="15.6">
      <c r="A74" s="1077" t="s">
        <v>1819</v>
      </c>
      <c r="B74" s="1081">
        <f>B71*B72*B73</f>
        <v>0</v>
      </c>
      <c r="C74" s="1081">
        <f t="shared" ref="C74:Q74" si="58">C71*C72*C73</f>
        <v>0</v>
      </c>
      <c r="D74" s="1081">
        <f t="shared" si="58"/>
        <v>0</v>
      </c>
      <c r="E74" s="1081">
        <f t="shared" si="58"/>
        <v>0</v>
      </c>
      <c r="F74" s="1081">
        <f t="shared" si="58"/>
        <v>0</v>
      </c>
      <c r="G74" s="1081">
        <f t="shared" si="58"/>
        <v>0</v>
      </c>
      <c r="H74" s="1081">
        <f t="shared" si="58"/>
        <v>0</v>
      </c>
      <c r="I74" s="1081">
        <f t="shared" si="58"/>
        <v>0</v>
      </c>
      <c r="J74" s="1081">
        <f t="shared" si="58"/>
        <v>0</v>
      </c>
      <c r="K74" s="1081">
        <f t="shared" si="58"/>
        <v>0</v>
      </c>
      <c r="L74" s="1081">
        <f t="shared" si="58"/>
        <v>0</v>
      </c>
      <c r="M74" s="1081">
        <f t="shared" si="58"/>
        <v>0</v>
      </c>
      <c r="N74" s="1081">
        <f t="shared" si="58"/>
        <v>0</v>
      </c>
      <c r="O74" s="1081">
        <f t="shared" si="58"/>
        <v>0</v>
      </c>
      <c r="P74" s="1081">
        <f t="shared" si="58"/>
        <v>0</v>
      </c>
      <c r="Q74" s="1081">
        <f t="shared" si="58"/>
        <v>0</v>
      </c>
      <c r="R74" s="1081">
        <f>R71*R72*R73</f>
        <v>0</v>
      </c>
      <c r="S74" s="1081">
        <f>S71*S72*S73</f>
        <v>0</v>
      </c>
      <c r="T74" s="1081">
        <f t="shared" ref="T74:AN74" si="59">T71*T72*T73</f>
        <v>0</v>
      </c>
      <c r="U74" s="1081">
        <f t="shared" si="59"/>
        <v>0</v>
      </c>
      <c r="V74" s="1081">
        <f t="shared" si="59"/>
        <v>0</v>
      </c>
      <c r="W74" s="1081">
        <f t="shared" si="59"/>
        <v>1161.3</v>
      </c>
      <c r="X74" s="1081">
        <f>X71*X72*X73</f>
        <v>1662.5</v>
      </c>
      <c r="Y74" s="1081">
        <f>Y71*Y72*Y73</f>
        <v>2494.8000000000002</v>
      </c>
      <c r="Z74" s="1081">
        <f t="shared" si="59"/>
        <v>4239.8999999999996</v>
      </c>
      <c r="AA74" s="1081">
        <f t="shared" si="59"/>
        <v>5636.4000000000005</v>
      </c>
      <c r="AB74" s="1081">
        <f t="shared" si="59"/>
        <v>7030.8</v>
      </c>
      <c r="AC74" s="1081">
        <f t="shared" si="59"/>
        <v>7986.9999999999991</v>
      </c>
      <c r="AD74" s="1081">
        <f t="shared" si="59"/>
        <v>5857.6</v>
      </c>
      <c r="AE74" s="1081">
        <f t="shared" si="59"/>
        <v>7484.4</v>
      </c>
      <c r="AF74" s="1081">
        <f t="shared" si="59"/>
        <v>10234</v>
      </c>
      <c r="AG74" s="1081">
        <f t="shared" si="59"/>
        <v>11996.600000000002</v>
      </c>
      <c r="AH74" s="1081">
        <f t="shared" si="59"/>
        <v>13926.499999999998</v>
      </c>
      <c r="AI74" s="1081">
        <f t="shared" si="59"/>
        <v>15204</v>
      </c>
      <c r="AJ74" s="1081">
        <f t="shared" si="59"/>
        <v>16485</v>
      </c>
      <c r="AK74" s="1081">
        <f t="shared" si="59"/>
        <v>16953.300000000003</v>
      </c>
      <c r="AL74" s="1081">
        <f t="shared" si="59"/>
        <v>17052</v>
      </c>
      <c r="AM74" s="1081">
        <f t="shared" si="59"/>
        <v>16275</v>
      </c>
      <c r="AN74" s="1081">
        <f t="shared" si="59"/>
        <v>16779</v>
      </c>
      <c r="AO74" s="1081">
        <f>SUM(B74:AN74)</f>
        <v>178460.1</v>
      </c>
      <c r="AP74" s="1066"/>
      <c r="AQ74" s="1066"/>
      <c r="AR74" s="1066"/>
      <c r="AS74" s="1066"/>
      <c r="AT74" s="1066"/>
      <c r="AU74" s="1068"/>
      <c r="AV74" s="1066"/>
      <c r="AW74" s="1066"/>
    </row>
    <row r="75" spans="1:49" ht="15.6">
      <c r="A75" s="1077"/>
      <c r="B75" s="1081"/>
      <c r="C75" s="1081"/>
      <c r="D75" s="1081"/>
      <c r="E75" s="1081"/>
      <c r="F75" s="1081"/>
      <c r="G75" s="1081"/>
      <c r="H75" s="1081"/>
      <c r="I75" s="1081"/>
      <c r="J75" s="1081"/>
      <c r="K75" s="1081"/>
      <c r="L75" s="1081"/>
      <c r="M75" s="1081"/>
      <c r="N75" s="1081"/>
      <c r="O75" s="1081"/>
      <c r="P75" s="1081"/>
      <c r="Q75" s="1081"/>
      <c r="R75" s="1081">
        <f>SUM(B74:R74)+S74</f>
        <v>0</v>
      </c>
      <c r="S75" s="1081"/>
      <c r="T75" s="1081"/>
      <c r="U75" s="1081">
        <f>SUM(S74:U74)</f>
        <v>0</v>
      </c>
      <c r="V75" s="1081"/>
      <c r="W75" s="1081">
        <f>SUM(V74:W74)</f>
        <v>1161.3</v>
      </c>
      <c r="X75" s="1081"/>
      <c r="Y75" s="1081">
        <f>SUM(X74:Y74)</f>
        <v>4157.3</v>
      </c>
      <c r="Z75" s="1081"/>
      <c r="AA75" s="1081">
        <v>0</v>
      </c>
      <c r="AB75" s="1081"/>
      <c r="AC75" s="1081">
        <f>SUM(Z74:AC74)</f>
        <v>24894.1</v>
      </c>
      <c r="AD75" s="1081"/>
      <c r="AE75" s="1081">
        <f>SUM(AD74:AE74)</f>
        <v>13342</v>
      </c>
      <c r="AF75" s="1081"/>
      <c r="AG75" s="1081">
        <f>SUM(AF74:AG74)</f>
        <v>22230.600000000002</v>
      </c>
      <c r="AH75" s="1081"/>
      <c r="AI75" s="1081">
        <f>SUM(AH74:AI74)</f>
        <v>29130.5</v>
      </c>
      <c r="AJ75" s="1081"/>
      <c r="AK75" s="1081"/>
      <c r="AL75" s="1081"/>
      <c r="AM75" s="1081"/>
      <c r="AN75" s="1081">
        <f>SUM(AJ74:AN74)</f>
        <v>83544.3</v>
      </c>
      <c r="AO75" s="1081">
        <f>SUM(B75:AN75)</f>
        <v>178460.1</v>
      </c>
      <c r="AP75" s="1066"/>
      <c r="AQ75" s="1066"/>
      <c r="AR75" s="1066"/>
      <c r="AS75" s="1066"/>
      <c r="AT75" s="1066"/>
      <c r="AU75" s="1068"/>
      <c r="AV75" s="1066"/>
      <c r="AW75" s="1066"/>
    </row>
    <row r="76" spans="1:49" ht="15.6">
      <c r="A76" s="1077" t="s">
        <v>1820</v>
      </c>
      <c r="B76" s="1082">
        <f>IFERROR(B74/R75,0)</f>
        <v>0</v>
      </c>
      <c r="C76" s="1082">
        <f t="shared" ref="C76:R76" si="60">IFERROR(C74/S75,0)</f>
        <v>0</v>
      </c>
      <c r="D76" s="1082">
        <f t="shared" si="60"/>
        <v>0</v>
      </c>
      <c r="E76" s="1082">
        <f t="shared" si="60"/>
        <v>0</v>
      </c>
      <c r="F76" s="1082">
        <f t="shared" si="60"/>
        <v>0</v>
      </c>
      <c r="G76" s="1082">
        <f t="shared" si="60"/>
        <v>0</v>
      </c>
      <c r="H76" s="1082">
        <f t="shared" si="60"/>
        <v>0</v>
      </c>
      <c r="I76" s="1082">
        <f t="shared" si="60"/>
        <v>0</v>
      </c>
      <c r="J76" s="1082">
        <f t="shared" si="60"/>
        <v>0</v>
      </c>
      <c r="K76" s="1082">
        <f t="shared" si="60"/>
        <v>0</v>
      </c>
      <c r="L76" s="1082">
        <f t="shared" si="60"/>
        <v>0</v>
      </c>
      <c r="M76" s="1082">
        <f t="shared" si="60"/>
        <v>0</v>
      </c>
      <c r="N76" s="1082">
        <f t="shared" si="60"/>
        <v>0</v>
      </c>
      <c r="O76" s="1082">
        <f t="shared" si="60"/>
        <v>0</v>
      </c>
      <c r="P76" s="1082">
        <f t="shared" si="60"/>
        <v>0</v>
      </c>
      <c r="Q76" s="1082">
        <f t="shared" si="60"/>
        <v>0</v>
      </c>
      <c r="R76" s="1082">
        <f t="shared" si="60"/>
        <v>0</v>
      </c>
      <c r="S76" s="1082">
        <f>IFERROR(S74/$U$75,0)</f>
        <v>0</v>
      </c>
      <c r="T76" s="1082">
        <f>IFERROR(T74/$U$75,0)</f>
        <v>0</v>
      </c>
      <c r="U76" s="1082">
        <f>IFERROR(U74/$U$75,0)</f>
        <v>0</v>
      </c>
      <c r="V76" s="1082">
        <f>IFERROR(V74/$V$75,0)</f>
        <v>0</v>
      </c>
      <c r="W76" s="1082">
        <f>IFERROR(W74/W75,0)</f>
        <v>1</v>
      </c>
      <c r="X76" s="1082">
        <f>X74/$Y$75</f>
        <v>0.39989897289105908</v>
      </c>
      <c r="Y76" s="1082">
        <f>Y74/$Y$75</f>
        <v>0.60010102710894087</v>
      </c>
      <c r="Z76" s="1082">
        <f>Z74/$AC$75</f>
        <v>0.1703174647808115</v>
      </c>
      <c r="AA76" s="1082">
        <f>AA74/$AC$75</f>
        <v>0.22641509433962267</v>
      </c>
      <c r="AB76" s="1082">
        <f>AB74/$AC$75</f>
        <v>0.28242836656075138</v>
      </c>
      <c r="AC76" s="1082">
        <f>AC74/$AC$75</f>
        <v>0.32083907431881448</v>
      </c>
      <c r="AD76" s="1082">
        <f>AD74/$AE$75</f>
        <v>0.43903462749213013</v>
      </c>
      <c r="AE76" s="1082">
        <f>AE74/$AE$75</f>
        <v>0.56096537250786982</v>
      </c>
      <c r="AF76" s="1082">
        <f>AF74/$AG$75</f>
        <v>0.46035644562000122</v>
      </c>
      <c r="AG76" s="1082">
        <f>AG74/$AG$75</f>
        <v>0.53964355437999878</v>
      </c>
      <c r="AH76" s="1082">
        <f>AH74/$AI$75</f>
        <v>0.47807281028475301</v>
      </c>
      <c r="AI76" s="1082">
        <f>AI74/$AI$75</f>
        <v>0.52192718971524688</v>
      </c>
      <c r="AJ76" s="1082">
        <f>AJ74/$AN$75</f>
        <v>0.19732046351456653</v>
      </c>
      <c r="AK76" s="1082">
        <f>AK74/$AN$75</f>
        <v>0.20292587286026698</v>
      </c>
      <c r="AL76" s="1082">
        <f>AL74/$AN$75</f>
        <v>0.20410728200487646</v>
      </c>
      <c r="AM76" s="1082">
        <f>AM74/$AN$75</f>
        <v>0.19480682703667396</v>
      </c>
      <c r="AN76" s="1082">
        <f>AN74/$AN$75</f>
        <v>0.2008395545836161</v>
      </c>
      <c r="AO76" s="1065"/>
      <c r="AP76" s="142"/>
      <c r="AQ76" s="142"/>
      <c r="AR76" s="142"/>
      <c r="AS76" s="142"/>
      <c r="AT76" s="142"/>
      <c r="AU76" s="1057"/>
      <c r="AV76" s="142"/>
      <c r="AW76" s="142"/>
    </row>
    <row r="77" spans="1:49" ht="15">
      <c r="A77" s="1065"/>
      <c r="B77" s="1065"/>
      <c r="C77" s="1065"/>
      <c r="D77" s="1065"/>
      <c r="E77" s="1065"/>
      <c r="F77" s="1065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5"/>
      <c r="AD77" s="1065"/>
      <c r="AE77" s="1065"/>
      <c r="AF77" s="1065"/>
      <c r="AG77" s="1065"/>
      <c r="AH77" s="1065"/>
      <c r="AI77" s="1065"/>
      <c r="AJ77" s="1065"/>
      <c r="AK77" s="1065"/>
      <c r="AL77" s="1065"/>
      <c r="AM77" s="1065"/>
      <c r="AN77" s="1065"/>
      <c r="AO77" s="1065"/>
      <c r="AP77" s="142"/>
      <c r="AQ77" s="142"/>
      <c r="AR77" s="142"/>
      <c r="AS77" s="142"/>
      <c r="AT77" s="142"/>
      <c r="AU77" s="1057"/>
      <c r="AV77" s="142"/>
      <c r="AW77" s="142"/>
    </row>
    <row r="78" spans="1:49" ht="15">
      <c r="A78" s="1065"/>
      <c r="B78" s="1065"/>
      <c r="C78" s="1065"/>
      <c r="D78" s="1065"/>
      <c r="E78" s="1065"/>
      <c r="F78" s="1065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5"/>
      <c r="AD78" s="1065"/>
      <c r="AE78" s="1065"/>
      <c r="AF78" s="1065"/>
      <c r="AG78" s="1065"/>
      <c r="AH78" s="1065"/>
      <c r="AI78" s="1065"/>
      <c r="AJ78" s="1065"/>
      <c r="AK78" s="1065"/>
      <c r="AL78" s="1065"/>
      <c r="AM78" s="1065"/>
      <c r="AN78" s="1065"/>
      <c r="AO78" s="1065"/>
      <c r="AP78" s="142"/>
      <c r="AQ78" s="142"/>
      <c r="AR78" s="142"/>
      <c r="AS78" s="142"/>
      <c r="AT78" s="142"/>
      <c r="AU78" s="1057"/>
      <c r="AV78" s="142"/>
      <c r="AW78" s="142"/>
    </row>
    <row r="79" spans="1:49" ht="15.6">
      <c r="A79" s="1081" t="s">
        <v>1821</v>
      </c>
      <c r="B79" s="1081"/>
      <c r="C79" s="1081"/>
      <c r="D79" s="1081"/>
      <c r="E79" s="1081"/>
      <c r="F79" s="1081"/>
      <c r="G79" s="1081"/>
      <c r="H79" s="1081"/>
      <c r="I79" s="1081"/>
      <c r="J79" s="1081"/>
      <c r="K79" s="1081"/>
      <c r="L79" s="1081"/>
      <c r="M79" s="1081"/>
      <c r="N79" s="1081"/>
      <c r="O79" s="1081"/>
      <c r="P79" s="1081"/>
      <c r="Q79" s="1081">
        <f>SUM(B74:Q74)</f>
        <v>0</v>
      </c>
      <c r="R79" s="1081">
        <f>R74</f>
        <v>0</v>
      </c>
      <c r="S79" s="1081">
        <f>S74</f>
        <v>0</v>
      </c>
      <c r="T79" s="1081">
        <f>T73*T71*T72</f>
        <v>0</v>
      </c>
      <c r="U79" s="1081">
        <f>U73*U71*U72</f>
        <v>0</v>
      </c>
      <c r="V79" s="1081">
        <f>V73*V71*V72</f>
        <v>0</v>
      </c>
      <c r="W79" s="1081">
        <f>W74</f>
        <v>1161.3</v>
      </c>
      <c r="X79" s="1081"/>
      <c r="Y79" s="1081">
        <f>Y75</f>
        <v>4157.3</v>
      </c>
      <c r="Z79" s="1081"/>
      <c r="AA79" s="1081"/>
      <c r="AB79" s="1081"/>
      <c r="AC79" s="1081">
        <f>AC75</f>
        <v>24894.1</v>
      </c>
      <c r="AD79" s="1081"/>
      <c r="AE79" s="1081">
        <f>AE75</f>
        <v>13342</v>
      </c>
      <c r="AF79" s="1081"/>
      <c r="AG79" s="1081">
        <f>AG75</f>
        <v>22230.600000000002</v>
      </c>
      <c r="AH79" s="1081"/>
      <c r="AI79" s="1081"/>
      <c r="AJ79" s="1081">
        <f>AJ75</f>
        <v>0</v>
      </c>
      <c r="AK79" s="1081"/>
      <c r="AL79" s="1081"/>
      <c r="AM79" s="1081"/>
      <c r="AN79" s="1081">
        <f>AN75</f>
        <v>83544.3</v>
      </c>
      <c r="AO79" s="1081">
        <f>SUM(B79:AN79)</f>
        <v>149329.60000000001</v>
      </c>
      <c r="AP79" s="1068"/>
      <c r="AQ79" s="1068"/>
      <c r="AR79" s="1068"/>
      <c r="AS79" s="1068"/>
      <c r="AT79" s="1068"/>
      <c r="AU79" s="1068"/>
      <c r="AV79" s="1068"/>
      <c r="AW79" s="1068"/>
    </row>
    <row r="80" spans="1:49" ht="15.6">
      <c r="A80" s="1081" t="s">
        <v>1822</v>
      </c>
      <c r="B80" s="1081"/>
      <c r="C80" s="1081"/>
      <c r="D80" s="1081"/>
      <c r="E80" s="1081"/>
      <c r="F80" s="1081"/>
      <c r="G80" s="1081"/>
      <c r="H80" s="1081"/>
      <c r="I80" s="1081"/>
      <c r="J80" s="1081"/>
      <c r="K80" s="1081"/>
      <c r="L80" s="1081"/>
      <c r="M80" s="1081"/>
      <c r="N80" s="1081"/>
      <c r="O80" s="1081"/>
      <c r="P80" s="1081"/>
      <c r="Q80" s="1081">
        <f>'[4]Feed Costing &amp; Appotionment '!K122+'[4]Feed Costing &amp; Appotionment '!O122</f>
        <v>273392.90000000002</v>
      </c>
      <c r="R80" s="1081">
        <f>'[4]Feed Costing &amp; Appotionment '!T122</f>
        <v>47127.5</v>
      </c>
      <c r="S80" s="1081">
        <f>'[4]Feed Costing &amp; Appotionment '!N122</f>
        <v>17559.5</v>
      </c>
      <c r="T80" s="1081"/>
      <c r="U80" s="1081"/>
      <c r="V80" s="1081">
        <f>'[4]Feed Costing &amp; Appotionment '!L122+'[4]Feed Costing &amp; Appotionment '!M122</f>
        <v>117633</v>
      </c>
      <c r="W80" s="1081">
        <f>'[4]Feed Costing &amp; Appotionment '!B122</f>
        <v>29254.2</v>
      </c>
      <c r="X80" s="1081"/>
      <c r="Y80" s="1081">
        <f>'[4]Feed Costing &amp; Appotionment '!C122</f>
        <v>126974</v>
      </c>
      <c r="Z80" s="1081"/>
      <c r="AA80" s="1081"/>
      <c r="AB80" s="1081"/>
      <c r="AC80" s="1081">
        <f>'[4]Feed Costing &amp; Appotionment '!D122+'[4]Feed Costing &amp; Appotionment '!E122</f>
        <v>243037.40000000002</v>
      </c>
      <c r="AD80" s="1081"/>
      <c r="AE80" s="1081">
        <f>'[4]Feed Costing &amp; Appotionment '!F122</f>
        <v>176588.4</v>
      </c>
      <c r="AF80" s="1081"/>
      <c r="AG80" s="1081">
        <f>'[4]Feed Costing &amp; Appotionment '!G122</f>
        <v>59290</v>
      </c>
      <c r="AH80" s="1081"/>
      <c r="AI80" s="1081"/>
      <c r="AJ80" s="1081">
        <f>'[4]Feed Costing &amp; Appotionment '!H122</f>
        <v>949048.7</v>
      </c>
      <c r="AK80" s="1081"/>
      <c r="AL80" s="1081"/>
      <c r="AM80" s="1081"/>
      <c r="AN80" s="1081">
        <f>'[4]Feed Costing &amp; Appotionment '!J122</f>
        <v>710118.55</v>
      </c>
      <c r="AO80" s="1081">
        <f>SUM(B80:AN80)</f>
        <v>2750024.1500000004</v>
      </c>
      <c r="AP80" s="1068">
        <f>AO80-'[4]Feed Costing &amp; Appotionment '!U122+'[4]Feed Costing &amp; Appotionment '!P122+'[4]Feed Costing &amp; Appotionment '!Q122+'[4]Feed Costing &amp; Appotionment '!R122</f>
        <v>1.8917489796876907E-10</v>
      </c>
      <c r="AQ80" s="1068"/>
      <c r="AR80" s="1068"/>
      <c r="AS80" s="1068"/>
      <c r="AT80" s="1068"/>
      <c r="AU80" s="1068"/>
      <c r="AV80" s="1068"/>
      <c r="AW80" s="1068"/>
    </row>
    <row r="81" spans="1:49" ht="15.6">
      <c r="A81" s="1081" t="s">
        <v>1823</v>
      </c>
      <c r="B81" s="1081"/>
      <c r="C81" s="1081"/>
      <c r="D81" s="1081"/>
      <c r="E81" s="1081"/>
      <c r="F81" s="1081"/>
      <c r="G81" s="1081"/>
      <c r="H81" s="1081"/>
      <c r="I81" s="1081"/>
      <c r="J81" s="1081"/>
      <c r="K81" s="1081"/>
      <c r="L81" s="1081"/>
      <c r="M81" s="1081"/>
      <c r="N81" s="1081"/>
      <c r="O81" s="1081"/>
      <c r="P81" s="1081"/>
      <c r="Q81" s="1081">
        <f>Q79-Q80</f>
        <v>-273392.90000000002</v>
      </c>
      <c r="R81" s="1081">
        <f>R79-R80</f>
        <v>-47127.5</v>
      </c>
      <c r="S81" s="1081">
        <f>S79-S80</f>
        <v>-17559.5</v>
      </c>
      <c r="T81" s="1081"/>
      <c r="U81" s="1081"/>
      <c r="V81" s="1081">
        <f>SUM(T79:V79)-V80</f>
        <v>-117633</v>
      </c>
      <c r="W81" s="1081">
        <f>W79-W80</f>
        <v>-28092.9</v>
      </c>
      <c r="X81" s="1081">
        <f>X79-X80</f>
        <v>0</v>
      </c>
      <c r="Y81" s="1081">
        <f>Y79-Y80</f>
        <v>-122816.7</v>
      </c>
      <c r="Z81" s="1081"/>
      <c r="AA81" s="1081"/>
      <c r="AB81" s="1081"/>
      <c r="AC81" s="1081">
        <f>AC79-AC80</f>
        <v>-218143.30000000002</v>
      </c>
      <c r="AD81" s="1081"/>
      <c r="AE81" s="1081">
        <f>AE79-AE80</f>
        <v>-163246.39999999999</v>
      </c>
      <c r="AF81" s="1081"/>
      <c r="AG81" s="1081">
        <f>AG79-AG80</f>
        <v>-37059.399999999994</v>
      </c>
      <c r="AH81" s="1081"/>
      <c r="AI81" s="1081"/>
      <c r="AJ81" s="1081">
        <f>AJ79-AJ80</f>
        <v>-949048.7</v>
      </c>
      <c r="AK81" s="1081"/>
      <c r="AL81" s="1081"/>
      <c r="AM81" s="1081"/>
      <c r="AN81" s="1081">
        <f>AN79-AN80</f>
        <v>-626574.25</v>
      </c>
      <c r="AO81" s="1081">
        <f>SUM(B81:AN81)</f>
        <v>-2600694.5499999998</v>
      </c>
      <c r="AP81" s="1068">
        <f>AO80-'[4]Feed Costing &amp; Appotionment '!U122</f>
        <v>-86697.799999999814</v>
      </c>
      <c r="AQ81" s="1068"/>
      <c r="AR81" s="1068"/>
      <c r="AS81" s="1068"/>
      <c r="AT81" s="1068"/>
      <c r="AU81" s="1068"/>
      <c r="AV81" s="1068"/>
      <c r="AW81" s="1068"/>
    </row>
    <row r="82" spans="1:49" ht="15.6">
      <c r="A82" s="1081" t="s">
        <v>1824</v>
      </c>
      <c r="B82" s="1077"/>
      <c r="C82" s="1077"/>
      <c r="D82" s="1077"/>
      <c r="E82" s="1077"/>
      <c r="F82" s="1077"/>
      <c r="G82" s="1077"/>
      <c r="H82" s="1077"/>
      <c r="I82" s="1077"/>
      <c r="J82" s="1077"/>
      <c r="K82" s="1077"/>
      <c r="L82" s="1077"/>
      <c r="M82" s="1077"/>
      <c r="N82" s="1077"/>
      <c r="O82" s="1077"/>
      <c r="P82" s="1077"/>
      <c r="Q82" s="1083">
        <f>('[4]Feed Costing &amp; Appotionment '!K123+'[4]Feed Costing &amp; Appotionment '!O123)/('[4]Feed Costing &amp; Appotionment '!K122+'[4]Feed Costing &amp; Appotionment '!O122)</f>
        <v>0.33022565021567968</v>
      </c>
      <c r="R82" s="1080">
        <f>'[4]Feed Costing &amp; Appotionment '!T124</f>
        <v>0.37880590011098036</v>
      </c>
      <c r="S82" s="1080">
        <f>'[4]Feed Costing &amp; Appotionment '!N124</f>
        <v>0.36773334194341661</v>
      </c>
      <c r="T82" s="1077"/>
      <c r="U82" s="1077"/>
      <c r="V82" s="1080">
        <f>('[4]Feed Costing &amp; Appotionment '!M123+'[4]Feed Costing &amp; Appotionment '!L123)/('[4]Feed Costing &amp; Appotionment '!L122+'[4]Feed Costing &amp; Appotionment '!M122)</f>
        <v>0.38986305594770371</v>
      </c>
      <c r="W82" s="1080">
        <f>'[4]Feed Costing &amp; Appotionment '!B124</f>
        <v>0.70516028376225237</v>
      </c>
      <c r="X82" s="1077"/>
      <c r="Y82" s="1080">
        <f>'[4]Feed Costing &amp; Appotionment '!C124</f>
        <v>0.553048745740369</v>
      </c>
      <c r="Z82" s="1077"/>
      <c r="AA82" s="1080"/>
      <c r="AB82" s="1077"/>
      <c r="AC82" s="1080">
        <f>'[4]Feed Costing &amp; Appotionment '!D124</f>
        <v>0.45761789674138609</v>
      </c>
      <c r="AD82" s="1077"/>
      <c r="AE82" s="1080">
        <f>'[4]Feed Costing &amp; Appotionment '!F124</f>
        <v>0.36072118784213153</v>
      </c>
      <c r="AF82" s="1077"/>
      <c r="AG82" s="1080">
        <f>'[4]Feed Costing &amp; Appotionment '!G124</f>
        <v>0.35277419368699731</v>
      </c>
      <c r="AH82" s="1077"/>
      <c r="AI82" s="1077"/>
      <c r="AJ82" s="1080">
        <f>'[4]Feed Costing &amp; Appotionment '!H124</f>
        <v>0.32545898419719504</v>
      </c>
      <c r="AK82" s="1077"/>
      <c r="AL82" s="1077"/>
      <c r="AM82" s="1077"/>
      <c r="AN82" s="1080">
        <f>'[4]Feed Costing &amp; Appotionment '!J124</f>
        <v>0.34727367194923103</v>
      </c>
      <c r="AO82" s="1083">
        <f>AO83/AO81</f>
        <v>0.3639183989284181</v>
      </c>
      <c r="AP82" s="1068">
        <f>'[4]Feed Costing &amp; Appotionment '!P122+'[4]Feed Costing &amp; Appotionment '!Q122+'[4]Feed Costing &amp; Appotionment '!R122</f>
        <v>86697.8</v>
      </c>
      <c r="AQ82" s="1066"/>
      <c r="AR82" s="1066"/>
      <c r="AS82" s="1066"/>
      <c r="AT82" s="1066"/>
      <c r="AU82" s="1068"/>
      <c r="AV82" s="1066"/>
      <c r="AW82" s="1066"/>
    </row>
    <row r="83" spans="1:49" ht="15.6">
      <c r="A83" s="1081" t="s">
        <v>1825</v>
      </c>
      <c r="B83" s="1077"/>
      <c r="C83" s="1077"/>
      <c r="D83" s="1077"/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83">
        <f>Q81*Q82</f>
        <v>-90281.348166850294</v>
      </c>
      <c r="R83" s="1083">
        <f>R81*R82</f>
        <v>-17852.175057480228</v>
      </c>
      <c r="S83" s="1083">
        <f>S81*S82</f>
        <v>-6457.2136178554238</v>
      </c>
      <c r="T83" s="1077"/>
      <c r="U83" s="1077"/>
      <c r="V83" s="1083">
        <f>V81*V82</f>
        <v>-45860.760860296228</v>
      </c>
      <c r="W83" s="1083">
        <f>W81*W82</f>
        <v>-19809.997335704582</v>
      </c>
      <c r="X83" s="1077"/>
      <c r="Y83" s="1083">
        <f>Y81*Y82</f>
        <v>-67923.621890971175</v>
      </c>
      <c r="Z83" s="1077"/>
      <c r="AA83" s="1083"/>
      <c r="AB83" s="1077"/>
      <c r="AC83" s="1083">
        <f>AC81*AC82</f>
        <v>-99826.278134225213</v>
      </c>
      <c r="AD83" s="1077"/>
      <c r="AE83" s="1083">
        <f>AE81*AE82</f>
        <v>-58886.435318951735</v>
      </c>
      <c r="AF83" s="1077"/>
      <c r="AG83" s="1083">
        <f>AG81*AG82</f>
        <v>-13073.599953523906</v>
      </c>
      <c r="AH83" s="1077"/>
      <c r="AI83" s="1077"/>
      <c r="AJ83" s="1083">
        <f>AJ81*AJ82</f>
        <v>-308876.42585566849</v>
      </c>
      <c r="AK83" s="1077"/>
      <c r="AL83" s="1077"/>
      <c r="AM83" s="1077"/>
      <c r="AN83" s="1083">
        <f>AN81*AN82</f>
        <v>-217592.74054633547</v>
      </c>
      <c r="AO83" s="1081">
        <f>SUM(B83:AN83)</f>
        <v>-946440.59673786268</v>
      </c>
      <c r="AP83" s="1084">
        <f>SUM(AP81:AP82)</f>
        <v>1.8917489796876907E-10</v>
      </c>
      <c r="AQ83" s="1066"/>
      <c r="AR83" s="1066"/>
      <c r="AS83" s="1066"/>
      <c r="AT83" s="1066"/>
      <c r="AU83" s="1068"/>
      <c r="AV83" s="1066"/>
      <c r="AW83" s="1066"/>
    </row>
    <row r="86" spans="1:49" ht="15.6">
      <c r="A86" s="131" t="s">
        <v>1816</v>
      </c>
      <c r="B86" s="1716">
        <v>7</v>
      </c>
      <c r="C86" s="1716">
        <v>7</v>
      </c>
      <c r="D86" s="1716">
        <v>7</v>
      </c>
      <c r="E86" s="1716">
        <v>7</v>
      </c>
      <c r="F86" s="1716">
        <v>7</v>
      </c>
      <c r="G86" s="1716">
        <v>7</v>
      </c>
      <c r="H86" s="1716">
        <v>7</v>
      </c>
      <c r="I86" s="1716">
        <v>7</v>
      </c>
      <c r="J86" s="1716">
        <v>7</v>
      </c>
      <c r="K86" s="1716">
        <v>7</v>
      </c>
      <c r="L86" s="1716">
        <v>7</v>
      </c>
      <c r="M86" s="1716">
        <v>7</v>
      </c>
      <c r="N86" s="1716">
        <v>7</v>
      </c>
      <c r="O86" s="1716">
        <v>7</v>
      </c>
      <c r="P86" s="1716">
        <v>7</v>
      </c>
      <c r="Q86" s="1717">
        <v>7</v>
      </c>
      <c r="R86" s="1717">
        <v>7</v>
      </c>
      <c r="S86" s="1710">
        <v>3</v>
      </c>
      <c r="T86" s="1710">
        <v>7</v>
      </c>
      <c r="U86" s="1709">
        <v>7</v>
      </c>
      <c r="V86" s="1709">
        <v>7</v>
      </c>
      <c r="W86" s="1710">
        <v>4</v>
      </c>
      <c r="X86" s="1709">
        <v>7</v>
      </c>
      <c r="Y86" s="1710">
        <v>7</v>
      </c>
      <c r="Z86" s="1709">
        <v>7</v>
      </c>
      <c r="AA86" s="1710">
        <v>7</v>
      </c>
      <c r="AB86" s="1709">
        <v>7</v>
      </c>
      <c r="AC86" s="1710">
        <v>7</v>
      </c>
      <c r="AD86" s="1709">
        <v>7</v>
      </c>
      <c r="AE86" s="1710">
        <v>7</v>
      </c>
      <c r="AF86" s="1709">
        <v>7</v>
      </c>
      <c r="AG86" s="1710">
        <v>7</v>
      </c>
      <c r="AH86" s="1710">
        <v>7</v>
      </c>
      <c r="AI86" s="1709">
        <v>7</v>
      </c>
      <c r="AJ86" s="1710">
        <v>4</v>
      </c>
      <c r="AK86" s="1710">
        <v>3</v>
      </c>
      <c r="AL86" s="1710">
        <v>7</v>
      </c>
      <c r="AM86" s="1709">
        <v>7</v>
      </c>
      <c r="AN86" s="1709">
        <v>7</v>
      </c>
      <c r="AO86" s="1709">
        <v>4</v>
      </c>
    </row>
    <row r="87" spans="1:49" ht="15.6">
      <c r="A87" s="131" t="s">
        <v>1815</v>
      </c>
      <c r="B87" s="1711" t="s">
        <v>1773</v>
      </c>
      <c r="C87" s="1711" t="s">
        <v>1773</v>
      </c>
      <c r="D87" s="1711" t="s">
        <v>1773</v>
      </c>
      <c r="E87" s="1711" t="s">
        <v>1773</v>
      </c>
      <c r="F87" s="1711" t="s">
        <v>1773</v>
      </c>
      <c r="G87" s="1711" t="s">
        <v>1773</v>
      </c>
      <c r="H87" s="1711" t="s">
        <v>1773</v>
      </c>
      <c r="I87" s="1711" t="s">
        <v>1773</v>
      </c>
      <c r="J87" s="1711" t="s">
        <v>1773</v>
      </c>
      <c r="K87" s="1711" t="s">
        <v>1773</v>
      </c>
      <c r="L87" s="1711" t="s">
        <v>1773</v>
      </c>
      <c r="M87" s="1711" t="s">
        <v>1773</v>
      </c>
      <c r="N87" s="1711" t="s">
        <v>1773</v>
      </c>
      <c r="O87" s="1711" t="s">
        <v>1773</v>
      </c>
      <c r="P87" s="1711" t="s">
        <v>1773</v>
      </c>
      <c r="Q87" s="1711" t="s">
        <v>1773</v>
      </c>
      <c r="R87" s="1711" t="s">
        <v>1826</v>
      </c>
      <c r="S87" s="1711" t="s">
        <v>1775</v>
      </c>
      <c r="T87" s="1711" t="s">
        <v>1775</v>
      </c>
      <c r="U87" s="1711" t="s">
        <v>1775</v>
      </c>
      <c r="V87" s="1711" t="s">
        <v>1775</v>
      </c>
      <c r="W87" s="1711" t="s">
        <v>1775</v>
      </c>
      <c r="X87" s="1711" t="s">
        <v>1776</v>
      </c>
      <c r="Y87" s="1711" t="s">
        <v>1777</v>
      </c>
      <c r="Z87" s="1711" t="s">
        <v>1777</v>
      </c>
      <c r="AA87" s="1711" t="s">
        <v>108</v>
      </c>
      <c r="AB87" s="1711" t="s">
        <v>108</v>
      </c>
      <c r="AC87" s="1711" t="s">
        <v>108</v>
      </c>
      <c r="AD87" s="1711" t="s">
        <v>1778</v>
      </c>
      <c r="AE87" s="1711" t="s">
        <v>1778</v>
      </c>
      <c r="AF87" s="1711" t="s">
        <v>1779</v>
      </c>
      <c r="AG87" s="1711" t="s">
        <v>1779</v>
      </c>
      <c r="AH87" s="1711" t="s">
        <v>1780</v>
      </c>
      <c r="AI87" s="1711" t="s">
        <v>1780</v>
      </c>
      <c r="AJ87" s="1711" t="s">
        <v>1780</v>
      </c>
      <c r="AK87" s="1711" t="s">
        <v>1781</v>
      </c>
      <c r="AL87" s="1711" t="s">
        <v>1781</v>
      </c>
      <c r="AM87" s="1711" t="s">
        <v>1781</v>
      </c>
      <c r="AN87" s="1711" t="s">
        <v>1781</v>
      </c>
      <c r="AO87" s="1711" t="s">
        <v>1781</v>
      </c>
    </row>
    <row r="88" spans="1:49" ht="15.6">
      <c r="A88" s="131" t="s">
        <v>323</v>
      </c>
      <c r="B88" s="1711">
        <v>-16</v>
      </c>
      <c r="C88" s="1711">
        <v>-15</v>
      </c>
      <c r="D88" s="1711">
        <v>-14</v>
      </c>
      <c r="E88" s="1711">
        <v>-13</v>
      </c>
      <c r="F88" s="1711">
        <v>-12</v>
      </c>
      <c r="G88" s="1711">
        <v>-11</v>
      </c>
      <c r="H88" s="1711">
        <v>-10</v>
      </c>
      <c r="I88" s="1711">
        <v>-9</v>
      </c>
      <c r="J88" s="1711">
        <v>-8</v>
      </c>
      <c r="K88" s="1711">
        <v>-7</v>
      </c>
      <c r="L88" s="1711">
        <v>-6</v>
      </c>
      <c r="M88" s="1711">
        <v>-5</v>
      </c>
      <c r="N88" s="1711">
        <v>-4</v>
      </c>
      <c r="O88" s="1711">
        <v>-3</v>
      </c>
      <c r="P88" s="1711">
        <v>-2</v>
      </c>
      <c r="Q88" s="1711">
        <v>-1</v>
      </c>
      <c r="R88" s="1711">
        <v>0</v>
      </c>
      <c r="S88" s="276">
        <v>1</v>
      </c>
      <c r="T88" s="276">
        <v>2</v>
      </c>
      <c r="U88" s="276">
        <v>3</v>
      </c>
      <c r="V88" s="276">
        <v>4</v>
      </c>
      <c r="W88" s="276">
        <v>5</v>
      </c>
      <c r="X88" s="276">
        <v>6</v>
      </c>
      <c r="Y88" s="276">
        <v>7</v>
      </c>
      <c r="Z88" s="276">
        <v>8</v>
      </c>
      <c r="AA88" s="276">
        <v>9</v>
      </c>
      <c r="AB88" s="276">
        <v>10</v>
      </c>
      <c r="AC88" s="276">
        <v>11</v>
      </c>
      <c r="AD88" s="276">
        <v>12</v>
      </c>
      <c r="AE88" s="276">
        <v>13</v>
      </c>
      <c r="AF88" s="276">
        <v>14</v>
      </c>
      <c r="AG88" s="276">
        <v>15</v>
      </c>
      <c r="AH88" s="276">
        <v>16</v>
      </c>
      <c r="AI88" s="276">
        <v>17</v>
      </c>
      <c r="AJ88" s="276">
        <v>18</v>
      </c>
      <c r="AK88" s="276">
        <v>18</v>
      </c>
      <c r="AL88" s="276">
        <v>19</v>
      </c>
      <c r="AM88" s="276">
        <v>20</v>
      </c>
      <c r="AN88" s="276">
        <v>21</v>
      </c>
      <c r="AO88" s="276">
        <v>22</v>
      </c>
    </row>
    <row r="89" spans="1:49" ht="16.149999999999999" thickBot="1">
      <c r="A89" s="131"/>
      <c r="B89" s="1718">
        <f>+B90*B86</f>
        <v>17.5</v>
      </c>
      <c r="C89" s="1718">
        <f t="shared" ref="C89:R89" si="61">+C90*C86</f>
        <v>17.5</v>
      </c>
      <c r="D89" s="1718">
        <f t="shared" si="61"/>
        <v>17.5</v>
      </c>
      <c r="E89" s="1718">
        <f t="shared" si="61"/>
        <v>17.5</v>
      </c>
      <c r="F89" s="1718">
        <f t="shared" si="61"/>
        <v>16.099999999999998</v>
      </c>
      <c r="G89" s="1718">
        <f t="shared" si="61"/>
        <v>16.099999999999998</v>
      </c>
      <c r="H89" s="1718">
        <f t="shared" si="61"/>
        <v>16.099999999999998</v>
      </c>
      <c r="I89" s="1718">
        <f t="shared" si="61"/>
        <v>16.099999999999998</v>
      </c>
      <c r="J89" s="1718">
        <f t="shared" si="61"/>
        <v>16.099999999999998</v>
      </c>
      <c r="K89" s="1718">
        <f t="shared" si="61"/>
        <v>16.099999999999998</v>
      </c>
      <c r="L89" s="1718">
        <f t="shared" si="61"/>
        <v>16.099999999999998</v>
      </c>
      <c r="M89" s="1718">
        <f t="shared" si="61"/>
        <v>16.099999999999998</v>
      </c>
      <c r="N89" s="1718">
        <f t="shared" si="61"/>
        <v>19.599999999999998</v>
      </c>
      <c r="O89" s="1718">
        <f t="shared" si="61"/>
        <v>19.599999999999998</v>
      </c>
      <c r="P89" s="1718">
        <f t="shared" si="61"/>
        <v>19.599999999999998</v>
      </c>
      <c r="Q89" s="1718">
        <f t="shared" si="61"/>
        <v>19.599999999999998</v>
      </c>
      <c r="R89" s="1718">
        <f t="shared" si="61"/>
        <v>35</v>
      </c>
      <c r="S89" s="1699"/>
      <c r="T89" s="1699"/>
      <c r="U89" s="1699"/>
      <c r="V89" s="1700"/>
      <c r="W89" s="1700"/>
      <c r="X89" s="1701">
        <v>4</v>
      </c>
      <c r="Y89" s="1702">
        <v>6</v>
      </c>
      <c r="Z89" s="1702">
        <v>7</v>
      </c>
      <c r="AA89" s="1703">
        <v>10.5</v>
      </c>
      <c r="AB89" s="1703">
        <v>11.9</v>
      </c>
      <c r="AC89" s="1703">
        <v>13.3</v>
      </c>
      <c r="AD89" s="1704">
        <v>15.4</v>
      </c>
      <c r="AE89" s="1704">
        <v>17.5</v>
      </c>
      <c r="AF89" s="1705">
        <v>18.2</v>
      </c>
      <c r="AG89" s="1705">
        <v>18.899999999999999</v>
      </c>
      <c r="AH89" s="1706">
        <v>20.3</v>
      </c>
      <c r="AI89" s="1706">
        <v>21.7</v>
      </c>
      <c r="AJ89" s="1706">
        <v>12.4</v>
      </c>
      <c r="AK89" s="1707">
        <v>9.3000000000000007</v>
      </c>
      <c r="AL89" s="1707">
        <v>21.7</v>
      </c>
      <c r="AM89" s="1708">
        <v>21.7</v>
      </c>
      <c r="AN89" s="1708">
        <v>21.7</v>
      </c>
      <c r="AO89" s="1708">
        <v>12.4</v>
      </c>
    </row>
    <row r="90" spans="1:49" ht="15.6">
      <c r="A90" s="131" t="s">
        <v>1817</v>
      </c>
      <c r="B90" s="142">
        <v>2.5</v>
      </c>
      <c r="C90" s="142">
        <v>2.5</v>
      </c>
      <c r="D90" s="142">
        <v>2.5</v>
      </c>
      <c r="E90" s="142">
        <v>2.5</v>
      </c>
      <c r="F90" s="142">
        <v>2.2999999999999998</v>
      </c>
      <c r="G90" s="142">
        <v>2.2999999999999998</v>
      </c>
      <c r="H90" s="142">
        <v>2.2999999999999998</v>
      </c>
      <c r="I90" s="142">
        <v>2.2999999999999998</v>
      </c>
      <c r="J90" s="142">
        <v>2.2999999999999998</v>
      </c>
      <c r="K90" s="142">
        <v>2.2999999999999998</v>
      </c>
      <c r="L90" s="142">
        <v>2.2999999999999998</v>
      </c>
      <c r="M90" s="142">
        <v>2.2999999999999998</v>
      </c>
      <c r="N90" s="142">
        <v>2.8</v>
      </c>
      <c r="O90" s="142">
        <v>2.8</v>
      </c>
      <c r="P90" s="142">
        <v>2.8</v>
      </c>
      <c r="Q90" s="142">
        <v>2.8</v>
      </c>
      <c r="R90" s="142">
        <v>5</v>
      </c>
      <c r="S90" s="1712">
        <f>+S89/S86</f>
        <v>0</v>
      </c>
      <c r="T90" s="1712">
        <f t="shared" ref="T90:V90" si="62">+T89/T86</f>
        <v>0</v>
      </c>
      <c r="U90" s="1712">
        <f t="shared" si="62"/>
        <v>0</v>
      </c>
      <c r="V90" s="1712">
        <f t="shared" si="62"/>
        <v>0</v>
      </c>
      <c r="W90" s="1712">
        <f>+W89/W86</f>
        <v>0</v>
      </c>
      <c r="X90" s="1712">
        <f>+X89/X86</f>
        <v>0.5714285714285714</v>
      </c>
      <c r="Y90" s="1712">
        <f t="shared" ref="Y90:AD90" si="63">+Y89/Y86</f>
        <v>0.8571428571428571</v>
      </c>
      <c r="Z90" s="1712">
        <f t="shared" si="63"/>
        <v>1</v>
      </c>
      <c r="AA90" s="1712">
        <f t="shared" si="63"/>
        <v>1.5</v>
      </c>
      <c r="AB90" s="1712">
        <f t="shared" si="63"/>
        <v>1.7</v>
      </c>
      <c r="AC90" s="1712">
        <f t="shared" si="63"/>
        <v>1.9000000000000001</v>
      </c>
      <c r="AD90" s="1712">
        <f t="shared" si="63"/>
        <v>2.2000000000000002</v>
      </c>
      <c r="AE90" s="1712">
        <f>+AE89/AE86</f>
        <v>2.5</v>
      </c>
      <c r="AF90" s="1712">
        <f t="shared" ref="AF90:AJ90" si="64">+AF89/AF86</f>
        <v>2.6</v>
      </c>
      <c r="AG90" s="1712">
        <f t="shared" si="64"/>
        <v>2.6999999999999997</v>
      </c>
      <c r="AH90" s="1712">
        <f t="shared" si="64"/>
        <v>2.9</v>
      </c>
      <c r="AI90" s="1712">
        <f t="shared" si="64"/>
        <v>3.1</v>
      </c>
      <c r="AJ90" s="1712">
        <f t="shared" si="64"/>
        <v>3.1</v>
      </c>
      <c r="AK90" s="1712">
        <f>+AK89/AK86</f>
        <v>3.1</v>
      </c>
      <c r="AL90" s="1712">
        <f t="shared" ref="AL90:AO90" si="65">+AL89/AL86</f>
        <v>3.1</v>
      </c>
      <c r="AM90" s="1712">
        <f t="shared" si="65"/>
        <v>3.1</v>
      </c>
      <c r="AN90" s="1712">
        <f t="shared" si="65"/>
        <v>3.1</v>
      </c>
      <c r="AO90" s="1712">
        <f t="shared" si="65"/>
        <v>3.1</v>
      </c>
    </row>
    <row r="91" spans="1:49" ht="15.6">
      <c r="A91" s="142"/>
      <c r="B91" s="1081">
        <f>'Summary Total Pigs'!AF73/17*4</f>
        <v>0</v>
      </c>
      <c r="C91" s="817">
        <f>+B91</f>
        <v>0</v>
      </c>
      <c r="D91" s="817">
        <f t="shared" ref="D91:R91" si="66">+C91</f>
        <v>0</v>
      </c>
      <c r="E91" s="817">
        <f t="shared" si="66"/>
        <v>0</v>
      </c>
      <c r="F91" s="817">
        <f t="shared" si="66"/>
        <v>0</v>
      </c>
      <c r="G91" s="817">
        <f t="shared" si="66"/>
        <v>0</v>
      </c>
      <c r="H91" s="817">
        <f t="shared" si="66"/>
        <v>0</v>
      </c>
      <c r="I91" s="817">
        <f t="shared" si="66"/>
        <v>0</v>
      </c>
      <c r="J91" s="817">
        <f t="shared" si="66"/>
        <v>0</v>
      </c>
      <c r="K91" s="817">
        <f t="shared" si="66"/>
        <v>0</v>
      </c>
      <c r="L91" s="817">
        <f t="shared" si="66"/>
        <v>0</v>
      </c>
      <c r="M91" s="817">
        <f t="shared" si="66"/>
        <v>0</v>
      </c>
      <c r="N91" s="817">
        <f t="shared" si="66"/>
        <v>0</v>
      </c>
      <c r="O91" s="817">
        <f t="shared" si="66"/>
        <v>0</v>
      </c>
      <c r="P91" s="817">
        <f t="shared" si="66"/>
        <v>0</v>
      </c>
      <c r="Q91" s="817">
        <f t="shared" si="66"/>
        <v>0</v>
      </c>
      <c r="R91" s="817">
        <f t="shared" si="66"/>
        <v>0</v>
      </c>
      <c r="S91" s="817">
        <f>+R91</f>
        <v>0</v>
      </c>
      <c r="T91" s="817">
        <f t="shared" ref="T91:V91" si="67">+S91</f>
        <v>0</v>
      </c>
      <c r="U91" s="817">
        <f t="shared" si="67"/>
        <v>0</v>
      </c>
      <c r="V91" s="817">
        <f t="shared" si="67"/>
        <v>0</v>
      </c>
      <c r="W91" s="1059">
        <f>SUM(W7:Z7)</f>
        <v>0</v>
      </c>
      <c r="X91" s="1059">
        <f>+X29/SUM(X29:AA29)</f>
        <v>0.19578947368421051</v>
      </c>
      <c r="Y91" s="1059">
        <f>+Y29/SUM(Y29:AB29)</f>
        <v>0.23063973063973064</v>
      </c>
      <c r="Z91" s="1059">
        <f>+Z29/SUM(Z29:AC29)</f>
        <v>0.20802377414561665</v>
      </c>
      <c r="AA91" s="1059">
        <f t="shared" ref="AA91:AJ91" si="68">+AA7/SUM(AA7:AD7)</f>
        <v>0.21501014198782961</v>
      </c>
      <c r="AB91" s="1059">
        <f t="shared" si="68"/>
        <v>0.4098360655737705</v>
      </c>
      <c r="AC91" s="1059">
        <f t="shared" si="68"/>
        <v>0.22850678733031674</v>
      </c>
      <c r="AD91" s="1059">
        <f t="shared" si="68"/>
        <v>0.21223709369024857</v>
      </c>
      <c r="AE91" s="1059">
        <f t="shared" si="68"/>
        <v>6.7340067340067339E-2</v>
      </c>
      <c r="AF91" s="1059">
        <f t="shared" si="68"/>
        <v>0.25991792065663477</v>
      </c>
      <c r="AG91" s="1059">
        <f t="shared" si="68"/>
        <v>0.23363286264441591</v>
      </c>
      <c r="AH91" s="1059">
        <f t="shared" si="68"/>
        <v>0.21040462427745665</v>
      </c>
      <c r="AI91" s="1059">
        <f t="shared" si="68"/>
        <v>0.19558011049723756</v>
      </c>
      <c r="AJ91" s="1059">
        <f t="shared" si="68"/>
        <v>0.25265392781316348</v>
      </c>
      <c r="AK91" s="1059">
        <f>+AK7/SUM(AK7:AQ7)</f>
        <v>0.17831004657351962</v>
      </c>
      <c r="AL91" s="1059">
        <f>+AK7/SUM(AK7:AQ7)</f>
        <v>0.17831004657351962</v>
      </c>
      <c r="AM91" s="1059">
        <f>+AL7/SUM(AK7:AQ7)</f>
        <v>0.14770459081836326</v>
      </c>
      <c r="AN91" s="1059">
        <f>+AM7/SUM(AK7:AQ7)</f>
        <v>0.14238190286094476</v>
      </c>
      <c r="AO91" s="1059">
        <f>AN7/SUM(AK7:AQ7)</f>
        <v>0.12840984697272123</v>
      </c>
    </row>
    <row r="92" spans="1:49" ht="15">
      <c r="A92" s="142"/>
      <c r="B92" s="1059">
        <f t="shared" ref="B92:R92" si="69">+B86*B90*B91</f>
        <v>0</v>
      </c>
      <c r="C92" s="1059">
        <f t="shared" si="69"/>
        <v>0</v>
      </c>
      <c r="D92" s="1059">
        <f t="shared" si="69"/>
        <v>0</v>
      </c>
      <c r="E92" s="1059">
        <f t="shared" si="69"/>
        <v>0</v>
      </c>
      <c r="F92" s="1059">
        <f t="shared" si="69"/>
        <v>0</v>
      </c>
      <c r="G92" s="1059">
        <f t="shared" si="69"/>
        <v>0</v>
      </c>
      <c r="H92" s="1059">
        <f t="shared" si="69"/>
        <v>0</v>
      </c>
      <c r="I92" s="1059">
        <f t="shared" si="69"/>
        <v>0</v>
      </c>
      <c r="J92" s="1059">
        <f t="shared" si="69"/>
        <v>0</v>
      </c>
      <c r="K92" s="1059">
        <f t="shared" si="69"/>
        <v>0</v>
      </c>
      <c r="L92" s="1059">
        <f t="shared" si="69"/>
        <v>0</v>
      </c>
      <c r="M92" s="1059">
        <f t="shared" si="69"/>
        <v>0</v>
      </c>
      <c r="N92" s="1059">
        <f t="shared" si="69"/>
        <v>0</v>
      </c>
      <c r="O92" s="1059">
        <f t="shared" si="69"/>
        <v>0</v>
      </c>
      <c r="P92" s="1059">
        <f t="shared" si="69"/>
        <v>0</v>
      </c>
      <c r="Q92" s="1059">
        <f t="shared" si="69"/>
        <v>0</v>
      </c>
      <c r="R92" s="1059">
        <f t="shared" si="69"/>
        <v>0</v>
      </c>
      <c r="S92" s="1059">
        <f>+S86*S90*S91</f>
        <v>0</v>
      </c>
      <c r="T92" s="1059">
        <f t="shared" ref="T92:X92" si="70">+T86*T90*T91</f>
        <v>0</v>
      </c>
      <c r="U92" s="1059">
        <f t="shared" si="70"/>
        <v>0</v>
      </c>
      <c r="V92" s="1059">
        <f t="shared" si="70"/>
        <v>0</v>
      </c>
      <c r="W92" s="1059">
        <f t="shared" si="70"/>
        <v>0</v>
      </c>
      <c r="X92" s="1059">
        <f t="shared" si="70"/>
        <v>0.78315789473684205</v>
      </c>
      <c r="Y92" s="1059">
        <f>+Y86*Y90*Y91</f>
        <v>1.3838383838383839</v>
      </c>
      <c r="Z92" s="1059">
        <f>+Z86*Z90*Z91</f>
        <v>1.4561664190193166</v>
      </c>
      <c r="AA92" s="1059">
        <f t="shared" ref="AA92:AC92" si="71">+AA86*AA90*AA91</f>
        <v>2.2576064908722109</v>
      </c>
      <c r="AB92" s="1059">
        <f t="shared" si="71"/>
        <v>4.8770491803278695</v>
      </c>
      <c r="AC92" s="1059">
        <f t="shared" si="71"/>
        <v>3.0391402714932125</v>
      </c>
      <c r="AD92" s="1059">
        <f>+AD86*AD90*AD91</f>
        <v>3.2684512428298285</v>
      </c>
      <c r="AE92" s="1059">
        <f>+AE86*AE90*AE91</f>
        <v>1.1784511784511784</v>
      </c>
      <c r="AF92" s="1059">
        <f t="shared" ref="AF92:AO92" si="72">+AF86*AF90*AF91</f>
        <v>4.7305061559507529</v>
      </c>
      <c r="AG92" s="1059">
        <f t="shared" si="72"/>
        <v>4.4156611039794607</v>
      </c>
      <c r="AH92" s="1059">
        <f t="shared" si="72"/>
        <v>4.2712138728323703</v>
      </c>
      <c r="AI92" s="1059">
        <f t="shared" si="72"/>
        <v>4.2440883977900548</v>
      </c>
      <c r="AJ92" s="1059">
        <f t="shared" si="72"/>
        <v>3.1329087048832274</v>
      </c>
      <c r="AK92" s="1059">
        <f t="shared" si="72"/>
        <v>1.6582834331337326</v>
      </c>
      <c r="AL92" s="1059">
        <f t="shared" si="72"/>
        <v>3.8693280106453756</v>
      </c>
      <c r="AM92" s="1059">
        <f t="shared" si="72"/>
        <v>3.2051896207584827</v>
      </c>
      <c r="AN92" s="1059">
        <f>+AN86*AN90*AN91</f>
        <v>3.0896872920825014</v>
      </c>
      <c r="AO92" s="1059">
        <f t="shared" si="72"/>
        <v>1.5922821024617433</v>
      </c>
    </row>
    <row r="93" spans="1:49" ht="15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818">
        <f>SUM(B92:R92)</f>
        <v>0</v>
      </c>
      <c r="S93" s="142"/>
      <c r="T93" s="142"/>
      <c r="U93" s="142"/>
      <c r="V93" s="142"/>
      <c r="W93" s="818">
        <f>SUM(S92:W92)</f>
        <v>0</v>
      </c>
      <c r="X93" s="818">
        <f>SUM(X92)</f>
        <v>0.78315789473684205</v>
      </c>
      <c r="Y93" s="142"/>
      <c r="Z93" s="818">
        <f>SUM(Y92:Z92)</f>
        <v>2.8400048028577007</v>
      </c>
      <c r="AA93" s="142"/>
      <c r="AB93" s="142"/>
      <c r="AC93" s="818">
        <f>SUM(AA92:AC92)</f>
        <v>10.173795942693292</v>
      </c>
      <c r="AD93" s="142"/>
      <c r="AE93" s="818">
        <f>SUM(AD92:AE92)</f>
        <v>4.4469024212810071</v>
      </c>
      <c r="AF93" s="142"/>
      <c r="AG93" s="818">
        <f>SUM(AF92:AG92)</f>
        <v>9.1461672599302126</v>
      </c>
      <c r="AH93" s="142"/>
      <c r="AI93" s="142"/>
      <c r="AJ93" s="818">
        <f>SUM(AH92:AJ92)</f>
        <v>11.648210975505652</v>
      </c>
      <c r="AK93" s="142"/>
      <c r="AL93" s="142"/>
      <c r="AM93" s="142"/>
      <c r="AN93" s="142"/>
      <c r="AO93" s="818">
        <f>SUM(AK92:AO92)</f>
        <v>13.414770459081835</v>
      </c>
    </row>
    <row r="94" spans="1:49" ht="15.6">
      <c r="A94" s="142"/>
      <c r="B94" s="1715">
        <f>+IFERROR(B92/$R$93,0)</f>
        <v>0</v>
      </c>
      <c r="C94" s="1715">
        <f t="shared" ref="C94:W94" si="73">+IFERROR(C92/$R$93,0)</f>
        <v>0</v>
      </c>
      <c r="D94" s="1715">
        <f t="shared" si="73"/>
        <v>0</v>
      </c>
      <c r="E94" s="1715">
        <f t="shared" si="73"/>
        <v>0</v>
      </c>
      <c r="F94" s="1715">
        <f t="shared" si="73"/>
        <v>0</v>
      </c>
      <c r="G94" s="1715">
        <f t="shared" si="73"/>
        <v>0</v>
      </c>
      <c r="H94" s="1715">
        <f t="shared" si="73"/>
        <v>0</v>
      </c>
      <c r="I94" s="1715">
        <f t="shared" si="73"/>
        <v>0</v>
      </c>
      <c r="J94" s="1715">
        <f t="shared" si="73"/>
        <v>0</v>
      </c>
      <c r="K94" s="1715">
        <f t="shared" si="73"/>
        <v>0</v>
      </c>
      <c r="L94" s="1715">
        <f t="shared" si="73"/>
        <v>0</v>
      </c>
      <c r="M94" s="1715">
        <f t="shared" si="73"/>
        <v>0</v>
      </c>
      <c r="N94" s="1715">
        <f t="shared" si="73"/>
        <v>0</v>
      </c>
      <c r="O94" s="1715">
        <f t="shared" si="73"/>
        <v>0</v>
      </c>
      <c r="P94" s="1715">
        <f t="shared" si="73"/>
        <v>0</v>
      </c>
      <c r="Q94" s="1715">
        <f t="shared" si="73"/>
        <v>0</v>
      </c>
      <c r="R94" s="1715">
        <f t="shared" si="73"/>
        <v>0</v>
      </c>
      <c r="S94" s="1715">
        <f t="shared" si="73"/>
        <v>0</v>
      </c>
      <c r="T94" s="1715">
        <f t="shared" si="73"/>
        <v>0</v>
      </c>
      <c r="U94" s="1715">
        <f t="shared" si="73"/>
        <v>0</v>
      </c>
      <c r="V94" s="1715">
        <f t="shared" si="73"/>
        <v>0</v>
      </c>
      <c r="W94" s="1715">
        <f t="shared" si="73"/>
        <v>0</v>
      </c>
      <c r="X94" s="1715">
        <f>+IFERROR(X92/$X$93,0)</f>
        <v>1</v>
      </c>
      <c r="Y94" s="1715">
        <f>+Y92/Z93</f>
        <v>0.48726621252397984</v>
      </c>
      <c r="Z94" s="1715">
        <f>+Z92/Z93</f>
        <v>0.51273378747602005</v>
      </c>
      <c r="AA94" s="1715">
        <f>+AA92/AC93</f>
        <v>0.22190404678733494</v>
      </c>
      <c r="AB94" s="1715">
        <f>+AB92/AC93</f>
        <v>0.47937359937226892</v>
      </c>
      <c r="AC94" s="1715">
        <f>+AC92/AC93</f>
        <v>0.29872235384039614</v>
      </c>
      <c r="AD94" s="1715">
        <f>+AD92/AE93</f>
        <v>0.73499504445800157</v>
      </c>
      <c r="AE94" s="1715">
        <f>+AE92/AE93</f>
        <v>0.26500495554199843</v>
      </c>
      <c r="AF94" s="1715">
        <f>+AF92/AG93</f>
        <v>0.51721185732906083</v>
      </c>
      <c r="AG94" s="1715">
        <f>+AG92/AG93</f>
        <v>0.48278814267093922</v>
      </c>
      <c r="AH94" s="1715">
        <f>+AH92/AJ93</f>
        <v>0.3666841098443408</v>
      </c>
      <c r="AI94" s="1715">
        <f>+AI92/AJ93</f>
        <v>0.36435538527888123</v>
      </c>
      <c r="AJ94" s="1715">
        <f>+AJ92/AJ93</f>
        <v>0.26896050487677803</v>
      </c>
      <c r="AK94" s="1715">
        <f>+AK92/AO93</f>
        <v>0.12361623616236164</v>
      </c>
      <c r="AL94" s="1715">
        <f>+AL92/AO93</f>
        <v>0.28843788437884382</v>
      </c>
      <c r="AM94" s="1715">
        <f>+AM92/AO93</f>
        <v>0.238929889298893</v>
      </c>
      <c r="AN94" s="1715">
        <f>+AN92/AO93</f>
        <v>0.230319803198032</v>
      </c>
      <c r="AO94" s="1715">
        <f>+AO92/AO93</f>
        <v>0.11869618696186965</v>
      </c>
    </row>
    <row r="95" spans="1:49" ht="15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</row>
  </sheetData>
  <pageMargins left="0.7" right="0.7" top="0.75" bottom="0.75" header="0.3" footer="0.3"/>
  <pageSetup scale="10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4">
    <tabColor theme="6" tint="-0.249977111117893"/>
  </sheetPr>
  <dimension ref="A1:AW88"/>
  <sheetViews>
    <sheetView view="pageBreakPreview" zoomScale="60" zoomScaleNormal="60" workbookViewId="0">
      <pane xSplit="1" ySplit="4" topLeftCell="AD32" activePane="bottomRight" state="frozen"/>
      <selection pane="bottomRight" activeCell="AL36" sqref="AL36"/>
      <selection pane="bottomLeft" activeCell="A5" sqref="A5"/>
      <selection pane="topRight" activeCell="B1" sqref="B1"/>
    </sheetView>
  </sheetViews>
  <sheetFormatPr defaultRowHeight="13.15"/>
  <cols>
    <col min="1" max="1" width="36.28515625" bestFit="1" customWidth="1"/>
    <col min="2" max="2" width="22.28515625" bestFit="1" customWidth="1"/>
    <col min="3" max="3" width="18.42578125" bestFit="1" customWidth="1"/>
    <col min="4" max="4" width="21.85546875" bestFit="1" customWidth="1"/>
    <col min="5" max="5" width="18.42578125" bestFit="1" customWidth="1"/>
    <col min="6" max="6" width="19" bestFit="1" customWidth="1"/>
    <col min="7" max="13" width="19.42578125" bestFit="1" customWidth="1"/>
    <col min="14" max="14" width="18.42578125" bestFit="1" customWidth="1"/>
    <col min="15" max="17" width="19.42578125" bestFit="1" customWidth="1"/>
    <col min="18" max="18" width="18.42578125" bestFit="1" customWidth="1"/>
    <col min="19" max="19" width="21.28515625" bestFit="1" customWidth="1"/>
    <col min="20" max="20" width="16.85546875" bestFit="1" customWidth="1"/>
    <col min="21" max="21" width="17.28515625" bestFit="1" customWidth="1"/>
    <col min="22" max="22" width="18.28515625" bestFit="1" customWidth="1"/>
    <col min="23" max="25" width="22.28515625" bestFit="1" customWidth="1"/>
    <col min="26" max="26" width="21.28515625" customWidth="1"/>
    <col min="27" max="28" width="21.85546875" bestFit="1" customWidth="1"/>
    <col min="29" max="29" width="23" bestFit="1" customWidth="1"/>
    <col min="30" max="30" width="22.28515625" bestFit="1" customWidth="1"/>
    <col min="31" max="32" width="21.85546875" bestFit="1" customWidth="1"/>
    <col min="33" max="33" width="22.28515625" bestFit="1" customWidth="1"/>
    <col min="34" max="34" width="21.85546875" bestFit="1" customWidth="1"/>
    <col min="35" max="35" width="22.28515625" bestFit="1" customWidth="1"/>
    <col min="36" max="36" width="23.42578125" bestFit="1" customWidth="1"/>
    <col min="37" max="37" width="22.28515625" bestFit="1" customWidth="1"/>
    <col min="38" max="38" width="23.42578125" bestFit="1" customWidth="1"/>
    <col min="39" max="39" width="22.28515625" bestFit="1" customWidth="1"/>
    <col min="40" max="40" width="22.5703125" bestFit="1" customWidth="1"/>
    <col min="41" max="43" width="21.85546875" bestFit="1" customWidth="1"/>
    <col min="44" max="45" width="23" bestFit="1" customWidth="1"/>
    <col min="46" max="46" width="23" customWidth="1"/>
    <col min="47" max="47" width="20.5703125" bestFit="1" customWidth="1"/>
    <col min="48" max="48" width="17" bestFit="1" customWidth="1"/>
    <col min="49" max="49" width="18.42578125" bestFit="1" customWidth="1"/>
  </cols>
  <sheetData>
    <row r="1" spans="1:49" ht="15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057"/>
      <c r="AV1" s="142"/>
      <c r="AW1" s="142"/>
    </row>
    <row r="2" spans="1:49" ht="15.6">
      <c r="A2" s="1066" t="s">
        <v>1772</v>
      </c>
      <c r="B2" s="1079">
        <f>[1]Grasmere!B2</f>
        <v>1</v>
      </c>
      <c r="C2" s="1079">
        <f>[1]Grasmere!C2</f>
        <v>2</v>
      </c>
      <c r="D2" s="1079">
        <f>[1]Grasmere!D2</f>
        <v>3</v>
      </c>
      <c r="E2" s="1079">
        <f>[1]Grasmere!E2</f>
        <v>4</v>
      </c>
      <c r="F2" s="1079">
        <f>[1]Grasmere!F2</f>
        <v>5</v>
      </c>
      <c r="G2" s="1079">
        <f>[1]Grasmere!G2</f>
        <v>6</v>
      </c>
      <c r="H2" s="1079">
        <f>[1]Grasmere!H2</f>
        <v>7</v>
      </c>
      <c r="I2" s="1079">
        <f>[1]Grasmere!I2</f>
        <v>8</v>
      </c>
      <c r="J2" s="1079">
        <f>[1]Grasmere!J2</f>
        <v>9</v>
      </c>
      <c r="K2" s="1079">
        <f>[1]Grasmere!K2</f>
        <v>10</v>
      </c>
      <c r="L2" s="1079">
        <f>[1]Grasmere!L2</f>
        <v>11</v>
      </c>
      <c r="M2" s="1079">
        <f>[1]Grasmere!M2</f>
        <v>12</v>
      </c>
      <c r="N2" s="1079">
        <f>[1]Grasmere!N2</f>
        <v>13</v>
      </c>
      <c r="O2" s="1079">
        <f>[1]Grasmere!O2</f>
        <v>14</v>
      </c>
      <c r="P2" s="1079">
        <f>[1]Grasmere!P2</f>
        <v>15</v>
      </c>
      <c r="Q2" s="1079">
        <f>[1]Grasmere!Q2</f>
        <v>16</v>
      </c>
      <c r="R2" s="1079">
        <f>[1]Grasmere!R2</f>
        <v>17</v>
      </c>
      <c r="S2" s="1079">
        <f>[1]Grasmere!S2</f>
        <v>18</v>
      </c>
      <c r="T2" s="1079">
        <f>[1]Grasmere!T2</f>
        <v>19</v>
      </c>
      <c r="U2" s="1079">
        <f>[1]Grasmere!U2</f>
        <v>20</v>
      </c>
      <c r="V2" s="1079">
        <f>[1]Grasmere!V2</f>
        <v>21</v>
      </c>
      <c r="W2" s="1079">
        <f>[1]Grasmere!W2</f>
        <v>22</v>
      </c>
      <c r="X2" s="1079">
        <f>[1]Grasmere!X2</f>
        <v>23</v>
      </c>
      <c r="Y2" s="1079">
        <f>[1]Grasmere!Y2</f>
        <v>24</v>
      </c>
      <c r="Z2" s="1079">
        <f>[1]Grasmere!Z2</f>
        <v>25</v>
      </c>
      <c r="AA2" s="1079">
        <f>[1]Grasmere!AA2</f>
        <v>26</v>
      </c>
      <c r="AB2" s="1079">
        <f>[1]Grasmere!AB2</f>
        <v>27</v>
      </c>
      <c r="AC2" s="1079">
        <f>[1]Grasmere!AC2</f>
        <v>28</v>
      </c>
      <c r="AD2" s="1079">
        <f>[1]Grasmere!AD2</f>
        <v>29</v>
      </c>
      <c r="AE2" s="1079">
        <f>[1]Grasmere!AE2</f>
        <v>30</v>
      </c>
      <c r="AF2" s="1079">
        <f>[1]Grasmere!AF2</f>
        <v>31</v>
      </c>
      <c r="AG2" s="1079">
        <f>[1]Grasmere!AG2</f>
        <v>32</v>
      </c>
      <c r="AH2" s="1079">
        <f>[1]Grasmere!AH2</f>
        <v>33</v>
      </c>
      <c r="AI2" s="1079">
        <f>[1]Grasmere!AI2</f>
        <v>34</v>
      </c>
      <c r="AJ2" s="1079">
        <f>[1]Grasmere!AJ2</f>
        <v>35</v>
      </c>
      <c r="AK2" s="1079">
        <f>[1]Grasmere!AK2</f>
        <v>36</v>
      </c>
      <c r="AL2" s="1079">
        <f>[1]Grasmere!AL2</f>
        <v>37</v>
      </c>
      <c r="AM2" s="1079">
        <f>[1]Grasmere!AM2</f>
        <v>38</v>
      </c>
      <c r="AN2" s="1079">
        <f>[1]Grasmere!AN2</f>
        <v>39</v>
      </c>
      <c r="AO2" s="1079">
        <v>40</v>
      </c>
      <c r="AP2" s="1079"/>
      <c r="AQ2" s="1079"/>
      <c r="AR2" s="1079"/>
      <c r="AS2" s="1079"/>
      <c r="AT2" s="1079"/>
      <c r="AU2" s="1057"/>
      <c r="AV2" s="142"/>
      <c r="AW2" s="142"/>
    </row>
    <row r="3" spans="1:49" ht="15.6">
      <c r="A3" s="142"/>
      <c r="B3" s="1079" t="s">
        <v>1773</v>
      </c>
      <c r="C3" s="1079" t="s">
        <v>1773</v>
      </c>
      <c r="D3" s="1079" t="s">
        <v>1773</v>
      </c>
      <c r="E3" s="1079" t="s">
        <v>1773</v>
      </c>
      <c r="F3" s="1079" t="s">
        <v>1773</v>
      </c>
      <c r="G3" s="1079" t="s">
        <v>1773</v>
      </c>
      <c r="H3" s="1079" t="s">
        <v>1773</v>
      </c>
      <c r="I3" s="1079" t="s">
        <v>1773</v>
      </c>
      <c r="J3" s="1079" t="s">
        <v>1773</v>
      </c>
      <c r="K3" s="1079" t="s">
        <v>1773</v>
      </c>
      <c r="L3" s="1079" t="s">
        <v>1773</v>
      </c>
      <c r="M3" s="1079" t="s">
        <v>1773</v>
      </c>
      <c r="N3" s="1079" t="s">
        <v>1773</v>
      </c>
      <c r="O3" s="1079" t="s">
        <v>1773</v>
      </c>
      <c r="P3" s="1079" t="s">
        <v>1773</v>
      </c>
      <c r="Q3" s="1079" t="s">
        <v>1773</v>
      </c>
      <c r="R3" s="1079" t="s">
        <v>1774</v>
      </c>
      <c r="S3" s="1079" t="s">
        <v>1775</v>
      </c>
      <c r="T3" s="1079" t="s">
        <v>1775</v>
      </c>
      <c r="U3" s="1079" t="s">
        <v>1775</v>
      </c>
      <c r="V3" s="1079" t="s">
        <v>1776</v>
      </c>
      <c r="W3" s="1079" t="s">
        <v>1776</v>
      </c>
      <c r="X3" s="1079" t="s">
        <v>1777</v>
      </c>
      <c r="Y3" s="1079" t="s">
        <v>1777</v>
      </c>
      <c r="Z3" s="1079" t="s">
        <v>108</v>
      </c>
      <c r="AA3" s="1079" t="s">
        <v>108</v>
      </c>
      <c r="AB3" s="1079" t="s">
        <v>108</v>
      </c>
      <c r="AC3" s="1079" t="s">
        <v>108</v>
      </c>
      <c r="AD3" s="1079" t="s">
        <v>1778</v>
      </c>
      <c r="AE3" s="1079" t="s">
        <v>1778</v>
      </c>
      <c r="AF3" s="1079" t="s">
        <v>1779</v>
      </c>
      <c r="AG3" s="1079" t="s">
        <v>1779</v>
      </c>
      <c r="AH3" s="1079" t="s">
        <v>1780</v>
      </c>
      <c r="AI3" s="1079" t="s">
        <v>1780</v>
      </c>
      <c r="AJ3" s="1079" t="s">
        <v>1781</v>
      </c>
      <c r="AK3" s="1079" t="s">
        <v>1781</v>
      </c>
      <c r="AL3" s="1079" t="s">
        <v>1781</v>
      </c>
      <c r="AM3" s="1079" t="s">
        <v>1781</v>
      </c>
      <c r="AN3" s="1079" t="s">
        <v>1781</v>
      </c>
      <c r="AO3" s="1079" t="s">
        <v>1781</v>
      </c>
      <c r="AP3" s="1079"/>
      <c r="AQ3" s="1079"/>
      <c r="AR3" s="1079"/>
      <c r="AS3" s="1079"/>
      <c r="AT3" s="1079"/>
      <c r="AU3" s="1057"/>
      <c r="AV3" s="142"/>
      <c r="AW3" s="142"/>
    </row>
    <row r="4" spans="1:49" ht="15.6">
      <c r="A4" s="1066" t="s">
        <v>1782</v>
      </c>
      <c r="B4" s="1079">
        <f>[1]Grasmere!B4</f>
        <v>23</v>
      </c>
      <c r="C4" s="1079">
        <f>[1]Grasmere!C4</f>
        <v>24</v>
      </c>
      <c r="D4" s="1079">
        <f>[1]Grasmere!D4</f>
        <v>25</v>
      </c>
      <c r="E4" s="1079">
        <f>[1]Grasmere!E4</f>
        <v>26</v>
      </c>
      <c r="F4" s="1079">
        <f>[1]Grasmere!F4</f>
        <v>27</v>
      </c>
      <c r="G4" s="1079">
        <f>[1]Grasmere!G4</f>
        <v>28</v>
      </c>
      <c r="H4" s="1079">
        <f>[1]Grasmere!H4</f>
        <v>29</v>
      </c>
      <c r="I4" s="1079">
        <f>[1]Grasmere!I4</f>
        <v>30</v>
      </c>
      <c r="J4" s="1079">
        <f>[1]Grasmere!J4</f>
        <v>31</v>
      </c>
      <c r="K4" s="1079">
        <f>[1]Grasmere!K4</f>
        <v>32</v>
      </c>
      <c r="L4" s="1079">
        <f>[1]Grasmere!L4</f>
        <v>33</v>
      </c>
      <c r="M4" s="1079">
        <f>[1]Grasmere!M4</f>
        <v>34</v>
      </c>
      <c r="N4" s="1079">
        <f>[1]Grasmere!N4</f>
        <v>35</v>
      </c>
      <c r="O4" s="1079">
        <f>[1]Grasmere!O4</f>
        <v>36</v>
      </c>
      <c r="P4" s="1079">
        <f>[1]Grasmere!P4</f>
        <v>37</v>
      </c>
      <c r="Q4" s="1079">
        <f>[1]Grasmere!Q4</f>
        <v>38</v>
      </c>
      <c r="R4" s="1079">
        <f>[1]Grasmere!R4</f>
        <v>39</v>
      </c>
      <c r="S4" s="1067">
        <f>[1]Grasmere!S4</f>
        <v>40</v>
      </c>
      <c r="T4" s="1079">
        <f>[1]Grasmere!T4</f>
        <v>41</v>
      </c>
      <c r="U4" s="1079">
        <f>[1]Grasmere!U4</f>
        <v>42</v>
      </c>
      <c r="V4" s="1079">
        <f>[1]Grasmere!V4</f>
        <v>43</v>
      </c>
      <c r="W4" s="1079">
        <f>[1]Grasmere!W4</f>
        <v>44</v>
      </c>
      <c r="X4" s="1079">
        <f>[1]Grasmere!X4</f>
        <v>45</v>
      </c>
      <c r="Y4" s="1079">
        <f>[1]Grasmere!Y4</f>
        <v>46</v>
      </c>
      <c r="Z4" s="1079">
        <f>[1]Grasmere!Z4</f>
        <v>47</v>
      </c>
      <c r="AA4" s="1079">
        <f>[1]Grasmere!AA4</f>
        <v>48</v>
      </c>
      <c r="AB4" s="1079">
        <f>[1]Grasmere!AB4</f>
        <v>49</v>
      </c>
      <c r="AC4" s="1079">
        <f>[1]Grasmere!AC4</f>
        <v>50</v>
      </c>
      <c r="AD4" s="1079">
        <f>[1]Grasmere!AD4</f>
        <v>51</v>
      </c>
      <c r="AE4" s="1079">
        <f>[1]Grasmere!AE4</f>
        <v>52</v>
      </c>
      <c r="AF4" s="1079">
        <f>[1]Grasmere!AF4</f>
        <v>1</v>
      </c>
      <c r="AG4" s="1079">
        <f>[1]Grasmere!AG4</f>
        <v>2</v>
      </c>
      <c r="AH4" s="1079">
        <f>[1]Grasmere!AH4</f>
        <v>3</v>
      </c>
      <c r="AI4" s="1079">
        <f>[1]Grasmere!AI4</f>
        <v>4</v>
      </c>
      <c r="AJ4" s="1079">
        <f>[1]Grasmere!AJ4</f>
        <v>5</v>
      </c>
      <c r="AK4" s="1079">
        <f>[1]Grasmere!AK4</f>
        <v>6</v>
      </c>
      <c r="AL4" s="1079">
        <f>[1]Grasmere!AL4</f>
        <v>7</v>
      </c>
      <c r="AM4" s="1079">
        <f>[1]Grasmere!AM4</f>
        <v>8</v>
      </c>
      <c r="AN4" s="1079">
        <f>[1]Grasmere!AN4</f>
        <v>9</v>
      </c>
      <c r="AO4" s="1079">
        <v>10</v>
      </c>
      <c r="AP4" s="1079"/>
      <c r="AQ4" s="1079"/>
      <c r="AR4" s="1079"/>
      <c r="AS4" s="1079"/>
      <c r="AT4" s="1079"/>
      <c r="AU4" s="1068"/>
      <c r="AV4" s="1066"/>
      <c r="AW4" s="1066"/>
    </row>
    <row r="5" spans="1:49" ht="31.15">
      <c r="A5" s="1066" t="s">
        <v>1783</v>
      </c>
      <c r="B5" s="1079">
        <f>[1]Grasmere!B5</f>
        <v>-16</v>
      </c>
      <c r="C5" s="1079">
        <f>[1]Grasmere!C5</f>
        <v>-15</v>
      </c>
      <c r="D5" s="1079">
        <f>[1]Grasmere!D5</f>
        <v>-14</v>
      </c>
      <c r="E5" s="1079">
        <f>[1]Grasmere!E5</f>
        <v>-13</v>
      </c>
      <c r="F5" s="1079">
        <f>[1]Grasmere!F5</f>
        <v>-12</v>
      </c>
      <c r="G5" s="1079">
        <f>[1]Grasmere!G5</f>
        <v>-11</v>
      </c>
      <c r="H5" s="1079">
        <f>[1]Grasmere!H5</f>
        <v>-10</v>
      </c>
      <c r="I5" s="1079">
        <f>[1]Grasmere!I5</f>
        <v>-9</v>
      </c>
      <c r="J5" s="1079">
        <f>[1]Grasmere!J5</f>
        <v>-8</v>
      </c>
      <c r="K5" s="1079">
        <f>[1]Grasmere!K5</f>
        <v>-7</v>
      </c>
      <c r="L5" s="1079">
        <f>[1]Grasmere!L5</f>
        <v>-6</v>
      </c>
      <c r="M5" s="1079">
        <f>[1]Grasmere!M5</f>
        <v>-5</v>
      </c>
      <c r="N5" s="1079">
        <f>[1]Grasmere!N5</f>
        <v>-4</v>
      </c>
      <c r="O5" s="1079">
        <f>[1]Grasmere!O5</f>
        <v>-3</v>
      </c>
      <c r="P5" s="1079">
        <f>[1]Grasmere!P5</f>
        <v>-2</v>
      </c>
      <c r="Q5" s="1079">
        <f>[1]Grasmere!Q5</f>
        <v>-1</v>
      </c>
      <c r="R5" s="1079">
        <f>[1]Grasmere!R5</f>
        <v>0</v>
      </c>
      <c r="S5" s="1079">
        <f>[1]Grasmere!S5</f>
        <v>1</v>
      </c>
      <c r="T5" s="1079">
        <f>[1]Grasmere!T5</f>
        <v>2</v>
      </c>
      <c r="U5" s="1079">
        <f>[1]Grasmere!U5</f>
        <v>3</v>
      </c>
      <c r="V5" s="1079">
        <f>[1]Grasmere!V5</f>
        <v>4</v>
      </c>
      <c r="W5" s="1079">
        <f>[1]Grasmere!W5</f>
        <v>5</v>
      </c>
      <c r="X5" s="1079">
        <f>[1]Grasmere!X5</f>
        <v>6</v>
      </c>
      <c r="Y5" s="1079">
        <f>[1]Grasmere!Y5</f>
        <v>7</v>
      </c>
      <c r="Z5" s="1079">
        <f>[1]Grasmere!Z5</f>
        <v>8</v>
      </c>
      <c r="AA5" s="1079">
        <f>[1]Grasmere!AA5</f>
        <v>9</v>
      </c>
      <c r="AB5" s="1079">
        <f>[1]Grasmere!AB5</f>
        <v>10</v>
      </c>
      <c r="AC5" s="1079">
        <f>[1]Grasmere!AC5</f>
        <v>11</v>
      </c>
      <c r="AD5" s="1079">
        <f>[1]Grasmere!AD5</f>
        <v>12</v>
      </c>
      <c r="AE5" s="1079">
        <f>[1]Grasmere!AE5</f>
        <v>13</v>
      </c>
      <c r="AF5" s="1079">
        <f>[1]Grasmere!AF5</f>
        <v>14</v>
      </c>
      <c r="AG5" s="1079">
        <f>[1]Grasmere!AG5</f>
        <v>15</v>
      </c>
      <c r="AH5" s="1079">
        <f>[1]Grasmere!AH5</f>
        <v>16</v>
      </c>
      <c r="AI5" s="1079">
        <f>[1]Grasmere!AI5</f>
        <v>17</v>
      </c>
      <c r="AJ5" s="1079">
        <f>[1]Grasmere!AJ5</f>
        <v>18</v>
      </c>
      <c r="AK5" s="1079">
        <f>[1]Grasmere!AK5</f>
        <v>19</v>
      </c>
      <c r="AL5" s="1079">
        <f>[1]Grasmere!AL5</f>
        <v>20</v>
      </c>
      <c r="AM5" s="1079">
        <f>[1]Grasmere!AM5</f>
        <v>21</v>
      </c>
      <c r="AN5" s="1079">
        <f>[1]Grasmere!AN5</f>
        <v>22</v>
      </c>
      <c r="AO5" s="1079">
        <v>23</v>
      </c>
      <c r="AP5" s="1079" t="str">
        <f>[1]Grasmere!AP5</f>
        <v>Sold</v>
      </c>
      <c r="AQ5" s="1079" t="str">
        <f>[1]Grasmere!AQ5</f>
        <v>Sold</v>
      </c>
      <c r="AR5" s="1079" t="str">
        <f>[1]Grasmere!AR5</f>
        <v>Sold</v>
      </c>
      <c r="AS5" s="1079" t="str">
        <f>[1]Grasmere!AS5</f>
        <v>Sold</v>
      </c>
      <c r="AT5" s="1079" t="s">
        <v>1784</v>
      </c>
      <c r="AU5" s="1069" t="s">
        <v>71</v>
      </c>
      <c r="AV5" s="1601" t="s">
        <v>1827</v>
      </c>
      <c r="AW5" s="142"/>
    </row>
    <row r="6" spans="1:49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O6" s="142"/>
      <c r="AP6" s="142"/>
      <c r="AQ6" s="142"/>
      <c r="AR6" s="142"/>
      <c r="AS6" s="142"/>
      <c r="AT6" s="142"/>
      <c r="AU6" s="1057"/>
      <c r="AV6" s="142"/>
      <c r="AW6" s="142"/>
    </row>
    <row r="7" spans="1:49" ht="15.6">
      <c r="A7" s="1066" t="str">
        <f>+'Grasmere Pig Cost'!A7</f>
        <v>Opening Stock (Pigs)</v>
      </c>
      <c r="B7" s="807"/>
      <c r="C7" s="807"/>
      <c r="D7" s="807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  <c r="U7" s="807"/>
      <c r="V7" s="807"/>
      <c r="W7" s="807"/>
      <c r="X7" s="807">
        <f>+'[77]Lionhead Ext. Pig Cost'!S26</f>
        <v>0</v>
      </c>
      <c r="Y7" s="807">
        <f>+'[77]Lionhead Ext. Pig Cost'!T26</f>
        <v>0</v>
      </c>
      <c r="Z7" s="807">
        <f>+'[77]Lionhead Ext. Pig Cost'!U26</f>
        <v>0</v>
      </c>
      <c r="AA7" s="807">
        <f>+'[77]Lionhead Ext. Pig Cost'!V26</f>
        <v>0</v>
      </c>
      <c r="AB7" s="807">
        <f>+'[77]Lionhead Ext. Pig Cost'!W26</f>
        <v>0</v>
      </c>
      <c r="AC7" s="807">
        <f>+'[77]Lionhead Ext. Pig Cost'!X26</f>
        <v>71</v>
      </c>
      <c r="AD7" s="807">
        <f>+'[77]Lionhead Ext. Pig Cost'!Y26</f>
        <v>170</v>
      </c>
      <c r="AE7" s="807">
        <f>+'[77]Lionhead Ext. Pig Cost'!Z26</f>
        <v>300</v>
      </c>
      <c r="AF7" s="807">
        <f>+'[77]Lionhead Ext. Pig Cost'!AA26</f>
        <v>140</v>
      </c>
      <c r="AG7" s="807">
        <f>+'[77]Lionhead Ext. Pig Cost'!AB26</f>
        <v>268</v>
      </c>
      <c r="AH7" s="807">
        <f>+'[77]Lionhead Ext. Pig Cost'!AC26</f>
        <v>317</v>
      </c>
      <c r="AI7" s="807">
        <f>+'[77]Lionhead Ext. Pig Cost'!AD26</f>
        <v>315</v>
      </c>
      <c r="AJ7" s="807">
        <f>+'[77]Lionhead Ext. Pig Cost'!AE26</f>
        <v>131</v>
      </c>
      <c r="AK7" s="807">
        <f>+'[77]Lionhead Ext. Pig Cost'!AF26</f>
        <v>191</v>
      </c>
      <c r="AL7" s="807">
        <f>+'[77]Lionhead Ext. Pig Cost'!AG26</f>
        <v>214</v>
      </c>
      <c r="AM7" s="807">
        <f>+'[77]Lionhead Ext. Pig Cost'!AH26</f>
        <v>70</v>
      </c>
      <c r="AN7" s="807">
        <f>+'[77]Lionhead Ext. Pig Cost'!AI26</f>
        <v>0</v>
      </c>
      <c r="AO7" s="807">
        <f>+'[77]Lionhead Ext. Pig Cost'!AJ26</f>
        <v>138</v>
      </c>
      <c r="AP7" s="807">
        <f>+'[77]Lionhead Ext. Pig Cost'!AK26</f>
        <v>50</v>
      </c>
      <c r="AQ7" s="807">
        <f>+'[77]Lionhead Ext. Pig Cost'!AL26</f>
        <v>87</v>
      </c>
      <c r="AR7" s="807">
        <f>+'[77]Lionhead Ext. Pig Cost'!AM26</f>
        <v>0</v>
      </c>
      <c r="AS7" s="807">
        <f>+'[77]Lionhead Ext. Pig Cost'!AN26</f>
        <v>0</v>
      </c>
      <c r="AT7" s="807">
        <f>+'[77]Lionhead Ext. Pig Cost'!AO26</f>
        <v>0</v>
      </c>
      <c r="AU7" s="807">
        <f>SUM(W7:AS7)</f>
        <v>2462</v>
      </c>
      <c r="AV7" s="818">
        <f>+'[77]Lionhead Ext. Pig Cost'!$AU$26</f>
        <v>2462</v>
      </c>
      <c r="AW7" s="818">
        <f>AU7-AV7</f>
        <v>0</v>
      </c>
    </row>
    <row r="8" spans="1:49" ht="15.6">
      <c r="A8" s="1066" t="str">
        <f>+'Grasmere Pig Cost'!A8</f>
        <v>Birth</v>
      </c>
      <c r="B8" s="1057">
        <v>0</v>
      </c>
      <c r="C8" s="1057">
        <v>0</v>
      </c>
      <c r="D8" s="1057">
        <v>0</v>
      </c>
      <c r="E8" s="1057">
        <v>0</v>
      </c>
      <c r="F8" s="1057">
        <v>0</v>
      </c>
      <c r="G8" s="1057">
        <v>0</v>
      </c>
      <c r="H8" s="1057">
        <v>0</v>
      </c>
      <c r="I8" s="1057">
        <v>0</v>
      </c>
      <c r="J8" s="1057">
        <v>0</v>
      </c>
      <c r="K8" s="1057">
        <v>0</v>
      </c>
      <c r="L8" s="1057">
        <v>0</v>
      </c>
      <c r="M8" s="1057">
        <v>0</v>
      </c>
      <c r="N8" s="1057">
        <v>0</v>
      </c>
      <c r="O8" s="1057">
        <v>0</v>
      </c>
      <c r="P8" s="1057">
        <v>0</v>
      </c>
      <c r="Q8" s="1057">
        <v>0</v>
      </c>
      <c r="R8" s="1057">
        <v>0</v>
      </c>
      <c r="S8" s="1057"/>
      <c r="T8" s="1057"/>
      <c r="U8" s="1057"/>
      <c r="V8" s="1057"/>
      <c r="W8" s="1057"/>
      <c r="X8" s="1057"/>
      <c r="Y8" s="1057"/>
      <c r="Z8" s="1057"/>
      <c r="AA8" s="1057"/>
      <c r="AB8" s="1057"/>
      <c r="AC8" s="1057"/>
      <c r="AD8" s="1057"/>
      <c r="AE8" s="1057"/>
      <c r="AF8" s="1057"/>
      <c r="AG8" s="1057"/>
      <c r="AH8" s="1057"/>
      <c r="AI8" s="1057"/>
      <c r="AJ8" s="1057"/>
      <c r="AK8" s="1057"/>
      <c r="AL8" s="1057"/>
      <c r="AM8" s="1057"/>
      <c r="AN8" s="1057"/>
      <c r="AO8" s="1057"/>
      <c r="AP8" s="1057"/>
      <c r="AQ8" s="1057"/>
      <c r="AR8" s="1057"/>
      <c r="AS8" s="1057"/>
      <c r="AT8" s="1057"/>
      <c r="AU8" s="807">
        <f>SUM(W8:AT8)</f>
        <v>0</v>
      </c>
      <c r="AV8" s="818">
        <f>+'Summary Total Pigs'!J69</f>
        <v>0</v>
      </c>
      <c r="AW8" s="1170">
        <f t="shared" ref="AW8:AW13" si="0">AU8-AV8</f>
        <v>0</v>
      </c>
    </row>
    <row r="9" spans="1:49" ht="15.6">
      <c r="A9" s="1066" t="str">
        <f>+'Grasmere Pig Cost'!A9</f>
        <v>Transfer In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1057"/>
      <c r="T9" s="1057"/>
      <c r="U9" s="1057"/>
      <c r="V9" s="1057"/>
      <c r="W9" s="1057"/>
      <c r="X9" s="1057"/>
      <c r="Y9" s="1057"/>
      <c r="Z9" s="1057"/>
      <c r="AA9" s="1057"/>
      <c r="AB9" s="1057"/>
      <c r="AC9" s="1057"/>
      <c r="AD9" s="1057"/>
      <c r="AE9" s="1057"/>
      <c r="AF9" s="1057"/>
      <c r="AG9" s="1057"/>
      <c r="AH9" s="1057"/>
      <c r="AI9" s="1057"/>
      <c r="AJ9" s="1057"/>
      <c r="AK9" s="1057"/>
      <c r="AL9" s="1057"/>
      <c r="AM9" s="1057"/>
      <c r="AN9" s="1057"/>
      <c r="AO9" s="1057"/>
      <c r="AP9" s="1057"/>
      <c r="AQ9" s="1057"/>
      <c r="AR9" s="1057"/>
      <c r="AS9" s="1057"/>
      <c r="AT9" s="1057"/>
      <c r="AU9" s="807">
        <f t="shared" ref="AU9:AU10" si="1">SUM(W9:AT9)</f>
        <v>0</v>
      </c>
      <c r="AV9" s="818">
        <f>SUM('Summary Total Pigs'!D69:D71)</f>
        <v>815</v>
      </c>
      <c r="AW9" s="818"/>
    </row>
    <row r="10" spans="1:49" ht="15.6">
      <c r="A10" s="1066" t="str">
        <f>+'Grasmere Pig Cost'!A10</f>
        <v>Transfer (Out)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1057"/>
      <c r="T10" s="1057"/>
      <c r="U10" s="1057"/>
      <c r="V10" s="1057"/>
      <c r="W10" s="1057"/>
      <c r="X10" s="1057"/>
      <c r="Y10" s="1057"/>
      <c r="Z10" s="1057"/>
      <c r="AA10" s="1057"/>
      <c r="AB10" s="1057"/>
      <c r="AC10" s="1057"/>
      <c r="AD10" s="1057"/>
      <c r="AE10" s="1057"/>
      <c r="AF10" s="1057"/>
      <c r="AG10" s="1057"/>
      <c r="AH10" s="1057"/>
      <c r="AI10" s="1057"/>
      <c r="AJ10" s="1057"/>
      <c r="AK10" s="1057"/>
      <c r="AL10" s="1057"/>
      <c r="AM10" s="1057"/>
      <c r="AN10" s="1057"/>
      <c r="AO10" s="1057"/>
      <c r="AP10" s="1057"/>
      <c r="AQ10" s="1057"/>
      <c r="AR10" s="1057"/>
      <c r="AS10" s="1057"/>
      <c r="AT10" s="1057"/>
      <c r="AU10" s="807">
        <f t="shared" si="1"/>
        <v>0</v>
      </c>
      <c r="AV10" s="818">
        <f>SUM('Summary Total Pigs'!N69:N71)</f>
        <v>-815</v>
      </c>
      <c r="AW10" s="818"/>
    </row>
    <row r="11" spans="1:49" ht="15.6">
      <c r="A11" s="1066" t="str">
        <f>+'Grasmere Pig Cost'!A11</f>
        <v>Total before Mortality</v>
      </c>
      <c r="B11" s="1068">
        <f t="shared" ref="B11:R11" si="2">SUM(B7:B8)</f>
        <v>0</v>
      </c>
      <c r="C11" s="1068">
        <f t="shared" si="2"/>
        <v>0</v>
      </c>
      <c r="D11" s="1068">
        <f t="shared" si="2"/>
        <v>0</v>
      </c>
      <c r="E11" s="1068">
        <f t="shared" si="2"/>
        <v>0</v>
      </c>
      <c r="F11" s="1068">
        <f t="shared" si="2"/>
        <v>0</v>
      </c>
      <c r="G11" s="1068">
        <f t="shared" si="2"/>
        <v>0</v>
      </c>
      <c r="H11" s="1068">
        <f t="shared" si="2"/>
        <v>0</v>
      </c>
      <c r="I11" s="1068">
        <f t="shared" si="2"/>
        <v>0</v>
      </c>
      <c r="J11" s="1068">
        <f t="shared" si="2"/>
        <v>0</v>
      </c>
      <c r="K11" s="1068">
        <f t="shared" si="2"/>
        <v>0</v>
      </c>
      <c r="L11" s="1068">
        <f t="shared" si="2"/>
        <v>0</v>
      </c>
      <c r="M11" s="1068">
        <f t="shared" si="2"/>
        <v>0</v>
      </c>
      <c r="N11" s="1068">
        <f t="shared" si="2"/>
        <v>0</v>
      </c>
      <c r="O11" s="1068">
        <f t="shared" si="2"/>
        <v>0</v>
      </c>
      <c r="P11" s="1068">
        <f t="shared" si="2"/>
        <v>0</v>
      </c>
      <c r="Q11" s="1068">
        <f t="shared" si="2"/>
        <v>0</v>
      </c>
      <c r="R11" s="1068">
        <f t="shared" si="2"/>
        <v>0</v>
      </c>
      <c r="S11" s="1068">
        <f t="shared" ref="S11:AV11" si="3">SUM(S7:S10)</f>
        <v>0</v>
      </c>
      <c r="T11" s="1068">
        <f t="shared" si="3"/>
        <v>0</v>
      </c>
      <c r="U11" s="1068">
        <f t="shared" si="3"/>
        <v>0</v>
      </c>
      <c r="V11" s="1068">
        <f t="shared" si="3"/>
        <v>0</v>
      </c>
      <c r="W11" s="1068">
        <f t="shared" si="3"/>
        <v>0</v>
      </c>
      <c r="X11" s="1068">
        <f t="shared" si="3"/>
        <v>0</v>
      </c>
      <c r="Y11" s="1068">
        <f t="shared" si="3"/>
        <v>0</v>
      </c>
      <c r="Z11" s="1068">
        <f t="shared" si="3"/>
        <v>0</v>
      </c>
      <c r="AA11" s="1068">
        <f t="shared" si="3"/>
        <v>0</v>
      </c>
      <c r="AB11" s="1068">
        <f t="shared" si="3"/>
        <v>0</v>
      </c>
      <c r="AC11" s="1068">
        <f t="shared" si="3"/>
        <v>71</v>
      </c>
      <c r="AD11" s="1068">
        <f t="shared" si="3"/>
        <v>170</v>
      </c>
      <c r="AE11" s="1068">
        <f t="shared" si="3"/>
        <v>300</v>
      </c>
      <c r="AF11" s="1068">
        <f t="shared" si="3"/>
        <v>140</v>
      </c>
      <c r="AG11" s="1068">
        <f t="shared" si="3"/>
        <v>268</v>
      </c>
      <c r="AH11" s="1068">
        <f t="shared" si="3"/>
        <v>317</v>
      </c>
      <c r="AI11" s="1068">
        <f t="shared" si="3"/>
        <v>315</v>
      </c>
      <c r="AJ11" s="1068">
        <f t="shared" si="3"/>
        <v>131</v>
      </c>
      <c r="AK11" s="1068">
        <f t="shared" si="3"/>
        <v>191</v>
      </c>
      <c r="AL11" s="1068">
        <f t="shared" si="3"/>
        <v>214</v>
      </c>
      <c r="AM11" s="1068">
        <f t="shared" si="3"/>
        <v>70</v>
      </c>
      <c r="AN11" s="1068">
        <f t="shared" si="3"/>
        <v>0</v>
      </c>
      <c r="AO11" s="1068">
        <f t="shared" si="3"/>
        <v>138</v>
      </c>
      <c r="AP11" s="1068">
        <f t="shared" si="3"/>
        <v>50</v>
      </c>
      <c r="AQ11" s="1068">
        <f t="shared" si="3"/>
        <v>87</v>
      </c>
      <c r="AR11" s="1068">
        <f t="shared" si="3"/>
        <v>0</v>
      </c>
      <c r="AS11" s="1068">
        <f t="shared" si="3"/>
        <v>0</v>
      </c>
      <c r="AT11" s="1068">
        <f t="shared" si="3"/>
        <v>0</v>
      </c>
      <c r="AU11" s="1068">
        <f>SUM(AU7:AU10)</f>
        <v>2462</v>
      </c>
      <c r="AV11" s="1068">
        <f t="shared" si="3"/>
        <v>2462</v>
      </c>
      <c r="AW11" s="1170">
        <f t="shared" si="0"/>
        <v>0</v>
      </c>
    </row>
    <row r="12" spans="1:49" ht="15">
      <c r="A12" s="142" t="s">
        <v>1828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Y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807"/>
      <c r="AL12" s="807"/>
      <c r="AM12" s="807"/>
      <c r="AN12" s="807"/>
      <c r="AO12" s="807"/>
      <c r="AP12" s="807"/>
      <c r="AQ12" s="807"/>
      <c r="AR12" s="807"/>
      <c r="AS12" s="807"/>
      <c r="AT12" s="807"/>
      <c r="AU12" s="807">
        <f>SUM(W12:AT12)</f>
        <v>0</v>
      </c>
      <c r="AV12" s="817">
        <f>SUM('Summary Total Pigs'!E69:E71,'Summary Total Pigs'!O69:O71)</f>
        <v>0</v>
      </c>
      <c r="AW12" s="1170">
        <f t="shared" si="0"/>
        <v>0</v>
      </c>
    </row>
    <row r="13" spans="1:49" ht="15">
      <c r="A13" s="142" t="s">
        <v>1790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/>
      <c r="X13" s="807">
        <v>71</v>
      </c>
      <c r="Y13" s="807">
        <v>170</v>
      </c>
      <c r="Z13" s="807">
        <v>200</v>
      </c>
      <c r="AA13" s="807">
        <v>90</v>
      </c>
      <c r="AB13" s="807"/>
      <c r="AC13" s="807"/>
      <c r="AD13" s="807"/>
      <c r="AE13" s="807"/>
      <c r="AF13" s="807"/>
      <c r="AG13" s="807"/>
      <c r="AH13" s="807"/>
      <c r="AI13" s="807"/>
      <c r="AJ13" s="807"/>
      <c r="AK13" s="807"/>
      <c r="AL13" s="807"/>
      <c r="AM13" s="807"/>
      <c r="AN13" s="807"/>
      <c r="AO13" s="807"/>
      <c r="AP13" s="807"/>
      <c r="AQ13" s="807"/>
      <c r="AR13" s="807"/>
      <c r="AS13" s="807"/>
      <c r="AT13" s="807"/>
      <c r="AU13" s="807">
        <f t="shared" ref="AU13:AU25" si="4">SUM(W13:AT13)</f>
        <v>531</v>
      </c>
      <c r="AV13" s="817">
        <f>SUM('Summary Total Pigs'!F69:F71,'Summary Total Pigs'!P69:P71)</f>
        <v>119</v>
      </c>
      <c r="AW13" s="1170">
        <f t="shared" si="0"/>
        <v>412</v>
      </c>
    </row>
    <row r="14" spans="1:49" ht="15">
      <c r="A14" s="142" t="str">
        <f>+'Grasmere Pig Cost'!A14</f>
        <v>Transfers  Richlands</v>
      </c>
      <c r="B14" s="807"/>
      <c r="C14" s="807"/>
      <c r="D14" s="807"/>
      <c r="E14" s="807"/>
      <c r="F14" s="807"/>
      <c r="G14" s="807"/>
      <c r="H14" s="807"/>
      <c r="I14" s="807"/>
      <c r="J14" s="807"/>
      <c r="K14" s="807"/>
      <c r="L14" s="807"/>
      <c r="M14" s="807"/>
      <c r="N14" s="807"/>
      <c r="O14" s="807"/>
      <c r="P14" s="807"/>
      <c r="Q14" s="807"/>
      <c r="R14" s="807"/>
      <c r="S14" s="807"/>
      <c r="T14" s="807"/>
      <c r="U14" s="807"/>
      <c r="V14" s="807"/>
      <c r="W14" s="807"/>
      <c r="X14" s="807"/>
      <c r="Y14" s="807"/>
      <c r="Z14" s="807"/>
      <c r="AA14" s="807">
        <v>50</v>
      </c>
      <c r="AB14" s="807"/>
      <c r="AC14" s="807"/>
      <c r="AD14" s="807"/>
      <c r="AE14" s="807"/>
      <c r="AF14" s="807"/>
      <c r="AG14" s="807"/>
      <c r="AH14" s="807"/>
      <c r="AI14" s="807"/>
      <c r="AJ14" s="807"/>
      <c r="AK14" s="807"/>
      <c r="AL14" s="807"/>
      <c r="AM14" s="807"/>
      <c r="AN14" s="807"/>
      <c r="AO14" s="807"/>
      <c r="AP14" s="807"/>
      <c r="AQ14" s="807"/>
      <c r="AR14" s="807"/>
      <c r="AS14" s="807"/>
      <c r="AT14" s="807"/>
      <c r="AU14" s="807">
        <f t="shared" si="4"/>
        <v>50</v>
      </c>
      <c r="AV14" s="807">
        <f>SUM('Summary Total Pigs'!G69:G71,'Summary Total Pigs'!S69:S71)</f>
        <v>380</v>
      </c>
      <c r="AW14" s="1170">
        <f>AU14-AV14</f>
        <v>-330</v>
      </c>
    </row>
    <row r="15" spans="1:49" ht="15">
      <c r="A15" s="142" t="str">
        <f>+'Grasmere Pig Cost'!A15</f>
        <v>Transfers Learig</v>
      </c>
      <c r="B15" s="807"/>
      <c r="C15" s="807"/>
      <c r="D15" s="807"/>
      <c r="E15" s="807"/>
      <c r="F15" s="807"/>
      <c r="G15" s="807"/>
      <c r="H15" s="807"/>
      <c r="I15" s="807"/>
      <c r="J15" s="807"/>
      <c r="K15" s="807"/>
      <c r="L15" s="807"/>
      <c r="M15" s="807"/>
      <c r="N15" s="807"/>
      <c r="O15" s="807"/>
      <c r="P15" s="807"/>
      <c r="Q15" s="807"/>
      <c r="R15" s="807"/>
      <c r="S15" s="807"/>
      <c r="T15" s="807"/>
      <c r="U15" s="807"/>
      <c r="V15" s="807"/>
      <c r="W15" s="807"/>
      <c r="X15" s="807"/>
      <c r="Y15" s="807"/>
      <c r="Z15" s="807"/>
      <c r="AA15" s="807"/>
      <c r="AB15" s="807"/>
      <c r="AC15" s="807"/>
      <c r="AD15" s="807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807"/>
      <c r="AP15" s="807"/>
      <c r="AQ15" s="807"/>
      <c r="AR15" s="807"/>
      <c r="AS15" s="807"/>
      <c r="AT15" s="807"/>
      <c r="AU15" s="807">
        <f t="shared" si="4"/>
        <v>0</v>
      </c>
      <c r="AV15" s="807">
        <f>SUM('Summary Total Pigs'!H69:H71,'Summary Total Pigs'!R69:R71)</f>
        <v>0</v>
      </c>
      <c r="AW15" s="1170">
        <f t="shared" ref="AW15:AW25" si="5">AU15-AV15</f>
        <v>0</v>
      </c>
    </row>
    <row r="16" spans="1:49" ht="15">
      <c r="A16" s="142" t="str">
        <f>+'Grasmere Pig Cost'!A16</f>
        <v>Transfers Villa</v>
      </c>
      <c r="B16" s="807"/>
      <c r="C16" s="807"/>
      <c r="D16" s="807"/>
      <c r="E16" s="807"/>
      <c r="F16" s="807"/>
      <c r="G16" s="807"/>
      <c r="H16" s="807"/>
      <c r="I16" s="807"/>
      <c r="J16" s="807"/>
      <c r="K16" s="807"/>
      <c r="L16" s="807"/>
      <c r="M16" s="807"/>
      <c r="N16" s="807"/>
      <c r="O16" s="807"/>
      <c r="P16" s="807"/>
      <c r="Q16" s="807"/>
      <c r="R16" s="807"/>
      <c r="S16" s="807"/>
      <c r="T16" s="807"/>
      <c r="U16" s="807"/>
      <c r="V16" s="807"/>
      <c r="W16" s="807"/>
      <c r="X16" s="807"/>
      <c r="Y16" s="807"/>
      <c r="Z16" s="807">
        <v>100</v>
      </c>
      <c r="AA16" s="807"/>
      <c r="AB16" s="807"/>
      <c r="AC16" s="807"/>
      <c r="AD16" s="807"/>
      <c r="AE16" s="807"/>
      <c r="AF16" s="807"/>
      <c r="AG16" s="807"/>
      <c r="AH16" s="807"/>
      <c r="AI16" s="807"/>
      <c r="AJ16" s="807"/>
      <c r="AK16" s="807"/>
      <c r="AL16" s="807"/>
      <c r="AM16" s="807"/>
      <c r="AN16" s="807"/>
      <c r="AO16" s="807"/>
      <c r="AP16" s="807"/>
      <c r="AQ16" s="807"/>
      <c r="AR16" s="807"/>
      <c r="AS16" s="807"/>
      <c r="AT16" s="807"/>
      <c r="AU16" s="807">
        <f t="shared" si="4"/>
        <v>100</v>
      </c>
      <c r="AV16" s="807">
        <f>SUM('Summary Total Pigs'!I69:I71,'Summary Total Pigs'!Q69:Q71)</f>
        <v>250</v>
      </c>
      <c r="AW16" s="1170">
        <f t="shared" si="5"/>
        <v>-150</v>
      </c>
    </row>
    <row r="17" spans="1:49" ht="15">
      <c r="A17" s="142" t="str">
        <f>+'Grasmere Pig Cost'!A20</f>
        <v>Transfers  Boars</v>
      </c>
      <c r="B17" s="807"/>
      <c r="C17" s="807"/>
      <c r="D17" s="807"/>
      <c r="E17" s="807"/>
      <c r="F17" s="807"/>
      <c r="G17" s="807"/>
      <c r="H17" s="807"/>
      <c r="I17" s="807"/>
      <c r="J17" s="807"/>
      <c r="K17" s="807"/>
      <c r="L17" s="807"/>
      <c r="M17" s="807"/>
      <c r="N17" s="807"/>
      <c r="O17" s="807"/>
      <c r="P17" s="807"/>
      <c r="Q17" s="807"/>
      <c r="R17" s="807"/>
      <c r="S17" s="807"/>
      <c r="T17" s="807"/>
      <c r="U17" s="807"/>
      <c r="V17" s="807"/>
      <c r="W17" s="807"/>
      <c r="X17" s="807"/>
      <c r="Y17" s="807"/>
      <c r="Z17" s="807"/>
      <c r="AA17" s="807"/>
      <c r="AB17" s="807"/>
      <c r="AC17" s="807"/>
      <c r="AD17" s="807"/>
      <c r="AE17" s="807"/>
      <c r="AF17" s="807"/>
      <c r="AG17" s="807"/>
      <c r="AH17" s="807"/>
      <c r="AI17" s="807"/>
      <c r="AJ17" s="807"/>
      <c r="AK17" s="807"/>
      <c r="AL17" s="807"/>
      <c r="AM17" s="807"/>
      <c r="AN17" s="807"/>
      <c r="AO17" s="807"/>
      <c r="AP17" s="807"/>
      <c r="AQ17" s="807"/>
      <c r="AR17" s="807"/>
      <c r="AS17" s="807"/>
      <c r="AT17" s="807"/>
      <c r="AU17" s="807">
        <f t="shared" si="4"/>
        <v>0</v>
      </c>
      <c r="AV17" s="807">
        <v>0</v>
      </c>
      <c r="AW17" s="1170">
        <f t="shared" si="5"/>
        <v>0</v>
      </c>
    </row>
    <row r="18" spans="1:49" ht="15">
      <c r="A18" s="142" t="str">
        <f>+'Grasmere Pig Cost'!A21</f>
        <v>Transfers Grower</v>
      </c>
      <c r="B18" s="807"/>
      <c r="C18" s="807"/>
      <c r="D18" s="807"/>
      <c r="E18" s="807"/>
      <c r="F18" s="807"/>
      <c r="G18" s="807"/>
      <c r="H18" s="807"/>
      <c r="I18" s="807"/>
      <c r="J18" s="807"/>
      <c r="K18" s="807"/>
      <c r="L18" s="807"/>
      <c r="M18" s="807"/>
      <c r="N18" s="807"/>
      <c r="O18" s="807"/>
      <c r="P18" s="807"/>
      <c r="Q18" s="807"/>
      <c r="R18" s="807"/>
      <c r="S18" s="807"/>
      <c r="T18" s="807"/>
      <c r="U18" s="807"/>
      <c r="V18" s="807"/>
      <c r="W18" s="807"/>
      <c r="X18" s="807"/>
      <c r="Y18" s="807"/>
      <c r="Z18" s="807"/>
      <c r="AA18" s="807"/>
      <c r="AB18" s="807"/>
      <c r="AC18" s="807"/>
      <c r="AD18" s="807"/>
      <c r="AE18" s="807"/>
      <c r="AF18" s="807"/>
      <c r="AG18" s="807"/>
      <c r="AH18" s="807"/>
      <c r="AI18" s="807"/>
      <c r="AJ18" s="807"/>
      <c r="AK18" s="807"/>
      <c r="AL18" s="807"/>
      <c r="AM18" s="807"/>
      <c r="AN18" s="807"/>
      <c r="AO18" s="807"/>
      <c r="AP18" s="807"/>
      <c r="AQ18" s="807"/>
      <c r="AR18" s="807"/>
      <c r="AS18" s="807"/>
      <c r="AT18" s="807"/>
      <c r="AU18" s="807">
        <f t="shared" si="4"/>
        <v>0</v>
      </c>
      <c r="AV18" s="807">
        <v>0</v>
      </c>
      <c r="AW18" s="1170">
        <f t="shared" si="5"/>
        <v>0</v>
      </c>
    </row>
    <row r="19" spans="1:49" ht="15">
      <c r="A19" s="142" t="str">
        <f>+'Grasmere Pig Cost'!A22</f>
        <v>Transfer to Sick Block</v>
      </c>
      <c r="B19" s="807"/>
      <c r="C19" s="807"/>
      <c r="D19" s="807"/>
      <c r="E19" s="807"/>
      <c r="F19" s="807"/>
      <c r="G19" s="807"/>
      <c r="H19" s="807"/>
      <c r="I19" s="807"/>
      <c r="J19" s="807"/>
      <c r="K19" s="807"/>
      <c r="L19" s="807"/>
      <c r="M19" s="807"/>
      <c r="N19" s="807"/>
      <c r="O19" s="807"/>
      <c r="P19" s="807"/>
      <c r="Q19" s="807"/>
      <c r="R19" s="807"/>
      <c r="S19" s="807"/>
      <c r="T19" s="807"/>
      <c r="U19" s="807"/>
      <c r="V19" s="807"/>
      <c r="W19" s="807"/>
      <c r="X19" s="807"/>
      <c r="Y19" s="807"/>
      <c r="Z19" s="807"/>
      <c r="AA19" s="807"/>
      <c r="AB19" s="807"/>
      <c r="AC19" s="807"/>
      <c r="AD19" s="807"/>
      <c r="AE19" s="807"/>
      <c r="AF19" s="807"/>
      <c r="AG19" s="807"/>
      <c r="AH19" s="807"/>
      <c r="AI19" s="807"/>
      <c r="AJ19" s="807"/>
      <c r="AK19" s="807"/>
      <c r="AL19" s="807"/>
      <c r="AM19" s="807"/>
      <c r="AN19" s="807"/>
      <c r="AO19" s="807"/>
      <c r="AP19" s="807"/>
      <c r="AQ19" s="807"/>
      <c r="AR19" s="807"/>
      <c r="AS19" s="807"/>
      <c r="AT19" s="807"/>
      <c r="AU19" s="807">
        <f t="shared" si="4"/>
        <v>0</v>
      </c>
      <c r="AV19" s="807"/>
      <c r="AW19" s="1170"/>
    </row>
    <row r="20" spans="1:49" ht="15">
      <c r="A20" s="142" t="str">
        <f>+'Grasmere Pig Cost'!A23</f>
        <v>Transfers Gilts</v>
      </c>
      <c r="B20" s="807"/>
      <c r="C20" s="807"/>
      <c r="D20" s="807"/>
      <c r="E20" s="807"/>
      <c r="F20" s="807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  <c r="V20" s="807"/>
      <c r="W20" s="807"/>
      <c r="X20" s="807"/>
      <c r="Y20" s="807"/>
      <c r="Z20" s="807"/>
      <c r="AA20" s="807"/>
      <c r="AB20" s="807"/>
      <c r="AC20" s="807"/>
      <c r="AD20" s="807"/>
      <c r="AE20" s="807"/>
      <c r="AF20" s="807"/>
      <c r="AG20" s="807"/>
      <c r="AH20" s="807"/>
      <c r="AI20" s="807"/>
      <c r="AJ20" s="807"/>
      <c r="AK20" s="807"/>
      <c r="AL20" s="807"/>
      <c r="AM20" s="807"/>
      <c r="AN20" s="807"/>
      <c r="AO20" s="807"/>
      <c r="AP20" s="807"/>
      <c r="AQ20" s="807"/>
      <c r="AR20" s="807"/>
      <c r="AS20" s="807"/>
      <c r="AT20" s="807"/>
      <c r="AU20" s="807">
        <f t="shared" si="4"/>
        <v>0</v>
      </c>
      <c r="AV20" s="807">
        <f>-SUM('Summary Total Pigs'!D72)</f>
        <v>0</v>
      </c>
      <c r="AW20" s="1170">
        <f t="shared" si="5"/>
        <v>0</v>
      </c>
    </row>
    <row r="21" spans="1:49" ht="15">
      <c r="A21" s="142" t="str">
        <f>+'Grasmere Pig Cost'!A24</f>
        <v>Mortality</v>
      </c>
      <c r="B21" s="807"/>
      <c r="C21" s="807"/>
      <c r="D21" s="807"/>
      <c r="E21" s="807"/>
      <c r="F21" s="807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/>
      <c r="T21" s="807"/>
      <c r="U21" s="807"/>
      <c r="V21" s="807"/>
      <c r="W21" s="807"/>
      <c r="X21" s="807"/>
      <c r="Y21" s="807"/>
      <c r="Z21" s="807"/>
      <c r="AA21" s="807"/>
      <c r="AB21" s="807">
        <v>-1</v>
      </c>
      <c r="AC21" s="807">
        <v>-1</v>
      </c>
      <c r="AD21" s="807"/>
      <c r="AE21" s="807"/>
      <c r="AF21" s="807"/>
      <c r="AG21" s="807"/>
      <c r="AH21" s="807"/>
      <c r="AI21" s="807"/>
      <c r="AJ21" s="807">
        <v>-1</v>
      </c>
      <c r="AK21" s="807"/>
      <c r="AL21" s="807"/>
      <c r="AM21" s="807"/>
      <c r="AN21" s="807"/>
      <c r="AO21" s="807"/>
      <c r="AP21" s="807"/>
      <c r="AQ21" s="807"/>
      <c r="AR21" s="807">
        <f>-2</f>
        <v>-2</v>
      </c>
      <c r="AS21" s="807"/>
      <c r="AT21" s="807"/>
      <c r="AU21" s="807">
        <f t="shared" si="4"/>
        <v>-5</v>
      </c>
      <c r="AV21" s="807">
        <f>SUM('Summary Total Pigs'!W69:W71,'Summary Total Pigs'!Y69:Y71)</f>
        <v>-23</v>
      </c>
      <c r="AW21" s="1170">
        <f t="shared" si="5"/>
        <v>18</v>
      </c>
    </row>
    <row r="22" spans="1:49" ht="15">
      <c r="A22" s="142" t="str">
        <f>+'Grasmere Pig Cost'!A25</f>
        <v>Rations</v>
      </c>
      <c r="B22" s="807"/>
      <c r="C22" s="807"/>
      <c r="D22" s="807"/>
      <c r="E22" s="807"/>
      <c r="F22" s="807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7"/>
      <c r="AB22" s="807"/>
      <c r="AC22" s="807"/>
      <c r="AD22" s="807"/>
      <c r="AE22" s="807">
        <v>-1</v>
      </c>
      <c r="AF22" s="807"/>
      <c r="AG22" s="807">
        <v>-2</v>
      </c>
      <c r="AH22" s="807"/>
      <c r="AI22" s="807"/>
      <c r="AJ22" s="807"/>
      <c r="AK22" s="807"/>
      <c r="AL22" s="807"/>
      <c r="AM22" s="807"/>
      <c r="AN22" s="807"/>
      <c r="AO22" s="807">
        <f>-2</f>
        <v>-2</v>
      </c>
      <c r="AP22" s="807">
        <f>-3</f>
        <v>-3</v>
      </c>
      <c r="AQ22" s="807">
        <f>-1</f>
        <v>-1</v>
      </c>
      <c r="AR22" s="807"/>
      <c r="AS22" s="807"/>
      <c r="AT22" s="807"/>
      <c r="AU22" s="807">
        <f t="shared" si="4"/>
        <v>-9</v>
      </c>
      <c r="AV22" s="807">
        <f>SUM('Summary Total Pigs'!Z69:Z71)</f>
        <v>0</v>
      </c>
      <c r="AW22" s="1170">
        <f t="shared" si="5"/>
        <v>-9</v>
      </c>
    </row>
    <row r="23" spans="1:49" ht="15">
      <c r="A23" s="142" t="str">
        <f>+'Grasmere Pig Cost'!A26</f>
        <v>Pet Food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/>
      <c r="AD23" s="807"/>
      <c r="AE23" s="807"/>
      <c r="AF23" s="807"/>
      <c r="AG23" s="807"/>
      <c r="AH23" s="807"/>
      <c r="AI23" s="807"/>
      <c r="AJ23" s="807"/>
      <c r="AK23" s="807"/>
      <c r="AL23" s="807"/>
      <c r="AM23" s="807"/>
      <c r="AN23" s="807"/>
      <c r="AO23" s="807"/>
      <c r="AP23" s="807"/>
      <c r="AQ23" s="807"/>
      <c r="AR23" s="807"/>
      <c r="AS23" s="807"/>
      <c r="AT23" s="807"/>
      <c r="AU23" s="807">
        <f t="shared" si="4"/>
        <v>0</v>
      </c>
      <c r="AV23" s="807">
        <f>SUM('Summary Total Pigs'!AB69:AB71)</f>
        <v>0</v>
      </c>
      <c r="AW23" s="1170">
        <f t="shared" si="5"/>
        <v>0</v>
      </c>
    </row>
    <row r="24" spans="1:49" ht="15">
      <c r="A24" s="142" t="str">
        <f>+'Grasmere Pig Cost'!A27</f>
        <v>Farm Sales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/>
      <c r="T24" s="807"/>
      <c r="U24" s="807"/>
      <c r="V24" s="807"/>
      <c r="W24" s="807"/>
      <c r="X24" s="807"/>
      <c r="Y24" s="807"/>
      <c r="Z24" s="807"/>
      <c r="AA24" s="807"/>
      <c r="AB24" s="807"/>
      <c r="AC24" s="807"/>
      <c r="AD24" s="807"/>
      <c r="AE24" s="807"/>
      <c r="AF24" s="807"/>
      <c r="AG24" s="807"/>
      <c r="AH24" s="807"/>
      <c r="AI24" s="807"/>
      <c r="AJ24" s="807"/>
      <c r="AK24" s="807"/>
      <c r="AL24" s="807"/>
      <c r="AM24" s="807"/>
      <c r="AN24" s="807"/>
      <c r="AO24" s="807"/>
      <c r="AP24" s="807"/>
      <c r="AQ24" s="807"/>
      <c r="AR24" s="807"/>
      <c r="AS24" s="807"/>
      <c r="AT24" s="807"/>
      <c r="AU24" s="807">
        <f t="shared" si="4"/>
        <v>0</v>
      </c>
      <c r="AV24" s="818">
        <f>SUM('Summary Total Pigs'!AC69:AC71)</f>
        <v>0</v>
      </c>
      <c r="AW24" s="1170">
        <f t="shared" si="5"/>
        <v>0</v>
      </c>
    </row>
    <row r="25" spans="1:49" ht="15.6" thickBot="1">
      <c r="A25" s="142" t="str">
        <f>+'Grasmere Pig Cost'!A28</f>
        <v xml:space="preserve"> Colcom Sales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/>
      <c r="AO25" s="807">
        <f>-69</f>
        <v>-69</v>
      </c>
      <c r="AP25" s="807">
        <f>-136</f>
        <v>-136</v>
      </c>
      <c r="AQ25" s="807">
        <f>-175</f>
        <v>-175</v>
      </c>
      <c r="AR25" s="807">
        <f>-216</f>
        <v>-216</v>
      </c>
      <c r="AS25" s="807"/>
      <c r="AT25" s="807"/>
      <c r="AU25" s="807">
        <f t="shared" si="4"/>
        <v>-596</v>
      </c>
      <c r="AV25" s="818">
        <f>SUM('Summary Total Pigs'!X69:X71)</f>
        <v>-787</v>
      </c>
      <c r="AW25" s="1170">
        <f t="shared" si="5"/>
        <v>191</v>
      </c>
    </row>
    <row r="26" spans="1:49" ht="16.149999999999999" thickBot="1">
      <c r="A26" s="1070" t="str">
        <f>+'Grasmere Pig Cost'!A29</f>
        <v>Closing Stock (pigs)</v>
      </c>
      <c r="B26" s="1071">
        <f>SUM(B11:B25)</f>
        <v>0</v>
      </c>
      <c r="C26" s="1071">
        <f t="shared" ref="C26:AT26" si="6">SUM(C11:C25)</f>
        <v>0</v>
      </c>
      <c r="D26" s="1071">
        <f t="shared" si="6"/>
        <v>0</v>
      </c>
      <c r="E26" s="1071">
        <f t="shared" si="6"/>
        <v>0</v>
      </c>
      <c r="F26" s="1071">
        <f t="shared" si="6"/>
        <v>0</v>
      </c>
      <c r="G26" s="1071">
        <f t="shared" si="6"/>
        <v>0</v>
      </c>
      <c r="H26" s="1071">
        <f t="shared" si="6"/>
        <v>0</v>
      </c>
      <c r="I26" s="1071">
        <f t="shared" si="6"/>
        <v>0</v>
      </c>
      <c r="J26" s="1071">
        <f t="shared" si="6"/>
        <v>0</v>
      </c>
      <c r="K26" s="1071">
        <f t="shared" si="6"/>
        <v>0</v>
      </c>
      <c r="L26" s="1071">
        <f t="shared" si="6"/>
        <v>0</v>
      </c>
      <c r="M26" s="1071">
        <f t="shared" si="6"/>
        <v>0</v>
      </c>
      <c r="N26" s="1071">
        <f t="shared" si="6"/>
        <v>0</v>
      </c>
      <c r="O26" s="1071">
        <f t="shared" si="6"/>
        <v>0</v>
      </c>
      <c r="P26" s="1071">
        <f t="shared" si="6"/>
        <v>0</v>
      </c>
      <c r="Q26" s="1071">
        <f t="shared" si="6"/>
        <v>0</v>
      </c>
      <c r="R26" s="1071">
        <f t="shared" si="6"/>
        <v>0</v>
      </c>
      <c r="S26" s="1071">
        <f t="shared" si="6"/>
        <v>0</v>
      </c>
      <c r="T26" s="1071">
        <f t="shared" si="6"/>
        <v>0</v>
      </c>
      <c r="U26" s="1071">
        <f t="shared" si="6"/>
        <v>0</v>
      </c>
      <c r="V26" s="1071">
        <f t="shared" si="6"/>
        <v>0</v>
      </c>
      <c r="W26" s="1071">
        <f t="shared" si="6"/>
        <v>0</v>
      </c>
      <c r="X26" s="1071">
        <f t="shared" si="6"/>
        <v>71</v>
      </c>
      <c r="Y26" s="1071">
        <f t="shared" si="6"/>
        <v>170</v>
      </c>
      <c r="Z26" s="1071">
        <f t="shared" si="6"/>
        <v>300</v>
      </c>
      <c r="AA26" s="1071">
        <f t="shared" si="6"/>
        <v>140</v>
      </c>
      <c r="AB26" s="1071">
        <f t="shared" si="6"/>
        <v>-1</v>
      </c>
      <c r="AC26" s="1071">
        <f t="shared" si="6"/>
        <v>70</v>
      </c>
      <c r="AD26" s="1071">
        <f t="shared" si="6"/>
        <v>170</v>
      </c>
      <c r="AE26" s="1071">
        <f t="shared" si="6"/>
        <v>299</v>
      </c>
      <c r="AF26" s="1071">
        <f t="shared" si="6"/>
        <v>140</v>
      </c>
      <c r="AG26" s="1071">
        <f t="shared" si="6"/>
        <v>266</v>
      </c>
      <c r="AH26" s="1071">
        <f t="shared" si="6"/>
        <v>317</v>
      </c>
      <c r="AI26" s="1071">
        <f t="shared" si="6"/>
        <v>315</v>
      </c>
      <c r="AJ26" s="1071">
        <f t="shared" si="6"/>
        <v>130</v>
      </c>
      <c r="AK26" s="1071">
        <f t="shared" si="6"/>
        <v>191</v>
      </c>
      <c r="AL26" s="1071">
        <f t="shared" si="6"/>
        <v>214</v>
      </c>
      <c r="AM26" s="1071">
        <f t="shared" si="6"/>
        <v>70</v>
      </c>
      <c r="AN26" s="1071">
        <f t="shared" si="6"/>
        <v>0</v>
      </c>
      <c r="AO26" s="1071">
        <f t="shared" si="6"/>
        <v>67</v>
      </c>
      <c r="AP26" s="1071">
        <f t="shared" si="6"/>
        <v>-89</v>
      </c>
      <c r="AQ26" s="1071">
        <f t="shared" si="6"/>
        <v>-89</v>
      </c>
      <c r="AR26" s="1071">
        <f t="shared" si="6"/>
        <v>-218</v>
      </c>
      <c r="AS26" s="1071">
        <f t="shared" si="6"/>
        <v>0</v>
      </c>
      <c r="AT26" s="1071">
        <f t="shared" si="6"/>
        <v>0</v>
      </c>
      <c r="AU26" s="1071">
        <f>SUM(AU11:AU25)</f>
        <v>2533</v>
      </c>
      <c r="AV26" s="1071">
        <f>SUM(AV11:AV25)</f>
        <v>2401</v>
      </c>
      <c r="AW26" s="1170">
        <f>AU26-AV26</f>
        <v>132</v>
      </c>
    </row>
    <row r="27" spans="1:49" ht="15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058">
        <f>+'Lionhead Ext. Valuation'!E10</f>
        <v>0</v>
      </c>
      <c r="T27" s="1058">
        <f>+'Lionhead Ext. Valuation'!E11</f>
        <v>0</v>
      </c>
      <c r="U27" s="1058">
        <f>+'Lionhead Ext. Valuation'!E12</f>
        <v>0</v>
      </c>
      <c r="V27" s="1058">
        <f>+'Lionhead Ext. Valuation'!E13</f>
        <v>0</v>
      </c>
      <c r="W27" s="1058">
        <f>+'Lionhead Ext. Valuation'!E14</f>
        <v>104</v>
      </c>
      <c r="X27" s="1058">
        <f>+'Lionhead Ext. Valuation'!E15</f>
        <v>93</v>
      </c>
      <c r="Y27" s="1058">
        <f>+'Lionhead Ext. Valuation'!E16</f>
        <v>137</v>
      </c>
      <c r="Z27" s="1058">
        <f>+'Lionhead Ext. Valuation'!E17</f>
        <v>140</v>
      </c>
      <c r="AA27" s="1058">
        <f>+'Lionhead Ext. Valuation'!E18</f>
        <v>105</v>
      </c>
      <c r="AB27" s="1058">
        <f>+'Lionhead Ext. Valuation'!E19</f>
        <v>212</v>
      </c>
      <c r="AC27" s="1058">
        <f>+'Lionhead Ext. Valuation'!E20</f>
        <v>216</v>
      </c>
      <c r="AD27" s="1058">
        <f>+'Lionhead Ext. Valuation'!E21</f>
        <v>199</v>
      </c>
      <c r="AE27" s="1058">
        <f>+'Lionhead Ext. Valuation'!E22</f>
        <v>210</v>
      </c>
      <c r="AF27" s="1058">
        <f>+'Lionhead Ext. Valuation'!E23</f>
        <v>190</v>
      </c>
      <c r="AG27" s="1058">
        <f>+'Lionhead Ext. Valuation'!E24</f>
        <v>182</v>
      </c>
      <c r="AH27" s="1058">
        <f>+'Lionhead Ext. Valuation'!E25</f>
        <v>182</v>
      </c>
      <c r="AI27" s="1058">
        <f>+'Lionhead Ext. Valuation'!E26</f>
        <v>177</v>
      </c>
      <c r="AJ27" s="1058">
        <f>+'Lionhead Ext. Valuation'!E27</f>
        <v>236</v>
      </c>
      <c r="AK27" s="1058">
        <f>+'Lionhead Ext. Valuation'!E28</f>
        <v>262</v>
      </c>
      <c r="AL27" s="1058">
        <f>+'Lionhead Ext. Valuation'!E29</f>
        <v>220</v>
      </c>
      <c r="AM27" s="1058">
        <f>+'Lionhead Ext. Valuation'!E30</f>
        <v>214</v>
      </c>
      <c r="AN27" s="1058">
        <f>+'Lionhead Ext. Valuation'!E31</f>
        <v>191</v>
      </c>
      <c r="AO27" s="1058">
        <f>+'Lionhead Ext. Valuation'!E32</f>
        <v>0</v>
      </c>
      <c r="AP27" s="1058">
        <f>+'Lionhead Ext. Valuation'!E33</f>
        <v>0</v>
      </c>
      <c r="AQ27" s="1058">
        <f>+'Lionhead Ext. Valuation'!E34</f>
        <v>0</v>
      </c>
      <c r="AR27" s="1058">
        <f>+'Lionhead Ext. Valuation'!E35</f>
        <v>0</v>
      </c>
      <c r="AS27" s="1058">
        <f>+'Lionhead Ext. Valuation'!E36</f>
        <v>0</v>
      </c>
      <c r="AT27" s="1058">
        <f>+'Lionhead Ext. Valuation'!E37</f>
        <v>0</v>
      </c>
      <c r="AU27" s="1057">
        <f>SUM(B27:AT27)</f>
        <v>3270</v>
      </c>
      <c r="AV27" s="818">
        <f>SUM('Lionhead Ext. Valuation'!E10:E41)</f>
        <v>3270</v>
      </c>
      <c r="AW27" s="1170">
        <f>AU27-AV27</f>
        <v>0</v>
      </c>
    </row>
    <row r="28" spans="1:49" ht="15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058">
        <f>+S26-S27</f>
        <v>0</v>
      </c>
      <c r="T28" s="1058">
        <f t="shared" ref="T28:AU28" si="7">+T26-T27</f>
        <v>0</v>
      </c>
      <c r="U28" s="1058">
        <f t="shared" si="7"/>
        <v>0</v>
      </c>
      <c r="V28" s="1058">
        <f t="shared" si="7"/>
        <v>0</v>
      </c>
      <c r="W28" s="1058">
        <f t="shared" si="7"/>
        <v>-104</v>
      </c>
      <c r="X28" s="1058">
        <f t="shared" si="7"/>
        <v>-22</v>
      </c>
      <c r="Y28" s="1058">
        <f t="shared" si="7"/>
        <v>33</v>
      </c>
      <c r="Z28" s="1058">
        <f t="shared" si="7"/>
        <v>160</v>
      </c>
      <c r="AA28" s="1058">
        <f t="shared" si="7"/>
        <v>35</v>
      </c>
      <c r="AB28" s="1058">
        <f t="shared" si="7"/>
        <v>-213</v>
      </c>
      <c r="AC28" s="1058">
        <f t="shared" si="7"/>
        <v>-146</v>
      </c>
      <c r="AD28" s="1058">
        <f t="shared" si="7"/>
        <v>-29</v>
      </c>
      <c r="AE28" s="1058">
        <f t="shared" si="7"/>
        <v>89</v>
      </c>
      <c r="AF28" s="1058">
        <f t="shared" si="7"/>
        <v>-50</v>
      </c>
      <c r="AG28" s="1058">
        <f t="shared" si="7"/>
        <v>84</v>
      </c>
      <c r="AH28" s="1058">
        <f t="shared" si="7"/>
        <v>135</v>
      </c>
      <c r="AI28" s="1058">
        <f t="shared" si="7"/>
        <v>138</v>
      </c>
      <c r="AJ28" s="1058">
        <f t="shared" si="7"/>
        <v>-106</v>
      </c>
      <c r="AK28" s="1058">
        <f t="shared" si="7"/>
        <v>-71</v>
      </c>
      <c r="AL28" s="1058">
        <f t="shared" si="7"/>
        <v>-6</v>
      </c>
      <c r="AM28" s="1058">
        <f t="shared" si="7"/>
        <v>-144</v>
      </c>
      <c r="AN28" s="1058">
        <f t="shared" si="7"/>
        <v>-191</v>
      </c>
      <c r="AO28" s="1058">
        <f t="shared" si="7"/>
        <v>67</v>
      </c>
      <c r="AP28" s="1058">
        <f t="shared" si="7"/>
        <v>-89</v>
      </c>
      <c r="AQ28" s="1058">
        <f t="shared" si="7"/>
        <v>-89</v>
      </c>
      <c r="AR28" s="1058">
        <f t="shared" si="7"/>
        <v>-218</v>
      </c>
      <c r="AS28" s="1058">
        <f t="shared" si="7"/>
        <v>0</v>
      </c>
      <c r="AT28" s="1058">
        <f t="shared" si="7"/>
        <v>0</v>
      </c>
      <c r="AU28" s="1058">
        <f t="shared" si="7"/>
        <v>-737</v>
      </c>
      <c r="AV28" s="1058">
        <f>+AV26-AV27</f>
        <v>-869</v>
      </c>
      <c r="AW28" s="1170">
        <f>AU28-AV28</f>
        <v>132</v>
      </c>
    </row>
    <row r="29" spans="1:49" ht="15.6">
      <c r="A29" s="1066" t="str">
        <f>+'Grasmere Pig Cost'!A32</f>
        <v>Cost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817"/>
      <c r="T29" s="817"/>
      <c r="U29" s="817"/>
      <c r="V29" s="817"/>
      <c r="W29" s="817"/>
      <c r="X29" s="817"/>
      <c r="Y29" s="817"/>
      <c r="Z29" s="817"/>
      <c r="AA29" s="817"/>
      <c r="AB29" s="817"/>
      <c r="AC29" s="817"/>
      <c r="AD29" s="817"/>
      <c r="AE29" s="817"/>
      <c r="AF29" s="1271"/>
      <c r="AG29" s="817"/>
      <c r="AH29" s="817"/>
      <c r="AI29" s="817"/>
      <c r="AJ29" s="817"/>
      <c r="AK29" s="817"/>
      <c r="AL29" s="817"/>
      <c r="AM29" s="817"/>
      <c r="AN29" s="817"/>
      <c r="AO29" s="817"/>
      <c r="AP29" s="817"/>
      <c r="AQ29" s="817"/>
      <c r="AR29" s="817"/>
      <c r="AS29" s="817"/>
      <c r="AT29" s="817"/>
      <c r="AU29" s="817"/>
      <c r="AV29" s="817"/>
      <c r="AW29" s="818"/>
    </row>
    <row r="30" spans="1:49" ht="15">
      <c r="A30" s="142" t="str">
        <f>+'Grasmere Pig Cost'!A33</f>
        <v>Opening cost</v>
      </c>
      <c r="B30" s="818"/>
      <c r="C30" s="818"/>
      <c r="D30" s="818"/>
      <c r="E30" s="818"/>
      <c r="F30" s="818"/>
      <c r="G30" s="818">
        <f>+'[77]Lionhead Ext. Pig Cost'!B53</f>
        <v>0</v>
      </c>
      <c r="H30" s="818">
        <f>+'[77]Lionhead Ext. Pig Cost'!C53</f>
        <v>0</v>
      </c>
      <c r="I30" s="818">
        <f>+'[77]Lionhead Ext. Pig Cost'!D53</f>
        <v>0</v>
      </c>
      <c r="J30" s="818">
        <f>+'[77]Lionhead Ext. Pig Cost'!E53</f>
        <v>0</v>
      </c>
      <c r="K30" s="818">
        <f>+'[77]Lionhead Ext. Pig Cost'!F53</f>
        <v>0</v>
      </c>
      <c r="L30" s="818">
        <f>+'[77]Lionhead Ext. Pig Cost'!G53</f>
        <v>0</v>
      </c>
      <c r="M30" s="818">
        <f>+'[77]Lionhead Ext. Pig Cost'!H53</f>
        <v>0</v>
      </c>
      <c r="N30" s="818">
        <f>+'[77]Lionhead Ext. Pig Cost'!I53</f>
        <v>0</v>
      </c>
      <c r="O30" s="818">
        <f>+'[77]Lionhead Ext. Pig Cost'!J53</f>
        <v>0</v>
      </c>
      <c r="P30" s="818">
        <f>+'[77]Lionhead Ext. Pig Cost'!K53</f>
        <v>0</v>
      </c>
      <c r="Q30" s="818">
        <f>+'[77]Lionhead Ext. Pig Cost'!L53</f>
        <v>0</v>
      </c>
      <c r="R30" s="818">
        <f>+'[77]Lionhead Ext. Pig Cost'!M53</f>
        <v>0</v>
      </c>
      <c r="S30" s="818">
        <f>+'[77]Lionhead Ext. Pig Cost'!N53</f>
        <v>0</v>
      </c>
      <c r="T30" s="818">
        <f>+'[77]Lionhead Ext. Pig Cost'!O53</f>
        <v>0</v>
      </c>
      <c r="U30" s="818">
        <f>+'[77]Lionhead Ext. Pig Cost'!P53</f>
        <v>0</v>
      </c>
      <c r="V30" s="818">
        <f>+'[77]Lionhead Ext. Pig Cost'!Q53</f>
        <v>0</v>
      </c>
      <c r="W30" s="818">
        <f>+'[77]Lionhead Ext. Pig Cost'!R53</f>
        <v>0</v>
      </c>
      <c r="X30" s="818">
        <f>+'[77]Lionhead Ext. Pig Cost'!S53</f>
        <v>0</v>
      </c>
      <c r="Y30" s="818">
        <f>+'[77]Lionhead Ext. Pig Cost'!T53</f>
        <v>0</v>
      </c>
      <c r="Z30" s="818">
        <f>+'[77]Lionhead Ext. Pig Cost'!U53</f>
        <v>0</v>
      </c>
      <c r="AA30" s="818">
        <f>+'[77]Lionhead Ext. Pig Cost'!V53</f>
        <v>0</v>
      </c>
      <c r="AB30" s="818">
        <f>+'[77]Lionhead Ext. Pig Cost'!W53</f>
        <v>0</v>
      </c>
      <c r="AC30" s="818">
        <f>+'[77]Lionhead Ext. Pig Cost'!X53</f>
        <v>5201172.2728061713</v>
      </c>
      <c r="AD30" s="818">
        <f>+'[77]Lionhead Ext. Pig Cost'!Y53</f>
        <v>8812225.7435496338</v>
      </c>
      <c r="AE30" s="818">
        <f>+'[77]Lionhead Ext. Pig Cost'!Z53</f>
        <v>11228609.926951282</v>
      </c>
      <c r="AF30" s="818">
        <f>+'[77]Lionhead Ext. Pig Cost'!AA53</f>
        <v>3857495.3870769967</v>
      </c>
      <c r="AG30" s="818">
        <f>+'[77]Lionhead Ext. Pig Cost'!AB53</f>
        <v>14569090.167004967</v>
      </c>
      <c r="AH30" s="818">
        <f>+'[77]Lionhead Ext. Pig Cost'!AC53</f>
        <v>9166758.1961062662</v>
      </c>
      <c r="AI30" s="818">
        <f>+'[77]Lionhead Ext. Pig Cost'!AD53</f>
        <v>9246672.6631846167</v>
      </c>
      <c r="AJ30" s="818">
        <f>+'[77]Lionhead Ext. Pig Cost'!AE53</f>
        <v>4067293.6770874495</v>
      </c>
      <c r="AK30" s="818">
        <f>+'[77]Lionhead Ext. Pig Cost'!AF53</f>
        <v>7669245.9142419845</v>
      </c>
      <c r="AL30" s="818">
        <f>+'[77]Lionhead Ext. Pig Cost'!AG53</f>
        <v>6228925.4772421569</v>
      </c>
      <c r="AM30" s="818">
        <f>+'[77]Lionhead Ext. Pig Cost'!AH53</f>
        <v>7403195.9003774747</v>
      </c>
      <c r="AN30" s="818">
        <f>+'[77]Lionhead Ext. Pig Cost'!AI53</f>
        <v>0</v>
      </c>
      <c r="AO30" s="818">
        <f>+'[77]Lionhead Ext. Pig Cost'!AJ53</f>
        <v>9485779.950947972</v>
      </c>
      <c r="AP30" s="818">
        <f>+'[77]Lionhead Ext. Pig Cost'!AK53</f>
        <v>3957961.6943337768</v>
      </c>
      <c r="AQ30" s="818">
        <f>+'[77]Lionhead Ext. Pig Cost'!AL53</f>
        <v>14355723.399029911</v>
      </c>
      <c r="AR30" s="818">
        <f>+'[77]Lionhead Ext. Pig Cost'!AM53</f>
        <v>0</v>
      </c>
      <c r="AS30" s="818">
        <f>+'[77]Lionhead Ext. Pig Cost'!AN53</f>
        <v>0</v>
      </c>
      <c r="AT30" s="818">
        <f>+'[77]Lionhead Ext. Pig Cost'!AO53</f>
        <v>0</v>
      </c>
      <c r="AU30" s="1057">
        <f>SUM(B30:AT30)</f>
        <v>115250150.36994065</v>
      </c>
      <c r="AV30" s="817">
        <f>+'[77]Lionhead Ext. Pig Cost'!$AU$53</f>
        <v>115250150.36994065</v>
      </c>
      <c r="AW30" s="1170">
        <f>+AU30-AV30</f>
        <v>0</v>
      </c>
    </row>
    <row r="31" spans="1:49" ht="15.6">
      <c r="A31" s="1066" t="str">
        <f>+'Grasmere Pig Cost'!A34</f>
        <v>Transfer In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817"/>
      <c r="T31" s="817"/>
      <c r="U31" s="817"/>
      <c r="V31" s="817"/>
      <c r="W31" s="817"/>
      <c r="X31" s="817"/>
      <c r="Y31" s="817"/>
      <c r="Z31" s="817"/>
      <c r="AA31" s="817"/>
      <c r="AB31" s="817"/>
      <c r="AC31" s="817"/>
      <c r="AD31" s="817"/>
      <c r="AE31" s="817"/>
      <c r="AF31" s="817"/>
      <c r="AG31" s="817"/>
      <c r="AH31" s="817"/>
      <c r="AI31" s="817"/>
      <c r="AJ31" s="817"/>
      <c r="AK31" s="817"/>
      <c r="AL31" s="817"/>
      <c r="AM31" s="817"/>
      <c r="AN31" s="817"/>
      <c r="AO31" s="142"/>
      <c r="AP31" s="142"/>
      <c r="AQ31" s="142"/>
      <c r="AR31" s="142"/>
      <c r="AS31" s="142"/>
      <c r="AT31" s="142"/>
      <c r="AU31" s="807">
        <f>SUM(B31:AT31)</f>
        <v>0</v>
      </c>
      <c r="AV31" s="818"/>
      <c r="AW31" s="142"/>
    </row>
    <row r="32" spans="1:49" ht="15.6">
      <c r="A32" s="1066" t="str">
        <f>+'Grasmere Pig Cost'!A35</f>
        <v>Transfer (Out)</v>
      </c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817"/>
      <c r="T32" s="817"/>
      <c r="U32" s="817"/>
      <c r="V32" s="817"/>
      <c r="W32" s="817"/>
      <c r="X32" s="817"/>
      <c r="Y32" s="817"/>
      <c r="Z32" s="817"/>
      <c r="AA32" s="142"/>
      <c r="AB32" s="817"/>
      <c r="AC32" s="817"/>
      <c r="AD32" s="817"/>
      <c r="AE32" s="817"/>
      <c r="AF32" s="817"/>
      <c r="AG32" s="817"/>
      <c r="AH32" s="817"/>
      <c r="AI32" s="817"/>
      <c r="AJ32" s="817"/>
      <c r="AK32" s="817"/>
      <c r="AL32" s="817"/>
      <c r="AM32" s="817"/>
      <c r="AN32" s="817"/>
      <c r="AO32" s="142"/>
      <c r="AP32" s="142"/>
      <c r="AQ32" s="142"/>
      <c r="AR32" s="142"/>
      <c r="AS32" s="142"/>
      <c r="AT32" s="142"/>
      <c r="AU32" s="807">
        <f>SUM(B32:AT32)</f>
        <v>0</v>
      </c>
      <c r="AV32" s="818"/>
      <c r="AW32" s="142"/>
    </row>
    <row r="33" spans="1:49" ht="15">
      <c r="A33" s="1059" t="s">
        <v>1804</v>
      </c>
      <c r="B33" s="818">
        <f t="shared" ref="B33:X33" si="8">SUM(B30:B32)</f>
        <v>0</v>
      </c>
      <c r="C33" s="818">
        <f t="shared" si="8"/>
        <v>0</v>
      </c>
      <c r="D33" s="818">
        <f t="shared" si="8"/>
        <v>0</v>
      </c>
      <c r="E33" s="818">
        <f t="shared" si="8"/>
        <v>0</v>
      </c>
      <c r="F33" s="818">
        <f t="shared" si="8"/>
        <v>0</v>
      </c>
      <c r="G33" s="818">
        <f t="shared" si="8"/>
        <v>0</v>
      </c>
      <c r="H33" s="818">
        <f t="shared" si="8"/>
        <v>0</v>
      </c>
      <c r="I33" s="818">
        <f t="shared" si="8"/>
        <v>0</v>
      </c>
      <c r="J33" s="818">
        <f t="shared" si="8"/>
        <v>0</v>
      </c>
      <c r="K33" s="818">
        <f t="shared" si="8"/>
        <v>0</v>
      </c>
      <c r="L33" s="818">
        <f t="shared" si="8"/>
        <v>0</v>
      </c>
      <c r="M33" s="818">
        <f t="shared" si="8"/>
        <v>0</v>
      </c>
      <c r="N33" s="818">
        <f t="shared" si="8"/>
        <v>0</v>
      </c>
      <c r="O33" s="818">
        <f t="shared" si="8"/>
        <v>0</v>
      </c>
      <c r="P33" s="818">
        <f t="shared" si="8"/>
        <v>0</v>
      </c>
      <c r="Q33" s="818">
        <f t="shared" si="8"/>
        <v>0</v>
      </c>
      <c r="R33" s="818">
        <f t="shared" si="8"/>
        <v>0</v>
      </c>
      <c r="S33" s="818">
        <f t="shared" si="8"/>
        <v>0</v>
      </c>
      <c r="T33" s="818">
        <f t="shared" si="8"/>
        <v>0</v>
      </c>
      <c r="U33" s="818">
        <f t="shared" si="8"/>
        <v>0</v>
      </c>
      <c r="V33" s="818">
        <f t="shared" si="8"/>
        <v>0</v>
      </c>
      <c r="W33" s="818">
        <f t="shared" si="8"/>
        <v>0</v>
      </c>
      <c r="X33" s="818">
        <f t="shared" si="8"/>
        <v>0</v>
      </c>
      <c r="Y33" s="818">
        <f t="shared" ref="Y33:AS33" si="9">SUM(Y30:Y32)</f>
        <v>0</v>
      </c>
      <c r="Z33" s="818">
        <f t="shared" si="9"/>
        <v>0</v>
      </c>
      <c r="AA33" s="818">
        <f t="shared" si="9"/>
        <v>0</v>
      </c>
      <c r="AB33" s="818">
        <f t="shared" si="9"/>
        <v>0</v>
      </c>
      <c r="AC33" s="818">
        <f t="shared" si="9"/>
        <v>5201172.2728061713</v>
      </c>
      <c r="AD33" s="818">
        <f t="shared" si="9"/>
        <v>8812225.7435496338</v>
      </c>
      <c r="AE33" s="818">
        <f t="shared" si="9"/>
        <v>11228609.926951282</v>
      </c>
      <c r="AF33" s="818">
        <f t="shared" si="9"/>
        <v>3857495.3870769967</v>
      </c>
      <c r="AG33" s="818">
        <f t="shared" si="9"/>
        <v>14569090.167004967</v>
      </c>
      <c r="AH33" s="818">
        <f t="shared" si="9"/>
        <v>9166758.1961062662</v>
      </c>
      <c r="AI33" s="818">
        <f t="shared" si="9"/>
        <v>9246672.6631846167</v>
      </c>
      <c r="AJ33" s="818">
        <f t="shared" si="9"/>
        <v>4067293.6770874495</v>
      </c>
      <c r="AK33" s="818">
        <f t="shared" si="9"/>
        <v>7669245.9142419845</v>
      </c>
      <c r="AL33" s="818">
        <f t="shared" si="9"/>
        <v>6228925.4772421569</v>
      </c>
      <c r="AM33" s="818">
        <f t="shared" si="9"/>
        <v>7403195.9003774747</v>
      </c>
      <c r="AN33" s="818">
        <f t="shared" si="9"/>
        <v>0</v>
      </c>
      <c r="AO33" s="818">
        <f t="shared" si="9"/>
        <v>9485779.950947972</v>
      </c>
      <c r="AP33" s="818">
        <f t="shared" si="9"/>
        <v>3957961.6943337768</v>
      </c>
      <c r="AQ33" s="818">
        <f t="shared" si="9"/>
        <v>14355723.399029911</v>
      </c>
      <c r="AR33" s="818">
        <f t="shared" si="9"/>
        <v>0</v>
      </c>
      <c r="AS33" s="818">
        <f t="shared" si="9"/>
        <v>0</v>
      </c>
      <c r="AT33" s="818">
        <f>SUM(AT30:AT32)</f>
        <v>0</v>
      </c>
      <c r="AU33" s="818">
        <f>SUM(AU30:AU32)</f>
        <v>115250150.36994065</v>
      </c>
      <c r="AV33" s="817"/>
      <c r="AW33" s="1170"/>
    </row>
    <row r="34" spans="1:49" ht="15">
      <c r="A34" s="1059" t="s">
        <v>1805</v>
      </c>
      <c r="B34" s="818"/>
      <c r="C34" s="818"/>
      <c r="D34" s="818"/>
      <c r="E34" s="818"/>
      <c r="F34" s="818"/>
      <c r="G34" s="818"/>
      <c r="H34" s="818"/>
      <c r="I34" s="818"/>
      <c r="J34" s="818"/>
      <c r="K34" s="818"/>
      <c r="L34" s="818"/>
      <c r="M34" s="818"/>
      <c r="N34" s="818"/>
      <c r="O34" s="818"/>
      <c r="P34" s="818"/>
      <c r="Q34" s="818"/>
      <c r="R34" s="818"/>
      <c r="S34" s="818">
        <f>IFERROR(S33/S11,0)</f>
        <v>0</v>
      </c>
      <c r="T34" s="818">
        <f t="shared" ref="T34:AC34" si="10">IFERROR(T33/T11,0)</f>
        <v>0</v>
      </c>
      <c r="U34" s="818">
        <f t="shared" si="10"/>
        <v>0</v>
      </c>
      <c r="V34" s="818">
        <f t="shared" si="10"/>
        <v>0</v>
      </c>
      <c r="W34" s="818">
        <f t="shared" si="10"/>
        <v>0</v>
      </c>
      <c r="X34" s="818">
        <f t="shared" si="10"/>
        <v>0</v>
      </c>
      <c r="Y34" s="818">
        <f t="shared" si="10"/>
        <v>0</v>
      </c>
      <c r="Z34" s="818">
        <f t="shared" si="10"/>
        <v>0</v>
      </c>
      <c r="AA34" s="818">
        <f>IFERROR(AA33/AA11,0)</f>
        <v>0</v>
      </c>
      <c r="AB34" s="818">
        <f t="shared" si="10"/>
        <v>0</v>
      </c>
      <c r="AC34" s="818">
        <f t="shared" si="10"/>
        <v>73255.947504312266</v>
      </c>
      <c r="AD34" s="818">
        <f t="shared" ref="AD34" si="11">IFERROR(AD33/AD11,0)</f>
        <v>51836.622020880197</v>
      </c>
      <c r="AE34" s="818">
        <f t="shared" ref="AE34" si="12">IFERROR(AE33/AE11,0)</f>
        <v>37428.699756504269</v>
      </c>
      <c r="AF34" s="818">
        <f t="shared" ref="AF34" si="13">IFERROR(AF33/AF11,0)</f>
        <v>27553.538479121406</v>
      </c>
      <c r="AG34" s="818">
        <f t="shared" ref="AG34" si="14">IFERROR(AG33/AG11,0)</f>
        <v>54362.276742555849</v>
      </c>
      <c r="AH34" s="818">
        <f t="shared" ref="AH34" si="15">IFERROR(AH33/AH11,0)</f>
        <v>28917.218284246897</v>
      </c>
      <c r="AI34" s="818">
        <f t="shared" ref="AI34" si="16">IFERROR(AI33/AI11,0)</f>
        <v>29354.516391062276</v>
      </c>
      <c r="AJ34" s="818">
        <f t="shared" ref="AJ34" si="17">IFERROR(AJ33/AJ11,0)</f>
        <v>31048.043336545416</v>
      </c>
      <c r="AK34" s="818">
        <f t="shared" ref="AK34" si="18">IFERROR(AK33/AK11,0)</f>
        <v>40153.119969853324</v>
      </c>
      <c r="AL34" s="818">
        <f t="shared" ref="AL34" si="19">IFERROR(AL33/AL11,0)</f>
        <v>29107.128398327837</v>
      </c>
      <c r="AM34" s="818">
        <f>IFERROR(AM33/AM11,0)</f>
        <v>105759.94143396392</v>
      </c>
      <c r="AN34" s="818">
        <f t="shared" ref="AN34" si="20">IFERROR(AN33/AN11,0)</f>
        <v>0</v>
      </c>
      <c r="AO34" s="818">
        <f t="shared" ref="AO34" si="21">IFERROR(AO33/AO11,0)</f>
        <v>68737.535876434573</v>
      </c>
      <c r="AP34" s="818">
        <f t="shared" ref="AP34" si="22">IFERROR(AP33/AP11,0)</f>
        <v>79159.233886675531</v>
      </c>
      <c r="AQ34" s="818">
        <f t="shared" ref="AQ34" si="23">IFERROR(AQ33/AQ11,0)</f>
        <v>165008.31493137829</v>
      </c>
      <c r="AR34" s="818">
        <f t="shared" ref="AR34" si="24">IFERROR(AR33/AR11,0)</f>
        <v>0</v>
      </c>
      <c r="AS34" s="818">
        <f t="shared" ref="AS34" si="25">IFERROR(AS33/AS11,0)</f>
        <v>0</v>
      </c>
      <c r="AT34" s="818">
        <f>IFERROR(AT33/AT11,0)</f>
        <v>0</v>
      </c>
      <c r="AU34" s="818">
        <f>IFERROR(AU33/AU11,0)</f>
        <v>46811.596413460866</v>
      </c>
      <c r="AV34" s="817"/>
      <c r="AW34" s="1170"/>
    </row>
    <row r="35" spans="1:49" ht="15">
      <c r="A35" s="142"/>
      <c r="B35" s="818"/>
      <c r="C35" s="818"/>
      <c r="D35" s="818"/>
      <c r="E35" s="818"/>
      <c r="F35" s="818"/>
      <c r="G35" s="818"/>
      <c r="H35" s="818"/>
      <c r="I35" s="818"/>
      <c r="J35" s="818"/>
      <c r="K35" s="818"/>
      <c r="L35" s="818"/>
      <c r="M35" s="818"/>
      <c r="N35" s="818"/>
      <c r="O35" s="818"/>
      <c r="P35" s="818"/>
      <c r="Q35" s="818"/>
      <c r="R35" s="818"/>
      <c r="S35" s="818"/>
      <c r="T35" s="818"/>
      <c r="U35" s="818"/>
      <c r="V35" s="818"/>
      <c r="W35" s="818"/>
      <c r="X35" s="818"/>
      <c r="Y35" s="818"/>
      <c r="Z35" s="818"/>
      <c r="AA35" s="818"/>
      <c r="AB35" s="818"/>
      <c r="AC35" s="818"/>
      <c r="AD35" s="818"/>
      <c r="AE35" s="818"/>
      <c r="AF35" s="818"/>
      <c r="AG35" s="818"/>
      <c r="AH35" s="818"/>
      <c r="AI35" s="818"/>
      <c r="AJ35" s="818"/>
      <c r="AK35" s="818"/>
      <c r="AL35" s="818"/>
      <c r="AM35" s="818"/>
      <c r="AN35" s="818"/>
      <c r="AO35" s="818"/>
      <c r="AP35" s="818"/>
      <c r="AQ35" s="818"/>
      <c r="AR35" s="818"/>
      <c r="AS35" s="818"/>
      <c r="AT35" s="818"/>
      <c r="AU35" s="1057"/>
      <c r="AV35" s="817"/>
      <c r="AW35" s="1170"/>
    </row>
    <row r="36" spans="1:49" ht="15.6">
      <c r="A36" s="1687" t="s">
        <v>1806</v>
      </c>
      <c r="B36" s="818">
        <f>B33+SUM(B41:B49)</f>
        <v>0</v>
      </c>
      <c r="C36" s="818">
        <f t="shared" ref="C36:AT36" si="26">C33+SUM(C41:C49)</f>
        <v>0</v>
      </c>
      <c r="D36" s="818">
        <f t="shared" si="26"/>
        <v>0</v>
      </c>
      <c r="E36" s="818">
        <f t="shared" si="26"/>
        <v>0</v>
      </c>
      <c r="F36" s="818">
        <f t="shared" si="26"/>
        <v>0</v>
      </c>
      <c r="G36" s="818">
        <f t="shared" si="26"/>
        <v>0</v>
      </c>
      <c r="H36" s="818">
        <f t="shared" si="26"/>
        <v>0</v>
      </c>
      <c r="I36" s="818">
        <f t="shared" si="26"/>
        <v>0</v>
      </c>
      <c r="J36" s="818">
        <f t="shared" si="26"/>
        <v>0</v>
      </c>
      <c r="K36" s="818">
        <f t="shared" si="26"/>
        <v>0</v>
      </c>
      <c r="L36" s="818">
        <f t="shared" si="26"/>
        <v>0</v>
      </c>
      <c r="M36" s="818">
        <f t="shared" si="26"/>
        <v>0</v>
      </c>
      <c r="N36" s="818">
        <f t="shared" si="26"/>
        <v>0</v>
      </c>
      <c r="O36" s="818">
        <f t="shared" si="26"/>
        <v>0</v>
      </c>
      <c r="P36" s="818">
        <f t="shared" si="26"/>
        <v>0</v>
      </c>
      <c r="Q36" s="818">
        <f t="shared" si="26"/>
        <v>0</v>
      </c>
      <c r="R36" s="818">
        <f t="shared" si="26"/>
        <v>0</v>
      </c>
      <c r="S36" s="818">
        <f t="shared" si="26"/>
        <v>0</v>
      </c>
      <c r="T36" s="818">
        <f t="shared" si="26"/>
        <v>0</v>
      </c>
      <c r="U36" s="818">
        <f t="shared" si="26"/>
        <v>0</v>
      </c>
      <c r="V36" s="818">
        <f t="shared" si="26"/>
        <v>0</v>
      </c>
      <c r="W36" s="818">
        <f t="shared" si="26"/>
        <v>0</v>
      </c>
      <c r="X36" s="818">
        <f t="shared" si="26"/>
        <v>706089.82383540156</v>
      </c>
      <c r="Y36" s="818">
        <f t="shared" si="26"/>
        <v>2056132.0809570833</v>
      </c>
      <c r="Z36" s="818">
        <f t="shared" si="26"/>
        <v>2645535.2346146172</v>
      </c>
      <c r="AA36" s="818">
        <f t="shared" si="26"/>
        <v>1910959.553406659</v>
      </c>
      <c r="AB36" s="818">
        <f t="shared" si="26"/>
        <v>0</v>
      </c>
      <c r="AC36" s="818">
        <f t="shared" si="26"/>
        <v>5201172.2728061713</v>
      </c>
      <c r="AD36" s="818">
        <f t="shared" si="26"/>
        <v>8812225.7435496338</v>
      </c>
      <c r="AE36" s="818">
        <f t="shared" si="26"/>
        <v>11228609.926951282</v>
      </c>
      <c r="AF36" s="818">
        <f t="shared" si="26"/>
        <v>3857495.3870769967</v>
      </c>
      <c r="AG36" s="818">
        <f t="shared" si="26"/>
        <v>14569090.167004967</v>
      </c>
      <c r="AH36" s="818">
        <f t="shared" si="26"/>
        <v>9166758.1961062662</v>
      </c>
      <c r="AI36" s="818">
        <f t="shared" si="26"/>
        <v>9246672.6631846167</v>
      </c>
      <c r="AJ36" s="818">
        <f t="shared" si="26"/>
        <v>4067293.6770874495</v>
      </c>
      <c r="AK36" s="818">
        <f t="shared" si="26"/>
        <v>7669245.9142419845</v>
      </c>
      <c r="AL36" s="818">
        <f t="shared" si="26"/>
        <v>6228925.4772421569</v>
      </c>
      <c r="AM36" s="818">
        <f t="shared" si="26"/>
        <v>7403195.9003774747</v>
      </c>
      <c r="AN36" s="818">
        <f t="shared" si="26"/>
        <v>0</v>
      </c>
      <c r="AO36" s="818">
        <f t="shared" si="26"/>
        <v>9485779.950947972</v>
      </c>
      <c r="AP36" s="818">
        <f t="shared" si="26"/>
        <v>3957961.6943337768</v>
      </c>
      <c r="AQ36" s="818">
        <f t="shared" si="26"/>
        <v>14355723.399029911</v>
      </c>
      <c r="AR36" s="818">
        <f t="shared" si="26"/>
        <v>0</v>
      </c>
      <c r="AS36" s="818">
        <f t="shared" si="26"/>
        <v>0</v>
      </c>
      <c r="AT36" s="818">
        <f t="shared" si="26"/>
        <v>0</v>
      </c>
      <c r="AU36" s="818">
        <f t="shared" ref="AU36" si="27">AU33+SUM(AU41:AU46)</f>
        <v>122568867.06275441</v>
      </c>
      <c r="AV36" s="817"/>
      <c r="AW36" s="1170"/>
    </row>
    <row r="37" spans="1:49" ht="15.6">
      <c r="A37" s="1066" t="str">
        <f>+'Grasmere Pig Cost'!A40</f>
        <v>Month Feed consumption</v>
      </c>
      <c r="B37" s="1682">
        <f t="shared" ref="B37:R37" si="28">B69*$B$61</f>
        <v>0</v>
      </c>
      <c r="C37" s="1682">
        <f t="shared" si="28"/>
        <v>0</v>
      </c>
      <c r="D37" s="1682">
        <f t="shared" si="28"/>
        <v>0</v>
      </c>
      <c r="E37" s="1682">
        <f t="shared" si="28"/>
        <v>0</v>
      </c>
      <c r="F37" s="1682">
        <f t="shared" si="28"/>
        <v>0</v>
      </c>
      <c r="G37" s="1682">
        <f t="shared" si="28"/>
        <v>0</v>
      </c>
      <c r="H37" s="1682">
        <f t="shared" si="28"/>
        <v>0</v>
      </c>
      <c r="I37" s="1682">
        <f t="shared" si="28"/>
        <v>0</v>
      </c>
      <c r="J37" s="1682">
        <f t="shared" si="28"/>
        <v>0</v>
      </c>
      <c r="K37" s="1682">
        <f t="shared" si="28"/>
        <v>0</v>
      </c>
      <c r="L37" s="1682">
        <f t="shared" si="28"/>
        <v>0</v>
      </c>
      <c r="M37" s="1682">
        <f t="shared" si="28"/>
        <v>0</v>
      </c>
      <c r="N37" s="1682">
        <f t="shared" si="28"/>
        <v>0</v>
      </c>
      <c r="O37" s="1682">
        <f t="shared" si="28"/>
        <v>0</v>
      </c>
      <c r="P37" s="1682">
        <f t="shared" si="28"/>
        <v>0</v>
      </c>
      <c r="Q37" s="1682">
        <f t="shared" si="28"/>
        <v>0</v>
      </c>
      <c r="R37" s="1682">
        <f t="shared" si="28"/>
        <v>0</v>
      </c>
      <c r="S37" s="1683">
        <f>S69*$D$61</f>
        <v>0</v>
      </c>
      <c r="T37" s="1683">
        <f>T69*$D$61</f>
        <v>0</v>
      </c>
      <c r="U37" s="1683">
        <f>U69*$D$61</f>
        <v>0</v>
      </c>
      <c r="V37" s="1732">
        <f>+V69*'Feed Cost &amp; Allocation'!B79</f>
        <v>0</v>
      </c>
      <c r="W37" s="1732">
        <f>+(W69*'Feed Cost &amp; Allocation'!B79-'Feed Cost &amp; Allocation'!B79)</f>
        <v>0</v>
      </c>
      <c r="X37" s="1509">
        <f>X26/(X26+Y26)*('Feed Cost &amp; Allocation'!B79+'Feed Cost &amp; Allocation'!C79)</f>
        <v>1648.3195020746889</v>
      </c>
      <c r="Y37" s="1511">
        <f>Y26/(X26+Y26)*('Feed Cost &amp; Allocation'!B79+'Feed Cost &amp; Allocation'!C79)</f>
        <v>3946.6804979253116</v>
      </c>
      <c r="Z37" s="1677">
        <f>Z26/(Z26+AA26+AB26+AC26)*'Feed Cost &amp; Allocation'!D79</f>
        <v>0</v>
      </c>
      <c r="AA37" s="1677">
        <f>AA26/(Z26+AA26+AB26+AC26)*'Feed Cost &amp; Allocation'!D79</f>
        <v>0</v>
      </c>
      <c r="AB37" s="1677">
        <f>AB26/(AA26+AB26+AC26+Z26)*'Feed Cost &amp; Allocation'!D79</f>
        <v>0</v>
      </c>
      <c r="AC37" s="1677">
        <f>AC26/(AB26+AC26+AA26+Z26)*'Feed Cost &amp; Allocation'!D79</f>
        <v>0</v>
      </c>
      <c r="AD37" s="1678">
        <f>(AD26/(AD26+AE26))*'Feed Cost &amp; Allocation'!F79</f>
        <v>6943.1769722814497</v>
      </c>
      <c r="AE37" s="1678">
        <f>+'Feed Cost &amp; Allocation'!F79-AD37</f>
        <v>12211.82302771855</v>
      </c>
      <c r="AF37" s="1679">
        <f>IFERROR(AF7/(AF7+AG7)*'Feed Cost &amp; Allocation'!G79,0)</f>
        <v>9363.8725490196084</v>
      </c>
      <c r="AG37" s="1679">
        <f>IFERROR(AG7/(AF7+AG7)*'Feed Cost &amp; Allocation'!G79,0)</f>
        <v>17925.127450980392</v>
      </c>
      <c r="AH37" s="1680">
        <f>AH7/(AH7+AI7)*('Feed Cost &amp; Allocation'!H79)</f>
        <v>17806.17088607595</v>
      </c>
      <c r="AI37" s="1680">
        <f>AI7/(AH7+AI7)*('Feed Cost &amp; Allocation'!H79)</f>
        <v>17693.82911392405</v>
      </c>
      <c r="AJ37" s="1681">
        <f>AJ7/(AJ7+AK7+AL7+AM7+AN7)*'Feed Cost &amp; Allocation'!J79</f>
        <v>17670.084158415841</v>
      </c>
      <c r="AK37" s="1681">
        <f>AK7/(AJ7+AK7+AL7+AM7+AN7)*'Feed Cost &amp; Allocation'!J79</f>
        <v>25763.252475247522</v>
      </c>
      <c r="AL37" s="1681">
        <f>AL7/(AJ7+AK7+AL7+AM7+AN7)*'Feed Cost &amp; Allocation'!J79</f>
        <v>28865.633663366338</v>
      </c>
      <c r="AM37" s="1681">
        <f>AM7/(AJ7+AK7+AL7+AM7+AN7)*'Feed Cost &amp; Allocation'!J79</f>
        <v>9442.0297029702961</v>
      </c>
      <c r="AN37" s="1681">
        <f>AN7/(AJ7+AK7+AL7+AM7+AN7)*'Feed Cost &amp; Allocation'!J79</f>
        <v>0</v>
      </c>
      <c r="AO37" s="1121">
        <v>0</v>
      </c>
      <c r="AP37" s="1121">
        <v>0</v>
      </c>
      <c r="AQ37" s="1121">
        <v>0</v>
      </c>
      <c r="AR37" s="1121">
        <v>0</v>
      </c>
      <c r="AS37" s="1121">
        <v>0</v>
      </c>
      <c r="AT37" s="1121"/>
      <c r="AU37" s="807">
        <f>SUM(B37:AT37)</f>
        <v>169280</v>
      </c>
      <c r="AV37" s="1199">
        <f>+AU37-'Feed Cost &amp; Allocation'!Z79+'Feed Cost &amp; Allocation'!R79+'Feed Cost &amp; Allocation'!Q79+'Feed Cost &amp; Allocation'!P79-F60</f>
        <v>169280</v>
      </c>
      <c r="AW37" s="818">
        <f>+'Feed Cost &amp; Allocation'!P79+'Feed Cost &amp; Allocation'!Q79+'Feed Cost &amp; Allocation'!R79-'Lionhead Ext. Pig Cost (2)'!F60</f>
        <v>0</v>
      </c>
    </row>
    <row r="38" spans="1:49" ht="15.6">
      <c r="A38" s="131" t="s">
        <v>1808</v>
      </c>
      <c r="J38" s="24">
        <f>SUM(J36:J37)</f>
        <v>0</v>
      </c>
      <c r="K38" s="24">
        <f t="shared" ref="K38:AS38" si="29">SUM(K36:K37)</f>
        <v>0</v>
      </c>
      <c r="L38" s="24">
        <f t="shared" si="29"/>
        <v>0</v>
      </c>
      <c r="M38" s="24">
        <f t="shared" si="29"/>
        <v>0</v>
      </c>
      <c r="N38" s="24">
        <f t="shared" si="29"/>
        <v>0</v>
      </c>
      <c r="O38" s="24">
        <f t="shared" si="29"/>
        <v>0</v>
      </c>
      <c r="P38" s="24">
        <f t="shared" si="29"/>
        <v>0</v>
      </c>
      <c r="Q38" s="24">
        <f t="shared" si="29"/>
        <v>0</v>
      </c>
      <c r="R38" s="24">
        <f t="shared" si="29"/>
        <v>0</v>
      </c>
      <c r="S38" s="24">
        <f t="shared" si="29"/>
        <v>0</v>
      </c>
      <c r="T38" s="24">
        <f t="shared" si="29"/>
        <v>0</v>
      </c>
      <c r="U38" s="24">
        <f t="shared" si="29"/>
        <v>0</v>
      </c>
      <c r="V38" s="24">
        <f t="shared" si="29"/>
        <v>0</v>
      </c>
      <c r="W38" s="24">
        <f t="shared" si="29"/>
        <v>0</v>
      </c>
      <c r="X38" s="24">
        <f>SUM(X36:X37)</f>
        <v>707738.1433374763</v>
      </c>
      <c r="Y38" s="24">
        <f t="shared" si="29"/>
        <v>2060078.7614550085</v>
      </c>
      <c r="Z38" s="24">
        <f t="shared" si="29"/>
        <v>2645535.2346146172</v>
      </c>
      <c r="AA38" s="24">
        <f t="shared" si="29"/>
        <v>1910959.553406659</v>
      </c>
      <c r="AB38" s="24">
        <f t="shared" si="29"/>
        <v>0</v>
      </c>
      <c r="AC38" s="24">
        <f t="shared" si="29"/>
        <v>5201172.2728061713</v>
      </c>
      <c r="AD38" s="24">
        <f t="shared" si="29"/>
        <v>8819168.920521915</v>
      </c>
      <c r="AE38" s="24">
        <f>SUM(AE36:AE37)</f>
        <v>11240821.749979001</v>
      </c>
      <c r="AF38" s="24">
        <f t="shared" si="29"/>
        <v>3866859.2596260165</v>
      </c>
      <c r="AG38" s="24">
        <f t="shared" si="29"/>
        <v>14587015.294455947</v>
      </c>
      <c r="AH38" s="24">
        <f t="shared" si="29"/>
        <v>9184564.3669923414</v>
      </c>
      <c r="AI38" s="24">
        <f>SUM(AI36:AI37)</f>
        <v>9264366.4922985416</v>
      </c>
      <c r="AJ38" s="24">
        <f t="shared" si="29"/>
        <v>4084963.7612458654</v>
      </c>
      <c r="AK38" s="24">
        <f t="shared" si="29"/>
        <v>7695009.1667172322</v>
      </c>
      <c r="AL38" s="24">
        <f t="shared" si="29"/>
        <v>6257791.1109055234</v>
      </c>
      <c r="AM38" s="24">
        <f t="shared" si="29"/>
        <v>7412637.9300804455</v>
      </c>
      <c r="AN38" s="24">
        <f>SUM(AN36:AN37)</f>
        <v>0</v>
      </c>
      <c r="AO38" s="24">
        <f>SUM(AO36:AO37)</f>
        <v>9485779.950947972</v>
      </c>
      <c r="AP38" s="24">
        <f t="shared" si="29"/>
        <v>3957961.6943337768</v>
      </c>
      <c r="AQ38" s="24">
        <f t="shared" si="29"/>
        <v>14355723.399029911</v>
      </c>
      <c r="AR38" s="24">
        <f t="shared" si="29"/>
        <v>0</v>
      </c>
      <c r="AS38" s="24">
        <f t="shared" si="29"/>
        <v>0</v>
      </c>
      <c r="AT38" s="24">
        <f>SUM(AT36:AT37)</f>
        <v>0</v>
      </c>
      <c r="AU38" s="24">
        <f>SUM(AU36:AU37)</f>
        <v>122738147.06275441</v>
      </c>
    </row>
    <row r="39" spans="1:49" ht="15.6">
      <c r="A39" s="131" t="s">
        <v>1809</v>
      </c>
      <c r="S39">
        <f>IFERROR(S38/SUM(S11:S20),0)</f>
        <v>0</v>
      </c>
      <c r="T39">
        <f t="shared" ref="T39:AS39" si="30">IFERROR(T38/SUM(T11:T20),0)</f>
        <v>0</v>
      </c>
      <c r="U39">
        <f t="shared" si="30"/>
        <v>0</v>
      </c>
      <c r="V39">
        <f t="shared" si="30"/>
        <v>0</v>
      </c>
      <c r="W39">
        <f t="shared" si="30"/>
        <v>0</v>
      </c>
      <c r="X39">
        <f t="shared" si="30"/>
        <v>9968.1428639081169</v>
      </c>
      <c r="Y39">
        <f t="shared" si="30"/>
        <v>12118.11036150005</v>
      </c>
      <c r="Z39">
        <f t="shared" si="30"/>
        <v>8818.4507820487233</v>
      </c>
      <c r="AA39">
        <f t="shared" si="30"/>
        <v>13649.71109576185</v>
      </c>
      <c r="AB39">
        <f t="shared" si="30"/>
        <v>0</v>
      </c>
      <c r="AC39">
        <f t="shared" si="30"/>
        <v>73255.947504312266</v>
      </c>
      <c r="AD39">
        <f t="shared" si="30"/>
        <v>51877.464238364206</v>
      </c>
      <c r="AE39">
        <f t="shared" si="30"/>
        <v>37469.405833263336</v>
      </c>
      <c r="AF39">
        <f t="shared" si="30"/>
        <v>27620.423283042976</v>
      </c>
      <c r="AG39">
        <f t="shared" si="30"/>
        <v>54429.161546477415</v>
      </c>
      <c r="AH39">
        <f t="shared" si="30"/>
        <v>28973.389170322844</v>
      </c>
      <c r="AI39">
        <f t="shared" si="30"/>
        <v>29410.687277138226</v>
      </c>
      <c r="AJ39">
        <f>IFERROR(AJ38/SUM(AJ11:AJ20),0)</f>
        <v>31182.929475159279</v>
      </c>
      <c r="AK39">
        <f t="shared" si="30"/>
        <v>40288.006108467183</v>
      </c>
      <c r="AL39">
        <f t="shared" si="30"/>
        <v>29242.014536941697</v>
      </c>
      <c r="AM39">
        <f t="shared" si="30"/>
        <v>105894.82757257779</v>
      </c>
      <c r="AN39">
        <f t="shared" si="30"/>
        <v>0</v>
      </c>
      <c r="AO39">
        <f t="shared" si="30"/>
        <v>68737.535876434573</v>
      </c>
      <c r="AP39">
        <f t="shared" si="30"/>
        <v>79159.233886675531</v>
      </c>
      <c r="AQ39">
        <f t="shared" si="30"/>
        <v>165008.31493137829</v>
      </c>
      <c r="AR39">
        <f t="shared" si="30"/>
        <v>0</v>
      </c>
      <c r="AS39">
        <f t="shared" si="30"/>
        <v>0</v>
      </c>
      <c r="AT39">
        <f>IFERROR(AT38/SUM(AT11:AT20),0)</f>
        <v>0</v>
      </c>
      <c r="AU39">
        <f>IFERROR(AU38/SUM(AU11:AU20),0)</f>
        <v>39051.271734888454</v>
      </c>
    </row>
    <row r="40" spans="1:49" ht="15.6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074"/>
      <c r="T40" s="1074"/>
      <c r="U40" s="1074"/>
      <c r="V40" s="1074"/>
      <c r="W40" s="1074"/>
      <c r="X40" s="1074"/>
      <c r="Y40" s="1074"/>
      <c r="Z40" s="1074"/>
      <c r="AA40" s="1074"/>
      <c r="AB40" s="1074"/>
      <c r="AC40" s="1074"/>
      <c r="AD40" s="1074"/>
      <c r="AE40" s="1074"/>
      <c r="AF40" s="1074"/>
      <c r="AG40" s="1074"/>
      <c r="AH40" s="1074"/>
      <c r="AI40" s="1074"/>
      <c r="AJ40" s="1074"/>
      <c r="AK40" s="1074"/>
      <c r="AL40" s="1074"/>
      <c r="AM40" s="1074"/>
      <c r="AN40" s="1074"/>
      <c r="AO40" s="1074"/>
      <c r="AP40" s="1074"/>
      <c r="AQ40" s="1074"/>
      <c r="AR40" s="1074"/>
      <c r="AS40" s="1074"/>
      <c r="AT40" s="1074"/>
      <c r="AU40" s="1097"/>
      <c r="AV40" s="142"/>
      <c r="AW40" s="142"/>
    </row>
    <row r="41" spans="1:49" ht="15.6">
      <c r="A41" s="1769" t="str">
        <f t="shared" ref="A41:A54" si="31">+A12</f>
        <v>Transfers Grasmere</v>
      </c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059">
        <f>-'Grasmere Pig Cost (2)'!S42</f>
        <v>0</v>
      </c>
      <c r="T41" s="1059">
        <f>-'Grasmere Pig Cost (2)'!T42</f>
        <v>0</v>
      </c>
      <c r="U41" s="1059">
        <f>-'Grasmere Pig Cost (2)'!U42</f>
        <v>0</v>
      </c>
      <c r="V41" s="1059">
        <f>-'Grasmere Pig Cost (2)'!V42</f>
        <v>0</v>
      </c>
      <c r="W41" s="1059">
        <f>-'Grasmere Pig Cost (2)'!W42</f>
        <v>0</v>
      </c>
      <c r="X41" s="1059">
        <f>-'Grasmere Pig Cost (2)'!X42</f>
        <v>0</v>
      </c>
      <c r="Y41" s="1059">
        <f>-'Grasmere Pig Cost (2)'!Y42</f>
        <v>0</v>
      </c>
      <c r="Z41" s="1059">
        <f>-'Grasmere Pig Cost (2)'!Z42</f>
        <v>0</v>
      </c>
      <c r="AA41" s="1059">
        <f>-'Grasmere Pig Cost (2)'!AA42</f>
        <v>0</v>
      </c>
      <c r="AB41" s="1059">
        <f>-'Grasmere Pig Cost (2)'!AB42</f>
        <v>0</v>
      </c>
      <c r="AC41" s="1059">
        <f>-'Grasmere Pig Cost (2)'!AC42</f>
        <v>0</v>
      </c>
      <c r="AD41" s="1059">
        <f>-'Grasmere Pig Cost (2)'!AD42</f>
        <v>0</v>
      </c>
      <c r="AE41" s="1059">
        <f>-'Grasmere Pig Cost (2)'!AE42</f>
        <v>0</v>
      </c>
      <c r="AF41" s="1059">
        <f>-'Grasmere Pig Cost (2)'!AF42</f>
        <v>0</v>
      </c>
      <c r="AG41" s="1059">
        <f>-'Grasmere Pig Cost (2)'!AG42</f>
        <v>0</v>
      </c>
      <c r="AH41" s="1059">
        <f>-'Grasmere Pig Cost (2)'!AH42</f>
        <v>0</v>
      </c>
      <c r="AI41" s="1059">
        <f>-'Grasmere Pig Cost (2)'!AI42</f>
        <v>0</v>
      </c>
      <c r="AJ41" s="1059">
        <f>-'Grasmere Pig Cost (2)'!AJ42</f>
        <v>0</v>
      </c>
      <c r="AK41" s="1059">
        <f>-'Grasmere Pig Cost (2)'!AK42</f>
        <v>0</v>
      </c>
      <c r="AL41" s="1059">
        <f>-'Grasmere Pig Cost (2)'!AL42</f>
        <v>0</v>
      </c>
      <c r="AM41" s="1059">
        <f>-'Grasmere Pig Cost (2)'!AM42</f>
        <v>0</v>
      </c>
      <c r="AN41" s="1059">
        <f>-'Grasmere Pig Cost (2)'!AN42</f>
        <v>0</v>
      </c>
      <c r="AO41" s="1059">
        <f>-'Grasmere Pig Cost (2)'!AO42</f>
        <v>0</v>
      </c>
      <c r="AP41" s="1059">
        <f>-'Grasmere Pig Cost (2)'!AP42</f>
        <v>0</v>
      </c>
      <c r="AQ41" s="1059">
        <f>-'Grasmere Pig Cost (2)'!AQ42</f>
        <v>0</v>
      </c>
      <c r="AR41" s="1059">
        <f>-'Grasmere Pig Cost (2)'!AR42</f>
        <v>0</v>
      </c>
      <c r="AS41" s="1059">
        <f>-'Grasmere Pig Cost (2)'!AS42</f>
        <v>0</v>
      </c>
      <c r="AT41" s="1059">
        <f>-'Grasmere Pig Cost (2)'!AT42</f>
        <v>0</v>
      </c>
      <c r="AU41" s="1282">
        <f>SUM(B41:AT41)</f>
        <v>0</v>
      </c>
      <c r="AV41" s="142"/>
      <c r="AW41" s="142"/>
    </row>
    <row r="42" spans="1:49" ht="15.6">
      <c r="A42" s="1769" t="str">
        <f t="shared" si="31"/>
        <v>Transfers Lionshead</v>
      </c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059">
        <f>-'Lionhead Pig Cost (2)'!S42</f>
        <v>0</v>
      </c>
      <c r="T42" s="1059">
        <f>-'Lionhead Pig Cost (2)'!T42</f>
        <v>0</v>
      </c>
      <c r="U42" s="1059">
        <f>-'Lionhead Pig Cost (2)'!U42</f>
        <v>0</v>
      </c>
      <c r="V42" s="1059">
        <f>-'Lionhead Pig Cost (2)'!V42</f>
        <v>0</v>
      </c>
      <c r="W42" s="1059">
        <f>-'Lionhead Pig Cost (2)'!W42</f>
        <v>0</v>
      </c>
      <c r="X42" s="1059">
        <f>-'Lionhead Pig Cost (2)'!X42</f>
        <v>706089.82383540156</v>
      </c>
      <c r="Y42" s="1059">
        <f>-'Lionhead Pig Cost (2)'!Y42</f>
        <v>2056132.0809570833</v>
      </c>
      <c r="Z42" s="1059">
        <f>-'Lionhead Pig Cost (2)'!Z42</f>
        <v>2645535.2346146172</v>
      </c>
      <c r="AA42" s="1059">
        <f>-'Lionhead Pig Cost (2)'!AA42</f>
        <v>1258683.0063641015</v>
      </c>
      <c r="AB42" s="1059">
        <f>-'Lionhead Pig Cost (2)'!AB42</f>
        <v>0</v>
      </c>
      <c r="AC42" s="1059">
        <f>-'Lionhead Pig Cost (2)'!AC42</f>
        <v>0</v>
      </c>
      <c r="AD42" s="1059">
        <f>-'Lionhead Pig Cost (2)'!AD42</f>
        <v>0</v>
      </c>
      <c r="AE42" s="1059">
        <f>-'Lionhead Pig Cost (2)'!AE42</f>
        <v>0</v>
      </c>
      <c r="AF42" s="1059">
        <f>-'Lionhead Pig Cost (2)'!AF42</f>
        <v>0</v>
      </c>
      <c r="AG42" s="1059">
        <f>-'Lionhead Pig Cost (2)'!AG42</f>
        <v>0</v>
      </c>
      <c r="AH42" s="1059">
        <f>-'Lionhead Pig Cost (2)'!AH42</f>
        <v>0</v>
      </c>
      <c r="AI42" s="1059">
        <f>-'Lionhead Pig Cost (2)'!AI42</f>
        <v>0</v>
      </c>
      <c r="AJ42" s="1059">
        <f>-'Lionhead Pig Cost (2)'!AJ42</f>
        <v>0</v>
      </c>
      <c r="AK42" s="1059">
        <f>-'Lionhead Pig Cost (2)'!AK42</f>
        <v>0</v>
      </c>
      <c r="AL42" s="1059">
        <f>-'Lionhead Pig Cost (2)'!AL42</f>
        <v>0</v>
      </c>
      <c r="AM42" s="1059">
        <f>-'Lionhead Pig Cost (2)'!AM42</f>
        <v>0</v>
      </c>
      <c r="AN42" s="1059">
        <f>-'Lionhead Pig Cost (2)'!AN42</f>
        <v>0</v>
      </c>
      <c r="AO42" s="1059">
        <f>-'Lionhead Pig Cost (2)'!AO42</f>
        <v>0</v>
      </c>
      <c r="AP42" s="1059">
        <f>-'Lionhead Pig Cost (2)'!AP42</f>
        <v>0</v>
      </c>
      <c r="AQ42" s="1059">
        <f>-'Lionhead Pig Cost (2)'!AQ42</f>
        <v>0</v>
      </c>
      <c r="AR42" s="1059">
        <f>-'Lionhead Pig Cost (2)'!AR42</f>
        <v>0</v>
      </c>
      <c r="AS42" s="1059">
        <f>-'Lionhead Pig Cost (2)'!AS42</f>
        <v>0</v>
      </c>
      <c r="AT42" s="1059">
        <f>-'Lionhead Pig Cost (2)'!AT42</f>
        <v>0</v>
      </c>
      <c r="AU42" s="1282">
        <f t="shared" ref="AU42:AU53" si="32">SUM(B42:AT42)</f>
        <v>6666440.1457712036</v>
      </c>
      <c r="AV42" s="142"/>
      <c r="AW42" s="142"/>
    </row>
    <row r="43" spans="1:49" ht="17.25" customHeight="1">
      <c r="A43" s="1769" t="str">
        <f t="shared" si="31"/>
        <v>Transfers  Richlands</v>
      </c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059">
        <f>-'Richlands Pig Cost (2)'!S42</f>
        <v>0</v>
      </c>
      <c r="T43" s="1059">
        <f>-'Richlands Pig Cost (2)'!T42</f>
        <v>0</v>
      </c>
      <c r="U43" s="1059">
        <f>-'Richlands Pig Cost (2)'!U42</f>
        <v>0</v>
      </c>
      <c r="V43" s="1059">
        <f>-'Richlands Pig Cost (2)'!V42</f>
        <v>0</v>
      </c>
      <c r="W43" s="1059">
        <f>-'Richlands Pig Cost (2)'!W42</f>
        <v>0</v>
      </c>
      <c r="X43" s="1059">
        <f>-'Richlands Pig Cost (2)'!X42</f>
        <v>0</v>
      </c>
      <c r="Y43" s="1059">
        <f>-'Richlands Pig Cost (2)'!Y42</f>
        <v>0</v>
      </c>
      <c r="Z43" s="1059">
        <f>-'Richlands Pig Cost (2)'!Z42</f>
        <v>0</v>
      </c>
      <c r="AA43" s="1059">
        <f>-'Richlands Pig Cost (2)'!AA42</f>
        <v>652276.54704255739</v>
      </c>
      <c r="AB43" s="1059">
        <f>-'Richlands Pig Cost (2)'!AB42</f>
        <v>0</v>
      </c>
      <c r="AC43" s="1059">
        <f>-'Richlands Pig Cost (2)'!AC42</f>
        <v>0</v>
      </c>
      <c r="AD43" s="1059">
        <f>-'Richlands Pig Cost (2)'!AD42</f>
        <v>0</v>
      </c>
      <c r="AE43" s="1059">
        <f>-'Richlands Pig Cost (2)'!AE42</f>
        <v>0</v>
      </c>
      <c r="AF43" s="1059">
        <f>-'Richlands Pig Cost (2)'!AF42</f>
        <v>0</v>
      </c>
      <c r="AG43" s="1059">
        <f>-'Richlands Pig Cost (2)'!AG42</f>
        <v>0</v>
      </c>
      <c r="AH43" s="1059">
        <f>-'Richlands Pig Cost (2)'!AH42</f>
        <v>0</v>
      </c>
      <c r="AI43" s="1059">
        <f>-'Richlands Pig Cost (2)'!AI42</f>
        <v>0</v>
      </c>
      <c r="AJ43" s="1059">
        <f>-'Richlands Pig Cost (2)'!AJ42</f>
        <v>0</v>
      </c>
      <c r="AK43" s="1059">
        <f>-'Richlands Pig Cost (2)'!AK42</f>
        <v>0</v>
      </c>
      <c r="AL43" s="1059">
        <f>-'Richlands Pig Cost (2)'!AL42</f>
        <v>0</v>
      </c>
      <c r="AM43" s="1059">
        <f>-'Richlands Pig Cost (2)'!AM42</f>
        <v>0</v>
      </c>
      <c r="AN43" s="1059">
        <f>-'Richlands Pig Cost (2)'!AN42</f>
        <v>0</v>
      </c>
      <c r="AO43" s="1059">
        <f>-'Richlands Pig Cost (2)'!AO42</f>
        <v>0</v>
      </c>
      <c r="AP43" s="1059">
        <f>-'Richlands Pig Cost (2)'!AP42</f>
        <v>0</v>
      </c>
      <c r="AQ43" s="1059">
        <f>-'Richlands Pig Cost (2)'!AQ42</f>
        <v>0</v>
      </c>
      <c r="AR43" s="1059">
        <f>-'Richlands Pig Cost (2)'!AR42</f>
        <v>0</v>
      </c>
      <c r="AS43" s="1059">
        <f>-'Richlands Pig Cost (2)'!AS42</f>
        <v>0</v>
      </c>
      <c r="AT43" s="1059">
        <f>-'Richlands Pig Cost (2)'!AT42</f>
        <v>0</v>
      </c>
      <c r="AU43" s="1282">
        <f t="shared" si="32"/>
        <v>652276.54704255739</v>
      </c>
      <c r="AV43" s="142"/>
      <c r="AW43" s="142"/>
    </row>
    <row r="44" spans="1:49" ht="15.6">
      <c r="A44" s="1769" t="str">
        <f t="shared" si="31"/>
        <v>Transfers Learig</v>
      </c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059">
        <f>S15*S34</f>
        <v>0</v>
      </c>
      <c r="T44" s="1059">
        <f t="shared" ref="T44:AT44" si="33">T15*T34</f>
        <v>0</v>
      </c>
      <c r="U44" s="1059">
        <f t="shared" si="33"/>
        <v>0</v>
      </c>
      <c r="V44" s="1059">
        <f t="shared" si="33"/>
        <v>0</v>
      </c>
      <c r="W44" s="1059">
        <f t="shared" si="33"/>
        <v>0</v>
      </c>
      <c r="X44" s="1059">
        <f t="shared" si="33"/>
        <v>0</v>
      </c>
      <c r="Y44" s="1059">
        <f t="shared" si="33"/>
        <v>0</v>
      </c>
      <c r="Z44" s="1059">
        <f t="shared" si="33"/>
        <v>0</v>
      </c>
      <c r="AA44" s="1059">
        <f t="shared" si="33"/>
        <v>0</v>
      </c>
      <c r="AB44" s="1059">
        <f t="shared" si="33"/>
        <v>0</v>
      </c>
      <c r="AC44" s="1059">
        <f t="shared" si="33"/>
        <v>0</v>
      </c>
      <c r="AD44" s="1059">
        <f t="shared" si="33"/>
        <v>0</v>
      </c>
      <c r="AE44" s="1059">
        <f t="shared" si="33"/>
        <v>0</v>
      </c>
      <c r="AF44" s="1059">
        <f t="shared" si="33"/>
        <v>0</v>
      </c>
      <c r="AG44" s="1059">
        <f t="shared" si="33"/>
        <v>0</v>
      </c>
      <c r="AH44" s="1059">
        <f t="shared" si="33"/>
        <v>0</v>
      </c>
      <c r="AI44" s="1059">
        <f t="shared" si="33"/>
        <v>0</v>
      </c>
      <c r="AJ44" s="1059">
        <f t="shared" si="33"/>
        <v>0</v>
      </c>
      <c r="AK44" s="1059">
        <f t="shared" si="33"/>
        <v>0</v>
      </c>
      <c r="AL44" s="1059">
        <f t="shared" si="33"/>
        <v>0</v>
      </c>
      <c r="AM44" s="1059">
        <f t="shared" si="33"/>
        <v>0</v>
      </c>
      <c r="AN44" s="1059">
        <f t="shared" si="33"/>
        <v>0</v>
      </c>
      <c r="AO44" s="1059">
        <f t="shared" si="33"/>
        <v>0</v>
      </c>
      <c r="AP44" s="1059">
        <f t="shared" si="33"/>
        <v>0</v>
      </c>
      <c r="AQ44" s="1059">
        <f t="shared" si="33"/>
        <v>0</v>
      </c>
      <c r="AR44" s="1059">
        <f t="shared" si="33"/>
        <v>0</v>
      </c>
      <c r="AS44" s="1059">
        <f t="shared" si="33"/>
        <v>0</v>
      </c>
      <c r="AT44" s="1059">
        <f t="shared" si="33"/>
        <v>0</v>
      </c>
      <c r="AU44" s="1282">
        <f t="shared" si="32"/>
        <v>0</v>
      </c>
      <c r="AV44" s="142"/>
      <c r="AW44" s="142"/>
    </row>
    <row r="45" spans="1:49" ht="15.6">
      <c r="A45" s="1769" t="str">
        <f t="shared" si="31"/>
        <v>Transfers Villa</v>
      </c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059">
        <f>-'Villa Pig Cost (2)'!S42</f>
        <v>0</v>
      </c>
      <c r="T45" s="1059">
        <f>-'Villa Pig Cost (2)'!T42</f>
        <v>0</v>
      </c>
      <c r="U45" s="1059">
        <f>-'Villa Pig Cost (2)'!U42</f>
        <v>0</v>
      </c>
      <c r="V45" s="1059">
        <f>-'Villa Pig Cost (2)'!V42</f>
        <v>0</v>
      </c>
      <c r="W45" s="1059">
        <f>-'Villa Pig Cost (2)'!W42</f>
        <v>0</v>
      </c>
      <c r="X45" s="1059">
        <f>-'Villa Pig Cost (2)'!X42</f>
        <v>0</v>
      </c>
      <c r="Y45" s="1059">
        <f>-'Villa Pig Cost (2)'!Y42</f>
        <v>0</v>
      </c>
      <c r="Z45" s="1059">
        <f>-'Villa Pig Cost (2)'!Z42</f>
        <v>0</v>
      </c>
      <c r="AA45" s="1059">
        <f>-'Villa Pig Cost (2)'!AA42</f>
        <v>0</v>
      </c>
      <c r="AB45" s="1059">
        <f>-'Villa Pig Cost (2)'!AB42</f>
        <v>0</v>
      </c>
      <c r="AC45" s="1059">
        <f>-'Villa Pig Cost (2)'!AC42</f>
        <v>0</v>
      </c>
      <c r="AD45" s="1059">
        <f>-'Villa Pig Cost (2)'!AD42</f>
        <v>0</v>
      </c>
      <c r="AE45" s="1059">
        <f>-'Villa Pig Cost (2)'!AE42</f>
        <v>0</v>
      </c>
      <c r="AF45" s="1059">
        <f>-'Villa Pig Cost (2)'!AF42</f>
        <v>0</v>
      </c>
      <c r="AG45" s="1059">
        <f>-'Villa Pig Cost (2)'!AG42</f>
        <v>0</v>
      </c>
      <c r="AH45" s="1059">
        <f>-'Villa Pig Cost (2)'!AH42</f>
        <v>0</v>
      </c>
      <c r="AI45" s="1059">
        <f>-'Villa Pig Cost (2)'!AI42</f>
        <v>0</v>
      </c>
      <c r="AJ45" s="1059">
        <f>-'Villa Pig Cost (2)'!AJ42</f>
        <v>0</v>
      </c>
      <c r="AK45" s="1059">
        <f>-'Villa Pig Cost (2)'!AK42</f>
        <v>0</v>
      </c>
      <c r="AL45" s="1059">
        <f>-'Villa Pig Cost (2)'!AL42</f>
        <v>0</v>
      </c>
      <c r="AM45" s="1059">
        <f>-'Villa Pig Cost (2)'!AM42</f>
        <v>0</v>
      </c>
      <c r="AN45" s="1059">
        <f>-'Villa Pig Cost (2)'!AN42</f>
        <v>0</v>
      </c>
      <c r="AO45" s="1059">
        <f>-'Villa Pig Cost (2)'!AO42</f>
        <v>0</v>
      </c>
      <c r="AP45" s="1059">
        <f>-'Villa Pig Cost (2)'!AP42</f>
        <v>0</v>
      </c>
      <c r="AQ45" s="1059">
        <f>-'Villa Pig Cost (2)'!AQ42</f>
        <v>0</v>
      </c>
      <c r="AR45" s="1059">
        <f>-'Villa Pig Cost (2)'!AR42</f>
        <v>0</v>
      </c>
      <c r="AS45" s="1059">
        <f>-'Villa Pig Cost (2)'!AS42</f>
        <v>0</v>
      </c>
      <c r="AT45" s="1059">
        <f>-'Villa Pig Cost (2)'!AT42</f>
        <v>0</v>
      </c>
      <c r="AU45" s="1282">
        <f t="shared" si="32"/>
        <v>0</v>
      </c>
      <c r="AV45" s="142"/>
      <c r="AW45" s="142"/>
    </row>
    <row r="46" spans="1:49" ht="15.6">
      <c r="A46" s="1769" t="str">
        <f t="shared" si="31"/>
        <v>Transfers  Boars</v>
      </c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059">
        <f>S17*S34</f>
        <v>0</v>
      </c>
      <c r="T46" s="1059">
        <f t="shared" ref="T46:AR46" si="34">T17*T34</f>
        <v>0</v>
      </c>
      <c r="U46" s="1059">
        <f t="shared" si="34"/>
        <v>0</v>
      </c>
      <c r="V46" s="1059">
        <f t="shared" si="34"/>
        <v>0</v>
      </c>
      <c r="W46" s="1059">
        <f t="shared" si="34"/>
        <v>0</v>
      </c>
      <c r="X46" s="1059">
        <f t="shared" si="34"/>
        <v>0</v>
      </c>
      <c r="Y46" s="1059">
        <f t="shared" si="34"/>
        <v>0</v>
      </c>
      <c r="Z46" s="1059">
        <f t="shared" si="34"/>
        <v>0</v>
      </c>
      <c r="AA46" s="1059">
        <f t="shared" si="34"/>
        <v>0</v>
      </c>
      <c r="AB46" s="1059">
        <f t="shared" si="34"/>
        <v>0</v>
      </c>
      <c r="AC46" s="1059">
        <f t="shared" si="34"/>
        <v>0</v>
      </c>
      <c r="AD46" s="1059">
        <f t="shared" si="34"/>
        <v>0</v>
      </c>
      <c r="AE46" s="1059">
        <f t="shared" si="34"/>
        <v>0</v>
      </c>
      <c r="AF46" s="1059">
        <f t="shared" si="34"/>
        <v>0</v>
      </c>
      <c r="AG46" s="1059">
        <f t="shared" si="34"/>
        <v>0</v>
      </c>
      <c r="AH46" s="1059">
        <f t="shared" si="34"/>
        <v>0</v>
      </c>
      <c r="AI46" s="1059">
        <f t="shared" si="34"/>
        <v>0</v>
      </c>
      <c r="AJ46" s="1059">
        <f t="shared" si="34"/>
        <v>0</v>
      </c>
      <c r="AK46" s="1059">
        <f t="shared" si="34"/>
        <v>0</v>
      </c>
      <c r="AL46" s="1059">
        <f t="shared" si="34"/>
        <v>0</v>
      </c>
      <c r="AM46" s="1059">
        <f t="shared" si="34"/>
        <v>0</v>
      </c>
      <c r="AN46" s="1059">
        <f t="shared" si="34"/>
        <v>0</v>
      </c>
      <c r="AO46" s="1059">
        <f t="shared" si="34"/>
        <v>0</v>
      </c>
      <c r="AP46" s="1059">
        <f t="shared" si="34"/>
        <v>0</v>
      </c>
      <c r="AQ46" s="1059">
        <f t="shared" si="34"/>
        <v>0</v>
      </c>
      <c r="AR46" s="1059">
        <f t="shared" si="34"/>
        <v>0</v>
      </c>
      <c r="AS46" s="1059">
        <f>AS17*AS34</f>
        <v>0</v>
      </c>
      <c r="AT46" s="1059">
        <f t="shared" ref="AT46" si="35">AT17*AT34</f>
        <v>0</v>
      </c>
      <c r="AU46" s="1282">
        <f t="shared" si="32"/>
        <v>0</v>
      </c>
      <c r="AV46" s="142"/>
      <c r="AW46" s="142"/>
    </row>
    <row r="47" spans="1:49" ht="15.6">
      <c r="A47" s="1769" t="str">
        <f t="shared" si="31"/>
        <v>Transfers Grower</v>
      </c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059">
        <f>S18*S34</f>
        <v>0</v>
      </c>
      <c r="T47" s="1059">
        <f t="shared" ref="T47:AR47" si="36">T18*T34</f>
        <v>0</v>
      </c>
      <c r="U47" s="1059">
        <f t="shared" si="36"/>
        <v>0</v>
      </c>
      <c r="V47" s="1059">
        <f t="shared" si="36"/>
        <v>0</v>
      </c>
      <c r="W47" s="1059">
        <f t="shared" si="36"/>
        <v>0</v>
      </c>
      <c r="X47" s="1059">
        <f t="shared" si="36"/>
        <v>0</v>
      </c>
      <c r="Y47" s="1059">
        <f t="shared" si="36"/>
        <v>0</v>
      </c>
      <c r="Z47" s="1059">
        <f t="shared" si="36"/>
        <v>0</v>
      </c>
      <c r="AA47" s="1059">
        <f t="shared" si="36"/>
        <v>0</v>
      </c>
      <c r="AB47" s="1059">
        <f t="shared" si="36"/>
        <v>0</v>
      </c>
      <c r="AC47" s="1059">
        <f t="shared" si="36"/>
        <v>0</v>
      </c>
      <c r="AD47" s="1059">
        <f t="shared" si="36"/>
        <v>0</v>
      </c>
      <c r="AE47" s="1059">
        <f t="shared" si="36"/>
        <v>0</v>
      </c>
      <c r="AF47" s="1059">
        <f t="shared" si="36"/>
        <v>0</v>
      </c>
      <c r="AG47" s="1059">
        <f t="shared" si="36"/>
        <v>0</v>
      </c>
      <c r="AH47" s="1059">
        <f t="shared" si="36"/>
        <v>0</v>
      </c>
      <c r="AI47" s="1059">
        <f t="shared" si="36"/>
        <v>0</v>
      </c>
      <c r="AJ47" s="1059">
        <f t="shared" si="36"/>
        <v>0</v>
      </c>
      <c r="AK47" s="1059">
        <f t="shared" si="36"/>
        <v>0</v>
      </c>
      <c r="AL47" s="1059">
        <f t="shared" si="36"/>
        <v>0</v>
      </c>
      <c r="AM47" s="1059">
        <f t="shared" si="36"/>
        <v>0</v>
      </c>
      <c r="AN47" s="1059">
        <f t="shared" si="36"/>
        <v>0</v>
      </c>
      <c r="AO47" s="1059">
        <f t="shared" si="36"/>
        <v>0</v>
      </c>
      <c r="AP47" s="1059">
        <f t="shared" si="36"/>
        <v>0</v>
      </c>
      <c r="AQ47" s="1059">
        <f t="shared" si="36"/>
        <v>0</v>
      </c>
      <c r="AR47" s="1059">
        <f t="shared" si="36"/>
        <v>0</v>
      </c>
      <c r="AS47" s="1059">
        <f>AS18*AS34</f>
        <v>0</v>
      </c>
      <c r="AT47" s="1059">
        <f t="shared" ref="AT47" si="37">AT18*AT34</f>
        <v>0</v>
      </c>
      <c r="AU47" s="1282">
        <f t="shared" si="32"/>
        <v>0</v>
      </c>
      <c r="AV47" s="142"/>
      <c r="AW47" s="142"/>
    </row>
    <row r="48" spans="1:49" ht="15.6">
      <c r="A48" s="1769" t="str">
        <f t="shared" si="31"/>
        <v>Transfer to Sick Block</v>
      </c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059">
        <f>S19*S34</f>
        <v>0</v>
      </c>
      <c r="T48" s="1059">
        <f t="shared" ref="T48:AR48" si="38">T19*T34</f>
        <v>0</v>
      </c>
      <c r="U48" s="1059">
        <f t="shared" si="38"/>
        <v>0</v>
      </c>
      <c r="V48" s="1059">
        <f t="shared" si="38"/>
        <v>0</v>
      </c>
      <c r="W48" s="1059">
        <f t="shared" si="38"/>
        <v>0</v>
      </c>
      <c r="X48" s="1059">
        <f t="shared" si="38"/>
        <v>0</v>
      </c>
      <c r="Y48" s="1059">
        <f t="shared" si="38"/>
        <v>0</v>
      </c>
      <c r="Z48" s="1059">
        <f t="shared" si="38"/>
        <v>0</v>
      </c>
      <c r="AA48" s="1059">
        <f t="shared" si="38"/>
        <v>0</v>
      </c>
      <c r="AB48" s="1059">
        <f t="shared" si="38"/>
        <v>0</v>
      </c>
      <c r="AC48" s="1059">
        <f t="shared" si="38"/>
        <v>0</v>
      </c>
      <c r="AD48" s="1059">
        <f t="shared" si="38"/>
        <v>0</v>
      </c>
      <c r="AE48" s="1059">
        <f t="shared" si="38"/>
        <v>0</v>
      </c>
      <c r="AF48" s="1059">
        <f t="shared" si="38"/>
        <v>0</v>
      </c>
      <c r="AG48" s="1059">
        <f t="shared" si="38"/>
        <v>0</v>
      </c>
      <c r="AH48" s="1059">
        <f t="shared" si="38"/>
        <v>0</v>
      </c>
      <c r="AI48" s="1059">
        <f t="shared" si="38"/>
        <v>0</v>
      </c>
      <c r="AJ48" s="1059">
        <f t="shared" si="38"/>
        <v>0</v>
      </c>
      <c r="AK48" s="1059">
        <f t="shared" si="38"/>
        <v>0</v>
      </c>
      <c r="AL48" s="1059">
        <f t="shared" si="38"/>
        <v>0</v>
      </c>
      <c r="AM48" s="1059">
        <f t="shared" si="38"/>
        <v>0</v>
      </c>
      <c r="AN48" s="1059">
        <f t="shared" si="38"/>
        <v>0</v>
      </c>
      <c r="AO48" s="1059">
        <f t="shared" si="38"/>
        <v>0</v>
      </c>
      <c r="AP48" s="1059">
        <f t="shared" si="38"/>
        <v>0</v>
      </c>
      <c r="AQ48" s="1059">
        <f t="shared" si="38"/>
        <v>0</v>
      </c>
      <c r="AR48" s="1059">
        <f t="shared" si="38"/>
        <v>0</v>
      </c>
      <c r="AS48" s="1059">
        <f>AS19*AS34</f>
        <v>0</v>
      </c>
      <c r="AT48" s="1059">
        <f t="shared" ref="AT48" si="39">AT19*AT34</f>
        <v>0</v>
      </c>
      <c r="AU48" s="1282">
        <f t="shared" si="32"/>
        <v>0</v>
      </c>
      <c r="AV48" s="142"/>
      <c r="AW48" s="142"/>
    </row>
    <row r="49" spans="1:49" ht="15.6">
      <c r="A49" s="1769" t="str">
        <f t="shared" si="31"/>
        <v>Transfers Gilts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059">
        <f>S20*S34</f>
        <v>0</v>
      </c>
      <c r="T49" s="1059">
        <f t="shared" ref="T49:AR49" si="40">T20*T34</f>
        <v>0</v>
      </c>
      <c r="U49" s="1059">
        <f t="shared" si="40"/>
        <v>0</v>
      </c>
      <c r="V49" s="1059">
        <f t="shared" si="40"/>
        <v>0</v>
      </c>
      <c r="W49" s="1059">
        <f t="shared" si="40"/>
        <v>0</v>
      </c>
      <c r="X49" s="1059">
        <f t="shared" si="40"/>
        <v>0</v>
      </c>
      <c r="Y49" s="1059">
        <f t="shared" si="40"/>
        <v>0</v>
      </c>
      <c r="Z49" s="1059">
        <f t="shared" si="40"/>
        <v>0</v>
      </c>
      <c r="AA49" s="1059">
        <f t="shared" si="40"/>
        <v>0</v>
      </c>
      <c r="AB49" s="1059">
        <f t="shared" si="40"/>
        <v>0</v>
      </c>
      <c r="AC49" s="1059">
        <f t="shared" si="40"/>
        <v>0</v>
      </c>
      <c r="AD49" s="1059">
        <f t="shared" si="40"/>
        <v>0</v>
      </c>
      <c r="AE49" s="1059">
        <f t="shared" si="40"/>
        <v>0</v>
      </c>
      <c r="AF49" s="1059">
        <f t="shared" si="40"/>
        <v>0</v>
      </c>
      <c r="AG49" s="1059">
        <f t="shared" si="40"/>
        <v>0</v>
      </c>
      <c r="AH49" s="1059">
        <f t="shared" si="40"/>
        <v>0</v>
      </c>
      <c r="AI49" s="1059">
        <f t="shared" si="40"/>
        <v>0</v>
      </c>
      <c r="AJ49" s="1059">
        <f t="shared" si="40"/>
        <v>0</v>
      </c>
      <c r="AK49" s="1059">
        <f t="shared" si="40"/>
        <v>0</v>
      </c>
      <c r="AL49" s="1059">
        <f t="shared" si="40"/>
        <v>0</v>
      </c>
      <c r="AM49" s="1059">
        <f t="shared" si="40"/>
        <v>0</v>
      </c>
      <c r="AN49" s="1059">
        <f t="shared" si="40"/>
        <v>0</v>
      </c>
      <c r="AO49" s="1059">
        <f t="shared" si="40"/>
        <v>0</v>
      </c>
      <c r="AP49" s="1059">
        <f t="shared" si="40"/>
        <v>0</v>
      </c>
      <c r="AQ49" s="1059">
        <f t="shared" si="40"/>
        <v>0</v>
      </c>
      <c r="AR49" s="1059">
        <f t="shared" si="40"/>
        <v>0</v>
      </c>
      <c r="AS49" s="1059">
        <f>AS20*AS34</f>
        <v>0</v>
      </c>
      <c r="AT49" s="1059">
        <f t="shared" ref="AT49" si="41">AT20*AT34</f>
        <v>0</v>
      </c>
      <c r="AU49" s="1282">
        <f t="shared" si="32"/>
        <v>0</v>
      </c>
      <c r="AV49" s="142"/>
      <c r="AW49" s="142"/>
    </row>
    <row r="50" spans="1:49" ht="15.6">
      <c r="A50" s="1769" t="str">
        <f t="shared" si="31"/>
        <v>Mortality</v>
      </c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059">
        <f>S21*S39</f>
        <v>0</v>
      </c>
      <c r="T50" s="1059">
        <f t="shared" ref="T50:AR50" si="42">T21*T39</f>
        <v>0</v>
      </c>
      <c r="U50" s="1059">
        <f t="shared" si="42"/>
        <v>0</v>
      </c>
      <c r="V50" s="1059">
        <f t="shared" si="42"/>
        <v>0</v>
      </c>
      <c r="W50" s="1059">
        <f t="shared" si="42"/>
        <v>0</v>
      </c>
      <c r="X50" s="1059">
        <f t="shared" si="42"/>
        <v>0</v>
      </c>
      <c r="Y50" s="1059">
        <f t="shared" si="42"/>
        <v>0</v>
      </c>
      <c r="Z50" s="1059">
        <f t="shared" si="42"/>
        <v>0</v>
      </c>
      <c r="AA50" s="1059">
        <f t="shared" si="42"/>
        <v>0</v>
      </c>
      <c r="AB50" s="1059">
        <f t="shared" si="42"/>
        <v>0</v>
      </c>
      <c r="AC50" s="1059">
        <f t="shared" si="42"/>
        <v>-73255.947504312266</v>
      </c>
      <c r="AD50" s="1059">
        <f t="shared" si="42"/>
        <v>0</v>
      </c>
      <c r="AE50" s="1059">
        <f t="shared" si="42"/>
        <v>0</v>
      </c>
      <c r="AF50" s="1059">
        <f t="shared" si="42"/>
        <v>0</v>
      </c>
      <c r="AG50" s="1059">
        <f t="shared" si="42"/>
        <v>0</v>
      </c>
      <c r="AH50" s="1059">
        <f t="shared" si="42"/>
        <v>0</v>
      </c>
      <c r="AI50" s="1059">
        <f t="shared" si="42"/>
        <v>0</v>
      </c>
      <c r="AJ50" s="1059">
        <f t="shared" si="42"/>
        <v>-31182.929475159279</v>
      </c>
      <c r="AK50" s="1059">
        <f t="shared" si="42"/>
        <v>0</v>
      </c>
      <c r="AL50" s="1059">
        <f t="shared" si="42"/>
        <v>0</v>
      </c>
      <c r="AM50" s="1059">
        <f t="shared" si="42"/>
        <v>0</v>
      </c>
      <c r="AN50" s="1059">
        <f t="shared" si="42"/>
        <v>0</v>
      </c>
      <c r="AO50" s="1059">
        <f t="shared" si="42"/>
        <v>0</v>
      </c>
      <c r="AP50" s="1059">
        <f t="shared" si="42"/>
        <v>0</v>
      </c>
      <c r="AQ50" s="1059">
        <f t="shared" si="42"/>
        <v>0</v>
      </c>
      <c r="AR50" s="1059">
        <f t="shared" si="42"/>
        <v>0</v>
      </c>
      <c r="AS50" s="1059">
        <f>AS21*AS39</f>
        <v>0</v>
      </c>
      <c r="AT50" s="1059">
        <f t="shared" ref="AT50" si="43">AT21*AT39</f>
        <v>0</v>
      </c>
      <c r="AU50" s="1282">
        <f t="shared" si="32"/>
        <v>-104438.87697947155</v>
      </c>
      <c r="AV50" s="142"/>
      <c r="AW50" s="142"/>
    </row>
    <row r="51" spans="1:49" ht="15.6">
      <c r="A51" s="1769" t="str">
        <f t="shared" si="31"/>
        <v>Rations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059">
        <f>S22*S39</f>
        <v>0</v>
      </c>
      <c r="T51" s="1059">
        <f t="shared" ref="T51:AR51" si="44">T22*T39</f>
        <v>0</v>
      </c>
      <c r="U51" s="1059">
        <f t="shared" si="44"/>
        <v>0</v>
      </c>
      <c r="V51" s="1059">
        <f t="shared" si="44"/>
        <v>0</v>
      </c>
      <c r="W51" s="1059">
        <f t="shared" si="44"/>
        <v>0</v>
      </c>
      <c r="X51" s="1059">
        <f t="shared" si="44"/>
        <v>0</v>
      </c>
      <c r="Y51" s="1059">
        <f t="shared" si="44"/>
        <v>0</v>
      </c>
      <c r="Z51" s="1059">
        <f t="shared" si="44"/>
        <v>0</v>
      </c>
      <c r="AA51" s="1059">
        <f t="shared" si="44"/>
        <v>0</v>
      </c>
      <c r="AB51" s="1059">
        <f t="shared" si="44"/>
        <v>0</v>
      </c>
      <c r="AC51" s="1059">
        <f t="shared" si="44"/>
        <v>0</v>
      </c>
      <c r="AD51" s="1059">
        <f t="shared" si="44"/>
        <v>0</v>
      </c>
      <c r="AE51" s="1059">
        <f t="shared" si="44"/>
        <v>-37469.405833263336</v>
      </c>
      <c r="AF51" s="1059">
        <f t="shared" si="44"/>
        <v>0</v>
      </c>
      <c r="AG51" s="1059">
        <f t="shared" si="44"/>
        <v>-108858.32309295483</v>
      </c>
      <c r="AH51" s="1059">
        <f t="shared" si="44"/>
        <v>0</v>
      </c>
      <c r="AI51" s="1059">
        <f t="shared" si="44"/>
        <v>0</v>
      </c>
      <c r="AJ51" s="1059">
        <f t="shared" si="44"/>
        <v>0</v>
      </c>
      <c r="AK51" s="1059">
        <f t="shared" si="44"/>
        <v>0</v>
      </c>
      <c r="AL51" s="1059">
        <f t="shared" si="44"/>
        <v>0</v>
      </c>
      <c r="AM51" s="1059">
        <f t="shared" si="44"/>
        <v>0</v>
      </c>
      <c r="AN51" s="1059">
        <f t="shared" si="44"/>
        <v>0</v>
      </c>
      <c r="AO51" s="1059">
        <f t="shared" si="44"/>
        <v>-137475.07175286915</v>
      </c>
      <c r="AP51" s="1059">
        <f t="shared" si="44"/>
        <v>-237477.70166002659</v>
      </c>
      <c r="AQ51" s="1059">
        <f t="shared" si="44"/>
        <v>-165008.31493137829</v>
      </c>
      <c r="AR51" s="1059">
        <f t="shared" si="44"/>
        <v>0</v>
      </c>
      <c r="AS51" s="1059">
        <f>AS22*AS39</f>
        <v>0</v>
      </c>
      <c r="AT51" s="1059">
        <f t="shared" ref="AT51" si="45">AT22*AT39</f>
        <v>0</v>
      </c>
      <c r="AU51" s="1282">
        <f t="shared" si="32"/>
        <v>-686288.8172704922</v>
      </c>
      <c r="AV51" s="142"/>
      <c r="AW51" s="142"/>
    </row>
    <row r="52" spans="1:49" ht="15.6">
      <c r="A52" s="1769" t="str">
        <f t="shared" si="31"/>
        <v>Pet Food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059">
        <f>S23*S39</f>
        <v>0</v>
      </c>
      <c r="T52" s="1059">
        <f t="shared" ref="T52:AR52" si="46">T23*T39</f>
        <v>0</v>
      </c>
      <c r="U52" s="1059">
        <f t="shared" si="46"/>
        <v>0</v>
      </c>
      <c r="V52" s="1059">
        <f t="shared" si="46"/>
        <v>0</v>
      </c>
      <c r="W52" s="1059">
        <f t="shared" si="46"/>
        <v>0</v>
      </c>
      <c r="X52" s="1059">
        <f t="shared" si="46"/>
        <v>0</v>
      </c>
      <c r="Y52" s="1059">
        <f t="shared" si="46"/>
        <v>0</v>
      </c>
      <c r="Z52" s="1059">
        <f t="shared" si="46"/>
        <v>0</v>
      </c>
      <c r="AA52" s="1059">
        <f t="shared" si="46"/>
        <v>0</v>
      </c>
      <c r="AB52" s="1059">
        <f t="shared" si="46"/>
        <v>0</v>
      </c>
      <c r="AC52" s="1059">
        <f t="shared" si="46"/>
        <v>0</v>
      </c>
      <c r="AD52" s="1059">
        <f t="shared" si="46"/>
        <v>0</v>
      </c>
      <c r="AE52" s="1059">
        <f t="shared" si="46"/>
        <v>0</v>
      </c>
      <c r="AF52" s="1059">
        <f t="shared" si="46"/>
        <v>0</v>
      </c>
      <c r="AG52" s="1059">
        <f t="shared" si="46"/>
        <v>0</v>
      </c>
      <c r="AH52" s="1059">
        <f t="shared" si="46"/>
        <v>0</v>
      </c>
      <c r="AI52" s="1059">
        <f t="shared" si="46"/>
        <v>0</v>
      </c>
      <c r="AJ52" s="1059">
        <f t="shared" si="46"/>
        <v>0</v>
      </c>
      <c r="AK52" s="1059">
        <f t="shared" si="46"/>
        <v>0</v>
      </c>
      <c r="AL52" s="1059">
        <f t="shared" si="46"/>
        <v>0</v>
      </c>
      <c r="AM52" s="1059">
        <f t="shared" si="46"/>
        <v>0</v>
      </c>
      <c r="AN52" s="1059">
        <f t="shared" si="46"/>
        <v>0</v>
      </c>
      <c r="AO52" s="1059">
        <f t="shared" si="46"/>
        <v>0</v>
      </c>
      <c r="AP52" s="1059">
        <f t="shared" si="46"/>
        <v>0</v>
      </c>
      <c r="AQ52" s="1059">
        <f t="shared" si="46"/>
        <v>0</v>
      </c>
      <c r="AR52" s="1059">
        <f t="shared" si="46"/>
        <v>0</v>
      </c>
      <c r="AS52" s="1059">
        <f>AS23*AS39</f>
        <v>0</v>
      </c>
      <c r="AT52" s="1059">
        <f t="shared" ref="AT52" si="47">AT23*AT39</f>
        <v>0</v>
      </c>
      <c r="AU52" s="1282">
        <f t="shared" si="32"/>
        <v>0</v>
      </c>
      <c r="AV52" s="142"/>
      <c r="AW52" s="142"/>
    </row>
    <row r="53" spans="1:49" ht="15.6">
      <c r="A53" s="1769" t="str">
        <f t="shared" si="31"/>
        <v>Farm Sales</v>
      </c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059">
        <f>S24*S39</f>
        <v>0</v>
      </c>
      <c r="T53" s="1059">
        <f t="shared" ref="T53:AR53" si="48">T24*T39</f>
        <v>0</v>
      </c>
      <c r="U53" s="1059">
        <f t="shared" si="48"/>
        <v>0</v>
      </c>
      <c r="V53" s="1059">
        <f t="shared" si="48"/>
        <v>0</v>
      </c>
      <c r="W53" s="1059">
        <f t="shared" si="48"/>
        <v>0</v>
      </c>
      <c r="X53" s="1059">
        <f t="shared" si="48"/>
        <v>0</v>
      </c>
      <c r="Y53" s="1059">
        <f t="shared" si="48"/>
        <v>0</v>
      </c>
      <c r="Z53" s="1059">
        <f t="shared" si="48"/>
        <v>0</v>
      </c>
      <c r="AA53" s="1059">
        <f t="shared" si="48"/>
        <v>0</v>
      </c>
      <c r="AB53" s="1059">
        <f t="shared" si="48"/>
        <v>0</v>
      </c>
      <c r="AC53" s="1059">
        <f t="shared" si="48"/>
        <v>0</v>
      </c>
      <c r="AD53" s="1059">
        <f t="shared" si="48"/>
        <v>0</v>
      </c>
      <c r="AE53" s="1059">
        <f t="shared" si="48"/>
        <v>0</v>
      </c>
      <c r="AF53" s="1059">
        <f t="shared" si="48"/>
        <v>0</v>
      </c>
      <c r="AG53" s="1059">
        <f t="shared" si="48"/>
        <v>0</v>
      </c>
      <c r="AH53" s="1059">
        <f t="shared" si="48"/>
        <v>0</v>
      </c>
      <c r="AI53" s="1059">
        <f t="shared" si="48"/>
        <v>0</v>
      </c>
      <c r="AJ53" s="1059">
        <f t="shared" si="48"/>
        <v>0</v>
      </c>
      <c r="AK53" s="1059">
        <f t="shared" si="48"/>
        <v>0</v>
      </c>
      <c r="AL53" s="1059">
        <f t="shared" si="48"/>
        <v>0</v>
      </c>
      <c r="AM53" s="1059">
        <f t="shared" si="48"/>
        <v>0</v>
      </c>
      <c r="AN53" s="1059">
        <f t="shared" si="48"/>
        <v>0</v>
      </c>
      <c r="AO53" s="1059">
        <f t="shared" si="48"/>
        <v>0</v>
      </c>
      <c r="AP53" s="1059">
        <f t="shared" si="48"/>
        <v>0</v>
      </c>
      <c r="AQ53" s="1059">
        <f t="shared" si="48"/>
        <v>0</v>
      </c>
      <c r="AR53" s="1059">
        <f t="shared" si="48"/>
        <v>0</v>
      </c>
      <c r="AS53" s="1059">
        <f>AS24*AS39</f>
        <v>0</v>
      </c>
      <c r="AT53" s="1059">
        <f t="shared" ref="AT53" si="49">AT24*AT39</f>
        <v>0</v>
      </c>
      <c r="AU53" s="1282">
        <f t="shared" si="32"/>
        <v>0</v>
      </c>
      <c r="AV53" s="142"/>
      <c r="AW53" s="142"/>
    </row>
    <row r="54" spans="1:49" ht="16.149999999999999" thickBot="1">
      <c r="A54" s="1769" t="str">
        <f t="shared" si="31"/>
        <v xml:space="preserve"> Colcom Sales</v>
      </c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059">
        <f>S25*S39</f>
        <v>0</v>
      </c>
      <c r="T54" s="1059">
        <f t="shared" ref="T54:AR54" si="50">T25*T39</f>
        <v>0</v>
      </c>
      <c r="U54" s="1059">
        <f t="shared" si="50"/>
        <v>0</v>
      </c>
      <c r="V54" s="1059">
        <f t="shared" si="50"/>
        <v>0</v>
      </c>
      <c r="W54" s="1059">
        <f t="shared" si="50"/>
        <v>0</v>
      </c>
      <c r="X54" s="1059">
        <f t="shared" si="50"/>
        <v>0</v>
      </c>
      <c r="Y54" s="1059">
        <f t="shared" si="50"/>
        <v>0</v>
      </c>
      <c r="Z54" s="1059">
        <f t="shared" si="50"/>
        <v>0</v>
      </c>
      <c r="AA54" s="1059">
        <f t="shared" si="50"/>
        <v>0</v>
      </c>
      <c r="AB54" s="1059">
        <f t="shared" si="50"/>
        <v>0</v>
      </c>
      <c r="AC54" s="1059">
        <f t="shared" si="50"/>
        <v>0</v>
      </c>
      <c r="AD54" s="1059">
        <f t="shared" si="50"/>
        <v>0</v>
      </c>
      <c r="AE54" s="1059">
        <f t="shared" si="50"/>
        <v>0</v>
      </c>
      <c r="AF54" s="1059">
        <f t="shared" si="50"/>
        <v>0</v>
      </c>
      <c r="AG54" s="1059">
        <f t="shared" si="50"/>
        <v>0</v>
      </c>
      <c r="AH54" s="1059">
        <f t="shared" si="50"/>
        <v>0</v>
      </c>
      <c r="AI54" s="1059">
        <f t="shared" si="50"/>
        <v>0</v>
      </c>
      <c r="AJ54" s="1059">
        <f t="shared" si="50"/>
        <v>0</v>
      </c>
      <c r="AK54" s="1059">
        <f t="shared" si="50"/>
        <v>0</v>
      </c>
      <c r="AL54" s="1059">
        <f t="shared" si="50"/>
        <v>0</v>
      </c>
      <c r="AM54" s="1059">
        <f t="shared" si="50"/>
        <v>0</v>
      </c>
      <c r="AN54" s="1059">
        <f t="shared" si="50"/>
        <v>0</v>
      </c>
      <c r="AO54" s="1059">
        <f t="shared" si="50"/>
        <v>-4742889.9754739851</v>
      </c>
      <c r="AP54" s="1059">
        <f t="shared" si="50"/>
        <v>-10765655.808587871</v>
      </c>
      <c r="AQ54" s="1059">
        <f t="shared" si="50"/>
        <v>-28876455.112991203</v>
      </c>
      <c r="AR54" s="1059">
        <f t="shared" si="50"/>
        <v>0</v>
      </c>
      <c r="AS54" s="1059">
        <f>AS25*AS39</f>
        <v>0</v>
      </c>
      <c r="AT54" s="1059">
        <f t="shared" ref="AT54" si="51">AT25*AT39</f>
        <v>0</v>
      </c>
      <c r="AU54" s="1282">
        <f>SUM(B54:AT54)</f>
        <v>-44385000.897053063</v>
      </c>
      <c r="AV54" s="142"/>
      <c r="AW54" s="142"/>
    </row>
    <row r="55" spans="1:49" ht="16.149999999999999" thickBot="1">
      <c r="A55" s="1771" t="s">
        <v>1810</v>
      </c>
      <c r="B55" s="1555">
        <f t="shared" ref="B55:AT55" si="52">SUM(B41:B54)+B38</f>
        <v>0</v>
      </c>
      <c r="C55" s="1555">
        <f t="shared" si="52"/>
        <v>0</v>
      </c>
      <c r="D55" s="1555">
        <f t="shared" si="52"/>
        <v>0</v>
      </c>
      <c r="E55" s="1555">
        <f t="shared" si="52"/>
        <v>0</v>
      </c>
      <c r="F55" s="1555">
        <f t="shared" si="52"/>
        <v>0</v>
      </c>
      <c r="G55" s="1555">
        <f t="shared" si="52"/>
        <v>0</v>
      </c>
      <c r="H55" s="1555">
        <f t="shared" si="52"/>
        <v>0</v>
      </c>
      <c r="I55" s="1555">
        <f t="shared" si="52"/>
        <v>0</v>
      </c>
      <c r="J55" s="1555">
        <f t="shared" si="52"/>
        <v>0</v>
      </c>
      <c r="K55" s="1555">
        <f t="shared" si="52"/>
        <v>0</v>
      </c>
      <c r="L55" s="1555">
        <f t="shared" si="52"/>
        <v>0</v>
      </c>
      <c r="M55" s="1555">
        <f t="shared" si="52"/>
        <v>0</v>
      </c>
      <c r="N55" s="1555">
        <f t="shared" si="52"/>
        <v>0</v>
      </c>
      <c r="O55" s="1555">
        <f t="shared" si="52"/>
        <v>0</v>
      </c>
      <c r="P55" s="1555">
        <f t="shared" si="52"/>
        <v>0</v>
      </c>
      <c r="Q55" s="1555">
        <f t="shared" si="52"/>
        <v>0</v>
      </c>
      <c r="R55" s="1555">
        <f t="shared" si="52"/>
        <v>0</v>
      </c>
      <c r="S55" s="1555">
        <f t="shared" si="52"/>
        <v>0</v>
      </c>
      <c r="T55" s="1555">
        <f t="shared" si="52"/>
        <v>0</v>
      </c>
      <c r="U55" s="1555">
        <f t="shared" si="52"/>
        <v>0</v>
      </c>
      <c r="V55" s="1555">
        <f t="shared" si="52"/>
        <v>0</v>
      </c>
      <c r="W55" s="1555">
        <f t="shared" si="52"/>
        <v>0</v>
      </c>
      <c r="X55" s="1555">
        <f t="shared" si="52"/>
        <v>1413827.9671728779</v>
      </c>
      <c r="Y55" s="1555">
        <f t="shared" si="52"/>
        <v>4116210.8424120918</v>
      </c>
      <c r="Z55" s="1555">
        <f t="shared" si="52"/>
        <v>5291070.4692292344</v>
      </c>
      <c r="AA55" s="1555">
        <f t="shared" si="52"/>
        <v>3821919.1068133181</v>
      </c>
      <c r="AB55" s="1555">
        <f t="shared" si="52"/>
        <v>0</v>
      </c>
      <c r="AC55" s="1555">
        <f t="shared" si="52"/>
        <v>5127916.3253018595</v>
      </c>
      <c r="AD55" s="1555">
        <f t="shared" si="52"/>
        <v>8819168.920521915</v>
      </c>
      <c r="AE55" s="1555">
        <f t="shared" si="52"/>
        <v>11203352.344145738</v>
      </c>
      <c r="AF55" s="1555">
        <f t="shared" si="52"/>
        <v>3866859.2596260165</v>
      </c>
      <c r="AG55" s="1555">
        <f t="shared" si="52"/>
        <v>14478156.971362993</v>
      </c>
      <c r="AH55" s="1555">
        <f t="shared" si="52"/>
        <v>9184564.3669923414</v>
      </c>
      <c r="AI55" s="1555">
        <f t="shared" si="52"/>
        <v>9264366.4922985416</v>
      </c>
      <c r="AJ55" s="1555">
        <f t="shared" si="52"/>
        <v>4053780.831770706</v>
      </c>
      <c r="AK55" s="1555">
        <f t="shared" si="52"/>
        <v>7695009.1667172322</v>
      </c>
      <c r="AL55" s="1555">
        <f t="shared" si="52"/>
        <v>6257791.1109055234</v>
      </c>
      <c r="AM55" s="1555">
        <f t="shared" si="52"/>
        <v>7412637.9300804455</v>
      </c>
      <c r="AN55" s="1555">
        <f t="shared" si="52"/>
        <v>0</v>
      </c>
      <c r="AO55" s="1555">
        <f t="shared" si="52"/>
        <v>4605414.9037211174</v>
      </c>
      <c r="AP55" s="1555">
        <f t="shared" si="52"/>
        <v>-7045171.8159141205</v>
      </c>
      <c r="AQ55" s="1555">
        <f t="shared" si="52"/>
        <v>-14685740.02889267</v>
      </c>
      <c r="AR55" s="1555">
        <f t="shared" si="52"/>
        <v>0</v>
      </c>
      <c r="AS55" s="1555">
        <f t="shared" si="52"/>
        <v>0</v>
      </c>
      <c r="AT55" s="1555">
        <f t="shared" si="52"/>
        <v>0</v>
      </c>
      <c r="AU55" s="1558">
        <f>SUM(B55:AS55)</f>
        <v>84881135.164265171</v>
      </c>
      <c r="AV55" s="1066"/>
      <c r="AW55" s="1066"/>
    </row>
    <row r="56" spans="1:49" ht="15.6">
      <c r="A56" s="1075"/>
      <c r="B56" s="1061"/>
      <c r="C56" s="1061"/>
      <c r="D56" s="1075"/>
      <c r="E56" s="1061"/>
      <c r="F56" s="1075"/>
      <c r="G56" s="1061"/>
      <c r="H56" s="1061"/>
      <c r="I56" s="1061"/>
      <c r="J56" s="1061"/>
      <c r="K56" s="1061"/>
      <c r="L56" s="1061"/>
      <c r="M56" s="1061"/>
      <c r="N56" s="1061"/>
      <c r="O56" s="1061"/>
      <c r="P56" s="1061"/>
      <c r="Q56" s="1061"/>
      <c r="R56" s="1061"/>
      <c r="S56" s="1061"/>
      <c r="T56" s="1061"/>
      <c r="U56" s="1061"/>
      <c r="V56" s="1061"/>
      <c r="W56" s="1061"/>
      <c r="X56" s="1061"/>
      <c r="Y56" s="1061"/>
      <c r="Z56" s="1061"/>
      <c r="AA56" s="1061"/>
      <c r="AB56" s="1061"/>
      <c r="AC56" s="1061"/>
      <c r="AD56" s="1061"/>
      <c r="AE56" s="1061"/>
      <c r="AF56" s="1061"/>
      <c r="AG56" s="1061"/>
      <c r="AH56" s="1061"/>
      <c r="AI56" s="1061"/>
      <c r="AJ56" s="1061"/>
      <c r="AK56" s="1061"/>
      <c r="AL56" s="1061"/>
      <c r="AM56" s="1061"/>
      <c r="AN56" s="1061"/>
      <c r="AO56" s="1061"/>
      <c r="AP56" s="1061"/>
      <c r="AQ56" s="1061"/>
      <c r="AR56" s="1061"/>
      <c r="AS56" s="1061"/>
      <c r="AT56" s="1061"/>
      <c r="AU56" s="1062"/>
      <c r="AV56" s="1061"/>
      <c r="AW56" s="1061"/>
    </row>
    <row r="57" spans="1:49" ht="15.6">
      <c r="A57" s="1075" t="s">
        <v>1811</v>
      </c>
      <c r="B57" s="1061"/>
      <c r="C57" s="1061"/>
      <c r="D57" s="1075" t="s">
        <v>1812</v>
      </c>
      <c r="E57" s="1061"/>
      <c r="F57" s="1075" t="s">
        <v>62</v>
      </c>
      <c r="G57" s="1061"/>
      <c r="H57" s="1061"/>
      <c r="I57" s="1061"/>
      <c r="J57" s="1061"/>
      <c r="K57" s="1061"/>
      <c r="L57" s="1061"/>
      <c r="M57" s="1061"/>
      <c r="N57" s="1061"/>
      <c r="O57" s="1061"/>
      <c r="P57" s="1061"/>
      <c r="Q57" s="1061"/>
      <c r="R57" s="1061"/>
      <c r="S57" s="1061"/>
      <c r="T57" s="1061"/>
      <c r="U57" s="1061"/>
      <c r="V57" s="1061"/>
      <c r="W57" s="1061"/>
      <c r="X57" s="1061"/>
      <c r="Y57" s="1061"/>
      <c r="Z57" s="1061"/>
      <c r="AA57" s="1061"/>
      <c r="AB57" s="1061"/>
      <c r="AC57" s="1061"/>
      <c r="AD57" s="1061"/>
      <c r="AE57" s="1061"/>
      <c r="AF57" s="1061"/>
      <c r="AG57" s="1061"/>
      <c r="AH57" s="1061"/>
      <c r="AI57" s="1061"/>
      <c r="AJ57" s="1061"/>
      <c r="AK57" s="1061"/>
      <c r="AL57" s="1061"/>
      <c r="AM57" s="1061"/>
      <c r="AN57" s="1061"/>
      <c r="AO57" s="1061"/>
      <c r="AP57" s="1061"/>
      <c r="AQ57" s="1061"/>
      <c r="AR57" s="1061"/>
      <c r="AS57" s="1061"/>
      <c r="AT57" s="1061"/>
      <c r="AU57" s="1062"/>
      <c r="AV57" s="1061"/>
      <c r="AW57" s="1061"/>
    </row>
    <row r="58" spans="1:49" ht="15">
      <c r="A58" s="1061" t="s">
        <v>1813</v>
      </c>
      <c r="B58" s="1064">
        <f>+'Feed Cost &amp; Allocation'!T79</f>
        <v>0</v>
      </c>
      <c r="C58" s="1061"/>
      <c r="D58" s="1061"/>
      <c r="E58" s="1061"/>
      <c r="F58" s="1061"/>
      <c r="G58" s="1061"/>
      <c r="H58" s="1061"/>
      <c r="I58" s="1061"/>
      <c r="J58" s="1061"/>
      <c r="K58" s="1061"/>
      <c r="L58" s="1061"/>
      <c r="M58" s="1061"/>
      <c r="N58" s="1061"/>
      <c r="O58" s="1061"/>
      <c r="P58" s="1061"/>
      <c r="Q58" s="1061"/>
      <c r="R58" s="1061"/>
      <c r="S58" s="1061"/>
      <c r="T58" s="1061"/>
      <c r="U58" s="1061"/>
      <c r="V58" s="1061"/>
      <c r="W58" s="1061"/>
      <c r="X58" s="1061"/>
      <c r="Y58" s="1061"/>
      <c r="Z58" s="1061"/>
      <c r="AA58" s="1061"/>
      <c r="AB58" s="1061"/>
      <c r="AC58" s="1061"/>
      <c r="AD58" s="1061"/>
      <c r="AE58" s="1061"/>
      <c r="AF58" s="1061"/>
      <c r="AG58" s="1061"/>
      <c r="AH58" s="1061"/>
      <c r="AI58" s="1061"/>
      <c r="AJ58" s="1061"/>
      <c r="AK58" s="1061"/>
      <c r="AL58" s="1061"/>
      <c r="AM58" s="1061"/>
      <c r="AN58" s="1061"/>
      <c r="AO58" s="1061"/>
      <c r="AP58" s="1061"/>
      <c r="AQ58" s="1061"/>
      <c r="AR58" s="1061"/>
      <c r="AS58" s="1061"/>
      <c r="AT58" s="1061"/>
      <c r="AU58" s="1062"/>
      <c r="AV58" s="1061"/>
      <c r="AW58" s="1061"/>
    </row>
    <row r="59" spans="1:49" ht="15">
      <c r="A59" s="1061" t="s">
        <v>60</v>
      </c>
      <c r="B59" s="1064">
        <f>+'Feed Cost &amp; Allocation'!K79</f>
        <v>0</v>
      </c>
      <c r="C59" s="1061"/>
      <c r="D59" s="1064">
        <f>+'Feed Cost &amp; Allocation'!L79</f>
        <v>0</v>
      </c>
      <c r="E59" s="1061"/>
      <c r="F59" s="1064">
        <f>+'Feed Cost &amp; Allocation'!C79</f>
        <v>5595</v>
      </c>
      <c r="G59" s="1061"/>
      <c r="H59" s="1061"/>
      <c r="I59" s="1061"/>
      <c r="J59" s="1061"/>
      <c r="K59" s="1061"/>
      <c r="L59" s="1061"/>
      <c r="M59" s="1061"/>
      <c r="N59" s="1061"/>
      <c r="O59" s="1061"/>
      <c r="P59" s="1061"/>
      <c r="Q59" s="1061"/>
      <c r="R59" s="1061"/>
      <c r="S59" s="1061"/>
      <c r="T59" s="1061"/>
      <c r="U59" s="1061"/>
      <c r="V59" s="1061"/>
      <c r="W59" s="1061"/>
      <c r="X59" s="1061"/>
      <c r="Y59" s="1061"/>
      <c r="Z59" s="1061"/>
      <c r="AA59" s="1244"/>
      <c r="AB59" s="1061"/>
      <c r="AC59" s="1061"/>
      <c r="AD59" s="1061"/>
      <c r="AE59" s="1061"/>
      <c r="AF59" s="1061"/>
      <c r="AG59" s="1061"/>
      <c r="AH59" s="1061"/>
      <c r="AI59" s="1061"/>
      <c r="AJ59" s="1061"/>
      <c r="AK59" s="1061"/>
      <c r="AL59" s="1061"/>
      <c r="AM59" s="1061"/>
      <c r="AN59" s="1061"/>
      <c r="AO59" s="1061"/>
      <c r="AP59" s="1061"/>
      <c r="AQ59" s="1061"/>
      <c r="AR59" s="1061"/>
      <c r="AS59" s="1061"/>
      <c r="AT59" s="1061"/>
      <c r="AU59" s="1062"/>
      <c r="AV59" s="1061"/>
      <c r="AW59" s="1061"/>
    </row>
    <row r="60" spans="1:49" ht="15">
      <c r="A60" s="1061" t="s">
        <v>1829</v>
      </c>
      <c r="B60" s="1064">
        <f>+'Feed Cost &amp; Allocation'!O79</f>
        <v>0</v>
      </c>
      <c r="C60" s="1061"/>
      <c r="D60" s="1064">
        <f>+'Feed Cost &amp; Allocation'!M79</f>
        <v>0</v>
      </c>
      <c r="E60" s="1061"/>
      <c r="F60" s="1064">
        <f>IFERROR(SUM(W20:Z20)/(SUM(W26:Z26)-SUM(W20:Z20))*F59,0)</f>
        <v>0</v>
      </c>
      <c r="G60" s="1061"/>
      <c r="H60" s="1061"/>
      <c r="I60" s="1061"/>
      <c r="J60" s="1061"/>
      <c r="K60" s="1061"/>
      <c r="L60" s="1061"/>
      <c r="M60" s="1061"/>
      <c r="N60" s="1061"/>
      <c r="O60" s="1061"/>
      <c r="P60" s="1061"/>
      <c r="Q60" s="1061"/>
      <c r="R60" s="1061"/>
      <c r="S60" s="1061"/>
      <c r="T60" s="1061"/>
      <c r="U60" s="1061"/>
      <c r="V60" s="1061"/>
      <c r="W60" s="1061"/>
      <c r="X60" s="1061"/>
      <c r="Y60" s="1061"/>
      <c r="Z60" s="1061"/>
      <c r="AA60" s="1061"/>
      <c r="AB60" s="1061"/>
      <c r="AC60" s="1061"/>
      <c r="AD60" s="1061"/>
      <c r="AE60" s="1061"/>
      <c r="AF60" s="1061"/>
      <c r="AG60" s="1061"/>
      <c r="AH60" s="1061"/>
      <c r="AI60" s="1061"/>
      <c r="AJ60" s="1061"/>
      <c r="AK60" s="1061"/>
      <c r="AL60" s="1061"/>
      <c r="AM60" s="1061"/>
      <c r="AN60" s="1061"/>
      <c r="AO60" s="1061"/>
      <c r="AP60" s="1061"/>
      <c r="AQ60" s="1061"/>
      <c r="AR60" s="1061"/>
      <c r="AS60" s="1061"/>
      <c r="AT60" s="1061"/>
      <c r="AU60" s="1062"/>
      <c r="AV60" s="1061"/>
      <c r="AW60" s="1061"/>
    </row>
    <row r="61" spans="1:49" ht="15.6">
      <c r="A61" s="1075" t="s">
        <v>71</v>
      </c>
      <c r="B61" s="1076">
        <f>SUM(B58:B60)</f>
        <v>0</v>
      </c>
      <c r="C61" s="1061"/>
      <c r="D61" s="1076">
        <f>SUM(D58:D60)</f>
        <v>0</v>
      </c>
      <c r="E61" s="1061"/>
      <c r="F61" s="1064">
        <f>SUM(F59:F60)</f>
        <v>5595</v>
      </c>
      <c r="G61" s="1061"/>
      <c r="H61" s="1061"/>
      <c r="I61" s="1061"/>
      <c r="J61" s="1061"/>
      <c r="K61" s="1061"/>
      <c r="L61" s="1061"/>
      <c r="M61" s="1061"/>
      <c r="N61" s="1061"/>
      <c r="O61" s="1061"/>
      <c r="P61" s="1061"/>
      <c r="Q61" s="1061"/>
      <c r="R61" s="1061"/>
      <c r="S61" s="1061"/>
      <c r="T61" s="1061"/>
      <c r="U61" s="1061"/>
      <c r="V61" s="1061"/>
      <c r="W61" s="1061"/>
      <c r="X61" s="1061"/>
      <c r="Y61" s="1061"/>
      <c r="Z61" s="1061"/>
      <c r="AA61" s="1061"/>
      <c r="AB61" s="1061"/>
      <c r="AC61" s="1061"/>
      <c r="AD61" s="1061"/>
      <c r="AE61" s="1061"/>
      <c r="AF61" s="1061"/>
      <c r="AG61" s="1061"/>
      <c r="AH61" s="1061"/>
      <c r="AI61" s="1061"/>
      <c r="AJ61" s="1061"/>
      <c r="AK61" s="1061"/>
      <c r="AL61" s="1061"/>
      <c r="AM61" s="1061"/>
      <c r="AN61" s="1061"/>
      <c r="AO61" s="1061"/>
      <c r="AP61" s="1061"/>
      <c r="AQ61" s="1061"/>
      <c r="AR61" s="1061"/>
      <c r="AS61" s="1061"/>
      <c r="AT61" s="1061"/>
      <c r="AU61" s="1062"/>
      <c r="AV61" s="1061"/>
      <c r="AW61" s="1061"/>
    </row>
    <row r="62" spans="1:49" ht="15">
      <c r="A62" s="1061"/>
      <c r="B62" s="1061"/>
      <c r="C62" s="1061"/>
      <c r="D62" s="1061"/>
      <c r="E62" s="1061"/>
      <c r="F62" s="1061"/>
      <c r="G62" s="1061"/>
      <c r="H62" s="1061"/>
      <c r="I62" s="1061"/>
      <c r="J62" s="1061"/>
      <c r="K62" s="1061"/>
      <c r="L62" s="1061"/>
      <c r="M62" s="1061"/>
      <c r="N62" s="1061"/>
      <c r="O62" s="1061"/>
      <c r="P62" s="1061"/>
      <c r="Q62" s="1061"/>
      <c r="R62" s="1061"/>
      <c r="S62" s="1061"/>
      <c r="T62" s="1061"/>
      <c r="U62" s="1061"/>
      <c r="V62" s="1061"/>
      <c r="W62" s="1061"/>
      <c r="X62" s="1061"/>
      <c r="Y62" s="1061"/>
      <c r="Z62" s="1061"/>
      <c r="AA62" s="1061"/>
      <c r="AB62" s="1061"/>
      <c r="AC62" s="1061"/>
      <c r="AD62" s="1061"/>
      <c r="AE62" s="1061"/>
      <c r="AF62" s="1061"/>
      <c r="AG62" s="1061"/>
      <c r="AH62" s="1061"/>
      <c r="AI62" s="1061"/>
      <c r="AJ62" s="1061"/>
      <c r="AK62" s="1061"/>
      <c r="AL62" s="1061"/>
      <c r="AM62" s="1061"/>
      <c r="AN62" s="1061"/>
      <c r="AO62" s="1061"/>
      <c r="AP62" s="1061"/>
      <c r="AQ62" s="1061"/>
      <c r="AR62" s="1061"/>
      <c r="AS62" s="1061"/>
      <c r="AT62" s="1061"/>
      <c r="AU62" s="1062"/>
      <c r="AV62" s="1061"/>
      <c r="AW62" s="1061"/>
    </row>
    <row r="63" spans="1:49" ht="15.6">
      <c r="A63" s="1077" t="s">
        <v>1815</v>
      </c>
      <c r="B63" s="1077" t="str">
        <f t="shared" ref="B63:AA63" si="53">B3</f>
        <v>DRY SOW</v>
      </c>
      <c r="C63" s="1077" t="str">
        <f t="shared" si="53"/>
        <v>DRY SOW</v>
      </c>
      <c r="D63" s="1077" t="str">
        <f t="shared" si="53"/>
        <v>DRY SOW</v>
      </c>
      <c r="E63" s="1078" t="str">
        <f t="shared" si="53"/>
        <v>DRY SOW</v>
      </c>
      <c r="F63" s="1078" t="str">
        <f t="shared" si="53"/>
        <v>DRY SOW</v>
      </c>
      <c r="G63" s="1078" t="str">
        <f t="shared" si="53"/>
        <v>DRY SOW</v>
      </c>
      <c r="H63" s="1078" t="str">
        <f t="shared" si="53"/>
        <v>DRY SOW</v>
      </c>
      <c r="I63" s="1078" t="str">
        <f t="shared" si="53"/>
        <v>DRY SOW</v>
      </c>
      <c r="J63" s="1078" t="str">
        <f t="shared" si="53"/>
        <v>DRY SOW</v>
      </c>
      <c r="K63" s="1078" t="str">
        <f t="shared" si="53"/>
        <v>DRY SOW</v>
      </c>
      <c r="L63" s="1078" t="str">
        <f t="shared" si="53"/>
        <v>DRY SOW</v>
      </c>
      <c r="M63" s="1078" t="str">
        <f t="shared" si="53"/>
        <v>DRY SOW</v>
      </c>
      <c r="N63" s="1078" t="str">
        <f t="shared" si="53"/>
        <v>DRY SOW</v>
      </c>
      <c r="O63" s="1078" t="str">
        <f t="shared" si="53"/>
        <v>DRY SOW</v>
      </c>
      <c r="P63" s="1078" t="str">
        <f t="shared" si="53"/>
        <v>DRY SOW</v>
      </c>
      <c r="Q63" s="1078" t="str">
        <f t="shared" si="53"/>
        <v>DRY SOW</v>
      </c>
      <c r="R63" s="1078" t="str">
        <f t="shared" si="53"/>
        <v>Flush</v>
      </c>
      <c r="S63" s="1078" t="str">
        <f t="shared" si="53"/>
        <v>LACTATE</v>
      </c>
      <c r="T63" s="1078" t="str">
        <f t="shared" si="53"/>
        <v>LACTATE</v>
      </c>
      <c r="U63" s="1078" t="str">
        <f t="shared" si="53"/>
        <v>LACTATE</v>
      </c>
      <c r="V63" s="1078" t="str">
        <f t="shared" si="53"/>
        <v>Early Wean</v>
      </c>
      <c r="W63" s="1078" t="str">
        <f t="shared" si="53"/>
        <v>Early Wean</v>
      </c>
      <c r="X63" s="1078" t="str">
        <f t="shared" si="53"/>
        <v>CREEP</v>
      </c>
      <c r="Y63" s="1078" t="str">
        <f t="shared" si="53"/>
        <v>CREEP</v>
      </c>
      <c r="Z63" s="1078" t="str">
        <f t="shared" si="53"/>
        <v>WEANER</v>
      </c>
      <c r="AA63" s="1078" t="str">
        <f t="shared" si="53"/>
        <v>WEANER</v>
      </c>
      <c r="AB63" s="1078" t="str">
        <f>AA63</f>
        <v>WEANER</v>
      </c>
      <c r="AC63" s="1078" t="str">
        <f>AB63</f>
        <v>WEANER</v>
      </c>
      <c r="AD63" s="1078" t="str">
        <f t="shared" ref="AD63:AN63" si="54">AD3</f>
        <v>GROWER 1</v>
      </c>
      <c r="AE63" s="1078" t="str">
        <f t="shared" si="54"/>
        <v>GROWER 1</v>
      </c>
      <c r="AF63" s="1078" t="str">
        <f t="shared" si="54"/>
        <v>GROWER 2</v>
      </c>
      <c r="AG63" s="1078" t="str">
        <f t="shared" si="54"/>
        <v>GROWER 2</v>
      </c>
      <c r="AH63" s="1078" t="str">
        <f t="shared" si="54"/>
        <v>GROWER 3</v>
      </c>
      <c r="AI63" s="1078" t="str">
        <f t="shared" si="54"/>
        <v>GROWER 3</v>
      </c>
      <c r="AJ63" s="1078" t="str">
        <f t="shared" si="54"/>
        <v>FINISHER</v>
      </c>
      <c r="AK63" s="1078" t="str">
        <f t="shared" si="54"/>
        <v>FINISHER</v>
      </c>
      <c r="AL63" s="1078" t="str">
        <f t="shared" si="54"/>
        <v>FINISHER</v>
      </c>
      <c r="AM63" s="1078" t="str">
        <f t="shared" si="54"/>
        <v>FINISHER</v>
      </c>
      <c r="AN63" s="1078" t="str">
        <f t="shared" si="54"/>
        <v>FINISHER</v>
      </c>
      <c r="AO63" s="1078" t="s">
        <v>71</v>
      </c>
      <c r="AP63" s="1079"/>
      <c r="AQ63" s="1079"/>
      <c r="AR63" s="1079"/>
      <c r="AS63" s="1066"/>
      <c r="AT63" s="1066"/>
      <c r="AU63" s="1068"/>
      <c r="AV63" s="1066"/>
      <c r="AW63" s="1066"/>
    </row>
    <row r="64" spans="1:49" ht="15.6">
      <c r="A64" s="1077" t="s">
        <v>1816</v>
      </c>
      <c r="B64" s="1077">
        <v>7</v>
      </c>
      <c r="C64" s="1077">
        <v>7</v>
      </c>
      <c r="D64" s="1077">
        <v>7</v>
      </c>
      <c r="E64" s="1077">
        <v>7</v>
      </c>
      <c r="F64" s="1077">
        <v>7</v>
      </c>
      <c r="G64" s="1077">
        <v>7</v>
      </c>
      <c r="H64" s="1077">
        <v>7</v>
      </c>
      <c r="I64" s="1077">
        <v>7</v>
      </c>
      <c r="J64" s="1077">
        <v>7</v>
      </c>
      <c r="K64" s="1077">
        <v>7</v>
      </c>
      <c r="L64" s="1077">
        <v>7</v>
      </c>
      <c r="M64" s="1077">
        <v>7</v>
      </c>
      <c r="N64" s="1077">
        <v>7</v>
      </c>
      <c r="O64" s="1077">
        <v>7</v>
      </c>
      <c r="P64" s="1077">
        <v>7</v>
      </c>
      <c r="Q64" s="1077">
        <v>7</v>
      </c>
      <c r="R64" s="1077">
        <v>7</v>
      </c>
      <c r="S64" s="1077">
        <v>7</v>
      </c>
      <c r="T64" s="1077">
        <v>7</v>
      </c>
      <c r="U64" s="1077">
        <v>7</v>
      </c>
      <c r="V64" s="1077">
        <v>7</v>
      </c>
      <c r="W64" s="1077">
        <v>7</v>
      </c>
      <c r="X64" s="1077">
        <v>7</v>
      </c>
      <c r="Y64" s="1077">
        <v>7</v>
      </c>
      <c r="Z64" s="1077">
        <v>7</v>
      </c>
      <c r="AA64" s="1077">
        <v>7</v>
      </c>
      <c r="AB64" s="1077">
        <v>7</v>
      </c>
      <c r="AC64" s="1077">
        <v>7</v>
      </c>
      <c r="AD64" s="1077">
        <v>7</v>
      </c>
      <c r="AE64" s="1077">
        <v>7</v>
      </c>
      <c r="AF64" s="1077">
        <v>7</v>
      </c>
      <c r="AG64" s="1077">
        <v>7</v>
      </c>
      <c r="AH64" s="1077">
        <v>7</v>
      </c>
      <c r="AI64" s="1077">
        <v>7</v>
      </c>
      <c r="AJ64" s="1077">
        <v>7</v>
      </c>
      <c r="AK64" s="1077">
        <v>7</v>
      </c>
      <c r="AL64" s="1077">
        <v>7</v>
      </c>
      <c r="AM64" s="1077">
        <v>7</v>
      </c>
      <c r="AN64" s="1077">
        <v>7</v>
      </c>
      <c r="AO64" s="1077"/>
      <c r="AP64" s="1066"/>
      <c r="AQ64" s="1066"/>
      <c r="AR64" s="1066"/>
      <c r="AS64" s="1066"/>
      <c r="AT64" s="1066"/>
      <c r="AU64" s="1068"/>
      <c r="AV64" s="1066"/>
      <c r="AW64" s="1066"/>
    </row>
    <row r="65" spans="1:49" ht="15.6">
      <c r="A65" s="1077" t="s">
        <v>1817</v>
      </c>
      <c r="B65" s="1077">
        <v>2.5</v>
      </c>
      <c r="C65" s="1077">
        <v>2.5</v>
      </c>
      <c r="D65" s="1077">
        <v>2.5</v>
      </c>
      <c r="E65" s="1077">
        <v>2.5</v>
      </c>
      <c r="F65" s="1077">
        <v>2.2999999999999998</v>
      </c>
      <c r="G65" s="1077">
        <v>2.2999999999999998</v>
      </c>
      <c r="H65" s="1077">
        <v>2.2999999999999998</v>
      </c>
      <c r="I65" s="1077">
        <v>2.2999999999999998</v>
      </c>
      <c r="J65" s="1077">
        <v>2.2999999999999998</v>
      </c>
      <c r="K65" s="1077">
        <v>2.2999999999999998</v>
      </c>
      <c r="L65" s="1077">
        <v>2.2999999999999998</v>
      </c>
      <c r="M65" s="1077">
        <v>2.2999999999999998</v>
      </c>
      <c r="N65" s="1077">
        <v>2.8</v>
      </c>
      <c r="O65" s="1077">
        <v>2.8</v>
      </c>
      <c r="P65" s="1077">
        <v>2.8</v>
      </c>
      <c r="Q65" s="1077">
        <v>2.8</v>
      </c>
      <c r="R65" s="1077">
        <v>5</v>
      </c>
      <c r="S65" s="1080">
        <v>3</v>
      </c>
      <c r="T65" s="1080">
        <v>5.5</v>
      </c>
      <c r="U65" s="1080">
        <v>7</v>
      </c>
      <c r="V65" s="1080">
        <v>9.5</v>
      </c>
      <c r="W65" s="1077">
        <v>0.35</v>
      </c>
      <c r="X65" s="1077">
        <v>0.5</v>
      </c>
      <c r="Y65" s="1077">
        <v>0.6</v>
      </c>
      <c r="Z65" s="1077">
        <v>0.9</v>
      </c>
      <c r="AA65" s="1077">
        <v>1.1000000000000001</v>
      </c>
      <c r="AB65" s="1077">
        <v>1.2</v>
      </c>
      <c r="AC65" s="1080">
        <v>1.4</v>
      </c>
      <c r="AD65" s="1080">
        <v>1.6</v>
      </c>
      <c r="AE65" s="1080">
        <v>1.8</v>
      </c>
      <c r="AF65" s="1080">
        <v>2</v>
      </c>
      <c r="AG65" s="1080">
        <v>2.2000000000000002</v>
      </c>
      <c r="AH65" s="1080">
        <v>2.2999999999999998</v>
      </c>
      <c r="AI65" s="1080">
        <v>2.4</v>
      </c>
      <c r="AJ65" s="1080">
        <v>2.5</v>
      </c>
      <c r="AK65" s="1080">
        <v>2.7</v>
      </c>
      <c r="AL65" s="1080">
        <v>2.9</v>
      </c>
      <c r="AM65" s="1080">
        <v>3</v>
      </c>
      <c r="AN65" s="1080">
        <v>3</v>
      </c>
      <c r="AO65" s="1080"/>
      <c r="AP65" s="1073"/>
      <c r="AQ65" s="1073"/>
      <c r="AR65" s="1073"/>
      <c r="AS65" s="1066"/>
      <c r="AT65" s="1066"/>
      <c r="AU65" s="1068"/>
      <c r="AV65" s="1066"/>
      <c r="AW65" s="1066"/>
    </row>
    <row r="66" spans="1:49" ht="15.6">
      <c r="A66" s="1077" t="s">
        <v>1818</v>
      </c>
      <c r="B66" s="1081">
        <f>+'Summary Total Pigs'!AF73/17*5</f>
        <v>0</v>
      </c>
      <c r="C66" s="1081">
        <f>B66</f>
        <v>0</v>
      </c>
      <c r="D66" s="1081">
        <f t="shared" ref="D66:R66" si="55">C66</f>
        <v>0</v>
      </c>
      <c r="E66" s="1081">
        <f t="shared" si="55"/>
        <v>0</v>
      </c>
      <c r="F66" s="1081">
        <f t="shared" si="55"/>
        <v>0</v>
      </c>
      <c r="G66" s="1081">
        <f t="shared" si="55"/>
        <v>0</v>
      </c>
      <c r="H66" s="1081">
        <f t="shared" si="55"/>
        <v>0</v>
      </c>
      <c r="I66" s="1081">
        <f t="shared" si="55"/>
        <v>0</v>
      </c>
      <c r="J66" s="1081">
        <f t="shared" si="55"/>
        <v>0</v>
      </c>
      <c r="K66" s="1081">
        <f t="shared" si="55"/>
        <v>0</v>
      </c>
      <c r="L66" s="1081">
        <f t="shared" si="55"/>
        <v>0</v>
      </c>
      <c r="M66" s="1081">
        <f t="shared" si="55"/>
        <v>0</v>
      </c>
      <c r="N66" s="1081">
        <f t="shared" si="55"/>
        <v>0</v>
      </c>
      <c r="O66" s="1081">
        <f t="shared" si="55"/>
        <v>0</v>
      </c>
      <c r="P66" s="1081">
        <f t="shared" si="55"/>
        <v>0</v>
      </c>
      <c r="Q66" s="1081">
        <f t="shared" si="55"/>
        <v>0</v>
      </c>
      <c r="R66" s="1081">
        <f t="shared" si="55"/>
        <v>0</v>
      </c>
      <c r="S66" s="1081">
        <f>R66</f>
        <v>0</v>
      </c>
      <c r="T66" s="1081">
        <f>S66</f>
        <v>0</v>
      </c>
      <c r="U66" s="1081">
        <f>T66</f>
        <v>0</v>
      </c>
      <c r="V66" s="1081">
        <f>U66</f>
        <v>0</v>
      </c>
      <c r="W66" s="1081">
        <f t="shared" ref="W66:AC66" si="56">SUM(W26:Z26)</f>
        <v>541</v>
      </c>
      <c r="X66" s="1081">
        <f t="shared" si="56"/>
        <v>681</v>
      </c>
      <c r="Y66" s="1081">
        <f t="shared" si="56"/>
        <v>609</v>
      </c>
      <c r="Z66" s="1081">
        <f t="shared" si="56"/>
        <v>509</v>
      </c>
      <c r="AA66" s="1081">
        <f t="shared" si="56"/>
        <v>379</v>
      </c>
      <c r="AB66" s="1081">
        <f t="shared" si="56"/>
        <v>538</v>
      </c>
      <c r="AC66" s="1081">
        <f t="shared" si="56"/>
        <v>679</v>
      </c>
      <c r="AD66" s="1081">
        <f t="shared" ref="AD66:AN66" si="57">SUM(AD7:AG7)</f>
        <v>878</v>
      </c>
      <c r="AE66" s="1081">
        <f t="shared" si="57"/>
        <v>1025</v>
      </c>
      <c r="AF66" s="1081">
        <f t="shared" si="57"/>
        <v>1040</v>
      </c>
      <c r="AG66" s="1081">
        <f t="shared" si="57"/>
        <v>1031</v>
      </c>
      <c r="AH66" s="1081">
        <f t="shared" si="57"/>
        <v>954</v>
      </c>
      <c r="AI66" s="1081">
        <f t="shared" si="57"/>
        <v>851</v>
      </c>
      <c r="AJ66" s="1081">
        <f t="shared" si="57"/>
        <v>606</v>
      </c>
      <c r="AK66" s="1081">
        <f t="shared" si="57"/>
        <v>475</v>
      </c>
      <c r="AL66" s="1081">
        <f t="shared" si="57"/>
        <v>422</v>
      </c>
      <c r="AM66" s="1081">
        <f t="shared" si="57"/>
        <v>258</v>
      </c>
      <c r="AN66" s="1081">
        <f t="shared" si="57"/>
        <v>275</v>
      </c>
      <c r="AO66" s="1077"/>
      <c r="AP66" s="1066"/>
      <c r="AQ66" s="1066"/>
      <c r="AR66" s="1066"/>
      <c r="AS66" s="1066"/>
      <c r="AT66" s="1066"/>
      <c r="AU66" s="1068"/>
      <c r="AV66" s="1066"/>
      <c r="AW66" s="1066"/>
    </row>
    <row r="67" spans="1:49" ht="15.6">
      <c r="A67" s="1077" t="s">
        <v>1819</v>
      </c>
      <c r="B67" s="1081">
        <f>B64*B65*B66</f>
        <v>0</v>
      </c>
      <c r="C67" s="1081">
        <f t="shared" ref="C67:Q67" si="58">C64*C65*C66</f>
        <v>0</v>
      </c>
      <c r="D67" s="1081">
        <f t="shared" si="58"/>
        <v>0</v>
      </c>
      <c r="E67" s="1081">
        <f t="shared" si="58"/>
        <v>0</v>
      </c>
      <c r="F67" s="1081">
        <f t="shared" si="58"/>
        <v>0</v>
      </c>
      <c r="G67" s="1081">
        <f t="shared" si="58"/>
        <v>0</v>
      </c>
      <c r="H67" s="1081">
        <f t="shared" si="58"/>
        <v>0</v>
      </c>
      <c r="I67" s="1081">
        <f t="shared" si="58"/>
        <v>0</v>
      </c>
      <c r="J67" s="1081">
        <f t="shared" si="58"/>
        <v>0</v>
      </c>
      <c r="K67" s="1081">
        <f t="shared" si="58"/>
        <v>0</v>
      </c>
      <c r="L67" s="1081">
        <f t="shared" si="58"/>
        <v>0</v>
      </c>
      <c r="M67" s="1081">
        <f t="shared" si="58"/>
        <v>0</v>
      </c>
      <c r="N67" s="1081">
        <f t="shared" si="58"/>
        <v>0</v>
      </c>
      <c r="O67" s="1081">
        <f t="shared" si="58"/>
        <v>0</v>
      </c>
      <c r="P67" s="1081">
        <f t="shared" si="58"/>
        <v>0</v>
      </c>
      <c r="Q67" s="1081">
        <f t="shared" si="58"/>
        <v>0</v>
      </c>
      <c r="R67" s="1081">
        <f>R64*R65*R66</f>
        <v>0</v>
      </c>
      <c r="S67" s="1081">
        <f>S64*S65*S66</f>
        <v>0</v>
      </c>
      <c r="T67" s="1081">
        <f t="shared" ref="T67:AN67" si="59">T64*T65*T66</f>
        <v>0</v>
      </c>
      <c r="U67" s="1081">
        <f t="shared" si="59"/>
        <v>0</v>
      </c>
      <c r="V67" s="1081">
        <f t="shared" si="59"/>
        <v>0</v>
      </c>
      <c r="W67" s="1081">
        <f t="shared" si="59"/>
        <v>1325.4499999999998</v>
      </c>
      <c r="X67" s="1081">
        <f>X64*X65*X66</f>
        <v>2383.5</v>
      </c>
      <c r="Y67" s="1081">
        <f>Y64*Y65*Y66</f>
        <v>2557.8000000000002</v>
      </c>
      <c r="Z67" s="1081">
        <f t="shared" si="59"/>
        <v>3206.7</v>
      </c>
      <c r="AA67" s="1081">
        <f t="shared" si="59"/>
        <v>2918.3</v>
      </c>
      <c r="AB67" s="1081">
        <f t="shared" si="59"/>
        <v>4519.2</v>
      </c>
      <c r="AC67" s="1081">
        <f t="shared" si="59"/>
        <v>6654.1999999999989</v>
      </c>
      <c r="AD67" s="1081">
        <f t="shared" si="59"/>
        <v>9833.6</v>
      </c>
      <c r="AE67" s="1081">
        <f t="shared" si="59"/>
        <v>12915</v>
      </c>
      <c r="AF67" s="1081">
        <f t="shared" si="59"/>
        <v>14560</v>
      </c>
      <c r="AG67" s="1081">
        <f t="shared" si="59"/>
        <v>15877.400000000001</v>
      </c>
      <c r="AH67" s="1081">
        <f t="shared" si="59"/>
        <v>15359.399999999998</v>
      </c>
      <c r="AI67" s="1081">
        <f t="shared" si="59"/>
        <v>14296.800000000001</v>
      </c>
      <c r="AJ67" s="1081">
        <f t="shared" si="59"/>
        <v>10605</v>
      </c>
      <c r="AK67" s="1081">
        <f t="shared" si="59"/>
        <v>8977.5000000000018</v>
      </c>
      <c r="AL67" s="1081">
        <f t="shared" si="59"/>
        <v>8566.6</v>
      </c>
      <c r="AM67" s="1081">
        <f t="shared" si="59"/>
        <v>5418</v>
      </c>
      <c r="AN67" s="1081">
        <f t="shared" si="59"/>
        <v>5775</v>
      </c>
      <c r="AO67" s="1081">
        <f>SUM(B67:AN67)</f>
        <v>145749.44999999998</v>
      </c>
      <c r="AP67" s="1066"/>
      <c r="AQ67" s="1066"/>
      <c r="AR67" s="1066"/>
      <c r="AS67" s="1066"/>
      <c r="AT67" s="1066"/>
      <c r="AU67" s="1068"/>
      <c r="AV67" s="1066"/>
      <c r="AW67" s="1066"/>
    </row>
    <row r="68" spans="1:49" ht="15.6">
      <c r="A68" s="1077"/>
      <c r="B68" s="1081"/>
      <c r="C68" s="1081"/>
      <c r="D68" s="1081"/>
      <c r="E68" s="1081"/>
      <c r="F68" s="1081"/>
      <c r="G68" s="1081"/>
      <c r="H68" s="1081"/>
      <c r="I68" s="1081"/>
      <c r="J68" s="1081"/>
      <c r="K68" s="1081"/>
      <c r="L68" s="1081"/>
      <c r="M68" s="1081"/>
      <c r="N68" s="1081"/>
      <c r="O68" s="1081"/>
      <c r="P68" s="1081"/>
      <c r="Q68" s="1081"/>
      <c r="R68" s="1081">
        <f>SUM(B67:R67)+S67</f>
        <v>0</v>
      </c>
      <c r="S68" s="1081"/>
      <c r="T68" s="1081"/>
      <c r="U68" s="1081">
        <f>SUM(S67:U67)</f>
        <v>0</v>
      </c>
      <c r="V68" s="1081"/>
      <c r="W68" s="1081">
        <f>SUM(V67:W67)</f>
        <v>1325.4499999999998</v>
      </c>
      <c r="X68" s="1081"/>
      <c r="Y68" s="1081">
        <f>SUM(X67:Y67)</f>
        <v>4941.3</v>
      </c>
      <c r="Z68" s="1081"/>
      <c r="AA68" s="1081">
        <v>0</v>
      </c>
      <c r="AB68" s="1081"/>
      <c r="AC68" s="1081">
        <f>SUM(Z67:AC67)</f>
        <v>17298.400000000001</v>
      </c>
      <c r="AD68" s="1081"/>
      <c r="AE68" s="1081">
        <f>SUM(AD67:AE67)</f>
        <v>22748.6</v>
      </c>
      <c r="AF68" s="1081"/>
      <c r="AG68" s="1081">
        <f>SUM(AF67:AG67)</f>
        <v>30437.4</v>
      </c>
      <c r="AH68" s="1081"/>
      <c r="AI68" s="1081">
        <f>SUM(AH67:AI67)</f>
        <v>29656.199999999997</v>
      </c>
      <c r="AJ68" s="1081"/>
      <c r="AK68" s="1081"/>
      <c r="AL68" s="1081"/>
      <c r="AM68" s="1081"/>
      <c r="AN68" s="1081">
        <f>SUM(AJ67:AN67)</f>
        <v>39342.1</v>
      </c>
      <c r="AO68" s="1081">
        <f>SUM(B68:AN68)</f>
        <v>145749.44999999998</v>
      </c>
      <c r="AP68" s="1066"/>
      <c r="AQ68" s="1066"/>
      <c r="AR68" s="1066"/>
      <c r="AS68" s="1066"/>
      <c r="AT68" s="1066"/>
      <c r="AU68" s="1068"/>
      <c r="AV68" s="1066"/>
      <c r="AW68" s="1066"/>
    </row>
    <row r="69" spans="1:49" ht="15.6">
      <c r="A69" s="1077" t="s">
        <v>1820</v>
      </c>
      <c r="B69" s="1082">
        <f>IFERROR(B67/R68,0)</f>
        <v>0</v>
      </c>
      <c r="C69" s="1082">
        <f t="shared" ref="C69:R69" si="60">IFERROR(C67/S68,0)</f>
        <v>0</v>
      </c>
      <c r="D69" s="1082">
        <f t="shared" si="60"/>
        <v>0</v>
      </c>
      <c r="E69" s="1082">
        <f t="shared" si="60"/>
        <v>0</v>
      </c>
      <c r="F69" s="1082">
        <f t="shared" si="60"/>
        <v>0</v>
      </c>
      <c r="G69" s="1082">
        <f t="shared" si="60"/>
        <v>0</v>
      </c>
      <c r="H69" s="1082">
        <f t="shared" si="60"/>
        <v>0</v>
      </c>
      <c r="I69" s="1082">
        <f t="shared" si="60"/>
        <v>0</v>
      </c>
      <c r="J69" s="1082">
        <f t="shared" si="60"/>
        <v>0</v>
      </c>
      <c r="K69" s="1082">
        <f t="shared" si="60"/>
        <v>0</v>
      </c>
      <c r="L69" s="1082">
        <f t="shared" si="60"/>
        <v>0</v>
      </c>
      <c r="M69" s="1082">
        <f t="shared" si="60"/>
        <v>0</v>
      </c>
      <c r="N69" s="1082">
        <f t="shared" si="60"/>
        <v>0</v>
      </c>
      <c r="O69" s="1082">
        <f t="shared" si="60"/>
        <v>0</v>
      </c>
      <c r="P69" s="1082">
        <f t="shared" si="60"/>
        <v>0</v>
      </c>
      <c r="Q69" s="1082">
        <f t="shared" si="60"/>
        <v>0</v>
      </c>
      <c r="R69" s="1082">
        <f t="shared" si="60"/>
        <v>0</v>
      </c>
      <c r="S69" s="1082">
        <f>IFERROR(S67/$U$68,0)</f>
        <v>0</v>
      </c>
      <c r="T69" s="1082">
        <f>IFERROR(T67/$U$68,0)</f>
        <v>0</v>
      </c>
      <c r="U69" s="1082">
        <f>IFERROR(U67/$U$68,0)</f>
        <v>0</v>
      </c>
      <c r="V69" s="1082">
        <f>IFERROR(V67/$V$68,0)</f>
        <v>0</v>
      </c>
      <c r="W69" s="1082">
        <f>IFERROR(W67/W68,0)</f>
        <v>1</v>
      </c>
      <c r="X69" s="1082">
        <f>X67/$Y$68</f>
        <v>0.4823629409264768</v>
      </c>
      <c r="Y69" s="1082">
        <f>Y67/$Y$68</f>
        <v>0.5176370590735232</v>
      </c>
      <c r="Z69" s="1082">
        <f>Z67/$AC$68</f>
        <v>0.18537552606021362</v>
      </c>
      <c r="AA69" s="1082">
        <f>AA67/$AC$68</f>
        <v>0.16870346390417609</v>
      </c>
      <c r="AB69" s="1082">
        <f>AB67/$AC$68</f>
        <v>0.26124959533829717</v>
      </c>
      <c r="AC69" s="1082">
        <f>AC67/$AC$68</f>
        <v>0.38467141469731297</v>
      </c>
      <c r="AD69" s="1082">
        <f>AD67/$AE$68</f>
        <v>0.43227275524647674</v>
      </c>
      <c r="AE69" s="1082">
        <f>AE67/$AE$68</f>
        <v>0.56772724475352332</v>
      </c>
      <c r="AF69" s="1082">
        <f>AF67/$AG$68</f>
        <v>0.47835886113794213</v>
      </c>
      <c r="AG69" s="1082">
        <f>AG67/$AG$68</f>
        <v>0.52164113886205787</v>
      </c>
      <c r="AH69" s="1082">
        <f>AH67/$AI$68</f>
        <v>0.51791530944625408</v>
      </c>
      <c r="AI69" s="1082">
        <f>AI67/$AI$68</f>
        <v>0.48208469055374603</v>
      </c>
      <c r="AJ69" s="1082">
        <f>AJ67/$AN$68</f>
        <v>0.2695585644894401</v>
      </c>
      <c r="AK69" s="1082">
        <f>AK67/$AN$68</f>
        <v>0.22819066597868445</v>
      </c>
      <c r="AL69" s="1082">
        <f>AL67/$AN$68</f>
        <v>0.21774638364500118</v>
      </c>
      <c r="AM69" s="1082">
        <f>AM67/$AN$68</f>
        <v>0.13771506859064464</v>
      </c>
      <c r="AN69" s="1082">
        <f>AN67/$AN$68</f>
        <v>0.14678931729622974</v>
      </c>
      <c r="AO69" s="1065"/>
      <c r="AP69" s="142"/>
      <c r="AQ69" s="142"/>
      <c r="AR69" s="142"/>
      <c r="AS69" s="142"/>
      <c r="AT69" s="142"/>
      <c r="AU69" s="1057"/>
      <c r="AV69" s="142"/>
      <c r="AW69" s="142"/>
    </row>
    <row r="70" spans="1:49" ht="15">
      <c r="A70" s="1065"/>
      <c r="B70" s="1065"/>
      <c r="C70" s="1065"/>
      <c r="D70" s="1065"/>
      <c r="E70" s="1065"/>
      <c r="F70" s="1065"/>
      <c r="G70" s="1065"/>
      <c r="H70" s="1065"/>
      <c r="I70" s="1065"/>
      <c r="J70" s="1065"/>
      <c r="K70" s="1065"/>
      <c r="L70" s="1065"/>
      <c r="M70" s="1065"/>
      <c r="N70" s="1065"/>
      <c r="O70" s="1065"/>
      <c r="P70" s="1065"/>
      <c r="Q70" s="1065"/>
      <c r="R70" s="1065"/>
      <c r="S70" s="1065"/>
      <c r="T70" s="1065"/>
      <c r="U70" s="1065"/>
      <c r="V70" s="1065"/>
      <c r="W70" s="1065"/>
      <c r="X70" s="1065"/>
      <c r="Y70" s="1065"/>
      <c r="Z70" s="1065"/>
      <c r="AA70" s="1065"/>
      <c r="AB70" s="1065"/>
      <c r="AC70" s="1065"/>
      <c r="AD70" s="1065"/>
      <c r="AE70" s="1065"/>
      <c r="AF70" s="1065"/>
      <c r="AG70" s="1065"/>
      <c r="AH70" s="1065"/>
      <c r="AI70" s="1065"/>
      <c r="AJ70" s="1065"/>
      <c r="AK70" s="1065"/>
      <c r="AL70" s="1065"/>
      <c r="AM70" s="1065"/>
      <c r="AN70" s="1065"/>
      <c r="AO70" s="1065"/>
      <c r="AP70" s="142"/>
      <c r="AQ70" s="142"/>
      <c r="AR70" s="142"/>
      <c r="AS70" s="142"/>
      <c r="AT70" s="142"/>
      <c r="AU70" s="1057"/>
      <c r="AV70" s="142"/>
      <c r="AW70" s="142"/>
    </row>
    <row r="71" spans="1:49" ht="15">
      <c r="A71" s="1065"/>
      <c r="B71" s="1065"/>
      <c r="C71" s="1065"/>
      <c r="D71" s="1065"/>
      <c r="E71" s="1065"/>
      <c r="F71" s="1065"/>
      <c r="G71" s="1065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5"/>
      <c r="AD71" s="1065"/>
      <c r="AE71" s="1065"/>
      <c r="AF71" s="1065"/>
      <c r="AG71" s="1065"/>
      <c r="AH71" s="1065"/>
      <c r="AI71" s="1065"/>
      <c r="AJ71" s="1065"/>
      <c r="AK71" s="1065"/>
      <c r="AL71" s="1065"/>
      <c r="AM71" s="1065"/>
      <c r="AN71" s="1065"/>
      <c r="AO71" s="1065"/>
      <c r="AP71" s="142"/>
      <c r="AQ71" s="142"/>
      <c r="AR71" s="142"/>
      <c r="AS71" s="142"/>
      <c r="AT71" s="142"/>
      <c r="AU71" s="1057"/>
      <c r="AV71" s="142"/>
      <c r="AW71" s="142"/>
    </row>
    <row r="72" spans="1:49" ht="15.6">
      <c r="A72" s="1081" t="s">
        <v>1821</v>
      </c>
      <c r="B72" s="1081"/>
      <c r="C72" s="1081"/>
      <c r="D72" s="1081"/>
      <c r="E72" s="1081"/>
      <c r="F72" s="1081"/>
      <c r="G72" s="1081"/>
      <c r="H72" s="1081"/>
      <c r="I72" s="1081"/>
      <c r="J72" s="1081"/>
      <c r="K72" s="1081"/>
      <c r="L72" s="1081"/>
      <c r="M72" s="1081"/>
      <c r="N72" s="1081"/>
      <c r="O72" s="1081"/>
      <c r="P72" s="1081"/>
      <c r="Q72" s="1081">
        <f>SUM(B67:Q67)</f>
        <v>0</v>
      </c>
      <c r="R72" s="1081">
        <f>R67</f>
        <v>0</v>
      </c>
      <c r="S72" s="1081">
        <f>S67</f>
        <v>0</v>
      </c>
      <c r="T72" s="1081">
        <f>T66*T64*T65</f>
        <v>0</v>
      </c>
      <c r="U72" s="1081">
        <f>U66*U64*U65</f>
        <v>0</v>
      </c>
      <c r="V72" s="1081">
        <f>V66*V64*V65</f>
        <v>0</v>
      </c>
      <c r="W72" s="1081">
        <f>W67</f>
        <v>1325.4499999999998</v>
      </c>
      <c r="X72" s="1081"/>
      <c r="Y72" s="1081">
        <f>Y68</f>
        <v>4941.3</v>
      </c>
      <c r="Z72" s="1081"/>
      <c r="AA72" s="1081"/>
      <c r="AB72" s="1081"/>
      <c r="AC72" s="1081">
        <f>AC68</f>
        <v>17298.400000000001</v>
      </c>
      <c r="AD72" s="1081"/>
      <c r="AE72" s="1081">
        <f>AE68</f>
        <v>22748.6</v>
      </c>
      <c r="AF72" s="1081"/>
      <c r="AG72" s="1081">
        <f>AG68</f>
        <v>30437.4</v>
      </c>
      <c r="AH72" s="1081"/>
      <c r="AI72" s="1081"/>
      <c r="AJ72" s="1081">
        <f>AJ68</f>
        <v>0</v>
      </c>
      <c r="AK72" s="1081"/>
      <c r="AL72" s="1081"/>
      <c r="AM72" s="1081"/>
      <c r="AN72" s="1081">
        <f>AN68</f>
        <v>39342.1</v>
      </c>
      <c r="AO72" s="1081">
        <f>SUM(B72:AN72)</f>
        <v>116093.25</v>
      </c>
      <c r="AP72" s="1068"/>
      <c r="AQ72" s="1068"/>
      <c r="AR72" s="1068"/>
      <c r="AS72" s="1068"/>
      <c r="AT72" s="1068"/>
      <c r="AU72" s="1068"/>
      <c r="AV72" s="1068"/>
      <c r="AW72" s="1068"/>
    </row>
    <row r="73" spans="1:49" ht="15.6">
      <c r="A73" s="1081" t="s">
        <v>1822</v>
      </c>
      <c r="B73" s="1081"/>
      <c r="C73" s="1081"/>
      <c r="D73" s="1081"/>
      <c r="E73" s="1081"/>
      <c r="F73" s="1081"/>
      <c r="G73" s="1081"/>
      <c r="H73" s="1081"/>
      <c r="I73" s="1081"/>
      <c r="J73" s="1081"/>
      <c r="K73" s="1081"/>
      <c r="L73" s="1081"/>
      <c r="M73" s="1081"/>
      <c r="N73" s="1081"/>
      <c r="O73" s="1081"/>
      <c r="P73" s="1081"/>
      <c r="Q73" s="1081">
        <f>'[4]Feed Costing &amp; Appotionment '!K122+'[4]Feed Costing &amp; Appotionment '!O122</f>
        <v>273392.90000000002</v>
      </c>
      <c r="R73" s="1081">
        <f>'[4]Feed Costing &amp; Appotionment '!T122</f>
        <v>47127.5</v>
      </c>
      <c r="S73" s="1081">
        <f>'[4]Feed Costing &amp; Appotionment '!N122</f>
        <v>17559.5</v>
      </c>
      <c r="T73" s="1081"/>
      <c r="U73" s="1081"/>
      <c r="V73" s="1081">
        <f>'[4]Feed Costing &amp; Appotionment '!L122+'[4]Feed Costing &amp; Appotionment '!M122</f>
        <v>117633</v>
      </c>
      <c r="W73" s="1081">
        <f>'[4]Feed Costing &amp; Appotionment '!B122</f>
        <v>29254.2</v>
      </c>
      <c r="X73" s="1081"/>
      <c r="Y73" s="1081">
        <f>'[4]Feed Costing &amp; Appotionment '!C122</f>
        <v>126974</v>
      </c>
      <c r="Z73" s="1081"/>
      <c r="AA73" s="1081"/>
      <c r="AB73" s="1081"/>
      <c r="AC73" s="1081">
        <f>'[4]Feed Costing &amp; Appotionment '!D122+'[4]Feed Costing &amp; Appotionment '!E122</f>
        <v>243037.40000000002</v>
      </c>
      <c r="AD73" s="1081"/>
      <c r="AE73" s="1081">
        <f>'[4]Feed Costing &amp; Appotionment '!F122</f>
        <v>176588.4</v>
      </c>
      <c r="AF73" s="1081"/>
      <c r="AG73" s="1081">
        <f>'[4]Feed Costing &amp; Appotionment '!G122</f>
        <v>59290</v>
      </c>
      <c r="AH73" s="1081"/>
      <c r="AI73" s="1081"/>
      <c r="AJ73" s="1081">
        <f>'[4]Feed Costing &amp; Appotionment '!H122</f>
        <v>949048.7</v>
      </c>
      <c r="AK73" s="1081"/>
      <c r="AL73" s="1081"/>
      <c r="AM73" s="1081"/>
      <c r="AN73" s="1081">
        <f>'[4]Feed Costing &amp; Appotionment '!J122</f>
        <v>710118.55</v>
      </c>
      <c r="AO73" s="1081">
        <f>SUM(B73:AN73)</f>
        <v>2750024.1500000004</v>
      </c>
      <c r="AP73" s="1068">
        <f>AO73-'[4]Feed Costing &amp; Appotionment '!U122+'[4]Feed Costing &amp; Appotionment '!P122+'[4]Feed Costing &amp; Appotionment '!Q122+'[4]Feed Costing &amp; Appotionment '!R122</f>
        <v>1.8917489796876907E-10</v>
      </c>
      <c r="AQ73" s="1068"/>
      <c r="AR73" s="1068"/>
      <c r="AS73" s="1068"/>
      <c r="AT73" s="1068"/>
      <c r="AU73" s="1068"/>
      <c r="AV73" s="1068"/>
      <c r="AW73" s="1068"/>
    </row>
    <row r="74" spans="1:49" ht="15.6">
      <c r="A74" s="1081" t="s">
        <v>1823</v>
      </c>
      <c r="B74" s="1081"/>
      <c r="C74" s="1081"/>
      <c r="D74" s="1081"/>
      <c r="E74" s="1081"/>
      <c r="F74" s="1081"/>
      <c r="G74" s="1081"/>
      <c r="H74" s="1081"/>
      <c r="I74" s="1081"/>
      <c r="J74" s="1081"/>
      <c r="K74" s="1081"/>
      <c r="L74" s="1081"/>
      <c r="M74" s="1081"/>
      <c r="N74" s="1081"/>
      <c r="O74" s="1081"/>
      <c r="P74" s="1081"/>
      <c r="Q74" s="1081">
        <f>Q72-Q73</f>
        <v>-273392.90000000002</v>
      </c>
      <c r="R74" s="1081">
        <f>R72-R73</f>
        <v>-47127.5</v>
      </c>
      <c r="S74" s="1081">
        <f>S72-S73</f>
        <v>-17559.5</v>
      </c>
      <c r="T74" s="1081"/>
      <c r="U74" s="1081"/>
      <c r="V74" s="1081">
        <f>SUM(T72:V72)-V73</f>
        <v>-117633</v>
      </c>
      <c r="W74" s="1081">
        <f>W72-W73</f>
        <v>-27928.75</v>
      </c>
      <c r="X74" s="1081">
        <f>X72-X73</f>
        <v>0</v>
      </c>
      <c r="Y74" s="1081">
        <f>Y72-Y73</f>
        <v>-122032.7</v>
      </c>
      <c r="Z74" s="1081"/>
      <c r="AA74" s="1081"/>
      <c r="AB74" s="1081"/>
      <c r="AC74" s="1081">
        <f>AC72-AC73</f>
        <v>-225739.00000000003</v>
      </c>
      <c r="AD74" s="1081"/>
      <c r="AE74" s="1081">
        <f>AE72-AE73</f>
        <v>-153839.79999999999</v>
      </c>
      <c r="AF74" s="1081"/>
      <c r="AG74" s="1081">
        <f>AG72-AG73</f>
        <v>-28852.6</v>
      </c>
      <c r="AH74" s="1081"/>
      <c r="AI74" s="1081"/>
      <c r="AJ74" s="1081">
        <f>AJ72-AJ73</f>
        <v>-949048.7</v>
      </c>
      <c r="AK74" s="1081"/>
      <c r="AL74" s="1081"/>
      <c r="AM74" s="1081"/>
      <c r="AN74" s="1081">
        <f>AN72-AN73</f>
        <v>-670776.45000000007</v>
      </c>
      <c r="AO74" s="1081">
        <f>SUM(B74:AN74)</f>
        <v>-2633930.9</v>
      </c>
      <c r="AP74" s="1068">
        <f>AO73-'[4]Feed Costing &amp; Appotionment '!U122</f>
        <v>-86697.799999999814</v>
      </c>
      <c r="AQ74" s="1068"/>
      <c r="AR74" s="1068"/>
      <c r="AS74" s="1068"/>
      <c r="AT74" s="1068"/>
      <c r="AU74" s="1068"/>
      <c r="AV74" s="1068"/>
      <c r="AW74" s="1068"/>
    </row>
    <row r="75" spans="1:49" ht="15.6">
      <c r="A75" s="1081" t="s">
        <v>1824</v>
      </c>
      <c r="B75" s="1077"/>
      <c r="C75" s="1077"/>
      <c r="D75" s="1077"/>
      <c r="E75" s="1077"/>
      <c r="F75" s="1077"/>
      <c r="G75" s="1077"/>
      <c r="H75" s="1077"/>
      <c r="I75" s="1077"/>
      <c r="J75" s="1077"/>
      <c r="K75" s="1077"/>
      <c r="L75" s="1077"/>
      <c r="M75" s="1077"/>
      <c r="N75" s="1077"/>
      <c r="O75" s="1077"/>
      <c r="P75" s="1077"/>
      <c r="Q75" s="1083">
        <f>('[4]Feed Costing &amp; Appotionment '!K123+'[4]Feed Costing &amp; Appotionment '!O123)/('[4]Feed Costing &amp; Appotionment '!K122+'[4]Feed Costing &amp; Appotionment '!O122)</f>
        <v>0.33022565021567968</v>
      </c>
      <c r="R75" s="1080">
        <f>'[4]Feed Costing &amp; Appotionment '!T124</f>
        <v>0.37880590011098036</v>
      </c>
      <c r="S75" s="1080">
        <f>'[4]Feed Costing &amp; Appotionment '!N124</f>
        <v>0.36773334194341661</v>
      </c>
      <c r="T75" s="1077"/>
      <c r="U75" s="1077"/>
      <c r="V75" s="1080">
        <f>('[4]Feed Costing &amp; Appotionment '!M123+'[4]Feed Costing &amp; Appotionment '!L123)/('[4]Feed Costing &amp; Appotionment '!L122+'[4]Feed Costing &amp; Appotionment '!M122)</f>
        <v>0.38986305594770371</v>
      </c>
      <c r="W75" s="1080">
        <f>'[4]Feed Costing &amp; Appotionment '!B124</f>
        <v>0.70516028376225237</v>
      </c>
      <c r="X75" s="1077"/>
      <c r="Y75" s="1080">
        <f>'[4]Feed Costing &amp; Appotionment '!C124</f>
        <v>0.553048745740369</v>
      </c>
      <c r="Z75" s="1077"/>
      <c r="AA75" s="1080"/>
      <c r="AB75" s="1077"/>
      <c r="AC75" s="1080">
        <f>'[4]Feed Costing &amp; Appotionment '!D124</f>
        <v>0.45761789674138609</v>
      </c>
      <c r="AD75" s="1077"/>
      <c r="AE75" s="1080">
        <f>'[4]Feed Costing &amp; Appotionment '!F124</f>
        <v>0.36072118784213153</v>
      </c>
      <c r="AF75" s="1077"/>
      <c r="AG75" s="1080">
        <f>'[4]Feed Costing &amp; Appotionment '!G124</f>
        <v>0.35277419368699731</v>
      </c>
      <c r="AH75" s="1077"/>
      <c r="AI75" s="1077"/>
      <c r="AJ75" s="1080">
        <f>'[4]Feed Costing &amp; Appotionment '!H124</f>
        <v>0.32545898419719504</v>
      </c>
      <c r="AK75" s="1077"/>
      <c r="AL75" s="1077"/>
      <c r="AM75" s="1077"/>
      <c r="AN75" s="1080">
        <f>'[4]Feed Costing &amp; Appotionment '!J124</f>
        <v>0.34727367194923103</v>
      </c>
      <c r="AO75" s="1083">
        <f>AO76/AO74</f>
        <v>0.36387785869508926</v>
      </c>
      <c r="AP75" s="1068">
        <f>'[4]Feed Costing &amp; Appotionment '!P122+'[4]Feed Costing &amp; Appotionment '!Q122+'[4]Feed Costing &amp; Appotionment '!R122</f>
        <v>86697.8</v>
      </c>
      <c r="AQ75" s="1066"/>
      <c r="AR75" s="1066"/>
      <c r="AS75" s="1066"/>
      <c r="AT75" s="1066"/>
      <c r="AU75" s="1068"/>
      <c r="AV75" s="1066"/>
      <c r="AW75" s="1066"/>
    </row>
    <row r="76" spans="1:49" ht="15.6">
      <c r="A76" s="1081" t="s">
        <v>1825</v>
      </c>
      <c r="B76" s="1077"/>
      <c r="C76" s="1077"/>
      <c r="D76" s="1077"/>
      <c r="E76" s="1077"/>
      <c r="F76" s="1077"/>
      <c r="G76" s="1077"/>
      <c r="H76" s="1077"/>
      <c r="I76" s="1077"/>
      <c r="J76" s="1077"/>
      <c r="K76" s="1077"/>
      <c r="L76" s="1077"/>
      <c r="M76" s="1077"/>
      <c r="N76" s="1077"/>
      <c r="O76" s="1077"/>
      <c r="P76" s="1077"/>
      <c r="Q76" s="1083">
        <f>Q74*Q75</f>
        <v>-90281.348166850294</v>
      </c>
      <c r="R76" s="1083">
        <f>R74*R75</f>
        <v>-17852.175057480228</v>
      </c>
      <c r="S76" s="1083">
        <f>S74*S75</f>
        <v>-6457.2136178554238</v>
      </c>
      <c r="T76" s="1077"/>
      <c r="U76" s="1077"/>
      <c r="V76" s="1083">
        <f>V74*V75</f>
        <v>-45860.760860296228</v>
      </c>
      <c r="W76" s="1083">
        <f>W74*W75</f>
        <v>-19694.245275125006</v>
      </c>
      <c r="X76" s="1077"/>
      <c r="Y76" s="1083">
        <f>Y74*Y75</f>
        <v>-67490.031674310725</v>
      </c>
      <c r="Z76" s="1077"/>
      <c r="AA76" s="1083"/>
      <c r="AB76" s="1077"/>
      <c r="AC76" s="1083">
        <f>AC74*AC75</f>
        <v>-103302.20639250377</v>
      </c>
      <c r="AD76" s="1077"/>
      <c r="AE76" s="1083">
        <f>AE74*AE75</f>
        <v>-55493.275393395939</v>
      </c>
      <c r="AF76" s="1077"/>
      <c r="AG76" s="1083">
        <f>AG74*AG75</f>
        <v>-10178.452700773458</v>
      </c>
      <c r="AH76" s="1077"/>
      <c r="AI76" s="1077"/>
      <c r="AJ76" s="1083">
        <f>AJ74*AJ75</f>
        <v>-308876.42585566849</v>
      </c>
      <c r="AK76" s="1077"/>
      <c r="AL76" s="1077"/>
      <c r="AM76" s="1077"/>
      <c r="AN76" s="1083">
        <f>AN74*AN75</f>
        <v>-232943.00084856979</v>
      </c>
      <c r="AO76" s="1081">
        <f>SUM(B76:AN76)</f>
        <v>-958429.13584282924</v>
      </c>
      <c r="AP76" s="1084">
        <f>SUM(AP74:AP75)</f>
        <v>1.8917489796876907E-10</v>
      </c>
      <c r="AQ76" s="1066"/>
      <c r="AR76" s="1066"/>
      <c r="AS76" s="1066"/>
      <c r="AT76" s="1066"/>
      <c r="AU76" s="1068"/>
      <c r="AV76" s="1066"/>
      <c r="AW76" s="1066"/>
    </row>
    <row r="79" spans="1:49" ht="15.6">
      <c r="A79" s="131" t="s">
        <v>1816</v>
      </c>
      <c r="B79" s="1716">
        <v>7</v>
      </c>
      <c r="C79" s="1716">
        <v>7</v>
      </c>
      <c r="D79" s="1716">
        <v>7</v>
      </c>
      <c r="E79" s="1716">
        <v>7</v>
      </c>
      <c r="F79" s="1716">
        <v>7</v>
      </c>
      <c r="G79" s="1716">
        <v>7</v>
      </c>
      <c r="H79" s="1716">
        <v>7</v>
      </c>
      <c r="I79" s="1716">
        <v>7</v>
      </c>
      <c r="J79" s="1716">
        <v>7</v>
      </c>
      <c r="K79" s="1716">
        <v>7</v>
      </c>
      <c r="L79" s="1716">
        <v>7</v>
      </c>
      <c r="M79" s="1716">
        <v>7</v>
      </c>
      <c r="N79" s="1716">
        <v>7</v>
      </c>
      <c r="O79" s="1716">
        <v>7</v>
      </c>
      <c r="P79" s="1716">
        <v>7</v>
      </c>
      <c r="Q79" s="1717">
        <v>7</v>
      </c>
      <c r="R79" s="1717">
        <v>7</v>
      </c>
      <c r="S79" s="1710">
        <v>3</v>
      </c>
      <c r="T79" s="1710">
        <v>7</v>
      </c>
      <c r="U79" s="1709">
        <v>7</v>
      </c>
      <c r="V79" s="1709">
        <v>7</v>
      </c>
      <c r="W79" s="1710">
        <v>4</v>
      </c>
      <c r="X79" s="1709">
        <v>7</v>
      </c>
      <c r="Y79" s="1710">
        <v>7</v>
      </c>
      <c r="Z79" s="1709">
        <v>7</v>
      </c>
      <c r="AA79" s="1710">
        <v>7</v>
      </c>
      <c r="AB79" s="1709">
        <v>7</v>
      </c>
      <c r="AC79" s="1710">
        <v>7</v>
      </c>
      <c r="AD79" s="1709">
        <v>7</v>
      </c>
      <c r="AE79" s="1710">
        <v>7</v>
      </c>
      <c r="AF79" s="1709">
        <v>7</v>
      </c>
      <c r="AG79" s="1710">
        <v>7</v>
      </c>
      <c r="AH79" s="1710">
        <v>7</v>
      </c>
      <c r="AI79" s="1709">
        <v>7</v>
      </c>
      <c r="AJ79" s="1710">
        <v>4</v>
      </c>
      <c r="AK79" s="1710">
        <v>3</v>
      </c>
      <c r="AL79" s="1710">
        <v>7</v>
      </c>
      <c r="AM79" s="1709">
        <v>7</v>
      </c>
      <c r="AN79" s="1709">
        <v>7</v>
      </c>
      <c r="AO79" s="1709">
        <v>4</v>
      </c>
    </row>
    <row r="80" spans="1:49" ht="15.6">
      <c r="A80" s="131" t="s">
        <v>1815</v>
      </c>
      <c r="B80" s="1711" t="s">
        <v>1773</v>
      </c>
      <c r="C80" s="1711" t="s">
        <v>1773</v>
      </c>
      <c r="D80" s="1711" t="s">
        <v>1773</v>
      </c>
      <c r="E80" s="1711" t="s">
        <v>1773</v>
      </c>
      <c r="F80" s="1711" t="s">
        <v>1773</v>
      </c>
      <c r="G80" s="1711" t="s">
        <v>1773</v>
      </c>
      <c r="H80" s="1711" t="s">
        <v>1773</v>
      </c>
      <c r="I80" s="1711" t="s">
        <v>1773</v>
      </c>
      <c r="J80" s="1711" t="s">
        <v>1773</v>
      </c>
      <c r="K80" s="1711" t="s">
        <v>1773</v>
      </c>
      <c r="L80" s="1711" t="s">
        <v>1773</v>
      </c>
      <c r="M80" s="1711" t="s">
        <v>1773</v>
      </c>
      <c r="N80" s="1711" t="s">
        <v>1773</v>
      </c>
      <c r="O80" s="1711" t="s">
        <v>1773</v>
      </c>
      <c r="P80" s="1711" t="s">
        <v>1773</v>
      </c>
      <c r="Q80" s="1711" t="s">
        <v>1773</v>
      </c>
      <c r="R80" s="1711" t="s">
        <v>1826</v>
      </c>
      <c r="S80" s="1711" t="s">
        <v>1775</v>
      </c>
      <c r="T80" s="1711" t="s">
        <v>1775</v>
      </c>
      <c r="U80" s="1711" t="s">
        <v>1775</v>
      </c>
      <c r="V80" s="1711" t="s">
        <v>1775</v>
      </c>
      <c r="W80" s="1711" t="s">
        <v>1775</v>
      </c>
      <c r="X80" s="1711" t="s">
        <v>1776</v>
      </c>
      <c r="Y80" s="1711" t="s">
        <v>1777</v>
      </c>
      <c r="Z80" s="1711" t="s">
        <v>1777</v>
      </c>
      <c r="AA80" s="1711" t="s">
        <v>108</v>
      </c>
      <c r="AB80" s="1711" t="s">
        <v>108</v>
      </c>
      <c r="AC80" s="1711" t="s">
        <v>108</v>
      </c>
      <c r="AD80" s="1711" t="s">
        <v>1778</v>
      </c>
      <c r="AE80" s="1711" t="s">
        <v>1778</v>
      </c>
      <c r="AF80" s="1711" t="s">
        <v>1779</v>
      </c>
      <c r="AG80" s="1711" t="s">
        <v>1779</v>
      </c>
      <c r="AH80" s="1711" t="s">
        <v>1780</v>
      </c>
      <c r="AI80" s="1711" t="s">
        <v>1780</v>
      </c>
      <c r="AJ80" s="1711" t="s">
        <v>1780</v>
      </c>
      <c r="AK80" s="1711" t="s">
        <v>1781</v>
      </c>
      <c r="AL80" s="1711" t="s">
        <v>1781</v>
      </c>
      <c r="AM80" s="1711" t="s">
        <v>1781</v>
      </c>
      <c r="AN80" s="1711" t="s">
        <v>1781</v>
      </c>
      <c r="AO80" s="1711" t="s">
        <v>1781</v>
      </c>
    </row>
    <row r="81" spans="1:41" ht="15.6">
      <c r="A81" s="131" t="s">
        <v>323</v>
      </c>
      <c r="B81" s="1711">
        <v>-16</v>
      </c>
      <c r="C81" s="1711">
        <v>-15</v>
      </c>
      <c r="D81" s="1711">
        <v>-14</v>
      </c>
      <c r="E81" s="1711">
        <v>-13</v>
      </c>
      <c r="F81" s="1711">
        <v>-12</v>
      </c>
      <c r="G81" s="1711">
        <v>-11</v>
      </c>
      <c r="H81" s="1711">
        <v>-10</v>
      </c>
      <c r="I81" s="1711">
        <v>-9</v>
      </c>
      <c r="J81" s="1711">
        <v>-8</v>
      </c>
      <c r="K81" s="1711">
        <v>-7</v>
      </c>
      <c r="L81" s="1711">
        <v>-6</v>
      </c>
      <c r="M81" s="1711">
        <v>-5</v>
      </c>
      <c r="N81" s="1711">
        <v>-4</v>
      </c>
      <c r="O81" s="1711">
        <v>-3</v>
      </c>
      <c r="P81" s="1711">
        <v>-2</v>
      </c>
      <c r="Q81" s="1711">
        <v>-1</v>
      </c>
      <c r="R81" s="1711">
        <v>0</v>
      </c>
      <c r="S81" s="276">
        <v>1</v>
      </c>
      <c r="T81" s="276">
        <v>2</v>
      </c>
      <c r="U81" s="276">
        <v>3</v>
      </c>
      <c r="V81" s="276">
        <v>4</v>
      </c>
      <c r="W81" s="276">
        <v>5</v>
      </c>
      <c r="X81" s="276">
        <v>6</v>
      </c>
      <c r="Y81" s="276">
        <v>7</v>
      </c>
      <c r="Z81" s="276">
        <v>8</v>
      </c>
      <c r="AA81" s="276">
        <v>9</v>
      </c>
      <c r="AB81" s="276">
        <v>10</v>
      </c>
      <c r="AC81" s="276">
        <v>11</v>
      </c>
      <c r="AD81" s="276">
        <v>12</v>
      </c>
      <c r="AE81" s="276">
        <v>13</v>
      </c>
      <c r="AF81" s="276">
        <v>14</v>
      </c>
      <c r="AG81" s="276">
        <v>15</v>
      </c>
      <c r="AH81" s="276">
        <v>16</v>
      </c>
      <c r="AI81" s="276">
        <v>17</v>
      </c>
      <c r="AJ81" s="276">
        <v>18</v>
      </c>
      <c r="AK81" s="276">
        <v>18</v>
      </c>
      <c r="AL81" s="276">
        <v>19</v>
      </c>
      <c r="AM81" s="276">
        <v>20</v>
      </c>
      <c r="AN81" s="276">
        <v>21</v>
      </c>
      <c r="AO81" s="276">
        <v>22</v>
      </c>
    </row>
    <row r="82" spans="1:41" ht="16.149999999999999" thickBot="1">
      <c r="A82" s="131"/>
      <c r="B82" s="1718">
        <f>+B83*B79</f>
        <v>17.5</v>
      </c>
      <c r="C82" s="1718">
        <f t="shared" ref="C82:R82" si="61">+C83*C79</f>
        <v>17.5</v>
      </c>
      <c r="D82" s="1718">
        <f t="shared" si="61"/>
        <v>17.5</v>
      </c>
      <c r="E82" s="1718">
        <f t="shared" si="61"/>
        <v>17.5</v>
      </c>
      <c r="F82" s="1718">
        <f t="shared" si="61"/>
        <v>16.099999999999998</v>
      </c>
      <c r="G82" s="1718">
        <f t="shared" si="61"/>
        <v>16.099999999999998</v>
      </c>
      <c r="H82" s="1718">
        <f t="shared" si="61"/>
        <v>16.099999999999998</v>
      </c>
      <c r="I82" s="1718">
        <f t="shared" si="61"/>
        <v>16.099999999999998</v>
      </c>
      <c r="J82" s="1718">
        <f t="shared" si="61"/>
        <v>16.099999999999998</v>
      </c>
      <c r="K82" s="1718">
        <f t="shared" si="61"/>
        <v>16.099999999999998</v>
      </c>
      <c r="L82" s="1718">
        <f t="shared" si="61"/>
        <v>16.099999999999998</v>
      </c>
      <c r="M82" s="1718">
        <f t="shared" si="61"/>
        <v>16.099999999999998</v>
      </c>
      <c r="N82" s="1718">
        <f t="shared" si="61"/>
        <v>19.599999999999998</v>
      </c>
      <c r="O82" s="1718">
        <f t="shared" si="61"/>
        <v>19.599999999999998</v>
      </c>
      <c r="P82" s="1718">
        <f t="shared" si="61"/>
        <v>19.599999999999998</v>
      </c>
      <c r="Q82" s="1718">
        <f t="shared" si="61"/>
        <v>19.599999999999998</v>
      </c>
      <c r="R82" s="1718">
        <f t="shared" si="61"/>
        <v>35</v>
      </c>
      <c r="S82" s="1699"/>
      <c r="T82" s="1699"/>
      <c r="U82" s="1699"/>
      <c r="V82" s="1700"/>
      <c r="W82" s="1700"/>
      <c r="X82" s="1701">
        <v>4</v>
      </c>
      <c r="Y82" s="1702">
        <v>6</v>
      </c>
      <c r="Z82" s="1702">
        <v>7</v>
      </c>
      <c r="AA82" s="1703">
        <v>10.5</v>
      </c>
      <c r="AB82" s="1703">
        <v>11.9</v>
      </c>
      <c r="AC82" s="1703">
        <v>13.3</v>
      </c>
      <c r="AD82" s="1704">
        <v>15.4</v>
      </c>
      <c r="AE82" s="1704">
        <v>17.5</v>
      </c>
      <c r="AF82" s="1705">
        <v>18.2</v>
      </c>
      <c r="AG82" s="1705">
        <v>18.899999999999999</v>
      </c>
      <c r="AH82" s="1706">
        <v>20.3</v>
      </c>
      <c r="AI82" s="1706">
        <v>21.7</v>
      </c>
      <c r="AJ82" s="1706">
        <v>12.4</v>
      </c>
      <c r="AK82" s="1707">
        <v>9.3000000000000007</v>
      </c>
      <c r="AL82" s="1707">
        <v>21.7</v>
      </c>
      <c r="AM82" s="1708">
        <v>21.7</v>
      </c>
      <c r="AN82" s="1708">
        <v>21.7</v>
      </c>
      <c r="AO82" s="1708">
        <v>12.4</v>
      </c>
    </row>
    <row r="83" spans="1:41" ht="15.6">
      <c r="A83" s="131" t="s">
        <v>1817</v>
      </c>
      <c r="B83" s="142">
        <v>2.5</v>
      </c>
      <c r="C83" s="142">
        <v>2.5</v>
      </c>
      <c r="D83" s="142">
        <v>2.5</v>
      </c>
      <c r="E83" s="142">
        <v>2.5</v>
      </c>
      <c r="F83" s="142">
        <v>2.2999999999999998</v>
      </c>
      <c r="G83" s="142">
        <v>2.2999999999999998</v>
      </c>
      <c r="H83" s="142">
        <v>2.2999999999999998</v>
      </c>
      <c r="I83" s="142">
        <v>2.2999999999999998</v>
      </c>
      <c r="J83" s="142">
        <v>2.2999999999999998</v>
      </c>
      <c r="K83" s="142">
        <v>2.2999999999999998</v>
      </c>
      <c r="L83" s="142">
        <v>2.2999999999999998</v>
      </c>
      <c r="M83" s="142">
        <v>2.2999999999999998</v>
      </c>
      <c r="N83" s="142">
        <v>2.8</v>
      </c>
      <c r="O83" s="142">
        <v>2.8</v>
      </c>
      <c r="P83" s="142">
        <v>2.8</v>
      </c>
      <c r="Q83" s="142">
        <v>2.8</v>
      </c>
      <c r="R83" s="142">
        <v>5</v>
      </c>
      <c r="S83" s="1712">
        <f>+S82/S79</f>
        <v>0</v>
      </c>
      <c r="T83" s="1712">
        <f t="shared" ref="T83:V83" si="62">+T82/T79</f>
        <v>0</v>
      </c>
      <c r="U83" s="1712">
        <f t="shared" si="62"/>
        <v>0</v>
      </c>
      <c r="V83" s="1712">
        <f t="shared" si="62"/>
        <v>0</v>
      </c>
      <c r="W83" s="1712">
        <f>+W82/W79</f>
        <v>0</v>
      </c>
      <c r="X83" s="1712">
        <f>+X82/X79</f>
        <v>0.5714285714285714</v>
      </c>
      <c r="Y83" s="1712">
        <f t="shared" ref="Y83:AD83" si="63">+Y82/Y79</f>
        <v>0.8571428571428571</v>
      </c>
      <c r="Z83" s="1712">
        <f t="shared" si="63"/>
        <v>1</v>
      </c>
      <c r="AA83" s="1712">
        <f t="shared" si="63"/>
        <v>1.5</v>
      </c>
      <c r="AB83" s="1712">
        <f t="shared" si="63"/>
        <v>1.7</v>
      </c>
      <c r="AC83" s="1712">
        <f t="shared" si="63"/>
        <v>1.9000000000000001</v>
      </c>
      <c r="AD83" s="1712">
        <f t="shared" si="63"/>
        <v>2.2000000000000002</v>
      </c>
      <c r="AE83" s="1712">
        <f>+AE82/AE79</f>
        <v>2.5</v>
      </c>
      <c r="AF83" s="1712">
        <f t="shared" ref="AF83:AJ83" si="64">+AF82/AF79</f>
        <v>2.6</v>
      </c>
      <c r="AG83" s="1712">
        <f t="shared" si="64"/>
        <v>2.6999999999999997</v>
      </c>
      <c r="AH83" s="1712">
        <f t="shared" si="64"/>
        <v>2.9</v>
      </c>
      <c r="AI83" s="1712">
        <f t="shared" si="64"/>
        <v>3.1</v>
      </c>
      <c r="AJ83" s="1712">
        <f t="shared" si="64"/>
        <v>3.1</v>
      </c>
      <c r="AK83" s="1712">
        <f>+AK82/AK79</f>
        <v>3.1</v>
      </c>
      <c r="AL83" s="1712">
        <f t="shared" ref="AL83:AO83" si="65">+AL82/AL79</f>
        <v>3.1</v>
      </c>
      <c r="AM83" s="1712">
        <f t="shared" si="65"/>
        <v>3.1</v>
      </c>
      <c r="AN83" s="1712">
        <f t="shared" si="65"/>
        <v>3.1</v>
      </c>
      <c r="AO83" s="1712">
        <f t="shared" si="65"/>
        <v>3.1</v>
      </c>
    </row>
    <row r="84" spans="1:41" ht="15.6">
      <c r="A84" s="142"/>
      <c r="B84" s="1081">
        <f>'Summary Total Pigs'!AF73/17*4</f>
        <v>0</v>
      </c>
      <c r="C84" s="817">
        <f>+B84</f>
        <v>0</v>
      </c>
      <c r="D84" s="817">
        <f t="shared" ref="D84:R84" si="66">+C84</f>
        <v>0</v>
      </c>
      <c r="E84" s="817">
        <f t="shared" si="66"/>
        <v>0</v>
      </c>
      <c r="F84" s="817">
        <f t="shared" si="66"/>
        <v>0</v>
      </c>
      <c r="G84" s="817">
        <f t="shared" si="66"/>
        <v>0</v>
      </c>
      <c r="H84" s="817">
        <f t="shared" si="66"/>
        <v>0</v>
      </c>
      <c r="I84" s="817">
        <f t="shared" si="66"/>
        <v>0</v>
      </c>
      <c r="J84" s="817">
        <f t="shared" si="66"/>
        <v>0</v>
      </c>
      <c r="K84" s="817">
        <f t="shared" si="66"/>
        <v>0</v>
      </c>
      <c r="L84" s="817">
        <f t="shared" si="66"/>
        <v>0</v>
      </c>
      <c r="M84" s="817">
        <f t="shared" si="66"/>
        <v>0</v>
      </c>
      <c r="N84" s="817">
        <f t="shared" si="66"/>
        <v>0</v>
      </c>
      <c r="O84" s="817">
        <f t="shared" si="66"/>
        <v>0</v>
      </c>
      <c r="P84" s="817">
        <f t="shared" si="66"/>
        <v>0</v>
      </c>
      <c r="Q84" s="817">
        <f t="shared" si="66"/>
        <v>0</v>
      </c>
      <c r="R84" s="817">
        <f t="shared" si="66"/>
        <v>0</v>
      </c>
      <c r="S84" s="817">
        <f>+R84</f>
        <v>0</v>
      </c>
      <c r="T84" s="817">
        <f t="shared" ref="T84:V84" si="67">+S84</f>
        <v>0</v>
      </c>
      <c r="U84" s="817">
        <f t="shared" si="67"/>
        <v>0</v>
      </c>
      <c r="V84" s="817">
        <f t="shared" si="67"/>
        <v>0</v>
      </c>
      <c r="W84" s="1059">
        <f>SUM(W7:Z7)</f>
        <v>0</v>
      </c>
      <c r="X84" s="1059">
        <f>+X26/SUM(X26:AA26)</f>
        <v>0.10425844346549193</v>
      </c>
      <c r="Y84" s="1059">
        <f>+Y26/SUM(Y26:AB26)</f>
        <v>0.27914614121510672</v>
      </c>
      <c r="Z84" s="1059">
        <f>+Z26/SUM(Z26:AC26)</f>
        <v>0.58939096267190572</v>
      </c>
      <c r="AA84" s="1059">
        <f t="shared" ref="AA84:AJ84" si="68">+AA7/SUM(AA7:AD7)</f>
        <v>0</v>
      </c>
      <c r="AB84" s="1059">
        <f t="shared" si="68"/>
        <v>0</v>
      </c>
      <c r="AC84" s="1059">
        <f t="shared" si="68"/>
        <v>0.10425844346549193</v>
      </c>
      <c r="AD84" s="1059">
        <f t="shared" si="68"/>
        <v>0.19362186788154898</v>
      </c>
      <c r="AE84" s="1059">
        <f t="shared" si="68"/>
        <v>0.29268292682926828</v>
      </c>
      <c r="AF84" s="1059">
        <f t="shared" si="68"/>
        <v>0.13461538461538461</v>
      </c>
      <c r="AG84" s="1059">
        <f t="shared" si="68"/>
        <v>0.25994180407371487</v>
      </c>
      <c r="AH84" s="1059">
        <f t="shared" si="68"/>
        <v>0.33228511530398325</v>
      </c>
      <c r="AI84" s="1059">
        <f t="shared" si="68"/>
        <v>0.37015276145710929</v>
      </c>
      <c r="AJ84" s="1059">
        <f t="shared" si="68"/>
        <v>0.21617161716171618</v>
      </c>
      <c r="AK84" s="1059">
        <f>+AK7/SUM(AK7:AQ7)</f>
        <v>0.25466666666666665</v>
      </c>
      <c r="AL84" s="1059">
        <f>+AK7/SUM(AK7:AQ7)</f>
        <v>0.25466666666666665</v>
      </c>
      <c r="AM84" s="1059">
        <f>+AL7/SUM(AK7:AQ7)</f>
        <v>0.28533333333333333</v>
      </c>
      <c r="AN84" s="1059">
        <f>+AM7/SUM(AK7:AQ7)</f>
        <v>9.3333333333333338E-2</v>
      </c>
      <c r="AO84" s="1059">
        <f>AN7/SUM(AK7:AQ7)</f>
        <v>0</v>
      </c>
    </row>
    <row r="85" spans="1:41" ht="15">
      <c r="A85" s="142"/>
      <c r="B85" s="1059">
        <f t="shared" ref="B85:R85" si="69">+B79*B83*B84</f>
        <v>0</v>
      </c>
      <c r="C85" s="1059">
        <f t="shared" si="69"/>
        <v>0</v>
      </c>
      <c r="D85" s="1059">
        <f t="shared" si="69"/>
        <v>0</v>
      </c>
      <c r="E85" s="1059">
        <f t="shared" si="69"/>
        <v>0</v>
      </c>
      <c r="F85" s="1059">
        <f t="shared" si="69"/>
        <v>0</v>
      </c>
      <c r="G85" s="1059">
        <f t="shared" si="69"/>
        <v>0</v>
      </c>
      <c r="H85" s="1059">
        <f t="shared" si="69"/>
        <v>0</v>
      </c>
      <c r="I85" s="1059">
        <f t="shared" si="69"/>
        <v>0</v>
      </c>
      <c r="J85" s="1059">
        <f t="shared" si="69"/>
        <v>0</v>
      </c>
      <c r="K85" s="1059">
        <f t="shared" si="69"/>
        <v>0</v>
      </c>
      <c r="L85" s="1059">
        <f t="shared" si="69"/>
        <v>0</v>
      </c>
      <c r="M85" s="1059">
        <f t="shared" si="69"/>
        <v>0</v>
      </c>
      <c r="N85" s="1059">
        <f t="shared" si="69"/>
        <v>0</v>
      </c>
      <c r="O85" s="1059">
        <f t="shared" si="69"/>
        <v>0</v>
      </c>
      <c r="P85" s="1059">
        <f t="shared" si="69"/>
        <v>0</v>
      </c>
      <c r="Q85" s="1059">
        <f t="shared" si="69"/>
        <v>0</v>
      </c>
      <c r="R85" s="1059">
        <f t="shared" si="69"/>
        <v>0</v>
      </c>
      <c r="S85" s="1059">
        <f>+S79*S83*S84</f>
        <v>0</v>
      </c>
      <c r="T85" s="1059">
        <f t="shared" ref="T85:X85" si="70">+T79*T83*T84</f>
        <v>0</v>
      </c>
      <c r="U85" s="1059">
        <f t="shared" si="70"/>
        <v>0</v>
      </c>
      <c r="V85" s="1059">
        <f t="shared" si="70"/>
        <v>0</v>
      </c>
      <c r="W85" s="1059">
        <f t="shared" si="70"/>
        <v>0</v>
      </c>
      <c r="X85" s="1059">
        <f t="shared" si="70"/>
        <v>0.41703377386196772</v>
      </c>
      <c r="Y85" s="1059">
        <f>+Y79*Y83*Y84</f>
        <v>1.6748768472906403</v>
      </c>
      <c r="Z85" s="1059">
        <f>+Z79*Z83*Z84</f>
        <v>4.1257367387033401</v>
      </c>
      <c r="AA85" s="1059">
        <f t="shared" ref="AA85:AC85" si="71">+AA79*AA83*AA84</f>
        <v>0</v>
      </c>
      <c r="AB85" s="1059">
        <f t="shared" si="71"/>
        <v>0</v>
      </c>
      <c r="AC85" s="1059">
        <f t="shared" si="71"/>
        <v>1.3866372980910426</v>
      </c>
      <c r="AD85" s="1059">
        <f>+AD79*AD83*AD84</f>
        <v>2.9817767653758547</v>
      </c>
      <c r="AE85" s="1059">
        <f>+AE79*AE83*AE84</f>
        <v>5.1219512195121952</v>
      </c>
      <c r="AF85" s="1059">
        <f t="shared" ref="AF85:AO85" si="72">+AF79*AF83*AF84</f>
        <v>2.4499999999999997</v>
      </c>
      <c r="AG85" s="1059">
        <f t="shared" si="72"/>
        <v>4.9129000969932104</v>
      </c>
      <c r="AH85" s="1059">
        <f t="shared" si="72"/>
        <v>6.7453878406708601</v>
      </c>
      <c r="AI85" s="1059">
        <f t="shared" si="72"/>
        <v>8.0323149236192712</v>
      </c>
      <c r="AJ85" s="1059">
        <f t="shared" si="72"/>
        <v>2.6805280528052808</v>
      </c>
      <c r="AK85" s="1059">
        <f t="shared" si="72"/>
        <v>2.3683999999999998</v>
      </c>
      <c r="AL85" s="1059">
        <f t="shared" si="72"/>
        <v>5.5262666666666664</v>
      </c>
      <c r="AM85" s="1059">
        <f t="shared" si="72"/>
        <v>6.1917333333333326</v>
      </c>
      <c r="AN85" s="1059">
        <f>+AN79*AN83*AN84</f>
        <v>2.0253333333333332</v>
      </c>
      <c r="AO85" s="1059">
        <f t="shared" si="72"/>
        <v>0</v>
      </c>
    </row>
    <row r="86" spans="1:41" ht="15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818">
        <f>SUM(B85:R85)</f>
        <v>0</v>
      </c>
      <c r="S86" s="142"/>
      <c r="T86" s="142"/>
      <c r="U86" s="142"/>
      <c r="V86" s="142"/>
      <c r="W86" s="818">
        <f>SUM(S85:W85)</f>
        <v>0</v>
      </c>
      <c r="X86" s="818">
        <f>SUM(X85)</f>
        <v>0.41703377386196772</v>
      </c>
      <c r="Y86" s="142"/>
      <c r="Z86" s="818">
        <f>SUM(Y85:Z85)</f>
        <v>5.8006135859939807</v>
      </c>
      <c r="AA86" s="142"/>
      <c r="AB86" s="142"/>
      <c r="AC86" s="818">
        <f>SUM(AA85:AC85)</f>
        <v>1.3866372980910426</v>
      </c>
      <c r="AD86" s="142"/>
      <c r="AE86" s="818">
        <f>SUM(AD85:AE85)</f>
        <v>8.1037279848880495</v>
      </c>
      <c r="AF86" s="142"/>
      <c r="AG86" s="818">
        <f>SUM(AF85:AG85)</f>
        <v>7.3629000969932097</v>
      </c>
      <c r="AH86" s="142"/>
      <c r="AI86" s="142"/>
      <c r="AJ86" s="818">
        <f>SUM(AH85:AJ85)</f>
        <v>17.458230817095412</v>
      </c>
      <c r="AK86" s="142"/>
      <c r="AL86" s="142"/>
      <c r="AM86" s="142"/>
      <c r="AN86" s="142"/>
      <c r="AO86" s="818">
        <f>SUM(AK85:AO85)</f>
        <v>16.11173333333333</v>
      </c>
    </row>
    <row r="87" spans="1:41" ht="15.6">
      <c r="A87" s="142"/>
      <c r="B87" s="1715">
        <f>+IFERROR(B85/$R$86,0)</f>
        <v>0</v>
      </c>
      <c r="C87" s="1715">
        <f t="shared" ref="C87:W87" si="73">+IFERROR(C85/$R$86,0)</f>
        <v>0</v>
      </c>
      <c r="D87" s="1715">
        <f t="shared" si="73"/>
        <v>0</v>
      </c>
      <c r="E87" s="1715">
        <f t="shared" si="73"/>
        <v>0</v>
      </c>
      <c r="F87" s="1715">
        <f t="shared" si="73"/>
        <v>0</v>
      </c>
      <c r="G87" s="1715">
        <f t="shared" si="73"/>
        <v>0</v>
      </c>
      <c r="H87" s="1715">
        <f t="shared" si="73"/>
        <v>0</v>
      </c>
      <c r="I87" s="1715">
        <f t="shared" si="73"/>
        <v>0</v>
      </c>
      <c r="J87" s="1715">
        <f t="shared" si="73"/>
        <v>0</v>
      </c>
      <c r="K87" s="1715">
        <f t="shared" si="73"/>
        <v>0</v>
      </c>
      <c r="L87" s="1715">
        <f t="shared" si="73"/>
        <v>0</v>
      </c>
      <c r="M87" s="1715">
        <f t="shared" si="73"/>
        <v>0</v>
      </c>
      <c r="N87" s="1715">
        <f t="shared" si="73"/>
        <v>0</v>
      </c>
      <c r="O87" s="1715">
        <f t="shared" si="73"/>
        <v>0</v>
      </c>
      <c r="P87" s="1715">
        <f t="shared" si="73"/>
        <v>0</v>
      </c>
      <c r="Q87" s="1715">
        <f t="shared" si="73"/>
        <v>0</v>
      </c>
      <c r="R87" s="1715">
        <f t="shared" si="73"/>
        <v>0</v>
      </c>
      <c r="S87" s="1715">
        <f t="shared" si="73"/>
        <v>0</v>
      </c>
      <c r="T87" s="1715">
        <f t="shared" si="73"/>
        <v>0</v>
      </c>
      <c r="U87" s="1715">
        <f t="shared" si="73"/>
        <v>0</v>
      </c>
      <c r="V87" s="1715">
        <f t="shared" si="73"/>
        <v>0</v>
      </c>
      <c r="W87" s="1715">
        <f t="shared" si="73"/>
        <v>0</v>
      </c>
      <c r="X87" s="1715">
        <f>+IFERROR(X85/$X$86,0)</f>
        <v>1</v>
      </c>
      <c r="Y87" s="1715">
        <f>+Y85/Z86</f>
        <v>0.28874132407901759</v>
      </c>
      <c r="Z87" s="1715">
        <f>+Z85/Z86</f>
        <v>0.71125867592098235</v>
      </c>
      <c r="AA87" s="1715">
        <f>+AA85/AC86</f>
        <v>0</v>
      </c>
      <c r="AB87" s="1715">
        <f>+AB85/AC86</f>
        <v>0</v>
      </c>
      <c r="AC87" s="1715">
        <f>+AC85/AC86</f>
        <v>1</v>
      </c>
      <c r="AD87" s="1715">
        <f>+AD85/AE86</f>
        <v>0.36795124058165768</v>
      </c>
      <c r="AE87" s="1715">
        <f>+AE85/AE86</f>
        <v>0.63204875941834238</v>
      </c>
      <c r="AF87" s="1715">
        <f>+AF85/AG86</f>
        <v>0.33274931993176265</v>
      </c>
      <c r="AG87" s="1715">
        <f>+AG85/AG86</f>
        <v>0.6672506800682374</v>
      </c>
      <c r="AH87" s="1715">
        <f>+AH85/AJ86</f>
        <v>0.38637293270665524</v>
      </c>
      <c r="AI87" s="1715">
        <f>+AI85/AJ86</f>
        <v>0.46008756601808043</v>
      </c>
      <c r="AJ87" s="1715">
        <f>+AJ85/AJ86</f>
        <v>0.15353950127526436</v>
      </c>
      <c r="AK87" s="1715">
        <f>+AK85/AO86</f>
        <v>0.14699846074910211</v>
      </c>
      <c r="AL87" s="1715">
        <f>+AL85/AO86</f>
        <v>0.34299640841457163</v>
      </c>
      <c r="AM87" s="1715">
        <f>+AM85/AO86</f>
        <v>0.38429964084145718</v>
      </c>
      <c r="AN87" s="1715">
        <f>+AN85/AO86</f>
        <v>0.12570548999486919</v>
      </c>
      <c r="AO87" s="1715">
        <f>+AO85/AO86</f>
        <v>0</v>
      </c>
    </row>
    <row r="88" spans="1:41" ht="15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</row>
  </sheetData>
  <pageMargins left="0.7" right="0.7" top="0.75" bottom="0.75" header="0.3" footer="0.3"/>
  <pageSetup scale="10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5">
    <tabColor theme="6" tint="-0.249977111117893"/>
    <pageSetUpPr fitToPage="1"/>
  </sheetPr>
  <dimension ref="A1:BD94"/>
  <sheetViews>
    <sheetView view="pageBreakPreview" zoomScale="54" zoomScaleNormal="100" zoomScaleSheetLayoutView="90" workbookViewId="0">
      <pane xSplit="1" ySplit="3" topLeftCell="AH25" activePane="bottomRight" state="frozen"/>
      <selection pane="bottomRight" activeCell="B62" sqref="B62:AT62"/>
      <selection pane="bottomLeft" activeCell="A4" sqref="A4"/>
      <selection pane="topRight" activeCell="B1" sqref="B1"/>
    </sheetView>
  </sheetViews>
  <sheetFormatPr defaultColWidth="9.140625" defaultRowHeight="15"/>
  <cols>
    <col min="1" max="1" width="36.28515625" style="142" bestFit="1" customWidth="1"/>
    <col min="2" max="2" width="21.28515625" style="142" bestFit="1" customWidth="1"/>
    <col min="3" max="3" width="19.42578125" style="142" bestFit="1" customWidth="1"/>
    <col min="4" max="4" width="21.85546875" style="142" bestFit="1" customWidth="1"/>
    <col min="5" max="5" width="19.42578125" style="142" bestFit="1" customWidth="1"/>
    <col min="6" max="6" width="19" style="142" bestFit="1" customWidth="1"/>
    <col min="7" max="9" width="19.42578125" style="142" bestFit="1" customWidth="1"/>
    <col min="10" max="10" width="19" style="142" bestFit="1" customWidth="1"/>
    <col min="11" max="13" width="21.85546875" style="142" bestFit="1" customWidth="1"/>
    <col min="14" max="14" width="21.28515625" style="142" bestFit="1" customWidth="1"/>
    <col min="15" max="15" width="20.5703125" style="142" bestFit="1" customWidth="1"/>
    <col min="16" max="17" width="21.28515625" style="142" bestFit="1" customWidth="1"/>
    <col min="18" max="18" width="20.140625" style="142" bestFit="1" customWidth="1"/>
    <col min="19" max="20" width="21.85546875" style="142" bestFit="1" customWidth="1"/>
    <col min="21" max="21" width="22.28515625" style="142" bestFit="1" customWidth="1"/>
    <col min="22" max="24" width="21.85546875" style="142" bestFit="1" customWidth="1"/>
    <col min="25" max="25" width="21.28515625" style="142" bestFit="1" customWidth="1"/>
    <col min="26" max="30" width="21.85546875" style="142" bestFit="1" customWidth="1"/>
    <col min="31" max="31" width="21.28515625" style="142" bestFit="1" customWidth="1"/>
    <col min="32" max="34" width="21.85546875" style="142" bestFit="1" customWidth="1"/>
    <col min="35" max="35" width="21.28515625" style="142" bestFit="1" customWidth="1"/>
    <col min="36" max="36" width="21.85546875" style="142" bestFit="1" customWidth="1"/>
    <col min="37" max="37" width="21.28515625" style="142" bestFit="1" customWidth="1"/>
    <col min="38" max="40" width="21.85546875" style="142" bestFit="1" customWidth="1"/>
    <col min="41" max="41" width="21.85546875" style="142" customWidth="1"/>
    <col min="42" max="42" width="21.28515625" style="142" bestFit="1" customWidth="1"/>
    <col min="43" max="43" width="23.28515625" style="142" bestFit="1" customWidth="1"/>
    <col min="44" max="46" width="21.85546875" style="142" bestFit="1" customWidth="1"/>
    <col min="47" max="47" width="20.42578125" style="142" bestFit="1" customWidth="1"/>
    <col min="48" max="48" width="26.28515625" style="142" customWidth="1"/>
    <col min="49" max="49" width="21.85546875" style="142" bestFit="1" customWidth="1"/>
    <col min="50" max="50" width="11.5703125" style="142" bestFit="1" customWidth="1"/>
    <col min="51" max="51" width="23.140625" style="142" customWidth="1"/>
    <col min="52" max="53" width="9.140625" style="142"/>
    <col min="54" max="54" width="19.85546875" style="142" bestFit="1" customWidth="1"/>
    <col min="55" max="16384" width="9.140625" style="142"/>
  </cols>
  <sheetData>
    <row r="1" spans="1:56">
      <c r="AU1" s="1057"/>
    </row>
    <row r="2" spans="1:56" ht="15.6">
      <c r="A2" s="1066" t="s">
        <v>1772</v>
      </c>
      <c r="B2" s="142">
        <f>[1]Grasmere!B2</f>
        <v>1</v>
      </c>
      <c r="C2" s="142">
        <f>[1]Grasmere!C2</f>
        <v>2</v>
      </c>
      <c r="D2" s="142">
        <f>[1]Grasmere!D2</f>
        <v>3</v>
      </c>
      <c r="E2" s="142">
        <f>[1]Grasmere!E2</f>
        <v>4</v>
      </c>
      <c r="F2" s="142">
        <f>[1]Grasmere!F2</f>
        <v>5</v>
      </c>
      <c r="G2" s="142">
        <f>[1]Grasmere!G2</f>
        <v>6</v>
      </c>
      <c r="H2" s="142">
        <f>[1]Grasmere!H2</f>
        <v>7</v>
      </c>
      <c r="I2" s="142">
        <f>[1]Grasmere!I2</f>
        <v>8</v>
      </c>
      <c r="J2" s="142">
        <f>[1]Grasmere!J2</f>
        <v>9</v>
      </c>
      <c r="K2" s="142">
        <f>[1]Grasmere!K2</f>
        <v>10</v>
      </c>
      <c r="L2" s="142">
        <f>[1]Grasmere!L2</f>
        <v>11</v>
      </c>
      <c r="M2" s="142">
        <f>[1]Grasmere!M2</f>
        <v>12</v>
      </c>
      <c r="N2" s="142">
        <f>[1]Grasmere!N2</f>
        <v>13</v>
      </c>
      <c r="O2" s="142">
        <f>[1]Grasmere!O2</f>
        <v>14</v>
      </c>
      <c r="P2" s="142">
        <f>[1]Grasmere!P2</f>
        <v>15</v>
      </c>
      <c r="Q2" s="142">
        <f>[1]Grasmere!Q2</f>
        <v>16</v>
      </c>
      <c r="R2" s="142">
        <f>[1]Grasmere!R2</f>
        <v>17</v>
      </c>
      <c r="S2" s="142">
        <f>[1]Grasmere!S2</f>
        <v>18</v>
      </c>
      <c r="T2" s="142">
        <f>[1]Grasmere!T2</f>
        <v>19</v>
      </c>
      <c r="U2" s="142">
        <f>[1]Grasmere!U2</f>
        <v>20</v>
      </c>
      <c r="V2" s="142">
        <f>[1]Grasmere!V2</f>
        <v>21</v>
      </c>
      <c r="W2" s="142">
        <f>[1]Grasmere!W2</f>
        <v>22</v>
      </c>
      <c r="X2" s="142">
        <f>[1]Grasmere!X2</f>
        <v>23</v>
      </c>
      <c r="Y2" s="142">
        <f>[1]Grasmere!Y2</f>
        <v>24</v>
      </c>
      <c r="Z2" s="142">
        <f>[1]Grasmere!Z2</f>
        <v>25</v>
      </c>
      <c r="AA2" s="142">
        <f>[1]Grasmere!AA2</f>
        <v>26</v>
      </c>
      <c r="AB2" s="142">
        <f>[1]Grasmere!AB2</f>
        <v>27</v>
      </c>
      <c r="AC2" s="142">
        <f>[1]Grasmere!AC2</f>
        <v>28</v>
      </c>
      <c r="AD2" s="142">
        <f>[1]Grasmere!AD2</f>
        <v>29</v>
      </c>
      <c r="AE2" s="142">
        <f>[1]Grasmere!AE2</f>
        <v>30</v>
      </c>
      <c r="AF2" s="142">
        <f>[1]Grasmere!AF2</f>
        <v>31</v>
      </c>
      <c r="AG2" s="142">
        <f>[1]Grasmere!AG2</f>
        <v>32</v>
      </c>
      <c r="AH2" s="142">
        <f>[1]Grasmere!AH2</f>
        <v>33</v>
      </c>
      <c r="AI2" s="142">
        <f>[1]Grasmere!AI2</f>
        <v>34</v>
      </c>
      <c r="AJ2" s="142">
        <f>[1]Grasmere!AJ2</f>
        <v>35</v>
      </c>
      <c r="AK2" s="142">
        <f>[1]Grasmere!AK2</f>
        <v>36</v>
      </c>
      <c r="AL2" s="142">
        <f>[1]Grasmere!AL2</f>
        <v>37</v>
      </c>
      <c r="AM2" s="142">
        <f>[1]Grasmere!AM2</f>
        <v>38</v>
      </c>
      <c r="AN2" s="142">
        <f>[1]Grasmere!AN2</f>
        <v>39</v>
      </c>
      <c r="AU2" s="1057"/>
    </row>
    <row r="3" spans="1:56" s="131" customFormat="1" ht="15.6">
      <c r="B3" s="130" t="s">
        <v>1773</v>
      </c>
      <c r="C3" s="130" t="s">
        <v>1773</v>
      </c>
      <c r="D3" s="130" t="s">
        <v>1773</v>
      </c>
      <c r="E3" s="130" t="s">
        <v>1773</v>
      </c>
      <c r="F3" s="130" t="s">
        <v>1773</v>
      </c>
      <c r="G3" s="130" t="s">
        <v>1773</v>
      </c>
      <c r="H3" s="130" t="s">
        <v>1773</v>
      </c>
      <c r="I3" s="130" t="s">
        <v>1773</v>
      </c>
      <c r="J3" s="130" t="s">
        <v>1773</v>
      </c>
      <c r="K3" s="130" t="s">
        <v>1773</v>
      </c>
      <c r="L3" s="130" t="s">
        <v>1773</v>
      </c>
      <c r="M3" s="130" t="s">
        <v>1773</v>
      </c>
      <c r="N3" s="130" t="s">
        <v>1773</v>
      </c>
      <c r="O3" s="130" t="s">
        <v>1773</v>
      </c>
      <c r="P3" s="130" t="s">
        <v>1773</v>
      </c>
      <c r="Q3" s="130" t="s">
        <v>1773</v>
      </c>
      <c r="R3" s="130" t="s">
        <v>1774</v>
      </c>
      <c r="S3" s="130" t="s">
        <v>1775</v>
      </c>
      <c r="T3" s="130" t="s">
        <v>1775</v>
      </c>
      <c r="U3" s="130" t="s">
        <v>1775</v>
      </c>
      <c r="V3" s="130" t="s">
        <v>1776</v>
      </c>
      <c r="W3" s="130" t="s">
        <v>1776</v>
      </c>
      <c r="X3" s="130" t="s">
        <v>1777</v>
      </c>
      <c r="Y3" s="130" t="s">
        <v>1777</v>
      </c>
      <c r="Z3" s="130" t="s">
        <v>108</v>
      </c>
      <c r="AA3" s="130" t="s">
        <v>108</v>
      </c>
      <c r="AB3" s="130" t="s">
        <v>108</v>
      </c>
      <c r="AC3" s="130" t="s">
        <v>108</v>
      </c>
      <c r="AD3" s="130" t="s">
        <v>1778</v>
      </c>
      <c r="AE3" s="130" t="s">
        <v>1778</v>
      </c>
      <c r="AF3" s="130" t="s">
        <v>1779</v>
      </c>
      <c r="AG3" s="130" t="s">
        <v>1779</v>
      </c>
      <c r="AH3" s="130" t="s">
        <v>1780</v>
      </c>
      <c r="AI3" s="130" t="s">
        <v>1780</v>
      </c>
      <c r="AJ3" s="130" t="s">
        <v>1780</v>
      </c>
      <c r="AK3" s="130" t="s">
        <v>1781</v>
      </c>
      <c r="AL3" s="130" t="s">
        <v>1781</v>
      </c>
      <c r="AM3" s="130" t="s">
        <v>1781</v>
      </c>
      <c r="AN3" s="130" t="s">
        <v>1781</v>
      </c>
      <c r="AO3" s="130"/>
      <c r="AP3" s="130"/>
      <c r="AQ3" s="130"/>
      <c r="AR3" s="130"/>
      <c r="AS3" s="130"/>
      <c r="AT3" s="130"/>
      <c r="AU3" s="1086"/>
    </row>
    <row r="4" spans="1:56" ht="15.6">
      <c r="A4" s="1066" t="s">
        <v>1782</v>
      </c>
      <c r="B4" s="1079">
        <f>[1]Grasmere!B4</f>
        <v>23</v>
      </c>
      <c r="C4" s="1079">
        <f>[1]Grasmere!C4</f>
        <v>24</v>
      </c>
      <c r="D4" s="1079">
        <f>[1]Grasmere!D4</f>
        <v>25</v>
      </c>
      <c r="E4" s="1079">
        <f>[1]Grasmere!E4</f>
        <v>26</v>
      </c>
      <c r="F4" s="1079">
        <f>[1]Grasmere!F4</f>
        <v>27</v>
      </c>
      <c r="G4" s="1079">
        <f>[1]Grasmere!G4</f>
        <v>28</v>
      </c>
      <c r="H4" s="1079">
        <f>[1]Grasmere!H4</f>
        <v>29</v>
      </c>
      <c r="I4" s="1079">
        <f>[1]Grasmere!I4</f>
        <v>30</v>
      </c>
      <c r="J4" s="1079">
        <f>[1]Grasmere!J4</f>
        <v>31</v>
      </c>
      <c r="K4" s="1079">
        <f>[1]Grasmere!K4</f>
        <v>32</v>
      </c>
      <c r="L4" s="1079">
        <f>[1]Grasmere!L4</f>
        <v>33</v>
      </c>
      <c r="M4" s="1079">
        <f>[1]Grasmere!M4</f>
        <v>34</v>
      </c>
      <c r="N4" s="1079">
        <f>[1]Grasmere!N4</f>
        <v>35</v>
      </c>
      <c r="O4" s="1079">
        <f>[1]Grasmere!O4</f>
        <v>36</v>
      </c>
      <c r="P4" s="1079">
        <f>[1]Grasmere!P4</f>
        <v>37</v>
      </c>
      <c r="Q4" s="1079">
        <f>[1]Grasmere!Q4</f>
        <v>38</v>
      </c>
      <c r="R4" s="1079">
        <f>[1]Grasmere!R4</f>
        <v>39</v>
      </c>
      <c r="S4" s="1067">
        <f>[1]Grasmere!S4</f>
        <v>40</v>
      </c>
      <c r="T4" s="1079">
        <f>[1]Grasmere!T4</f>
        <v>41</v>
      </c>
      <c r="U4" s="1079">
        <f>[1]Grasmere!U4</f>
        <v>42</v>
      </c>
      <c r="V4" s="1079">
        <f>[1]Grasmere!V4</f>
        <v>43</v>
      </c>
      <c r="W4" s="1079">
        <f>[1]Grasmere!W4</f>
        <v>44</v>
      </c>
      <c r="X4" s="1079">
        <f>[1]Grasmere!X4</f>
        <v>45</v>
      </c>
      <c r="Y4" s="1079">
        <f>[1]Grasmere!Y4</f>
        <v>46</v>
      </c>
      <c r="Z4" s="1079">
        <f>[1]Grasmere!Z4</f>
        <v>47</v>
      </c>
      <c r="AA4" s="1079">
        <f>[1]Grasmere!AA4</f>
        <v>48</v>
      </c>
      <c r="AB4" s="1079">
        <f>[1]Grasmere!AB4</f>
        <v>49</v>
      </c>
      <c r="AC4" s="1079">
        <f>[1]Grasmere!AC4</f>
        <v>50</v>
      </c>
      <c r="AD4" s="1079">
        <f>[1]Grasmere!AD4</f>
        <v>51</v>
      </c>
      <c r="AE4" s="1079">
        <f>[1]Grasmere!AE4</f>
        <v>52</v>
      </c>
      <c r="AF4" s="1079">
        <f>[1]Grasmere!AF4</f>
        <v>1</v>
      </c>
      <c r="AG4" s="1079">
        <f>[1]Grasmere!AG4</f>
        <v>2</v>
      </c>
      <c r="AH4" s="1079">
        <f>[1]Grasmere!AH4</f>
        <v>3</v>
      </c>
      <c r="AI4" s="1079">
        <f>[1]Grasmere!AI4</f>
        <v>4</v>
      </c>
      <c r="AJ4" s="1079">
        <f>[1]Grasmere!AJ4</f>
        <v>5</v>
      </c>
      <c r="AK4" s="1079">
        <f>[1]Grasmere!AK4</f>
        <v>6</v>
      </c>
      <c r="AL4" s="1079">
        <f>[1]Grasmere!AL4</f>
        <v>7</v>
      </c>
      <c r="AM4" s="1079">
        <f>[1]Grasmere!AM4</f>
        <v>8</v>
      </c>
      <c r="AN4" s="1079">
        <f>[1]Grasmere!AN4</f>
        <v>9</v>
      </c>
      <c r="AO4" s="1079"/>
      <c r="AP4" s="1079"/>
      <c r="AQ4" s="1079"/>
      <c r="AR4" s="1079"/>
      <c r="AS4" s="1079"/>
      <c r="AT4" s="1079"/>
      <c r="AU4" s="1068"/>
      <c r="AV4" s="1066"/>
      <c r="AW4" s="1066"/>
      <c r="AX4" s="1066"/>
    </row>
    <row r="5" spans="1:56" ht="15.6">
      <c r="A5" s="1066" t="s">
        <v>1783</v>
      </c>
      <c r="B5" s="1079">
        <f>[1]Grasmere!B5</f>
        <v>-16</v>
      </c>
      <c r="C5" s="1079">
        <f>[1]Grasmere!C5</f>
        <v>-15</v>
      </c>
      <c r="D5" s="1079">
        <f>[1]Grasmere!D5</f>
        <v>-14</v>
      </c>
      <c r="E5" s="1079">
        <f>[1]Grasmere!E5</f>
        <v>-13</v>
      </c>
      <c r="F5" s="1079">
        <f>[1]Grasmere!F5</f>
        <v>-12</v>
      </c>
      <c r="G5" s="1079">
        <f>[1]Grasmere!G5</f>
        <v>-11</v>
      </c>
      <c r="H5" s="1079">
        <f>[1]Grasmere!H5</f>
        <v>-10</v>
      </c>
      <c r="I5" s="1079">
        <f>[1]Grasmere!I5</f>
        <v>-9</v>
      </c>
      <c r="J5" s="1079">
        <f>[1]Grasmere!J5</f>
        <v>-8</v>
      </c>
      <c r="K5" s="1079">
        <f>[1]Grasmere!K5</f>
        <v>-7</v>
      </c>
      <c r="L5" s="1079">
        <f>[1]Grasmere!L5</f>
        <v>-6</v>
      </c>
      <c r="M5" s="1079">
        <f>[1]Grasmere!M5</f>
        <v>-5</v>
      </c>
      <c r="N5" s="1079">
        <f>[1]Grasmere!N5</f>
        <v>-4</v>
      </c>
      <c r="O5" s="1079">
        <f>[1]Grasmere!O5</f>
        <v>-3</v>
      </c>
      <c r="P5" s="1079">
        <f>[1]Grasmere!P5</f>
        <v>-2</v>
      </c>
      <c r="Q5" s="1079">
        <f>[1]Grasmere!Q5</f>
        <v>-1</v>
      </c>
      <c r="R5" s="1079">
        <f>[1]Grasmere!R5</f>
        <v>0</v>
      </c>
      <c r="S5" s="1079">
        <f>[1]Grasmere!S5</f>
        <v>1</v>
      </c>
      <c r="T5" s="1079">
        <f>[1]Grasmere!T5</f>
        <v>2</v>
      </c>
      <c r="U5" s="1079">
        <f>[1]Grasmere!U5</f>
        <v>3</v>
      </c>
      <c r="V5" s="1079">
        <f>[1]Grasmere!V5</f>
        <v>4</v>
      </c>
      <c r="W5" s="1079">
        <f>[1]Grasmere!W5</f>
        <v>5</v>
      </c>
      <c r="X5" s="1079">
        <f>[1]Grasmere!X5</f>
        <v>6</v>
      </c>
      <c r="Y5" s="1079">
        <f>[1]Grasmere!Y5</f>
        <v>7</v>
      </c>
      <c r="Z5" s="1079">
        <f>[1]Grasmere!Z5</f>
        <v>8</v>
      </c>
      <c r="AA5" s="1079">
        <f>[1]Grasmere!AA5</f>
        <v>9</v>
      </c>
      <c r="AB5" s="1079">
        <f>[1]Grasmere!AB5</f>
        <v>10</v>
      </c>
      <c r="AC5" s="1079">
        <f>[1]Grasmere!AC5</f>
        <v>11</v>
      </c>
      <c r="AD5" s="1079">
        <f>[1]Grasmere!AD5</f>
        <v>12</v>
      </c>
      <c r="AE5" s="1079">
        <f>[1]Grasmere!AE5</f>
        <v>13</v>
      </c>
      <c r="AF5" s="1079">
        <f>[1]Grasmere!AF5</f>
        <v>14</v>
      </c>
      <c r="AG5" s="1079">
        <f>[1]Grasmere!AG5</f>
        <v>15</v>
      </c>
      <c r="AH5" s="1079">
        <f>[1]Grasmere!AH5</f>
        <v>16</v>
      </c>
      <c r="AI5" s="1079">
        <f>[1]Grasmere!AI5</f>
        <v>17</v>
      </c>
      <c r="AJ5" s="1079">
        <f>[1]Grasmere!AJ5</f>
        <v>18</v>
      </c>
      <c r="AK5" s="1079">
        <f>[1]Grasmere!AK5</f>
        <v>19</v>
      </c>
      <c r="AL5" s="1079">
        <f>[1]Grasmere!AL5</f>
        <v>20</v>
      </c>
      <c r="AM5" s="1079">
        <f>[1]Grasmere!AM5</f>
        <v>21</v>
      </c>
      <c r="AN5" s="1079">
        <f>[1]Grasmere!AN5</f>
        <v>22</v>
      </c>
      <c r="AO5" s="1079" t="s">
        <v>1784</v>
      </c>
      <c r="AP5" s="1079" t="str">
        <f>[1]Grasmere!AO5</f>
        <v>Sold</v>
      </c>
      <c r="AQ5" s="1079" t="str">
        <f>[1]Grasmere!AP5</f>
        <v>Sold</v>
      </c>
      <c r="AR5" s="1079" t="str">
        <f>[1]Grasmere!AQ5</f>
        <v>Sold</v>
      </c>
      <c r="AS5" s="1079" t="str">
        <f>[1]Grasmere!AR5</f>
        <v>Sold</v>
      </c>
      <c r="AT5" s="1079" t="str">
        <f>[1]Grasmere!AS5</f>
        <v>Sold</v>
      </c>
      <c r="AU5" s="1069" t="s">
        <v>71</v>
      </c>
      <c r="AV5" s="1601" t="s">
        <v>1827</v>
      </c>
      <c r="BD5" s="142" t="s">
        <v>1784</v>
      </c>
    </row>
    <row r="6" spans="1:56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O6" s="1066"/>
      <c r="AU6" s="1057"/>
    </row>
    <row r="7" spans="1:56" ht="15.6">
      <c r="A7" s="1066" t="s">
        <v>1786</v>
      </c>
      <c r="B7" s="1057"/>
      <c r="C7" s="1057"/>
      <c r="D7" s="1057"/>
      <c r="E7" s="1057"/>
      <c r="F7" s="1057"/>
      <c r="G7" s="1057"/>
      <c r="H7" s="1057"/>
      <c r="I7" s="1057"/>
      <c r="J7" s="1057"/>
      <c r="K7" s="1057"/>
      <c r="L7" s="1057"/>
      <c r="M7" s="1057"/>
      <c r="N7" s="1057"/>
      <c r="O7" s="1057"/>
      <c r="P7" s="1057"/>
      <c r="Q7" s="1057"/>
      <c r="R7" s="1057"/>
      <c r="S7" s="1057"/>
      <c r="T7" s="1057"/>
      <c r="U7" s="1057"/>
      <c r="V7" s="1057"/>
      <c r="W7" s="1057">
        <f>'[2]Villa Pig Cost'!S29</f>
        <v>144</v>
      </c>
      <c r="X7" s="1057">
        <f>'[2]Villa Pig Cost'!T29</f>
        <v>288</v>
      </c>
      <c r="Y7" s="1057">
        <f>'[2]Villa Pig Cost'!U29</f>
        <v>278</v>
      </c>
      <c r="Z7" s="1057">
        <f>'[2]Villa Pig Cost'!V29</f>
        <v>293</v>
      </c>
      <c r="AA7" s="1057">
        <f>'[2]Villa Pig Cost'!W29</f>
        <v>179</v>
      </c>
      <c r="AB7" s="1057">
        <f>'[2]Villa Pig Cost'!X29</f>
        <v>155</v>
      </c>
      <c r="AC7" s="1057">
        <f>'[2]Villa Pig Cost'!Y29</f>
        <v>193</v>
      </c>
      <c r="AD7" s="1057">
        <f>'[2]Villa Pig Cost'!Z29</f>
        <v>196</v>
      </c>
      <c r="AE7" s="1057">
        <f>'[2]Villa Pig Cost'!AA29</f>
        <v>185</v>
      </c>
      <c r="AF7" s="1057">
        <f>'[2]Villa Pig Cost'!AB29</f>
        <v>181</v>
      </c>
      <c r="AG7" s="1057">
        <f>'[2]Villa Pig Cost'!AC29</f>
        <v>175</v>
      </c>
      <c r="AH7" s="1057">
        <f>'[2]Villa Pig Cost'!AD29</f>
        <v>174</v>
      </c>
      <c r="AI7" s="1057">
        <f>'[2]Villa Pig Cost'!AE29</f>
        <v>172</v>
      </c>
      <c r="AJ7" s="1057">
        <f>'[2]Villa Pig Cost'!AF29</f>
        <v>182</v>
      </c>
      <c r="AK7" s="1057">
        <f>'[2]Villa Pig Cost'!AG29</f>
        <v>163</v>
      </c>
      <c r="AL7" s="1057">
        <f>'[2]Villa Pig Cost'!AH29</f>
        <v>183</v>
      </c>
      <c r="AM7" s="1057">
        <f>'[2]Villa Pig Cost'!AI29</f>
        <v>182</v>
      </c>
      <c r="AN7" s="1057">
        <f>'[2]Villa Pig Cost'!AJ29</f>
        <v>150</v>
      </c>
      <c r="AO7" s="1057">
        <f>'[2]Villa Pig Cost'!AK29</f>
        <v>174</v>
      </c>
      <c r="AP7" s="1057">
        <f>'[2]Villa Pig Cost'!AL29</f>
        <v>192</v>
      </c>
      <c r="AQ7" s="1057">
        <f>'[2]Villa Pig Cost'!AM29</f>
        <v>186</v>
      </c>
      <c r="AR7" s="1057">
        <f>'[2]Villa Pig Cost'!AN29</f>
        <v>172</v>
      </c>
      <c r="AS7" s="1057">
        <f>'[2]Villa Pig Cost'!AO29</f>
        <v>165</v>
      </c>
      <c r="AT7" s="1057">
        <f>'[2]Villa Pig Cost'!AP29</f>
        <v>14</v>
      </c>
      <c r="AU7" s="1057">
        <f>SUM(W7:AT7)</f>
        <v>4376</v>
      </c>
      <c r="AV7" s="1057">
        <f>'[2]Villa Pig Cost'!AU29</f>
        <v>4376</v>
      </c>
      <c r="AW7" s="1772">
        <f t="shared" ref="AW7:AW28" si="0">AU7-AV7</f>
        <v>0</v>
      </c>
      <c r="AX7" s="818"/>
      <c r="BD7" s="1790">
        <v>7</v>
      </c>
    </row>
    <row r="8" spans="1:56" ht="15.6">
      <c r="A8" s="1066" t="s">
        <v>1787</v>
      </c>
      <c r="B8" s="1057"/>
      <c r="C8" s="1057"/>
      <c r="D8" s="1057"/>
      <c r="E8" s="1057"/>
      <c r="F8" s="1057"/>
      <c r="G8" s="1057"/>
      <c r="H8" s="1057"/>
      <c r="I8" s="1057"/>
      <c r="J8" s="1057"/>
      <c r="K8" s="1057"/>
      <c r="L8" s="1057"/>
      <c r="M8" s="1057"/>
      <c r="N8" s="1057"/>
      <c r="O8" s="1057"/>
      <c r="P8" s="1057"/>
      <c r="Q8" s="1057"/>
      <c r="R8" s="1057"/>
      <c r="S8" s="807">
        <v>138</v>
      </c>
      <c r="T8" s="807">
        <v>279</v>
      </c>
      <c r="U8" s="807">
        <v>322</v>
      </c>
      <c r="V8" s="807">
        <v>315</v>
      </c>
      <c r="W8" s="807">
        <v>125</v>
      </c>
      <c r="X8" s="1057"/>
      <c r="Y8" s="1057"/>
      <c r="Z8" s="1057"/>
      <c r="AA8" s="1057"/>
      <c r="AB8" s="1057"/>
      <c r="AC8" s="1057"/>
      <c r="AD8" s="1057"/>
      <c r="AE8" s="1057"/>
      <c r="AF8" s="1057"/>
      <c r="AG8" s="1057"/>
      <c r="AH8" s="1057"/>
      <c r="AI8" s="1057"/>
      <c r="AJ8" s="1057"/>
      <c r="AK8" s="1057"/>
      <c r="AL8" s="1057"/>
      <c r="AM8" s="1057"/>
      <c r="AN8" s="1057"/>
      <c r="AO8" s="1057"/>
      <c r="AP8" s="1693"/>
      <c r="AQ8" s="1693"/>
      <c r="AR8" s="1693"/>
      <c r="AS8" s="1693"/>
      <c r="AT8" s="1693"/>
      <c r="AU8" s="1057">
        <f>SUM(S8:AT8)</f>
        <v>1179</v>
      </c>
      <c r="AV8" s="817">
        <f>SUM('Summary Total Pigs'!J89)</f>
        <v>1179</v>
      </c>
      <c r="AW8" s="1170">
        <f>AU8-AV8</f>
        <v>0</v>
      </c>
      <c r="AX8" s="818"/>
    </row>
    <row r="9" spans="1:56" ht="15.6">
      <c r="A9" s="1066" t="s">
        <v>212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807"/>
      <c r="T9" s="807"/>
      <c r="U9" s="807"/>
      <c r="V9" s="807"/>
      <c r="W9" s="807"/>
      <c r="X9" s="1057"/>
      <c r="Y9" s="1057"/>
      <c r="Z9" s="1057"/>
      <c r="AA9" s="1057"/>
      <c r="AB9" s="1057"/>
      <c r="AC9" s="1057"/>
      <c r="AD9" s="1057"/>
      <c r="AE9" s="1057"/>
      <c r="AF9" s="1057"/>
      <c r="AG9" s="1057"/>
      <c r="AH9" s="1057"/>
      <c r="AI9" s="1057"/>
      <c r="AJ9" s="1057"/>
      <c r="AK9" s="1057"/>
      <c r="AL9" s="1057"/>
      <c r="AM9" s="1057"/>
      <c r="AN9" s="1057"/>
      <c r="AO9" s="1057"/>
      <c r="AP9" s="1693"/>
      <c r="AQ9" s="1693"/>
      <c r="AR9" s="1693"/>
      <c r="AS9" s="1693"/>
      <c r="AT9" s="1693"/>
      <c r="AU9" s="1057">
        <f>SUM(S9:AT9)</f>
        <v>0</v>
      </c>
      <c r="AV9" s="817">
        <f>SUM('Summary Total Pigs'!D89:D91)-AV21</f>
        <v>1422</v>
      </c>
      <c r="AW9" s="1170">
        <f t="shared" ref="AW9:AW10" si="1">AU9-AV9</f>
        <v>-1422</v>
      </c>
      <c r="AX9" s="818"/>
    </row>
    <row r="10" spans="1:56" ht="15.6">
      <c r="A10" s="1066" t="s">
        <v>1788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807"/>
      <c r="T10" s="807"/>
      <c r="U10" s="807"/>
      <c r="V10" s="807"/>
      <c r="W10" s="807"/>
      <c r="X10" s="1057"/>
      <c r="Y10" s="1057"/>
      <c r="Z10" s="1057"/>
      <c r="AA10" s="1057"/>
      <c r="AB10" s="1057"/>
      <c r="AC10" s="1057"/>
      <c r="AD10" s="1057"/>
      <c r="AE10" s="1057"/>
      <c r="AF10" s="1057"/>
      <c r="AG10" s="1057"/>
      <c r="AH10" s="1057"/>
      <c r="AI10" s="1057"/>
      <c r="AJ10" s="1057"/>
      <c r="AK10" s="1057"/>
      <c r="AL10" s="1057"/>
      <c r="AM10" s="1057"/>
      <c r="AN10" s="1057"/>
      <c r="AO10" s="1057"/>
      <c r="AP10" s="1693"/>
      <c r="AQ10" s="1693"/>
      <c r="AR10" s="1693"/>
      <c r="AS10" s="1693"/>
      <c r="AT10" s="1693"/>
      <c r="AU10" s="1057">
        <f>SUM(S10:AT10)</f>
        <v>0</v>
      </c>
      <c r="AV10" s="817">
        <f>SUM('Summary Total Pigs'!N89:N91)-AV23</f>
        <v>-1422</v>
      </c>
      <c r="AW10" s="1170">
        <f t="shared" si="1"/>
        <v>1422</v>
      </c>
      <c r="AX10" s="818"/>
    </row>
    <row r="11" spans="1:56" s="131" customFormat="1" ht="15.6">
      <c r="A11" s="1066" t="s">
        <v>1789</v>
      </c>
      <c r="B11" s="1068">
        <f t="shared" ref="B11:R11" si="2">SUM(B7:B9)</f>
        <v>0</v>
      </c>
      <c r="C11" s="1068">
        <f t="shared" si="2"/>
        <v>0</v>
      </c>
      <c r="D11" s="1068">
        <f t="shared" si="2"/>
        <v>0</v>
      </c>
      <c r="E11" s="1068">
        <f t="shared" si="2"/>
        <v>0</v>
      </c>
      <c r="F11" s="1068">
        <f t="shared" si="2"/>
        <v>0</v>
      </c>
      <c r="G11" s="1068">
        <f t="shared" si="2"/>
        <v>0</v>
      </c>
      <c r="H11" s="1068">
        <f t="shared" si="2"/>
        <v>0</v>
      </c>
      <c r="I11" s="1068">
        <f t="shared" si="2"/>
        <v>0</v>
      </c>
      <c r="J11" s="1068">
        <f t="shared" si="2"/>
        <v>0</v>
      </c>
      <c r="K11" s="1068">
        <f t="shared" si="2"/>
        <v>0</v>
      </c>
      <c r="L11" s="1068">
        <f t="shared" si="2"/>
        <v>0</v>
      </c>
      <c r="M11" s="1068">
        <f t="shared" si="2"/>
        <v>0</v>
      </c>
      <c r="N11" s="1068">
        <f t="shared" si="2"/>
        <v>0</v>
      </c>
      <c r="O11" s="1068">
        <f t="shared" si="2"/>
        <v>0</v>
      </c>
      <c r="P11" s="1068">
        <f t="shared" si="2"/>
        <v>0</v>
      </c>
      <c r="Q11" s="1068">
        <f t="shared" si="2"/>
        <v>0</v>
      </c>
      <c r="R11" s="1068">
        <f t="shared" si="2"/>
        <v>0</v>
      </c>
      <c r="S11" s="1068">
        <f t="shared" ref="S11:AM11" si="3">SUM(S7:S10)</f>
        <v>138</v>
      </c>
      <c r="T11" s="1068">
        <f t="shared" si="3"/>
        <v>279</v>
      </c>
      <c r="U11" s="1068">
        <f t="shared" si="3"/>
        <v>322</v>
      </c>
      <c r="V11" s="1068">
        <f t="shared" si="3"/>
        <v>315</v>
      </c>
      <c r="W11" s="1068">
        <f>SUM(W7:W10)</f>
        <v>269</v>
      </c>
      <c r="X11" s="1068">
        <f>SUM(X7:X10)</f>
        <v>288</v>
      </c>
      <c r="Y11" s="1068">
        <f t="shared" si="3"/>
        <v>278</v>
      </c>
      <c r="Z11" s="1068">
        <f t="shared" si="3"/>
        <v>293</v>
      </c>
      <c r="AA11" s="1068">
        <f t="shared" si="3"/>
        <v>179</v>
      </c>
      <c r="AB11" s="1068">
        <f t="shared" si="3"/>
        <v>155</v>
      </c>
      <c r="AC11" s="1068">
        <f t="shared" si="3"/>
        <v>193</v>
      </c>
      <c r="AD11" s="1068">
        <f t="shared" si="3"/>
        <v>196</v>
      </c>
      <c r="AE11" s="1068">
        <f t="shared" si="3"/>
        <v>185</v>
      </c>
      <c r="AF11" s="1068">
        <f t="shared" si="3"/>
        <v>181</v>
      </c>
      <c r="AG11" s="1068">
        <f t="shared" si="3"/>
        <v>175</v>
      </c>
      <c r="AH11" s="1068">
        <f t="shared" si="3"/>
        <v>174</v>
      </c>
      <c r="AI11" s="1068">
        <f t="shared" si="3"/>
        <v>172</v>
      </c>
      <c r="AJ11" s="1068">
        <f t="shared" si="3"/>
        <v>182</v>
      </c>
      <c r="AK11" s="1068">
        <f t="shared" si="3"/>
        <v>163</v>
      </c>
      <c r="AL11" s="1068">
        <f t="shared" si="3"/>
        <v>183</v>
      </c>
      <c r="AM11" s="1068">
        <f t="shared" si="3"/>
        <v>182</v>
      </c>
      <c r="AN11" s="1068">
        <f>SUM(AN7:AN10)</f>
        <v>150</v>
      </c>
      <c r="AO11" s="1068">
        <f>SUM(AO7:AO10)</f>
        <v>174</v>
      </c>
      <c r="AP11" s="1695">
        <f t="shared" ref="AP11:AT11" si="4">SUM(AP7:AP10)</f>
        <v>192</v>
      </c>
      <c r="AQ11" s="1695">
        <f t="shared" si="4"/>
        <v>186</v>
      </c>
      <c r="AR11" s="1695">
        <f t="shared" si="4"/>
        <v>172</v>
      </c>
      <c r="AS11" s="1695">
        <f t="shared" si="4"/>
        <v>165</v>
      </c>
      <c r="AT11" s="1695">
        <f t="shared" si="4"/>
        <v>14</v>
      </c>
      <c r="AU11" s="1086">
        <f>SUM(B11:AT11)</f>
        <v>5555</v>
      </c>
      <c r="AV11" s="1068">
        <f>SUM(AV7:AV10)</f>
        <v>5555</v>
      </c>
      <c r="AW11" s="1576">
        <f>AU11-AV11</f>
        <v>0</v>
      </c>
      <c r="AX11" s="1066"/>
      <c r="BD11" s="131">
        <v>7</v>
      </c>
    </row>
    <row r="12" spans="1:56" ht="15.6">
      <c r="A12" s="1100" t="str">
        <f>+'Grasmere Pig Cost'!A12</f>
        <v>Transfers Lionshead</v>
      </c>
      <c r="B12" s="1282"/>
      <c r="C12" s="1282"/>
      <c r="D12" s="1282"/>
      <c r="E12" s="1282"/>
      <c r="F12" s="1282"/>
      <c r="G12" s="1282"/>
      <c r="H12" s="1282"/>
      <c r="I12" s="1282"/>
      <c r="J12" s="1282"/>
      <c r="K12" s="1282"/>
      <c r="L12" s="1282"/>
      <c r="M12" s="1282"/>
      <c r="N12" s="1282"/>
      <c r="O12" s="1282"/>
      <c r="P12" s="1282"/>
      <c r="Q12" s="1282"/>
      <c r="R12" s="1282"/>
      <c r="S12" s="817"/>
      <c r="T12" s="817"/>
      <c r="U12" s="817"/>
      <c r="V12" s="817"/>
      <c r="W12" s="817"/>
      <c r="X12" s="817"/>
      <c r="Y12" s="817"/>
      <c r="Z12" s="817"/>
      <c r="AA12" s="817"/>
      <c r="AB12" s="817"/>
      <c r="AC12" s="817"/>
      <c r="AD12" s="817"/>
      <c r="AE12" s="817"/>
      <c r="AF12" s="817"/>
      <c r="AG12" s="817"/>
      <c r="AH12" s="817"/>
      <c r="AI12" s="817"/>
      <c r="AJ12" s="817"/>
      <c r="AK12" s="817"/>
      <c r="AL12" s="817"/>
      <c r="AM12" s="817"/>
      <c r="AN12" s="817"/>
      <c r="AO12" s="817"/>
      <c r="AP12" s="817"/>
      <c r="AQ12" s="817"/>
      <c r="AR12" s="817"/>
      <c r="AS12" s="817"/>
      <c r="AT12" s="817"/>
      <c r="AU12" s="807">
        <f t="shared" ref="AU12:AU26" si="5">SUM(S12:AT12)</f>
        <v>0</v>
      </c>
      <c r="AV12" s="817">
        <f>SUM('Summary Total Pigs'!F89:F91,'Summary Total Pigs'!P89:P91)</f>
        <v>0</v>
      </c>
      <c r="AW12" s="1170">
        <f>AU12-AV12</f>
        <v>0</v>
      </c>
      <c r="AX12" s="1066"/>
    </row>
    <row r="13" spans="1:56" ht="15.6">
      <c r="A13" s="1100" t="str">
        <f>+'Grasmere Pig Cost'!A13</f>
        <v>Transfers Lionshead Ext.</v>
      </c>
      <c r="B13" s="1282"/>
      <c r="C13" s="1282"/>
      <c r="D13" s="1282"/>
      <c r="E13" s="1282"/>
      <c r="F13" s="1282"/>
      <c r="G13" s="1282"/>
      <c r="H13" s="1282"/>
      <c r="I13" s="1282"/>
      <c r="J13" s="1282"/>
      <c r="K13" s="1282"/>
      <c r="L13" s="1282"/>
      <c r="M13" s="1282"/>
      <c r="N13" s="1282"/>
      <c r="O13" s="1282"/>
      <c r="P13" s="1282"/>
      <c r="Q13" s="1282"/>
      <c r="R13" s="1282"/>
      <c r="S13" s="817"/>
      <c r="T13" s="817"/>
      <c r="U13" s="817"/>
      <c r="V13" s="817"/>
      <c r="W13" s="817"/>
      <c r="X13" s="817"/>
      <c r="Y13" s="817">
        <v>-110</v>
      </c>
      <c r="Z13" s="817">
        <v>-140</v>
      </c>
      <c r="AA13" s="817"/>
      <c r="AB13" s="817"/>
      <c r="AC13" s="817"/>
      <c r="AD13" s="817"/>
      <c r="AE13" s="817"/>
      <c r="AF13" s="817"/>
      <c r="AG13" s="817"/>
      <c r="AH13" s="817"/>
      <c r="AI13" s="817"/>
      <c r="AJ13" s="817"/>
      <c r="AK13" s="817"/>
      <c r="AL13" s="817"/>
      <c r="AM13" s="817"/>
      <c r="AN13" s="817"/>
      <c r="AO13" s="817"/>
      <c r="AP13" s="817"/>
      <c r="AQ13" s="817"/>
      <c r="AR13" s="817"/>
      <c r="AS13" s="817"/>
      <c r="AT13" s="817"/>
      <c r="AU13" s="807">
        <f t="shared" si="5"/>
        <v>-250</v>
      </c>
      <c r="AV13" s="817">
        <f>SUM('Summary Total Pigs'!G89:G91,'Summary Total Pigs'!Q89:Q91)</f>
        <v>-250</v>
      </c>
      <c r="AW13" s="1170">
        <f t="shared" si="0"/>
        <v>0</v>
      </c>
      <c r="AX13" s="1066"/>
    </row>
    <row r="14" spans="1:56" ht="15.6">
      <c r="A14" s="1100" t="str">
        <f>+'Grasmere Pig Cost'!A14</f>
        <v>Transfers  Richlands</v>
      </c>
      <c r="B14" s="1282"/>
      <c r="C14" s="1282"/>
      <c r="D14" s="1282"/>
      <c r="E14" s="1282"/>
      <c r="F14" s="1282"/>
      <c r="G14" s="1282"/>
      <c r="H14" s="1282"/>
      <c r="I14" s="1282"/>
      <c r="J14" s="1282"/>
      <c r="K14" s="1282"/>
      <c r="L14" s="1282"/>
      <c r="M14" s="1282"/>
      <c r="N14" s="1282"/>
      <c r="O14" s="1282"/>
      <c r="P14" s="1282"/>
      <c r="Q14" s="1282"/>
      <c r="R14" s="1282"/>
      <c r="S14" s="1282"/>
      <c r="T14" s="1282"/>
      <c r="U14" s="1282"/>
      <c r="V14" s="1283"/>
      <c r="W14" s="1283"/>
      <c r="X14" s="1283"/>
      <c r="Y14" s="807"/>
      <c r="Z14" s="807"/>
      <c r="AA14" s="807"/>
      <c r="AB14" s="807"/>
      <c r="AC14" s="807"/>
      <c r="AD14" s="1283"/>
      <c r="AE14" s="1283"/>
      <c r="AF14" s="1283"/>
      <c r="AG14" s="1282"/>
      <c r="AH14" s="1282"/>
      <c r="AI14" s="1282"/>
      <c r="AJ14" s="1282"/>
      <c r="AK14" s="1282"/>
      <c r="AL14" s="1283"/>
      <c r="AM14" s="1283"/>
      <c r="AN14" s="1283"/>
      <c r="AO14" s="1283"/>
      <c r="AP14" s="1695"/>
      <c r="AQ14" s="1695"/>
      <c r="AR14" s="1695"/>
      <c r="AS14" s="1695"/>
      <c r="AT14" s="1695"/>
      <c r="AU14" s="807">
        <f t="shared" si="5"/>
        <v>0</v>
      </c>
      <c r="AV14" s="817">
        <f>SUM('Summary Total Pigs'!I89:I91,'Summary Total Pigs'!S89:S91)</f>
        <v>0</v>
      </c>
      <c r="AW14" s="1170">
        <f t="shared" si="0"/>
        <v>0</v>
      </c>
      <c r="AX14" s="1066"/>
    </row>
    <row r="15" spans="1:56" ht="15.6">
      <c r="A15" s="1100" t="str">
        <f>+'Grasmere Pig Cost'!A15</f>
        <v>Transfers Learig</v>
      </c>
      <c r="B15" s="1282"/>
      <c r="C15" s="1282"/>
      <c r="D15" s="1282"/>
      <c r="E15" s="1282"/>
      <c r="F15" s="1282"/>
      <c r="G15" s="1282"/>
      <c r="H15" s="1282"/>
      <c r="I15" s="1282"/>
      <c r="J15" s="1282"/>
      <c r="K15" s="1282"/>
      <c r="L15" s="1282"/>
      <c r="M15" s="1282"/>
      <c r="N15" s="1282"/>
      <c r="O15" s="1282"/>
      <c r="P15" s="1282"/>
      <c r="Q15" s="1282"/>
      <c r="R15" s="1282"/>
      <c r="S15" s="1282"/>
      <c r="T15" s="1282"/>
      <c r="U15" s="1283"/>
      <c r="V15" s="1283"/>
      <c r="W15" s="1283">
        <v>-90</v>
      </c>
      <c r="X15" s="1283">
        <v>-100</v>
      </c>
      <c r="Y15" s="1283"/>
      <c r="Z15" s="1283"/>
      <c r="AA15" s="1283"/>
      <c r="AB15" s="1283"/>
      <c r="AC15" s="1283"/>
      <c r="AD15" s="807"/>
      <c r="AF15" s="1283"/>
      <c r="AG15" s="807"/>
      <c r="AH15" s="1282"/>
      <c r="AI15" s="1282"/>
      <c r="AJ15" s="1282"/>
      <c r="AK15" s="1282"/>
      <c r="AL15" s="1282"/>
      <c r="AM15" s="1282"/>
      <c r="AN15" s="1282"/>
      <c r="AO15" s="1282"/>
      <c r="AP15" s="1695"/>
      <c r="AQ15" s="1695"/>
      <c r="AR15" s="1695"/>
      <c r="AS15" s="1695"/>
      <c r="AT15" s="1695"/>
      <c r="AU15" s="807">
        <f t="shared" si="5"/>
        <v>-190</v>
      </c>
      <c r="AV15" s="817">
        <f>SUM('Summary Total Pigs'!H89:H91,'Summary Total Pigs'!R89:R91)</f>
        <v>-190</v>
      </c>
      <c r="AW15" s="1170">
        <f t="shared" si="0"/>
        <v>0</v>
      </c>
      <c r="AX15" s="1066"/>
    </row>
    <row r="16" spans="1:56" ht="15.6">
      <c r="A16" s="1100" t="s">
        <v>1830</v>
      </c>
      <c r="B16" s="1282"/>
      <c r="C16" s="1282"/>
      <c r="D16" s="1282"/>
      <c r="E16" s="1282"/>
      <c r="F16" s="1282"/>
      <c r="G16" s="1282"/>
      <c r="H16" s="1282"/>
      <c r="I16" s="1282"/>
      <c r="J16" s="1282"/>
      <c r="K16" s="1282"/>
      <c r="L16" s="1282"/>
      <c r="M16" s="1282"/>
      <c r="N16" s="1282"/>
      <c r="O16" s="1282"/>
      <c r="P16" s="1282"/>
      <c r="Q16" s="1282"/>
      <c r="R16" s="1282"/>
      <c r="S16" s="1282"/>
      <c r="T16" s="1282"/>
      <c r="U16" s="1282"/>
      <c r="V16" s="1282"/>
      <c r="W16" s="1282"/>
      <c r="X16" s="1283"/>
      <c r="Y16" s="1283"/>
      <c r="Z16" s="1283"/>
      <c r="AA16" s="1283"/>
      <c r="AB16" s="1282"/>
      <c r="AC16" s="1282"/>
      <c r="AD16" s="1282"/>
      <c r="AE16" s="1282"/>
      <c r="AF16" s="1282"/>
      <c r="AG16" s="1282"/>
      <c r="AH16" s="1282"/>
      <c r="AI16" s="1282"/>
      <c r="AJ16" s="1282"/>
      <c r="AK16" s="1282"/>
      <c r="AL16" s="1282"/>
      <c r="AM16" s="1282"/>
      <c r="AN16" s="1282"/>
      <c r="AO16" s="1282"/>
      <c r="AP16" s="1695"/>
      <c r="AQ16" s="1695"/>
      <c r="AR16" s="1695"/>
      <c r="AS16" s="1695"/>
      <c r="AT16" s="1695"/>
      <c r="AU16" s="807">
        <f t="shared" si="5"/>
        <v>0</v>
      </c>
      <c r="AV16" s="817">
        <f>SUM('Summary Total Pigs'!E89:E91,'Summary Total Pigs'!O89:O91)</f>
        <v>0</v>
      </c>
      <c r="AW16" s="1170">
        <f t="shared" si="0"/>
        <v>0</v>
      </c>
      <c r="AX16" s="1066"/>
    </row>
    <row r="17" spans="1:56" ht="15.6">
      <c r="A17" s="1100" t="str">
        <f>+'Grasmere Pig Cost'!A17</f>
        <v>Transfers Porta</v>
      </c>
      <c r="B17" s="1282"/>
      <c r="C17" s="1282"/>
      <c r="D17" s="1282"/>
      <c r="E17" s="1282"/>
      <c r="F17" s="1282"/>
      <c r="G17" s="1282"/>
      <c r="H17" s="1282"/>
      <c r="I17" s="1282"/>
      <c r="J17" s="1282"/>
      <c r="K17" s="1282"/>
      <c r="L17" s="1282"/>
      <c r="M17" s="1282"/>
      <c r="N17" s="1282"/>
      <c r="O17" s="1282"/>
      <c r="P17" s="1282"/>
      <c r="Q17" s="1282"/>
      <c r="R17" s="1282"/>
      <c r="S17" s="1282"/>
      <c r="T17" s="1282"/>
      <c r="U17" s="1282"/>
      <c r="V17" s="1282"/>
      <c r="W17" s="1282"/>
      <c r="X17" s="1283"/>
      <c r="Y17" s="1283"/>
      <c r="Z17" s="1283"/>
      <c r="AA17" s="1283"/>
      <c r="AB17" s="1282"/>
      <c r="AC17" s="1282"/>
      <c r="AD17" s="1282"/>
      <c r="AE17" s="1282"/>
      <c r="AF17" s="1282"/>
      <c r="AG17" s="1282"/>
      <c r="AH17" s="1282"/>
      <c r="AI17" s="1282"/>
      <c r="AJ17" s="1282"/>
      <c r="AK17" s="1282"/>
      <c r="AL17" s="1282"/>
      <c r="AM17" s="1282"/>
      <c r="AN17" s="1282"/>
      <c r="AO17" s="1282"/>
      <c r="AP17" s="1695"/>
      <c r="AQ17" s="1695"/>
      <c r="AR17" s="1695"/>
      <c r="AS17" s="1695"/>
      <c r="AT17" s="1695"/>
      <c r="AU17" s="807"/>
      <c r="AV17" s="817"/>
      <c r="AW17" s="1170"/>
      <c r="AX17" s="1066"/>
    </row>
    <row r="18" spans="1:56" ht="15.6">
      <c r="A18" s="1100" t="str">
        <f>+'Grasmere Pig Cost'!A18</f>
        <v>Transfers Multiplier</v>
      </c>
      <c r="B18" s="1282"/>
      <c r="C18" s="1282"/>
      <c r="D18" s="1282"/>
      <c r="E18" s="1282"/>
      <c r="F18" s="1282"/>
      <c r="G18" s="1282"/>
      <c r="H18" s="1282"/>
      <c r="I18" s="1282"/>
      <c r="J18" s="1282"/>
      <c r="K18" s="1282"/>
      <c r="L18" s="1282"/>
      <c r="M18" s="1282"/>
      <c r="N18" s="1282"/>
      <c r="O18" s="1282"/>
      <c r="P18" s="1282"/>
      <c r="Q18" s="1282"/>
      <c r="R18" s="1282"/>
      <c r="S18" s="1282"/>
      <c r="T18" s="1282"/>
      <c r="U18" s="1282"/>
      <c r="V18" s="1282"/>
      <c r="W18" s="1282"/>
      <c r="X18" s="1283"/>
      <c r="Y18" s="1283"/>
      <c r="Z18" s="1283"/>
      <c r="AA18" s="1283"/>
      <c r="AB18" s="1282"/>
      <c r="AC18" s="1282"/>
      <c r="AD18" s="1282"/>
      <c r="AE18" s="1282"/>
      <c r="AF18" s="1282"/>
      <c r="AG18" s="1282"/>
      <c r="AH18" s="1282"/>
      <c r="AI18" s="1282"/>
      <c r="AJ18" s="1282"/>
      <c r="AK18" s="1282"/>
      <c r="AL18" s="1282"/>
      <c r="AM18" s="1282"/>
      <c r="AN18" s="1282"/>
      <c r="AO18" s="1282"/>
      <c r="AP18" s="1695"/>
      <c r="AQ18" s="1695"/>
      <c r="AR18" s="1695"/>
      <c r="AS18" s="1695"/>
      <c r="AT18" s="1695"/>
      <c r="AU18" s="807"/>
      <c r="AV18" s="817"/>
      <c r="AW18" s="1170"/>
      <c r="AX18" s="1066"/>
    </row>
    <row r="19" spans="1:56" ht="15.6">
      <c r="A19" s="1100">
        <f>+'Grasmere Pig Cost'!A19</f>
        <v>0</v>
      </c>
      <c r="B19" s="1282"/>
      <c r="C19" s="1282"/>
      <c r="D19" s="1282"/>
      <c r="E19" s="1282"/>
      <c r="F19" s="1282"/>
      <c r="G19" s="1282"/>
      <c r="H19" s="1282"/>
      <c r="I19" s="1282"/>
      <c r="J19" s="1282"/>
      <c r="K19" s="1282"/>
      <c r="L19" s="1282"/>
      <c r="M19" s="1282"/>
      <c r="N19" s="1282"/>
      <c r="O19" s="1282"/>
      <c r="P19" s="1282"/>
      <c r="Q19" s="1282"/>
      <c r="R19" s="1282"/>
      <c r="S19" s="1282"/>
      <c r="T19" s="1282"/>
      <c r="U19" s="1282"/>
      <c r="V19" s="1282"/>
      <c r="W19" s="1282"/>
      <c r="X19" s="1283"/>
      <c r="Y19" s="1283"/>
      <c r="Z19" s="1283"/>
      <c r="AA19" s="1283"/>
      <c r="AB19" s="1282"/>
      <c r="AC19" s="1282"/>
      <c r="AD19" s="1282"/>
      <c r="AE19" s="1282"/>
      <c r="AF19" s="1282"/>
      <c r="AG19" s="1282"/>
      <c r="AH19" s="1282"/>
      <c r="AI19" s="1282"/>
      <c r="AJ19" s="1282"/>
      <c r="AK19" s="1282"/>
      <c r="AL19" s="1282"/>
      <c r="AM19" s="1282"/>
      <c r="AN19" s="1282"/>
      <c r="AO19" s="1282"/>
      <c r="AP19" s="1695"/>
      <c r="AQ19" s="1695"/>
      <c r="AR19" s="1695"/>
      <c r="AS19" s="1695"/>
      <c r="AT19" s="1695"/>
      <c r="AU19" s="807"/>
      <c r="AV19" s="817"/>
      <c r="AW19" s="1170"/>
      <c r="AX19" s="1066"/>
    </row>
    <row r="20" spans="1:56" ht="15.6">
      <c r="A20" s="1100" t="str">
        <f>+'Grasmere Pig Cost'!A20</f>
        <v>Transfers  Boars</v>
      </c>
      <c r="B20" s="1282"/>
      <c r="C20" s="1282"/>
      <c r="D20" s="1282"/>
      <c r="E20" s="1282"/>
      <c r="F20" s="1282"/>
      <c r="G20" s="1282"/>
      <c r="H20" s="1282"/>
      <c r="I20" s="1282"/>
      <c r="J20" s="1282"/>
      <c r="K20" s="1282"/>
      <c r="L20" s="1282"/>
      <c r="M20" s="1282"/>
      <c r="N20" s="1282"/>
      <c r="O20" s="1282"/>
      <c r="P20" s="1282"/>
      <c r="Q20" s="1282"/>
      <c r="R20" s="1282"/>
      <c r="S20" s="1282"/>
      <c r="T20" s="1282"/>
      <c r="U20" s="1282"/>
      <c r="V20" s="1282"/>
      <c r="W20" s="1282"/>
      <c r="X20" s="1282"/>
      <c r="Y20" s="1282"/>
      <c r="Z20" s="1282"/>
      <c r="AA20" s="1282"/>
      <c r="AB20" s="1282"/>
      <c r="AC20" s="1282"/>
      <c r="AD20" s="1282"/>
      <c r="AE20" s="1282"/>
      <c r="AF20" s="1282"/>
      <c r="AG20" s="1282"/>
      <c r="AH20" s="1282"/>
      <c r="AI20" s="1283"/>
      <c r="AJ20" s="1282"/>
      <c r="AK20" s="1282"/>
      <c r="AL20" s="1282"/>
      <c r="AM20" s="1282"/>
      <c r="AN20" s="1282"/>
      <c r="AO20" s="1282"/>
      <c r="AP20" s="1695"/>
      <c r="AQ20" s="1695"/>
      <c r="AR20" s="1695"/>
      <c r="AS20" s="1600"/>
      <c r="AT20" s="1695"/>
      <c r="AU20" s="807">
        <f t="shared" si="5"/>
        <v>0</v>
      </c>
      <c r="AV20" s="817"/>
      <c r="AW20" s="1170">
        <f t="shared" si="0"/>
        <v>0</v>
      </c>
      <c r="AX20" s="1066"/>
    </row>
    <row r="21" spans="1:56" ht="15.6">
      <c r="A21" s="1100" t="str">
        <f>+'Grasmere Pig Cost'!A21</f>
        <v>Transfers Grower</v>
      </c>
      <c r="B21" s="1283"/>
      <c r="C21" s="1283"/>
      <c r="D21" s="1283"/>
      <c r="E21" s="1283"/>
      <c r="F21" s="1283"/>
      <c r="G21" s="1283"/>
      <c r="H21" s="1283"/>
      <c r="I21" s="1283"/>
      <c r="J21" s="1283"/>
      <c r="K21" s="1283"/>
      <c r="L21" s="1283"/>
      <c r="M21" s="1283"/>
      <c r="N21" s="1283"/>
      <c r="O21" s="1283"/>
      <c r="P21" s="1283"/>
      <c r="Q21" s="1283"/>
      <c r="R21" s="1283"/>
      <c r="S21" s="1283"/>
      <c r="T21" s="1283"/>
      <c r="U21" s="1283"/>
      <c r="V21" s="1283"/>
      <c r="W21" s="1283"/>
      <c r="X21" s="1283"/>
      <c r="Y21" s="1283"/>
      <c r="Z21" s="1283"/>
      <c r="AA21" s="1283"/>
      <c r="AB21" s="1283"/>
      <c r="AC21" s="1283"/>
      <c r="AD21" s="1283"/>
      <c r="AE21" s="1283"/>
      <c r="AF21" s="1283"/>
      <c r="AG21" s="1283"/>
      <c r="AH21" s="1283"/>
      <c r="AI21" s="1283"/>
      <c r="AJ21" s="1283"/>
      <c r="AK21" s="1283"/>
      <c r="AL21" s="1283"/>
      <c r="AM21" s="1283"/>
      <c r="AN21" s="1283"/>
      <c r="AO21" s="1282"/>
      <c r="AP21" s="1600"/>
      <c r="AQ21" s="1600"/>
      <c r="AR21" s="1600"/>
      <c r="AS21" s="1600"/>
      <c r="AT21" s="1600"/>
      <c r="AU21" s="807">
        <f t="shared" si="5"/>
        <v>0</v>
      </c>
      <c r="AV21" s="817">
        <f>+AU21</f>
        <v>0</v>
      </c>
      <c r="AW21" s="1170">
        <f t="shared" si="0"/>
        <v>0</v>
      </c>
      <c r="AX21" s="1100"/>
    </row>
    <row r="22" spans="1:56">
      <c r="A22" s="1100" t="str">
        <f>+'Grasmere Pig Cost'!A22</f>
        <v>Transfer to Sick Block</v>
      </c>
      <c r="B22" s="1283"/>
      <c r="C22" s="1283"/>
      <c r="D22" s="1283"/>
      <c r="E22" s="1283"/>
      <c r="F22" s="1283"/>
      <c r="G22" s="1283"/>
      <c r="H22" s="1283"/>
      <c r="I22" s="1283"/>
      <c r="J22" s="1283"/>
      <c r="K22" s="1283"/>
      <c r="L22" s="1283"/>
      <c r="M22" s="1283"/>
      <c r="N22" s="1283"/>
      <c r="O22" s="1283"/>
      <c r="P22" s="1283"/>
      <c r="Q22" s="1283"/>
      <c r="R22" s="1283"/>
      <c r="S22" s="1283"/>
      <c r="T22" s="1283"/>
      <c r="U22" s="1283"/>
      <c r="V22" s="1283"/>
      <c r="W22" s="1283"/>
      <c r="X22" s="1283"/>
      <c r="Y22" s="1283"/>
      <c r="Z22" s="1283"/>
      <c r="AA22" s="1283"/>
      <c r="AB22" s="1283"/>
      <c r="AC22" s="1283"/>
      <c r="AD22" s="1283"/>
      <c r="AE22" s="1283"/>
      <c r="AF22" s="1283"/>
      <c r="AG22" s="1283"/>
      <c r="AH22" s="1283"/>
      <c r="AI22" s="1283"/>
      <c r="AJ22" s="1283"/>
      <c r="AK22" s="1283"/>
      <c r="AL22" s="1283"/>
      <c r="AM22" s="1283"/>
      <c r="AN22" s="1283"/>
      <c r="AO22" s="1283"/>
      <c r="AP22" s="1600"/>
      <c r="AQ22" s="1600"/>
      <c r="AR22" s="1600"/>
      <c r="AS22" s="1600"/>
      <c r="AT22" s="1600"/>
      <c r="AU22" s="807">
        <f t="shared" si="5"/>
        <v>0</v>
      </c>
      <c r="AV22" s="817"/>
      <c r="AW22" s="1170"/>
      <c r="AX22" s="1100"/>
    </row>
    <row r="23" spans="1:56">
      <c r="A23" s="1100" t="str">
        <f>+'Grasmere Pig Cost'!A23</f>
        <v>Transfers Gilts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/>
      <c r="AD23" s="807">
        <v>1</v>
      </c>
      <c r="AE23" s="1283"/>
      <c r="AF23" s="807"/>
      <c r="AG23" s="807"/>
      <c r="AH23" s="807"/>
      <c r="AI23" s="807"/>
      <c r="AJ23" s="807"/>
      <c r="AK23" s="807"/>
      <c r="AL23" s="807"/>
      <c r="AM23" s="807"/>
      <c r="AN23" s="1661"/>
      <c r="AO23" s="1661"/>
      <c r="AP23" s="1693"/>
      <c r="AQ23" s="1693"/>
      <c r="AR23" s="1693"/>
      <c r="AS23" s="1693"/>
      <c r="AT23" s="1693"/>
      <c r="AU23" s="807">
        <f>SUM(S23:AT23)</f>
        <v>1</v>
      </c>
      <c r="AV23" s="817">
        <f>+AU23</f>
        <v>1</v>
      </c>
      <c r="AW23" s="1170">
        <f t="shared" si="0"/>
        <v>0</v>
      </c>
      <c r="AX23" s="818"/>
    </row>
    <row r="24" spans="1:56" ht="15.6">
      <c r="A24" s="1100" t="str">
        <f>+'Grasmere Pig Cost'!A24</f>
        <v>Mortality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1891">
        <v>-1</v>
      </c>
      <c r="T24" s="807">
        <f>-1-5-1</f>
        <v>-7</v>
      </c>
      <c r="U24" s="807">
        <f>-6-3-2-1-1-1</f>
        <v>-14</v>
      </c>
      <c r="V24" s="807">
        <f>-2-4-4-1-1-2-1</f>
        <v>-15</v>
      </c>
      <c r="W24" s="807">
        <f>-5-1-1-1-1-1-1</f>
        <v>-11</v>
      </c>
      <c r="X24" s="807">
        <f>-1-1-1</f>
        <v>-3</v>
      </c>
      <c r="Y24" s="807">
        <f>-1-2-1-2</f>
        <v>-6</v>
      </c>
      <c r="Z24" s="807">
        <f>-1-1</f>
        <v>-2</v>
      </c>
      <c r="AA24" s="807">
        <f>-1-1</f>
        <v>-2</v>
      </c>
      <c r="AB24" s="807"/>
      <c r="AC24" s="807">
        <v>-1</v>
      </c>
      <c r="AD24" s="1283">
        <v>-1</v>
      </c>
      <c r="AE24" s="1283">
        <f>-1-1</f>
        <v>-2</v>
      </c>
      <c r="AF24" s="807">
        <f>-1-1</f>
        <v>-2</v>
      </c>
      <c r="AG24" s="807">
        <v>-1</v>
      </c>
      <c r="AH24" s="807">
        <f>-1-1-1</f>
        <v>-3</v>
      </c>
      <c r="AI24" s="807">
        <v>-1</v>
      </c>
      <c r="AJ24" s="807">
        <f>-1-1</f>
        <v>-2</v>
      </c>
      <c r="AK24" s="807">
        <v>-1</v>
      </c>
      <c r="AL24" s="807">
        <v>-1</v>
      </c>
      <c r="AM24" s="807">
        <f>-1-1</f>
        <v>-2</v>
      </c>
      <c r="AN24" s="807"/>
      <c r="AO24" s="807"/>
      <c r="AP24" s="1693"/>
      <c r="AQ24" s="1693"/>
      <c r="AR24" s="1693"/>
      <c r="AS24" s="1693"/>
      <c r="AT24" s="1693">
        <f>-'[3]Sales USD'!$AY$6-1</f>
        <v>-3</v>
      </c>
      <c r="AU24" s="807">
        <f>SUM(S24:AT24)</f>
        <v>-81</v>
      </c>
      <c r="AV24" s="817">
        <f>SUM('Summary Total Pigs'!W89:W91,'Summary Total Pigs'!Y89:Y91)</f>
        <v>-81</v>
      </c>
      <c r="AW24" s="1170">
        <f>AU24-AV24</f>
        <v>0</v>
      </c>
      <c r="AX24" s="818"/>
      <c r="AY24" s="1066"/>
    </row>
    <row r="25" spans="1:56" ht="15.6">
      <c r="A25" s="1100" t="str">
        <f>+'Grasmere Pig Cost'!A25</f>
        <v>Rations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/>
      <c r="AO25" s="807">
        <v>-1</v>
      </c>
      <c r="AP25" s="1693"/>
      <c r="AQ25" s="1693"/>
      <c r="AR25" s="1693"/>
      <c r="AS25" s="1693"/>
      <c r="AT25" s="1693"/>
      <c r="AU25" s="807">
        <f t="shared" si="5"/>
        <v>-1</v>
      </c>
      <c r="AV25" s="817">
        <f>SUM('Summary Total Pigs'!Z89:Z91)</f>
        <v>-1</v>
      </c>
      <c r="AW25" s="1170">
        <f>AU25-AV25</f>
        <v>0</v>
      </c>
      <c r="AX25" s="818"/>
      <c r="AY25" s="1066"/>
    </row>
    <row r="26" spans="1:56" ht="15.6">
      <c r="A26" s="1100" t="str">
        <f>+'Grasmere Pig Cost'!A26</f>
        <v>Pet Food</v>
      </c>
      <c r="B26" s="807"/>
      <c r="C26" s="807"/>
      <c r="D26" s="807"/>
      <c r="E26" s="807"/>
      <c r="F26" s="807"/>
      <c r="G26" s="807"/>
      <c r="H26" s="807"/>
      <c r="I26" s="807"/>
      <c r="J26" s="807"/>
      <c r="K26" s="807"/>
      <c r="L26" s="807"/>
      <c r="M26" s="807"/>
      <c r="N26" s="807"/>
      <c r="O26" s="807"/>
      <c r="P26" s="807"/>
      <c r="Q26" s="807"/>
      <c r="R26" s="807"/>
      <c r="S26" s="807"/>
      <c r="T26" s="807"/>
      <c r="U26" s="807"/>
      <c r="V26" s="807"/>
      <c r="W26" s="807"/>
      <c r="X26" s="807"/>
      <c r="Y26" s="807"/>
      <c r="Z26" s="807"/>
      <c r="AA26" s="807"/>
      <c r="AB26" s="807"/>
      <c r="AC26" s="807"/>
      <c r="AD26" s="807"/>
      <c r="AE26" s="807"/>
      <c r="AF26" s="807"/>
      <c r="AG26" s="807"/>
      <c r="AH26" s="807"/>
      <c r="AI26" s="807"/>
      <c r="AJ26" s="807"/>
      <c r="AK26" s="807"/>
      <c r="AL26" s="807"/>
      <c r="AM26" s="807"/>
      <c r="AN26" s="807"/>
      <c r="AO26" s="807"/>
      <c r="AP26" s="1693"/>
      <c r="AQ26" s="1693"/>
      <c r="AR26" s="1693"/>
      <c r="AS26" s="1693"/>
      <c r="AT26" s="1693"/>
      <c r="AU26" s="807">
        <f t="shared" si="5"/>
        <v>0</v>
      </c>
      <c r="AV26" s="817">
        <f>SUM('Summary Total Pigs'!AB89:AB91)</f>
        <v>0</v>
      </c>
      <c r="AW26" s="1170">
        <f t="shared" si="0"/>
        <v>0</v>
      </c>
      <c r="AX26" s="818"/>
      <c r="AY26" s="1066"/>
    </row>
    <row r="27" spans="1:56" ht="15.6">
      <c r="A27" s="1100" t="str">
        <f>+'Grasmere Pig Cost'!A27</f>
        <v>Farm Sales</v>
      </c>
      <c r="B27" s="807"/>
      <c r="C27" s="807"/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07"/>
      <c r="V27" s="807"/>
      <c r="W27" s="807"/>
      <c r="X27" s="807"/>
      <c r="Y27" s="807"/>
      <c r="Z27" s="807"/>
      <c r="AA27" s="807"/>
      <c r="AB27" s="807"/>
      <c r="AC27" s="807"/>
      <c r="AD27" s="807"/>
      <c r="AE27" s="807"/>
      <c r="AF27" s="807"/>
      <c r="AG27" s="807"/>
      <c r="AH27" s="807"/>
      <c r="AI27" s="807"/>
      <c r="AJ27" s="807"/>
      <c r="AK27" s="807"/>
      <c r="AL27" s="807"/>
      <c r="AM27" s="807"/>
      <c r="AN27" s="807"/>
      <c r="AO27" s="807"/>
      <c r="AP27" s="1693"/>
      <c r="AQ27" s="1693"/>
      <c r="AR27" s="1693"/>
      <c r="AS27" s="1693"/>
      <c r="AT27" s="1693"/>
      <c r="AU27" s="807">
        <f>SUM(S27:AT27)</f>
        <v>0</v>
      </c>
      <c r="AV27" s="817">
        <f>SUM('Summary Total Pigs'!AC89:AC91,'Summary Total Pigs'!AA89:AA91)</f>
        <v>0</v>
      </c>
      <c r="AW27" s="1170">
        <f t="shared" si="0"/>
        <v>0</v>
      </c>
      <c r="AX27" s="818"/>
      <c r="AY27" s="1066"/>
    </row>
    <row r="28" spans="1:56" ht="15.6" thickBot="1">
      <c r="A28" s="1100" t="str">
        <f>+'Grasmere Pig Cost'!A28</f>
        <v xml:space="preserve"> Colcom Sales</v>
      </c>
      <c r="B28" s="807"/>
      <c r="C28" s="807"/>
      <c r="D28" s="807"/>
      <c r="E28" s="807"/>
      <c r="F28" s="807"/>
      <c r="G28" s="807"/>
      <c r="H28" s="807"/>
      <c r="I28" s="807"/>
      <c r="J28" s="807"/>
      <c r="K28" s="807"/>
      <c r="L28" s="807"/>
      <c r="M28" s="807"/>
      <c r="N28" s="807"/>
      <c r="O28" s="807"/>
      <c r="P28" s="807"/>
      <c r="Q28" s="807"/>
      <c r="R28" s="807"/>
      <c r="S28" s="807"/>
      <c r="T28" s="807"/>
      <c r="U28" s="807"/>
      <c r="V28" s="807"/>
      <c r="W28" s="807"/>
      <c r="X28" s="807"/>
      <c r="Y28" s="807"/>
      <c r="Z28" s="807"/>
      <c r="AA28" s="807"/>
      <c r="AB28" s="807"/>
      <c r="AC28" s="807"/>
      <c r="AD28" s="807"/>
      <c r="AE28" s="807"/>
      <c r="AF28" s="807"/>
      <c r="AG28" s="807"/>
      <c r="AH28" s="807"/>
      <c r="AI28" s="807"/>
      <c r="AJ28" s="807"/>
      <c r="AK28" s="807"/>
      <c r="AL28" s="807"/>
      <c r="AM28" s="807"/>
      <c r="AN28" s="807"/>
      <c r="AO28" s="807">
        <f>-25-60-46</f>
        <v>-131</v>
      </c>
      <c r="AP28" s="1693">
        <f>-39-62-56-35</f>
        <v>-192</v>
      </c>
      <c r="AQ28" s="1693">
        <f>-46-62-55-23</f>
        <v>-186</v>
      </c>
      <c r="AR28" s="1693">
        <f>-31-70-54-17</f>
        <v>-172</v>
      </c>
      <c r="AS28" s="1693">
        <f>-56-70-39</f>
        <v>-165</v>
      </c>
      <c r="AT28" s="1693">
        <f>-14+'[3]Sales USD'!$AY$6+1</f>
        <v>-11</v>
      </c>
      <c r="AU28" s="807">
        <f>SUM(S28:AT28)</f>
        <v>-857</v>
      </c>
      <c r="AV28" s="817">
        <f>SUM('Summary Total Pigs'!X89:X91)</f>
        <v>-857</v>
      </c>
      <c r="AW28" s="1170">
        <f t="shared" si="0"/>
        <v>0</v>
      </c>
      <c r="AX28" s="818"/>
      <c r="AY28" s="817">
        <f>SUM(X7:AT7)</f>
        <v>4232</v>
      </c>
      <c r="BD28" s="142">
        <v>-7</v>
      </c>
    </row>
    <row r="29" spans="1:56" ht="16.149999999999999" thickBot="1">
      <c r="A29" s="1070" t="s">
        <v>1802</v>
      </c>
      <c r="B29" s="1071">
        <f t="shared" ref="B29:R29" si="6">SUM(B11:B24)</f>
        <v>0</v>
      </c>
      <c r="C29" s="1071">
        <f t="shared" si="6"/>
        <v>0</v>
      </c>
      <c r="D29" s="1071">
        <f t="shared" si="6"/>
        <v>0</v>
      </c>
      <c r="E29" s="1071">
        <f t="shared" si="6"/>
        <v>0</v>
      </c>
      <c r="F29" s="1071">
        <f t="shared" si="6"/>
        <v>0</v>
      </c>
      <c r="G29" s="1071">
        <f t="shared" si="6"/>
        <v>0</v>
      </c>
      <c r="H29" s="1071">
        <f t="shared" si="6"/>
        <v>0</v>
      </c>
      <c r="I29" s="1071">
        <f t="shared" si="6"/>
        <v>0</v>
      </c>
      <c r="J29" s="1071">
        <f t="shared" si="6"/>
        <v>0</v>
      </c>
      <c r="K29" s="1071">
        <f t="shared" si="6"/>
        <v>0</v>
      </c>
      <c r="L29" s="1071">
        <f t="shared" si="6"/>
        <v>0</v>
      </c>
      <c r="M29" s="1071">
        <f t="shared" si="6"/>
        <v>0</v>
      </c>
      <c r="N29" s="1071">
        <f t="shared" si="6"/>
        <v>0</v>
      </c>
      <c r="O29" s="1071">
        <f t="shared" si="6"/>
        <v>0</v>
      </c>
      <c r="P29" s="1071">
        <f t="shared" si="6"/>
        <v>0</v>
      </c>
      <c r="Q29" s="1071">
        <f t="shared" si="6"/>
        <v>0</v>
      </c>
      <c r="R29" s="1071">
        <f t="shared" si="6"/>
        <v>0</v>
      </c>
      <c r="S29" s="1071">
        <f>SUM(S11:S28)</f>
        <v>137</v>
      </c>
      <c r="T29" s="1071">
        <f t="shared" ref="T29:AM29" si="7">SUM(T11:T28)</f>
        <v>272</v>
      </c>
      <c r="U29" s="1071">
        <f t="shared" si="7"/>
        <v>308</v>
      </c>
      <c r="V29" s="1071">
        <f t="shared" si="7"/>
        <v>300</v>
      </c>
      <c r="W29" s="1071">
        <f t="shared" si="7"/>
        <v>168</v>
      </c>
      <c r="X29" s="1071">
        <f t="shared" si="7"/>
        <v>185</v>
      </c>
      <c r="Y29" s="1071">
        <f t="shared" si="7"/>
        <v>162</v>
      </c>
      <c r="Z29" s="1071">
        <f t="shared" si="7"/>
        <v>151</v>
      </c>
      <c r="AA29" s="1071">
        <f t="shared" si="7"/>
        <v>177</v>
      </c>
      <c r="AB29" s="1071">
        <f t="shared" si="7"/>
        <v>155</v>
      </c>
      <c r="AC29" s="1071">
        <f t="shared" si="7"/>
        <v>192</v>
      </c>
      <c r="AD29" s="1071">
        <f t="shared" si="7"/>
        <v>196</v>
      </c>
      <c r="AE29" s="1071">
        <f t="shared" si="7"/>
        <v>183</v>
      </c>
      <c r="AF29" s="1071">
        <f t="shared" si="7"/>
        <v>179</v>
      </c>
      <c r="AG29" s="1071">
        <f t="shared" si="7"/>
        <v>174</v>
      </c>
      <c r="AH29" s="1071">
        <f t="shared" si="7"/>
        <v>171</v>
      </c>
      <c r="AI29" s="1071">
        <f t="shared" si="7"/>
        <v>171</v>
      </c>
      <c r="AJ29" s="1071">
        <f t="shared" si="7"/>
        <v>180</v>
      </c>
      <c r="AK29" s="1071">
        <f t="shared" si="7"/>
        <v>162</v>
      </c>
      <c r="AL29" s="1071">
        <f t="shared" si="7"/>
        <v>182</v>
      </c>
      <c r="AM29" s="1071">
        <f t="shared" si="7"/>
        <v>180</v>
      </c>
      <c r="AN29" s="1071">
        <f>SUM(AN11:AN28)</f>
        <v>150</v>
      </c>
      <c r="AO29" s="1792">
        <f t="shared" ref="AO29:AT29" si="8">SUM(AO11:AO28)</f>
        <v>42</v>
      </c>
      <c r="AP29" s="1695">
        <f t="shared" si="8"/>
        <v>0</v>
      </c>
      <c r="AQ29" s="1695">
        <f t="shared" si="8"/>
        <v>0</v>
      </c>
      <c r="AR29" s="1695">
        <f t="shared" si="8"/>
        <v>0</v>
      </c>
      <c r="AS29" s="1695">
        <f t="shared" si="8"/>
        <v>0</v>
      </c>
      <c r="AT29" s="1695">
        <f t="shared" si="8"/>
        <v>0</v>
      </c>
      <c r="AU29" s="1071">
        <f>SUM(AU11:AU28)</f>
        <v>4177</v>
      </c>
      <c r="AV29" s="1071">
        <f>SUM(AV11:AV28)</f>
        <v>4177</v>
      </c>
      <c r="AW29" s="1170">
        <f>AU29-AV29</f>
        <v>0</v>
      </c>
      <c r="AY29" s="817">
        <f>SUM(X33:AT33)</f>
        <v>667045.31562782708</v>
      </c>
      <c r="BD29" s="142">
        <v>0</v>
      </c>
    </row>
    <row r="30" spans="1:56">
      <c r="S30" s="1058">
        <f>+'Villa Valuation'!E10</f>
        <v>137</v>
      </c>
      <c r="T30" s="1058">
        <f>+'Villa Valuation'!E11</f>
        <v>272</v>
      </c>
      <c r="U30" s="1058">
        <f>+'Villa Valuation'!E12</f>
        <v>308</v>
      </c>
      <c r="V30" s="1058">
        <f>+'Villa Valuation'!E13</f>
        <v>300</v>
      </c>
      <c r="W30" s="1058">
        <f>+'Villa Valuation'!E14</f>
        <v>168</v>
      </c>
      <c r="X30" s="1058">
        <f>+'Villa Valuation'!E15</f>
        <v>185</v>
      </c>
      <c r="Y30" s="1058">
        <f>+'Villa Valuation'!E16</f>
        <v>162</v>
      </c>
      <c r="Z30" s="1058">
        <f>+'Villa Valuation'!E17</f>
        <v>151</v>
      </c>
      <c r="AA30" s="1058">
        <f>+'Villa Valuation'!E18</f>
        <v>177</v>
      </c>
      <c r="AB30" s="1058">
        <f>+'Villa Valuation'!E19</f>
        <v>155</v>
      </c>
      <c r="AC30" s="1058">
        <f>+'Villa Valuation'!E20</f>
        <v>192</v>
      </c>
      <c r="AD30" s="1058">
        <f>+'Villa Valuation'!E21</f>
        <v>196</v>
      </c>
      <c r="AE30" s="1058">
        <f>+'Villa Valuation'!E22</f>
        <v>183</v>
      </c>
      <c r="AF30" s="1058">
        <f>+'Villa Valuation'!E23</f>
        <v>179</v>
      </c>
      <c r="AG30" s="1058">
        <f>+'Villa Valuation'!E24</f>
        <v>174</v>
      </c>
      <c r="AH30" s="1058">
        <f>+'Villa Valuation'!E25</f>
        <v>171</v>
      </c>
      <c r="AI30" s="1058">
        <f>+'Villa Valuation'!E26</f>
        <v>171</v>
      </c>
      <c r="AJ30" s="1058">
        <f>+'Villa Valuation'!E27</f>
        <v>180</v>
      </c>
      <c r="AK30" s="1058">
        <f>+'Villa Valuation'!E28</f>
        <v>162</v>
      </c>
      <c r="AL30" s="1058">
        <f>+'Villa Valuation'!E29</f>
        <v>182</v>
      </c>
      <c r="AM30" s="1058">
        <f>+'Villa Valuation'!E30</f>
        <v>180</v>
      </c>
      <c r="AN30" s="1058">
        <f>+'Villa Valuation'!E31</f>
        <v>150</v>
      </c>
      <c r="AO30" s="1058">
        <f>+'Villa Valuation'!E32</f>
        <v>42</v>
      </c>
      <c r="AP30" s="1058">
        <f>+'Villa Valuation'!E33</f>
        <v>0</v>
      </c>
      <c r="AQ30" s="1058">
        <f>+'Villa Valuation'!E34</f>
        <v>0</v>
      </c>
      <c r="AR30" s="1058">
        <f>+'Villa Valuation'!E35</f>
        <v>0</v>
      </c>
      <c r="AS30" s="1058">
        <f>+'Villa Valuation'!E36</f>
        <v>0</v>
      </c>
      <c r="AT30" s="1058">
        <f>+'Villa Valuation'!E37</f>
        <v>0</v>
      </c>
      <c r="AU30" s="1057">
        <f>SUM(S30:AT30)</f>
        <v>4177</v>
      </c>
      <c r="AV30" s="817">
        <f>SUM('Villa Valuation'!E10:E41)</f>
        <v>4177</v>
      </c>
      <c r="AW30" s="1170">
        <f>AU30-AV30</f>
        <v>0</v>
      </c>
      <c r="AY30" s="817">
        <f>AY29/AY28</f>
        <v>157.61940350373985</v>
      </c>
      <c r="BD30" s="142">
        <v>0</v>
      </c>
    </row>
    <row r="31" spans="1:56">
      <c r="S31" s="1058">
        <f>+S29-S30</f>
        <v>0</v>
      </c>
      <c r="T31" s="1058">
        <f t="shared" ref="T31:AT31" si="9">+T29-T30</f>
        <v>0</v>
      </c>
      <c r="U31" s="1058">
        <f t="shared" si="9"/>
        <v>0</v>
      </c>
      <c r="V31" s="1058">
        <f t="shared" si="9"/>
        <v>0</v>
      </c>
      <c r="W31" s="1058">
        <f t="shared" si="9"/>
        <v>0</v>
      </c>
      <c r="X31" s="1058">
        <f t="shared" si="9"/>
        <v>0</v>
      </c>
      <c r="Y31" s="1058">
        <f t="shared" si="9"/>
        <v>0</v>
      </c>
      <c r="Z31" s="1058">
        <f t="shared" si="9"/>
        <v>0</v>
      </c>
      <c r="AA31" s="1058">
        <f t="shared" si="9"/>
        <v>0</v>
      </c>
      <c r="AB31" s="1058">
        <f t="shared" si="9"/>
        <v>0</v>
      </c>
      <c r="AC31" s="1058">
        <f t="shared" si="9"/>
        <v>0</v>
      </c>
      <c r="AD31" s="1058">
        <f t="shared" si="9"/>
        <v>0</v>
      </c>
      <c r="AE31" s="1058">
        <f t="shared" si="9"/>
        <v>0</v>
      </c>
      <c r="AF31" s="1058">
        <f t="shared" si="9"/>
        <v>0</v>
      </c>
      <c r="AG31" s="1058">
        <f t="shared" si="9"/>
        <v>0</v>
      </c>
      <c r="AH31" s="1058">
        <f t="shared" si="9"/>
        <v>0</v>
      </c>
      <c r="AI31" s="1058">
        <f t="shared" si="9"/>
        <v>0</v>
      </c>
      <c r="AJ31" s="1058">
        <f t="shared" si="9"/>
        <v>0</v>
      </c>
      <c r="AK31" s="1058">
        <f t="shared" si="9"/>
        <v>0</v>
      </c>
      <c r="AL31" s="1058">
        <f t="shared" si="9"/>
        <v>0</v>
      </c>
      <c r="AM31" s="1058">
        <f t="shared" si="9"/>
        <v>0</v>
      </c>
      <c r="AN31" s="1058">
        <f>+AN29-AN30</f>
        <v>0</v>
      </c>
      <c r="AO31" s="1058">
        <f>+AO29-AO30</f>
        <v>0</v>
      </c>
      <c r="AP31" s="1058">
        <f t="shared" si="9"/>
        <v>0</v>
      </c>
      <c r="AQ31" s="1749">
        <f t="shared" si="9"/>
        <v>0</v>
      </c>
      <c r="AR31" s="1058">
        <f t="shared" si="9"/>
        <v>0</v>
      </c>
      <c r="AS31" s="1058">
        <f t="shared" si="9"/>
        <v>0</v>
      </c>
      <c r="AT31" s="1058">
        <f t="shared" si="9"/>
        <v>0</v>
      </c>
      <c r="AU31" s="1057">
        <f>SUM(S31:AT31)</f>
        <v>0</v>
      </c>
      <c r="AV31" s="817">
        <f>SUM('Summary Total Pigs'!AF89:AF91)</f>
        <v>4177</v>
      </c>
      <c r="AW31" s="1170"/>
      <c r="BD31" s="142">
        <v>0</v>
      </c>
    </row>
    <row r="32" spans="1:56" ht="15.6">
      <c r="A32" s="1066" t="s">
        <v>199</v>
      </c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817"/>
      <c r="AG32" s="817"/>
      <c r="AH32" s="817"/>
      <c r="AI32" s="817"/>
      <c r="AJ32" s="817"/>
      <c r="AK32" s="817"/>
      <c r="AL32" s="817"/>
      <c r="AM32" s="817"/>
      <c r="AN32" s="817"/>
      <c r="AO32" s="817"/>
      <c r="AP32" s="817"/>
      <c r="AQ32" s="817"/>
      <c r="AR32" s="817"/>
      <c r="AS32" s="817"/>
      <c r="AT32" s="817"/>
      <c r="AU32" s="817"/>
      <c r="AV32" s="817"/>
      <c r="AW32" s="818"/>
      <c r="AX32" s="817"/>
      <c r="AY32" s="817"/>
    </row>
    <row r="33" spans="1:56" ht="15.6">
      <c r="A33" s="142" t="s">
        <v>1803</v>
      </c>
      <c r="B33" s="818"/>
      <c r="C33" s="818"/>
      <c r="D33" s="818"/>
      <c r="E33" s="818"/>
      <c r="F33" s="818">
        <f>'[2]Villa Pig Cost'!B62</f>
        <v>2232.7354260089683</v>
      </c>
      <c r="G33" s="818">
        <f>'[2]Villa Pig Cost'!C62</f>
        <v>2232.7354260089683</v>
      </c>
      <c r="H33" s="818">
        <f>'[2]Villa Pig Cost'!D62</f>
        <v>2232.7354260089683</v>
      </c>
      <c r="I33" s="818">
        <f>'[2]Villa Pig Cost'!E62</f>
        <v>2232.7354260089683</v>
      </c>
      <c r="J33" s="818">
        <f>'[2]Villa Pig Cost'!F62</f>
        <v>2054.1165919282507</v>
      </c>
      <c r="K33" s="818">
        <f>'[2]Villa Pig Cost'!G62</f>
        <v>3796.941704035874</v>
      </c>
      <c r="L33" s="818">
        <f>'[2]Villa Pig Cost'!H62</f>
        <v>3796.941704035874</v>
      </c>
      <c r="M33" s="818">
        <f>'[2]Villa Pig Cost'!I62</f>
        <v>3796.941704035874</v>
      </c>
      <c r="N33" s="818">
        <f>'[2]Villa Pig Cost'!J62</f>
        <v>3796.941704035874</v>
      </c>
      <c r="O33" s="818">
        <f>'[2]Villa Pig Cost'!K62</f>
        <v>5297.7623318385649</v>
      </c>
      <c r="P33" s="818">
        <f>'[2]Villa Pig Cost'!L62</f>
        <v>5297.7623318385649</v>
      </c>
      <c r="Q33" s="818">
        <f>'[2]Villa Pig Cost'!M62</f>
        <v>5297.7623318385649</v>
      </c>
      <c r="R33" s="818">
        <f>'[2]Villa Pig Cost'!N62</f>
        <v>5744.3094170403583</v>
      </c>
      <c r="S33" s="818">
        <f>'[2]Villa Pig Cost'!O62</f>
        <v>7705.5784753363223</v>
      </c>
      <c r="T33" s="818">
        <f>'[2]Villa Pig Cost'!P62</f>
        <v>7705.5784753363223</v>
      </c>
      <c r="U33" s="818">
        <f>'[2]Villa Pig Cost'!Q62</f>
        <v>7705.5784753363223</v>
      </c>
      <c r="V33" s="818">
        <f>'[2]Villa Pig Cost'!R62</f>
        <v>9670.3856502242161</v>
      </c>
      <c r="W33" s="818">
        <f>'[2]Villa Pig Cost'!S62</f>
        <v>8664.2349995261302</v>
      </c>
      <c r="X33" s="818">
        <f>'[2]Villa Pig Cost'!T62</f>
        <v>12727.093958760704</v>
      </c>
      <c r="Y33" s="818">
        <f>'[2]Villa Pig Cost'!U62</f>
        <v>14524.685806288622</v>
      </c>
      <c r="Z33" s="818">
        <f>'[2]Villa Pig Cost'!V62</f>
        <v>7346.2398966682103</v>
      </c>
      <c r="AA33" s="818">
        <f>'[2]Villa Pig Cost'!W62</f>
        <v>5877.1335924407504</v>
      </c>
      <c r="AB33" s="818">
        <f>'[2]Villa Pig Cost'!X62</f>
        <v>11883.648073656477</v>
      </c>
      <c r="AC33" s="818">
        <f>'[2]Villa Pig Cost'!Y62</f>
        <v>17893.477643473921</v>
      </c>
      <c r="AD33" s="818">
        <f>'[2]Villa Pig Cost'!Z62</f>
        <v>19015.522580923622</v>
      </c>
      <c r="AE33" s="818">
        <f>'[2]Villa Pig Cost'!AA62</f>
        <v>16448.240269012451</v>
      </c>
      <c r="AF33" s="818">
        <f>'[2]Villa Pig Cost'!AB62</f>
        <v>13110.052557278563</v>
      </c>
      <c r="AG33" s="818">
        <f>'[2]Villa Pig Cost'!AC62</f>
        <v>17940.9176727997</v>
      </c>
      <c r="AH33" s="818">
        <f>'[2]Villa Pig Cost'!AD62</f>
        <v>31156.382108887919</v>
      </c>
      <c r="AI33" s="818">
        <f>'[2]Villa Pig Cost'!AE62</f>
        <v>31084.044715062144</v>
      </c>
      <c r="AJ33" s="818">
        <f>'[2]Villa Pig Cost'!AF62</f>
        <v>33304.512418390761</v>
      </c>
      <c r="AK33" s="818">
        <f>'[2]Villa Pig Cost'!AG62</f>
        <v>36474.984852637812</v>
      </c>
      <c r="AL33" s="818">
        <f>'[2]Villa Pig Cost'!AH62</f>
        <v>38833.822557355787</v>
      </c>
      <c r="AM33" s="818">
        <f>'[2]Villa Pig Cost'!AI62</f>
        <v>46243.070424345024</v>
      </c>
      <c r="AN33" s="818">
        <f>'[2]Villa Pig Cost'!AJ62</f>
        <v>36288.057477391769</v>
      </c>
      <c r="AO33" s="818">
        <f>'[2]Villa Pig Cost'!AK62</f>
        <v>50619.792227298261</v>
      </c>
      <c r="AP33" s="818">
        <f>'[2]Villa Pig Cost'!AL62</f>
        <v>57291.956766210693</v>
      </c>
      <c r="AQ33" s="818">
        <f>'[2]Villa Pig Cost'!AM62</f>
        <v>68090.44583340922</v>
      </c>
      <c r="AR33" s="818">
        <f>'[2]Villa Pig Cost'!AN62</f>
        <v>60960.982440773252</v>
      </c>
      <c r="AS33" s="818">
        <f>'[2]Villa Pig Cost'!AO62</f>
        <v>36216.434917285733</v>
      </c>
      <c r="AT33" s="818">
        <f>'[2]Villa Pig Cost'!AP62</f>
        <v>3713.8168374756278</v>
      </c>
      <c r="AU33" s="1057">
        <f>SUM(B33:AT33)</f>
        <v>756307.09322825016</v>
      </c>
      <c r="AV33" s="818">
        <f>'[2]Villa Pig Cost'!AU62</f>
        <v>756307.09322825016</v>
      </c>
      <c r="AW33" s="1772">
        <f>+AU33-AV33</f>
        <v>0</v>
      </c>
      <c r="AY33" s="142">
        <f>AV33/AV7</f>
        <v>172.83068858049592</v>
      </c>
      <c r="BD33" s="1797">
        <v>379257.11445347406</v>
      </c>
    </row>
    <row r="34" spans="1:56" ht="15.6">
      <c r="A34" s="1066" t="s">
        <v>212</v>
      </c>
      <c r="S34" s="817"/>
      <c r="T34" s="817"/>
      <c r="U34" s="817"/>
      <c r="V34" s="817"/>
      <c r="W34" s="817">
        <f>-V35</f>
        <v>0</v>
      </c>
      <c r="X34" s="817">
        <f>-W35</f>
        <v>0</v>
      </c>
      <c r="Y34" s="817">
        <f>-X35</f>
        <v>0</v>
      </c>
      <c r="Z34" s="817">
        <f>-Y35</f>
        <v>0</v>
      </c>
      <c r="AA34" s="817"/>
      <c r="AB34" s="817"/>
      <c r="AC34" s="817"/>
      <c r="AD34" s="817"/>
      <c r="AE34" s="817"/>
      <c r="AF34" s="817"/>
      <c r="AG34" s="817"/>
      <c r="AH34" s="817"/>
      <c r="AI34" s="817"/>
      <c r="AJ34" s="817"/>
      <c r="AK34" s="817"/>
      <c r="AL34" s="817"/>
      <c r="AM34" s="817"/>
      <c r="AN34" s="817"/>
      <c r="AO34" s="817">
        <f>-AS35</f>
        <v>0</v>
      </c>
      <c r="AP34" s="817"/>
      <c r="AQ34" s="817"/>
      <c r="AR34" s="817"/>
      <c r="AS34" s="817">
        <f>-AT35</f>
        <v>0</v>
      </c>
      <c r="AT34" s="817"/>
      <c r="AU34" s="807">
        <f>IFERROR(SUM(B34:AT34),0)</f>
        <v>0</v>
      </c>
      <c r="AW34" s="818"/>
      <c r="AY34" s="142">
        <f>AU62/AU30</f>
        <v>167.61267429422603</v>
      </c>
    </row>
    <row r="35" spans="1:56" ht="15.6">
      <c r="A35" s="1066" t="s">
        <v>1788</v>
      </c>
      <c r="S35" s="817"/>
      <c r="T35" s="817"/>
      <c r="U35" s="817"/>
      <c r="V35" s="817">
        <f>V33/V8*V10</f>
        <v>0</v>
      </c>
      <c r="W35" s="817">
        <f>W33/SUM(W8:W9)*W10</f>
        <v>0</v>
      </c>
      <c r="X35" s="817">
        <f>X33/SUM(X7:X8)*X10</f>
        <v>0</v>
      </c>
      <c r="Y35" s="817">
        <f>Y33/Y7*Y10</f>
        <v>0</v>
      </c>
      <c r="Z35" s="817"/>
      <c r="AA35" s="817"/>
      <c r="AB35" s="817"/>
      <c r="AC35" s="817"/>
      <c r="AD35" s="817"/>
      <c r="AE35" s="817"/>
      <c r="AF35" s="817"/>
      <c r="AG35" s="817"/>
      <c r="AH35" s="817"/>
      <c r="AI35" s="817"/>
      <c r="AJ35" s="817"/>
      <c r="AK35" s="817"/>
      <c r="AL35" s="817"/>
      <c r="AM35" s="817"/>
      <c r="AN35" s="817"/>
      <c r="AO35" s="817"/>
      <c r="AP35" s="817"/>
      <c r="AQ35" s="817"/>
      <c r="AR35" s="817"/>
      <c r="AS35" s="817">
        <v>0</v>
      </c>
      <c r="AT35" s="817">
        <f>IFERROR(AT33/AT7*AT10,0)</f>
        <v>0</v>
      </c>
      <c r="AU35" s="807">
        <f>IFERROR(SUM(B35:AT35),0)</f>
        <v>0</v>
      </c>
      <c r="AW35" s="818"/>
      <c r="AY35" s="142">
        <f>AY34/AY33-1</f>
        <v>-3.0191480049792219E-2</v>
      </c>
    </row>
    <row r="36" spans="1:56" ht="15.6">
      <c r="A36" s="1059" t="s">
        <v>1804</v>
      </c>
      <c r="B36" s="818">
        <f>IFERROR(SUM(B33:B35),0)</f>
        <v>0</v>
      </c>
      <c r="C36" s="818">
        <f t="shared" ref="C36:AT36" si="10">IFERROR(SUM(C33:C35),0)</f>
        <v>0</v>
      </c>
      <c r="D36" s="818">
        <f t="shared" si="10"/>
        <v>0</v>
      </c>
      <c r="E36" s="818">
        <f t="shared" si="10"/>
        <v>0</v>
      </c>
      <c r="F36" s="818">
        <f t="shared" si="10"/>
        <v>2232.7354260089683</v>
      </c>
      <c r="G36" s="818">
        <f t="shared" si="10"/>
        <v>2232.7354260089683</v>
      </c>
      <c r="H36" s="818">
        <f t="shared" si="10"/>
        <v>2232.7354260089683</v>
      </c>
      <c r="I36" s="818">
        <f t="shared" si="10"/>
        <v>2232.7354260089683</v>
      </c>
      <c r="J36" s="818">
        <f t="shared" si="10"/>
        <v>2054.1165919282507</v>
      </c>
      <c r="K36" s="818">
        <f t="shared" si="10"/>
        <v>3796.941704035874</v>
      </c>
      <c r="L36" s="818">
        <f t="shared" si="10"/>
        <v>3796.941704035874</v>
      </c>
      <c r="M36" s="818">
        <f t="shared" si="10"/>
        <v>3796.941704035874</v>
      </c>
      <c r="N36" s="818">
        <f t="shared" si="10"/>
        <v>3796.941704035874</v>
      </c>
      <c r="O36" s="818">
        <f t="shared" si="10"/>
        <v>5297.7623318385649</v>
      </c>
      <c r="P36" s="818">
        <f t="shared" si="10"/>
        <v>5297.7623318385649</v>
      </c>
      <c r="Q36" s="818">
        <f t="shared" si="10"/>
        <v>5297.7623318385649</v>
      </c>
      <c r="R36" s="818">
        <f t="shared" si="10"/>
        <v>5744.3094170403583</v>
      </c>
      <c r="S36" s="818">
        <f t="shared" si="10"/>
        <v>7705.5784753363223</v>
      </c>
      <c r="T36" s="818">
        <f t="shared" si="10"/>
        <v>7705.5784753363223</v>
      </c>
      <c r="U36" s="818">
        <f t="shared" si="10"/>
        <v>7705.5784753363223</v>
      </c>
      <c r="V36" s="818">
        <f t="shared" si="10"/>
        <v>9670.3856502242161</v>
      </c>
      <c r="W36" s="818">
        <f t="shared" si="10"/>
        <v>8664.2349995261302</v>
      </c>
      <c r="X36" s="818">
        <f t="shared" si="10"/>
        <v>12727.093958760704</v>
      </c>
      <c r="Y36" s="818">
        <f t="shared" si="10"/>
        <v>14524.685806288622</v>
      </c>
      <c r="Z36" s="818">
        <f t="shared" si="10"/>
        <v>7346.2398966682103</v>
      </c>
      <c r="AA36" s="818">
        <f t="shared" si="10"/>
        <v>5877.1335924407504</v>
      </c>
      <c r="AB36" s="818">
        <f t="shared" si="10"/>
        <v>11883.648073656477</v>
      </c>
      <c r="AC36" s="818">
        <f t="shared" si="10"/>
        <v>17893.477643473921</v>
      </c>
      <c r="AD36" s="818">
        <f t="shared" si="10"/>
        <v>19015.522580923622</v>
      </c>
      <c r="AE36" s="818">
        <f t="shared" si="10"/>
        <v>16448.240269012451</v>
      </c>
      <c r="AF36" s="818">
        <f t="shared" si="10"/>
        <v>13110.052557278563</v>
      </c>
      <c r="AG36" s="818">
        <f t="shared" si="10"/>
        <v>17940.9176727997</v>
      </c>
      <c r="AH36" s="818">
        <f t="shared" si="10"/>
        <v>31156.382108887919</v>
      </c>
      <c r="AI36" s="818">
        <f t="shared" si="10"/>
        <v>31084.044715062144</v>
      </c>
      <c r="AJ36" s="818">
        <f t="shared" si="10"/>
        <v>33304.512418390761</v>
      </c>
      <c r="AK36" s="818">
        <f t="shared" si="10"/>
        <v>36474.984852637812</v>
      </c>
      <c r="AL36" s="818">
        <f t="shared" si="10"/>
        <v>38833.822557355787</v>
      </c>
      <c r="AM36" s="818">
        <f t="shared" si="10"/>
        <v>46243.070424345024</v>
      </c>
      <c r="AN36" s="818">
        <f t="shared" si="10"/>
        <v>36288.057477391769</v>
      </c>
      <c r="AO36" s="818">
        <f>IFERROR(SUM(AO33:AO35),0)</f>
        <v>50619.792227298261</v>
      </c>
      <c r="AP36" s="818">
        <f>IFERROR(SUM(AP33:AP35),0)</f>
        <v>57291.956766210693</v>
      </c>
      <c r="AQ36" s="818">
        <f t="shared" si="10"/>
        <v>68090.44583340922</v>
      </c>
      <c r="AR36" s="818">
        <f t="shared" si="10"/>
        <v>60960.982440773252</v>
      </c>
      <c r="AS36" s="818">
        <f t="shared" si="10"/>
        <v>36216.434917285733</v>
      </c>
      <c r="AT36" s="818">
        <f t="shared" si="10"/>
        <v>3713.8168374756278</v>
      </c>
      <c r="AU36" s="818">
        <f>IFERROR(SUM(AU33:AU35),0)</f>
        <v>756307.09322825016</v>
      </c>
      <c r="AV36" s="817"/>
      <c r="AW36" s="1772"/>
      <c r="AY36" s="1992">
        <f>AY34/AY33-1</f>
        <v>-3.0191480049792219E-2</v>
      </c>
      <c r="BD36" s="142">
        <v>379257.11445347406</v>
      </c>
    </row>
    <row r="37" spans="1:56" ht="15.6">
      <c r="A37" s="1059" t="s">
        <v>1805</v>
      </c>
      <c r="B37" s="818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>
        <f>IFERROR(S36/S11,0)</f>
        <v>55.83752518359654</v>
      </c>
      <c r="T37" s="818">
        <f t="shared" ref="T37:AM37" si="11">IFERROR(T36/T11,0)</f>
        <v>27.618560843499363</v>
      </c>
      <c r="U37" s="818">
        <f t="shared" si="11"/>
        <v>23.930367935827089</v>
      </c>
      <c r="V37" s="818">
        <f t="shared" si="11"/>
        <v>30.699636984838783</v>
      </c>
      <c r="W37" s="818">
        <f t="shared" si="11"/>
        <v>32.209052042848064</v>
      </c>
      <c r="X37" s="818">
        <f t="shared" si="11"/>
        <v>44.191298467919111</v>
      </c>
      <c r="Y37" s="818">
        <f t="shared" si="11"/>
        <v>52.247071245642523</v>
      </c>
      <c r="Z37" s="818">
        <f t="shared" si="11"/>
        <v>25.072491114908569</v>
      </c>
      <c r="AA37" s="818">
        <f t="shared" si="11"/>
        <v>32.833148561121511</v>
      </c>
      <c r="AB37" s="818">
        <f t="shared" si="11"/>
        <v>76.668697249396629</v>
      </c>
      <c r="AC37" s="818">
        <f t="shared" si="11"/>
        <v>92.71231939623793</v>
      </c>
      <c r="AD37" s="818">
        <f t="shared" si="11"/>
        <v>97.017972351651125</v>
      </c>
      <c r="AE37" s="818">
        <f t="shared" si="11"/>
        <v>88.909406859526769</v>
      </c>
      <c r="AF37" s="818">
        <f t="shared" si="11"/>
        <v>72.431229598224107</v>
      </c>
      <c r="AG37" s="818">
        <f t="shared" si="11"/>
        <v>102.51952955885542</v>
      </c>
      <c r="AH37" s="818">
        <f t="shared" si="11"/>
        <v>179.0596672924593</v>
      </c>
      <c r="AI37" s="818">
        <f t="shared" si="11"/>
        <v>180.72119020384969</v>
      </c>
      <c r="AJ37" s="818">
        <f t="shared" si="11"/>
        <v>182.99182647467453</v>
      </c>
      <c r="AK37" s="818">
        <f t="shared" si="11"/>
        <v>223.77291320636695</v>
      </c>
      <c r="AL37" s="818">
        <f t="shared" si="11"/>
        <v>212.20668064128844</v>
      </c>
      <c r="AM37" s="818">
        <f t="shared" si="11"/>
        <v>254.08280452936827</v>
      </c>
      <c r="AN37" s="818">
        <f t="shared" ref="AN37:AU37" si="12">IFERROR(AN36/AN11,0)</f>
        <v>241.9203831826118</v>
      </c>
      <c r="AO37" s="818">
        <f t="shared" si="12"/>
        <v>290.91834613389807</v>
      </c>
      <c r="AP37" s="818">
        <f t="shared" si="12"/>
        <v>298.39560815734734</v>
      </c>
      <c r="AQ37" s="818">
        <f t="shared" si="12"/>
        <v>366.07766577101734</v>
      </c>
      <c r="AR37" s="818">
        <f t="shared" si="12"/>
        <v>354.42431651612355</v>
      </c>
      <c r="AS37" s="818">
        <f t="shared" si="12"/>
        <v>219.49354495324687</v>
      </c>
      <c r="AT37" s="818">
        <f t="shared" si="12"/>
        <v>265.27263124825913</v>
      </c>
      <c r="AU37" s="818">
        <f t="shared" si="12"/>
        <v>136.14889167025206</v>
      </c>
      <c r="AV37" s="817"/>
      <c r="AW37" s="1772"/>
      <c r="BD37" s="142">
        <v>54179.587779067726</v>
      </c>
    </row>
    <row r="38" spans="1:56" ht="15.6">
      <c r="B38" s="818"/>
      <c r="C38" s="818"/>
      <c r="D38" s="818"/>
      <c r="E38" s="818"/>
      <c r="F38" s="818"/>
      <c r="G38" s="818"/>
      <c r="H38" s="818"/>
      <c r="I38" s="818"/>
      <c r="J38" s="818"/>
      <c r="K38" s="818"/>
      <c r="L38" s="818"/>
      <c r="M38" s="818"/>
      <c r="N38" s="818"/>
      <c r="O38" s="818"/>
      <c r="P38" s="818"/>
      <c r="Q38" s="818"/>
      <c r="R38" s="818"/>
      <c r="S38" s="818"/>
      <c r="T38" s="818"/>
      <c r="U38" s="818"/>
      <c r="V38" s="818"/>
      <c r="W38" s="818"/>
      <c r="X38" s="818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  <c r="AI38" s="818"/>
      <c r="AJ38" s="818"/>
      <c r="AK38" s="818"/>
      <c r="AL38" s="818"/>
      <c r="AM38" s="818"/>
      <c r="AN38" s="818"/>
      <c r="AO38" s="818"/>
      <c r="AP38" s="818"/>
      <c r="AQ38" s="818"/>
      <c r="AR38" s="818"/>
      <c r="AS38" s="818"/>
      <c r="AT38" s="818"/>
      <c r="AU38" s="1057"/>
      <c r="AV38" s="817"/>
      <c r="AW38" s="1772"/>
    </row>
    <row r="39" spans="1:56" ht="15.6">
      <c r="A39" s="1687" t="s">
        <v>1806</v>
      </c>
      <c r="B39" s="1318">
        <f t="shared" ref="B39:AT39" si="13">IFERROR(B36+SUM(B45:B56),0)</f>
        <v>0</v>
      </c>
      <c r="C39" s="1318">
        <f t="shared" si="13"/>
        <v>0</v>
      </c>
      <c r="D39" s="1318">
        <f t="shared" si="13"/>
        <v>0</v>
      </c>
      <c r="E39" s="1318">
        <f t="shared" si="13"/>
        <v>0</v>
      </c>
      <c r="F39" s="1318">
        <f t="shared" si="13"/>
        <v>2232.7354260089683</v>
      </c>
      <c r="G39" s="1318">
        <f t="shared" si="13"/>
        <v>2232.7354260089683</v>
      </c>
      <c r="H39" s="1318">
        <f t="shared" si="13"/>
        <v>2232.7354260089683</v>
      </c>
      <c r="I39" s="1318">
        <f t="shared" si="13"/>
        <v>2232.7354260089683</v>
      </c>
      <c r="J39" s="1318">
        <f t="shared" si="13"/>
        <v>2054.1165919282507</v>
      </c>
      <c r="K39" s="1318">
        <f t="shared" si="13"/>
        <v>3796.941704035874</v>
      </c>
      <c r="L39" s="1318">
        <f t="shared" si="13"/>
        <v>3796.941704035874</v>
      </c>
      <c r="M39" s="1318">
        <f t="shared" si="13"/>
        <v>3796.941704035874</v>
      </c>
      <c r="N39" s="1318">
        <f t="shared" si="13"/>
        <v>3796.941704035874</v>
      </c>
      <c r="O39" s="1318">
        <f t="shared" si="13"/>
        <v>5297.7623318385649</v>
      </c>
      <c r="P39" s="1318">
        <f t="shared" si="13"/>
        <v>5297.7623318385649</v>
      </c>
      <c r="Q39" s="1318">
        <f t="shared" si="13"/>
        <v>5297.7623318385649</v>
      </c>
      <c r="R39" s="1318">
        <f t="shared" si="13"/>
        <v>5744.3094170403583</v>
      </c>
      <c r="S39" s="1317">
        <f t="shared" si="13"/>
        <v>7705.5784753363223</v>
      </c>
      <c r="T39" s="1317">
        <f t="shared" si="13"/>
        <v>7705.5784753363223</v>
      </c>
      <c r="U39" s="1317">
        <f t="shared" si="13"/>
        <v>7705.5784753363223</v>
      </c>
      <c r="V39" s="1319">
        <f t="shared" si="13"/>
        <v>9670.3856502242161</v>
      </c>
      <c r="W39" s="1319">
        <f t="shared" si="13"/>
        <v>5765.420315669804</v>
      </c>
      <c r="X39" s="1060">
        <f t="shared" si="13"/>
        <v>8307.9641119687931</v>
      </c>
      <c r="Y39" s="1060">
        <f t="shared" si="13"/>
        <v>8777.5079692679446</v>
      </c>
      <c r="Z39" s="1551">
        <f t="shared" si="13"/>
        <v>3836.0911405810107</v>
      </c>
      <c r="AA39" s="1551">
        <f t="shared" si="13"/>
        <v>5877.1335924407504</v>
      </c>
      <c r="AB39" s="1551">
        <f t="shared" si="13"/>
        <v>11883.648073656477</v>
      </c>
      <c r="AC39" s="1551">
        <f t="shared" si="13"/>
        <v>17893.477643473921</v>
      </c>
      <c r="AD39" s="1320">
        <f t="shared" si="13"/>
        <v>19112.540553275274</v>
      </c>
      <c r="AE39" s="1320">
        <f t="shared" si="13"/>
        <v>16448.240269012451</v>
      </c>
      <c r="AF39" s="1553">
        <f t="shared" si="13"/>
        <v>13110.052557278563</v>
      </c>
      <c r="AG39" s="1553">
        <f t="shared" si="13"/>
        <v>17940.9176727997</v>
      </c>
      <c r="AH39" s="1554">
        <f t="shared" si="13"/>
        <v>31156.382108887919</v>
      </c>
      <c r="AI39" s="1554">
        <f t="shared" si="13"/>
        <v>31084.044715062144</v>
      </c>
      <c r="AJ39" s="1554">
        <f>IFERROR(AJ36+SUM(AJ45:AJ56),0)</f>
        <v>33304.512418390761</v>
      </c>
      <c r="AK39" s="1552">
        <f t="shared" si="13"/>
        <v>36474.984852637812</v>
      </c>
      <c r="AL39" s="1552">
        <f t="shared" si="13"/>
        <v>38833.822557355787</v>
      </c>
      <c r="AM39" s="1552">
        <f t="shared" si="13"/>
        <v>46243.070424345024</v>
      </c>
      <c r="AN39" s="1552">
        <f t="shared" si="13"/>
        <v>36288.057477391769</v>
      </c>
      <c r="AO39" s="1799">
        <f>IFERROR(AO36+SUM(AO45:AO56),0)</f>
        <v>50619.792227298261</v>
      </c>
      <c r="AP39" s="818">
        <f>IFERROR(AP36+SUM(AP45:AP56),0)</f>
        <v>57291.956766210693</v>
      </c>
      <c r="AQ39" s="818">
        <f t="shared" si="13"/>
        <v>68090.44583340922</v>
      </c>
      <c r="AR39" s="818">
        <f t="shared" si="13"/>
        <v>60960.982440773252</v>
      </c>
      <c r="AS39" s="818">
        <f t="shared" si="13"/>
        <v>36216.434917285733</v>
      </c>
      <c r="AT39" s="818">
        <f t="shared" si="13"/>
        <v>3713.8168374756278</v>
      </c>
      <c r="AU39" s="807">
        <f>IFERROR(AU36+SUM(AU45:AU56),0)</f>
        <v>739828.84007684572</v>
      </c>
      <c r="AV39" s="817"/>
      <c r="AW39" s="1772"/>
      <c r="AY39" s="817">
        <f>SUM(S29:AO29)</f>
        <v>4177</v>
      </c>
      <c r="BD39" s="142">
        <v>379257.11445347406</v>
      </c>
    </row>
    <row r="40" spans="1:56" ht="15.6">
      <c r="A40" s="1066" t="s">
        <v>1807</v>
      </c>
      <c r="B40" s="1318">
        <f t="shared" ref="B40:R40" si="14">B76*$B$68</f>
        <v>1741.0313901345291</v>
      </c>
      <c r="C40" s="1318">
        <f t="shared" si="14"/>
        <v>1741.0313901345291</v>
      </c>
      <c r="D40" s="1318">
        <f t="shared" si="14"/>
        <v>1741.0313901345291</v>
      </c>
      <c r="E40" s="1318">
        <f t="shared" si="14"/>
        <v>1741.0313901345291</v>
      </c>
      <c r="F40" s="1318">
        <f t="shared" si="14"/>
        <v>1601.7488789237666</v>
      </c>
      <c r="G40" s="1318">
        <f t="shared" si="14"/>
        <v>1601.7488789237666</v>
      </c>
      <c r="H40" s="1318">
        <f t="shared" si="14"/>
        <v>1601.7488789237666</v>
      </c>
      <c r="I40" s="1318">
        <f t="shared" si="14"/>
        <v>1601.7488789237666</v>
      </c>
      <c r="J40" s="1318">
        <f t="shared" si="14"/>
        <v>1601.7488789237666</v>
      </c>
      <c r="K40" s="1318">
        <f t="shared" si="14"/>
        <v>1601.7488789237666</v>
      </c>
      <c r="L40" s="1318">
        <f t="shared" si="14"/>
        <v>1601.7488789237666</v>
      </c>
      <c r="M40" s="1318">
        <f t="shared" si="14"/>
        <v>1601.7488789237666</v>
      </c>
      <c r="N40" s="1318">
        <f t="shared" si="14"/>
        <v>1949.9551569506727</v>
      </c>
      <c r="O40" s="1318">
        <f t="shared" si="14"/>
        <v>1949.9551569506727</v>
      </c>
      <c r="P40" s="1318">
        <f t="shared" si="14"/>
        <v>1949.9551569506727</v>
      </c>
      <c r="Q40" s="1318">
        <f t="shared" si="14"/>
        <v>1949.9551569506727</v>
      </c>
      <c r="R40" s="1318">
        <f t="shared" si="14"/>
        <v>3482.0627802690583</v>
      </c>
      <c r="S40" s="1317">
        <f>S76*$D$68</f>
        <v>3068.516129032258</v>
      </c>
      <c r="T40" s="1317">
        <f>T76*$D$68</f>
        <v>5625.6129032258059</v>
      </c>
      <c r="U40" s="1317">
        <f>U76*$D$68</f>
        <v>7159.8709677419356</v>
      </c>
      <c r="V40" s="1319">
        <f>V76*'Feed Cost &amp; Allocation'!B74+V76*SUM('Feed Cost &amp; Allocation'!Y74:Z74)</f>
        <v>183.45943800355457</v>
      </c>
      <c r="W40" s="1319">
        <f>W76*'Feed Cost &amp; Allocation'!B74+W76*SUM('Feed Cost &amp; Allocation'!Y74:Z74)</f>
        <v>66.540561996445433</v>
      </c>
      <c r="X40" s="1060">
        <f>X76*$F$68</f>
        <v>4549.8022598870057</v>
      </c>
      <c r="Y40" s="1060">
        <f>Y76*$F$68</f>
        <v>4760.1977401129943</v>
      </c>
      <c r="Z40" s="1551">
        <f>Z7/(Z7+AA7+AB7+AC7)*('Feed Cost &amp; Allocation'!D74+'Feed Cost &amp; Allocation'!E74)</f>
        <v>10216.05243902439</v>
      </c>
      <c r="AA40" s="1551">
        <f>AA7/(Z7+AA7+AB7+AC7)*('Feed Cost &amp; Allocation'!D74+'Feed Cost &amp; Allocation'!E74)</f>
        <v>6241.2060975609756</v>
      </c>
      <c r="AB40" s="1551">
        <f>AB7/(AA7+AB7+AC7+Z7)*('Feed Cost &amp; Allocation'!D74+'Feed Cost &amp; Allocation'!E74)</f>
        <v>5404.3963414634145</v>
      </c>
      <c r="AC40" s="1551">
        <f>AC7/(AB7+AC7+AA7+Z7)*('Feed Cost &amp; Allocation'!D74+'Feed Cost &amp; Allocation'!E74)</f>
        <v>6729.345121951219</v>
      </c>
      <c r="AD40" s="1320">
        <f>(AD7/(AD7+AE7))*'Feed Cost &amp; Allocation'!F74</f>
        <v>10365.364829396327</v>
      </c>
      <c r="AE40" s="1320">
        <f>'Feed Cost &amp; Allocation'!F74-AD40</f>
        <v>9783.635170603673</v>
      </c>
      <c r="AF40" s="1553">
        <f>AF7/(AF7+AG7)*'Feed Cost &amp; Allocation'!G74</f>
        <v>12183.435393258425</v>
      </c>
      <c r="AG40" s="1553">
        <f>AG7/(AF7+AG7)*'Feed Cost &amp; Allocation'!G74</f>
        <v>11779.564606741573</v>
      </c>
      <c r="AH40" s="1554">
        <f>AH7/(AH7+AI7+AJ7)*'Feed Cost &amp; Allocation'!H74</f>
        <v>12936.965909090908</v>
      </c>
      <c r="AI40" s="1554">
        <f>AI7/(AH7+AJ7+AI7)*'Feed Cost &amp; Allocation'!H74</f>
        <v>12788.265151515152</v>
      </c>
      <c r="AJ40" s="1554">
        <f>AJ7/(AH7+AJ7+AI7)*'Feed Cost &amp; Allocation'!H74</f>
        <v>13531.76893939394</v>
      </c>
      <c r="AK40" s="1552">
        <f>AK7/(AK7+AL7+AM7+AN7)*('Feed Cost &amp; Allocation'!J74+'Feed Cost &amp; Allocation'!AL74)</f>
        <v>15213.814159292036</v>
      </c>
      <c r="AL40" s="1552">
        <f>AL7/(AL7+AK7+AM7+AN7)*('Feed Cost &amp; Allocation'!J74+'Feed Cost &amp; Allocation'!AL74)</f>
        <v>17080.539823008847</v>
      </c>
      <c r="AM40" s="1552">
        <f>+AM7/(AK7+AL7+AM7+AN7)*('Feed Cost &amp; Allocation'!J74+'Feed Cost &amp; Allocation'!AL74)</f>
        <v>16987.203539823011</v>
      </c>
      <c r="AN40" s="1552">
        <f>+AN7/(AK7+AL7+AM7+AN7)*('Feed Cost &amp; Allocation'!J74+'Feed Cost &amp; Allocation'!AL74)</f>
        <v>14000.442477876108</v>
      </c>
      <c r="AO40" s="1799"/>
      <c r="AP40" s="1799"/>
      <c r="AQ40" s="1799"/>
      <c r="AR40" s="1799"/>
      <c r="AS40" s="818"/>
      <c r="AT40" s="818">
        <v>0</v>
      </c>
      <c r="AU40" s="807">
        <f>SUM(B40:AT40)</f>
        <v>231716.00000000003</v>
      </c>
      <c r="AV40" s="1199">
        <f>+AU40-'Feed Cost &amp; Allocation'!AY74+'Feed Cost &amp; Allocation'!R74+'Feed Cost &amp; Allocation'!Q74+'Feed Cost &amp; Allocation'!P74+'Feed Cost &amp; Allocation'!W74+'Feed Cost &amp; Allocation'!X74+'Feed Cost &amp; Allocation'!AB74-F67</f>
        <v>2.9103830456733704E-11</v>
      </c>
      <c r="AW40" s="1088">
        <f>+'Feed Cost &amp; Allocation'!P74+'Feed Cost &amp; Allocation'!Q74+'Feed Cost &amp; Allocation'!R74+'Feed Cost &amp; Allocation'!W74+'Feed Cost &amp; Allocation'!X74+'Feed Cost &amp; Allocation'!AB74-'Villa Pig Cost'!F67</f>
        <v>9067</v>
      </c>
      <c r="AX40" s="818">
        <f>'Feed Cost &amp; Allocation'!AY74-'Villa Pig Cost'!AU40</f>
        <v>9066.9999999999709</v>
      </c>
      <c r="AY40" s="817">
        <f>SUM(S62:AO62)</f>
        <v>621247.71900231845</v>
      </c>
    </row>
    <row r="41" spans="1:56" ht="15.6">
      <c r="A41" s="1790" t="s">
        <v>1808</v>
      </c>
      <c r="B41" s="1318">
        <f>IFERROR(SUM(B39:B40),0)</f>
        <v>1741.0313901345291</v>
      </c>
      <c r="C41" s="1318">
        <f t="shared" ref="C41:AU41" si="15">IFERROR(SUM(C39:C40),0)</f>
        <v>1741.0313901345291</v>
      </c>
      <c r="D41" s="1318">
        <f t="shared" si="15"/>
        <v>1741.0313901345291</v>
      </c>
      <c r="E41" s="1318">
        <f t="shared" si="15"/>
        <v>1741.0313901345291</v>
      </c>
      <c r="F41" s="1318">
        <f t="shared" si="15"/>
        <v>3834.4843049327346</v>
      </c>
      <c r="G41" s="1318">
        <f t="shared" si="15"/>
        <v>3834.4843049327346</v>
      </c>
      <c r="H41" s="1318">
        <f t="shared" si="15"/>
        <v>3834.4843049327346</v>
      </c>
      <c r="I41" s="1318">
        <f t="shared" si="15"/>
        <v>3834.4843049327346</v>
      </c>
      <c r="J41" s="1318">
        <f t="shared" si="15"/>
        <v>3655.8654708520171</v>
      </c>
      <c r="K41" s="1318">
        <f t="shared" si="15"/>
        <v>5398.6905829596408</v>
      </c>
      <c r="L41" s="1318">
        <f t="shared" si="15"/>
        <v>5398.6905829596408</v>
      </c>
      <c r="M41" s="1318">
        <f t="shared" si="15"/>
        <v>5398.6905829596408</v>
      </c>
      <c r="N41" s="1318">
        <f t="shared" si="15"/>
        <v>5746.8968609865469</v>
      </c>
      <c r="O41" s="1318">
        <f t="shared" si="15"/>
        <v>7247.7174887892379</v>
      </c>
      <c r="P41" s="1318">
        <f t="shared" si="15"/>
        <v>7247.7174887892379</v>
      </c>
      <c r="Q41" s="1318">
        <f t="shared" si="15"/>
        <v>7247.7174887892379</v>
      </c>
      <c r="R41" s="1318">
        <f t="shared" si="15"/>
        <v>9226.3721973094162</v>
      </c>
      <c r="S41" s="1317">
        <f t="shared" si="15"/>
        <v>10774.09460436858</v>
      </c>
      <c r="T41" s="1317">
        <f t="shared" si="15"/>
        <v>13331.191378562129</v>
      </c>
      <c r="U41" s="1317">
        <f t="shared" si="15"/>
        <v>14865.449443078258</v>
      </c>
      <c r="V41" s="1319">
        <f t="shared" si="15"/>
        <v>9853.8450882277702</v>
      </c>
      <c r="W41" s="1319">
        <f t="shared" si="15"/>
        <v>5831.9608776662499</v>
      </c>
      <c r="X41" s="1060">
        <f t="shared" si="15"/>
        <v>12857.7663718558</v>
      </c>
      <c r="Y41" s="1060">
        <f t="shared" si="15"/>
        <v>13537.705709380938</v>
      </c>
      <c r="Z41" s="1551">
        <f t="shared" si="15"/>
        <v>14052.143579605401</v>
      </c>
      <c r="AA41" s="1551">
        <f>IFERROR(SUM(AA39:AA40),0)</f>
        <v>12118.339690001725</v>
      </c>
      <c r="AB41" s="1551">
        <f t="shared" si="15"/>
        <v>17288.04441511989</v>
      </c>
      <c r="AC41" s="1551">
        <f t="shared" si="15"/>
        <v>24622.822765425139</v>
      </c>
      <c r="AD41" s="1320">
        <f t="shared" si="15"/>
        <v>29477.905382671601</v>
      </c>
      <c r="AE41" s="1320">
        <f t="shared" si="15"/>
        <v>26231.875439616124</v>
      </c>
      <c r="AF41" s="1553">
        <f t="shared" si="15"/>
        <v>25293.48795053699</v>
      </c>
      <c r="AG41" s="1553">
        <f t="shared" si="15"/>
        <v>29720.482279541273</v>
      </c>
      <c r="AH41" s="1554">
        <f t="shared" si="15"/>
        <v>44093.348017978831</v>
      </c>
      <c r="AI41" s="1554">
        <f t="shared" si="15"/>
        <v>43872.3098665773</v>
      </c>
      <c r="AJ41" s="1554">
        <f t="shared" si="15"/>
        <v>46836.281357784697</v>
      </c>
      <c r="AK41" s="1552">
        <f t="shared" si="15"/>
        <v>51688.799011929848</v>
      </c>
      <c r="AL41" s="1552">
        <f t="shared" si="15"/>
        <v>55914.362380364633</v>
      </c>
      <c r="AM41" s="1552">
        <f t="shared" si="15"/>
        <v>63230.273964168038</v>
      </c>
      <c r="AN41" s="1552">
        <f>IFERROR(SUM(AN39:AN40),0)</f>
        <v>50288.499955267878</v>
      </c>
      <c r="AO41" s="1799">
        <f>IFERROR(SUM(AO39:AO40),0)</f>
        <v>50619.792227298261</v>
      </c>
      <c r="AP41" s="818">
        <f>IFERROR(SUM(AP39:AP40),0)</f>
        <v>57291.956766210693</v>
      </c>
      <c r="AQ41" s="818">
        <f t="shared" si="15"/>
        <v>68090.44583340922</v>
      </c>
      <c r="AR41" s="818">
        <f t="shared" si="15"/>
        <v>60960.982440773252</v>
      </c>
      <c r="AS41" s="818">
        <f t="shared" si="15"/>
        <v>36216.434917285733</v>
      </c>
      <c r="AT41" s="818">
        <f t="shared" si="15"/>
        <v>3713.8168374756278</v>
      </c>
      <c r="AU41" s="807">
        <f t="shared" si="15"/>
        <v>971544.84007684572</v>
      </c>
      <c r="AW41" s="818"/>
      <c r="AY41" s="817">
        <f>AY40/AY39</f>
        <v>148.73060067089261</v>
      </c>
      <c r="BD41" s="142">
        <v>379257.11445347406</v>
      </c>
    </row>
    <row r="42" spans="1:56" ht="15.6">
      <c r="AU42" s="1086"/>
      <c r="AY42" s="817"/>
    </row>
    <row r="43" spans="1:56" ht="15.6">
      <c r="A43" s="1790" t="s">
        <v>1809</v>
      </c>
      <c r="S43" s="1074">
        <f>IFERROR(S41/SUM(S11:S23),0)</f>
        <v>78.073149307018696</v>
      </c>
      <c r="T43" s="1074">
        <f t="shared" ref="T43:AU43" si="16">IFERROR(T41/SUM(T11:T23),0)</f>
        <v>47.782047951835587</v>
      </c>
      <c r="U43" s="1074">
        <f t="shared" si="16"/>
        <v>46.165992059249248</v>
      </c>
      <c r="V43" s="1074">
        <f t="shared" si="16"/>
        <v>31.28204789913578</v>
      </c>
      <c r="W43" s="1074">
        <f t="shared" si="16"/>
        <v>32.580787026068435</v>
      </c>
      <c r="X43" s="1074">
        <f t="shared" si="16"/>
        <v>68.392374318381911</v>
      </c>
      <c r="Y43" s="1074">
        <f t="shared" si="16"/>
        <v>80.581581603457963</v>
      </c>
      <c r="Z43" s="1074">
        <f t="shared" si="16"/>
        <v>91.844075683695436</v>
      </c>
      <c r="AA43" s="1074">
        <f t="shared" si="16"/>
        <v>67.700221731853219</v>
      </c>
      <c r="AB43" s="1074">
        <f t="shared" si="16"/>
        <v>111.53577042012832</v>
      </c>
      <c r="AC43" s="1074">
        <f t="shared" si="16"/>
        <v>127.57939256696963</v>
      </c>
      <c r="AD43" s="1074">
        <f t="shared" si="16"/>
        <v>149.63403747549037</v>
      </c>
      <c r="AE43" s="1074">
        <f t="shared" si="16"/>
        <v>141.7939212952223</v>
      </c>
      <c r="AF43" s="1074">
        <f t="shared" si="16"/>
        <v>139.74302735103311</v>
      </c>
      <c r="AG43" s="1074">
        <f t="shared" si="16"/>
        <v>169.83132731166441</v>
      </c>
      <c r="AH43" s="1074">
        <f t="shared" si="16"/>
        <v>253.41004608033811</v>
      </c>
      <c r="AI43" s="1074">
        <f t="shared" si="16"/>
        <v>255.0715689917285</v>
      </c>
      <c r="AJ43" s="1074">
        <f t="shared" si="16"/>
        <v>257.34220526255331</v>
      </c>
      <c r="AK43" s="1074">
        <f>IFERROR(AK41/SUM(AK11:AK23),0)</f>
        <v>317.10919639220765</v>
      </c>
      <c r="AL43" s="1074">
        <f t="shared" si="16"/>
        <v>305.54296382712914</v>
      </c>
      <c r="AM43" s="1074">
        <f t="shared" si="16"/>
        <v>347.419087715209</v>
      </c>
      <c r="AN43" s="1074">
        <f>IFERROR(AN41/SUM(AN11:AN23),0)</f>
        <v>335.2566663684525</v>
      </c>
      <c r="AO43" s="1074">
        <f>IFERROR(AO41/SUM(AO11:AO23),0)</f>
        <v>290.91834613389807</v>
      </c>
      <c r="AP43" s="1074">
        <f>IFERROR(AP41/SUM(AP11:AP23),0)</f>
        <v>298.39560815734734</v>
      </c>
      <c r="AQ43" s="1074">
        <f>IFERROR(AQ41/SUM(AQ11:AQ23),0)</f>
        <v>366.07766577101734</v>
      </c>
      <c r="AR43" s="1074">
        <f>IFERROR(AR41/SUM(AR11:AR23),0)</f>
        <v>354.42431651612355</v>
      </c>
      <c r="AS43" s="1074">
        <f t="shared" si="16"/>
        <v>219.49354495324687</v>
      </c>
      <c r="AT43" s="1074">
        <f t="shared" si="16"/>
        <v>265.27263124825913</v>
      </c>
      <c r="AU43" s="1074">
        <f t="shared" si="16"/>
        <v>189.90321346302693</v>
      </c>
      <c r="BD43" s="142">
        <v>54179.587779067726</v>
      </c>
    </row>
    <row r="44" spans="1:56" ht="15.6"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74"/>
      <c r="AJ44" s="1074"/>
      <c r="AK44" s="1074"/>
      <c r="AL44" s="1074"/>
      <c r="AM44" s="1074"/>
      <c r="AN44" s="1074"/>
      <c r="AO44" s="1074"/>
      <c r="AP44" s="1074"/>
      <c r="AQ44" s="1074"/>
      <c r="AR44" s="1074"/>
      <c r="AS44" s="1074"/>
      <c r="AT44" s="1074"/>
      <c r="AU44" s="1074"/>
    </row>
    <row r="45" spans="1:56" ht="15.6">
      <c r="A45" s="142" t="str">
        <f t="shared" ref="A45:A50" si="17">+A12</f>
        <v>Transfers Lionshead</v>
      </c>
      <c r="S45" s="1059">
        <f t="shared" ref="S45:AT45" si="18">S12*S37</f>
        <v>0</v>
      </c>
      <c r="T45" s="1059">
        <f t="shared" si="18"/>
        <v>0</v>
      </c>
      <c r="U45" s="1059">
        <f t="shared" si="18"/>
        <v>0</v>
      </c>
      <c r="V45" s="1059">
        <f t="shared" si="18"/>
        <v>0</v>
      </c>
      <c r="W45" s="1059">
        <f t="shared" si="18"/>
        <v>0</v>
      </c>
      <c r="X45" s="1059">
        <f t="shared" si="18"/>
        <v>0</v>
      </c>
      <c r="Y45" s="1059">
        <f t="shared" si="18"/>
        <v>0</v>
      </c>
      <c r="Z45" s="1059">
        <f t="shared" si="18"/>
        <v>0</v>
      </c>
      <c r="AA45" s="1059">
        <f t="shared" si="18"/>
        <v>0</v>
      </c>
      <c r="AB45" s="1059">
        <f t="shared" si="18"/>
        <v>0</v>
      </c>
      <c r="AC45" s="1059">
        <f t="shared" si="18"/>
        <v>0</v>
      </c>
      <c r="AD45" s="1059">
        <f t="shared" si="18"/>
        <v>0</v>
      </c>
      <c r="AE45" s="1059">
        <f t="shared" si="18"/>
        <v>0</v>
      </c>
      <c r="AF45" s="1059">
        <f t="shared" si="18"/>
        <v>0</v>
      </c>
      <c r="AG45" s="1059">
        <f t="shared" si="18"/>
        <v>0</v>
      </c>
      <c r="AH45" s="1059">
        <f t="shared" si="18"/>
        <v>0</v>
      </c>
      <c r="AI45" s="1059">
        <f t="shared" si="18"/>
        <v>0</v>
      </c>
      <c r="AJ45" s="1059">
        <f t="shared" si="18"/>
        <v>0</v>
      </c>
      <c r="AK45" s="1059">
        <f t="shared" si="18"/>
        <v>0</v>
      </c>
      <c r="AL45" s="1059">
        <f t="shared" si="18"/>
        <v>0</v>
      </c>
      <c r="AM45" s="1059">
        <f t="shared" si="18"/>
        <v>0</v>
      </c>
      <c r="AN45" s="1059">
        <f t="shared" si="18"/>
        <v>0</v>
      </c>
      <c r="AO45" s="1059">
        <f t="shared" ref="AO45" si="19">AO12*AO37</f>
        <v>0</v>
      </c>
      <c r="AP45" s="1059">
        <f t="shared" si="18"/>
        <v>0</v>
      </c>
      <c r="AQ45" s="1059">
        <f t="shared" si="18"/>
        <v>0</v>
      </c>
      <c r="AR45" s="1059">
        <f t="shared" si="18"/>
        <v>0</v>
      </c>
      <c r="AS45" s="1059">
        <f t="shared" si="18"/>
        <v>0</v>
      </c>
      <c r="AT45" s="1059">
        <f t="shared" si="18"/>
        <v>0</v>
      </c>
      <c r="AU45" s="1282">
        <f t="shared" ref="AU45:AU62" si="20">SUM(B45:AT45)</f>
        <v>0</v>
      </c>
      <c r="BD45" s="142">
        <v>0</v>
      </c>
    </row>
    <row r="46" spans="1:56" ht="15.6">
      <c r="A46" s="142" t="str">
        <f t="shared" si="17"/>
        <v>Transfers Lionshead Ext.</v>
      </c>
      <c r="S46" s="1059">
        <f t="shared" ref="S46:AT46" si="21">S13*S37</f>
        <v>0</v>
      </c>
      <c r="T46" s="1059">
        <f t="shared" si="21"/>
        <v>0</v>
      </c>
      <c r="U46" s="1059">
        <f t="shared" si="21"/>
        <v>0</v>
      </c>
      <c r="V46" s="1059">
        <f t="shared" si="21"/>
        <v>0</v>
      </c>
      <c r="W46" s="1059">
        <f t="shared" si="21"/>
        <v>0</v>
      </c>
      <c r="X46" s="1059">
        <f t="shared" si="21"/>
        <v>0</v>
      </c>
      <c r="Y46" s="1059">
        <f t="shared" si="21"/>
        <v>-5747.1778370206775</v>
      </c>
      <c r="Z46" s="1059">
        <f t="shared" si="21"/>
        <v>-3510.1487560871997</v>
      </c>
      <c r="AA46" s="1059">
        <f t="shared" si="21"/>
        <v>0</v>
      </c>
      <c r="AB46" s="1059">
        <f t="shared" si="21"/>
        <v>0</v>
      </c>
      <c r="AC46" s="1059">
        <f t="shared" si="21"/>
        <v>0</v>
      </c>
      <c r="AD46" s="1059">
        <f t="shared" si="21"/>
        <v>0</v>
      </c>
      <c r="AE46" s="1059">
        <f t="shared" si="21"/>
        <v>0</v>
      </c>
      <c r="AF46" s="1059">
        <f t="shared" si="21"/>
        <v>0</v>
      </c>
      <c r="AG46" s="1059">
        <f t="shared" si="21"/>
        <v>0</v>
      </c>
      <c r="AH46" s="1059">
        <f t="shared" si="21"/>
        <v>0</v>
      </c>
      <c r="AI46" s="1059">
        <f t="shared" si="21"/>
        <v>0</v>
      </c>
      <c r="AJ46" s="1059">
        <f t="shared" si="21"/>
        <v>0</v>
      </c>
      <c r="AK46" s="1059">
        <f t="shared" si="21"/>
        <v>0</v>
      </c>
      <c r="AL46" s="1059">
        <f t="shared" si="21"/>
        <v>0</v>
      </c>
      <c r="AM46" s="1059">
        <f t="shared" si="21"/>
        <v>0</v>
      </c>
      <c r="AN46" s="1059">
        <f t="shared" si="21"/>
        <v>0</v>
      </c>
      <c r="AO46" s="1059">
        <f t="shared" ref="AO46" si="22">AO13*AO37</f>
        <v>0</v>
      </c>
      <c r="AP46" s="1059">
        <f t="shared" si="21"/>
        <v>0</v>
      </c>
      <c r="AQ46" s="1059">
        <f t="shared" si="21"/>
        <v>0</v>
      </c>
      <c r="AR46" s="1059">
        <f t="shared" si="21"/>
        <v>0</v>
      </c>
      <c r="AS46" s="1059">
        <f t="shared" si="21"/>
        <v>0</v>
      </c>
      <c r="AT46" s="1059">
        <f t="shared" si="21"/>
        <v>0</v>
      </c>
      <c r="AU46" s="1282">
        <f t="shared" si="20"/>
        <v>-9257.3265931078768</v>
      </c>
      <c r="BD46" s="142">
        <v>0</v>
      </c>
    </row>
    <row r="47" spans="1:56" ht="15.6">
      <c r="A47" s="142" t="str">
        <f t="shared" si="17"/>
        <v>Transfers  Richlands</v>
      </c>
      <c r="S47" s="1059">
        <f>-'Richlands Pig Cost'!S49</f>
        <v>0</v>
      </c>
      <c r="T47" s="1059">
        <f>-'Richlands Pig Cost'!T49</f>
        <v>0</v>
      </c>
      <c r="U47" s="1059">
        <f>-'Richlands Pig Cost'!U49</f>
        <v>0</v>
      </c>
      <c r="V47" s="1059">
        <f>-'Richlands Pig Cost'!V49</f>
        <v>0</v>
      </c>
      <c r="W47" s="1059">
        <f>-'Richlands Pig Cost'!W49</f>
        <v>0</v>
      </c>
      <c r="X47" s="1059">
        <f>-'Richlands Pig Cost'!X49</f>
        <v>0</v>
      </c>
      <c r="Y47" s="1059">
        <f>-'Richlands Pig Cost'!Y49</f>
        <v>0</v>
      </c>
      <c r="Z47" s="1059">
        <f>-'Richlands Pig Cost'!Z49</f>
        <v>0</v>
      </c>
      <c r="AA47" s="1059">
        <f>-'Richlands Pig Cost'!AA49</f>
        <v>0</v>
      </c>
      <c r="AB47" s="1059">
        <f>-'Richlands Pig Cost'!AB49</f>
        <v>0</v>
      </c>
      <c r="AC47" s="1059">
        <f>-'Richlands Pig Cost'!AC49</f>
        <v>0</v>
      </c>
      <c r="AD47" s="1059">
        <f>-'Richlands Pig Cost'!AD49</f>
        <v>0</v>
      </c>
      <c r="AE47" s="1059">
        <f>-'Richlands Pig Cost'!AE49</f>
        <v>0</v>
      </c>
      <c r="AF47" s="1059">
        <f>-'Richlands Pig Cost'!AF49</f>
        <v>0</v>
      </c>
      <c r="AG47" s="1059">
        <f>-'Richlands Pig Cost'!AG49</f>
        <v>0</v>
      </c>
      <c r="AH47" s="1059">
        <f>-'Richlands Pig Cost'!AH49</f>
        <v>0</v>
      </c>
      <c r="AI47" s="1059">
        <f>-'Richlands Pig Cost'!AI49</f>
        <v>0</v>
      </c>
      <c r="AJ47" s="1059">
        <f>-'Richlands Pig Cost'!AJ49</f>
        <v>0</v>
      </c>
      <c r="AK47" s="1059">
        <f>-'Richlands Pig Cost'!AK49</f>
        <v>0</v>
      </c>
      <c r="AL47" s="1059">
        <f>-'Richlands Pig Cost'!AL49</f>
        <v>0</v>
      </c>
      <c r="AM47" s="1059">
        <f>-'Richlands Pig Cost'!AM49</f>
        <v>0</v>
      </c>
      <c r="AN47" s="1059">
        <f>-'Richlands Pig Cost'!AN49</f>
        <v>0</v>
      </c>
      <c r="AO47" s="1059">
        <f>-'Richlands Pig Cost'!AO49</f>
        <v>0</v>
      </c>
      <c r="AP47" s="1059">
        <f>-'Richlands Pig Cost'!AO49</f>
        <v>0</v>
      </c>
      <c r="AQ47" s="1059">
        <f>-'Richlands Pig Cost'!AP49</f>
        <v>0</v>
      </c>
      <c r="AR47" s="1059">
        <f>-'Richlands Pig Cost'!AQ49</f>
        <v>0</v>
      </c>
      <c r="AS47" s="1059">
        <f>-'Richlands Pig Cost'!AR49</f>
        <v>0</v>
      </c>
      <c r="AT47" s="1059">
        <f>-'Richlands Pig Cost'!AS49</f>
        <v>0</v>
      </c>
      <c r="AU47" s="1282">
        <f t="shared" si="20"/>
        <v>0</v>
      </c>
      <c r="BD47" s="142">
        <v>0</v>
      </c>
    </row>
    <row r="48" spans="1:56" ht="15.6">
      <c r="A48" s="142" t="str">
        <f t="shared" si="17"/>
        <v>Transfers Learig</v>
      </c>
      <c r="S48" s="1059">
        <f t="shared" ref="S48:AT48" si="23">S15*S37</f>
        <v>0</v>
      </c>
      <c r="T48" s="1059">
        <f t="shared" si="23"/>
        <v>0</v>
      </c>
      <c r="U48" s="1059">
        <f t="shared" si="23"/>
        <v>0</v>
      </c>
      <c r="V48" s="1059">
        <f t="shared" si="23"/>
        <v>0</v>
      </c>
      <c r="W48" s="1059">
        <f t="shared" si="23"/>
        <v>-2898.8146838563257</v>
      </c>
      <c r="X48" s="1059">
        <f t="shared" si="23"/>
        <v>-4419.1298467919114</v>
      </c>
      <c r="Y48" s="1059">
        <f>Y15*Y37</f>
        <v>0</v>
      </c>
      <c r="Z48" s="1059">
        <f t="shared" si="23"/>
        <v>0</v>
      </c>
      <c r="AA48" s="1059">
        <f t="shared" si="23"/>
        <v>0</v>
      </c>
      <c r="AB48" s="1059">
        <f t="shared" si="23"/>
        <v>0</v>
      </c>
      <c r="AC48" s="1059">
        <f t="shared" si="23"/>
        <v>0</v>
      </c>
      <c r="AD48" s="1059">
        <f t="shared" si="23"/>
        <v>0</v>
      </c>
      <c r="AE48" s="1059">
        <f t="shared" si="23"/>
        <v>0</v>
      </c>
      <c r="AF48" s="1059">
        <f t="shared" si="23"/>
        <v>0</v>
      </c>
      <c r="AG48" s="1059">
        <f t="shared" si="23"/>
        <v>0</v>
      </c>
      <c r="AH48" s="1059">
        <f t="shared" si="23"/>
        <v>0</v>
      </c>
      <c r="AI48" s="1059">
        <f t="shared" si="23"/>
        <v>0</v>
      </c>
      <c r="AJ48" s="1059">
        <f t="shared" si="23"/>
        <v>0</v>
      </c>
      <c r="AK48" s="1059">
        <f t="shared" si="23"/>
        <v>0</v>
      </c>
      <c r="AL48" s="1059">
        <f t="shared" si="23"/>
        <v>0</v>
      </c>
      <c r="AM48" s="1059">
        <f t="shared" si="23"/>
        <v>0</v>
      </c>
      <c r="AN48" s="1059">
        <f t="shared" si="23"/>
        <v>0</v>
      </c>
      <c r="AO48" s="1059">
        <f t="shared" ref="AO48" si="24">AO15*AO37</f>
        <v>0</v>
      </c>
      <c r="AP48" s="1059">
        <f t="shared" si="23"/>
        <v>0</v>
      </c>
      <c r="AQ48" s="1059">
        <f t="shared" si="23"/>
        <v>0</v>
      </c>
      <c r="AR48" s="1059">
        <f t="shared" si="23"/>
        <v>0</v>
      </c>
      <c r="AS48" s="1059">
        <f t="shared" si="23"/>
        <v>0</v>
      </c>
      <c r="AT48" s="1059">
        <f t="shared" si="23"/>
        <v>0</v>
      </c>
      <c r="AU48" s="1282">
        <f>SUM(B48:AT48)</f>
        <v>-7317.9445306482376</v>
      </c>
      <c r="BD48" s="142">
        <v>0</v>
      </c>
    </row>
    <row r="49" spans="1:56" ht="15.6">
      <c r="A49" s="142" t="str">
        <f t="shared" si="17"/>
        <v>Transfers  Grasmere</v>
      </c>
      <c r="S49" s="1059">
        <f>-'Grasmere Pig Cost'!S49</f>
        <v>0</v>
      </c>
      <c r="T49" s="1059">
        <f>-'Grasmere Pig Cost'!T49</f>
        <v>0</v>
      </c>
      <c r="U49" s="1059">
        <f>-'Grasmere Pig Cost'!U49</f>
        <v>0</v>
      </c>
      <c r="V49" s="1059">
        <f>-'Grasmere Pig Cost'!V49</f>
        <v>0</v>
      </c>
      <c r="W49" s="1059">
        <f>-'Grasmere Pig Cost'!W49</f>
        <v>0</v>
      </c>
      <c r="X49" s="1059">
        <f>-'Grasmere Pig Cost'!X49</f>
        <v>0</v>
      </c>
      <c r="Y49" s="1059">
        <f>-'Grasmere Pig Cost'!Y49</f>
        <v>0</v>
      </c>
      <c r="Z49" s="1059">
        <f>-'Grasmere Pig Cost'!Z49</f>
        <v>0</v>
      </c>
      <c r="AA49" s="1059">
        <f>-'Grasmere Pig Cost'!AA49</f>
        <v>0</v>
      </c>
      <c r="AB49" s="1059">
        <f>-'Grasmere Pig Cost'!AB49</f>
        <v>0</v>
      </c>
      <c r="AC49" s="1059">
        <f>-'Grasmere Pig Cost'!AC49</f>
        <v>0</v>
      </c>
      <c r="AD49" s="1059">
        <f>-'Grasmere Pig Cost'!AD49</f>
        <v>0</v>
      </c>
      <c r="AE49" s="1059">
        <f>-'Grasmere Pig Cost'!AE49</f>
        <v>0</v>
      </c>
      <c r="AF49" s="1059">
        <f>-'Grasmere Pig Cost'!AF49</f>
        <v>0</v>
      </c>
      <c r="AG49" s="1059">
        <f>-'Grasmere Pig Cost'!AG49</f>
        <v>0</v>
      </c>
      <c r="AH49" s="1059">
        <f>-'Grasmere Pig Cost'!AH49</f>
        <v>0</v>
      </c>
      <c r="AI49" s="1059">
        <f>-'Grasmere Pig Cost'!AI49</f>
        <v>0</v>
      </c>
      <c r="AJ49" s="1059">
        <f>-'Grasmere Pig Cost'!AJ49</f>
        <v>0</v>
      </c>
      <c r="AK49" s="1059">
        <f>-'Grasmere Pig Cost'!AK49</f>
        <v>0</v>
      </c>
      <c r="AL49" s="1059">
        <f>-'Grasmere Pig Cost'!AL49</f>
        <v>0</v>
      </c>
      <c r="AM49" s="1059">
        <f>-'Grasmere Pig Cost'!AM49</f>
        <v>0</v>
      </c>
      <c r="AN49" s="1059">
        <f>-'Grasmere Pig Cost'!AN49</f>
        <v>0</v>
      </c>
      <c r="AO49" s="1059">
        <f>-'Grasmere Pig Cost'!AO49</f>
        <v>0</v>
      </c>
      <c r="AP49" s="1059">
        <f>-'Grasmere Pig Cost'!AO49</f>
        <v>0</v>
      </c>
      <c r="AQ49" s="1059">
        <f>-'Grasmere Pig Cost'!AP49</f>
        <v>0</v>
      </c>
      <c r="AR49" s="1059">
        <f>-'Grasmere Pig Cost'!AQ49</f>
        <v>0</v>
      </c>
      <c r="AS49" s="1059">
        <f>-'Grasmere Pig Cost'!AR49</f>
        <v>0</v>
      </c>
      <c r="AT49" s="1059">
        <f>-'Grasmere Pig Cost'!AS49</f>
        <v>0</v>
      </c>
      <c r="AU49" s="1097">
        <f>SUM(B49:AT49)</f>
        <v>0</v>
      </c>
      <c r="AY49" s="1091"/>
      <c r="BD49" s="142">
        <v>0</v>
      </c>
    </row>
    <row r="50" spans="1:56" ht="15.6">
      <c r="A50" s="142" t="str">
        <f t="shared" si="17"/>
        <v>Transfers Porta</v>
      </c>
      <c r="S50" s="1059"/>
      <c r="T50" s="1059"/>
      <c r="U50" s="1059"/>
      <c r="V50" s="1059"/>
      <c r="W50" s="1059"/>
      <c r="X50" s="1059"/>
      <c r="Y50" s="1059"/>
      <c r="Z50" s="1059"/>
      <c r="AA50" s="1059"/>
      <c r="AB50" s="1059"/>
      <c r="AC50" s="1059"/>
      <c r="AD50" s="1059"/>
      <c r="AE50" s="1059"/>
      <c r="AF50" s="1059"/>
      <c r="AG50" s="1059"/>
      <c r="AH50" s="1059"/>
      <c r="AI50" s="1059"/>
      <c r="AJ50" s="1059"/>
      <c r="AK50" s="1059"/>
      <c r="AL50" s="1059"/>
      <c r="AM50" s="1059"/>
      <c r="AN50" s="1059"/>
      <c r="AO50" s="1059"/>
      <c r="AP50" s="1059"/>
      <c r="AQ50" s="1059"/>
      <c r="AR50" s="1059"/>
      <c r="AS50" s="1059"/>
      <c r="AT50" s="1059"/>
      <c r="AU50" s="1097"/>
      <c r="AY50" s="1091"/>
    </row>
    <row r="51" spans="1:56" ht="15.6">
      <c r="A51" s="142" t="str">
        <f t="shared" ref="A51:A52" si="25">+A18</f>
        <v>Transfers Multiplier</v>
      </c>
      <c r="S51" s="1059"/>
      <c r="T51" s="1059"/>
      <c r="U51" s="1059"/>
      <c r="V51" s="1059"/>
      <c r="W51" s="1059"/>
      <c r="X51" s="1059"/>
      <c r="Y51" s="1059"/>
      <c r="Z51" s="1059"/>
      <c r="AA51" s="1059"/>
      <c r="AB51" s="1059"/>
      <c r="AC51" s="1059"/>
      <c r="AD51" s="1059"/>
      <c r="AE51" s="1059"/>
      <c r="AF51" s="1059"/>
      <c r="AG51" s="1059"/>
      <c r="AH51" s="1059"/>
      <c r="AI51" s="1059"/>
      <c r="AJ51" s="1059"/>
      <c r="AK51" s="1059"/>
      <c r="AL51" s="1059"/>
      <c r="AM51" s="1059"/>
      <c r="AN51" s="1059"/>
      <c r="AO51" s="1059"/>
      <c r="AP51" s="1059"/>
      <c r="AQ51" s="1059"/>
      <c r="AR51" s="1059"/>
      <c r="AS51" s="1059"/>
      <c r="AT51" s="1059"/>
      <c r="AU51" s="1097"/>
      <c r="AY51" s="1091"/>
    </row>
    <row r="52" spans="1:56" ht="15.6">
      <c r="A52" s="142">
        <f t="shared" si="25"/>
        <v>0</v>
      </c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59"/>
      <c r="AJ52" s="1059"/>
      <c r="AK52" s="1059"/>
      <c r="AL52" s="1059"/>
      <c r="AM52" s="1059"/>
      <c r="AN52" s="1059"/>
      <c r="AO52" s="1059"/>
      <c r="AP52" s="1059"/>
      <c r="AQ52" s="1059"/>
      <c r="AR52" s="1059"/>
      <c r="AS52" s="1059"/>
      <c r="AT52" s="1059"/>
      <c r="AU52" s="1097"/>
      <c r="AY52" s="1091"/>
    </row>
    <row r="53" spans="1:56" ht="15.6">
      <c r="A53" s="142" t="str">
        <f t="shared" ref="A53:A61" si="26">+A20</f>
        <v>Transfers  Boars</v>
      </c>
      <c r="S53" s="1059">
        <f t="shared" ref="S53:AT53" si="27">S20*S37</f>
        <v>0</v>
      </c>
      <c r="T53" s="1059">
        <f t="shared" si="27"/>
        <v>0</v>
      </c>
      <c r="U53" s="1059">
        <f t="shared" si="27"/>
        <v>0</v>
      </c>
      <c r="V53" s="1059">
        <f t="shared" si="27"/>
        <v>0</v>
      </c>
      <c r="W53" s="1059">
        <f t="shared" si="27"/>
        <v>0</v>
      </c>
      <c r="X53" s="1059">
        <f t="shared" si="27"/>
        <v>0</v>
      </c>
      <c r="Y53" s="1059">
        <f t="shared" si="27"/>
        <v>0</v>
      </c>
      <c r="Z53" s="1059">
        <f t="shared" si="27"/>
        <v>0</v>
      </c>
      <c r="AA53" s="1059">
        <f t="shared" si="27"/>
        <v>0</v>
      </c>
      <c r="AB53" s="1059">
        <f t="shared" si="27"/>
        <v>0</v>
      </c>
      <c r="AC53" s="1059">
        <f t="shared" si="27"/>
        <v>0</v>
      </c>
      <c r="AD53" s="1059">
        <f t="shared" si="27"/>
        <v>0</v>
      </c>
      <c r="AE53" s="1059">
        <f t="shared" si="27"/>
        <v>0</v>
      </c>
      <c r="AF53" s="1059">
        <f t="shared" si="27"/>
        <v>0</v>
      </c>
      <c r="AG53" s="1059">
        <f t="shared" si="27"/>
        <v>0</v>
      </c>
      <c r="AH53" s="1059">
        <f t="shared" si="27"/>
        <v>0</v>
      </c>
      <c r="AI53" s="1059">
        <f t="shared" si="27"/>
        <v>0</v>
      </c>
      <c r="AJ53" s="1059">
        <f t="shared" si="27"/>
        <v>0</v>
      </c>
      <c r="AK53" s="1059">
        <f t="shared" si="27"/>
        <v>0</v>
      </c>
      <c r="AL53" s="1059">
        <f t="shared" si="27"/>
        <v>0</v>
      </c>
      <c r="AM53" s="1059">
        <f t="shared" si="27"/>
        <v>0</v>
      </c>
      <c r="AN53" s="1059">
        <f t="shared" si="27"/>
        <v>0</v>
      </c>
      <c r="AO53" s="1059">
        <f t="shared" ref="AO53" si="28">AO20*AO37</f>
        <v>0</v>
      </c>
      <c r="AP53" s="1059">
        <f t="shared" si="27"/>
        <v>0</v>
      </c>
      <c r="AQ53" s="1059">
        <f t="shared" si="27"/>
        <v>0</v>
      </c>
      <c r="AR53" s="1059">
        <f t="shared" si="27"/>
        <v>0</v>
      </c>
      <c r="AS53" s="1059">
        <f t="shared" si="27"/>
        <v>0</v>
      </c>
      <c r="AT53" s="1059">
        <f t="shared" si="27"/>
        <v>0</v>
      </c>
      <c r="AU53" s="1282">
        <f t="shared" si="20"/>
        <v>0</v>
      </c>
      <c r="BD53" s="142">
        <v>0</v>
      </c>
    </row>
    <row r="54" spans="1:56" ht="15.6">
      <c r="A54" s="142" t="str">
        <f t="shared" si="26"/>
        <v>Transfers Grower</v>
      </c>
      <c r="S54" s="1059">
        <f t="shared" ref="S54:AT54" si="29">S21*S37</f>
        <v>0</v>
      </c>
      <c r="T54" s="1059">
        <f t="shared" si="29"/>
        <v>0</v>
      </c>
      <c r="U54" s="1059">
        <f t="shared" si="29"/>
        <v>0</v>
      </c>
      <c r="V54" s="1059">
        <f t="shared" si="29"/>
        <v>0</v>
      </c>
      <c r="W54" s="1059">
        <f t="shared" si="29"/>
        <v>0</v>
      </c>
      <c r="X54" s="1059">
        <f t="shared" si="29"/>
        <v>0</v>
      </c>
      <c r="Y54" s="1059">
        <f t="shared" si="29"/>
        <v>0</v>
      </c>
      <c r="Z54" s="1059">
        <f t="shared" si="29"/>
        <v>0</v>
      </c>
      <c r="AA54" s="1059">
        <f t="shared" si="29"/>
        <v>0</v>
      </c>
      <c r="AB54" s="1059">
        <f t="shared" si="29"/>
        <v>0</v>
      </c>
      <c r="AC54" s="1059">
        <f t="shared" si="29"/>
        <v>0</v>
      </c>
      <c r="AD54" s="1059">
        <f>-'Non Current'!G30</f>
        <v>0</v>
      </c>
      <c r="AE54" s="1059">
        <f>AE21*AE37</f>
        <v>0</v>
      </c>
      <c r="AF54" s="1059">
        <f t="shared" si="29"/>
        <v>0</v>
      </c>
      <c r="AG54" s="1059">
        <f t="shared" si="29"/>
        <v>0</v>
      </c>
      <c r="AH54" s="1059">
        <f t="shared" si="29"/>
        <v>0</v>
      </c>
      <c r="AI54" s="1059">
        <f t="shared" si="29"/>
        <v>0</v>
      </c>
      <c r="AJ54" s="1059">
        <f t="shared" si="29"/>
        <v>0</v>
      </c>
      <c r="AK54" s="1059">
        <f t="shared" si="29"/>
        <v>0</v>
      </c>
      <c r="AL54" s="1059">
        <f t="shared" si="29"/>
        <v>0</v>
      </c>
      <c r="AM54" s="1059">
        <f t="shared" si="29"/>
        <v>0</v>
      </c>
      <c r="AN54" s="1059">
        <f>AN21*AN37</f>
        <v>0</v>
      </c>
      <c r="AO54" s="1059">
        <f>AO21*AO37</f>
        <v>0</v>
      </c>
      <c r="AP54" s="1059">
        <f t="shared" si="29"/>
        <v>0</v>
      </c>
      <c r="AQ54" s="1059">
        <v>0</v>
      </c>
      <c r="AR54" s="1059">
        <f t="shared" si="29"/>
        <v>0</v>
      </c>
      <c r="AS54" s="1059">
        <f t="shared" si="29"/>
        <v>0</v>
      </c>
      <c r="AT54" s="1059">
        <f t="shared" si="29"/>
        <v>0</v>
      </c>
      <c r="AU54" s="1282">
        <f>SUM(B54:AT54)</f>
        <v>0</v>
      </c>
      <c r="BD54" s="142">
        <v>0</v>
      </c>
    </row>
    <row r="55" spans="1:56" ht="15.6">
      <c r="A55" s="142" t="str">
        <f t="shared" si="26"/>
        <v>Transfer to Sick Block</v>
      </c>
      <c r="S55" s="1059">
        <f t="shared" ref="S55:AT55" si="30">S22*S37</f>
        <v>0</v>
      </c>
      <c r="T55" s="1059">
        <f t="shared" si="30"/>
        <v>0</v>
      </c>
      <c r="U55" s="1059">
        <f t="shared" si="30"/>
        <v>0</v>
      </c>
      <c r="V55" s="1059">
        <f t="shared" si="30"/>
        <v>0</v>
      </c>
      <c r="W55" s="1059">
        <f t="shared" si="30"/>
        <v>0</v>
      </c>
      <c r="X55" s="1059">
        <f t="shared" si="30"/>
        <v>0</v>
      </c>
      <c r="Y55" s="1059">
        <f t="shared" si="30"/>
        <v>0</v>
      </c>
      <c r="Z55" s="1059">
        <f t="shared" si="30"/>
        <v>0</v>
      </c>
      <c r="AA55" s="1059">
        <f t="shared" si="30"/>
        <v>0</v>
      </c>
      <c r="AB55" s="1059">
        <f t="shared" si="30"/>
        <v>0</v>
      </c>
      <c r="AC55" s="1059">
        <f t="shared" si="30"/>
        <v>0</v>
      </c>
      <c r="AD55" s="1059">
        <f t="shared" si="30"/>
        <v>0</v>
      </c>
      <c r="AE55" s="1059">
        <f t="shared" si="30"/>
        <v>0</v>
      </c>
      <c r="AF55" s="1059">
        <f t="shared" si="30"/>
        <v>0</v>
      </c>
      <c r="AG55" s="1059">
        <f t="shared" si="30"/>
        <v>0</v>
      </c>
      <c r="AH55" s="1059">
        <f t="shared" si="30"/>
        <v>0</v>
      </c>
      <c r="AI55" s="1059">
        <f t="shared" si="30"/>
        <v>0</v>
      </c>
      <c r="AJ55" s="1059">
        <f t="shared" si="30"/>
        <v>0</v>
      </c>
      <c r="AK55" s="1059">
        <f t="shared" si="30"/>
        <v>0</v>
      </c>
      <c r="AL55" s="1059">
        <f t="shared" si="30"/>
        <v>0</v>
      </c>
      <c r="AM55" s="1059">
        <f t="shared" si="30"/>
        <v>0</v>
      </c>
      <c r="AN55" s="1059">
        <f t="shared" si="30"/>
        <v>0</v>
      </c>
      <c r="AO55" s="1059">
        <f>AO22*AO37-AW55</f>
        <v>0</v>
      </c>
      <c r="AP55" s="1059">
        <f t="shared" si="30"/>
        <v>0</v>
      </c>
      <c r="AQ55" s="1059">
        <f t="shared" si="30"/>
        <v>0</v>
      </c>
      <c r="AR55" s="1059">
        <f t="shared" si="30"/>
        <v>0</v>
      </c>
      <c r="AS55" s="1059">
        <f t="shared" si="30"/>
        <v>0</v>
      </c>
      <c r="AT55" s="1059">
        <f t="shared" si="30"/>
        <v>0</v>
      </c>
      <c r="AU55" s="1097">
        <f>SUM(B55:AT55)</f>
        <v>0</v>
      </c>
      <c r="AW55" s="1059">
        <v>0</v>
      </c>
      <c r="AX55" s="142" t="s">
        <v>1831</v>
      </c>
      <c r="BD55" s="142">
        <v>0</v>
      </c>
    </row>
    <row r="56" spans="1:56" ht="15.6">
      <c r="A56" s="142" t="str">
        <f t="shared" si="26"/>
        <v>Transfers Gilts</v>
      </c>
      <c r="S56" s="1059">
        <f t="shared" ref="S56:AT56" si="31">S23*S37</f>
        <v>0</v>
      </c>
      <c r="T56" s="1059">
        <f t="shared" si="31"/>
        <v>0</v>
      </c>
      <c r="U56" s="1059">
        <f t="shared" si="31"/>
        <v>0</v>
      </c>
      <c r="V56" s="1059">
        <f t="shared" si="31"/>
        <v>0</v>
      </c>
      <c r="W56" s="1059">
        <f t="shared" si="31"/>
        <v>0</v>
      </c>
      <c r="X56" s="1059">
        <f t="shared" si="31"/>
        <v>0</v>
      </c>
      <c r="Y56" s="1059">
        <f t="shared" si="31"/>
        <v>0</v>
      </c>
      <c r="Z56" s="1059">
        <f t="shared" si="31"/>
        <v>0</v>
      </c>
      <c r="AA56" s="1059">
        <f t="shared" si="31"/>
        <v>0</v>
      </c>
      <c r="AB56" s="1059">
        <f t="shared" si="31"/>
        <v>0</v>
      </c>
      <c r="AC56" s="1059">
        <f t="shared" si="31"/>
        <v>0</v>
      </c>
      <c r="AD56" s="1059">
        <f t="shared" si="31"/>
        <v>97.017972351651125</v>
      </c>
      <c r="AE56" s="1059">
        <f t="shared" si="31"/>
        <v>0</v>
      </c>
      <c r="AF56" s="1059">
        <f t="shared" si="31"/>
        <v>0</v>
      </c>
      <c r="AG56" s="1059">
        <f t="shared" si="31"/>
        <v>0</v>
      </c>
      <c r="AH56" s="1059">
        <f t="shared" si="31"/>
        <v>0</v>
      </c>
      <c r="AI56" s="1059">
        <f t="shared" si="31"/>
        <v>0</v>
      </c>
      <c r="AJ56" s="1059">
        <f t="shared" si="31"/>
        <v>0</v>
      </c>
      <c r="AK56" s="1059">
        <f t="shared" si="31"/>
        <v>0</v>
      </c>
      <c r="AL56" s="1059">
        <f t="shared" si="31"/>
        <v>0</v>
      </c>
      <c r="AM56" s="1059">
        <f t="shared" si="31"/>
        <v>0</v>
      </c>
      <c r="AN56" s="1059">
        <f t="shared" si="31"/>
        <v>0</v>
      </c>
      <c r="AO56" s="1059">
        <f>AO23*AO37</f>
        <v>0</v>
      </c>
      <c r="AP56" s="1059">
        <f t="shared" si="31"/>
        <v>0</v>
      </c>
      <c r="AQ56" s="1059">
        <f t="shared" si="31"/>
        <v>0</v>
      </c>
      <c r="AR56" s="1059">
        <f t="shared" si="31"/>
        <v>0</v>
      </c>
      <c r="AS56" s="1059">
        <f t="shared" si="31"/>
        <v>0</v>
      </c>
      <c r="AT56" s="1059">
        <f t="shared" si="31"/>
        <v>0</v>
      </c>
      <c r="AU56" s="1282">
        <f t="shared" si="20"/>
        <v>97.017972351651125</v>
      </c>
      <c r="BD56" s="142">
        <v>0</v>
      </c>
    </row>
    <row r="57" spans="1:56" ht="15.6">
      <c r="A57" s="142" t="str">
        <f t="shared" si="26"/>
        <v>Mortality</v>
      </c>
      <c r="S57" s="1059">
        <f t="shared" ref="S57:AT57" si="32">S24*S43</f>
        <v>-78.073149307018696</v>
      </c>
      <c r="T57" s="1059">
        <f t="shared" si="32"/>
        <v>-334.47433566284911</v>
      </c>
      <c r="U57" s="1059">
        <f t="shared" si="32"/>
        <v>-646.32388882948953</v>
      </c>
      <c r="V57" s="1059">
        <f t="shared" si="32"/>
        <v>-469.23071848703671</v>
      </c>
      <c r="W57" s="1059">
        <f t="shared" si="32"/>
        <v>-358.38865728675279</v>
      </c>
      <c r="X57" s="1059">
        <f t="shared" si="32"/>
        <v>-205.17712295514573</v>
      </c>
      <c r="Y57" s="1059">
        <f t="shared" si="32"/>
        <v>-483.4894896207478</v>
      </c>
      <c r="Z57" s="1059">
        <f t="shared" si="32"/>
        <v>-183.68815136739087</v>
      </c>
      <c r="AA57" s="1059">
        <f t="shared" si="32"/>
        <v>-135.40044346370644</v>
      </c>
      <c r="AB57" s="1059">
        <f t="shared" si="32"/>
        <v>0</v>
      </c>
      <c r="AC57" s="1059">
        <f t="shared" si="32"/>
        <v>-127.57939256696963</v>
      </c>
      <c r="AD57" s="1059">
        <f t="shared" si="32"/>
        <v>-149.63403747549037</v>
      </c>
      <c r="AE57" s="1059">
        <f t="shared" si="32"/>
        <v>-283.58784259044461</v>
      </c>
      <c r="AF57" s="1059">
        <f t="shared" si="32"/>
        <v>-279.48605470206621</v>
      </c>
      <c r="AG57" s="1059">
        <f t="shared" si="32"/>
        <v>-169.83132731166441</v>
      </c>
      <c r="AH57" s="1059">
        <f t="shared" si="32"/>
        <v>-760.23013824101429</v>
      </c>
      <c r="AI57" s="1059">
        <f t="shared" si="32"/>
        <v>-255.0715689917285</v>
      </c>
      <c r="AJ57" s="1059">
        <f t="shared" si="32"/>
        <v>-514.68441052510661</v>
      </c>
      <c r="AK57" s="1059">
        <f t="shared" si="32"/>
        <v>-317.10919639220765</v>
      </c>
      <c r="AL57" s="1059">
        <f t="shared" si="32"/>
        <v>-305.54296382712914</v>
      </c>
      <c r="AM57" s="1059">
        <f t="shared" si="32"/>
        <v>-694.838175430418</v>
      </c>
      <c r="AN57" s="1059">
        <f t="shared" si="32"/>
        <v>0</v>
      </c>
      <c r="AO57" s="1059">
        <f t="shared" ref="AO57" si="33">AO24*AO43</f>
        <v>0</v>
      </c>
      <c r="AP57" s="1059">
        <f t="shared" si="32"/>
        <v>0</v>
      </c>
      <c r="AQ57" s="1059">
        <f t="shared" si="32"/>
        <v>0</v>
      </c>
      <c r="AR57" s="1059">
        <f t="shared" si="32"/>
        <v>0</v>
      </c>
      <c r="AS57" s="1059">
        <f t="shared" si="32"/>
        <v>0</v>
      </c>
      <c r="AT57" s="1059">
        <f t="shared" si="32"/>
        <v>-795.81789374477739</v>
      </c>
      <c r="AU57" s="1282">
        <f t="shared" si="20"/>
        <v>-7547.6589587791559</v>
      </c>
      <c r="BD57" s="142">
        <v>0</v>
      </c>
    </row>
    <row r="58" spans="1:56" ht="15.6">
      <c r="A58" s="142" t="str">
        <f t="shared" si="26"/>
        <v>Rations</v>
      </c>
      <c r="S58" s="1059">
        <f t="shared" ref="S58:AT58" si="34">S25*S43</f>
        <v>0</v>
      </c>
      <c r="T58" s="1059">
        <f t="shared" si="34"/>
        <v>0</v>
      </c>
      <c r="U58" s="1059">
        <f t="shared" si="34"/>
        <v>0</v>
      </c>
      <c r="V58" s="1059">
        <f t="shared" si="34"/>
        <v>0</v>
      </c>
      <c r="W58" s="1059">
        <f t="shared" si="34"/>
        <v>0</v>
      </c>
      <c r="X58" s="1059">
        <f t="shared" si="34"/>
        <v>0</v>
      </c>
      <c r="Y58" s="1059">
        <f t="shared" si="34"/>
        <v>0</v>
      </c>
      <c r="Z58" s="1059">
        <f t="shared" si="34"/>
        <v>0</v>
      </c>
      <c r="AA58" s="1059">
        <f t="shared" si="34"/>
        <v>0</v>
      </c>
      <c r="AB58" s="1059">
        <f t="shared" si="34"/>
        <v>0</v>
      </c>
      <c r="AC58" s="1059">
        <f t="shared" si="34"/>
        <v>0</v>
      </c>
      <c r="AD58" s="1059">
        <f t="shared" si="34"/>
        <v>0</v>
      </c>
      <c r="AE58" s="1059">
        <f t="shared" si="34"/>
        <v>0</v>
      </c>
      <c r="AF58" s="1059">
        <f t="shared" si="34"/>
        <v>0</v>
      </c>
      <c r="AG58" s="1059">
        <f t="shared" si="34"/>
        <v>0</v>
      </c>
      <c r="AH58" s="1059">
        <f t="shared" si="34"/>
        <v>0</v>
      </c>
      <c r="AI58" s="1059">
        <f t="shared" si="34"/>
        <v>0</v>
      </c>
      <c r="AJ58" s="1059">
        <f t="shared" si="34"/>
        <v>0</v>
      </c>
      <c r="AK58" s="1059">
        <f t="shared" si="34"/>
        <v>0</v>
      </c>
      <c r="AL58" s="1059">
        <f t="shared" si="34"/>
        <v>0</v>
      </c>
      <c r="AM58" s="1059">
        <f t="shared" si="34"/>
        <v>0</v>
      </c>
      <c r="AN58" s="1059">
        <f t="shared" si="34"/>
        <v>0</v>
      </c>
      <c r="AO58" s="1059">
        <f t="shared" ref="AO58" si="35">AO25*AO43</f>
        <v>-290.91834613389807</v>
      </c>
      <c r="AP58" s="1059">
        <f t="shared" si="34"/>
        <v>0</v>
      </c>
      <c r="AQ58" s="1059">
        <f t="shared" si="34"/>
        <v>0</v>
      </c>
      <c r="AR58" s="1059">
        <f t="shared" si="34"/>
        <v>0</v>
      </c>
      <c r="AS58" s="1059">
        <f t="shared" si="34"/>
        <v>0</v>
      </c>
      <c r="AT58" s="1059">
        <f t="shared" si="34"/>
        <v>0</v>
      </c>
      <c r="AU58" s="1282">
        <f>SUM(B58:AT58)</f>
        <v>-290.91834613389807</v>
      </c>
      <c r="BD58" s="142">
        <v>0</v>
      </c>
    </row>
    <row r="59" spans="1:56" ht="15.6">
      <c r="A59" s="142" t="str">
        <f t="shared" si="26"/>
        <v>Pet Food</v>
      </c>
      <c r="S59" s="1059">
        <f t="shared" ref="S59:AT59" si="36">S26*S43</f>
        <v>0</v>
      </c>
      <c r="T59" s="1059">
        <f t="shared" si="36"/>
        <v>0</v>
      </c>
      <c r="U59" s="1059">
        <f t="shared" si="36"/>
        <v>0</v>
      </c>
      <c r="V59" s="1059">
        <f t="shared" si="36"/>
        <v>0</v>
      </c>
      <c r="W59" s="1059">
        <f t="shared" si="36"/>
        <v>0</v>
      </c>
      <c r="X59" s="1059">
        <f t="shared" si="36"/>
        <v>0</v>
      </c>
      <c r="Y59" s="1059">
        <f t="shared" si="36"/>
        <v>0</v>
      </c>
      <c r="Z59" s="1059">
        <f t="shared" si="36"/>
        <v>0</v>
      </c>
      <c r="AA59" s="1059">
        <f t="shared" si="36"/>
        <v>0</v>
      </c>
      <c r="AB59" s="1059">
        <f t="shared" si="36"/>
        <v>0</v>
      </c>
      <c r="AC59" s="1059">
        <f t="shared" si="36"/>
        <v>0</v>
      </c>
      <c r="AD59" s="1059">
        <f t="shared" si="36"/>
        <v>0</v>
      </c>
      <c r="AE59" s="1059">
        <f t="shared" si="36"/>
        <v>0</v>
      </c>
      <c r="AF59" s="1059">
        <f t="shared" si="36"/>
        <v>0</v>
      </c>
      <c r="AG59" s="1059">
        <f t="shared" si="36"/>
        <v>0</v>
      </c>
      <c r="AH59" s="1059">
        <f t="shared" si="36"/>
        <v>0</v>
      </c>
      <c r="AI59" s="1059">
        <f t="shared" si="36"/>
        <v>0</v>
      </c>
      <c r="AJ59" s="1059">
        <f t="shared" si="36"/>
        <v>0</v>
      </c>
      <c r="AK59" s="1059">
        <f t="shared" si="36"/>
        <v>0</v>
      </c>
      <c r="AL59" s="1059">
        <f t="shared" si="36"/>
        <v>0</v>
      </c>
      <c r="AM59" s="1059">
        <f t="shared" si="36"/>
        <v>0</v>
      </c>
      <c r="AN59" s="1059">
        <f t="shared" si="36"/>
        <v>0</v>
      </c>
      <c r="AO59" s="1059">
        <f t="shared" ref="AO59" si="37">AO26*AO43</f>
        <v>0</v>
      </c>
      <c r="AP59" s="1059">
        <f t="shared" si="36"/>
        <v>0</v>
      </c>
      <c r="AQ59" s="1059">
        <f t="shared" si="36"/>
        <v>0</v>
      </c>
      <c r="AR59" s="1059">
        <f t="shared" si="36"/>
        <v>0</v>
      </c>
      <c r="AS59" s="1059">
        <f t="shared" si="36"/>
        <v>0</v>
      </c>
      <c r="AT59" s="1059">
        <f t="shared" si="36"/>
        <v>0</v>
      </c>
      <c r="AU59" s="1282">
        <f t="shared" si="20"/>
        <v>0</v>
      </c>
      <c r="BD59" s="142">
        <v>0</v>
      </c>
    </row>
    <row r="60" spans="1:56" ht="15.6">
      <c r="A60" s="142" t="str">
        <f t="shared" si="26"/>
        <v>Farm Sales</v>
      </c>
      <c r="S60" s="1059">
        <f t="shared" ref="S60:AT60" si="38">S27*S43</f>
        <v>0</v>
      </c>
      <c r="T60" s="1059">
        <f t="shared" si="38"/>
        <v>0</v>
      </c>
      <c r="U60" s="1059">
        <f t="shared" si="38"/>
        <v>0</v>
      </c>
      <c r="V60" s="1059">
        <f t="shared" si="38"/>
        <v>0</v>
      </c>
      <c r="W60" s="1059">
        <f t="shared" si="38"/>
        <v>0</v>
      </c>
      <c r="X60" s="1059">
        <f t="shared" si="38"/>
        <v>0</v>
      </c>
      <c r="Y60" s="1059">
        <f t="shared" si="38"/>
        <v>0</v>
      </c>
      <c r="Z60" s="1059">
        <f t="shared" si="38"/>
        <v>0</v>
      </c>
      <c r="AA60" s="1059">
        <f t="shared" si="38"/>
        <v>0</v>
      </c>
      <c r="AB60" s="1059">
        <f t="shared" si="38"/>
        <v>0</v>
      </c>
      <c r="AC60" s="1059">
        <f t="shared" si="38"/>
        <v>0</v>
      </c>
      <c r="AD60" s="1059">
        <f t="shared" si="38"/>
        <v>0</v>
      </c>
      <c r="AE60" s="1059">
        <f t="shared" si="38"/>
        <v>0</v>
      </c>
      <c r="AF60" s="1059">
        <f t="shared" si="38"/>
        <v>0</v>
      </c>
      <c r="AG60" s="1059">
        <f t="shared" si="38"/>
        <v>0</v>
      </c>
      <c r="AH60" s="1059">
        <f t="shared" si="38"/>
        <v>0</v>
      </c>
      <c r="AI60" s="1059">
        <f t="shared" si="38"/>
        <v>0</v>
      </c>
      <c r="AJ60" s="1059">
        <f t="shared" si="38"/>
        <v>0</v>
      </c>
      <c r="AK60" s="1059">
        <f t="shared" si="38"/>
        <v>0</v>
      </c>
      <c r="AL60" s="1059">
        <f t="shared" si="38"/>
        <v>0</v>
      </c>
      <c r="AM60" s="1059">
        <f t="shared" si="38"/>
        <v>0</v>
      </c>
      <c r="AN60" s="1059">
        <f t="shared" si="38"/>
        <v>0</v>
      </c>
      <c r="AO60" s="1059">
        <f t="shared" ref="AO60" si="39">AO27*AO43</f>
        <v>0</v>
      </c>
      <c r="AP60" s="1059">
        <f t="shared" si="38"/>
        <v>0</v>
      </c>
      <c r="AQ60" s="1059">
        <f t="shared" si="38"/>
        <v>0</v>
      </c>
      <c r="AR60" s="1059">
        <f t="shared" si="38"/>
        <v>0</v>
      </c>
      <c r="AS60" s="1059">
        <f t="shared" si="38"/>
        <v>0</v>
      </c>
      <c r="AT60" s="1059">
        <f t="shared" si="38"/>
        <v>0</v>
      </c>
      <c r="AU60" s="1282">
        <f t="shared" si="20"/>
        <v>0</v>
      </c>
      <c r="BD60" s="142">
        <v>0</v>
      </c>
    </row>
    <row r="61" spans="1:56" ht="16.149999999999999" thickBot="1">
      <c r="A61" s="142" t="str">
        <f t="shared" si="26"/>
        <v xml:space="preserve"> Colcom Sales</v>
      </c>
      <c r="S61" s="1059">
        <f t="shared" ref="S61:AT61" si="40">S28*S43</f>
        <v>0</v>
      </c>
      <c r="T61" s="1059">
        <f t="shared" si="40"/>
        <v>0</v>
      </c>
      <c r="U61" s="1059">
        <f t="shared" si="40"/>
        <v>0</v>
      </c>
      <c r="V61" s="1059">
        <f t="shared" si="40"/>
        <v>0</v>
      </c>
      <c r="W61" s="1059">
        <f t="shared" si="40"/>
        <v>0</v>
      </c>
      <c r="X61" s="1059">
        <f t="shared" si="40"/>
        <v>0</v>
      </c>
      <c r="Y61" s="1059">
        <f t="shared" si="40"/>
        <v>0</v>
      </c>
      <c r="Z61" s="1059">
        <f t="shared" si="40"/>
        <v>0</v>
      </c>
      <c r="AA61" s="1059">
        <f t="shared" si="40"/>
        <v>0</v>
      </c>
      <c r="AB61" s="1059">
        <f t="shared" si="40"/>
        <v>0</v>
      </c>
      <c r="AC61" s="1059">
        <f t="shared" si="40"/>
        <v>0</v>
      </c>
      <c r="AD61" s="1059">
        <f t="shared" si="40"/>
        <v>0</v>
      </c>
      <c r="AE61" s="1059">
        <f t="shared" si="40"/>
        <v>0</v>
      </c>
      <c r="AF61" s="1059">
        <f t="shared" si="40"/>
        <v>0</v>
      </c>
      <c r="AG61" s="1059">
        <f t="shared" si="40"/>
        <v>0</v>
      </c>
      <c r="AH61" s="1059">
        <f t="shared" si="40"/>
        <v>0</v>
      </c>
      <c r="AI61" s="1059">
        <f t="shared" si="40"/>
        <v>0</v>
      </c>
      <c r="AJ61" s="1059">
        <f t="shared" si="40"/>
        <v>0</v>
      </c>
      <c r="AK61" s="1059">
        <f t="shared" si="40"/>
        <v>0</v>
      </c>
      <c r="AL61" s="1059">
        <f t="shared" si="40"/>
        <v>0</v>
      </c>
      <c r="AM61" s="1059">
        <f t="shared" si="40"/>
        <v>0</v>
      </c>
      <c r="AN61" s="1059">
        <f t="shared" si="40"/>
        <v>0</v>
      </c>
      <c r="AO61" s="1059">
        <f>AO28*AO43</f>
        <v>-38110.303343540647</v>
      </c>
      <c r="AP61" s="1059">
        <f t="shared" si="40"/>
        <v>-57291.956766210686</v>
      </c>
      <c r="AQ61" s="1059">
        <f t="shared" si="40"/>
        <v>-68090.44583340922</v>
      </c>
      <c r="AR61" s="1059">
        <f t="shared" si="40"/>
        <v>-60960.982440773252</v>
      </c>
      <c r="AS61" s="1059">
        <f t="shared" si="40"/>
        <v>-36216.434917285733</v>
      </c>
      <c r="AT61" s="1059">
        <f t="shared" si="40"/>
        <v>-2917.9989437308504</v>
      </c>
      <c r="AU61" s="1282">
        <f>SUM(B61:AT61)</f>
        <v>-263588.12224495038</v>
      </c>
      <c r="BD61" s="142">
        <v>-379257.11445347406</v>
      </c>
    </row>
    <row r="62" spans="1:56" ht="16.149999999999999" thickBot="1">
      <c r="A62" s="1070" t="s">
        <v>1810</v>
      </c>
      <c r="B62" s="1318">
        <f t="shared" ref="B62:V62" si="41">SUM(B57:B61)+B41</f>
        <v>1741.0313901345291</v>
      </c>
      <c r="C62" s="1318">
        <f t="shared" si="41"/>
        <v>1741.0313901345291</v>
      </c>
      <c r="D62" s="1318">
        <f t="shared" si="41"/>
        <v>1741.0313901345291</v>
      </c>
      <c r="E62" s="1318">
        <f t="shared" si="41"/>
        <v>1741.0313901345291</v>
      </c>
      <c r="F62" s="1318">
        <f t="shared" si="41"/>
        <v>3834.4843049327346</v>
      </c>
      <c r="G62" s="1318">
        <f t="shared" si="41"/>
        <v>3834.4843049327346</v>
      </c>
      <c r="H62" s="1318">
        <f t="shared" si="41"/>
        <v>3834.4843049327346</v>
      </c>
      <c r="I62" s="1318">
        <f t="shared" si="41"/>
        <v>3834.4843049327346</v>
      </c>
      <c r="J62" s="1318">
        <f t="shared" si="41"/>
        <v>3655.8654708520171</v>
      </c>
      <c r="K62" s="1318">
        <f t="shared" si="41"/>
        <v>5398.6905829596408</v>
      </c>
      <c r="L62" s="1318">
        <f t="shared" si="41"/>
        <v>5398.6905829596408</v>
      </c>
      <c r="M62" s="1318">
        <f t="shared" si="41"/>
        <v>5398.6905829596408</v>
      </c>
      <c r="N62" s="1318">
        <f t="shared" si="41"/>
        <v>5746.8968609865469</v>
      </c>
      <c r="O62" s="1318">
        <f t="shared" si="41"/>
        <v>7247.7174887892379</v>
      </c>
      <c r="P62" s="1318">
        <f t="shared" si="41"/>
        <v>7247.7174887892379</v>
      </c>
      <c r="Q62" s="1318">
        <f t="shared" si="41"/>
        <v>7247.7174887892379</v>
      </c>
      <c r="R62" s="1318">
        <f t="shared" si="41"/>
        <v>9226.3721973094162</v>
      </c>
      <c r="S62" s="1317">
        <f t="shared" si="41"/>
        <v>10696.021455061562</v>
      </c>
      <c r="T62" s="1317">
        <f t="shared" si="41"/>
        <v>12996.717042899279</v>
      </c>
      <c r="U62" s="1317">
        <f t="shared" si="41"/>
        <v>14219.125554248769</v>
      </c>
      <c r="V62" s="1319">
        <f t="shared" si="41"/>
        <v>9384.6143697407333</v>
      </c>
      <c r="W62" s="1319">
        <f t="shared" ref="W62:AR62" si="42">SUM(W57:W61)+W41</f>
        <v>5473.5722203794967</v>
      </c>
      <c r="X62" s="1060">
        <f t="shared" si="42"/>
        <v>12652.589248900655</v>
      </c>
      <c r="Y62" s="1060">
        <f t="shared" si="42"/>
        <v>13054.21621976019</v>
      </c>
      <c r="Z62" s="1551">
        <f t="shared" si="42"/>
        <v>13868.45542823801</v>
      </c>
      <c r="AA62" s="1551">
        <f t="shared" si="42"/>
        <v>11982.939246538019</v>
      </c>
      <c r="AB62" s="1551">
        <f t="shared" si="42"/>
        <v>17288.04441511989</v>
      </c>
      <c r="AC62" s="1551">
        <f t="shared" si="42"/>
        <v>24495.243372858167</v>
      </c>
      <c r="AD62" s="1320">
        <f t="shared" si="42"/>
        <v>29328.27134519611</v>
      </c>
      <c r="AE62" s="1320">
        <f t="shared" si="42"/>
        <v>25948.287597025679</v>
      </c>
      <c r="AF62" s="1553">
        <f t="shared" si="42"/>
        <v>25014.001895834925</v>
      </c>
      <c r="AG62" s="1553">
        <f t="shared" si="42"/>
        <v>29550.650952229607</v>
      </c>
      <c r="AH62" s="1554">
        <f t="shared" si="42"/>
        <v>43333.117879737816</v>
      </c>
      <c r="AI62" s="1554">
        <f t="shared" si="42"/>
        <v>43617.238297585573</v>
      </c>
      <c r="AJ62" s="1554">
        <f t="shared" si="42"/>
        <v>46321.59694725959</v>
      </c>
      <c r="AK62" s="1552">
        <f t="shared" si="42"/>
        <v>51371.68981553764</v>
      </c>
      <c r="AL62" s="1552">
        <f>SUM(AL57:AL61)+AL41</f>
        <v>55608.819416537503</v>
      </c>
      <c r="AM62" s="1552">
        <f t="shared" si="42"/>
        <v>62535.435788737617</v>
      </c>
      <c r="AN62" s="1552">
        <f>SUM(AN57:AN61)+AN41</f>
        <v>50288.499955267878</v>
      </c>
      <c r="AO62" s="1552">
        <f>SUM(AO57:AO61)+AO41</f>
        <v>12218.570537623717</v>
      </c>
      <c r="AP62" s="818">
        <f>SUM(AP57:AP61)+AP41</f>
        <v>0</v>
      </c>
      <c r="AQ62" s="818">
        <f t="shared" si="42"/>
        <v>0</v>
      </c>
      <c r="AR62" s="818">
        <f t="shared" si="42"/>
        <v>0</v>
      </c>
      <c r="AS62" s="818">
        <f>SUM(AS57:AS61)+AS41</f>
        <v>0</v>
      </c>
      <c r="AT62" s="818">
        <f>SUM(AT57:AT61)+AT41</f>
        <v>0</v>
      </c>
      <c r="AU62" s="807">
        <f t="shared" si="20"/>
        <v>700118.14052698214</v>
      </c>
      <c r="AV62" s="1066"/>
      <c r="AW62" s="1066"/>
      <c r="AX62" s="1066"/>
      <c r="BD62" s="142">
        <v>0</v>
      </c>
    </row>
    <row r="63" spans="1:56" ht="15.6">
      <c r="A63" s="1075"/>
      <c r="B63" s="1061"/>
      <c r="C63" s="1061"/>
      <c r="D63" s="1075"/>
      <c r="E63" s="1061"/>
      <c r="F63" s="1075"/>
      <c r="G63" s="1061"/>
      <c r="H63" s="1061"/>
      <c r="I63" s="1061"/>
      <c r="J63" s="1061"/>
      <c r="K63" s="1061"/>
      <c r="L63" s="1061"/>
      <c r="M63" s="1061"/>
      <c r="N63" s="1061"/>
      <c r="O63" s="1061"/>
      <c r="P63" s="1061"/>
      <c r="Q63" s="1061"/>
      <c r="R63" s="1061"/>
      <c r="S63" s="1061"/>
      <c r="T63" s="1061"/>
      <c r="U63" s="1061"/>
      <c r="V63" s="1061"/>
      <c r="W63" s="1061"/>
      <c r="X63" s="1061"/>
      <c r="Y63" s="1061"/>
      <c r="Z63" s="1061"/>
      <c r="AA63" s="1061"/>
      <c r="AB63" s="1061"/>
      <c r="AC63" s="1061"/>
      <c r="AD63" s="1061"/>
      <c r="AE63" s="1061"/>
      <c r="AF63" s="1061"/>
      <c r="AG63" s="1061"/>
      <c r="AH63" s="1061"/>
      <c r="AI63" s="1061"/>
      <c r="AJ63" s="1061"/>
      <c r="AK63" s="1061"/>
      <c r="AL63" s="1061"/>
      <c r="AM63" s="1061"/>
      <c r="AN63" s="1061"/>
      <c r="AO63" s="1061"/>
      <c r="AP63" s="1061"/>
      <c r="AQ63" s="1061"/>
      <c r="AR63" s="1061"/>
      <c r="AS63" s="1061"/>
      <c r="AT63" s="1061"/>
      <c r="AU63" s="1062"/>
      <c r="AV63" s="1061"/>
      <c r="AW63" s="1061"/>
      <c r="AX63" s="1061"/>
    </row>
    <row r="64" spans="1:56" ht="15.6">
      <c r="A64" s="1075" t="s">
        <v>1811</v>
      </c>
      <c r="B64" s="1061"/>
      <c r="C64" s="1061"/>
      <c r="D64" s="1075" t="s">
        <v>1812</v>
      </c>
      <c r="E64" s="1061"/>
      <c r="F64" s="1075" t="s">
        <v>62</v>
      </c>
      <c r="G64" s="1061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1"/>
      <c r="X64" s="1061"/>
      <c r="Y64" s="1061"/>
      <c r="Z64" s="1061"/>
      <c r="AA64" s="1061"/>
      <c r="AB64" s="1061"/>
      <c r="AC64" s="1061"/>
      <c r="AD64" s="1061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061"/>
      <c r="AP64" s="1061"/>
      <c r="AQ64" s="1061"/>
      <c r="AR64" s="1061"/>
      <c r="AS64" s="1061"/>
      <c r="AT64" s="1061"/>
      <c r="AU64" s="1062"/>
      <c r="AV64" s="1061"/>
      <c r="AW64" s="1061"/>
      <c r="AX64" s="1061"/>
    </row>
    <row r="65" spans="1:53">
      <c r="A65" s="1061" t="s">
        <v>1813</v>
      </c>
      <c r="B65" s="1064">
        <f>+'Feed Cost &amp; Allocation'!T74+'Feed Cost &amp; Allocation'!I74</f>
        <v>3816</v>
      </c>
      <c r="C65" s="1061"/>
      <c r="D65" s="1061"/>
      <c r="E65" s="1061"/>
      <c r="F65" s="1061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  <c r="AR65" s="1061"/>
      <c r="AS65" s="1061"/>
      <c r="AT65" s="1061"/>
      <c r="AU65" s="1062"/>
      <c r="AV65" s="1061"/>
      <c r="AW65" s="1061"/>
      <c r="AX65" s="1061"/>
    </row>
    <row r="66" spans="1:53">
      <c r="A66" s="1061" t="s">
        <v>60</v>
      </c>
      <c r="B66" s="1064">
        <f>+'Feed Cost &amp; Allocation'!K74+'Feed Cost &amp; Allocation'!N74+'Feed Cost &amp; Allocation'!AE74</f>
        <v>22502</v>
      </c>
      <c r="C66" s="1061"/>
      <c r="D66" s="1064">
        <f>+'Feed Cost &amp; Allocation'!L74</f>
        <v>12835</v>
      </c>
      <c r="E66" s="1061"/>
      <c r="F66" s="1064">
        <f>+'Feed Cost &amp; Allocation'!C74+'Feed Cost &amp; Allocation'!AC74+'Feed Cost &amp; Allocation'!AG74</f>
        <v>9310</v>
      </c>
      <c r="G66" s="1061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061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1"/>
      <c r="AW66" s="1061"/>
      <c r="AX66" s="1061"/>
    </row>
    <row r="67" spans="1:53">
      <c r="A67" s="1061" t="s">
        <v>1829</v>
      </c>
      <c r="B67" s="1064">
        <f>+'Feed Cost &amp; Allocation'!O74</f>
        <v>4742</v>
      </c>
      <c r="C67" s="1061"/>
      <c r="D67" s="1064">
        <f>+'Feed Cost &amp; Allocation'!M74</f>
        <v>3019</v>
      </c>
      <c r="E67" s="1061"/>
      <c r="F67" s="1064">
        <f>SUM(W23:Z23)/(SUM(W29:Z29)-SUM(W23:Z23))*F66</f>
        <v>0</v>
      </c>
      <c r="G67" s="1061"/>
      <c r="H67" s="1061"/>
      <c r="I67" s="1061"/>
      <c r="J67" s="1061"/>
      <c r="K67" s="1061"/>
      <c r="L67" s="1061"/>
      <c r="M67" s="1061"/>
      <c r="N67" s="1061"/>
      <c r="O67" s="1061"/>
      <c r="P67" s="1061"/>
      <c r="Q67" s="1061"/>
      <c r="R67" s="1061"/>
      <c r="S67" s="1061"/>
      <c r="T67" s="1061"/>
      <c r="U67" s="1061"/>
      <c r="V67" s="1061"/>
      <c r="W67" s="1061"/>
      <c r="X67" s="1061"/>
      <c r="Y67" s="1061"/>
      <c r="Z67" s="1061"/>
      <c r="AA67" s="1061"/>
      <c r="AB67" s="1061"/>
      <c r="AC67" s="1061"/>
      <c r="AD67" s="1061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  <c r="AR67" s="1061"/>
      <c r="AS67" s="1061"/>
      <c r="AT67" s="1061"/>
      <c r="AU67" s="1062"/>
      <c r="AV67" s="1061"/>
      <c r="AW67" s="1061"/>
      <c r="AX67" s="1061"/>
    </row>
    <row r="68" spans="1:53" ht="15.6">
      <c r="A68" s="1075" t="s">
        <v>71</v>
      </c>
      <c r="B68" s="1076">
        <f>SUM(B65:B67)</f>
        <v>31060</v>
      </c>
      <c r="C68" s="1061"/>
      <c r="D68" s="1076">
        <f>SUM(D65:D67)</f>
        <v>15854</v>
      </c>
      <c r="E68" s="1061"/>
      <c r="F68" s="1064">
        <f>SUM(F66:F67)</f>
        <v>9310</v>
      </c>
      <c r="G68" s="1061"/>
      <c r="H68" s="1061"/>
      <c r="I68" s="1061"/>
      <c r="J68" s="1061"/>
      <c r="K68" s="1061"/>
      <c r="L68" s="1061"/>
      <c r="M68" s="1061"/>
      <c r="N68" s="1061"/>
      <c r="O68" s="1061"/>
      <c r="P68" s="1061"/>
      <c r="Q68" s="1061"/>
      <c r="R68" s="1061"/>
      <c r="S68" s="1061"/>
      <c r="T68" s="1061"/>
      <c r="U68" s="1061"/>
      <c r="V68" s="1061"/>
      <c r="W68" s="1061"/>
      <c r="X68" s="1061"/>
      <c r="Y68" s="1061"/>
      <c r="Z68" s="1061"/>
      <c r="AA68" s="1061"/>
      <c r="AB68" s="1061"/>
      <c r="AC68" s="1061"/>
      <c r="AD68" s="1061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  <c r="AR68" s="1061"/>
      <c r="AS68" s="1061"/>
      <c r="AT68" s="1061"/>
      <c r="AU68" s="1062"/>
      <c r="AV68" s="1061"/>
      <c r="AW68" s="1061"/>
      <c r="AX68" s="1061"/>
    </row>
    <row r="69" spans="1:53">
      <c r="A69" s="1061"/>
      <c r="B69" s="1061"/>
      <c r="C69" s="1061"/>
      <c r="D69" s="1061"/>
      <c r="E69" s="1061"/>
      <c r="F69" s="1061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1"/>
      <c r="AW69" s="1061"/>
      <c r="AX69" s="1061"/>
    </row>
    <row r="70" spans="1:53" ht="15.6">
      <c r="A70" s="1077" t="s">
        <v>1815</v>
      </c>
      <c r="B70" s="1077" t="str">
        <f t="shared" ref="B70:AA70" si="43">B3</f>
        <v>DRY SOW</v>
      </c>
      <c r="C70" s="1077" t="str">
        <f t="shared" si="43"/>
        <v>DRY SOW</v>
      </c>
      <c r="D70" s="1077" t="str">
        <f t="shared" si="43"/>
        <v>DRY SOW</v>
      </c>
      <c r="E70" s="1078" t="str">
        <f t="shared" si="43"/>
        <v>DRY SOW</v>
      </c>
      <c r="F70" s="1078" t="str">
        <f t="shared" si="43"/>
        <v>DRY SOW</v>
      </c>
      <c r="G70" s="1078" t="str">
        <f t="shared" si="43"/>
        <v>DRY SOW</v>
      </c>
      <c r="H70" s="1078" t="str">
        <f t="shared" si="43"/>
        <v>DRY SOW</v>
      </c>
      <c r="I70" s="1078" t="str">
        <f t="shared" si="43"/>
        <v>DRY SOW</v>
      </c>
      <c r="J70" s="1078" t="str">
        <f t="shared" si="43"/>
        <v>DRY SOW</v>
      </c>
      <c r="K70" s="1078" t="str">
        <f t="shared" si="43"/>
        <v>DRY SOW</v>
      </c>
      <c r="L70" s="1078" t="str">
        <f t="shared" si="43"/>
        <v>DRY SOW</v>
      </c>
      <c r="M70" s="1078" t="str">
        <f t="shared" si="43"/>
        <v>DRY SOW</v>
      </c>
      <c r="N70" s="1078" t="str">
        <f t="shared" si="43"/>
        <v>DRY SOW</v>
      </c>
      <c r="O70" s="1078" t="str">
        <f t="shared" si="43"/>
        <v>DRY SOW</v>
      </c>
      <c r="P70" s="1078" t="str">
        <f t="shared" si="43"/>
        <v>DRY SOW</v>
      </c>
      <c r="Q70" s="1078" t="str">
        <f t="shared" si="43"/>
        <v>DRY SOW</v>
      </c>
      <c r="R70" s="1078" t="str">
        <f t="shared" si="43"/>
        <v>Flush</v>
      </c>
      <c r="S70" s="1078" t="str">
        <f t="shared" si="43"/>
        <v>LACTATE</v>
      </c>
      <c r="T70" s="1078" t="str">
        <f t="shared" si="43"/>
        <v>LACTATE</v>
      </c>
      <c r="U70" s="1078" t="str">
        <f t="shared" si="43"/>
        <v>LACTATE</v>
      </c>
      <c r="V70" s="1078" t="str">
        <f t="shared" si="43"/>
        <v>Early Wean</v>
      </c>
      <c r="W70" s="1078" t="str">
        <f t="shared" si="43"/>
        <v>Early Wean</v>
      </c>
      <c r="X70" s="1078" t="str">
        <f t="shared" si="43"/>
        <v>CREEP</v>
      </c>
      <c r="Y70" s="1078" t="str">
        <f t="shared" si="43"/>
        <v>CREEP</v>
      </c>
      <c r="Z70" s="1078" t="str">
        <f t="shared" si="43"/>
        <v>WEANER</v>
      </c>
      <c r="AA70" s="1078" t="str">
        <f t="shared" si="43"/>
        <v>WEANER</v>
      </c>
      <c r="AB70" s="1078" t="str">
        <f>AA70</f>
        <v>WEANER</v>
      </c>
      <c r="AC70" s="1078" t="str">
        <f>AB70</f>
        <v>WEANER</v>
      </c>
      <c r="AD70" s="1078" t="str">
        <f t="shared" ref="AD70:AN70" si="44">AD3</f>
        <v>GROWER 1</v>
      </c>
      <c r="AE70" s="1078" t="str">
        <f t="shared" si="44"/>
        <v>GROWER 1</v>
      </c>
      <c r="AF70" s="1078" t="str">
        <f t="shared" si="44"/>
        <v>GROWER 2</v>
      </c>
      <c r="AG70" s="1078" t="str">
        <f t="shared" si="44"/>
        <v>GROWER 2</v>
      </c>
      <c r="AH70" s="1078" t="str">
        <f t="shared" si="44"/>
        <v>GROWER 3</v>
      </c>
      <c r="AI70" s="1078" t="str">
        <f t="shared" si="44"/>
        <v>GROWER 3</v>
      </c>
      <c r="AJ70" s="1078" t="str">
        <f t="shared" si="44"/>
        <v>GROWER 3</v>
      </c>
      <c r="AK70" s="1078" t="str">
        <f t="shared" si="44"/>
        <v>FINISHER</v>
      </c>
      <c r="AL70" s="1078" t="str">
        <f t="shared" si="44"/>
        <v>FINISHER</v>
      </c>
      <c r="AM70" s="1078" t="str">
        <f t="shared" si="44"/>
        <v>FINISHER</v>
      </c>
      <c r="AN70" s="1078" t="str">
        <f t="shared" si="44"/>
        <v>FINISHER</v>
      </c>
      <c r="AO70" s="1078" t="s">
        <v>71</v>
      </c>
      <c r="AP70" s="1079"/>
      <c r="AQ70" s="1079"/>
      <c r="AR70" s="1079"/>
      <c r="AS70" s="1066"/>
      <c r="AT70" s="1068"/>
      <c r="AU70" s="1066"/>
      <c r="AV70" s="1066"/>
      <c r="AW70" s="1066"/>
    </row>
    <row r="71" spans="1:53" ht="15.6">
      <c r="A71" s="1077" t="s">
        <v>1816</v>
      </c>
      <c r="B71" s="1077">
        <v>7</v>
      </c>
      <c r="C71" s="1077">
        <v>7</v>
      </c>
      <c r="D71" s="1077">
        <v>7</v>
      </c>
      <c r="E71" s="1077">
        <v>7</v>
      </c>
      <c r="F71" s="1077">
        <v>7</v>
      </c>
      <c r="G71" s="1077">
        <v>7</v>
      </c>
      <c r="H71" s="1077">
        <v>7</v>
      </c>
      <c r="I71" s="1077">
        <v>7</v>
      </c>
      <c r="J71" s="1077">
        <v>7</v>
      </c>
      <c r="K71" s="1077">
        <v>7</v>
      </c>
      <c r="L71" s="1077">
        <v>7</v>
      </c>
      <c r="M71" s="1077">
        <v>7</v>
      </c>
      <c r="N71" s="1077">
        <v>7</v>
      </c>
      <c r="O71" s="1077">
        <v>7</v>
      </c>
      <c r="P71" s="1077">
        <v>7</v>
      </c>
      <c r="Q71" s="1077">
        <v>7</v>
      </c>
      <c r="R71" s="1077">
        <v>7</v>
      </c>
      <c r="S71" s="1077">
        <v>7</v>
      </c>
      <c r="T71" s="1077">
        <v>7</v>
      </c>
      <c r="U71" s="1077">
        <v>7</v>
      </c>
      <c r="V71" s="1077">
        <v>7</v>
      </c>
      <c r="W71" s="1077">
        <v>7</v>
      </c>
      <c r="X71" s="1077">
        <v>7</v>
      </c>
      <c r="Y71" s="1077">
        <v>7</v>
      </c>
      <c r="Z71" s="1077">
        <v>7</v>
      </c>
      <c r="AA71" s="1077">
        <v>7</v>
      </c>
      <c r="AB71" s="1077">
        <v>7</v>
      </c>
      <c r="AC71" s="1077">
        <v>7</v>
      </c>
      <c r="AD71" s="1077">
        <v>7</v>
      </c>
      <c r="AE71" s="1077">
        <v>7</v>
      </c>
      <c r="AF71" s="1077">
        <v>7</v>
      </c>
      <c r="AG71" s="1077">
        <v>7</v>
      </c>
      <c r="AH71" s="1077">
        <v>7</v>
      </c>
      <c r="AI71" s="1077">
        <v>7</v>
      </c>
      <c r="AJ71" s="1077">
        <v>7</v>
      </c>
      <c r="AK71" s="1077">
        <v>7</v>
      </c>
      <c r="AL71" s="1077">
        <v>7</v>
      </c>
      <c r="AM71" s="1077">
        <v>7</v>
      </c>
      <c r="AN71" s="1077">
        <v>7</v>
      </c>
      <c r="AO71" s="1077"/>
      <c r="AP71" s="1066"/>
      <c r="AQ71" s="1066"/>
      <c r="AR71" s="1066"/>
      <c r="AS71" s="1066"/>
      <c r="AT71" s="1068"/>
      <c r="AU71" s="1066"/>
      <c r="AV71" s="1066"/>
      <c r="AW71" s="1066"/>
      <c r="BA71" s="818" t="e">
        <f>+#REF!+'Grasmere Pig Cost'!AT61</f>
        <v>#REF!</v>
      </c>
    </row>
    <row r="72" spans="1:53" ht="15.6">
      <c r="A72" s="1077" t="s">
        <v>1817</v>
      </c>
      <c r="B72" s="1077">
        <v>2.5</v>
      </c>
      <c r="C72" s="1077">
        <v>2.5</v>
      </c>
      <c r="D72" s="1077">
        <v>2.5</v>
      </c>
      <c r="E72" s="1077">
        <v>2.5</v>
      </c>
      <c r="F72" s="1077">
        <v>2.2999999999999998</v>
      </c>
      <c r="G72" s="1077">
        <v>2.2999999999999998</v>
      </c>
      <c r="H72" s="1077">
        <v>2.2999999999999998</v>
      </c>
      <c r="I72" s="1077">
        <v>2.2999999999999998</v>
      </c>
      <c r="J72" s="1077">
        <v>2.2999999999999998</v>
      </c>
      <c r="K72" s="1077">
        <v>2.2999999999999998</v>
      </c>
      <c r="L72" s="1077">
        <v>2.2999999999999998</v>
      </c>
      <c r="M72" s="1077">
        <v>2.2999999999999998</v>
      </c>
      <c r="N72" s="1077">
        <v>2.8</v>
      </c>
      <c r="O72" s="1077">
        <v>2.8</v>
      </c>
      <c r="P72" s="1077">
        <v>2.8</v>
      </c>
      <c r="Q72" s="1077">
        <v>2.8</v>
      </c>
      <c r="R72" s="1077">
        <v>5</v>
      </c>
      <c r="S72" s="1080">
        <v>3</v>
      </c>
      <c r="T72" s="1080">
        <v>5.5</v>
      </c>
      <c r="U72" s="1080">
        <v>7</v>
      </c>
      <c r="V72" s="1080">
        <v>9.5</v>
      </c>
      <c r="W72" s="1077">
        <v>0.35</v>
      </c>
      <c r="X72" s="1077">
        <v>0.5</v>
      </c>
      <c r="Y72" s="1077">
        <v>0.6</v>
      </c>
      <c r="Z72" s="1077">
        <v>0.9</v>
      </c>
      <c r="AA72" s="1077">
        <v>1.1000000000000001</v>
      </c>
      <c r="AB72" s="1077">
        <v>1.2</v>
      </c>
      <c r="AC72" s="1080">
        <v>1.4</v>
      </c>
      <c r="AD72" s="1080">
        <v>1.6</v>
      </c>
      <c r="AE72" s="1080">
        <v>1.8</v>
      </c>
      <c r="AF72" s="1080">
        <v>2</v>
      </c>
      <c r="AG72" s="1080">
        <v>2.2000000000000002</v>
      </c>
      <c r="AH72" s="1080">
        <v>2.2999999999999998</v>
      </c>
      <c r="AI72" s="1080">
        <v>2.4</v>
      </c>
      <c r="AJ72" s="1080">
        <v>2.5</v>
      </c>
      <c r="AK72" s="1080">
        <v>2.7</v>
      </c>
      <c r="AL72" s="1080">
        <v>2.9</v>
      </c>
      <c r="AM72" s="1080">
        <v>3</v>
      </c>
      <c r="AN72" s="1080">
        <v>3</v>
      </c>
      <c r="AO72" s="1080"/>
      <c r="AP72" s="1073"/>
      <c r="AQ72" s="1073"/>
      <c r="AR72" s="1073"/>
      <c r="AS72" s="1066"/>
      <c r="AT72" s="1068"/>
      <c r="AU72" s="1066"/>
      <c r="AV72" s="1066"/>
      <c r="AW72" s="1066"/>
    </row>
    <row r="73" spans="1:53" ht="15.6">
      <c r="A73" s="1077" t="s">
        <v>1818</v>
      </c>
      <c r="B73" s="1081">
        <f>'Summary Total Pigs'!AF93/17*4</f>
        <v>101.88235294117646</v>
      </c>
      <c r="C73" s="1081">
        <f>B73</f>
        <v>101.88235294117646</v>
      </c>
      <c r="D73" s="1081">
        <f t="shared" ref="D73:R73" si="45">C73</f>
        <v>101.88235294117646</v>
      </c>
      <c r="E73" s="1081">
        <f>D73</f>
        <v>101.88235294117646</v>
      </c>
      <c r="F73" s="1081">
        <f t="shared" si="45"/>
        <v>101.88235294117646</v>
      </c>
      <c r="G73" s="1081">
        <f t="shared" si="45"/>
        <v>101.88235294117646</v>
      </c>
      <c r="H73" s="1081">
        <f t="shared" si="45"/>
        <v>101.88235294117646</v>
      </c>
      <c r="I73" s="1081">
        <f t="shared" si="45"/>
        <v>101.88235294117646</v>
      </c>
      <c r="J73" s="1081">
        <f t="shared" si="45"/>
        <v>101.88235294117646</v>
      </c>
      <c r="K73" s="1081">
        <f t="shared" si="45"/>
        <v>101.88235294117646</v>
      </c>
      <c r="L73" s="1081">
        <f t="shared" si="45"/>
        <v>101.88235294117646</v>
      </c>
      <c r="M73" s="1081">
        <f t="shared" si="45"/>
        <v>101.88235294117646</v>
      </c>
      <c r="N73" s="1081">
        <f t="shared" si="45"/>
        <v>101.88235294117646</v>
      </c>
      <c r="O73" s="1081">
        <f t="shared" si="45"/>
        <v>101.88235294117646</v>
      </c>
      <c r="P73" s="1081">
        <f t="shared" si="45"/>
        <v>101.88235294117646</v>
      </c>
      <c r="Q73" s="1081">
        <f t="shared" si="45"/>
        <v>101.88235294117646</v>
      </c>
      <c r="R73" s="1081">
        <f t="shared" si="45"/>
        <v>101.88235294117646</v>
      </c>
      <c r="S73" s="1081">
        <f>R73</f>
        <v>101.88235294117646</v>
      </c>
      <c r="T73" s="1081">
        <f>S73</f>
        <v>101.88235294117646</v>
      </c>
      <c r="U73" s="1081">
        <f>T73</f>
        <v>101.88235294117646</v>
      </c>
      <c r="V73" s="1081">
        <f>U73</f>
        <v>101.88235294117646</v>
      </c>
      <c r="W73" s="1081">
        <f t="shared" ref="W73:AK73" si="46">SUM(W7:Z7)</f>
        <v>1003</v>
      </c>
      <c r="X73" s="1081">
        <f t="shared" si="46"/>
        <v>1038</v>
      </c>
      <c r="Y73" s="1081">
        <f t="shared" si="46"/>
        <v>905</v>
      </c>
      <c r="Z73" s="1081">
        <f t="shared" si="46"/>
        <v>820</v>
      </c>
      <c r="AA73" s="1081">
        <f t="shared" si="46"/>
        <v>723</v>
      </c>
      <c r="AB73" s="1081">
        <f t="shared" si="46"/>
        <v>729</v>
      </c>
      <c r="AC73" s="1081">
        <f t="shared" si="46"/>
        <v>755</v>
      </c>
      <c r="AD73" s="1081">
        <f t="shared" si="46"/>
        <v>737</v>
      </c>
      <c r="AE73" s="1081">
        <f t="shared" si="46"/>
        <v>715</v>
      </c>
      <c r="AF73" s="1081">
        <f t="shared" si="46"/>
        <v>702</v>
      </c>
      <c r="AG73" s="1081">
        <f t="shared" si="46"/>
        <v>703</v>
      </c>
      <c r="AH73" s="1081">
        <f t="shared" si="46"/>
        <v>691</v>
      </c>
      <c r="AI73" s="1081">
        <f t="shared" si="46"/>
        <v>700</v>
      </c>
      <c r="AJ73" s="1081">
        <f t="shared" si="46"/>
        <v>710</v>
      </c>
      <c r="AK73" s="1081">
        <f t="shared" si="46"/>
        <v>678</v>
      </c>
      <c r="AL73" s="1081">
        <f>SUM(AL7:AP7)</f>
        <v>881</v>
      </c>
      <c r="AM73" s="1081">
        <f>SUM(AM7:AQ7)</f>
        <v>884</v>
      </c>
      <c r="AN73" s="1081">
        <f>SUM(AN7:AQ7)</f>
        <v>702</v>
      </c>
      <c r="AO73" s="1077"/>
      <c r="AP73" s="1066"/>
      <c r="AQ73" s="1066"/>
      <c r="AR73" s="1066"/>
      <c r="AS73" s="1066"/>
      <c r="AT73" s="1068"/>
      <c r="AU73" s="1066"/>
      <c r="AV73" s="1066"/>
      <c r="AW73" s="1066"/>
    </row>
    <row r="74" spans="1:53" ht="15.6">
      <c r="A74" s="1077" t="s">
        <v>1819</v>
      </c>
      <c r="B74" s="1081">
        <f>B71*B72*B73</f>
        <v>1782.9411764705881</v>
      </c>
      <c r="C74" s="1081">
        <f t="shared" ref="C74:Q74" si="47">C71*C72*C73</f>
        <v>1782.9411764705881</v>
      </c>
      <c r="D74" s="1081">
        <f t="shared" si="47"/>
        <v>1782.9411764705881</v>
      </c>
      <c r="E74" s="1081">
        <f t="shared" si="47"/>
        <v>1782.9411764705881</v>
      </c>
      <c r="F74" s="1081">
        <f t="shared" si="47"/>
        <v>1640.3058823529409</v>
      </c>
      <c r="G74" s="1081">
        <f>G71*G72*G73</f>
        <v>1640.3058823529409</v>
      </c>
      <c r="H74" s="1081">
        <f t="shared" si="47"/>
        <v>1640.3058823529409</v>
      </c>
      <c r="I74" s="1081">
        <f t="shared" si="47"/>
        <v>1640.3058823529409</v>
      </c>
      <c r="J74" s="1081">
        <f t="shared" si="47"/>
        <v>1640.3058823529409</v>
      </c>
      <c r="K74" s="1081">
        <f>K71*K72*K73</f>
        <v>1640.3058823529409</v>
      </c>
      <c r="L74" s="1081">
        <f t="shared" si="47"/>
        <v>1640.3058823529409</v>
      </c>
      <c r="M74" s="1081">
        <f t="shared" si="47"/>
        <v>1640.3058823529409</v>
      </c>
      <c r="N74" s="1081">
        <f t="shared" si="47"/>
        <v>1996.8941176470585</v>
      </c>
      <c r="O74" s="1081">
        <f t="shared" si="47"/>
        <v>1996.8941176470585</v>
      </c>
      <c r="P74" s="1081">
        <f t="shared" si="47"/>
        <v>1996.8941176470585</v>
      </c>
      <c r="Q74" s="1081">
        <f t="shared" si="47"/>
        <v>1996.8941176470585</v>
      </c>
      <c r="R74" s="1081">
        <f>R71*R72*R73</f>
        <v>3565.8823529411761</v>
      </c>
      <c r="S74" s="1081">
        <f>S71*S72*S73</f>
        <v>2139.5294117647059</v>
      </c>
      <c r="T74" s="1081">
        <f t="shared" ref="T74:AL74" si="48">T71*T72*T73</f>
        <v>3922.4705882352937</v>
      </c>
      <c r="U74" s="1081">
        <f t="shared" si="48"/>
        <v>4992.2352941176468</v>
      </c>
      <c r="V74" s="1081">
        <f>V71*V72*V73</f>
        <v>6775.1764705882351</v>
      </c>
      <c r="W74" s="1081">
        <f t="shared" si="48"/>
        <v>2457.35</v>
      </c>
      <c r="X74" s="1081">
        <f>X71*X72*X73</f>
        <v>3633</v>
      </c>
      <c r="Y74" s="1081">
        <f t="shared" si="48"/>
        <v>3801</v>
      </c>
      <c r="Z74" s="1081">
        <f t="shared" si="48"/>
        <v>5166</v>
      </c>
      <c r="AA74" s="1081">
        <f t="shared" si="48"/>
        <v>5567.1</v>
      </c>
      <c r="AB74" s="1081">
        <f t="shared" si="48"/>
        <v>6123.6</v>
      </c>
      <c r="AC74" s="1081">
        <f t="shared" si="48"/>
        <v>7398.9999999999991</v>
      </c>
      <c r="AD74" s="1081">
        <f t="shared" si="48"/>
        <v>8254.4000000000015</v>
      </c>
      <c r="AE74" s="1081">
        <f t="shared" si="48"/>
        <v>9009</v>
      </c>
      <c r="AF74" s="1081">
        <f t="shared" si="48"/>
        <v>9828</v>
      </c>
      <c r="AG74" s="1081">
        <f t="shared" si="48"/>
        <v>10826.2</v>
      </c>
      <c r="AH74" s="1081">
        <f t="shared" si="48"/>
        <v>11125.099999999999</v>
      </c>
      <c r="AI74" s="1081">
        <f t="shared" si="48"/>
        <v>11760</v>
      </c>
      <c r="AJ74" s="1081">
        <f t="shared" si="48"/>
        <v>12425</v>
      </c>
      <c r="AK74" s="1081">
        <f t="shared" si="48"/>
        <v>12814.2</v>
      </c>
      <c r="AL74" s="1081">
        <f t="shared" si="48"/>
        <v>17884.3</v>
      </c>
      <c r="AM74" s="1081">
        <f>AM71*AM72*AM73</f>
        <v>18564</v>
      </c>
      <c r="AN74" s="1081">
        <f>AN71*AN72*AN73</f>
        <v>14742</v>
      </c>
      <c r="AO74" s="1081">
        <f>SUM(B73:AN73)</f>
        <v>16215.529411764706</v>
      </c>
      <c r="AP74" s="1066"/>
      <c r="AQ74" s="1066"/>
      <c r="AR74" s="1066"/>
      <c r="AS74" s="1066"/>
      <c r="AT74" s="1068"/>
      <c r="AU74" s="1066"/>
      <c r="AV74" s="1066"/>
      <c r="AW74" s="1066"/>
    </row>
    <row r="75" spans="1:53" ht="15.6">
      <c r="A75" s="1077"/>
      <c r="B75" s="1081"/>
      <c r="C75" s="1081"/>
      <c r="D75" s="1081"/>
      <c r="E75" s="1081"/>
      <c r="F75" s="1081"/>
      <c r="G75" s="1081"/>
      <c r="H75" s="1081"/>
      <c r="I75" s="1081"/>
      <c r="J75" s="1081"/>
      <c r="K75" s="1081"/>
      <c r="L75" s="1081"/>
      <c r="M75" s="1081"/>
      <c r="N75" s="1081"/>
      <c r="O75" s="1081"/>
      <c r="P75" s="1081"/>
      <c r="Q75" s="1081"/>
      <c r="R75" s="1081">
        <f>SUM(B74:R74)</f>
        <v>31807.670588235291</v>
      </c>
      <c r="S75" s="1081"/>
      <c r="T75" s="1081"/>
      <c r="U75" s="1081">
        <f>SUM(S74:U74)</f>
        <v>11054.235294117647</v>
      </c>
      <c r="V75" s="1081"/>
      <c r="W75" s="1081">
        <f>SUM(V74:W74)</f>
        <v>9232.5264705882346</v>
      </c>
      <c r="X75" s="1081"/>
      <c r="Y75" s="1081">
        <f>SUM(X74:Y74)</f>
        <v>7434</v>
      </c>
      <c r="Z75" s="1081"/>
      <c r="AA75" s="1081">
        <v>0</v>
      </c>
      <c r="AB75" s="1081"/>
      <c r="AC75" s="1081">
        <f>SUM(Z74:AC74)</f>
        <v>24255.7</v>
      </c>
      <c r="AD75" s="1081"/>
      <c r="AE75" s="1081">
        <f>SUM(AD74:AE74)</f>
        <v>17263.400000000001</v>
      </c>
      <c r="AF75" s="1081"/>
      <c r="AG75" s="1081">
        <f>SUM(AF74:AG74)</f>
        <v>20654.2</v>
      </c>
      <c r="AH75" s="1081"/>
      <c r="AI75" s="1081"/>
      <c r="AJ75" s="1081"/>
      <c r="AK75" s="1081"/>
      <c r="AL75" s="1081">
        <f>SUM(AH74:AL74)</f>
        <v>66008.600000000006</v>
      </c>
      <c r="AM75" s="1081"/>
      <c r="AN75" s="1081">
        <f>SUM(AM74:AN74)</f>
        <v>33306</v>
      </c>
      <c r="AO75" s="1081">
        <f>SUM(B74:AN74)</f>
        <v>221016.33235294116</v>
      </c>
      <c r="AP75" s="1066"/>
      <c r="AQ75" s="1066"/>
      <c r="AR75" s="1066"/>
      <c r="AS75" s="1066"/>
      <c r="AT75" s="1068"/>
      <c r="AU75" s="1066"/>
      <c r="AV75" s="1066"/>
      <c r="AW75" s="1066"/>
    </row>
    <row r="76" spans="1:53" ht="15.6">
      <c r="A76" s="1077" t="s">
        <v>1820</v>
      </c>
      <c r="B76" s="1082">
        <f>B74/$R$75</f>
        <v>5.6053811659192827E-2</v>
      </c>
      <c r="C76" s="1082">
        <f t="shared" ref="C76:R76" si="49">C74/$R$75</f>
        <v>5.6053811659192827E-2</v>
      </c>
      <c r="D76" s="1082">
        <f t="shared" si="49"/>
        <v>5.6053811659192827E-2</v>
      </c>
      <c r="E76" s="1082">
        <f t="shared" si="49"/>
        <v>5.6053811659192827E-2</v>
      </c>
      <c r="F76" s="1082">
        <f t="shared" si="49"/>
        <v>5.1569506726457395E-2</v>
      </c>
      <c r="G76" s="1082">
        <f t="shared" si="49"/>
        <v>5.1569506726457395E-2</v>
      </c>
      <c r="H76" s="1082">
        <f>H74/$R$75</f>
        <v>5.1569506726457395E-2</v>
      </c>
      <c r="I76" s="1082">
        <f t="shared" si="49"/>
        <v>5.1569506726457395E-2</v>
      </c>
      <c r="J76" s="1082">
        <f t="shared" si="49"/>
        <v>5.1569506726457395E-2</v>
      </c>
      <c r="K76" s="1082">
        <f>K74/$R$75</f>
        <v>5.1569506726457395E-2</v>
      </c>
      <c r="L76" s="1082">
        <f t="shared" si="49"/>
        <v>5.1569506726457395E-2</v>
      </c>
      <c r="M76" s="1082">
        <f t="shared" si="49"/>
        <v>5.1569506726457395E-2</v>
      </c>
      <c r="N76" s="1082">
        <f t="shared" si="49"/>
        <v>6.2780269058295965E-2</v>
      </c>
      <c r="O76" s="1082">
        <f t="shared" si="49"/>
        <v>6.2780269058295965E-2</v>
      </c>
      <c r="P76" s="1082">
        <f t="shared" si="49"/>
        <v>6.2780269058295965E-2</v>
      </c>
      <c r="Q76" s="1082">
        <f t="shared" si="49"/>
        <v>6.2780269058295965E-2</v>
      </c>
      <c r="R76" s="1082">
        <f t="shared" si="49"/>
        <v>0.11210762331838565</v>
      </c>
      <c r="S76" s="1082">
        <f>S74/$U$75</f>
        <v>0.19354838709677419</v>
      </c>
      <c r="T76" s="1082">
        <f>T74/$U$75</f>
        <v>0.35483870967741932</v>
      </c>
      <c r="U76" s="1082">
        <f>U74/$U$75</f>
        <v>0.45161290322580644</v>
      </c>
      <c r="V76" s="1082">
        <f>V74/$W$75</f>
        <v>0.7338377520142183</v>
      </c>
      <c r="W76" s="1082">
        <f>W74/$W$75</f>
        <v>0.26616224798578175</v>
      </c>
      <c r="X76" s="1082">
        <f>X74/$Y$75</f>
        <v>0.48870056497175141</v>
      </c>
      <c r="Y76" s="1082">
        <f>Y74/$Y$75</f>
        <v>0.51129943502824859</v>
      </c>
      <c r="Z76" s="1082">
        <f>Z74/$AC$75</f>
        <v>0.2129808663530634</v>
      </c>
      <c r="AA76" s="1082">
        <f>AA74/$AC$75</f>
        <v>0.22951718565120777</v>
      </c>
      <c r="AB76" s="1082">
        <f>AB74/$AC$75</f>
        <v>0.25246024645753368</v>
      </c>
      <c r="AC76" s="1082">
        <f>AC74/$AC$75</f>
        <v>0.3050417015381951</v>
      </c>
      <c r="AD76" s="1082">
        <f>AD74/$AE$75</f>
        <v>0.47814451382694029</v>
      </c>
      <c r="AE76" s="1082">
        <f>AE74/$AE$75</f>
        <v>0.52185548617305977</v>
      </c>
      <c r="AF76" s="1082">
        <f>AF74/$AG$75</f>
        <v>0.47583542330373479</v>
      </c>
      <c r="AG76" s="1082">
        <f>AG74/$AG$75</f>
        <v>0.52416457669626515</v>
      </c>
      <c r="AH76" s="1082">
        <f>AH74/$AL$75</f>
        <v>0.16854015991855603</v>
      </c>
      <c r="AI76" s="1082">
        <f>AI74/$AL$75</f>
        <v>0.17815860357589766</v>
      </c>
      <c r="AJ76" s="1082">
        <f>AJ74/$AL$75</f>
        <v>0.18823304842096331</v>
      </c>
      <c r="AK76" s="1082">
        <f>AK74/$AL$75</f>
        <v>0.1941292498250228</v>
      </c>
      <c r="AL76" s="1082">
        <f>AL74/$AL$75</f>
        <v>0.27093893825956006</v>
      </c>
      <c r="AM76" s="1082">
        <f>AM74/$AN$75</f>
        <v>0.55737704918032782</v>
      </c>
      <c r="AN76" s="1082">
        <f>AN74/$AN$75</f>
        <v>0.44262295081967212</v>
      </c>
      <c r="AO76" s="1065"/>
      <c r="AT76" s="1057"/>
    </row>
    <row r="77" spans="1:53">
      <c r="A77" s="1065"/>
      <c r="B77" s="1065"/>
      <c r="C77" s="1065"/>
      <c r="D77" s="1065"/>
      <c r="E77" s="1065"/>
      <c r="F77" s="1065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5"/>
      <c r="AD77" s="1065"/>
      <c r="AE77" s="1065"/>
      <c r="AF77" s="1065"/>
      <c r="AG77" s="1065"/>
      <c r="AH77" s="1065"/>
      <c r="AI77" s="1065"/>
      <c r="AJ77" s="1065"/>
      <c r="AK77" s="1065"/>
      <c r="AL77" s="1065"/>
      <c r="AM77" s="1065"/>
      <c r="AN77" s="1065"/>
      <c r="AO77" s="1065"/>
      <c r="AT77" s="1057"/>
    </row>
    <row r="78" spans="1:53">
      <c r="A78" s="1065"/>
      <c r="B78" s="1065"/>
      <c r="C78" s="1065"/>
      <c r="D78" s="1065"/>
      <c r="E78" s="1065"/>
      <c r="F78" s="1065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5"/>
      <c r="AD78" s="1065"/>
      <c r="AE78" s="1065"/>
      <c r="AF78" s="1065"/>
      <c r="AG78" s="1065"/>
      <c r="AH78" s="1065"/>
      <c r="AI78" s="1065"/>
      <c r="AJ78" s="1065"/>
      <c r="AK78" s="1065"/>
      <c r="AL78" s="1065"/>
      <c r="AM78" s="1065"/>
      <c r="AN78" s="1065"/>
      <c r="AO78" s="1065"/>
      <c r="AT78" s="1057"/>
    </row>
    <row r="79" spans="1:53" ht="15.6">
      <c r="A79" s="1081" t="s">
        <v>1821</v>
      </c>
      <c r="B79" s="1081"/>
      <c r="C79" s="1081"/>
      <c r="D79" s="1081"/>
      <c r="E79" s="1081"/>
      <c r="F79" s="1081"/>
      <c r="G79" s="1081"/>
      <c r="H79" s="1081"/>
      <c r="I79" s="1081"/>
      <c r="J79" s="1081"/>
      <c r="K79" s="1081"/>
      <c r="L79" s="1081"/>
      <c r="M79" s="1081"/>
      <c r="N79" s="1081"/>
      <c r="O79" s="1081"/>
      <c r="P79" s="1081"/>
      <c r="Q79" s="1081">
        <f>SUM(B74:Q74)</f>
        <v>28241.788235294116</v>
      </c>
      <c r="R79" s="1081">
        <f>R74</f>
        <v>3565.8823529411761</v>
      </c>
      <c r="S79" s="1081">
        <f>S74</f>
        <v>2139.5294117647059</v>
      </c>
      <c r="T79" s="1081">
        <f>T73*T71*T72</f>
        <v>3922.4705882352937</v>
      </c>
      <c r="U79" s="1081">
        <f>U73*U71*U72</f>
        <v>4992.2352941176468</v>
      </c>
      <c r="V79" s="1081">
        <f>V73*V71*V72</f>
        <v>6775.1764705882351</v>
      </c>
      <c r="W79" s="1081">
        <f>W74</f>
        <v>2457.35</v>
      </c>
      <c r="X79" s="1081"/>
      <c r="Y79" s="1081">
        <f>Y75</f>
        <v>7434</v>
      </c>
      <c r="Z79" s="1081"/>
      <c r="AA79" s="1081"/>
      <c r="AB79" s="1081"/>
      <c r="AC79" s="1081">
        <f>AC75</f>
        <v>24255.7</v>
      </c>
      <c r="AD79" s="1081"/>
      <c r="AE79" s="1081">
        <f>AE75</f>
        <v>17263.400000000001</v>
      </c>
      <c r="AF79" s="1081"/>
      <c r="AG79" s="1081">
        <f>AG75</f>
        <v>20654.2</v>
      </c>
      <c r="AH79" s="1081"/>
      <c r="AI79" s="1081"/>
      <c r="AJ79" s="1081">
        <f>AJ75</f>
        <v>0</v>
      </c>
      <c r="AK79" s="1081"/>
      <c r="AL79" s="1081"/>
      <c r="AM79" s="1081"/>
      <c r="AN79" s="1081">
        <f>AN75</f>
        <v>33306</v>
      </c>
      <c r="AO79" s="1081">
        <f>SUM(B78:AN78)</f>
        <v>0</v>
      </c>
      <c r="AP79" s="1068"/>
      <c r="AQ79" s="1068"/>
      <c r="AR79" s="1068"/>
      <c r="AS79" s="1068"/>
      <c r="AT79" s="1068"/>
      <c r="AU79" s="1068"/>
      <c r="AV79" s="1068"/>
      <c r="AW79" s="1068"/>
    </row>
    <row r="80" spans="1:53" ht="15.6">
      <c r="A80" s="1081" t="s">
        <v>1822</v>
      </c>
      <c r="B80" s="1081"/>
      <c r="C80" s="1081"/>
      <c r="D80" s="1081"/>
      <c r="E80" s="1081"/>
      <c r="F80" s="1081"/>
      <c r="G80" s="1081"/>
      <c r="H80" s="1081"/>
      <c r="I80" s="1081"/>
      <c r="J80" s="1081"/>
      <c r="K80" s="1081"/>
      <c r="L80" s="1081"/>
      <c r="M80" s="1081"/>
      <c r="N80" s="1081"/>
      <c r="O80" s="1081"/>
      <c r="P80" s="1081"/>
      <c r="Q80" s="1081">
        <f>'[4]Feed Costing &amp; Appotionment '!K122+'[4]Feed Costing &amp; Appotionment '!O122</f>
        <v>273392.90000000002</v>
      </c>
      <c r="R80" s="1081">
        <f>'[4]Feed Costing &amp; Appotionment '!T122</f>
        <v>47127.5</v>
      </c>
      <c r="S80" s="1081">
        <f>'[4]Feed Costing &amp; Appotionment '!N122</f>
        <v>17559.5</v>
      </c>
      <c r="T80" s="1081"/>
      <c r="U80" s="1081"/>
      <c r="V80" s="1081">
        <f>'[4]Feed Costing &amp; Appotionment '!L122+'[4]Feed Costing &amp; Appotionment '!M122</f>
        <v>117633</v>
      </c>
      <c r="W80" s="1081">
        <f>'[4]Feed Costing &amp; Appotionment '!B122</f>
        <v>29254.2</v>
      </c>
      <c r="X80" s="1081"/>
      <c r="Y80" s="1081">
        <f>'[4]Feed Costing &amp; Appotionment '!C122</f>
        <v>126974</v>
      </c>
      <c r="Z80" s="1081"/>
      <c r="AA80" s="1081"/>
      <c r="AB80" s="1081"/>
      <c r="AC80" s="1081">
        <f>'[4]Feed Costing &amp; Appotionment '!D122+'[4]Feed Costing &amp; Appotionment '!E122</f>
        <v>243037.40000000002</v>
      </c>
      <c r="AD80" s="1081"/>
      <c r="AE80" s="1081">
        <f>'[4]Feed Costing &amp; Appotionment '!F122</f>
        <v>176588.4</v>
      </c>
      <c r="AF80" s="1081"/>
      <c r="AG80" s="1081">
        <f>'[4]Feed Costing &amp; Appotionment '!G122</f>
        <v>59290</v>
      </c>
      <c r="AH80" s="1081"/>
      <c r="AI80" s="1081"/>
      <c r="AJ80" s="1081">
        <f>'[4]Feed Costing &amp; Appotionment '!H122</f>
        <v>949048.7</v>
      </c>
      <c r="AK80" s="1081"/>
      <c r="AL80" s="1081"/>
      <c r="AM80" s="1081"/>
      <c r="AN80" s="1081">
        <f>'[4]Feed Costing &amp; Appotionment '!J122</f>
        <v>710118.55</v>
      </c>
      <c r="AO80" s="1081">
        <f>SUM(B80:AN80)</f>
        <v>2750024.1500000004</v>
      </c>
      <c r="AP80" s="1068">
        <f>AO80-'[4]Feed Costing &amp; Appotionment '!U122+'[4]Feed Costing &amp; Appotionment '!P122+'[4]Feed Costing &amp; Appotionment '!Q122+'[4]Feed Costing &amp; Appotionment '!R122</f>
        <v>1.8917489796876907E-10</v>
      </c>
      <c r="AQ80" s="1068"/>
      <c r="AR80" s="1068"/>
      <c r="AS80" s="1068"/>
      <c r="AT80" s="1068"/>
      <c r="AU80" s="1068"/>
      <c r="AV80" s="1068"/>
      <c r="AW80" s="1068"/>
    </row>
    <row r="81" spans="1:49" ht="15.6">
      <c r="A81" s="1081" t="s">
        <v>1823</v>
      </c>
      <c r="B81" s="1081"/>
      <c r="C81" s="1081"/>
      <c r="D81" s="1081"/>
      <c r="E81" s="1081"/>
      <c r="F81" s="1081"/>
      <c r="G81" s="1081"/>
      <c r="H81" s="1081"/>
      <c r="I81" s="1081"/>
      <c r="J81" s="1081"/>
      <c r="K81" s="1081"/>
      <c r="L81" s="1081"/>
      <c r="M81" s="1081"/>
      <c r="N81" s="1081"/>
      <c r="O81" s="1081"/>
      <c r="P81" s="1081"/>
      <c r="Q81" s="1081">
        <f>Q79-Q80</f>
        <v>-245151.11176470591</v>
      </c>
      <c r="R81" s="1081">
        <f>R79-R80</f>
        <v>-43561.617647058825</v>
      </c>
      <c r="S81" s="1081">
        <f>S79-S80</f>
        <v>-15419.970588235294</v>
      </c>
      <c r="T81" s="1081"/>
      <c r="U81" s="1081"/>
      <c r="V81" s="1081">
        <f>SUM(T79:V79)-V80</f>
        <v>-101943.11764705883</v>
      </c>
      <c r="W81" s="1081">
        <f>W79-W80</f>
        <v>-26796.850000000002</v>
      </c>
      <c r="X81" s="1081">
        <f>X79-X80</f>
        <v>0</v>
      </c>
      <c r="Y81" s="1081">
        <f>Y79-Y80</f>
        <v>-119540</v>
      </c>
      <c r="Z81" s="1081"/>
      <c r="AA81" s="1081"/>
      <c r="AB81" s="1081"/>
      <c r="AC81" s="1081">
        <f>AC79-AC80</f>
        <v>-218781.7</v>
      </c>
      <c r="AD81" s="1081"/>
      <c r="AE81" s="1081">
        <f>AE79-AE80</f>
        <v>-159325</v>
      </c>
      <c r="AF81" s="1081"/>
      <c r="AG81" s="1081">
        <f>AG79-AG80</f>
        <v>-38635.800000000003</v>
      </c>
      <c r="AH81" s="1081"/>
      <c r="AI81" s="1081"/>
      <c r="AJ81" s="1081">
        <f>AJ79-AJ80</f>
        <v>-949048.7</v>
      </c>
      <c r="AK81" s="1081"/>
      <c r="AL81" s="1081"/>
      <c r="AM81" s="1081"/>
      <c r="AN81" s="1081">
        <f>AN79-AN80</f>
        <v>-676812.55</v>
      </c>
      <c r="AO81" s="1081">
        <f>SUM(B81:AN81)</f>
        <v>-2595016.4176470591</v>
      </c>
      <c r="AP81" s="1068">
        <f>AO80-'[4]Feed Costing &amp; Appotionment '!U122</f>
        <v>-86697.799999999814</v>
      </c>
      <c r="AQ81" s="1068"/>
      <c r="AR81" s="1068"/>
      <c r="AS81" s="1068"/>
      <c r="AT81" s="1068"/>
      <c r="AU81" s="1068"/>
      <c r="AV81" s="1068"/>
      <c r="AW81" s="1068"/>
    </row>
    <row r="82" spans="1:49" ht="15.6">
      <c r="A82" s="1081" t="s">
        <v>1824</v>
      </c>
      <c r="B82" s="1077"/>
      <c r="C82" s="1077"/>
      <c r="D82" s="1077"/>
      <c r="E82" s="1077"/>
      <c r="F82" s="1077"/>
      <c r="G82" s="1077"/>
      <c r="H82" s="1077"/>
      <c r="I82" s="1077"/>
      <c r="J82" s="1077"/>
      <c r="K82" s="1077"/>
      <c r="L82" s="1077"/>
      <c r="M82" s="1077"/>
      <c r="N82" s="1077"/>
      <c r="O82" s="1077"/>
      <c r="P82" s="1077"/>
      <c r="Q82" s="1083">
        <f>('[4]Feed Costing &amp; Appotionment '!K123+'[4]Feed Costing &amp; Appotionment '!O123)/('[4]Feed Costing &amp; Appotionment '!K122+'[4]Feed Costing &amp; Appotionment '!O122)</f>
        <v>0.33022565021567968</v>
      </c>
      <c r="R82" s="1080">
        <f>'[4]Feed Costing &amp; Appotionment '!T124</f>
        <v>0.37880590011098036</v>
      </c>
      <c r="S82" s="1080">
        <f>'[4]Feed Costing &amp; Appotionment '!N124</f>
        <v>0.36773334194341661</v>
      </c>
      <c r="T82" s="1077"/>
      <c r="U82" s="1077"/>
      <c r="V82" s="1080">
        <f>('[4]Feed Costing &amp; Appotionment '!M123+'[4]Feed Costing &amp; Appotionment '!L123)/('[4]Feed Costing &amp; Appotionment '!L122+'[4]Feed Costing &amp; Appotionment '!M122)</f>
        <v>0.38986305594770371</v>
      </c>
      <c r="W82" s="1080">
        <f>'[4]Feed Costing &amp; Appotionment '!B124</f>
        <v>0.70516028376225237</v>
      </c>
      <c r="X82" s="1077"/>
      <c r="Y82" s="1080">
        <f>'[4]Feed Costing &amp; Appotionment '!C124</f>
        <v>0.553048745740369</v>
      </c>
      <c r="Z82" s="1077"/>
      <c r="AA82" s="1080"/>
      <c r="AB82" s="1077"/>
      <c r="AC82" s="1080">
        <f>'[4]Feed Costing &amp; Appotionment '!D124</f>
        <v>0.45761789674138609</v>
      </c>
      <c r="AD82" s="1077"/>
      <c r="AE82" s="1080">
        <f>'[4]Feed Costing &amp; Appotionment '!F124</f>
        <v>0.36072118784213153</v>
      </c>
      <c r="AF82" s="1077"/>
      <c r="AG82" s="1080">
        <f>'[4]Feed Costing &amp; Appotionment '!G124</f>
        <v>0.35277419368699731</v>
      </c>
      <c r="AH82" s="1077"/>
      <c r="AI82" s="1077"/>
      <c r="AJ82" s="1080">
        <f>'[4]Feed Costing &amp; Appotionment '!H124</f>
        <v>0.32545898419719504</v>
      </c>
      <c r="AK82" s="1077"/>
      <c r="AL82" s="1077"/>
      <c r="AM82" s="1077"/>
      <c r="AN82" s="1080">
        <f>'[4]Feed Costing &amp; Appotionment '!J124</f>
        <v>0.34727367194923103</v>
      </c>
      <c r="AO82" s="1083">
        <f>AO83/AO81</f>
        <v>0.36339424826978933</v>
      </c>
      <c r="AP82" s="1068">
        <f>'[4]Feed Costing &amp; Appotionment '!P122+'[4]Feed Costing &amp; Appotionment '!Q122+'[4]Feed Costing &amp; Appotionment '!R122</f>
        <v>86697.8</v>
      </c>
      <c r="AQ82" s="1066"/>
      <c r="AR82" s="1066"/>
      <c r="AS82" s="1066"/>
      <c r="AT82" s="1068"/>
      <c r="AU82" s="1066"/>
      <c r="AV82" s="1066"/>
      <c r="AW82" s="1066"/>
    </row>
    <row r="83" spans="1:49" ht="15.6">
      <c r="A83" s="1081" t="s">
        <v>1825</v>
      </c>
      <c r="B83" s="1077"/>
      <c r="C83" s="1077"/>
      <c r="D83" s="1077"/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83">
        <f>Q81*Q82</f>
        <v>-80955.185283596773</v>
      </c>
      <c r="R83" s="1083">
        <f>R81*R82</f>
        <v>-16501.397783084485</v>
      </c>
      <c r="S83" s="1083">
        <f>S81*S82</f>
        <v>-5670.4373170809558</v>
      </c>
      <c r="T83" s="1077"/>
      <c r="U83" s="1077"/>
      <c r="V83" s="1083">
        <f>V81*V82</f>
        <v>-39743.855378718639</v>
      </c>
      <c r="W83" s="1083">
        <f>W81*W82</f>
        <v>-18896.074349934515</v>
      </c>
      <c r="X83" s="1077"/>
      <c r="Y83" s="1083">
        <f>Y81*Y82</f>
        <v>-66111.447065803717</v>
      </c>
      <c r="Z83" s="1077"/>
      <c r="AA83" s="1083"/>
      <c r="AB83" s="1077"/>
      <c r="AC83" s="1083">
        <f>AC81*AC82</f>
        <v>-100118.42139950491</v>
      </c>
      <c r="AD83" s="1077"/>
      <c r="AE83" s="1083">
        <f>AE81*AE82</f>
        <v>-57471.903252947603</v>
      </c>
      <c r="AF83" s="1077"/>
      <c r="AG83" s="1083">
        <f>AG81*AG82</f>
        <v>-13629.713192452091</v>
      </c>
      <c r="AH83" s="1077"/>
      <c r="AI83" s="1077"/>
      <c r="AJ83" s="1083">
        <f>AJ81*AJ82</f>
        <v>-308876.42585566849</v>
      </c>
      <c r="AK83" s="1077"/>
      <c r="AL83" s="1077"/>
      <c r="AM83" s="1077"/>
      <c r="AN83" s="1083">
        <f>AN81*AN82</f>
        <v>-235039.17945982254</v>
      </c>
      <c r="AO83" s="1081">
        <f>SUM(B83:AN83)</f>
        <v>-943014.04033861472</v>
      </c>
      <c r="AP83" s="1084">
        <f>SUM(AP81:AP82)</f>
        <v>1.8917489796876907E-10</v>
      </c>
      <c r="AQ83" s="1066"/>
      <c r="AR83" s="1066"/>
      <c r="AS83" s="1066"/>
      <c r="AT83" s="1068"/>
      <c r="AU83" s="1066"/>
      <c r="AV83" s="1066"/>
      <c r="AW83" s="1066"/>
    </row>
    <row r="84" spans="1:49">
      <c r="AT84" s="1057"/>
    </row>
    <row r="86" spans="1:49" ht="15.6">
      <c r="A86" s="131" t="s">
        <v>1816</v>
      </c>
      <c r="B86" s="1716">
        <v>7</v>
      </c>
      <c r="C86" s="1716">
        <v>7</v>
      </c>
      <c r="D86" s="1716">
        <v>7</v>
      </c>
      <c r="E86" s="1716">
        <v>7</v>
      </c>
      <c r="F86" s="1716">
        <v>7</v>
      </c>
      <c r="G86" s="1716">
        <v>7</v>
      </c>
      <c r="H86" s="1716">
        <v>7</v>
      </c>
      <c r="I86" s="1716">
        <v>7</v>
      </c>
      <c r="J86" s="1716">
        <v>7</v>
      </c>
      <c r="K86" s="1716">
        <v>7</v>
      </c>
      <c r="L86" s="1716">
        <v>7</v>
      </c>
      <c r="M86" s="1716">
        <v>7</v>
      </c>
      <c r="N86" s="1716">
        <v>7</v>
      </c>
      <c r="O86" s="1716">
        <v>7</v>
      </c>
      <c r="P86" s="1716">
        <v>7</v>
      </c>
      <c r="Q86" s="1717">
        <v>7</v>
      </c>
      <c r="R86" s="1717">
        <v>7</v>
      </c>
      <c r="S86" s="1710">
        <v>3</v>
      </c>
      <c r="T86" s="1710">
        <v>7</v>
      </c>
      <c r="U86" s="1709">
        <v>7</v>
      </c>
      <c r="V86" s="1709">
        <v>7</v>
      </c>
      <c r="W86" s="1710">
        <v>4</v>
      </c>
      <c r="X86" s="1709">
        <v>7</v>
      </c>
      <c r="Y86" s="1710">
        <v>7</v>
      </c>
      <c r="Z86" s="1709">
        <v>7</v>
      </c>
      <c r="AA86" s="1710">
        <v>7</v>
      </c>
      <c r="AB86" s="1709">
        <v>7</v>
      </c>
      <c r="AC86" s="1710">
        <v>7</v>
      </c>
      <c r="AD86" s="1709">
        <v>7</v>
      </c>
      <c r="AE86" s="1710">
        <v>7</v>
      </c>
      <c r="AF86" s="1709">
        <v>7</v>
      </c>
      <c r="AG86" s="1710">
        <v>7</v>
      </c>
      <c r="AH86" s="1710">
        <v>7</v>
      </c>
      <c r="AI86" s="1709">
        <v>7</v>
      </c>
      <c r="AJ86" s="1710">
        <v>7</v>
      </c>
      <c r="AK86" s="1710">
        <v>7</v>
      </c>
      <c r="AL86" s="1710">
        <v>7</v>
      </c>
      <c r="AM86" s="1709">
        <v>7</v>
      </c>
      <c r="AN86" s="1709">
        <v>7</v>
      </c>
      <c r="AO86" s="1695"/>
    </row>
    <row r="87" spans="1:49" ht="15.6">
      <c r="A87" s="131" t="s">
        <v>1815</v>
      </c>
      <c r="B87" s="1711" t="s">
        <v>1773</v>
      </c>
      <c r="C87" s="1711" t="s">
        <v>1773</v>
      </c>
      <c r="D87" s="1711" t="s">
        <v>1773</v>
      </c>
      <c r="E87" s="1711" t="s">
        <v>1773</v>
      </c>
      <c r="F87" s="1711" t="s">
        <v>1773</v>
      </c>
      <c r="G87" s="1711" t="s">
        <v>1773</v>
      </c>
      <c r="H87" s="1711" t="s">
        <v>1773</v>
      </c>
      <c r="I87" s="1711" t="s">
        <v>1773</v>
      </c>
      <c r="J87" s="1711" t="s">
        <v>1773</v>
      </c>
      <c r="K87" s="1711" t="s">
        <v>1773</v>
      </c>
      <c r="L87" s="1711" t="s">
        <v>1773</v>
      </c>
      <c r="M87" s="1711" t="s">
        <v>1773</v>
      </c>
      <c r="N87" s="1711" t="s">
        <v>1773</v>
      </c>
      <c r="O87" s="1711" t="s">
        <v>1773</v>
      </c>
      <c r="P87" s="1711" t="s">
        <v>1773</v>
      </c>
      <c r="Q87" s="1711" t="s">
        <v>1773</v>
      </c>
      <c r="R87" s="1711" t="s">
        <v>1826</v>
      </c>
      <c r="S87" s="1711" t="s">
        <v>1775</v>
      </c>
      <c r="T87" s="1711" t="s">
        <v>1775</v>
      </c>
      <c r="U87" s="1711" t="s">
        <v>1775</v>
      </c>
      <c r="V87" s="1711" t="s">
        <v>1775</v>
      </c>
      <c r="W87" s="1711" t="s">
        <v>1775</v>
      </c>
      <c r="X87" s="1711" t="s">
        <v>1776</v>
      </c>
      <c r="Y87" s="1711" t="s">
        <v>1777</v>
      </c>
      <c r="Z87" s="1711" t="s">
        <v>1777</v>
      </c>
      <c r="AA87" s="1711" t="s">
        <v>108</v>
      </c>
      <c r="AB87" s="1711" t="s">
        <v>108</v>
      </c>
      <c r="AC87" s="1711" t="s">
        <v>108</v>
      </c>
      <c r="AD87" s="1711" t="s">
        <v>1778</v>
      </c>
      <c r="AE87" s="1711" t="s">
        <v>1778</v>
      </c>
      <c r="AF87" s="1711" t="s">
        <v>1779</v>
      </c>
      <c r="AG87" s="1711" t="s">
        <v>1779</v>
      </c>
      <c r="AH87" s="1711" t="s">
        <v>1780</v>
      </c>
      <c r="AI87" s="1711" t="s">
        <v>1780</v>
      </c>
      <c r="AJ87" s="1711" t="s">
        <v>1780</v>
      </c>
      <c r="AK87" s="1711" t="s">
        <v>1781</v>
      </c>
      <c r="AL87" s="1711" t="s">
        <v>1781</v>
      </c>
      <c r="AM87" s="1711" t="s">
        <v>1781</v>
      </c>
      <c r="AN87" s="1711" t="s">
        <v>1781</v>
      </c>
    </row>
    <row r="88" spans="1:49" ht="15.6">
      <c r="A88" s="131" t="s">
        <v>323</v>
      </c>
      <c r="B88" s="1711">
        <v>-16</v>
      </c>
      <c r="C88" s="1711">
        <v>-15</v>
      </c>
      <c r="D88" s="1711">
        <v>-14</v>
      </c>
      <c r="E88" s="1711">
        <v>-13</v>
      </c>
      <c r="F88" s="1711">
        <v>-12</v>
      </c>
      <c r="G88" s="1711">
        <v>-11</v>
      </c>
      <c r="H88" s="1711">
        <v>-10</v>
      </c>
      <c r="I88" s="1711">
        <v>-9</v>
      </c>
      <c r="J88" s="1711">
        <v>-8</v>
      </c>
      <c r="K88" s="1711">
        <v>-7</v>
      </c>
      <c r="L88" s="1711">
        <v>-6</v>
      </c>
      <c r="M88" s="1711">
        <v>-5</v>
      </c>
      <c r="N88" s="1711">
        <v>-4</v>
      </c>
      <c r="O88" s="1711">
        <v>-3</v>
      </c>
      <c r="P88" s="1711">
        <v>-2</v>
      </c>
      <c r="Q88" s="1711">
        <v>-1</v>
      </c>
      <c r="R88" s="1711">
        <v>0</v>
      </c>
      <c r="S88" s="276">
        <v>1</v>
      </c>
      <c r="T88" s="276">
        <v>2</v>
      </c>
      <c r="U88" s="276">
        <v>3</v>
      </c>
      <c r="V88" s="276">
        <v>4</v>
      </c>
      <c r="W88" s="276">
        <v>5</v>
      </c>
      <c r="X88" s="276">
        <v>6</v>
      </c>
      <c r="Y88" s="276">
        <v>7</v>
      </c>
      <c r="Z88" s="276">
        <v>8</v>
      </c>
      <c r="AA88" s="276">
        <v>9</v>
      </c>
      <c r="AB88" s="276">
        <v>10</v>
      </c>
      <c r="AC88" s="276">
        <v>11</v>
      </c>
      <c r="AD88" s="276">
        <v>12</v>
      </c>
      <c r="AE88" s="276">
        <v>13</v>
      </c>
      <c r="AF88" s="276">
        <v>14</v>
      </c>
      <c r="AG88" s="276">
        <v>15</v>
      </c>
      <c r="AH88" s="276">
        <v>16</v>
      </c>
      <c r="AI88" s="276">
        <v>17</v>
      </c>
      <c r="AJ88" s="276">
        <v>18</v>
      </c>
      <c r="AK88" s="276">
        <v>19</v>
      </c>
      <c r="AL88" s="276">
        <v>20</v>
      </c>
      <c r="AM88" s="276">
        <v>21</v>
      </c>
      <c r="AN88" s="276">
        <v>22</v>
      </c>
      <c r="AO88"/>
    </row>
    <row r="89" spans="1:49" ht="16.149999999999999" thickBot="1">
      <c r="A89" s="131"/>
      <c r="B89" s="1718">
        <f>+B90*B86</f>
        <v>17.5</v>
      </c>
      <c r="C89" s="1718">
        <f t="shared" ref="C89:R89" si="50">+C90*C86</f>
        <v>17.5</v>
      </c>
      <c r="D89" s="1718">
        <f t="shared" si="50"/>
        <v>17.5</v>
      </c>
      <c r="E89" s="1718">
        <f t="shared" si="50"/>
        <v>17.5</v>
      </c>
      <c r="F89" s="1718">
        <f t="shared" si="50"/>
        <v>16.099999999999998</v>
      </c>
      <c r="G89" s="1718">
        <f t="shared" si="50"/>
        <v>16.099999999999998</v>
      </c>
      <c r="H89" s="1718">
        <f t="shared" si="50"/>
        <v>16.099999999999998</v>
      </c>
      <c r="I89" s="1718">
        <f t="shared" si="50"/>
        <v>16.099999999999998</v>
      </c>
      <c r="J89" s="1718">
        <f t="shared" si="50"/>
        <v>16.099999999999998</v>
      </c>
      <c r="K89" s="1718">
        <f t="shared" si="50"/>
        <v>16.099999999999998</v>
      </c>
      <c r="L89" s="1718">
        <f t="shared" si="50"/>
        <v>16.099999999999998</v>
      </c>
      <c r="M89" s="1718">
        <f t="shared" si="50"/>
        <v>16.099999999999998</v>
      </c>
      <c r="N89" s="1718">
        <f t="shared" si="50"/>
        <v>19.599999999999998</v>
      </c>
      <c r="O89" s="1718">
        <f t="shared" si="50"/>
        <v>19.599999999999998</v>
      </c>
      <c r="P89" s="1718">
        <f t="shared" si="50"/>
        <v>19.599999999999998</v>
      </c>
      <c r="Q89" s="1718">
        <f t="shared" si="50"/>
        <v>19.599999999999998</v>
      </c>
      <c r="R89" s="1718">
        <f t="shared" si="50"/>
        <v>35</v>
      </c>
      <c r="S89" s="1699">
        <v>0.3</v>
      </c>
      <c r="T89" s="1699">
        <v>1.8</v>
      </c>
      <c r="U89" s="1699">
        <v>2.5</v>
      </c>
      <c r="V89" s="1700">
        <v>3.5</v>
      </c>
      <c r="W89" s="1700">
        <v>2</v>
      </c>
      <c r="X89" s="1701">
        <v>4.5</v>
      </c>
      <c r="Y89" s="1702">
        <v>6</v>
      </c>
      <c r="Z89" s="1702">
        <v>7</v>
      </c>
      <c r="AA89" s="1703">
        <v>10.5</v>
      </c>
      <c r="AB89" s="1703">
        <v>11.9</v>
      </c>
      <c r="AC89" s="1703">
        <v>13.3</v>
      </c>
      <c r="AD89" s="1704">
        <v>15.4</v>
      </c>
      <c r="AE89" s="1704">
        <v>17.5</v>
      </c>
      <c r="AF89" s="1705">
        <v>18.2</v>
      </c>
      <c r="AG89" s="1705">
        <v>18.899999999999999</v>
      </c>
      <c r="AH89" s="1706">
        <v>20.3</v>
      </c>
      <c r="AI89" s="1706">
        <v>21.7</v>
      </c>
      <c r="AJ89" s="1706">
        <v>21.7</v>
      </c>
      <c r="AK89" s="1707">
        <v>21.7</v>
      </c>
      <c r="AL89" s="1707">
        <v>21.7</v>
      </c>
      <c r="AM89" s="1708">
        <v>21.7</v>
      </c>
      <c r="AN89" s="1708">
        <v>21.7</v>
      </c>
      <c r="AO89" s="1552"/>
    </row>
    <row r="90" spans="1:49" ht="15.6">
      <c r="A90" s="131" t="s">
        <v>1817</v>
      </c>
      <c r="B90" s="142">
        <v>2.5</v>
      </c>
      <c r="C90" s="142">
        <v>2.5</v>
      </c>
      <c r="D90" s="142">
        <v>2.5</v>
      </c>
      <c r="E90" s="142">
        <v>2.5</v>
      </c>
      <c r="F90" s="142">
        <v>2.2999999999999998</v>
      </c>
      <c r="G90" s="142">
        <v>2.2999999999999998</v>
      </c>
      <c r="H90" s="142">
        <v>2.2999999999999998</v>
      </c>
      <c r="I90" s="142">
        <v>2.2999999999999998</v>
      </c>
      <c r="J90" s="142">
        <v>2.2999999999999998</v>
      </c>
      <c r="K90" s="142">
        <v>2.2999999999999998</v>
      </c>
      <c r="L90" s="142">
        <v>2.2999999999999998</v>
      </c>
      <c r="M90" s="142">
        <v>2.2999999999999998</v>
      </c>
      <c r="N90" s="142">
        <v>2.8</v>
      </c>
      <c r="O90" s="142">
        <v>2.8</v>
      </c>
      <c r="P90" s="142">
        <v>2.8</v>
      </c>
      <c r="Q90" s="142">
        <v>2.8</v>
      </c>
      <c r="R90" s="142">
        <v>5</v>
      </c>
      <c r="S90" s="1712">
        <f>+S89/S86</f>
        <v>9.9999999999999992E-2</v>
      </c>
      <c r="T90" s="1712">
        <f t="shared" ref="T90:AN90" si="51">+T89/T86</f>
        <v>0.25714285714285717</v>
      </c>
      <c r="U90" s="1712">
        <f t="shared" si="51"/>
        <v>0.35714285714285715</v>
      </c>
      <c r="V90" s="1712">
        <f t="shared" si="51"/>
        <v>0.5</v>
      </c>
      <c r="W90" s="1712">
        <f t="shared" si="51"/>
        <v>0.5</v>
      </c>
      <c r="X90" s="1712">
        <f>+X89/X86</f>
        <v>0.6428571428571429</v>
      </c>
      <c r="Y90" s="1712">
        <f t="shared" si="51"/>
        <v>0.8571428571428571</v>
      </c>
      <c r="Z90" s="1712">
        <f t="shared" si="51"/>
        <v>1</v>
      </c>
      <c r="AA90" s="1712">
        <f t="shared" si="51"/>
        <v>1.5</v>
      </c>
      <c r="AB90" s="1712">
        <f t="shared" si="51"/>
        <v>1.7</v>
      </c>
      <c r="AC90" s="1712">
        <f t="shared" si="51"/>
        <v>1.9000000000000001</v>
      </c>
      <c r="AD90" s="1712">
        <f t="shared" si="51"/>
        <v>2.2000000000000002</v>
      </c>
      <c r="AE90" s="1712">
        <f t="shared" si="51"/>
        <v>2.5</v>
      </c>
      <c r="AF90" s="1712">
        <f t="shared" si="51"/>
        <v>2.6</v>
      </c>
      <c r="AG90" s="1712">
        <f t="shared" si="51"/>
        <v>2.6999999999999997</v>
      </c>
      <c r="AH90" s="1712">
        <f t="shared" si="51"/>
        <v>2.9</v>
      </c>
      <c r="AI90" s="1712">
        <f t="shared" si="51"/>
        <v>3.1</v>
      </c>
      <c r="AJ90" s="1712">
        <f t="shared" si="51"/>
        <v>3.1</v>
      </c>
      <c r="AK90" s="1712">
        <f t="shared" si="51"/>
        <v>3.1</v>
      </c>
      <c r="AL90" s="1712">
        <f t="shared" si="51"/>
        <v>3.1</v>
      </c>
      <c r="AM90" s="1712">
        <f t="shared" si="51"/>
        <v>3.1</v>
      </c>
      <c r="AN90" s="1712">
        <f t="shared" si="51"/>
        <v>3.1</v>
      </c>
      <c r="AO90" s="1712"/>
    </row>
    <row r="91" spans="1:49" ht="15.6">
      <c r="B91" s="1081">
        <f>'Summary Total Pigs'!AF93/17*5</f>
        <v>127.35294117647058</v>
      </c>
      <c r="C91" s="817">
        <f>+B91</f>
        <v>127.35294117647058</v>
      </c>
      <c r="D91" s="817">
        <f t="shared" ref="D91:R91" si="52">+C91</f>
        <v>127.35294117647058</v>
      </c>
      <c r="E91" s="817">
        <f t="shared" si="52"/>
        <v>127.35294117647058</v>
      </c>
      <c r="F91" s="817">
        <f t="shared" si="52"/>
        <v>127.35294117647058</v>
      </c>
      <c r="G91" s="817">
        <f t="shared" si="52"/>
        <v>127.35294117647058</v>
      </c>
      <c r="H91" s="817">
        <f t="shared" si="52"/>
        <v>127.35294117647058</v>
      </c>
      <c r="I91" s="817">
        <f t="shared" si="52"/>
        <v>127.35294117647058</v>
      </c>
      <c r="J91" s="817">
        <f t="shared" si="52"/>
        <v>127.35294117647058</v>
      </c>
      <c r="K91" s="817">
        <f t="shared" si="52"/>
        <v>127.35294117647058</v>
      </c>
      <c r="L91" s="817">
        <f t="shared" si="52"/>
        <v>127.35294117647058</v>
      </c>
      <c r="M91" s="817">
        <f t="shared" si="52"/>
        <v>127.35294117647058</v>
      </c>
      <c r="N91" s="817">
        <f t="shared" si="52"/>
        <v>127.35294117647058</v>
      </c>
      <c r="O91" s="817">
        <f t="shared" si="52"/>
        <v>127.35294117647058</v>
      </c>
      <c r="P91" s="817">
        <f t="shared" si="52"/>
        <v>127.35294117647058</v>
      </c>
      <c r="Q91" s="817">
        <f t="shared" si="52"/>
        <v>127.35294117647058</v>
      </c>
      <c r="R91" s="817">
        <f t="shared" si="52"/>
        <v>127.35294117647058</v>
      </c>
      <c r="S91" s="817">
        <f>+R91</f>
        <v>127.35294117647058</v>
      </c>
      <c r="T91" s="817">
        <f t="shared" ref="T91:V91" si="53">+S91</f>
        <v>127.35294117647058</v>
      </c>
      <c r="U91" s="817">
        <f t="shared" si="53"/>
        <v>127.35294117647058</v>
      </c>
      <c r="V91" s="817">
        <f t="shared" si="53"/>
        <v>127.35294117647058</v>
      </c>
      <c r="W91" s="1059">
        <f>SUM(W7:Z7)</f>
        <v>1003</v>
      </c>
      <c r="X91" s="1059">
        <f>SUM(X7:AA7)</f>
        <v>1038</v>
      </c>
      <c r="Y91" s="1059">
        <f>SUM(X7:AA7)</f>
        <v>1038</v>
      </c>
      <c r="Z91" s="1059">
        <f t="shared" ref="Z91:AK91" si="54">SUM(Z7:AC7)</f>
        <v>820</v>
      </c>
      <c r="AA91" s="1059">
        <f t="shared" si="54"/>
        <v>723</v>
      </c>
      <c r="AB91" s="1059">
        <f t="shared" si="54"/>
        <v>729</v>
      </c>
      <c r="AC91" s="1059">
        <f t="shared" si="54"/>
        <v>755</v>
      </c>
      <c r="AD91" s="1059">
        <f t="shared" si="54"/>
        <v>737</v>
      </c>
      <c r="AE91" s="1059">
        <f t="shared" si="54"/>
        <v>715</v>
      </c>
      <c r="AF91" s="1059">
        <f t="shared" si="54"/>
        <v>702</v>
      </c>
      <c r="AG91" s="1059">
        <f t="shared" si="54"/>
        <v>703</v>
      </c>
      <c r="AH91" s="1059">
        <f t="shared" si="54"/>
        <v>691</v>
      </c>
      <c r="AI91" s="1059">
        <f t="shared" si="54"/>
        <v>700</v>
      </c>
      <c r="AJ91" s="1059">
        <f t="shared" si="54"/>
        <v>710</v>
      </c>
      <c r="AK91" s="817">
        <f t="shared" si="54"/>
        <v>678</v>
      </c>
      <c r="AL91" s="817">
        <f>SUM(AL7:AP7)</f>
        <v>881</v>
      </c>
      <c r="AM91" s="817">
        <f>SUM(AM7:AQ7)</f>
        <v>884</v>
      </c>
      <c r="AN91" s="817">
        <f>SUM(AN7:AR7)</f>
        <v>874</v>
      </c>
      <c r="AO91" s="817"/>
    </row>
    <row r="92" spans="1:49">
      <c r="B92" s="1059">
        <f t="shared" ref="B92:R92" si="55">+B86*B90*B91</f>
        <v>2228.6764705882351</v>
      </c>
      <c r="C92" s="1059">
        <f t="shared" si="55"/>
        <v>2228.6764705882351</v>
      </c>
      <c r="D92" s="1059">
        <f t="shared" si="55"/>
        <v>2228.6764705882351</v>
      </c>
      <c r="E92" s="1059">
        <f t="shared" si="55"/>
        <v>2228.6764705882351</v>
      </c>
      <c r="F92" s="1059">
        <f t="shared" si="55"/>
        <v>2050.3823529411761</v>
      </c>
      <c r="G92" s="1059">
        <f t="shared" si="55"/>
        <v>2050.3823529411761</v>
      </c>
      <c r="H92" s="1059">
        <f t="shared" si="55"/>
        <v>2050.3823529411761</v>
      </c>
      <c r="I92" s="1059">
        <f t="shared" si="55"/>
        <v>2050.3823529411761</v>
      </c>
      <c r="J92" s="1059">
        <f t="shared" si="55"/>
        <v>2050.3823529411761</v>
      </c>
      <c r="K92" s="1059">
        <f t="shared" si="55"/>
        <v>2050.3823529411761</v>
      </c>
      <c r="L92" s="1059">
        <f t="shared" si="55"/>
        <v>2050.3823529411761</v>
      </c>
      <c r="M92" s="1059">
        <f t="shared" si="55"/>
        <v>2050.3823529411761</v>
      </c>
      <c r="N92" s="1059">
        <f t="shared" si="55"/>
        <v>2496.117647058823</v>
      </c>
      <c r="O92" s="1059">
        <f t="shared" si="55"/>
        <v>2496.117647058823</v>
      </c>
      <c r="P92" s="1059">
        <f t="shared" si="55"/>
        <v>2496.117647058823</v>
      </c>
      <c r="Q92" s="1059">
        <f t="shared" si="55"/>
        <v>2496.117647058823</v>
      </c>
      <c r="R92" s="1059">
        <f t="shared" si="55"/>
        <v>4457.3529411764703</v>
      </c>
      <c r="S92" s="1059">
        <f>+S86*S90*S91</f>
        <v>38.205882352941174</v>
      </c>
      <c r="T92" s="1059">
        <f t="shared" ref="T92:AN92" si="56">+T86*T90*T91</f>
        <v>229.23529411764707</v>
      </c>
      <c r="U92" s="1059">
        <f t="shared" si="56"/>
        <v>318.38235294117646</v>
      </c>
      <c r="V92" s="1059">
        <f t="shared" si="56"/>
        <v>445.73529411764702</v>
      </c>
      <c r="W92" s="1059">
        <f t="shared" si="56"/>
        <v>2006</v>
      </c>
      <c r="X92" s="1059">
        <f>+X86*X90*X91</f>
        <v>4671</v>
      </c>
      <c r="Y92" s="1059">
        <f>+Y86*Y90*Y91</f>
        <v>6228</v>
      </c>
      <c r="Z92" s="1059">
        <f>+Z86*Z90*Z91</f>
        <v>5740</v>
      </c>
      <c r="AA92" s="1059">
        <f t="shared" ref="AA92:AC92" si="57">+AA86*AA90*AA91</f>
        <v>7591.5</v>
      </c>
      <c r="AB92" s="1059">
        <f t="shared" si="57"/>
        <v>8675.1</v>
      </c>
      <c r="AC92" s="1059">
        <f t="shared" si="57"/>
        <v>10041.5</v>
      </c>
      <c r="AD92" s="1059">
        <f>+AD86*AD90*AD91</f>
        <v>11349.800000000001</v>
      </c>
      <c r="AE92" s="1059">
        <f>+AE86*AE90*AE91</f>
        <v>12512.5</v>
      </c>
      <c r="AF92" s="1059">
        <f t="shared" ref="AF92:AJ92" si="58">+AF86*AF90*AF91</f>
        <v>12776.4</v>
      </c>
      <c r="AG92" s="1059">
        <f t="shared" si="58"/>
        <v>13286.699999999999</v>
      </c>
      <c r="AH92" s="1059">
        <f t="shared" si="58"/>
        <v>14027.300000000001</v>
      </c>
      <c r="AI92" s="1059">
        <f t="shared" si="58"/>
        <v>15190</v>
      </c>
      <c r="AJ92" s="1059">
        <f t="shared" si="58"/>
        <v>15407</v>
      </c>
      <c r="AK92" s="1059">
        <f t="shared" si="56"/>
        <v>14712.6</v>
      </c>
      <c r="AL92" s="1059">
        <f t="shared" si="56"/>
        <v>19117.7</v>
      </c>
      <c r="AM92" s="1059">
        <f t="shared" si="56"/>
        <v>19182.8</v>
      </c>
      <c r="AN92" s="1059">
        <f t="shared" si="56"/>
        <v>18965.8</v>
      </c>
      <c r="AO92" s="1059"/>
    </row>
    <row r="93" spans="1:49">
      <c r="R93" s="818">
        <f>SUM(B92:R92)</f>
        <v>39759.588235294104</v>
      </c>
      <c r="V93" s="818"/>
      <c r="W93" s="818">
        <f>SUM(S92:W92)</f>
        <v>3037.5588235294117</v>
      </c>
      <c r="X93" s="818">
        <f>SUM(X92)</f>
        <v>4671</v>
      </c>
      <c r="Z93" s="818">
        <f>SUM(Y92:Z92)</f>
        <v>11968</v>
      </c>
      <c r="AC93" s="818">
        <f>SUM(AA92:AC92)</f>
        <v>26308.1</v>
      </c>
      <c r="AE93" s="818">
        <f>SUM(AD92:AE92)</f>
        <v>23862.300000000003</v>
      </c>
      <c r="AG93" s="818">
        <f>SUM(AF92:AG92)</f>
        <v>26063.1</v>
      </c>
      <c r="AJ93" s="818">
        <f>SUM(AH92:AJ92)</f>
        <v>44624.3</v>
      </c>
      <c r="AN93" s="818">
        <f>SUM(AK92:AN92)</f>
        <v>71978.900000000009</v>
      </c>
      <c r="AO93" s="818"/>
    </row>
    <row r="94" spans="1:49" ht="15.6">
      <c r="B94" s="1715">
        <f>+B92/$R$93</f>
        <v>5.6053811659192841E-2</v>
      </c>
      <c r="C94" s="1715">
        <f t="shared" ref="C94:R94" si="59">+C92/$R$93</f>
        <v>5.6053811659192841E-2</v>
      </c>
      <c r="D94" s="1715">
        <f t="shared" si="59"/>
        <v>5.6053811659192841E-2</v>
      </c>
      <c r="E94" s="1715">
        <f t="shared" si="59"/>
        <v>5.6053811659192841E-2</v>
      </c>
      <c r="F94" s="1715">
        <f t="shared" si="59"/>
        <v>5.1569506726457409E-2</v>
      </c>
      <c r="G94" s="1715">
        <f t="shared" si="59"/>
        <v>5.1569506726457409E-2</v>
      </c>
      <c r="H94" s="1715">
        <f t="shared" si="59"/>
        <v>5.1569506726457409E-2</v>
      </c>
      <c r="I94" s="1715">
        <f t="shared" si="59"/>
        <v>5.1569506726457409E-2</v>
      </c>
      <c r="J94" s="1715">
        <f t="shared" si="59"/>
        <v>5.1569506726457409E-2</v>
      </c>
      <c r="K94" s="1715">
        <f t="shared" si="59"/>
        <v>5.1569506726457409E-2</v>
      </c>
      <c r="L94" s="1715">
        <f t="shared" si="59"/>
        <v>5.1569506726457409E-2</v>
      </c>
      <c r="M94" s="1715">
        <f t="shared" si="59"/>
        <v>5.1569506726457409E-2</v>
      </c>
      <c r="N94" s="1715">
        <f t="shared" si="59"/>
        <v>6.2780269058295965E-2</v>
      </c>
      <c r="O94" s="1715">
        <f t="shared" si="59"/>
        <v>6.2780269058295965E-2</v>
      </c>
      <c r="P94" s="1715">
        <f t="shared" si="59"/>
        <v>6.2780269058295965E-2</v>
      </c>
      <c r="Q94" s="1715">
        <f>+Q92/$R$93</f>
        <v>6.2780269058295965E-2</v>
      </c>
      <c r="R94" s="1715">
        <f t="shared" si="59"/>
        <v>0.11210762331838568</v>
      </c>
      <c r="S94" s="1715">
        <f>+S92/$W$93</f>
        <v>1.2577824685070247E-2</v>
      </c>
      <c r="T94" s="1715">
        <f t="shared" ref="T94:W94" si="60">+T92/$W$93</f>
        <v>7.5466948110421497E-2</v>
      </c>
      <c r="U94" s="1715">
        <f t="shared" si="60"/>
        <v>0.10481520570891874</v>
      </c>
      <c r="V94" s="1715">
        <f t="shared" si="60"/>
        <v>0.1467412879924862</v>
      </c>
      <c r="W94" s="1715">
        <f t="shared" si="60"/>
        <v>0.6603987335031033</v>
      </c>
      <c r="X94" s="1715">
        <f>+X92/X93</f>
        <v>1</v>
      </c>
      <c r="Y94" s="1715">
        <f>+Y92/Z93</f>
        <v>0.52038770053475936</v>
      </c>
      <c r="Z94" s="1715">
        <f>+Z92/Z93</f>
        <v>0.47961229946524064</v>
      </c>
      <c r="AA94" s="1715">
        <f>+AA92/AC93</f>
        <v>0.28856131761700771</v>
      </c>
      <c r="AB94" s="1715">
        <f>+AB92/AC93</f>
        <v>0.32975015299470506</v>
      </c>
      <c r="AC94" s="1715">
        <f>+AC92/AC93</f>
        <v>0.38168852938828729</v>
      </c>
      <c r="AD94" s="1715">
        <f>+AD92/AE93</f>
        <v>0.47563730235559859</v>
      </c>
      <c r="AE94" s="1715">
        <f>+AE92/AE93</f>
        <v>0.52436269764440135</v>
      </c>
      <c r="AF94" s="1715">
        <f>+AF92/AG93</f>
        <v>0.4902102973168963</v>
      </c>
      <c r="AG94" s="1715">
        <f>+AG92/AG93</f>
        <v>0.50978970268310364</v>
      </c>
      <c r="AH94" s="1715">
        <f>+AH92/AJ93</f>
        <v>0.31434218575977663</v>
      </c>
      <c r="AI94" s="1715">
        <f>+AI92/AJ93</f>
        <v>0.34039749643131656</v>
      </c>
      <c r="AJ94" s="1715">
        <f>+AJ92/AJ93</f>
        <v>0.34526031780890676</v>
      </c>
      <c r="AK94" s="1715">
        <f>+AK92/$AN$93</f>
        <v>0.20440156768164003</v>
      </c>
      <c r="AL94" s="1715">
        <f t="shared" ref="AL94:AN94" si="61">+AL92/$AN$93</f>
        <v>0.26560144709074462</v>
      </c>
      <c r="AM94" s="1715">
        <f t="shared" si="61"/>
        <v>0.26650587880615012</v>
      </c>
      <c r="AN94" s="1715">
        <f t="shared" si="61"/>
        <v>0.26349110642146512</v>
      </c>
      <c r="AO94" s="1715"/>
    </row>
  </sheetData>
  <pageMargins left="0.7" right="0.7" top="0.75" bottom="0.75" header="0.3" footer="0.3"/>
  <pageSetup paperSize="9" scale="10" orientation="portrait" r:id="rId1"/>
  <legacy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6">
    <tabColor theme="6" tint="-0.249977111117893"/>
    <pageSetUpPr fitToPage="1"/>
  </sheetPr>
  <dimension ref="A1:BB87"/>
  <sheetViews>
    <sheetView view="pageBreakPreview" zoomScale="60" zoomScaleNormal="100" workbookViewId="0">
      <pane xSplit="1" ySplit="3" topLeftCell="AK4" activePane="bottomRight" state="frozen"/>
      <selection pane="bottomRight" activeCell="AL37" sqref="AL37"/>
      <selection pane="bottomLeft" activeCell="A4" sqref="A4"/>
      <selection pane="topRight" activeCell="B1" sqref="B1"/>
    </sheetView>
  </sheetViews>
  <sheetFormatPr defaultColWidth="9.140625" defaultRowHeight="15"/>
  <cols>
    <col min="1" max="1" width="36.28515625" style="142" bestFit="1" customWidth="1"/>
    <col min="2" max="2" width="21.28515625" style="142" bestFit="1" customWidth="1"/>
    <col min="3" max="3" width="19.42578125" style="142" bestFit="1" customWidth="1"/>
    <col min="4" max="4" width="21.85546875" style="142" bestFit="1" customWidth="1"/>
    <col min="5" max="5" width="19.42578125" style="142" bestFit="1" customWidth="1"/>
    <col min="6" max="6" width="19" style="142" bestFit="1" customWidth="1"/>
    <col min="7" max="9" width="19.42578125" style="142" bestFit="1" customWidth="1"/>
    <col min="10" max="10" width="19" style="142" bestFit="1" customWidth="1"/>
    <col min="11" max="13" width="21.85546875" style="142" bestFit="1" customWidth="1"/>
    <col min="14" max="14" width="21.28515625" style="142" bestFit="1" customWidth="1"/>
    <col min="15" max="15" width="20.5703125" style="142" bestFit="1" customWidth="1"/>
    <col min="16" max="17" width="21.28515625" style="142" bestFit="1" customWidth="1"/>
    <col min="18" max="18" width="20.140625" style="142" bestFit="1" customWidth="1"/>
    <col min="19" max="20" width="21.85546875" style="142" bestFit="1" customWidth="1"/>
    <col min="21" max="21" width="22.28515625" style="142" bestFit="1" customWidth="1"/>
    <col min="22" max="24" width="21.85546875" style="142" bestFit="1" customWidth="1"/>
    <col min="25" max="25" width="21.28515625" style="142" bestFit="1" customWidth="1"/>
    <col min="26" max="30" width="21.85546875" style="142" bestFit="1" customWidth="1"/>
    <col min="31" max="31" width="21.28515625" style="142" bestFit="1" customWidth="1"/>
    <col min="32" max="34" width="21.85546875" style="142" bestFit="1" customWidth="1"/>
    <col min="35" max="35" width="21.28515625" style="142" bestFit="1" customWidth="1"/>
    <col min="36" max="36" width="21.85546875" style="142" bestFit="1" customWidth="1"/>
    <col min="37" max="37" width="21.28515625" style="142" bestFit="1" customWidth="1"/>
    <col min="38" max="40" width="21.85546875" style="142" bestFit="1" customWidth="1"/>
    <col min="41" max="41" width="21.28515625" style="142" bestFit="1" customWidth="1"/>
    <col min="42" max="42" width="23.28515625" style="142" bestFit="1" customWidth="1"/>
    <col min="43" max="45" width="21.85546875" style="142" bestFit="1" customWidth="1"/>
    <col min="46" max="46" width="21.85546875" style="142" customWidth="1"/>
    <col min="47" max="47" width="20.42578125" style="142" bestFit="1" customWidth="1"/>
    <col min="48" max="48" width="26.28515625" style="142" customWidth="1"/>
    <col min="49" max="49" width="21.85546875" style="142" bestFit="1" customWidth="1"/>
    <col min="50" max="50" width="9.5703125" style="142" bestFit="1" customWidth="1"/>
    <col min="51" max="51" width="23.140625" style="142" customWidth="1"/>
    <col min="52" max="53" width="9.140625" style="142"/>
    <col min="54" max="54" width="19.85546875" style="142" bestFit="1" customWidth="1"/>
    <col min="55" max="16384" width="9.140625" style="142"/>
  </cols>
  <sheetData>
    <row r="1" spans="1:50">
      <c r="AU1" s="1057"/>
    </row>
    <row r="2" spans="1:50" ht="15.6">
      <c r="A2" s="1066" t="s">
        <v>1772</v>
      </c>
      <c r="B2" s="142">
        <f>[1]Grasmere!B2</f>
        <v>1</v>
      </c>
      <c r="C2" s="142">
        <f>[1]Grasmere!C2</f>
        <v>2</v>
      </c>
      <c r="D2" s="142">
        <f>[1]Grasmere!D2</f>
        <v>3</v>
      </c>
      <c r="E2" s="142">
        <f>[1]Grasmere!E2</f>
        <v>4</v>
      </c>
      <c r="F2" s="142">
        <f>[1]Grasmere!F2</f>
        <v>5</v>
      </c>
      <c r="G2" s="142">
        <f>[1]Grasmere!G2</f>
        <v>6</v>
      </c>
      <c r="H2" s="142">
        <f>[1]Grasmere!H2</f>
        <v>7</v>
      </c>
      <c r="I2" s="142">
        <f>[1]Grasmere!I2</f>
        <v>8</v>
      </c>
      <c r="J2" s="142">
        <f>[1]Grasmere!J2</f>
        <v>9</v>
      </c>
      <c r="K2" s="142">
        <f>[1]Grasmere!K2</f>
        <v>10</v>
      </c>
      <c r="L2" s="142">
        <f>[1]Grasmere!L2</f>
        <v>11</v>
      </c>
      <c r="M2" s="142">
        <f>[1]Grasmere!M2</f>
        <v>12</v>
      </c>
      <c r="N2" s="142">
        <f>[1]Grasmere!N2</f>
        <v>13</v>
      </c>
      <c r="O2" s="142">
        <f>[1]Grasmere!O2</f>
        <v>14</v>
      </c>
      <c r="P2" s="142">
        <f>[1]Grasmere!P2</f>
        <v>15</v>
      </c>
      <c r="Q2" s="142">
        <f>[1]Grasmere!Q2</f>
        <v>16</v>
      </c>
      <c r="R2" s="142">
        <f>[1]Grasmere!R2</f>
        <v>17</v>
      </c>
      <c r="S2" s="142">
        <f>[1]Grasmere!S2</f>
        <v>18</v>
      </c>
      <c r="T2" s="142">
        <f>[1]Grasmere!T2</f>
        <v>19</v>
      </c>
      <c r="U2" s="142">
        <f>[1]Grasmere!U2</f>
        <v>20</v>
      </c>
      <c r="V2" s="142">
        <f>[1]Grasmere!V2</f>
        <v>21</v>
      </c>
      <c r="W2" s="142">
        <f>[1]Grasmere!W2</f>
        <v>22</v>
      </c>
      <c r="X2" s="142">
        <f>[1]Grasmere!X2</f>
        <v>23</v>
      </c>
      <c r="Y2" s="142">
        <f>[1]Grasmere!Y2</f>
        <v>24</v>
      </c>
      <c r="Z2" s="142">
        <f>[1]Grasmere!Z2</f>
        <v>25</v>
      </c>
      <c r="AA2" s="142">
        <f>[1]Grasmere!AA2</f>
        <v>26</v>
      </c>
      <c r="AB2" s="142">
        <f>[1]Grasmere!AB2</f>
        <v>27</v>
      </c>
      <c r="AC2" s="142">
        <f>[1]Grasmere!AC2</f>
        <v>28</v>
      </c>
      <c r="AD2" s="142">
        <f>[1]Grasmere!AD2</f>
        <v>29</v>
      </c>
      <c r="AE2" s="142">
        <f>[1]Grasmere!AE2</f>
        <v>30</v>
      </c>
      <c r="AF2" s="142">
        <f>[1]Grasmere!AF2</f>
        <v>31</v>
      </c>
      <c r="AG2" s="142">
        <f>[1]Grasmere!AG2</f>
        <v>32</v>
      </c>
      <c r="AH2" s="142">
        <f>[1]Grasmere!AH2</f>
        <v>33</v>
      </c>
      <c r="AI2" s="142">
        <f>[1]Grasmere!AI2</f>
        <v>34</v>
      </c>
      <c r="AJ2" s="142">
        <f>[1]Grasmere!AJ2</f>
        <v>35</v>
      </c>
      <c r="AK2" s="142">
        <f>[1]Grasmere!AK2</f>
        <v>36</v>
      </c>
      <c r="AL2" s="142">
        <f>[1]Grasmere!AL2</f>
        <v>37</v>
      </c>
      <c r="AM2" s="142">
        <f>[1]Grasmere!AM2</f>
        <v>38</v>
      </c>
      <c r="AN2" s="142">
        <f>[1]Grasmere!AN2</f>
        <v>39</v>
      </c>
      <c r="AU2" s="1057"/>
    </row>
    <row r="3" spans="1:50" s="131" customFormat="1" ht="15.6">
      <c r="B3" s="130" t="s">
        <v>1773</v>
      </c>
      <c r="C3" s="130" t="s">
        <v>1773</v>
      </c>
      <c r="D3" s="130" t="s">
        <v>1773</v>
      </c>
      <c r="E3" s="130" t="s">
        <v>1773</v>
      </c>
      <c r="F3" s="130" t="s">
        <v>1773</v>
      </c>
      <c r="G3" s="130" t="s">
        <v>1773</v>
      </c>
      <c r="H3" s="130" t="s">
        <v>1773</v>
      </c>
      <c r="I3" s="130" t="s">
        <v>1773</v>
      </c>
      <c r="J3" s="130" t="s">
        <v>1773</v>
      </c>
      <c r="K3" s="130" t="s">
        <v>1773</v>
      </c>
      <c r="L3" s="130" t="s">
        <v>1773</v>
      </c>
      <c r="M3" s="130" t="s">
        <v>1773</v>
      </c>
      <c r="N3" s="130" t="s">
        <v>1773</v>
      </c>
      <c r="O3" s="130" t="s">
        <v>1773</v>
      </c>
      <c r="P3" s="130" t="s">
        <v>1773</v>
      </c>
      <c r="Q3" s="130" t="s">
        <v>1773</v>
      </c>
      <c r="R3" s="130" t="s">
        <v>1774</v>
      </c>
      <c r="S3" s="130" t="s">
        <v>1775</v>
      </c>
      <c r="T3" s="130" t="s">
        <v>1775</v>
      </c>
      <c r="U3" s="130" t="s">
        <v>1775</v>
      </c>
      <c r="V3" s="130" t="s">
        <v>1776</v>
      </c>
      <c r="W3" s="130" t="s">
        <v>1776</v>
      </c>
      <c r="X3" s="130" t="s">
        <v>1777</v>
      </c>
      <c r="Y3" s="130" t="s">
        <v>1777</v>
      </c>
      <c r="Z3" s="130" t="s">
        <v>108</v>
      </c>
      <c r="AA3" s="130" t="s">
        <v>108</v>
      </c>
      <c r="AB3" s="130" t="s">
        <v>108</v>
      </c>
      <c r="AC3" s="130" t="s">
        <v>108</v>
      </c>
      <c r="AD3" s="130" t="s">
        <v>1778</v>
      </c>
      <c r="AE3" s="130" t="s">
        <v>1778</v>
      </c>
      <c r="AF3" s="130" t="s">
        <v>1779</v>
      </c>
      <c r="AG3" s="130" t="s">
        <v>1779</v>
      </c>
      <c r="AH3" s="130" t="s">
        <v>1780</v>
      </c>
      <c r="AI3" s="130" t="s">
        <v>1780</v>
      </c>
      <c r="AJ3" s="130" t="s">
        <v>1780</v>
      </c>
      <c r="AK3" s="130" t="s">
        <v>1781</v>
      </c>
      <c r="AL3" s="130" t="s">
        <v>1781</v>
      </c>
      <c r="AM3" s="130" t="s">
        <v>1781</v>
      </c>
      <c r="AN3" s="130" t="s">
        <v>1781</v>
      </c>
      <c r="AO3" s="130"/>
      <c r="AP3" s="130"/>
      <c r="AQ3" s="130"/>
      <c r="AR3" s="130"/>
      <c r="AS3" s="130"/>
      <c r="AT3" s="130"/>
      <c r="AU3" s="1086"/>
    </row>
    <row r="4" spans="1:50" ht="15.6">
      <c r="A4" s="1066" t="s">
        <v>1782</v>
      </c>
      <c r="B4" s="1079">
        <f>[1]Grasmere!B4</f>
        <v>23</v>
      </c>
      <c r="C4" s="1079">
        <f>[1]Grasmere!C4</f>
        <v>24</v>
      </c>
      <c r="D4" s="1079">
        <f>[1]Grasmere!D4</f>
        <v>25</v>
      </c>
      <c r="E4" s="1079">
        <f>[1]Grasmere!E4</f>
        <v>26</v>
      </c>
      <c r="F4" s="1079">
        <f>[1]Grasmere!F4</f>
        <v>27</v>
      </c>
      <c r="G4" s="1079">
        <f>[1]Grasmere!G4</f>
        <v>28</v>
      </c>
      <c r="H4" s="1079">
        <f>[1]Grasmere!H4</f>
        <v>29</v>
      </c>
      <c r="I4" s="1079">
        <f>[1]Grasmere!I4</f>
        <v>30</v>
      </c>
      <c r="J4" s="1079">
        <f>[1]Grasmere!J4</f>
        <v>31</v>
      </c>
      <c r="K4" s="1079">
        <f>[1]Grasmere!K4</f>
        <v>32</v>
      </c>
      <c r="L4" s="1079">
        <f>[1]Grasmere!L4</f>
        <v>33</v>
      </c>
      <c r="M4" s="1079">
        <f>[1]Grasmere!M4</f>
        <v>34</v>
      </c>
      <c r="N4" s="1079">
        <f>[1]Grasmere!N4</f>
        <v>35</v>
      </c>
      <c r="O4" s="1079">
        <f>[1]Grasmere!O4</f>
        <v>36</v>
      </c>
      <c r="P4" s="1079">
        <f>[1]Grasmere!P4</f>
        <v>37</v>
      </c>
      <c r="Q4" s="1079">
        <f>[1]Grasmere!Q4</f>
        <v>38</v>
      </c>
      <c r="R4" s="1079">
        <f>[1]Grasmere!R4</f>
        <v>39</v>
      </c>
      <c r="S4" s="1067">
        <f>[1]Grasmere!S4</f>
        <v>40</v>
      </c>
      <c r="T4" s="1079">
        <f>[1]Grasmere!T4</f>
        <v>41</v>
      </c>
      <c r="U4" s="1079">
        <f>[1]Grasmere!U4</f>
        <v>42</v>
      </c>
      <c r="V4" s="1079">
        <f>[1]Grasmere!V4</f>
        <v>43</v>
      </c>
      <c r="W4" s="1079">
        <f>[1]Grasmere!W4</f>
        <v>44</v>
      </c>
      <c r="X4" s="1079">
        <f>[1]Grasmere!X4</f>
        <v>45</v>
      </c>
      <c r="Y4" s="1079">
        <f>[1]Grasmere!Y4</f>
        <v>46</v>
      </c>
      <c r="Z4" s="1079">
        <f>[1]Grasmere!Z4</f>
        <v>47</v>
      </c>
      <c r="AA4" s="1079">
        <f>[1]Grasmere!AA4</f>
        <v>48</v>
      </c>
      <c r="AB4" s="1079">
        <f>[1]Grasmere!AB4</f>
        <v>49</v>
      </c>
      <c r="AC4" s="1079">
        <f>[1]Grasmere!AC4</f>
        <v>50</v>
      </c>
      <c r="AD4" s="1079">
        <f>[1]Grasmere!AD4</f>
        <v>51</v>
      </c>
      <c r="AE4" s="1079">
        <f>[1]Grasmere!AE4</f>
        <v>52</v>
      </c>
      <c r="AF4" s="1079">
        <f>[1]Grasmere!AF4</f>
        <v>1</v>
      </c>
      <c r="AG4" s="1079">
        <f>[1]Grasmere!AG4</f>
        <v>2</v>
      </c>
      <c r="AH4" s="1079">
        <f>[1]Grasmere!AH4</f>
        <v>3</v>
      </c>
      <c r="AI4" s="1079">
        <f>[1]Grasmere!AI4</f>
        <v>4</v>
      </c>
      <c r="AJ4" s="1079">
        <f>[1]Grasmere!AJ4</f>
        <v>5</v>
      </c>
      <c r="AK4" s="1079">
        <f>[1]Grasmere!AK4</f>
        <v>6</v>
      </c>
      <c r="AL4" s="1079">
        <f>[1]Grasmere!AL4</f>
        <v>7</v>
      </c>
      <c r="AM4" s="1079">
        <f>[1]Grasmere!AM4</f>
        <v>8</v>
      </c>
      <c r="AN4" s="1079">
        <f>[1]Grasmere!AN4</f>
        <v>9</v>
      </c>
      <c r="AO4" s="1079"/>
      <c r="AP4" s="1079"/>
      <c r="AQ4" s="1742"/>
      <c r="AR4" s="1742"/>
      <c r="AS4" s="1742"/>
      <c r="AT4" s="1742"/>
      <c r="AU4" s="1068"/>
      <c r="AV4" s="1066"/>
      <c r="AW4" s="1066"/>
      <c r="AX4" s="1066"/>
    </row>
    <row r="5" spans="1:50" ht="15.6">
      <c r="A5" s="1066" t="s">
        <v>1783</v>
      </c>
      <c r="B5" s="1079">
        <f>[1]Grasmere!B5</f>
        <v>-16</v>
      </c>
      <c r="C5" s="1079">
        <f>[1]Grasmere!C5</f>
        <v>-15</v>
      </c>
      <c r="D5" s="1079">
        <f>[1]Grasmere!D5</f>
        <v>-14</v>
      </c>
      <c r="E5" s="1079">
        <f>[1]Grasmere!E5</f>
        <v>-13</v>
      </c>
      <c r="F5" s="1079">
        <f>[1]Grasmere!F5</f>
        <v>-12</v>
      </c>
      <c r="G5" s="1079">
        <f>[1]Grasmere!G5</f>
        <v>-11</v>
      </c>
      <c r="H5" s="1079">
        <f>[1]Grasmere!H5</f>
        <v>-10</v>
      </c>
      <c r="I5" s="1079">
        <f>[1]Grasmere!I5</f>
        <v>-9</v>
      </c>
      <c r="J5" s="1079">
        <f>[1]Grasmere!J5</f>
        <v>-8</v>
      </c>
      <c r="K5" s="1079">
        <f>[1]Grasmere!K5</f>
        <v>-7</v>
      </c>
      <c r="L5" s="1079">
        <f>[1]Grasmere!L5</f>
        <v>-6</v>
      </c>
      <c r="M5" s="1079">
        <f>[1]Grasmere!M5</f>
        <v>-5</v>
      </c>
      <c r="N5" s="1079">
        <f>[1]Grasmere!N5</f>
        <v>-4</v>
      </c>
      <c r="O5" s="1079">
        <f>[1]Grasmere!O5</f>
        <v>-3</v>
      </c>
      <c r="P5" s="1079">
        <f>[1]Grasmere!P5</f>
        <v>-2</v>
      </c>
      <c r="Q5" s="1079">
        <f>[1]Grasmere!Q5</f>
        <v>-1</v>
      </c>
      <c r="R5" s="1079">
        <f>[1]Grasmere!R5</f>
        <v>0</v>
      </c>
      <c r="S5" s="1079">
        <f>[1]Grasmere!S5</f>
        <v>1</v>
      </c>
      <c r="T5" s="1079">
        <f>[1]Grasmere!T5</f>
        <v>2</v>
      </c>
      <c r="U5" s="1079">
        <f>[1]Grasmere!U5</f>
        <v>3</v>
      </c>
      <c r="V5" s="1079">
        <f>[1]Grasmere!V5</f>
        <v>4</v>
      </c>
      <c r="W5" s="1079">
        <f>[1]Grasmere!W5</f>
        <v>5</v>
      </c>
      <c r="X5" s="1079">
        <f>[1]Grasmere!X5</f>
        <v>6</v>
      </c>
      <c r="Y5" s="1079">
        <f>[1]Grasmere!Y5</f>
        <v>7</v>
      </c>
      <c r="Z5" s="1079">
        <f>[1]Grasmere!Z5</f>
        <v>8</v>
      </c>
      <c r="AA5" s="1079">
        <f>[1]Grasmere!AA5</f>
        <v>9</v>
      </c>
      <c r="AB5" s="1079">
        <f>[1]Grasmere!AB5</f>
        <v>10</v>
      </c>
      <c r="AC5" s="1079">
        <f>[1]Grasmere!AC5</f>
        <v>11</v>
      </c>
      <c r="AD5" s="1079">
        <f>[1]Grasmere!AD5</f>
        <v>12</v>
      </c>
      <c r="AE5" s="1079">
        <f>[1]Grasmere!AE5</f>
        <v>13</v>
      </c>
      <c r="AF5" s="1079">
        <f>[1]Grasmere!AF5</f>
        <v>14</v>
      </c>
      <c r="AG5" s="1079">
        <f>[1]Grasmere!AG5</f>
        <v>15</v>
      </c>
      <c r="AH5" s="1079">
        <f>[1]Grasmere!AH5</f>
        <v>16</v>
      </c>
      <c r="AI5" s="1079">
        <f>[1]Grasmere!AI5</f>
        <v>17</v>
      </c>
      <c r="AJ5" s="1079">
        <f>[1]Grasmere!AJ5</f>
        <v>18</v>
      </c>
      <c r="AK5" s="1079">
        <f>[1]Grasmere!AK5</f>
        <v>19</v>
      </c>
      <c r="AL5" s="1079">
        <f>[1]Grasmere!AL5</f>
        <v>20</v>
      </c>
      <c r="AM5" s="1079">
        <f>[1]Grasmere!AM5</f>
        <v>21</v>
      </c>
      <c r="AN5" s="1079">
        <f>[1]Grasmere!AN5</f>
        <v>22</v>
      </c>
      <c r="AO5" s="1079" t="str">
        <f>[1]Grasmere!AO5</f>
        <v>Sold</v>
      </c>
      <c r="AP5" s="1079" t="str">
        <f>[1]Grasmere!AP5</f>
        <v>Sold</v>
      </c>
      <c r="AQ5" s="1742" t="str">
        <f>[1]Grasmere!AQ5</f>
        <v>Sold</v>
      </c>
      <c r="AR5" s="1742" t="str">
        <f>[1]Grasmere!AR5</f>
        <v>Sold</v>
      </c>
      <c r="AS5" s="1742" t="str">
        <f>[1]Grasmere!AS5</f>
        <v>Sold</v>
      </c>
      <c r="AT5" s="1742" t="s">
        <v>1784</v>
      </c>
      <c r="AU5" s="1069" t="s">
        <v>71</v>
      </c>
      <c r="AV5" s="1601" t="s">
        <v>1827</v>
      </c>
    </row>
    <row r="6" spans="1:50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Q6" s="1113"/>
      <c r="AR6" s="1113"/>
      <c r="AS6" s="1113"/>
      <c r="AT6" s="1113"/>
      <c r="AU6" s="1057"/>
    </row>
    <row r="7" spans="1:50" ht="15.6">
      <c r="A7" s="1066" t="s">
        <v>1786</v>
      </c>
      <c r="B7" s="1057"/>
      <c r="C7" s="1057"/>
      <c r="D7" s="1057"/>
      <c r="E7" s="1057"/>
      <c r="F7" s="1057"/>
      <c r="G7" s="1057"/>
      <c r="H7" s="1057"/>
      <c r="I7" s="1057"/>
      <c r="J7" s="1057"/>
      <c r="K7" s="1057"/>
      <c r="L7" s="1057"/>
      <c r="M7" s="1057"/>
      <c r="N7" s="1057"/>
      <c r="O7" s="1057"/>
      <c r="P7" s="1057"/>
      <c r="Q7" s="1057"/>
      <c r="R7" s="1057"/>
      <c r="S7" s="1057"/>
      <c r="T7" s="1057"/>
      <c r="U7" s="1057"/>
      <c r="V7" s="1057"/>
      <c r="W7" s="1057"/>
      <c r="X7" s="1057">
        <f>+'[77]Villa Pig Cost'!S26</f>
        <v>318</v>
      </c>
      <c r="Y7" s="1057">
        <f>+'[77]Villa Pig Cost'!T26</f>
        <v>254</v>
      </c>
      <c r="Z7" s="1057">
        <f>+'[77]Villa Pig Cost'!U26</f>
        <v>277</v>
      </c>
      <c r="AA7" s="1057">
        <f>+'[77]Villa Pig Cost'!V26</f>
        <v>278</v>
      </c>
      <c r="AB7" s="1057">
        <f>+'[77]Villa Pig Cost'!W26</f>
        <v>276</v>
      </c>
      <c r="AC7" s="1057">
        <f>+'[77]Villa Pig Cost'!X26</f>
        <v>208</v>
      </c>
      <c r="AD7" s="1057">
        <f>+'[77]Villa Pig Cost'!Y26</f>
        <v>173</v>
      </c>
      <c r="AE7" s="1057">
        <f>+'[77]Villa Pig Cost'!Z26</f>
        <v>178</v>
      </c>
      <c r="AF7" s="1057">
        <f>+'[77]Villa Pig Cost'!AA26</f>
        <v>185</v>
      </c>
      <c r="AG7" s="1057">
        <f>+'[77]Villa Pig Cost'!AB26</f>
        <v>170</v>
      </c>
      <c r="AH7" s="1057">
        <f>+'[77]Villa Pig Cost'!AC26</f>
        <v>179</v>
      </c>
      <c r="AI7" s="1057">
        <f>+'[77]Villa Pig Cost'!AD26</f>
        <v>169</v>
      </c>
      <c r="AJ7" s="1057">
        <f>+'[77]Villa Pig Cost'!AE26</f>
        <v>167</v>
      </c>
      <c r="AK7" s="1057">
        <f>+'[77]Villa Pig Cost'!AF26</f>
        <v>168</v>
      </c>
      <c r="AL7" s="1057">
        <f>+'[77]Villa Pig Cost'!AG26</f>
        <v>169</v>
      </c>
      <c r="AM7" s="1057">
        <f>+'[77]Villa Pig Cost'!AH26</f>
        <v>167</v>
      </c>
      <c r="AN7" s="1057">
        <f>+'[77]Villa Pig Cost'!AI26</f>
        <v>161</v>
      </c>
      <c r="AO7" s="1057">
        <f>+'[77]Villa Pig Cost'!AJ26</f>
        <v>166</v>
      </c>
      <c r="AP7" s="1057">
        <f>+'[77]Villa Pig Cost'!AK26</f>
        <v>167</v>
      </c>
      <c r="AQ7" s="1057">
        <f>+'[77]Villa Pig Cost'!AL26</f>
        <v>178</v>
      </c>
      <c r="AR7" s="1057">
        <f>+'[77]Villa Pig Cost'!AM26</f>
        <v>174</v>
      </c>
      <c r="AS7" s="1057">
        <f>+'[77]Villa Pig Cost'!AN26</f>
        <v>168</v>
      </c>
      <c r="AT7" s="1057">
        <f>+'[77]Villa Pig Cost'!AO26+'[77]Villa Pig Cost'!$AP$26</f>
        <v>203</v>
      </c>
      <c r="AU7" s="1057">
        <f>SUM(W7:AT7)</f>
        <v>4553</v>
      </c>
      <c r="AV7" s="817">
        <f>+'[77]Villa Pig Cost'!$AU$26</f>
        <v>4553</v>
      </c>
      <c r="AW7" s="1772">
        <f t="shared" ref="AW7:AW25" si="0">AU7-AV7</f>
        <v>0</v>
      </c>
      <c r="AX7" s="818"/>
    </row>
    <row r="8" spans="1:50" ht="15.6">
      <c r="A8" s="1066" t="s">
        <v>1787</v>
      </c>
      <c r="B8" s="1057">
        <v>0</v>
      </c>
      <c r="C8" s="1057">
        <v>0</v>
      </c>
      <c r="D8" s="1057">
        <v>0</v>
      </c>
      <c r="E8" s="1057">
        <v>0</v>
      </c>
      <c r="F8" s="1057">
        <v>0</v>
      </c>
      <c r="G8" s="1057">
        <v>0</v>
      </c>
      <c r="H8" s="1057">
        <v>0</v>
      </c>
      <c r="I8" s="1057">
        <v>0</v>
      </c>
      <c r="J8" s="1057">
        <v>0</v>
      </c>
      <c r="K8" s="1057">
        <v>0</v>
      </c>
      <c r="L8" s="1057">
        <v>0</v>
      </c>
      <c r="M8" s="1057">
        <v>0</v>
      </c>
      <c r="N8" s="1057">
        <v>0</v>
      </c>
      <c r="O8" s="1057">
        <v>0</v>
      </c>
      <c r="P8" s="1057">
        <v>0</v>
      </c>
      <c r="Q8" s="1057">
        <v>0</v>
      </c>
      <c r="R8" s="1057">
        <v>0</v>
      </c>
      <c r="S8" s="807">
        <v>167</v>
      </c>
      <c r="T8" s="807">
        <v>300</v>
      </c>
      <c r="U8" s="807">
        <v>255</v>
      </c>
      <c r="V8" s="807">
        <v>307</v>
      </c>
      <c r="W8" s="807">
        <v>299</v>
      </c>
      <c r="X8" s="1057"/>
      <c r="Y8" s="1057"/>
      <c r="Z8" s="1057"/>
      <c r="AA8" s="1057"/>
      <c r="AB8" s="1057"/>
      <c r="AC8" s="1057"/>
      <c r="AD8" s="1057"/>
      <c r="AE8" s="1057"/>
      <c r="AF8" s="1057"/>
      <c r="AG8" s="1057"/>
      <c r="AH8" s="1057"/>
      <c r="AI8" s="1057"/>
      <c r="AJ8" s="1057"/>
      <c r="AK8" s="1057"/>
      <c r="AL8" s="1057"/>
      <c r="AM8" s="1057"/>
      <c r="AN8" s="1057"/>
      <c r="AO8" s="1057"/>
      <c r="AP8" s="1057"/>
      <c r="AQ8" s="1740"/>
      <c r="AR8" s="1740"/>
      <c r="AS8" s="1740"/>
      <c r="AT8" s="1740"/>
      <c r="AU8" s="1057">
        <f>SUM(S8:AT8)</f>
        <v>1328</v>
      </c>
      <c r="AV8" s="817">
        <f>SUM('Summary Total Pigs'!J89)</f>
        <v>1179</v>
      </c>
      <c r="AW8" s="1170">
        <f>AU8-AV8</f>
        <v>149</v>
      </c>
      <c r="AX8" s="818"/>
    </row>
    <row r="9" spans="1:50" ht="15.6">
      <c r="A9" s="1066" t="s">
        <v>212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807"/>
      <c r="T9" s="807"/>
      <c r="U9" s="807"/>
      <c r="V9" s="807"/>
      <c r="W9" s="807"/>
      <c r="X9" s="1057"/>
      <c r="Y9" s="1057"/>
      <c r="Z9" s="1057"/>
      <c r="AA9" s="1057"/>
      <c r="AB9" s="1057"/>
      <c r="AC9" s="1057"/>
      <c r="AD9" s="1057"/>
      <c r="AE9" s="1057"/>
      <c r="AF9" s="1057"/>
      <c r="AG9" s="1057"/>
      <c r="AH9" s="1057"/>
      <c r="AI9" s="1057"/>
      <c r="AJ9" s="1057"/>
      <c r="AK9" s="1057"/>
      <c r="AL9" s="1057"/>
      <c r="AM9" s="1057"/>
      <c r="AN9" s="1057"/>
      <c r="AO9" s="1057"/>
      <c r="AP9" s="1057"/>
      <c r="AQ9" s="1740"/>
      <c r="AR9" s="1740"/>
      <c r="AS9" s="1740"/>
      <c r="AT9" s="1740"/>
      <c r="AU9" s="1057">
        <f t="shared" ref="AU9:AU10" si="1">SUM(S9:AT9)</f>
        <v>0</v>
      </c>
      <c r="AV9" s="817">
        <f>SUM('Summary Total Pigs'!D89:D91,'Summary Total Pigs'!D92)-AV18-AV17</f>
        <v>1421</v>
      </c>
      <c r="AW9" s="818"/>
      <c r="AX9" s="818"/>
    </row>
    <row r="10" spans="1:50" ht="15.6">
      <c r="A10" s="1066" t="s">
        <v>1788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807"/>
      <c r="T10" s="807"/>
      <c r="U10" s="807"/>
      <c r="V10" s="807"/>
      <c r="W10" s="807"/>
      <c r="X10" s="1057"/>
      <c r="Y10" s="1057"/>
      <c r="Z10" s="1057"/>
      <c r="AA10" s="1057"/>
      <c r="AB10" s="1057"/>
      <c r="AC10" s="1057"/>
      <c r="AD10" s="1057"/>
      <c r="AE10" s="1057"/>
      <c r="AF10" s="1057"/>
      <c r="AG10" s="1057"/>
      <c r="AH10" s="1057"/>
      <c r="AI10" s="1057"/>
      <c r="AJ10" s="1057"/>
      <c r="AK10" s="1057"/>
      <c r="AL10" s="1057"/>
      <c r="AM10" s="1057"/>
      <c r="AN10" s="1057"/>
      <c r="AO10" s="1057"/>
      <c r="AP10" s="1057"/>
      <c r="AQ10" s="1740"/>
      <c r="AR10" s="1740"/>
      <c r="AS10" s="1740"/>
      <c r="AT10" s="1740"/>
      <c r="AU10" s="1057">
        <f t="shared" si="1"/>
        <v>0</v>
      </c>
      <c r="AV10" s="817">
        <f>SUM('Summary Total Pigs'!N89:N91)</f>
        <v>-1421</v>
      </c>
      <c r="AW10" s="818"/>
      <c r="AX10" s="818"/>
    </row>
    <row r="11" spans="1:50" s="131" customFormat="1" ht="15.6">
      <c r="A11" s="1066" t="s">
        <v>1789</v>
      </c>
      <c r="B11" s="1068">
        <f t="shared" ref="B11:R11" si="2">SUM(B7:B9)</f>
        <v>0</v>
      </c>
      <c r="C11" s="1068">
        <f t="shared" si="2"/>
        <v>0</v>
      </c>
      <c r="D11" s="1068">
        <f t="shared" si="2"/>
        <v>0</v>
      </c>
      <c r="E11" s="1068">
        <f t="shared" si="2"/>
        <v>0</v>
      </c>
      <c r="F11" s="1068">
        <f t="shared" si="2"/>
        <v>0</v>
      </c>
      <c r="G11" s="1068">
        <f t="shared" si="2"/>
        <v>0</v>
      </c>
      <c r="H11" s="1068">
        <f t="shared" si="2"/>
        <v>0</v>
      </c>
      <c r="I11" s="1068">
        <f t="shared" si="2"/>
        <v>0</v>
      </c>
      <c r="J11" s="1068">
        <f t="shared" si="2"/>
        <v>0</v>
      </c>
      <c r="K11" s="1068">
        <f t="shared" si="2"/>
        <v>0</v>
      </c>
      <c r="L11" s="1068">
        <f t="shared" si="2"/>
        <v>0</v>
      </c>
      <c r="M11" s="1068">
        <f t="shared" si="2"/>
        <v>0</v>
      </c>
      <c r="N11" s="1068">
        <f t="shared" si="2"/>
        <v>0</v>
      </c>
      <c r="O11" s="1068">
        <f t="shared" si="2"/>
        <v>0</v>
      </c>
      <c r="P11" s="1068">
        <f t="shared" si="2"/>
        <v>0</v>
      </c>
      <c r="Q11" s="1068">
        <f t="shared" si="2"/>
        <v>0</v>
      </c>
      <c r="R11" s="1068">
        <f t="shared" si="2"/>
        <v>0</v>
      </c>
      <c r="S11" s="1068">
        <f t="shared" ref="S11:AT11" si="3">SUM(S7:S10)</f>
        <v>167</v>
      </c>
      <c r="T11" s="1068">
        <f t="shared" si="3"/>
        <v>300</v>
      </c>
      <c r="U11" s="1068">
        <f t="shared" si="3"/>
        <v>255</v>
      </c>
      <c r="V11" s="1068">
        <f t="shared" si="3"/>
        <v>307</v>
      </c>
      <c r="W11" s="1068">
        <f t="shared" si="3"/>
        <v>299</v>
      </c>
      <c r="X11" s="1068">
        <f t="shared" si="3"/>
        <v>318</v>
      </c>
      <c r="Y11" s="1068">
        <f t="shared" si="3"/>
        <v>254</v>
      </c>
      <c r="Z11" s="1068">
        <f t="shared" si="3"/>
        <v>277</v>
      </c>
      <c r="AA11" s="1068">
        <f t="shared" si="3"/>
        <v>278</v>
      </c>
      <c r="AB11" s="1068">
        <f t="shared" si="3"/>
        <v>276</v>
      </c>
      <c r="AC11" s="1068">
        <f t="shared" si="3"/>
        <v>208</v>
      </c>
      <c r="AD11" s="1068">
        <f t="shared" si="3"/>
        <v>173</v>
      </c>
      <c r="AE11" s="1068">
        <f t="shared" si="3"/>
        <v>178</v>
      </c>
      <c r="AF11" s="1068">
        <f t="shared" si="3"/>
        <v>185</v>
      </c>
      <c r="AG11" s="1068">
        <f t="shared" si="3"/>
        <v>170</v>
      </c>
      <c r="AH11" s="1068">
        <f t="shared" si="3"/>
        <v>179</v>
      </c>
      <c r="AI11" s="1068">
        <f t="shared" si="3"/>
        <v>169</v>
      </c>
      <c r="AJ11" s="1068">
        <f t="shared" si="3"/>
        <v>167</v>
      </c>
      <c r="AK11" s="1068">
        <f t="shared" si="3"/>
        <v>168</v>
      </c>
      <c r="AL11" s="1068">
        <f t="shared" si="3"/>
        <v>169</v>
      </c>
      <c r="AM11" s="1068">
        <f t="shared" si="3"/>
        <v>167</v>
      </c>
      <c r="AN11" s="1068">
        <f t="shared" si="3"/>
        <v>161</v>
      </c>
      <c r="AO11" s="1068">
        <f t="shared" si="3"/>
        <v>166</v>
      </c>
      <c r="AP11" s="1068">
        <f t="shared" si="3"/>
        <v>167</v>
      </c>
      <c r="AQ11" s="1743">
        <f t="shared" si="3"/>
        <v>178</v>
      </c>
      <c r="AR11" s="1743">
        <f t="shared" si="3"/>
        <v>174</v>
      </c>
      <c r="AS11" s="1743">
        <f t="shared" si="3"/>
        <v>168</v>
      </c>
      <c r="AT11" s="1743">
        <f t="shared" si="3"/>
        <v>203</v>
      </c>
      <c r="AU11" s="1086">
        <f>SUM(B11:AT11)</f>
        <v>5881</v>
      </c>
      <c r="AV11" s="1068">
        <f>SUM(AV7:AV10)</f>
        <v>5732</v>
      </c>
      <c r="AW11" s="1576">
        <f>AU11-AV11</f>
        <v>149</v>
      </c>
      <c r="AX11" s="1066"/>
    </row>
    <row r="12" spans="1:50" ht="15.6">
      <c r="A12" s="1100" t="str">
        <f>+'Grasmere Pig Cost'!A12</f>
        <v>Transfers Lionshead</v>
      </c>
      <c r="B12" s="1282"/>
      <c r="C12" s="1282"/>
      <c r="D12" s="1282"/>
      <c r="E12" s="1282"/>
      <c r="F12" s="1282"/>
      <c r="G12" s="1282"/>
      <c r="H12" s="1282"/>
      <c r="I12" s="1282"/>
      <c r="J12" s="1282"/>
      <c r="K12" s="1282"/>
      <c r="L12" s="1282"/>
      <c r="M12" s="1282"/>
      <c r="N12" s="1282"/>
      <c r="O12" s="1282"/>
      <c r="P12" s="1282"/>
      <c r="Q12" s="1282"/>
      <c r="R12" s="1282"/>
      <c r="S12" s="817"/>
      <c r="T12" s="817"/>
      <c r="U12" s="817"/>
      <c r="V12" s="817"/>
      <c r="W12" s="817"/>
      <c r="X12" s="817"/>
      <c r="Y12" s="817"/>
      <c r="Z12" s="817"/>
      <c r="AA12" s="817"/>
      <c r="AB12" s="817"/>
      <c r="AC12" s="817"/>
      <c r="AD12" s="817"/>
      <c r="AE12" s="817"/>
      <c r="AF12" s="817"/>
      <c r="AG12" s="817"/>
      <c r="AH12" s="817"/>
      <c r="AI12" s="817"/>
      <c r="AJ12" s="817"/>
      <c r="AK12" s="817"/>
      <c r="AL12" s="817"/>
      <c r="AM12" s="817"/>
      <c r="AN12" s="817"/>
      <c r="AO12" s="817"/>
      <c r="AP12" s="817"/>
      <c r="AQ12" s="1744"/>
      <c r="AR12" s="1744"/>
      <c r="AS12" s="1744"/>
      <c r="AT12" s="1744"/>
      <c r="AU12" s="807">
        <f>SUM(S12:AT12)</f>
        <v>0</v>
      </c>
      <c r="AV12" s="817">
        <f>SUM('Summary Total Pigs'!F89:F91,'Summary Total Pigs'!P89:P91)</f>
        <v>0</v>
      </c>
      <c r="AW12" s="1170">
        <f>AU12-AV12</f>
        <v>0</v>
      </c>
      <c r="AX12" s="1066"/>
    </row>
    <row r="13" spans="1:50" ht="15.6">
      <c r="A13" s="1100" t="str">
        <f>+'Grasmere Pig Cost'!A13</f>
        <v>Transfers Lionshead Ext.</v>
      </c>
      <c r="B13" s="1282"/>
      <c r="C13" s="1282"/>
      <c r="D13" s="1282"/>
      <c r="E13" s="1282"/>
      <c r="F13" s="1282"/>
      <c r="G13" s="1282"/>
      <c r="H13" s="1282"/>
      <c r="I13" s="1282"/>
      <c r="J13" s="1282"/>
      <c r="K13" s="1282"/>
      <c r="L13" s="1282"/>
      <c r="M13" s="1282"/>
      <c r="N13" s="1282"/>
      <c r="O13" s="1282"/>
      <c r="P13" s="1282"/>
      <c r="Q13" s="1282"/>
      <c r="R13" s="1282"/>
      <c r="S13" s="817"/>
      <c r="T13" s="817"/>
      <c r="U13" s="817"/>
      <c r="V13" s="817"/>
      <c r="W13" s="817"/>
      <c r="X13" s="817"/>
      <c r="Y13" s="817"/>
      <c r="Z13" s="817"/>
      <c r="AA13" s="817"/>
      <c r="AB13" s="817"/>
      <c r="AC13" s="817"/>
      <c r="AD13" s="817"/>
      <c r="AE13" s="817"/>
      <c r="AF13" s="817"/>
      <c r="AG13" s="817"/>
      <c r="AH13" s="817"/>
      <c r="AI13" s="817"/>
      <c r="AJ13" s="817"/>
      <c r="AK13" s="817"/>
      <c r="AL13" s="817"/>
      <c r="AM13" s="817"/>
      <c r="AN13" s="817"/>
      <c r="AO13" s="817"/>
      <c r="AP13" s="817"/>
      <c r="AQ13" s="1744"/>
      <c r="AR13" s="1744"/>
      <c r="AS13" s="1744"/>
      <c r="AT13" s="1744"/>
      <c r="AU13" s="807">
        <f t="shared" ref="AU13:AU25" si="4">SUM(S13:AT13)</f>
        <v>0</v>
      </c>
      <c r="AV13" s="817">
        <f>SUM('Summary Total Pigs'!G89:G91,'Summary Total Pigs'!Q89:Q91)</f>
        <v>-250</v>
      </c>
      <c r="AW13" s="1170">
        <f t="shared" si="0"/>
        <v>250</v>
      </c>
      <c r="AX13" s="1066"/>
    </row>
    <row r="14" spans="1:50" ht="15.6">
      <c r="A14" s="1100" t="str">
        <f>+'Grasmere Pig Cost'!A14</f>
        <v>Transfers  Richlands</v>
      </c>
      <c r="B14" s="1282"/>
      <c r="C14" s="1282"/>
      <c r="D14" s="1282"/>
      <c r="E14" s="1282"/>
      <c r="F14" s="1282"/>
      <c r="G14" s="1282"/>
      <c r="H14" s="1282"/>
      <c r="I14" s="1282"/>
      <c r="J14" s="1282"/>
      <c r="K14" s="1282"/>
      <c r="L14" s="1282"/>
      <c r="M14" s="1282"/>
      <c r="N14" s="1282"/>
      <c r="O14" s="1282"/>
      <c r="P14" s="1282"/>
      <c r="Q14" s="1282"/>
      <c r="R14" s="1282"/>
      <c r="S14" s="1282"/>
      <c r="T14" s="1282"/>
      <c r="U14" s="1282"/>
      <c r="V14" s="1283"/>
      <c r="W14" s="1283"/>
      <c r="X14" s="1283"/>
      <c r="Y14" s="807"/>
      <c r="Z14" s="807"/>
      <c r="AA14" s="807"/>
      <c r="AB14" s="807"/>
      <c r="AC14" s="807"/>
      <c r="AD14" s="1283"/>
      <c r="AE14" s="1283"/>
      <c r="AF14" s="1283"/>
      <c r="AG14" s="1282"/>
      <c r="AH14" s="1282"/>
      <c r="AI14" s="1282"/>
      <c r="AJ14" s="1282"/>
      <c r="AK14" s="1282"/>
      <c r="AL14" s="1283"/>
      <c r="AM14" s="1283"/>
      <c r="AN14" s="1283"/>
      <c r="AO14" s="1282"/>
      <c r="AP14" s="1282"/>
      <c r="AQ14" s="1743"/>
      <c r="AR14" s="1743"/>
      <c r="AS14" s="1743"/>
      <c r="AT14" s="1743"/>
      <c r="AU14" s="807">
        <f t="shared" si="4"/>
        <v>0</v>
      </c>
      <c r="AV14" s="817">
        <f>SUM('Summary Total Pigs'!I89:I91,'Summary Total Pigs'!S89:S91)</f>
        <v>0</v>
      </c>
      <c r="AW14" s="1170">
        <f t="shared" si="0"/>
        <v>0</v>
      </c>
      <c r="AX14" s="1066"/>
    </row>
    <row r="15" spans="1:50" ht="15.6">
      <c r="A15" s="1100" t="str">
        <f>+'Grasmere Pig Cost'!A15</f>
        <v>Transfers Learig</v>
      </c>
      <c r="B15" s="1282"/>
      <c r="C15" s="1282"/>
      <c r="D15" s="1282"/>
      <c r="E15" s="1282"/>
      <c r="F15" s="1282"/>
      <c r="G15" s="1282"/>
      <c r="H15" s="1282"/>
      <c r="I15" s="1282"/>
      <c r="J15" s="1282"/>
      <c r="K15" s="1282"/>
      <c r="L15" s="1282"/>
      <c r="M15" s="1282"/>
      <c r="N15" s="1282"/>
      <c r="O15" s="1282"/>
      <c r="P15" s="1282"/>
      <c r="Q15" s="1282"/>
      <c r="R15" s="1282"/>
      <c r="S15" s="1282"/>
      <c r="T15" s="1282"/>
      <c r="U15" s="1283"/>
      <c r="V15" s="1283"/>
      <c r="W15" s="1283"/>
      <c r="X15" s="1283"/>
      <c r="Y15" s="1283"/>
      <c r="Z15" s="1283">
        <v>-70</v>
      </c>
      <c r="AA15" s="1283">
        <v>-104</v>
      </c>
      <c r="AB15" s="1283">
        <v>-100</v>
      </c>
      <c r="AC15" s="1283"/>
      <c r="AF15" s="1283"/>
      <c r="AG15" s="807"/>
      <c r="AH15" s="1282"/>
      <c r="AI15" s="1282"/>
      <c r="AJ15" s="1282"/>
      <c r="AK15" s="1282"/>
      <c r="AL15" s="1282"/>
      <c r="AM15" s="1282"/>
      <c r="AN15" s="1282"/>
      <c r="AO15" s="1282"/>
      <c r="AP15" s="1282"/>
      <c r="AQ15" s="1743"/>
      <c r="AR15" s="1743"/>
      <c r="AS15" s="1743"/>
      <c r="AT15" s="1743"/>
      <c r="AU15" s="807">
        <f t="shared" si="4"/>
        <v>-274</v>
      </c>
      <c r="AV15" s="817">
        <f>SUM('Summary Total Pigs'!H89:H91,'Summary Total Pigs'!R89:R91)</f>
        <v>-190</v>
      </c>
      <c r="AW15" s="1170">
        <f t="shared" si="0"/>
        <v>-84</v>
      </c>
      <c r="AX15" s="1066"/>
    </row>
    <row r="16" spans="1:50" ht="15.6">
      <c r="A16" s="1100" t="s">
        <v>1830</v>
      </c>
      <c r="B16" s="1282"/>
      <c r="C16" s="1282"/>
      <c r="D16" s="1282"/>
      <c r="E16" s="1282"/>
      <c r="F16" s="1282"/>
      <c r="G16" s="1282"/>
      <c r="H16" s="1282"/>
      <c r="I16" s="1282"/>
      <c r="J16" s="1282"/>
      <c r="K16" s="1282"/>
      <c r="L16" s="1282"/>
      <c r="M16" s="1282"/>
      <c r="N16" s="1282"/>
      <c r="O16" s="1282"/>
      <c r="P16" s="1282"/>
      <c r="Q16" s="1282"/>
      <c r="R16" s="1282"/>
      <c r="S16" s="1282"/>
      <c r="T16" s="1282"/>
      <c r="U16" s="1282"/>
      <c r="V16" s="1282"/>
      <c r="W16" s="1282"/>
      <c r="X16" s="1283"/>
      <c r="Y16" s="1283"/>
      <c r="Z16" s="1283"/>
      <c r="AA16" s="1283"/>
      <c r="AB16" s="1282"/>
      <c r="AC16" s="1282"/>
      <c r="AD16" s="1282"/>
      <c r="AE16" s="1282"/>
      <c r="AF16" s="1282"/>
      <c r="AG16" s="1282"/>
      <c r="AH16" s="1282"/>
      <c r="AI16" s="1282"/>
      <c r="AJ16" s="1282"/>
      <c r="AK16" s="1282"/>
      <c r="AL16" s="1282"/>
      <c r="AM16" s="1282"/>
      <c r="AN16" s="1282"/>
      <c r="AO16" s="1282"/>
      <c r="AP16" s="1282"/>
      <c r="AQ16" s="1743"/>
      <c r="AR16" s="1743"/>
      <c r="AS16" s="1743"/>
      <c r="AT16" s="1743"/>
      <c r="AU16" s="807">
        <f t="shared" si="4"/>
        <v>0</v>
      </c>
      <c r="AV16" s="817">
        <f>SUM('Summary Total Pigs'!E89:E91,'Summary Total Pigs'!O89:O91)</f>
        <v>0</v>
      </c>
      <c r="AW16" s="1170">
        <f t="shared" si="0"/>
        <v>0</v>
      </c>
      <c r="AX16" s="1066"/>
    </row>
    <row r="17" spans="1:51" ht="15.6">
      <c r="A17" s="1100" t="str">
        <f>+'Grasmere Pig Cost'!A20</f>
        <v>Transfers  Boars</v>
      </c>
      <c r="B17" s="1282"/>
      <c r="C17" s="1282"/>
      <c r="D17" s="1282"/>
      <c r="E17" s="1282"/>
      <c r="F17" s="1282"/>
      <c r="G17" s="1282"/>
      <c r="H17" s="1282"/>
      <c r="I17" s="1282"/>
      <c r="J17" s="1282"/>
      <c r="K17" s="1282"/>
      <c r="L17" s="1282"/>
      <c r="M17" s="1282"/>
      <c r="N17" s="1282"/>
      <c r="O17" s="1282"/>
      <c r="P17" s="1282"/>
      <c r="Q17" s="1282"/>
      <c r="R17" s="1282"/>
      <c r="S17" s="1282"/>
      <c r="T17" s="1282"/>
      <c r="U17" s="1282"/>
      <c r="V17" s="1282"/>
      <c r="W17" s="1282"/>
      <c r="X17" s="1282"/>
      <c r="Y17" s="1282"/>
      <c r="Z17" s="1282"/>
      <c r="AA17" s="1282"/>
      <c r="AB17" s="1282"/>
      <c r="AC17" s="1282"/>
      <c r="AD17" s="1282"/>
      <c r="AE17" s="1282"/>
      <c r="AF17" s="1282"/>
      <c r="AG17" s="1282"/>
      <c r="AH17" s="1282"/>
      <c r="AI17" s="1283"/>
      <c r="AJ17" s="1282"/>
      <c r="AK17" s="1282"/>
      <c r="AL17" s="1282"/>
      <c r="AM17" s="1282"/>
      <c r="AN17" s="1282"/>
      <c r="AO17" s="1282"/>
      <c r="AP17" s="1282"/>
      <c r="AQ17" s="1743"/>
      <c r="AR17" s="1745"/>
      <c r="AS17" s="1743"/>
      <c r="AT17" s="1743"/>
      <c r="AU17" s="807">
        <f t="shared" si="4"/>
        <v>0</v>
      </c>
      <c r="AV17" s="817">
        <v>0</v>
      </c>
      <c r="AW17" s="1170">
        <f t="shared" si="0"/>
        <v>0</v>
      </c>
      <c r="AX17" s="1066"/>
    </row>
    <row r="18" spans="1:51">
      <c r="A18" s="1100" t="str">
        <f>+'Grasmere Pig Cost'!A21</f>
        <v>Transfers Grower</v>
      </c>
      <c r="B18" s="1283"/>
      <c r="C18" s="1283"/>
      <c r="D18" s="1283"/>
      <c r="E18" s="1283"/>
      <c r="F18" s="1283"/>
      <c r="G18" s="1283"/>
      <c r="H18" s="1283"/>
      <c r="I18" s="1283"/>
      <c r="J18" s="1283"/>
      <c r="K18" s="1283"/>
      <c r="L18" s="1283"/>
      <c r="M18" s="1283"/>
      <c r="N18" s="1283"/>
      <c r="O18" s="1283"/>
      <c r="P18" s="1283"/>
      <c r="Q18" s="1283"/>
      <c r="R18" s="1283"/>
      <c r="S18" s="1283"/>
      <c r="T18" s="1283"/>
      <c r="U18" s="1283"/>
      <c r="V18" s="1283"/>
      <c r="W18" s="1283"/>
      <c r="X18" s="1283"/>
      <c r="Y18" s="1283"/>
      <c r="Z18" s="1283"/>
      <c r="AA18" s="1283"/>
      <c r="AB18" s="1283"/>
      <c r="AC18" s="1283"/>
      <c r="AD18" s="1283"/>
      <c r="AE18" s="1283">
        <v>1</v>
      </c>
      <c r="AF18" s="1283"/>
      <c r="AG18" s="1283"/>
      <c r="AH18" s="1283"/>
      <c r="AI18" s="1283"/>
      <c r="AJ18" s="1283"/>
      <c r="AK18" s="1283"/>
      <c r="AL18" s="1283"/>
      <c r="AM18" s="1283"/>
      <c r="AN18" s="1283"/>
      <c r="AO18" s="1283"/>
      <c r="AP18" s="1283"/>
      <c r="AQ18" s="1745"/>
      <c r="AR18" s="1745"/>
      <c r="AS18" s="1745"/>
      <c r="AT18" s="1745"/>
      <c r="AU18" s="807">
        <f t="shared" si="4"/>
        <v>1</v>
      </c>
      <c r="AV18" s="817">
        <v>1</v>
      </c>
      <c r="AW18" s="1170">
        <f t="shared" si="0"/>
        <v>0</v>
      </c>
      <c r="AX18" s="1100"/>
    </row>
    <row r="19" spans="1:51">
      <c r="A19" s="1100" t="str">
        <f>+'Grasmere Pig Cost'!A22</f>
        <v>Transfer to Sick Block</v>
      </c>
      <c r="B19" s="1283"/>
      <c r="C19" s="1283"/>
      <c r="D19" s="1283"/>
      <c r="E19" s="1283"/>
      <c r="F19" s="1283"/>
      <c r="G19" s="1283"/>
      <c r="H19" s="1283"/>
      <c r="I19" s="1283"/>
      <c r="J19" s="1283"/>
      <c r="K19" s="1283"/>
      <c r="L19" s="1283"/>
      <c r="M19" s="1283"/>
      <c r="N19" s="1283"/>
      <c r="O19" s="1283"/>
      <c r="P19" s="1283"/>
      <c r="Q19" s="1283"/>
      <c r="R19" s="1283"/>
      <c r="S19" s="1283"/>
      <c r="T19" s="1283"/>
      <c r="U19" s="1283"/>
      <c r="V19" s="1283"/>
      <c r="W19" s="1283"/>
      <c r="X19" s="1283"/>
      <c r="Y19" s="1283"/>
      <c r="Z19" s="1283"/>
      <c r="AA19" s="1283"/>
      <c r="AB19" s="1283"/>
      <c r="AC19" s="1283"/>
      <c r="AD19" s="1283"/>
      <c r="AE19" s="1283"/>
      <c r="AF19" s="1283"/>
      <c r="AG19" s="1283"/>
      <c r="AH19" s="1283"/>
      <c r="AI19" s="1283"/>
      <c r="AJ19" s="1283"/>
      <c r="AK19" s="1283"/>
      <c r="AL19" s="1283"/>
      <c r="AM19" s="1283"/>
      <c r="AN19" s="1283"/>
      <c r="AO19" s="1283"/>
      <c r="AP19" s="1283"/>
      <c r="AQ19" s="1745"/>
      <c r="AR19" s="1745"/>
      <c r="AS19" s="1745"/>
      <c r="AT19" s="1745"/>
      <c r="AU19" s="807">
        <f t="shared" si="4"/>
        <v>0</v>
      </c>
      <c r="AV19" s="817"/>
      <c r="AW19" s="1170"/>
      <c r="AX19" s="1100"/>
    </row>
    <row r="20" spans="1:51">
      <c r="A20" s="1100" t="str">
        <f>+'Grasmere Pig Cost'!A23</f>
        <v>Transfers Gilts</v>
      </c>
      <c r="B20" s="807"/>
      <c r="C20" s="807"/>
      <c r="D20" s="807"/>
      <c r="E20" s="807"/>
      <c r="F20" s="807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  <c r="V20" s="807"/>
      <c r="W20" s="807"/>
      <c r="X20" s="807"/>
      <c r="Y20" s="807"/>
      <c r="Z20" s="807"/>
      <c r="AA20" s="807"/>
      <c r="AB20" s="807"/>
      <c r="AC20" s="807"/>
      <c r="AD20" s="807"/>
      <c r="AE20" s="807"/>
      <c r="AF20" s="807"/>
      <c r="AG20" s="807"/>
      <c r="AH20" s="807"/>
      <c r="AI20" s="807"/>
      <c r="AJ20" s="807"/>
      <c r="AK20" s="807"/>
      <c r="AL20" s="807"/>
      <c r="AM20" s="807"/>
      <c r="AN20" s="1661"/>
      <c r="AO20" s="807"/>
      <c r="AP20" s="807"/>
      <c r="AQ20" s="1740"/>
      <c r="AR20" s="1740"/>
      <c r="AS20" s="1740"/>
      <c r="AT20" s="1740"/>
      <c r="AU20" s="807">
        <f t="shared" si="4"/>
        <v>0</v>
      </c>
      <c r="AV20" s="817">
        <f>-'Summary Total Pigs'!D92</f>
        <v>0</v>
      </c>
      <c r="AW20" s="1170">
        <f t="shared" si="0"/>
        <v>0</v>
      </c>
      <c r="AX20" s="818"/>
    </row>
    <row r="21" spans="1:51" ht="15.6">
      <c r="A21" s="1100" t="str">
        <f>+'Grasmere Pig Cost'!A24</f>
        <v>Mortality</v>
      </c>
      <c r="B21" s="807"/>
      <c r="C21" s="807"/>
      <c r="D21" s="807"/>
      <c r="E21" s="807"/>
      <c r="F21" s="807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/>
      <c r="T21" s="807">
        <v>-13</v>
      </c>
      <c r="U21" s="807">
        <v>-11</v>
      </c>
      <c r="V21" s="807">
        <v>-24</v>
      </c>
      <c r="W21" s="807">
        <v>-25</v>
      </c>
      <c r="X21" s="807">
        <v>-24</v>
      </c>
      <c r="Y21" s="807">
        <v>-13</v>
      </c>
      <c r="Z21" s="807">
        <v>-8</v>
      </c>
      <c r="AA21" s="807">
        <v>-5</v>
      </c>
      <c r="AB21" s="807">
        <v>-2</v>
      </c>
      <c r="AC21" s="807">
        <v>-1</v>
      </c>
      <c r="AD21" s="1283">
        <v>-3</v>
      </c>
      <c r="AE21" s="1283">
        <v>-1</v>
      </c>
      <c r="AF21" s="807">
        <v>-4</v>
      </c>
      <c r="AG21" s="807">
        <v>-1</v>
      </c>
      <c r="AH21" s="807">
        <v>-1</v>
      </c>
      <c r="AI21" s="807">
        <v>-1</v>
      </c>
      <c r="AJ21" s="807"/>
      <c r="AK21" s="807">
        <v>-3</v>
      </c>
      <c r="AL21" s="807">
        <v>-1</v>
      </c>
      <c r="AM21" s="807">
        <v>-1</v>
      </c>
      <c r="AN21" s="807">
        <v>-1</v>
      </c>
      <c r="AO21" s="807"/>
      <c r="AP21" s="807">
        <v>-10</v>
      </c>
      <c r="AQ21" s="1740"/>
      <c r="AR21" s="1740">
        <v>-2</v>
      </c>
      <c r="AS21" s="1740"/>
      <c r="AT21" s="1740">
        <v>-1</v>
      </c>
      <c r="AU21" s="807">
        <f>SUM(S21:AT21)</f>
        <v>-156</v>
      </c>
      <c r="AV21" s="817">
        <f>SUM('Summary Total Pigs'!W89:W91,'Summary Total Pigs'!Y89:Y91)</f>
        <v>-81</v>
      </c>
      <c r="AW21" s="1170">
        <f>AU21-AV21</f>
        <v>-75</v>
      </c>
      <c r="AX21" s="818"/>
      <c r="AY21" s="1066"/>
    </row>
    <row r="22" spans="1:51" ht="15.6">
      <c r="A22" s="1100" t="str">
        <f>+'Grasmere Pig Cost'!A25</f>
        <v>Rations</v>
      </c>
      <c r="B22" s="807"/>
      <c r="C22" s="807"/>
      <c r="D22" s="807"/>
      <c r="E22" s="807"/>
      <c r="F22" s="807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7"/>
      <c r="AB22" s="807"/>
      <c r="AC22" s="807"/>
      <c r="AD22" s="807"/>
      <c r="AE22" s="807"/>
      <c r="AF22" s="807"/>
      <c r="AG22" s="807">
        <v>-1</v>
      </c>
      <c r="AH22" s="807"/>
      <c r="AI22" s="807"/>
      <c r="AJ22" s="807"/>
      <c r="AK22" s="807"/>
      <c r="AL22" s="807"/>
      <c r="AM22" s="807"/>
      <c r="AN22" s="807"/>
      <c r="AO22" s="807"/>
      <c r="AP22" s="807">
        <v>-4</v>
      </c>
      <c r="AQ22" s="1740">
        <v>-5</v>
      </c>
      <c r="AR22" s="1740">
        <v>-1</v>
      </c>
      <c r="AS22" s="1740"/>
      <c r="AT22" s="1740">
        <v>-3</v>
      </c>
      <c r="AU22" s="807">
        <f t="shared" si="4"/>
        <v>-14</v>
      </c>
      <c r="AV22" s="817">
        <f>SUM('Summary Total Pigs'!Z89:Z91)</f>
        <v>-1</v>
      </c>
      <c r="AW22" s="1170">
        <f t="shared" si="0"/>
        <v>-13</v>
      </c>
      <c r="AX22" s="818"/>
      <c r="AY22" s="1066"/>
    </row>
    <row r="23" spans="1:51" ht="15.6">
      <c r="A23" s="1100" t="str">
        <f>+'Grasmere Pig Cost'!A26</f>
        <v>Pet Food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/>
      <c r="AD23" s="807"/>
      <c r="AE23" s="807"/>
      <c r="AF23" s="807"/>
      <c r="AG23" s="807"/>
      <c r="AH23" s="807"/>
      <c r="AI23" s="807"/>
      <c r="AJ23" s="807"/>
      <c r="AK23" s="807"/>
      <c r="AL23" s="807"/>
      <c r="AM23" s="807"/>
      <c r="AN23" s="807"/>
      <c r="AO23" s="807"/>
      <c r="AP23" s="807"/>
      <c r="AQ23" s="1740"/>
      <c r="AR23" s="1740"/>
      <c r="AS23" s="1740"/>
      <c r="AT23" s="1740"/>
      <c r="AU23" s="807">
        <f t="shared" si="4"/>
        <v>0</v>
      </c>
      <c r="AV23" s="817">
        <f>SUM('Summary Total Pigs'!AB89:AB91)</f>
        <v>0</v>
      </c>
      <c r="AW23" s="1170">
        <f t="shared" si="0"/>
        <v>0</v>
      </c>
      <c r="AX23" s="818"/>
      <c r="AY23" s="1066"/>
    </row>
    <row r="24" spans="1:51" ht="15.6">
      <c r="A24" s="1100" t="str">
        <f>+'Grasmere Pig Cost'!A27</f>
        <v>Farm Sales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/>
      <c r="T24" s="807"/>
      <c r="U24" s="807"/>
      <c r="V24" s="807"/>
      <c r="W24" s="807"/>
      <c r="X24" s="807"/>
      <c r="Y24" s="807"/>
      <c r="Z24" s="807"/>
      <c r="AA24" s="807"/>
      <c r="AB24" s="807"/>
      <c r="AC24" s="807"/>
      <c r="AD24" s="807"/>
      <c r="AE24" s="807"/>
      <c r="AF24" s="807"/>
      <c r="AG24" s="807"/>
      <c r="AH24" s="807"/>
      <c r="AI24" s="807"/>
      <c r="AJ24" s="807"/>
      <c r="AK24" s="807"/>
      <c r="AL24" s="807"/>
      <c r="AM24" s="807"/>
      <c r="AN24" s="807"/>
      <c r="AO24" s="807"/>
      <c r="AP24" s="807"/>
      <c r="AQ24" s="1740"/>
      <c r="AR24" s="1740"/>
      <c r="AS24" s="1740"/>
      <c r="AT24" s="1740"/>
      <c r="AU24" s="807">
        <f t="shared" si="4"/>
        <v>0</v>
      </c>
      <c r="AV24" s="817">
        <f>SUM('Summary Total Pigs'!AC89:AC91)</f>
        <v>0</v>
      </c>
      <c r="AW24" s="1170">
        <f t="shared" si="0"/>
        <v>0</v>
      </c>
      <c r="AX24" s="818"/>
      <c r="AY24" s="1066"/>
    </row>
    <row r="25" spans="1:51" ht="16.149999999999999" thickBot="1">
      <c r="A25" s="1100" t="str">
        <f>+'Grasmere Pig Cost'!A28</f>
        <v xml:space="preserve"> Colcom Sales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/>
      <c r="AO25" s="807">
        <v>-154</v>
      </c>
      <c r="AP25" s="807">
        <v>-143</v>
      </c>
      <c r="AQ25" s="1740">
        <v>-173</v>
      </c>
      <c r="AR25" s="1740">
        <v>-171</v>
      </c>
      <c r="AS25" s="1740">
        <v>-168</v>
      </c>
      <c r="AT25" s="1740">
        <v>-199</v>
      </c>
      <c r="AU25" s="807">
        <f t="shared" si="4"/>
        <v>-1008</v>
      </c>
      <c r="AV25" s="817">
        <f>SUM('Summary Total Pigs'!X89:X91)</f>
        <v>-857</v>
      </c>
      <c r="AW25" s="1170">
        <f t="shared" si="0"/>
        <v>-151</v>
      </c>
      <c r="AX25" s="818"/>
      <c r="AY25" s="1066"/>
    </row>
    <row r="26" spans="1:51" ht="16.149999999999999" thickBot="1">
      <c r="A26" s="1070" t="s">
        <v>1802</v>
      </c>
      <c r="B26" s="1071">
        <f t="shared" ref="B26:R26" si="5">SUM(B11:B21)</f>
        <v>0</v>
      </c>
      <c r="C26" s="1071">
        <f t="shared" si="5"/>
        <v>0</v>
      </c>
      <c r="D26" s="1071">
        <f t="shared" si="5"/>
        <v>0</v>
      </c>
      <c r="E26" s="1071">
        <f t="shared" si="5"/>
        <v>0</v>
      </c>
      <c r="F26" s="1071">
        <f t="shared" si="5"/>
        <v>0</v>
      </c>
      <c r="G26" s="1071">
        <f t="shared" si="5"/>
        <v>0</v>
      </c>
      <c r="H26" s="1071">
        <f t="shared" si="5"/>
        <v>0</v>
      </c>
      <c r="I26" s="1071">
        <f t="shared" si="5"/>
        <v>0</v>
      </c>
      <c r="J26" s="1071">
        <f t="shared" si="5"/>
        <v>0</v>
      </c>
      <c r="K26" s="1071">
        <f t="shared" si="5"/>
        <v>0</v>
      </c>
      <c r="L26" s="1071">
        <f t="shared" si="5"/>
        <v>0</v>
      </c>
      <c r="M26" s="1071">
        <f t="shared" si="5"/>
        <v>0</v>
      </c>
      <c r="N26" s="1071">
        <f t="shared" si="5"/>
        <v>0</v>
      </c>
      <c r="O26" s="1071">
        <f t="shared" si="5"/>
        <v>0</v>
      </c>
      <c r="P26" s="1071">
        <f t="shared" si="5"/>
        <v>0</v>
      </c>
      <c r="Q26" s="1071">
        <f t="shared" si="5"/>
        <v>0</v>
      </c>
      <c r="R26" s="1071">
        <f t="shared" si="5"/>
        <v>0</v>
      </c>
      <c r="S26" s="1071">
        <f>SUM(S11:S25)</f>
        <v>167</v>
      </c>
      <c r="T26" s="1071">
        <f t="shared" ref="T26:AT26" si="6">SUM(T11:T25)</f>
        <v>287</v>
      </c>
      <c r="U26" s="1071">
        <f t="shared" si="6"/>
        <v>244</v>
      </c>
      <c r="V26" s="1071">
        <f t="shared" si="6"/>
        <v>283</v>
      </c>
      <c r="W26" s="1071">
        <f t="shared" si="6"/>
        <v>274</v>
      </c>
      <c r="X26" s="1071">
        <f t="shared" si="6"/>
        <v>294</v>
      </c>
      <c r="Y26" s="1071">
        <f t="shared" si="6"/>
        <v>241</v>
      </c>
      <c r="Z26" s="1071">
        <f t="shared" si="6"/>
        <v>199</v>
      </c>
      <c r="AA26" s="1071">
        <f t="shared" si="6"/>
        <v>169</v>
      </c>
      <c r="AB26" s="1071">
        <f t="shared" si="6"/>
        <v>174</v>
      </c>
      <c r="AC26" s="1071">
        <f t="shared" si="6"/>
        <v>207</v>
      </c>
      <c r="AD26" s="1071">
        <f t="shared" si="6"/>
        <v>170</v>
      </c>
      <c r="AE26" s="1071">
        <f t="shared" si="6"/>
        <v>178</v>
      </c>
      <c r="AF26" s="1071">
        <f t="shared" si="6"/>
        <v>181</v>
      </c>
      <c r="AG26" s="1071">
        <f t="shared" si="6"/>
        <v>168</v>
      </c>
      <c r="AH26" s="1071">
        <f t="shared" si="6"/>
        <v>178</v>
      </c>
      <c r="AI26" s="1071">
        <f t="shared" si="6"/>
        <v>168</v>
      </c>
      <c r="AJ26" s="1071">
        <f t="shared" si="6"/>
        <v>167</v>
      </c>
      <c r="AK26" s="1071">
        <f t="shared" si="6"/>
        <v>165</v>
      </c>
      <c r="AL26" s="1071">
        <f t="shared" si="6"/>
        <v>168</v>
      </c>
      <c r="AM26" s="1071">
        <f t="shared" si="6"/>
        <v>166</v>
      </c>
      <c r="AN26" s="1071">
        <f t="shared" si="6"/>
        <v>160</v>
      </c>
      <c r="AO26" s="1071">
        <f t="shared" si="6"/>
        <v>12</v>
      </c>
      <c r="AP26" s="1741">
        <f t="shared" si="6"/>
        <v>10</v>
      </c>
      <c r="AQ26" s="1741">
        <f t="shared" si="6"/>
        <v>0</v>
      </c>
      <c r="AR26" s="1741">
        <f t="shared" si="6"/>
        <v>0</v>
      </c>
      <c r="AS26" s="1741">
        <f t="shared" si="6"/>
        <v>0</v>
      </c>
      <c r="AT26" s="1741">
        <f t="shared" si="6"/>
        <v>0</v>
      </c>
      <c r="AU26" s="1071">
        <f>SUM(AU11:AU25)</f>
        <v>4430</v>
      </c>
      <c r="AV26" s="1071">
        <f>SUM(AV11:AV25)</f>
        <v>4354</v>
      </c>
      <c r="AW26" s="1170">
        <f>AU26-AV26</f>
        <v>76</v>
      </c>
    </row>
    <row r="27" spans="1:51">
      <c r="S27" s="1058">
        <f>+'Villa Valuation'!E10</f>
        <v>137</v>
      </c>
      <c r="T27" s="1058">
        <f>+'Villa Valuation'!E11</f>
        <v>272</v>
      </c>
      <c r="U27" s="1058">
        <f>+'Villa Valuation'!E12</f>
        <v>308</v>
      </c>
      <c r="V27" s="1058">
        <f>+'Villa Valuation'!E13</f>
        <v>300</v>
      </c>
      <c r="W27" s="1058">
        <f>+'Villa Valuation'!E14</f>
        <v>168</v>
      </c>
      <c r="X27" s="1058">
        <f>+'Villa Valuation'!E15</f>
        <v>185</v>
      </c>
      <c r="Y27" s="1058">
        <f>+'Villa Valuation'!E16</f>
        <v>162</v>
      </c>
      <c r="Z27" s="1058">
        <f>+'Villa Valuation'!E17</f>
        <v>151</v>
      </c>
      <c r="AA27" s="1058">
        <f>+'Villa Valuation'!E18</f>
        <v>177</v>
      </c>
      <c r="AB27" s="1058">
        <f>+'Villa Valuation'!E19</f>
        <v>155</v>
      </c>
      <c r="AC27" s="1058">
        <f>+'Villa Valuation'!E20</f>
        <v>192</v>
      </c>
      <c r="AD27" s="1058">
        <f>+'Villa Valuation'!E21</f>
        <v>196</v>
      </c>
      <c r="AE27" s="1058">
        <f>+'Villa Valuation'!E22</f>
        <v>183</v>
      </c>
      <c r="AF27" s="1058">
        <f>+'Villa Valuation'!E23</f>
        <v>179</v>
      </c>
      <c r="AG27" s="1058">
        <f>+'Villa Valuation'!E24</f>
        <v>174</v>
      </c>
      <c r="AH27" s="1058">
        <f>+'Villa Valuation'!E25</f>
        <v>171</v>
      </c>
      <c r="AI27" s="1058">
        <f>+'Villa Valuation'!E26</f>
        <v>171</v>
      </c>
      <c r="AJ27" s="1058">
        <f>+'Villa Valuation'!E27</f>
        <v>180</v>
      </c>
      <c r="AK27" s="1058">
        <f>+'Villa Valuation'!E28</f>
        <v>162</v>
      </c>
      <c r="AL27" s="1058">
        <f>+'Villa Valuation'!E29</f>
        <v>182</v>
      </c>
      <c r="AM27" s="1058">
        <f>+'Villa Valuation'!E30</f>
        <v>180</v>
      </c>
      <c r="AN27" s="1058">
        <f>+'Villa Valuation'!E31</f>
        <v>150</v>
      </c>
      <c r="AO27" s="1058">
        <f>+'Villa Valuation'!E32</f>
        <v>42</v>
      </c>
      <c r="AP27" s="1058">
        <f>+'Villa Valuation'!E33</f>
        <v>0</v>
      </c>
      <c r="AQ27" s="1058">
        <f>+'Villa Valuation'!E34</f>
        <v>0</v>
      </c>
      <c r="AR27" s="1058">
        <f>+'Villa Valuation'!E35</f>
        <v>0</v>
      </c>
      <c r="AS27" s="1058">
        <f>+'Villa Valuation'!E36</f>
        <v>0</v>
      </c>
      <c r="AT27" s="1058">
        <f>+'Villa Valuation'!E37</f>
        <v>0</v>
      </c>
      <c r="AU27" s="1057">
        <f>SUM(S27:AT27)</f>
        <v>4177</v>
      </c>
      <c r="AV27" s="817">
        <f>SUM('Villa Valuation'!E10:E41)</f>
        <v>4177</v>
      </c>
      <c r="AW27" s="1170">
        <f>AU27-AV27</f>
        <v>0</v>
      </c>
    </row>
    <row r="28" spans="1:51">
      <c r="S28" s="1058">
        <f>+S26-S27</f>
        <v>30</v>
      </c>
      <c r="T28" s="1058">
        <f t="shared" ref="T28:AT28" si="7">+T26-T27</f>
        <v>15</v>
      </c>
      <c r="U28" s="1058">
        <f t="shared" si="7"/>
        <v>-64</v>
      </c>
      <c r="V28" s="1058">
        <f t="shared" si="7"/>
        <v>-17</v>
      </c>
      <c r="W28" s="1058">
        <f t="shared" si="7"/>
        <v>106</v>
      </c>
      <c r="X28" s="1058">
        <f t="shared" si="7"/>
        <v>109</v>
      </c>
      <c r="Y28" s="1058">
        <f t="shared" si="7"/>
        <v>79</v>
      </c>
      <c r="Z28" s="1058">
        <f t="shared" si="7"/>
        <v>48</v>
      </c>
      <c r="AA28" s="1058">
        <f t="shared" si="7"/>
        <v>-8</v>
      </c>
      <c r="AB28" s="1058">
        <f t="shared" si="7"/>
        <v>19</v>
      </c>
      <c r="AC28" s="1058">
        <f t="shared" si="7"/>
        <v>15</v>
      </c>
      <c r="AD28" s="1058">
        <f t="shared" si="7"/>
        <v>-26</v>
      </c>
      <c r="AE28" s="1058">
        <f t="shared" si="7"/>
        <v>-5</v>
      </c>
      <c r="AF28" s="1058">
        <f t="shared" si="7"/>
        <v>2</v>
      </c>
      <c r="AG28" s="1058">
        <f t="shared" si="7"/>
        <v>-6</v>
      </c>
      <c r="AH28" s="1058">
        <f t="shared" si="7"/>
        <v>7</v>
      </c>
      <c r="AI28" s="1058">
        <f t="shared" si="7"/>
        <v>-3</v>
      </c>
      <c r="AJ28" s="1058">
        <f t="shared" si="7"/>
        <v>-13</v>
      </c>
      <c r="AK28" s="1058">
        <f t="shared" si="7"/>
        <v>3</v>
      </c>
      <c r="AL28" s="1058">
        <f t="shared" si="7"/>
        <v>-14</v>
      </c>
      <c r="AM28" s="1058">
        <f t="shared" si="7"/>
        <v>-14</v>
      </c>
      <c r="AN28" s="1058">
        <f t="shared" si="7"/>
        <v>10</v>
      </c>
      <c r="AO28" s="1058">
        <f t="shared" si="7"/>
        <v>-30</v>
      </c>
      <c r="AP28" s="1058">
        <f t="shared" si="7"/>
        <v>10</v>
      </c>
      <c r="AQ28" s="1058">
        <f t="shared" si="7"/>
        <v>0</v>
      </c>
      <c r="AR28" s="1058">
        <f t="shared" si="7"/>
        <v>0</v>
      </c>
      <c r="AS28" s="1058">
        <f t="shared" si="7"/>
        <v>0</v>
      </c>
      <c r="AT28" s="1058">
        <f t="shared" si="7"/>
        <v>0</v>
      </c>
      <c r="AU28" s="1057">
        <f>SUM(S28:AS28)</f>
        <v>253</v>
      </c>
      <c r="AV28" s="817">
        <f>SUM('Summary Total Pigs'!AF89:AF91)</f>
        <v>4177</v>
      </c>
      <c r="AW28" s="1170"/>
    </row>
    <row r="29" spans="1:51" ht="15.6">
      <c r="A29" s="1066" t="s">
        <v>199</v>
      </c>
      <c r="S29" s="817"/>
      <c r="T29" s="817"/>
      <c r="U29" s="817"/>
      <c r="V29" s="817"/>
      <c r="W29" s="817"/>
      <c r="X29" s="817"/>
      <c r="Y29" s="817"/>
      <c r="Z29" s="817"/>
      <c r="AA29" s="817"/>
      <c r="AB29" s="817"/>
      <c r="AC29" s="817"/>
      <c r="AD29" s="817"/>
      <c r="AE29" s="817"/>
      <c r="AF29" s="817"/>
      <c r="AG29" s="817"/>
      <c r="AH29" s="817"/>
      <c r="AI29" s="817"/>
      <c r="AJ29" s="817"/>
      <c r="AK29" s="817"/>
      <c r="AL29" s="817"/>
      <c r="AM29" s="817"/>
      <c r="AN29" s="817"/>
      <c r="AO29" s="817"/>
      <c r="AP29" s="817"/>
      <c r="AQ29" s="817"/>
      <c r="AR29" s="817"/>
      <c r="AS29" s="817"/>
      <c r="AT29" s="817"/>
      <c r="AU29" s="817"/>
      <c r="AV29" s="817"/>
      <c r="AW29" s="818"/>
      <c r="AX29" s="817"/>
      <c r="AY29" s="817"/>
    </row>
    <row r="30" spans="1:51">
      <c r="A30" s="142" t="s">
        <v>1803</v>
      </c>
      <c r="B30" s="818"/>
      <c r="C30" s="818"/>
      <c r="D30" s="818"/>
      <c r="E30" s="818"/>
      <c r="F30" s="818"/>
      <c r="G30" s="818">
        <f>+'[77]Villa Pig Cost'!B53</f>
        <v>454286.08615739254</v>
      </c>
      <c r="H30" s="818">
        <f>+'[77]Villa Pig Cost'!C53</f>
        <v>454286.08615739254</v>
      </c>
      <c r="I30" s="818">
        <f>+'[77]Villa Pig Cost'!D53</f>
        <v>454286.08615739254</v>
      </c>
      <c r="J30" s="818">
        <f>+'[77]Villa Pig Cost'!E53</f>
        <v>454286.08615739254</v>
      </c>
      <c r="K30" s="818">
        <f>+'[77]Villa Pig Cost'!F53</f>
        <v>867906.8451718617</v>
      </c>
      <c r="L30" s="818">
        <f>+'[77]Villa Pig Cost'!G53</f>
        <v>867906.8451718617</v>
      </c>
      <c r="M30" s="818">
        <f>+'[77]Villa Pig Cost'!H53</f>
        <v>867906.8451718617</v>
      </c>
      <c r="N30" s="818">
        <f>+'[77]Villa Pig Cost'!I53</f>
        <v>867906.8451718617</v>
      </c>
      <c r="O30" s="818">
        <f>+'[77]Villa Pig Cost'!J53</f>
        <v>1347171.4343091904</v>
      </c>
      <c r="P30" s="818">
        <f>+'[77]Villa Pig Cost'!K53</f>
        <v>1347171.4343091904</v>
      </c>
      <c r="Q30" s="818">
        <f>+'[77]Villa Pig Cost'!L53</f>
        <v>1347171.4343091904</v>
      </c>
      <c r="R30" s="818">
        <f>+'[77]Villa Pig Cost'!M53</f>
        <v>1347171.4343091904</v>
      </c>
      <c r="S30" s="818">
        <f>+'[77]Villa Pig Cost'!N53</f>
        <v>1396807.7170758774</v>
      </c>
      <c r="T30" s="818">
        <f>+'[77]Villa Pig Cost'!O53</f>
        <v>1741895.3234652332</v>
      </c>
      <c r="U30" s="818">
        <f>+'[77]Villa Pig Cost'!P53</f>
        <v>1741895.3234652332</v>
      </c>
      <c r="V30" s="818">
        <f>+'[77]Villa Pig Cost'!Q53</f>
        <v>1741895.3234652332</v>
      </c>
      <c r="W30" s="818">
        <f>+'[77]Villa Pig Cost'!R53</f>
        <v>2231659.8084651511</v>
      </c>
      <c r="X30" s="818">
        <f>+'[77]Villa Pig Cost'!S53</f>
        <v>2627796.6845211126</v>
      </c>
      <c r="Y30" s="818">
        <f>+'[77]Villa Pig Cost'!T53</f>
        <v>3267216.6843915805</v>
      </c>
      <c r="Z30" s="818">
        <f>+'[77]Villa Pig Cost'!U53</f>
        <v>3666238.667995058</v>
      </c>
      <c r="AA30" s="818">
        <f>+'[77]Villa Pig Cost'!V53</f>
        <v>3684029.5591450408</v>
      </c>
      <c r="AB30" s="818">
        <f>+'[77]Villa Pig Cost'!W53</f>
        <v>2733538.6670165034</v>
      </c>
      <c r="AC30" s="818">
        <f>+'[77]Villa Pig Cost'!X53</f>
        <v>5247345.8361693956</v>
      </c>
      <c r="AD30" s="818">
        <f>+'[77]Villa Pig Cost'!Y53</f>
        <v>3958422.4622098031</v>
      </c>
      <c r="AE30" s="818">
        <f>+'[77]Villa Pig Cost'!Z53</f>
        <v>4346736.1010942962</v>
      </c>
      <c r="AF30" s="818">
        <f>+'[77]Villa Pig Cost'!AA53</f>
        <v>3984352.0197550422</v>
      </c>
      <c r="AG30" s="818">
        <f>+'[77]Villa Pig Cost'!AB53</f>
        <v>4692292.1712062052</v>
      </c>
      <c r="AH30" s="818">
        <f>+'[77]Villa Pig Cost'!AC53</f>
        <v>5738568.1909031393</v>
      </c>
      <c r="AI30" s="818">
        <f>+'[77]Villa Pig Cost'!AD53</f>
        <v>7377742.4943069555</v>
      </c>
      <c r="AJ30" s="818">
        <f>+'[77]Villa Pig Cost'!AE53</f>
        <v>6550290.8761975411</v>
      </c>
      <c r="AK30" s="818">
        <f>+'[77]Villa Pig Cost'!AF53</f>
        <v>8569273.4574868456</v>
      </c>
      <c r="AL30" s="818">
        <f>+'[77]Villa Pig Cost'!AG53</f>
        <v>9633355.4856231101</v>
      </c>
      <c r="AM30" s="818">
        <f>+'[77]Villa Pig Cost'!AH53</f>
        <v>10361566.615628373</v>
      </c>
      <c r="AN30" s="818">
        <f>+'[77]Villa Pig Cost'!AI53</f>
        <v>9216227.9245222732</v>
      </c>
      <c r="AO30" s="818">
        <f>+'[77]Villa Pig Cost'!AJ53</f>
        <v>9319153.1117987856</v>
      </c>
      <c r="AP30" s="818">
        <f>+'[77]Villa Pig Cost'!AK53</f>
        <v>12089076.520680957</v>
      </c>
      <c r="AQ30" s="818">
        <f>+'[77]Villa Pig Cost'!AL53</f>
        <v>14587450.300673487</v>
      </c>
      <c r="AR30" s="818">
        <f>+'[77]Villa Pig Cost'!AM53</f>
        <v>13699244.151544686</v>
      </c>
      <c r="AS30" s="818">
        <f>+'[77]Villa Pig Cost'!AN53</f>
        <v>12526634.84041357</v>
      </c>
      <c r="AT30" s="818">
        <f>+'[77]Villa Pig Cost'!AO53+'[77]Villa Pig Cost'!$AP$53</f>
        <v>11364802.634163015</v>
      </c>
      <c r="AU30" s="1057">
        <f>SUM(B30:AT30)</f>
        <v>188772966.41593733</v>
      </c>
      <c r="AV30" s="817">
        <f>+'[77]Villa Pig Cost'!$AU$53</f>
        <v>188772966.4159373</v>
      </c>
      <c r="AW30" s="1170">
        <f>+AU30-AV30</f>
        <v>0</v>
      </c>
    </row>
    <row r="31" spans="1:51" ht="15.6">
      <c r="A31" s="1066" t="s">
        <v>212</v>
      </c>
      <c r="S31" s="817"/>
      <c r="T31" s="817"/>
      <c r="U31" s="817"/>
      <c r="V31" s="817"/>
      <c r="W31" s="817"/>
      <c r="X31" s="817"/>
      <c r="Y31" s="817"/>
      <c r="Z31" s="817"/>
      <c r="AA31" s="817"/>
      <c r="AB31" s="817"/>
      <c r="AC31" s="817"/>
      <c r="AD31" s="817"/>
      <c r="AE31" s="817"/>
      <c r="AF31" s="817"/>
      <c r="AG31" s="817"/>
      <c r="AH31" s="817"/>
      <c r="AI31" s="817"/>
      <c r="AJ31" s="817"/>
      <c r="AK31" s="817"/>
      <c r="AL31" s="817"/>
      <c r="AM31" s="817"/>
      <c r="AN31" s="817"/>
      <c r="AO31" s="817"/>
      <c r="AP31" s="817"/>
      <c r="AQ31" s="817"/>
      <c r="AR31" s="817"/>
      <c r="AS31" s="817"/>
      <c r="AT31" s="817"/>
      <c r="AU31" s="807">
        <f t="shared" ref="AU31:AU32" si="8">SUM(B31:AT31)</f>
        <v>0</v>
      </c>
      <c r="AW31" s="818"/>
    </row>
    <row r="32" spans="1:51" ht="15.6">
      <c r="A32" s="1066" t="s">
        <v>1788</v>
      </c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817"/>
      <c r="AG32" s="817"/>
      <c r="AH32" s="817"/>
      <c r="AI32" s="817"/>
      <c r="AJ32" s="817"/>
      <c r="AK32" s="817"/>
      <c r="AL32" s="817"/>
      <c r="AM32" s="817"/>
      <c r="AN32" s="817"/>
      <c r="AO32" s="817"/>
      <c r="AP32" s="817"/>
      <c r="AQ32" s="817"/>
      <c r="AR32" s="817"/>
      <c r="AS32" s="817"/>
      <c r="AT32" s="817"/>
      <c r="AU32" s="807">
        <f t="shared" si="8"/>
        <v>0</v>
      </c>
      <c r="AW32" s="818"/>
    </row>
    <row r="33" spans="1:51">
      <c r="A33" s="1059" t="s">
        <v>1804</v>
      </c>
      <c r="B33" s="818">
        <f>SUM(B30:B32)</f>
        <v>0</v>
      </c>
      <c r="C33" s="818">
        <f t="shared" ref="C33:AS33" si="9">SUM(C30:C32)</f>
        <v>0</v>
      </c>
      <c r="D33" s="818">
        <f t="shared" si="9"/>
        <v>0</v>
      </c>
      <c r="E33" s="818">
        <f t="shared" si="9"/>
        <v>0</v>
      </c>
      <c r="F33" s="818">
        <f t="shared" si="9"/>
        <v>0</v>
      </c>
      <c r="G33" s="818">
        <f t="shared" si="9"/>
        <v>454286.08615739254</v>
      </c>
      <c r="H33" s="818">
        <f t="shared" si="9"/>
        <v>454286.08615739254</v>
      </c>
      <c r="I33" s="818">
        <f t="shared" si="9"/>
        <v>454286.08615739254</v>
      </c>
      <c r="J33" s="818">
        <f t="shared" si="9"/>
        <v>454286.08615739254</v>
      </c>
      <c r="K33" s="818">
        <f t="shared" si="9"/>
        <v>867906.8451718617</v>
      </c>
      <c r="L33" s="818">
        <f t="shared" si="9"/>
        <v>867906.8451718617</v>
      </c>
      <c r="M33" s="818">
        <f t="shared" si="9"/>
        <v>867906.8451718617</v>
      </c>
      <c r="N33" s="818">
        <f t="shared" si="9"/>
        <v>867906.8451718617</v>
      </c>
      <c r="O33" s="818">
        <f t="shared" si="9"/>
        <v>1347171.4343091904</v>
      </c>
      <c r="P33" s="818">
        <f t="shared" si="9"/>
        <v>1347171.4343091904</v>
      </c>
      <c r="Q33" s="818">
        <f t="shared" si="9"/>
        <v>1347171.4343091904</v>
      </c>
      <c r="R33" s="818">
        <f t="shared" si="9"/>
        <v>1347171.4343091904</v>
      </c>
      <c r="S33" s="818">
        <f t="shared" si="9"/>
        <v>1396807.7170758774</v>
      </c>
      <c r="T33" s="818">
        <f t="shared" si="9"/>
        <v>1741895.3234652332</v>
      </c>
      <c r="U33" s="818">
        <f t="shared" si="9"/>
        <v>1741895.3234652332</v>
      </c>
      <c r="V33" s="818">
        <f t="shared" si="9"/>
        <v>1741895.3234652332</v>
      </c>
      <c r="W33" s="818">
        <f t="shared" si="9"/>
        <v>2231659.8084651511</v>
      </c>
      <c r="X33" s="818">
        <f t="shared" si="9"/>
        <v>2627796.6845211126</v>
      </c>
      <c r="Y33" s="818">
        <f t="shared" si="9"/>
        <v>3267216.6843915805</v>
      </c>
      <c r="Z33" s="818">
        <f t="shared" si="9"/>
        <v>3666238.667995058</v>
      </c>
      <c r="AA33" s="818">
        <f t="shared" si="9"/>
        <v>3684029.5591450408</v>
      </c>
      <c r="AB33" s="818">
        <f t="shared" si="9"/>
        <v>2733538.6670165034</v>
      </c>
      <c r="AC33" s="818">
        <f>SUM(AC30:AC32)</f>
        <v>5247345.8361693956</v>
      </c>
      <c r="AD33" s="818">
        <f t="shared" si="9"/>
        <v>3958422.4622098031</v>
      </c>
      <c r="AE33" s="818">
        <f t="shared" si="9"/>
        <v>4346736.1010942962</v>
      </c>
      <c r="AF33" s="818">
        <f t="shared" si="9"/>
        <v>3984352.0197550422</v>
      </c>
      <c r="AG33" s="818">
        <f t="shared" si="9"/>
        <v>4692292.1712062052</v>
      </c>
      <c r="AH33" s="818">
        <f t="shared" si="9"/>
        <v>5738568.1909031393</v>
      </c>
      <c r="AI33" s="818">
        <f t="shared" si="9"/>
        <v>7377742.4943069555</v>
      </c>
      <c r="AJ33" s="818">
        <f t="shared" si="9"/>
        <v>6550290.8761975411</v>
      </c>
      <c r="AK33" s="818">
        <f t="shared" si="9"/>
        <v>8569273.4574868456</v>
      </c>
      <c r="AL33" s="818">
        <f t="shared" si="9"/>
        <v>9633355.4856231101</v>
      </c>
      <c r="AM33" s="818">
        <f t="shared" si="9"/>
        <v>10361566.615628373</v>
      </c>
      <c r="AN33" s="818">
        <f t="shared" si="9"/>
        <v>9216227.9245222732</v>
      </c>
      <c r="AO33" s="818">
        <f t="shared" si="9"/>
        <v>9319153.1117987856</v>
      </c>
      <c r="AP33" s="818">
        <f t="shared" si="9"/>
        <v>12089076.520680957</v>
      </c>
      <c r="AQ33" s="818">
        <f t="shared" si="9"/>
        <v>14587450.300673487</v>
      </c>
      <c r="AR33" s="818">
        <f t="shared" si="9"/>
        <v>13699244.151544686</v>
      </c>
      <c r="AS33" s="818">
        <f t="shared" si="9"/>
        <v>12526634.84041357</v>
      </c>
      <c r="AT33" s="818">
        <f>SUM(AT30:AT32)</f>
        <v>11364802.634163015</v>
      </c>
      <c r="AU33" s="818">
        <f>SUM(AU30:AU32)</f>
        <v>188772966.41593733</v>
      </c>
      <c r="AV33" s="817"/>
      <c r="AW33" s="1170"/>
    </row>
    <row r="34" spans="1:51">
      <c r="A34" s="1059" t="s">
        <v>1805</v>
      </c>
      <c r="B34" s="818"/>
      <c r="C34" s="818"/>
      <c r="D34" s="818"/>
      <c r="E34" s="818"/>
      <c r="F34" s="818"/>
      <c r="G34" s="818"/>
      <c r="H34" s="818"/>
      <c r="I34" s="818"/>
      <c r="J34" s="818"/>
      <c r="K34" s="818"/>
      <c r="L34" s="818"/>
      <c r="M34" s="818"/>
      <c r="N34" s="818"/>
      <c r="O34" s="818"/>
      <c r="P34" s="818"/>
      <c r="Q34" s="818"/>
      <c r="R34" s="818"/>
      <c r="S34" s="818">
        <f>IFERROR(S33/S11,0)</f>
        <v>8364.1180663226187</v>
      </c>
      <c r="T34" s="818">
        <f t="shared" ref="T34:AR34" si="10">T33/T11</f>
        <v>5806.3177448841107</v>
      </c>
      <c r="U34" s="818">
        <f t="shared" si="10"/>
        <v>6830.9620528048363</v>
      </c>
      <c r="V34" s="818">
        <f t="shared" si="10"/>
        <v>5673.9261350659062</v>
      </c>
      <c r="W34" s="818">
        <f t="shared" si="10"/>
        <v>7463.7451788132148</v>
      </c>
      <c r="X34" s="818">
        <f t="shared" si="10"/>
        <v>8263.5115865443786</v>
      </c>
      <c r="Y34" s="818">
        <f t="shared" si="10"/>
        <v>12863.057812565277</v>
      </c>
      <c r="Z34" s="818">
        <f t="shared" si="10"/>
        <v>13235.51865702187</v>
      </c>
      <c r="AA34" s="818">
        <f t="shared" si="10"/>
        <v>13251.904889010939</v>
      </c>
      <c r="AB34" s="818">
        <f t="shared" si="10"/>
        <v>9904.125605132258</v>
      </c>
      <c r="AC34" s="818">
        <f t="shared" si="10"/>
        <v>25227.624212352865</v>
      </c>
      <c r="AD34" s="818">
        <f t="shared" si="10"/>
        <v>22881.054694854352</v>
      </c>
      <c r="AE34" s="818">
        <f t="shared" si="10"/>
        <v>24419.865736484811</v>
      </c>
      <c r="AF34" s="818">
        <f t="shared" si="10"/>
        <v>21537.03794462185</v>
      </c>
      <c r="AG34" s="818">
        <f t="shared" si="10"/>
        <v>27601.718654154149</v>
      </c>
      <c r="AH34" s="818">
        <f t="shared" si="10"/>
        <v>32059.040172643236</v>
      </c>
      <c r="AI34" s="818">
        <f t="shared" si="10"/>
        <v>43655.281031402104</v>
      </c>
      <c r="AJ34" s="818">
        <f t="shared" si="10"/>
        <v>39223.298659865519</v>
      </c>
      <c r="AK34" s="818">
        <f t="shared" si="10"/>
        <v>51007.580104088367</v>
      </c>
      <c r="AL34" s="818">
        <f t="shared" si="10"/>
        <v>57002.103465225504</v>
      </c>
      <c r="AM34" s="818">
        <f t="shared" si="10"/>
        <v>62045.309075618999</v>
      </c>
      <c r="AN34" s="818">
        <f t="shared" si="10"/>
        <v>57243.651705107288</v>
      </c>
      <c r="AO34" s="818">
        <f t="shared" si="10"/>
        <v>56139.476577101115</v>
      </c>
      <c r="AP34" s="818">
        <f t="shared" si="10"/>
        <v>72389.679764556626</v>
      </c>
      <c r="AQ34" s="818">
        <f t="shared" si="10"/>
        <v>81951.967981311725</v>
      </c>
      <c r="AR34" s="818">
        <f t="shared" si="10"/>
        <v>78731.288227268305</v>
      </c>
      <c r="AS34" s="818">
        <f>IFERROR(AS33/AS11,0)</f>
        <v>74563.302621509341</v>
      </c>
      <c r="AT34" s="818">
        <f>AT33/AT11</f>
        <v>55984.249429374453</v>
      </c>
      <c r="AU34" s="818">
        <f>AU33/AU11</f>
        <v>32098.787011722045</v>
      </c>
      <c r="AV34" s="817"/>
      <c r="AW34" s="1170"/>
    </row>
    <row r="35" spans="1:51">
      <c r="B35" s="818"/>
      <c r="C35" s="818"/>
      <c r="D35" s="818"/>
      <c r="E35" s="818"/>
      <c r="F35" s="818"/>
      <c r="G35" s="818"/>
      <c r="H35" s="818"/>
      <c r="I35" s="818"/>
      <c r="J35" s="818"/>
      <c r="K35" s="818"/>
      <c r="L35" s="818"/>
      <c r="M35" s="818"/>
      <c r="N35" s="818"/>
      <c r="O35" s="818"/>
      <c r="P35" s="818"/>
      <c r="Q35" s="818"/>
      <c r="R35" s="818"/>
      <c r="S35" s="818"/>
      <c r="T35" s="818"/>
      <c r="U35" s="818"/>
      <c r="V35" s="818"/>
      <c r="W35" s="818"/>
      <c r="X35" s="818"/>
      <c r="Y35" s="818"/>
      <c r="Z35" s="818"/>
      <c r="AA35" s="818"/>
      <c r="AB35" s="818"/>
      <c r="AC35" s="818"/>
      <c r="AD35" s="818"/>
      <c r="AE35" s="818"/>
      <c r="AF35" s="818"/>
      <c r="AG35" s="818"/>
      <c r="AH35" s="818"/>
      <c r="AI35" s="818"/>
      <c r="AJ35" s="818"/>
      <c r="AK35" s="818"/>
      <c r="AL35" s="818"/>
      <c r="AM35" s="818"/>
      <c r="AN35" s="818"/>
      <c r="AO35" s="818"/>
      <c r="AP35" s="818"/>
      <c r="AQ35" s="818"/>
      <c r="AR35" s="818"/>
      <c r="AS35" s="818"/>
      <c r="AT35" s="818"/>
      <c r="AU35" s="818"/>
      <c r="AV35" s="817"/>
      <c r="AW35" s="1170"/>
    </row>
    <row r="36" spans="1:51" s="1769" customFormat="1" ht="15.6">
      <c r="A36" s="1687" t="s">
        <v>1806</v>
      </c>
      <c r="B36" s="1060">
        <f>B33+SUM(B41:B49)</f>
        <v>0</v>
      </c>
      <c r="C36" s="1060">
        <f t="shared" ref="C36:AT36" si="11">C33+SUM(C41:C49)</f>
        <v>0</v>
      </c>
      <c r="D36" s="1060">
        <f t="shared" si="11"/>
        <v>0</v>
      </c>
      <c r="E36" s="1060">
        <f t="shared" si="11"/>
        <v>0</v>
      </c>
      <c r="F36" s="1060">
        <f t="shared" si="11"/>
        <v>0</v>
      </c>
      <c r="G36" s="1060">
        <f t="shared" si="11"/>
        <v>454286.08615739254</v>
      </c>
      <c r="H36" s="1060">
        <f t="shared" si="11"/>
        <v>454286.08615739254</v>
      </c>
      <c r="I36" s="1060">
        <f t="shared" si="11"/>
        <v>454286.08615739254</v>
      </c>
      <c r="J36" s="1060">
        <f t="shared" si="11"/>
        <v>454286.08615739254</v>
      </c>
      <c r="K36" s="1060">
        <f t="shared" si="11"/>
        <v>867906.8451718617</v>
      </c>
      <c r="L36" s="1060">
        <f t="shared" si="11"/>
        <v>867906.8451718617</v>
      </c>
      <c r="M36" s="1060">
        <f t="shared" si="11"/>
        <v>867906.8451718617</v>
      </c>
      <c r="N36" s="1060">
        <f t="shared" si="11"/>
        <v>867906.8451718617</v>
      </c>
      <c r="O36" s="1060">
        <f t="shared" si="11"/>
        <v>1347171.4343091904</v>
      </c>
      <c r="P36" s="1060">
        <f t="shared" si="11"/>
        <v>1347171.4343091904</v>
      </c>
      <c r="Q36" s="1060">
        <f t="shared" si="11"/>
        <v>1347171.4343091904</v>
      </c>
      <c r="R36" s="1060">
        <f t="shared" si="11"/>
        <v>1347171.4343091904</v>
      </c>
      <c r="S36" s="1060">
        <f t="shared" si="11"/>
        <v>1396807.7170758774</v>
      </c>
      <c r="T36" s="1060">
        <f t="shared" si="11"/>
        <v>1741895.3234652332</v>
      </c>
      <c r="U36" s="1060">
        <f t="shared" si="11"/>
        <v>1741895.3234652332</v>
      </c>
      <c r="V36" s="1060">
        <f t="shared" si="11"/>
        <v>1741895.3234652332</v>
      </c>
      <c r="W36" s="1060">
        <f t="shared" si="11"/>
        <v>2231659.8084651511</v>
      </c>
      <c r="X36" s="1060">
        <f t="shared" si="11"/>
        <v>2627796.6845211126</v>
      </c>
      <c r="Y36" s="1060">
        <f t="shared" si="11"/>
        <v>3267216.6843915805</v>
      </c>
      <c r="Z36" s="1060">
        <f t="shared" si="11"/>
        <v>2803223.738031012</v>
      </c>
      <c r="AA36" s="1060">
        <f t="shared" si="11"/>
        <v>2371059.105392159</v>
      </c>
      <c r="AB36" s="1060">
        <f t="shared" si="11"/>
        <v>1743126.1065032776</v>
      </c>
      <c r="AC36" s="1060">
        <f t="shared" si="11"/>
        <v>5247345.8361693956</v>
      </c>
      <c r="AD36" s="1060">
        <f t="shared" si="11"/>
        <v>3958422.4622098031</v>
      </c>
      <c r="AE36" s="1060">
        <f t="shared" si="11"/>
        <v>4371155.9668307807</v>
      </c>
      <c r="AF36" s="1060">
        <f t="shared" si="11"/>
        <v>3984352.0197550422</v>
      </c>
      <c r="AG36" s="1060">
        <f t="shared" si="11"/>
        <v>4692292.1712062052</v>
      </c>
      <c r="AH36" s="1060">
        <f t="shared" si="11"/>
        <v>5738568.1909031393</v>
      </c>
      <c r="AI36" s="1060">
        <f t="shared" si="11"/>
        <v>7377742.4943069555</v>
      </c>
      <c r="AJ36" s="1060">
        <f t="shared" si="11"/>
        <v>6550290.8761975411</v>
      </c>
      <c r="AK36" s="1060">
        <f t="shared" si="11"/>
        <v>8569273.4574868456</v>
      </c>
      <c r="AL36" s="1060">
        <f t="shared" si="11"/>
        <v>9633355.4856231101</v>
      </c>
      <c r="AM36" s="1060">
        <f t="shared" si="11"/>
        <v>10361566.615628373</v>
      </c>
      <c r="AN36" s="1060">
        <f t="shared" si="11"/>
        <v>9216227.9245222732</v>
      </c>
      <c r="AO36" s="1060">
        <f t="shared" si="11"/>
        <v>9319153.1117987856</v>
      </c>
      <c r="AP36" s="1060">
        <f t="shared" si="11"/>
        <v>12089076.520680957</v>
      </c>
      <c r="AQ36" s="1060">
        <f t="shared" si="11"/>
        <v>14587450.300673487</v>
      </c>
      <c r="AR36" s="1060">
        <f t="shared" si="11"/>
        <v>13699244.151544686</v>
      </c>
      <c r="AS36" s="1060">
        <f t="shared" si="11"/>
        <v>12526634.84041357</v>
      </c>
      <c r="AT36" s="1060">
        <f t="shared" si="11"/>
        <v>11364802.634163015</v>
      </c>
      <c r="AU36" s="1060">
        <f t="shared" ref="AU36" si="12">AU33+SUM(AU41:AU46)</f>
        <v>185606568.4717072</v>
      </c>
      <c r="AV36" s="1199"/>
      <c r="AW36" s="1060"/>
    </row>
    <row r="37" spans="1:51" ht="15.6">
      <c r="A37" s="1066" t="s">
        <v>1807</v>
      </c>
      <c r="B37" s="1318">
        <f t="shared" ref="B37:R37" si="13">B69*$B$61</f>
        <v>1162.6121076233185</v>
      </c>
      <c r="C37" s="1318">
        <f t="shared" si="13"/>
        <v>1162.6121076233185</v>
      </c>
      <c r="D37" s="1318">
        <f t="shared" si="13"/>
        <v>1162.6121076233185</v>
      </c>
      <c r="E37" s="1318">
        <f t="shared" si="13"/>
        <v>1162.6121076233185</v>
      </c>
      <c r="F37" s="1318">
        <f t="shared" si="13"/>
        <v>1069.6031390134528</v>
      </c>
      <c r="G37" s="1318">
        <f t="shared" si="13"/>
        <v>1069.6031390134528</v>
      </c>
      <c r="H37" s="1318">
        <f t="shared" si="13"/>
        <v>1069.6031390134528</v>
      </c>
      <c r="I37" s="1318">
        <f t="shared" si="13"/>
        <v>1069.6031390134528</v>
      </c>
      <c r="J37" s="1318">
        <f t="shared" si="13"/>
        <v>1069.6031390134528</v>
      </c>
      <c r="K37" s="1318">
        <f t="shared" si="13"/>
        <v>1069.6031390134528</v>
      </c>
      <c r="L37" s="1318">
        <f t="shared" si="13"/>
        <v>1069.6031390134528</v>
      </c>
      <c r="M37" s="1318">
        <f t="shared" si="13"/>
        <v>1069.6031390134528</v>
      </c>
      <c r="N37" s="1318">
        <f t="shared" si="13"/>
        <v>1302.1255605381166</v>
      </c>
      <c r="O37" s="1318">
        <f t="shared" si="13"/>
        <v>1302.1255605381166</v>
      </c>
      <c r="P37" s="1318">
        <f t="shared" si="13"/>
        <v>1302.1255605381166</v>
      </c>
      <c r="Q37" s="1318">
        <f t="shared" si="13"/>
        <v>1302.1255605381166</v>
      </c>
      <c r="R37" s="1318">
        <f t="shared" si="13"/>
        <v>2325.224215246637</v>
      </c>
      <c r="S37" s="1317">
        <f>S69*$D$61</f>
        <v>3068.516129032258</v>
      </c>
      <c r="T37" s="1317">
        <f>T69*$D$61</f>
        <v>5625.6129032258059</v>
      </c>
      <c r="U37" s="1317">
        <f>U69*$D$61</f>
        <v>7159.8709677419356</v>
      </c>
      <c r="V37" s="1319">
        <f>V69*'Feed Cost &amp; Allocation'!B74</f>
        <v>0</v>
      </c>
      <c r="W37" s="1319">
        <f>W69*'Feed Cost &amp; Allocation'!B74</f>
        <v>0</v>
      </c>
      <c r="X37" s="1060">
        <f>X69*$F$61</f>
        <v>2969.4524495677233</v>
      </c>
      <c r="Y37" s="1060">
        <f>Y69*$F$61</f>
        <v>3430.5475504322762</v>
      </c>
      <c r="Z37" s="1551">
        <f>Z7/(Z7+AA7+AB7+AC7)*'Feed Cost &amp; Allocation'!D74</f>
        <v>3192.2983638113574</v>
      </c>
      <c r="AA37" s="1551">
        <f>AA7/(Z7+AA7+AB7+AC7)*'Feed Cost &amp; Allocation'!D74</f>
        <v>3203.8229066410013</v>
      </c>
      <c r="AB37" s="1551">
        <f>AB7/(AA7+AB7+AC7+Z7)*'Feed Cost &amp; Allocation'!D74</f>
        <v>3180.7738209817135</v>
      </c>
      <c r="AC37" s="1551">
        <f>AC7/(AB7+AC7+AA7+Z7)*'Feed Cost &amp; Allocation'!D74</f>
        <v>2397.1049085659288</v>
      </c>
      <c r="AD37" s="1320">
        <f>(AD7/(AD7+AE7))*'Feed Cost &amp; Allocation'!F74</f>
        <v>9930.9886039886042</v>
      </c>
      <c r="AE37" s="1320">
        <f>'Feed Cost &amp; Allocation'!F74-AD37</f>
        <v>10218.011396011396</v>
      </c>
      <c r="AF37" s="1553">
        <f>AF7/(AF7+AG7)*'Feed Cost &amp; Allocation'!G74</f>
        <v>12487.760563380281</v>
      </c>
      <c r="AG37" s="1553">
        <f>AG7/(AF7+AG7)*'Feed Cost &amp; Allocation'!G74</f>
        <v>11475.239436619717</v>
      </c>
      <c r="AH37" s="1554">
        <f>AH7/(AH7+AI7+AJ7)*'Feed Cost &amp; Allocation'!H74</f>
        <v>13644.666019417475</v>
      </c>
      <c r="AI37" s="1554">
        <f>AI7/(AH7+AJ7+AI7)*'Feed Cost &amp; Allocation'!H74</f>
        <v>12882.394174757281</v>
      </c>
      <c r="AJ37" s="1554">
        <f>AJ7/(AH7+AJ7+AI7)*'Feed Cost &amp; Allocation'!H74</f>
        <v>12729.939805825243</v>
      </c>
      <c r="AK37" s="1552">
        <f>AK7/(AK7+AL7+AM7+AN7)*'Feed Cost &amp; Allocation'!J74</f>
        <v>15987.03157894737</v>
      </c>
      <c r="AL37" s="1552">
        <f>AL7/(AL7+AK7+AM7+AN7)*'Feed Cost &amp; Allocation'!J74</f>
        <v>16082.192481203007</v>
      </c>
      <c r="AM37" s="1552">
        <f>+AM7/(AK7+AL7+AM7+AN7)*'Feed Cost &amp; Allocation'!J74</f>
        <v>15891.870676691731</v>
      </c>
      <c r="AN37" s="1552">
        <f>+AN7/(AK7+AL7+AM7+AN7)*'Feed Cost &amp; Allocation'!J74</f>
        <v>15320.905263157894</v>
      </c>
      <c r="AO37" s="818">
        <v>0</v>
      </c>
      <c r="AP37" s="818">
        <v>0</v>
      </c>
      <c r="AQ37" s="818">
        <v>0</v>
      </c>
      <c r="AR37" s="818">
        <v>0</v>
      </c>
      <c r="AS37" s="818">
        <v>0</v>
      </c>
      <c r="AT37" s="818"/>
      <c r="AU37" s="807">
        <f>SUM(B37:AT37)</f>
        <v>201619.99999999997</v>
      </c>
      <c r="AV37" s="1199">
        <f>+AU37-'Feed Cost &amp; Allocation'!Z74+'Feed Cost &amp; Allocation'!R74+'Feed Cost &amp; Allocation'!Q74+'Feed Cost &amp; Allocation'!P74-F60</f>
        <v>204036.99999999997</v>
      </c>
      <c r="AW37" s="1088">
        <f>+'Feed Cost &amp; Allocation'!P74+'Feed Cost &amp; Allocation'!Q74+'Feed Cost &amp; Allocation'!R74-'Villa Pig Cost (2)'!F60</f>
        <v>2417</v>
      </c>
    </row>
    <row r="38" spans="1:51" ht="15.6">
      <c r="A38" s="131" t="s">
        <v>1808</v>
      </c>
      <c r="B38" s="818">
        <f>SUM(B36:B37)</f>
        <v>1162.6121076233185</v>
      </c>
      <c r="C38" s="818">
        <f t="shared" ref="C38:AS38" si="14">SUM(C36:C37)</f>
        <v>1162.6121076233185</v>
      </c>
      <c r="D38" s="818">
        <f t="shared" si="14"/>
        <v>1162.6121076233185</v>
      </c>
      <c r="E38" s="818">
        <f t="shared" si="14"/>
        <v>1162.6121076233185</v>
      </c>
      <c r="F38" s="818">
        <f t="shared" si="14"/>
        <v>1069.6031390134528</v>
      </c>
      <c r="G38" s="818">
        <f t="shared" si="14"/>
        <v>455355.689296406</v>
      </c>
      <c r="H38" s="818">
        <f t="shared" si="14"/>
        <v>455355.689296406</v>
      </c>
      <c r="I38" s="818">
        <f t="shared" si="14"/>
        <v>455355.689296406</v>
      </c>
      <c r="J38" s="818">
        <f t="shared" si="14"/>
        <v>455355.689296406</v>
      </c>
      <c r="K38" s="818">
        <f t="shared" si="14"/>
        <v>868976.4483108751</v>
      </c>
      <c r="L38" s="818">
        <f t="shared" si="14"/>
        <v>868976.4483108751</v>
      </c>
      <c r="M38" s="818">
        <f t="shared" si="14"/>
        <v>868976.4483108751</v>
      </c>
      <c r="N38" s="818">
        <f t="shared" si="14"/>
        <v>869208.97073239984</v>
      </c>
      <c r="O38" s="818">
        <f t="shared" si="14"/>
        <v>1348473.5598697285</v>
      </c>
      <c r="P38" s="818">
        <f>SUM(P36:P37)</f>
        <v>1348473.5598697285</v>
      </c>
      <c r="Q38" s="818">
        <f>SUM(Q36:Q37)</f>
        <v>1348473.5598697285</v>
      </c>
      <c r="R38" s="818">
        <f>SUM(R36:R37)</f>
        <v>1349496.6585244371</v>
      </c>
      <c r="S38" s="818">
        <f t="shared" si="14"/>
        <v>1399876.2332049096</v>
      </c>
      <c r="T38" s="818">
        <f t="shared" si="14"/>
        <v>1747520.9363684589</v>
      </c>
      <c r="U38" s="818">
        <f t="shared" si="14"/>
        <v>1749055.194432975</v>
      </c>
      <c r="V38" s="818">
        <f>SUM(V36:V37)</f>
        <v>1741895.3234652332</v>
      </c>
      <c r="W38" s="818">
        <f>SUM(W36:W37)</f>
        <v>2231659.8084651511</v>
      </c>
      <c r="X38" s="818">
        <f>SUM(X36:X37)</f>
        <v>2630766.1369706802</v>
      </c>
      <c r="Y38" s="818">
        <f>SUM(Y36:Y37)</f>
        <v>3270647.2319420129</v>
      </c>
      <c r="Z38" s="818">
        <f t="shared" si="14"/>
        <v>2806416.0363948233</v>
      </c>
      <c r="AA38" s="818">
        <f t="shared" si="14"/>
        <v>2374262.9282987998</v>
      </c>
      <c r="AB38" s="818">
        <f t="shared" si="14"/>
        <v>1746306.8803242592</v>
      </c>
      <c r="AC38" s="818">
        <f t="shared" si="14"/>
        <v>5249742.9410779616</v>
      </c>
      <c r="AD38" s="818">
        <f t="shared" si="14"/>
        <v>3968353.4508137917</v>
      </c>
      <c r="AE38" s="818">
        <f t="shared" si="14"/>
        <v>4381373.9782267921</v>
      </c>
      <c r="AF38" s="818">
        <f t="shared" si="14"/>
        <v>3996839.7803184222</v>
      </c>
      <c r="AG38" s="818">
        <f t="shared" si="14"/>
        <v>4703767.4106428251</v>
      </c>
      <c r="AH38" s="818">
        <f t="shared" si="14"/>
        <v>5752212.8569225566</v>
      </c>
      <c r="AI38" s="818">
        <f t="shared" si="14"/>
        <v>7390624.8884817129</v>
      </c>
      <c r="AJ38" s="818">
        <f t="shared" si="14"/>
        <v>6563020.8160033664</v>
      </c>
      <c r="AK38" s="818">
        <f t="shared" si="14"/>
        <v>8585260.4890657924</v>
      </c>
      <c r="AL38" s="818">
        <f t="shared" si="14"/>
        <v>9649437.6781043131</v>
      </c>
      <c r="AM38" s="818">
        <f t="shared" si="14"/>
        <v>10377458.486305065</v>
      </c>
      <c r="AN38" s="818">
        <f t="shared" si="14"/>
        <v>9231548.8297854308</v>
      </c>
      <c r="AO38" s="818">
        <f t="shared" si="14"/>
        <v>9319153.1117987856</v>
      </c>
      <c r="AP38" s="818">
        <f t="shared" si="14"/>
        <v>12089076.520680957</v>
      </c>
      <c r="AQ38" s="818">
        <f t="shared" si="14"/>
        <v>14587450.300673487</v>
      </c>
      <c r="AR38" s="818">
        <f t="shared" si="14"/>
        <v>13699244.151544686</v>
      </c>
      <c r="AS38" s="818">
        <f t="shared" si="14"/>
        <v>12526634.84041357</v>
      </c>
      <c r="AT38" s="818">
        <f>SUM(AT36:AT37)</f>
        <v>11364802.634163015</v>
      </c>
      <c r="AU38" s="818">
        <f>SUM(AU36:AU37)</f>
        <v>185808188.4717072</v>
      </c>
    </row>
    <row r="39" spans="1:51" ht="15.6">
      <c r="A39" s="1687" t="s">
        <v>1809</v>
      </c>
      <c r="S39" s="142">
        <f>IFERROR(S38/SUM(S11:S20),0)</f>
        <v>8382.4924144006563</v>
      </c>
      <c r="T39" s="142">
        <f t="shared" ref="T39:AS39" si="15">IFERROR(T38/SUM(T11:T20),0)</f>
        <v>5825.0697878948631</v>
      </c>
      <c r="U39" s="142">
        <f t="shared" si="15"/>
        <v>6859.0399781685292</v>
      </c>
      <c r="V39" s="142">
        <f t="shared" si="15"/>
        <v>5673.9261350659062</v>
      </c>
      <c r="W39" s="142">
        <f t="shared" si="15"/>
        <v>7463.7451788132148</v>
      </c>
      <c r="X39" s="142">
        <f t="shared" si="15"/>
        <v>8272.8494873291838</v>
      </c>
      <c r="Y39" s="142">
        <f t="shared" si="15"/>
        <v>12876.563905283516</v>
      </c>
      <c r="Z39" s="142">
        <f t="shared" si="15"/>
        <v>13557.565393211707</v>
      </c>
      <c r="AA39" s="142">
        <f t="shared" si="15"/>
        <v>13645.189243096551</v>
      </c>
      <c r="AB39" s="142">
        <f t="shared" si="15"/>
        <v>9922.1981836605628</v>
      </c>
      <c r="AC39" s="142">
        <f t="shared" si="15"/>
        <v>25239.148755182508</v>
      </c>
      <c r="AD39" s="142">
        <f t="shared" si="15"/>
        <v>22938.459253258912</v>
      </c>
      <c r="AE39" s="142">
        <f t="shared" si="15"/>
        <v>24476.949599032359</v>
      </c>
      <c r="AF39" s="142">
        <f t="shared" si="15"/>
        <v>21604.539353072552</v>
      </c>
      <c r="AG39" s="142">
        <f t="shared" si="15"/>
        <v>27669.220062604854</v>
      </c>
      <c r="AH39" s="142">
        <f t="shared" si="15"/>
        <v>32135.267357109256</v>
      </c>
      <c r="AI39" s="142">
        <f t="shared" si="15"/>
        <v>43731.508215868125</v>
      </c>
      <c r="AJ39" s="142">
        <f t="shared" si="15"/>
        <v>39299.525844331532</v>
      </c>
      <c r="AK39" s="142">
        <f t="shared" si="15"/>
        <v>51102.741006344004</v>
      </c>
      <c r="AL39" s="142">
        <f t="shared" si="15"/>
        <v>57097.264367481141</v>
      </c>
      <c r="AM39" s="142">
        <f t="shared" si="15"/>
        <v>62140.469977874644</v>
      </c>
      <c r="AN39" s="142">
        <f t="shared" si="15"/>
        <v>57338.812607362925</v>
      </c>
      <c r="AO39" s="142">
        <f t="shared" si="15"/>
        <v>56139.476577101115</v>
      </c>
      <c r="AP39" s="142">
        <f t="shared" si="15"/>
        <v>72389.679764556626</v>
      </c>
      <c r="AQ39" s="142">
        <f t="shared" si="15"/>
        <v>81951.967981311725</v>
      </c>
      <c r="AR39" s="142">
        <f t="shared" si="15"/>
        <v>78731.288227268305</v>
      </c>
      <c r="AS39" s="142">
        <f t="shared" si="15"/>
        <v>74563.302621509341</v>
      </c>
      <c r="AT39" s="142">
        <f>IFERROR(AT38/SUM(AT11:AT20),0)</f>
        <v>55984.249429374453</v>
      </c>
      <c r="AU39" s="142">
        <f>IFERROR(AU38/SUM(AU11:AU20),0)</f>
        <v>33132.701225340083</v>
      </c>
    </row>
    <row r="40" spans="1:51">
      <c r="AU40" s="1057"/>
      <c r="AV40" s="817"/>
    </row>
    <row r="41" spans="1:51" ht="15.6">
      <c r="A41" s="1769" t="str">
        <f t="shared" ref="A41:A54" si="16">+A12</f>
        <v>Transfers Lionshead</v>
      </c>
      <c r="S41" s="1059">
        <f>-'Lionhead Pig Cost (2)'!S45</f>
        <v>0</v>
      </c>
      <c r="T41" s="1059">
        <f>-'Lionhead Pig Cost (2)'!T45</f>
        <v>0</v>
      </c>
      <c r="U41" s="1059">
        <f>-'Lionhead Pig Cost (2)'!U45</f>
        <v>0</v>
      </c>
      <c r="V41" s="1059">
        <f>-'Lionhead Pig Cost (2)'!V45</f>
        <v>0</v>
      </c>
      <c r="W41" s="1059">
        <f>-'Lionhead Pig Cost (2)'!W45</f>
        <v>0</v>
      </c>
      <c r="X41" s="1059">
        <f>-'Lionhead Pig Cost (2)'!X45</f>
        <v>0</v>
      </c>
      <c r="Y41" s="1059">
        <f>-'Lionhead Pig Cost (2)'!Y45</f>
        <v>0</v>
      </c>
      <c r="Z41" s="1059">
        <f>-'Lionhead Pig Cost (2)'!Z45</f>
        <v>0</v>
      </c>
      <c r="AA41" s="1059">
        <f>-'Lionhead Pig Cost (2)'!AA45</f>
        <v>0</v>
      </c>
      <c r="AB41" s="1059">
        <f>-'Lionhead Pig Cost (2)'!AB45</f>
        <v>0</v>
      </c>
      <c r="AC41" s="1059">
        <f>-'Lionhead Pig Cost (2)'!AC45</f>
        <v>0</v>
      </c>
      <c r="AD41" s="1059">
        <f>-'Lionhead Pig Cost (2)'!AD45</f>
        <v>0</v>
      </c>
      <c r="AE41" s="1059">
        <f>-'Lionhead Pig Cost (2)'!AE45</f>
        <v>0</v>
      </c>
      <c r="AF41" s="1059">
        <f>-'Lionhead Pig Cost (2)'!AF45</f>
        <v>0</v>
      </c>
      <c r="AG41" s="1059">
        <f>-'Lionhead Pig Cost (2)'!AG45</f>
        <v>0</v>
      </c>
      <c r="AH41" s="1059">
        <f>-'Lionhead Pig Cost (2)'!AH45</f>
        <v>0</v>
      </c>
      <c r="AI41" s="1059">
        <f>-'Lionhead Pig Cost (2)'!AI45</f>
        <v>0</v>
      </c>
      <c r="AJ41" s="1059">
        <f>-'Lionhead Pig Cost (2)'!AJ45</f>
        <v>0</v>
      </c>
      <c r="AK41" s="1059">
        <f>-'Lionhead Pig Cost (2)'!AK45</f>
        <v>0</v>
      </c>
      <c r="AL41" s="1059">
        <f>-'Lionhead Pig Cost (2)'!AL45</f>
        <v>0</v>
      </c>
      <c r="AM41" s="1059">
        <f>-'Lionhead Pig Cost (2)'!AM45</f>
        <v>0</v>
      </c>
      <c r="AN41" s="1059">
        <f>-'Lionhead Pig Cost (2)'!AN45</f>
        <v>0</v>
      </c>
      <c r="AO41" s="1059">
        <f>-'Lionhead Pig Cost (2)'!AO45</f>
        <v>0</v>
      </c>
      <c r="AP41" s="1059">
        <f>-'Lionhead Pig Cost (2)'!AP45</f>
        <v>0</v>
      </c>
      <c r="AQ41" s="1059">
        <f>-'Lionhead Pig Cost (2)'!AQ45</f>
        <v>0</v>
      </c>
      <c r="AR41" s="1059">
        <f>-'Lionhead Pig Cost (2)'!AR45</f>
        <v>0</v>
      </c>
      <c r="AS41" s="1059">
        <f>-'Lionhead Pig Cost (2)'!AS45</f>
        <v>0</v>
      </c>
      <c r="AT41" s="1059">
        <f>-'Lionhead Pig Cost (2)'!AT45</f>
        <v>0</v>
      </c>
      <c r="AU41" s="1282">
        <f>SUM(B41:AT41)</f>
        <v>0</v>
      </c>
    </row>
    <row r="42" spans="1:51" ht="15.6">
      <c r="A42" s="1769" t="str">
        <f t="shared" si="16"/>
        <v>Transfers Lionshead Ext.</v>
      </c>
      <c r="S42" s="1059">
        <f>S13*S34</f>
        <v>0</v>
      </c>
      <c r="T42" s="1059">
        <f t="shared" ref="T42:AT42" si="17">T13*T34</f>
        <v>0</v>
      </c>
      <c r="U42" s="1059">
        <f t="shared" si="17"/>
        <v>0</v>
      </c>
      <c r="V42" s="1059">
        <f t="shared" si="17"/>
        <v>0</v>
      </c>
      <c r="W42" s="1059">
        <f t="shared" si="17"/>
        <v>0</v>
      </c>
      <c r="X42" s="1059">
        <f t="shared" si="17"/>
        <v>0</v>
      </c>
      <c r="Y42" s="1059">
        <f t="shared" si="17"/>
        <v>0</v>
      </c>
      <c r="Z42" s="1059">
        <f t="shared" si="17"/>
        <v>0</v>
      </c>
      <c r="AA42" s="1059">
        <f t="shared" si="17"/>
        <v>0</v>
      </c>
      <c r="AB42" s="1059">
        <f t="shared" si="17"/>
        <v>0</v>
      </c>
      <c r="AC42" s="1059">
        <f t="shared" si="17"/>
        <v>0</v>
      </c>
      <c r="AD42" s="1059">
        <f t="shared" si="17"/>
        <v>0</v>
      </c>
      <c r="AE42" s="1059">
        <f t="shared" si="17"/>
        <v>0</v>
      </c>
      <c r="AF42" s="1059">
        <f t="shared" si="17"/>
        <v>0</v>
      </c>
      <c r="AG42" s="1059">
        <f t="shared" si="17"/>
        <v>0</v>
      </c>
      <c r="AH42" s="1059">
        <f t="shared" si="17"/>
        <v>0</v>
      </c>
      <c r="AI42" s="1059">
        <f t="shared" si="17"/>
        <v>0</v>
      </c>
      <c r="AJ42" s="1059">
        <f t="shared" si="17"/>
        <v>0</v>
      </c>
      <c r="AK42" s="1059">
        <f t="shared" si="17"/>
        <v>0</v>
      </c>
      <c r="AL42" s="1059">
        <f t="shared" si="17"/>
        <v>0</v>
      </c>
      <c r="AM42" s="1059">
        <f t="shared" si="17"/>
        <v>0</v>
      </c>
      <c r="AN42" s="1059">
        <f t="shared" si="17"/>
        <v>0</v>
      </c>
      <c r="AO42" s="1059">
        <f t="shared" si="17"/>
        <v>0</v>
      </c>
      <c r="AP42" s="1059">
        <f t="shared" si="17"/>
        <v>0</v>
      </c>
      <c r="AQ42" s="1059">
        <f t="shared" si="17"/>
        <v>0</v>
      </c>
      <c r="AR42" s="1059">
        <f t="shared" si="17"/>
        <v>0</v>
      </c>
      <c r="AS42" s="1059">
        <f t="shared" si="17"/>
        <v>0</v>
      </c>
      <c r="AT42" s="1059">
        <f t="shared" si="17"/>
        <v>0</v>
      </c>
      <c r="AU42" s="1282">
        <f>SUM(B42:AT42)</f>
        <v>0</v>
      </c>
    </row>
    <row r="43" spans="1:51" ht="15.6">
      <c r="A43" s="1769" t="str">
        <f t="shared" si="16"/>
        <v>Transfers  Richlands</v>
      </c>
      <c r="S43" s="1059">
        <f>-'Richlands Pig Cost (2)'!S45</f>
        <v>0</v>
      </c>
      <c r="T43" s="1059">
        <f>-'Richlands Pig Cost (2)'!T45</f>
        <v>0</v>
      </c>
      <c r="U43" s="1059">
        <f>-'Richlands Pig Cost (2)'!U45</f>
        <v>0</v>
      </c>
      <c r="V43" s="1059">
        <f>-'Richlands Pig Cost (2)'!V45</f>
        <v>0</v>
      </c>
      <c r="W43" s="1059">
        <f>-'Richlands Pig Cost (2)'!W45</f>
        <v>0</v>
      </c>
      <c r="X43" s="1059">
        <f>-'Richlands Pig Cost (2)'!X45</f>
        <v>0</v>
      </c>
      <c r="Y43" s="1059">
        <f>-'Richlands Pig Cost (2)'!Y45</f>
        <v>0</v>
      </c>
      <c r="Z43" s="1059">
        <f>-'Richlands Pig Cost (2)'!Z45</f>
        <v>63471.37602748481</v>
      </c>
      <c r="AA43" s="1059">
        <f>-'Richlands Pig Cost (2)'!AA45</f>
        <v>65227.654704255736</v>
      </c>
      <c r="AB43" s="1059">
        <f>-'Richlands Pig Cost (2)'!AB45</f>
        <v>0</v>
      </c>
      <c r="AC43" s="1059">
        <f>-'Richlands Pig Cost (2)'!AC45</f>
        <v>0</v>
      </c>
      <c r="AD43" s="1059">
        <f>-'Richlands Pig Cost (2)'!AD45</f>
        <v>0</v>
      </c>
      <c r="AE43" s="1059">
        <f>-'Richlands Pig Cost (2)'!AE45</f>
        <v>0</v>
      </c>
      <c r="AF43" s="1059">
        <f>-'Richlands Pig Cost (2)'!AF45</f>
        <v>0</v>
      </c>
      <c r="AG43" s="1059">
        <f>-'Richlands Pig Cost (2)'!AG45</f>
        <v>0</v>
      </c>
      <c r="AH43" s="1059">
        <f>-'Richlands Pig Cost (2)'!AH45</f>
        <v>0</v>
      </c>
      <c r="AI43" s="1059">
        <f>-'Richlands Pig Cost (2)'!AI45</f>
        <v>0</v>
      </c>
      <c r="AJ43" s="1059">
        <f>-'Richlands Pig Cost (2)'!AJ45</f>
        <v>0</v>
      </c>
      <c r="AK43" s="1059">
        <f>-'Richlands Pig Cost (2)'!AK45</f>
        <v>0</v>
      </c>
      <c r="AL43" s="1059">
        <f>-'Richlands Pig Cost (2)'!AL45</f>
        <v>0</v>
      </c>
      <c r="AM43" s="1059">
        <f>-'Richlands Pig Cost (2)'!AM45</f>
        <v>0</v>
      </c>
      <c r="AN43" s="1059">
        <f>-'Richlands Pig Cost (2)'!AN45</f>
        <v>0</v>
      </c>
      <c r="AO43" s="1059">
        <f>-'Richlands Pig Cost (2)'!AO45</f>
        <v>0</v>
      </c>
      <c r="AP43" s="1059">
        <f>-'Richlands Pig Cost (2)'!AP45</f>
        <v>0</v>
      </c>
      <c r="AQ43" s="1059">
        <f>-'Richlands Pig Cost (2)'!AQ45</f>
        <v>0</v>
      </c>
      <c r="AR43" s="1059">
        <f>-'Richlands Pig Cost (2)'!AR45</f>
        <v>0</v>
      </c>
      <c r="AS43" s="1059">
        <f>-'Richlands Pig Cost (2)'!AS45</f>
        <v>0</v>
      </c>
      <c r="AT43" s="1059">
        <f>-'Richlands Pig Cost (2)'!AT45</f>
        <v>0</v>
      </c>
      <c r="AU43" s="1282">
        <f>SUM(B43:AT43)</f>
        <v>128699.03073174055</v>
      </c>
    </row>
    <row r="44" spans="1:51" ht="15.6">
      <c r="A44" s="1769" t="str">
        <f t="shared" si="16"/>
        <v>Transfers Learig</v>
      </c>
      <c r="S44" s="1059">
        <f>S15*S34</f>
        <v>0</v>
      </c>
      <c r="T44" s="1059">
        <f t="shared" ref="T44:AT44" si="18">T15*T34</f>
        <v>0</v>
      </c>
      <c r="U44" s="1059">
        <f t="shared" si="18"/>
        <v>0</v>
      </c>
      <c r="V44" s="1059">
        <f t="shared" si="18"/>
        <v>0</v>
      </c>
      <c r="W44" s="1059">
        <f t="shared" si="18"/>
        <v>0</v>
      </c>
      <c r="X44" s="1059">
        <f t="shared" si="18"/>
        <v>0</v>
      </c>
      <c r="Y44" s="1059">
        <f t="shared" si="18"/>
        <v>0</v>
      </c>
      <c r="Z44" s="1059">
        <f t="shared" si="18"/>
        <v>-926486.30599153088</v>
      </c>
      <c r="AA44" s="1059">
        <f t="shared" si="18"/>
        <v>-1378198.1084571376</v>
      </c>
      <c r="AB44" s="1059">
        <f t="shared" si="18"/>
        <v>-990412.56051322585</v>
      </c>
      <c r="AC44" s="1059">
        <f t="shared" si="18"/>
        <v>0</v>
      </c>
      <c r="AD44" s="1059">
        <f t="shared" si="18"/>
        <v>0</v>
      </c>
      <c r="AE44" s="1059">
        <f t="shared" si="18"/>
        <v>0</v>
      </c>
      <c r="AF44" s="1059">
        <f t="shared" si="18"/>
        <v>0</v>
      </c>
      <c r="AG44" s="1059">
        <f t="shared" si="18"/>
        <v>0</v>
      </c>
      <c r="AH44" s="1059">
        <f t="shared" si="18"/>
        <v>0</v>
      </c>
      <c r="AI44" s="1059">
        <f t="shared" si="18"/>
        <v>0</v>
      </c>
      <c r="AJ44" s="1059">
        <f t="shared" si="18"/>
        <v>0</v>
      </c>
      <c r="AK44" s="1059">
        <f t="shared" si="18"/>
        <v>0</v>
      </c>
      <c r="AL44" s="1059">
        <f t="shared" si="18"/>
        <v>0</v>
      </c>
      <c r="AM44" s="1059">
        <f t="shared" si="18"/>
        <v>0</v>
      </c>
      <c r="AN44" s="1059">
        <f t="shared" si="18"/>
        <v>0</v>
      </c>
      <c r="AO44" s="1059">
        <f t="shared" si="18"/>
        <v>0</v>
      </c>
      <c r="AP44" s="1059">
        <f t="shared" si="18"/>
        <v>0</v>
      </c>
      <c r="AQ44" s="1059">
        <f t="shared" si="18"/>
        <v>0</v>
      </c>
      <c r="AR44" s="1059">
        <f t="shared" si="18"/>
        <v>0</v>
      </c>
      <c r="AS44" s="1059">
        <f t="shared" si="18"/>
        <v>0</v>
      </c>
      <c r="AT44" s="1059">
        <f t="shared" si="18"/>
        <v>0</v>
      </c>
      <c r="AU44" s="1282">
        <f>SUM(B44:AT44)</f>
        <v>-3295096.9749618941</v>
      </c>
    </row>
    <row r="45" spans="1:51" ht="15.6">
      <c r="A45" s="1769" t="str">
        <f t="shared" si="16"/>
        <v>Transfers  Grasmere</v>
      </c>
      <c r="S45" s="1059">
        <f>-'Grasmere Pig Cost (2)'!S45</f>
        <v>0</v>
      </c>
      <c r="T45" s="1059">
        <f>-'Grasmere Pig Cost (2)'!T45</f>
        <v>0</v>
      </c>
      <c r="U45" s="1059">
        <f>-'Grasmere Pig Cost (2)'!U45</f>
        <v>0</v>
      </c>
      <c r="V45" s="1059">
        <f>-'Grasmere Pig Cost (2)'!V45</f>
        <v>0</v>
      </c>
      <c r="W45" s="1059">
        <f>-'Grasmere Pig Cost (2)'!W45</f>
        <v>0</v>
      </c>
      <c r="X45" s="1059">
        <f>-'Grasmere Pig Cost (2)'!X45</f>
        <v>0</v>
      </c>
      <c r="Y45" s="1059">
        <f>-'Grasmere Pig Cost (2)'!Y45</f>
        <v>0</v>
      </c>
      <c r="Z45" s="1059">
        <f>-'Grasmere Pig Cost (2)'!Z45</f>
        <v>0</v>
      </c>
      <c r="AA45" s="1059">
        <f>-'Grasmere Pig Cost (2)'!AA45</f>
        <v>0</v>
      </c>
      <c r="AB45" s="1059">
        <f>-'Grasmere Pig Cost (2)'!AB45</f>
        <v>0</v>
      </c>
      <c r="AC45" s="1059">
        <f>-'Grasmere Pig Cost (2)'!AC45</f>
        <v>0</v>
      </c>
      <c r="AD45" s="1059">
        <f>-'Grasmere Pig Cost (2)'!AD45</f>
        <v>0</v>
      </c>
      <c r="AE45" s="1059">
        <f>-'Grasmere Pig Cost (2)'!AE45</f>
        <v>0</v>
      </c>
      <c r="AF45" s="1059">
        <f>-'Grasmere Pig Cost (2)'!AF45</f>
        <v>0</v>
      </c>
      <c r="AG45" s="1059">
        <f>-'Grasmere Pig Cost (2)'!AG45</f>
        <v>0</v>
      </c>
      <c r="AH45" s="1059">
        <f>-'Grasmere Pig Cost (2)'!AH45</f>
        <v>0</v>
      </c>
      <c r="AI45" s="1059">
        <f>-'Grasmere Pig Cost (2)'!AI45</f>
        <v>0</v>
      </c>
      <c r="AJ45" s="1059">
        <f>-'Grasmere Pig Cost (2)'!AJ45</f>
        <v>0</v>
      </c>
      <c r="AK45" s="1059">
        <f>-'Grasmere Pig Cost (2)'!AK45</f>
        <v>0</v>
      </c>
      <c r="AL45" s="1059">
        <f>-'Grasmere Pig Cost (2)'!AL45</f>
        <v>0</v>
      </c>
      <c r="AM45" s="1059">
        <f>-'Grasmere Pig Cost (2)'!AM45</f>
        <v>0</v>
      </c>
      <c r="AN45" s="1059">
        <f>-'Grasmere Pig Cost (2)'!AN45</f>
        <v>0</v>
      </c>
      <c r="AO45" s="1059">
        <f>-'Grasmere Pig Cost (2)'!AO45</f>
        <v>0</v>
      </c>
      <c r="AP45" s="1059">
        <f>-'Grasmere Pig Cost (2)'!AP45</f>
        <v>0</v>
      </c>
      <c r="AQ45" s="1059">
        <f>-'Grasmere Pig Cost (2)'!AQ45</f>
        <v>0</v>
      </c>
      <c r="AR45" s="1059">
        <f>-'Grasmere Pig Cost (2)'!AR45</f>
        <v>0</v>
      </c>
      <c r="AS45" s="1059">
        <f>-'Grasmere Pig Cost (2)'!AS45</f>
        <v>0</v>
      </c>
      <c r="AT45" s="1059">
        <f>-'Grasmere Pig Cost (2)'!AT45</f>
        <v>0</v>
      </c>
      <c r="AU45" s="1282">
        <f>SUM(B45:AT45)</f>
        <v>0</v>
      </c>
      <c r="AY45" s="1091"/>
    </row>
    <row r="46" spans="1:51" ht="15.6">
      <c r="A46" s="1769" t="str">
        <f t="shared" si="16"/>
        <v>Transfers  Boars</v>
      </c>
      <c r="S46" s="1059">
        <f>S17*S34</f>
        <v>0</v>
      </c>
      <c r="T46" s="1059">
        <f t="shared" ref="T46:AR46" si="19">T17*T34</f>
        <v>0</v>
      </c>
      <c r="U46" s="1059">
        <f t="shared" si="19"/>
        <v>0</v>
      </c>
      <c r="V46" s="1059">
        <f t="shared" si="19"/>
        <v>0</v>
      </c>
      <c r="W46" s="1059">
        <f t="shared" si="19"/>
        <v>0</v>
      </c>
      <c r="X46" s="1059">
        <f t="shared" si="19"/>
        <v>0</v>
      </c>
      <c r="Y46" s="1059">
        <f t="shared" si="19"/>
        <v>0</v>
      </c>
      <c r="Z46" s="1059">
        <f t="shared" si="19"/>
        <v>0</v>
      </c>
      <c r="AA46" s="1059">
        <f t="shared" si="19"/>
        <v>0</v>
      </c>
      <c r="AB46" s="1059">
        <f t="shared" si="19"/>
        <v>0</v>
      </c>
      <c r="AC46" s="1059">
        <f t="shared" si="19"/>
        <v>0</v>
      </c>
      <c r="AD46" s="1059">
        <f t="shared" si="19"/>
        <v>0</v>
      </c>
      <c r="AE46" s="1059">
        <f t="shared" si="19"/>
        <v>0</v>
      </c>
      <c r="AF46" s="1059">
        <f t="shared" si="19"/>
        <v>0</v>
      </c>
      <c r="AG46" s="1059">
        <f t="shared" si="19"/>
        <v>0</v>
      </c>
      <c r="AH46" s="1059">
        <f t="shared" si="19"/>
        <v>0</v>
      </c>
      <c r="AI46" s="1059">
        <f t="shared" si="19"/>
        <v>0</v>
      </c>
      <c r="AJ46" s="1059">
        <f t="shared" si="19"/>
        <v>0</v>
      </c>
      <c r="AK46" s="1059">
        <f t="shared" si="19"/>
        <v>0</v>
      </c>
      <c r="AL46" s="1059">
        <f t="shared" si="19"/>
        <v>0</v>
      </c>
      <c r="AM46" s="1059">
        <f t="shared" si="19"/>
        <v>0</v>
      </c>
      <c r="AN46" s="1059">
        <f t="shared" si="19"/>
        <v>0</v>
      </c>
      <c r="AO46" s="1059">
        <f t="shared" si="19"/>
        <v>0</v>
      </c>
      <c r="AP46" s="1059">
        <f t="shared" si="19"/>
        <v>0</v>
      </c>
      <c r="AQ46" s="1059">
        <f t="shared" si="19"/>
        <v>0</v>
      </c>
      <c r="AR46" s="1059">
        <f t="shared" si="19"/>
        <v>0</v>
      </c>
      <c r="AS46" s="1059">
        <f>AS17*AS34</f>
        <v>0</v>
      </c>
      <c r="AT46" s="1059">
        <f t="shared" ref="AT46" si="20">AT17*AT34</f>
        <v>0</v>
      </c>
      <c r="AU46" s="1282">
        <f t="shared" ref="AU46:AU53" si="21">SUM(B46:AT46)</f>
        <v>0</v>
      </c>
    </row>
    <row r="47" spans="1:51" ht="15.6">
      <c r="A47" s="1769" t="str">
        <f t="shared" si="16"/>
        <v>Transfers Grower</v>
      </c>
      <c r="S47" s="1059">
        <f>S18*S34</f>
        <v>0</v>
      </c>
      <c r="T47" s="1059">
        <f t="shared" ref="T47:AR47" si="22">T18*T34</f>
        <v>0</v>
      </c>
      <c r="U47" s="1059">
        <f t="shared" si="22"/>
        <v>0</v>
      </c>
      <c r="V47" s="1059">
        <f t="shared" si="22"/>
        <v>0</v>
      </c>
      <c r="W47" s="1059">
        <f t="shared" si="22"/>
        <v>0</v>
      </c>
      <c r="X47" s="1059">
        <f t="shared" si="22"/>
        <v>0</v>
      </c>
      <c r="Y47" s="1059">
        <f t="shared" si="22"/>
        <v>0</v>
      </c>
      <c r="Z47" s="1059">
        <f t="shared" si="22"/>
        <v>0</v>
      </c>
      <c r="AA47" s="1059">
        <f t="shared" si="22"/>
        <v>0</v>
      </c>
      <c r="AB47" s="1059">
        <f t="shared" si="22"/>
        <v>0</v>
      </c>
      <c r="AC47" s="1059">
        <f t="shared" si="22"/>
        <v>0</v>
      </c>
      <c r="AD47" s="1059">
        <f t="shared" si="22"/>
        <v>0</v>
      </c>
      <c r="AE47" s="1059">
        <f t="shared" si="22"/>
        <v>24419.865736484811</v>
      </c>
      <c r="AF47" s="1059">
        <f t="shared" si="22"/>
        <v>0</v>
      </c>
      <c r="AG47" s="1059">
        <f t="shared" si="22"/>
        <v>0</v>
      </c>
      <c r="AH47" s="1059">
        <f t="shared" si="22"/>
        <v>0</v>
      </c>
      <c r="AI47" s="1059">
        <f t="shared" si="22"/>
        <v>0</v>
      </c>
      <c r="AJ47" s="1059">
        <f t="shared" si="22"/>
        <v>0</v>
      </c>
      <c r="AK47" s="1059">
        <f t="shared" si="22"/>
        <v>0</v>
      </c>
      <c r="AL47" s="1059">
        <f t="shared" si="22"/>
        <v>0</v>
      </c>
      <c r="AM47" s="1059">
        <f t="shared" si="22"/>
        <v>0</v>
      </c>
      <c r="AN47" s="1059">
        <f t="shared" si="22"/>
        <v>0</v>
      </c>
      <c r="AO47" s="1059">
        <f t="shared" si="22"/>
        <v>0</v>
      </c>
      <c r="AP47" s="1059">
        <f t="shared" si="22"/>
        <v>0</v>
      </c>
      <c r="AQ47" s="1059">
        <f t="shared" si="22"/>
        <v>0</v>
      </c>
      <c r="AR47" s="1059">
        <f t="shared" si="22"/>
        <v>0</v>
      </c>
      <c r="AS47" s="1059">
        <f>AS18*AS34</f>
        <v>0</v>
      </c>
      <c r="AT47" s="1059">
        <f t="shared" ref="AT47" si="23">AT18*AT34</f>
        <v>0</v>
      </c>
      <c r="AU47" s="1282">
        <f t="shared" si="21"/>
        <v>24419.865736484811</v>
      </c>
    </row>
    <row r="48" spans="1:51" ht="15.6">
      <c r="A48" s="1769" t="str">
        <f t="shared" si="16"/>
        <v>Transfer to Sick Block</v>
      </c>
      <c r="S48" s="1059">
        <f>S19*S34</f>
        <v>0</v>
      </c>
      <c r="T48" s="1059">
        <f t="shared" ref="T48:AR48" si="24">T19*T34</f>
        <v>0</v>
      </c>
      <c r="U48" s="1059">
        <f t="shared" si="24"/>
        <v>0</v>
      </c>
      <c r="V48" s="1059">
        <f t="shared" si="24"/>
        <v>0</v>
      </c>
      <c r="W48" s="1059">
        <f t="shared" si="24"/>
        <v>0</v>
      </c>
      <c r="X48" s="1059">
        <f t="shared" si="24"/>
        <v>0</v>
      </c>
      <c r="Y48" s="1059">
        <f t="shared" si="24"/>
        <v>0</v>
      </c>
      <c r="Z48" s="1059">
        <f t="shared" si="24"/>
        <v>0</v>
      </c>
      <c r="AA48" s="1059">
        <f t="shared" si="24"/>
        <v>0</v>
      </c>
      <c r="AB48" s="1059">
        <f t="shared" si="24"/>
        <v>0</v>
      </c>
      <c r="AC48" s="1059">
        <f t="shared" si="24"/>
        <v>0</v>
      </c>
      <c r="AD48" s="1059">
        <f t="shared" si="24"/>
        <v>0</v>
      </c>
      <c r="AE48" s="1059">
        <f t="shared" si="24"/>
        <v>0</v>
      </c>
      <c r="AF48" s="1059">
        <f t="shared" si="24"/>
        <v>0</v>
      </c>
      <c r="AG48" s="1059">
        <f t="shared" si="24"/>
        <v>0</v>
      </c>
      <c r="AH48" s="1059">
        <f t="shared" si="24"/>
        <v>0</v>
      </c>
      <c r="AI48" s="1059">
        <f t="shared" si="24"/>
        <v>0</v>
      </c>
      <c r="AJ48" s="1059">
        <f t="shared" si="24"/>
        <v>0</v>
      </c>
      <c r="AK48" s="1059">
        <f t="shared" si="24"/>
        <v>0</v>
      </c>
      <c r="AL48" s="1059">
        <f t="shared" si="24"/>
        <v>0</v>
      </c>
      <c r="AM48" s="1059">
        <f t="shared" si="24"/>
        <v>0</v>
      </c>
      <c r="AN48" s="1059">
        <f t="shared" si="24"/>
        <v>0</v>
      </c>
      <c r="AO48" s="1059">
        <f t="shared" si="24"/>
        <v>0</v>
      </c>
      <c r="AP48" s="1059">
        <f t="shared" si="24"/>
        <v>0</v>
      </c>
      <c r="AQ48" s="1059">
        <f t="shared" si="24"/>
        <v>0</v>
      </c>
      <c r="AR48" s="1059">
        <f t="shared" si="24"/>
        <v>0</v>
      </c>
      <c r="AS48" s="1059">
        <f>AS19*AS34</f>
        <v>0</v>
      </c>
      <c r="AT48" s="1059">
        <f t="shared" ref="AT48" si="25">AT19*AT34</f>
        <v>0</v>
      </c>
      <c r="AU48" s="1282">
        <f t="shared" si="21"/>
        <v>0</v>
      </c>
      <c r="AW48" s="1059">
        <v>0</v>
      </c>
      <c r="AX48" s="142" t="s">
        <v>1831</v>
      </c>
    </row>
    <row r="49" spans="1:54" ht="15.6">
      <c r="A49" s="1769" t="str">
        <f t="shared" si="16"/>
        <v>Transfers Gilts</v>
      </c>
      <c r="S49" s="1059">
        <f>S20*S34</f>
        <v>0</v>
      </c>
      <c r="T49" s="1059">
        <f t="shared" ref="T49:AR49" si="26">T20*T34</f>
        <v>0</v>
      </c>
      <c r="U49" s="1059">
        <f t="shared" si="26"/>
        <v>0</v>
      </c>
      <c r="V49" s="1059">
        <f t="shared" si="26"/>
        <v>0</v>
      </c>
      <c r="W49" s="1059">
        <f t="shared" si="26"/>
        <v>0</v>
      </c>
      <c r="X49" s="1059">
        <f t="shared" si="26"/>
        <v>0</v>
      </c>
      <c r="Y49" s="1059">
        <f t="shared" si="26"/>
        <v>0</v>
      </c>
      <c r="Z49" s="1059">
        <f t="shared" si="26"/>
        <v>0</v>
      </c>
      <c r="AA49" s="1059">
        <f t="shared" si="26"/>
        <v>0</v>
      </c>
      <c r="AB49" s="1059">
        <f t="shared" si="26"/>
        <v>0</v>
      </c>
      <c r="AC49" s="1059">
        <f t="shared" si="26"/>
        <v>0</v>
      </c>
      <c r="AD49" s="1059">
        <f t="shared" si="26"/>
        <v>0</v>
      </c>
      <c r="AE49" s="1059">
        <f t="shared" si="26"/>
        <v>0</v>
      </c>
      <c r="AF49" s="1059">
        <f t="shared" si="26"/>
        <v>0</v>
      </c>
      <c r="AG49" s="1059">
        <f t="shared" si="26"/>
        <v>0</v>
      </c>
      <c r="AH49" s="1059">
        <f t="shared" si="26"/>
        <v>0</v>
      </c>
      <c r="AI49" s="1059">
        <f t="shared" si="26"/>
        <v>0</v>
      </c>
      <c r="AJ49" s="1059">
        <f t="shared" si="26"/>
        <v>0</v>
      </c>
      <c r="AK49" s="1059">
        <f t="shared" si="26"/>
        <v>0</v>
      </c>
      <c r="AL49" s="1059">
        <f t="shared" si="26"/>
        <v>0</v>
      </c>
      <c r="AM49" s="1059">
        <f t="shared" si="26"/>
        <v>0</v>
      </c>
      <c r="AN49" s="1059">
        <f t="shared" si="26"/>
        <v>0</v>
      </c>
      <c r="AO49" s="1059">
        <f t="shared" si="26"/>
        <v>0</v>
      </c>
      <c r="AP49" s="1059">
        <f t="shared" si="26"/>
        <v>0</v>
      </c>
      <c r="AQ49" s="1059">
        <f t="shared" si="26"/>
        <v>0</v>
      </c>
      <c r="AR49" s="1059">
        <f t="shared" si="26"/>
        <v>0</v>
      </c>
      <c r="AS49" s="1059">
        <f>AS20*AS34</f>
        <v>0</v>
      </c>
      <c r="AT49" s="1059">
        <f t="shared" ref="AT49" si="27">AT20*AT34</f>
        <v>0</v>
      </c>
      <c r="AU49" s="1282">
        <f>SUM(B49:AT49)</f>
        <v>0</v>
      </c>
    </row>
    <row r="50" spans="1:54" ht="15.6">
      <c r="A50" s="1769" t="str">
        <f t="shared" si="16"/>
        <v>Mortality</v>
      </c>
      <c r="S50" s="1059">
        <f>S21*S39</f>
        <v>0</v>
      </c>
      <c r="T50" s="1059">
        <f t="shared" ref="T50:AR50" si="28">T21*T39</f>
        <v>-75725.907242633228</v>
      </c>
      <c r="U50" s="1059">
        <f t="shared" si="28"/>
        <v>-75449.43975985382</v>
      </c>
      <c r="V50" s="1059">
        <f t="shared" si="28"/>
        <v>-136174.22724158174</v>
      </c>
      <c r="W50" s="1059">
        <f t="shared" si="28"/>
        <v>-186593.62947033037</v>
      </c>
      <c r="X50" s="1059">
        <f t="shared" si="28"/>
        <v>-198548.3876959004</v>
      </c>
      <c r="Y50" s="1059">
        <f t="shared" si="28"/>
        <v>-167395.3307686857</v>
      </c>
      <c r="Z50" s="1059">
        <f t="shared" si="28"/>
        <v>-108460.52314569366</v>
      </c>
      <c r="AA50" s="1059">
        <f t="shared" si="28"/>
        <v>-68225.946215482749</v>
      </c>
      <c r="AB50" s="1059">
        <f t="shared" si="28"/>
        <v>-19844.396367321126</v>
      </c>
      <c r="AC50" s="1059">
        <f t="shared" si="28"/>
        <v>-25239.148755182508</v>
      </c>
      <c r="AD50" s="1059">
        <f t="shared" si="28"/>
        <v>-68815.377759776733</v>
      </c>
      <c r="AE50" s="1059">
        <f t="shared" si="28"/>
        <v>-24476.949599032359</v>
      </c>
      <c r="AF50" s="1059">
        <f t="shared" si="28"/>
        <v>-86418.157412290209</v>
      </c>
      <c r="AG50" s="1059">
        <f t="shared" si="28"/>
        <v>-27669.220062604854</v>
      </c>
      <c r="AH50" s="1059">
        <f t="shared" si="28"/>
        <v>-32135.267357109256</v>
      </c>
      <c r="AI50" s="1059">
        <f t="shared" si="28"/>
        <v>-43731.508215868125</v>
      </c>
      <c r="AJ50" s="1059">
        <f t="shared" si="28"/>
        <v>0</v>
      </c>
      <c r="AK50" s="1059">
        <f t="shared" si="28"/>
        <v>-153308.22301903201</v>
      </c>
      <c r="AL50" s="1059">
        <f t="shared" si="28"/>
        <v>-57097.264367481141</v>
      </c>
      <c r="AM50" s="1059">
        <f t="shared" si="28"/>
        <v>-62140.469977874644</v>
      </c>
      <c r="AN50" s="1059">
        <f t="shared" si="28"/>
        <v>-57338.812607362925</v>
      </c>
      <c r="AO50" s="1059">
        <f t="shared" si="28"/>
        <v>0</v>
      </c>
      <c r="AP50" s="1059">
        <f t="shared" si="28"/>
        <v>-723896.79764556629</v>
      </c>
      <c r="AQ50" s="1059">
        <f t="shared" si="28"/>
        <v>0</v>
      </c>
      <c r="AR50" s="1059">
        <f t="shared" si="28"/>
        <v>-157462.57645453661</v>
      </c>
      <c r="AS50" s="1059">
        <f>AS21*AS39</f>
        <v>0</v>
      </c>
      <c r="AT50" s="1059">
        <f t="shared" ref="AT50" si="29">AT21*AT39</f>
        <v>-55984.249429374453</v>
      </c>
      <c r="AU50" s="1282">
        <f>SUM(B50:AT50)</f>
        <v>-2612131.8105705748</v>
      </c>
    </row>
    <row r="51" spans="1:54" ht="15.6">
      <c r="A51" s="1769" t="str">
        <f t="shared" si="16"/>
        <v>Rations</v>
      </c>
      <c r="S51" s="1059">
        <f>S22*S39</f>
        <v>0</v>
      </c>
      <c r="T51" s="1059">
        <f t="shared" ref="T51:AR51" si="30">T22*T39</f>
        <v>0</v>
      </c>
      <c r="U51" s="1059">
        <f t="shared" si="30"/>
        <v>0</v>
      </c>
      <c r="V51" s="1059">
        <f t="shared" si="30"/>
        <v>0</v>
      </c>
      <c r="W51" s="1059">
        <f t="shared" si="30"/>
        <v>0</v>
      </c>
      <c r="X51" s="1059">
        <f t="shared" si="30"/>
        <v>0</v>
      </c>
      <c r="Y51" s="1059">
        <f t="shared" si="30"/>
        <v>0</v>
      </c>
      <c r="Z51" s="1059">
        <f t="shared" si="30"/>
        <v>0</v>
      </c>
      <c r="AA51" s="1059">
        <f t="shared" si="30"/>
        <v>0</v>
      </c>
      <c r="AB51" s="1059">
        <f t="shared" si="30"/>
        <v>0</v>
      </c>
      <c r="AC51" s="1059">
        <f t="shared" si="30"/>
        <v>0</v>
      </c>
      <c r="AD51" s="1059">
        <f t="shared" si="30"/>
        <v>0</v>
      </c>
      <c r="AE51" s="1059">
        <f t="shared" si="30"/>
        <v>0</v>
      </c>
      <c r="AF51" s="1059">
        <f t="shared" si="30"/>
        <v>0</v>
      </c>
      <c r="AG51" s="1059">
        <f t="shared" si="30"/>
        <v>-27669.220062604854</v>
      </c>
      <c r="AH51" s="1059">
        <f t="shared" si="30"/>
        <v>0</v>
      </c>
      <c r="AI51" s="1059">
        <f t="shared" si="30"/>
        <v>0</v>
      </c>
      <c r="AJ51" s="1059">
        <f t="shared" si="30"/>
        <v>0</v>
      </c>
      <c r="AK51" s="1059">
        <f t="shared" si="30"/>
        <v>0</v>
      </c>
      <c r="AL51" s="1059">
        <f t="shared" si="30"/>
        <v>0</v>
      </c>
      <c r="AM51" s="1059">
        <f t="shared" si="30"/>
        <v>0</v>
      </c>
      <c r="AN51" s="1059">
        <f t="shared" si="30"/>
        <v>0</v>
      </c>
      <c r="AO51" s="1059">
        <f t="shared" si="30"/>
        <v>0</v>
      </c>
      <c r="AP51" s="1059">
        <f t="shared" si="30"/>
        <v>-289558.7190582265</v>
      </c>
      <c r="AQ51" s="1059">
        <f t="shared" si="30"/>
        <v>-409759.83990655863</v>
      </c>
      <c r="AR51" s="1059">
        <f t="shared" si="30"/>
        <v>-78731.288227268305</v>
      </c>
      <c r="AS51" s="1059">
        <f>AS22*AS39</f>
        <v>0</v>
      </c>
      <c r="AT51" s="1059">
        <f t="shared" ref="AT51" si="31">AT22*AT39</f>
        <v>-167952.74828812334</v>
      </c>
      <c r="AU51" s="1282">
        <f>SUM(B51:AT51)</f>
        <v>-973671.81554278173</v>
      </c>
    </row>
    <row r="52" spans="1:54" ht="15.6">
      <c r="A52" s="1769" t="str">
        <f t="shared" si="16"/>
        <v>Pet Food</v>
      </c>
      <c r="S52" s="1059">
        <f>S23*S39</f>
        <v>0</v>
      </c>
      <c r="T52" s="1059">
        <f t="shared" ref="T52:AR52" si="32">T23*T39</f>
        <v>0</v>
      </c>
      <c r="U52" s="1059">
        <f t="shared" si="32"/>
        <v>0</v>
      </c>
      <c r="V52" s="1059">
        <f t="shared" si="32"/>
        <v>0</v>
      </c>
      <c r="W52" s="1059">
        <f t="shared" si="32"/>
        <v>0</v>
      </c>
      <c r="X52" s="1059">
        <f t="shared" si="32"/>
        <v>0</v>
      </c>
      <c r="Y52" s="1059">
        <f t="shared" si="32"/>
        <v>0</v>
      </c>
      <c r="Z52" s="1059">
        <f t="shared" si="32"/>
        <v>0</v>
      </c>
      <c r="AA52" s="1059">
        <f t="shared" si="32"/>
        <v>0</v>
      </c>
      <c r="AB52" s="1059">
        <f t="shared" si="32"/>
        <v>0</v>
      </c>
      <c r="AC52" s="1059">
        <f t="shared" si="32"/>
        <v>0</v>
      </c>
      <c r="AD52" s="1059">
        <f t="shared" si="32"/>
        <v>0</v>
      </c>
      <c r="AE52" s="1059">
        <f t="shared" si="32"/>
        <v>0</v>
      </c>
      <c r="AF52" s="1059">
        <f t="shared" si="32"/>
        <v>0</v>
      </c>
      <c r="AG52" s="1059">
        <f t="shared" si="32"/>
        <v>0</v>
      </c>
      <c r="AH52" s="1059">
        <f t="shared" si="32"/>
        <v>0</v>
      </c>
      <c r="AI52" s="1059">
        <f t="shared" si="32"/>
        <v>0</v>
      </c>
      <c r="AJ52" s="1059">
        <f t="shared" si="32"/>
        <v>0</v>
      </c>
      <c r="AK52" s="1059">
        <f t="shared" si="32"/>
        <v>0</v>
      </c>
      <c r="AL52" s="1059">
        <f t="shared" si="32"/>
        <v>0</v>
      </c>
      <c r="AM52" s="1059">
        <f t="shared" si="32"/>
        <v>0</v>
      </c>
      <c r="AN52" s="1059">
        <f t="shared" si="32"/>
        <v>0</v>
      </c>
      <c r="AO52" s="1059">
        <f t="shared" si="32"/>
        <v>0</v>
      </c>
      <c r="AP52" s="1059">
        <f t="shared" si="32"/>
        <v>0</v>
      </c>
      <c r="AQ52" s="1059">
        <f t="shared" si="32"/>
        <v>0</v>
      </c>
      <c r="AR52" s="1059">
        <f t="shared" si="32"/>
        <v>0</v>
      </c>
      <c r="AS52" s="1059">
        <f>AS23*AS39</f>
        <v>0</v>
      </c>
      <c r="AT52" s="1059">
        <f t="shared" ref="AT52" si="33">AT23*AT39</f>
        <v>0</v>
      </c>
      <c r="AU52" s="1282">
        <f t="shared" si="21"/>
        <v>0</v>
      </c>
    </row>
    <row r="53" spans="1:54" ht="15.6">
      <c r="A53" s="1769" t="str">
        <f t="shared" si="16"/>
        <v>Farm Sales</v>
      </c>
      <c r="S53" s="1059">
        <f>S24*S39</f>
        <v>0</v>
      </c>
      <c r="T53" s="1059">
        <f t="shared" ref="T53:AR53" si="34">T24*T39</f>
        <v>0</v>
      </c>
      <c r="U53" s="1059">
        <f t="shared" si="34"/>
        <v>0</v>
      </c>
      <c r="V53" s="1059">
        <f t="shared" si="34"/>
        <v>0</v>
      </c>
      <c r="W53" s="1059">
        <f t="shared" si="34"/>
        <v>0</v>
      </c>
      <c r="X53" s="1059">
        <f t="shared" si="34"/>
        <v>0</v>
      </c>
      <c r="Y53" s="1059">
        <f t="shared" si="34"/>
        <v>0</v>
      </c>
      <c r="Z53" s="1059">
        <f t="shared" si="34"/>
        <v>0</v>
      </c>
      <c r="AA53" s="1059">
        <f t="shared" si="34"/>
        <v>0</v>
      </c>
      <c r="AB53" s="1059">
        <f t="shared" si="34"/>
        <v>0</v>
      </c>
      <c r="AC53" s="1059">
        <f t="shared" si="34"/>
        <v>0</v>
      </c>
      <c r="AD53" s="1059">
        <f t="shared" si="34"/>
        <v>0</v>
      </c>
      <c r="AE53" s="1059">
        <f t="shared" si="34"/>
        <v>0</v>
      </c>
      <c r="AF53" s="1059">
        <f t="shared" si="34"/>
        <v>0</v>
      </c>
      <c r="AG53" s="1059">
        <f t="shared" si="34"/>
        <v>0</v>
      </c>
      <c r="AH53" s="1059">
        <f t="shared" si="34"/>
        <v>0</v>
      </c>
      <c r="AI53" s="1059">
        <f t="shared" si="34"/>
        <v>0</v>
      </c>
      <c r="AJ53" s="1059">
        <f t="shared" si="34"/>
        <v>0</v>
      </c>
      <c r="AK53" s="1059">
        <f t="shared" si="34"/>
        <v>0</v>
      </c>
      <c r="AL53" s="1059">
        <f t="shared" si="34"/>
        <v>0</v>
      </c>
      <c r="AM53" s="1059">
        <f t="shared" si="34"/>
        <v>0</v>
      </c>
      <c r="AN53" s="1059">
        <f t="shared" si="34"/>
        <v>0</v>
      </c>
      <c r="AO53" s="1059">
        <f t="shared" si="34"/>
        <v>0</v>
      </c>
      <c r="AP53" s="1059">
        <f t="shared" si="34"/>
        <v>0</v>
      </c>
      <c r="AQ53" s="1059">
        <f t="shared" si="34"/>
        <v>0</v>
      </c>
      <c r="AR53" s="1059">
        <f t="shared" si="34"/>
        <v>0</v>
      </c>
      <c r="AS53" s="1059">
        <f>AS24*AS39</f>
        <v>0</v>
      </c>
      <c r="AT53" s="1059">
        <f t="shared" ref="AT53" si="35">AT24*AT39</f>
        <v>0</v>
      </c>
      <c r="AU53" s="1282">
        <f t="shared" si="21"/>
        <v>0</v>
      </c>
    </row>
    <row r="54" spans="1:54" ht="16.149999999999999" thickBot="1">
      <c r="A54" s="1769" t="str">
        <f t="shared" si="16"/>
        <v xml:space="preserve"> Colcom Sales</v>
      </c>
      <c r="S54" s="1059">
        <f>S25*S39</f>
        <v>0</v>
      </c>
      <c r="T54" s="1059">
        <f t="shared" ref="T54:AR54" si="36">T25*T39</f>
        <v>0</v>
      </c>
      <c r="U54" s="1059">
        <f t="shared" si="36"/>
        <v>0</v>
      </c>
      <c r="V54" s="1059">
        <f t="shared" si="36"/>
        <v>0</v>
      </c>
      <c r="W54" s="1059">
        <f t="shared" si="36"/>
        <v>0</v>
      </c>
      <c r="X54" s="1059">
        <f t="shared" si="36"/>
        <v>0</v>
      </c>
      <c r="Y54" s="1059">
        <f t="shared" si="36"/>
        <v>0</v>
      </c>
      <c r="Z54" s="1059">
        <f t="shared" si="36"/>
        <v>0</v>
      </c>
      <c r="AA54" s="1059">
        <f t="shared" si="36"/>
        <v>0</v>
      </c>
      <c r="AB54" s="1059">
        <f t="shared" si="36"/>
        <v>0</v>
      </c>
      <c r="AC54" s="1059">
        <f t="shared" si="36"/>
        <v>0</v>
      </c>
      <c r="AD54" s="1059">
        <f t="shared" si="36"/>
        <v>0</v>
      </c>
      <c r="AE54" s="1059">
        <f t="shared" si="36"/>
        <v>0</v>
      </c>
      <c r="AF54" s="1059">
        <f t="shared" si="36"/>
        <v>0</v>
      </c>
      <c r="AG54" s="1059">
        <f t="shared" si="36"/>
        <v>0</v>
      </c>
      <c r="AH54" s="1059">
        <f t="shared" si="36"/>
        <v>0</v>
      </c>
      <c r="AI54" s="1059">
        <f t="shared" si="36"/>
        <v>0</v>
      </c>
      <c r="AJ54" s="1059">
        <f t="shared" si="36"/>
        <v>0</v>
      </c>
      <c r="AK54" s="1059">
        <f t="shared" si="36"/>
        <v>0</v>
      </c>
      <c r="AL54" s="1059">
        <f t="shared" si="36"/>
        <v>0</v>
      </c>
      <c r="AM54" s="1059">
        <f t="shared" si="36"/>
        <v>0</v>
      </c>
      <c r="AN54" s="1059">
        <f t="shared" si="36"/>
        <v>0</v>
      </c>
      <c r="AO54" s="1059">
        <f t="shared" si="36"/>
        <v>-8645479.3928735722</v>
      </c>
      <c r="AP54" s="1059">
        <f t="shared" si="36"/>
        <v>-10351724.206331598</v>
      </c>
      <c r="AQ54" s="1059">
        <f t="shared" si="36"/>
        <v>-14177690.460766928</v>
      </c>
      <c r="AR54" s="1059">
        <f t="shared" si="36"/>
        <v>-13463050.28686288</v>
      </c>
      <c r="AS54" s="1059">
        <f>AS25*AS39</f>
        <v>-12526634.840413569</v>
      </c>
      <c r="AT54" s="1059">
        <f t="shared" ref="AT54" si="37">AT25*AT39</f>
        <v>-11140865.636445517</v>
      </c>
      <c r="AU54" s="1282">
        <f>SUM(B54:AT54)</f>
        <v>-70305444.823694065</v>
      </c>
    </row>
    <row r="55" spans="1:54" ht="16.149999999999999" thickBot="1">
      <c r="A55" s="1070" t="s">
        <v>1810</v>
      </c>
      <c r="B55" s="1555">
        <f t="shared" ref="B55:AT55" si="38">SUM(B41:B54)+B38</f>
        <v>1162.6121076233185</v>
      </c>
      <c r="C55" s="1555">
        <f t="shared" si="38"/>
        <v>1162.6121076233185</v>
      </c>
      <c r="D55" s="1555">
        <f t="shared" si="38"/>
        <v>1162.6121076233185</v>
      </c>
      <c r="E55" s="1555">
        <f t="shared" si="38"/>
        <v>1162.6121076233185</v>
      </c>
      <c r="F55" s="1555">
        <f t="shared" si="38"/>
        <v>1069.6031390134528</v>
      </c>
      <c r="G55" s="1555">
        <f t="shared" si="38"/>
        <v>455355.689296406</v>
      </c>
      <c r="H55" s="1555">
        <f t="shared" si="38"/>
        <v>455355.689296406</v>
      </c>
      <c r="I55" s="1555">
        <f t="shared" si="38"/>
        <v>455355.689296406</v>
      </c>
      <c r="J55" s="1555">
        <f t="shared" si="38"/>
        <v>455355.689296406</v>
      </c>
      <c r="K55" s="1555">
        <f t="shared" si="38"/>
        <v>868976.4483108751</v>
      </c>
      <c r="L55" s="1555">
        <f t="shared" si="38"/>
        <v>868976.4483108751</v>
      </c>
      <c r="M55" s="1555">
        <f t="shared" si="38"/>
        <v>868976.4483108751</v>
      </c>
      <c r="N55" s="1555">
        <f t="shared" si="38"/>
        <v>869208.97073239984</v>
      </c>
      <c r="O55" s="1555">
        <f t="shared" si="38"/>
        <v>1348473.5598697285</v>
      </c>
      <c r="P55" s="1555">
        <f t="shared" si="38"/>
        <v>1348473.5598697285</v>
      </c>
      <c r="Q55" s="1555">
        <f t="shared" si="38"/>
        <v>1348473.5598697285</v>
      </c>
      <c r="R55" s="1555">
        <f t="shared" si="38"/>
        <v>1349496.6585244371</v>
      </c>
      <c r="S55" s="1555">
        <f t="shared" si="38"/>
        <v>1399876.2332049096</v>
      </c>
      <c r="T55" s="1555">
        <f t="shared" si="38"/>
        <v>1671795.0291258257</v>
      </c>
      <c r="U55" s="1555">
        <f t="shared" si="38"/>
        <v>1673605.7546731213</v>
      </c>
      <c r="V55" s="1555">
        <f t="shared" si="38"/>
        <v>1605721.0962236514</v>
      </c>
      <c r="W55" s="1555">
        <f t="shared" si="38"/>
        <v>2045066.1789948207</v>
      </c>
      <c r="X55" s="1555">
        <f t="shared" si="38"/>
        <v>2432217.74927478</v>
      </c>
      <c r="Y55" s="1555">
        <f>SUM(Y41:Y54)+Y38</f>
        <v>3103251.9011733271</v>
      </c>
      <c r="Z55" s="1555">
        <f t="shared" si="38"/>
        <v>1834940.5832850835</v>
      </c>
      <c r="AA55" s="1555">
        <f t="shared" si="38"/>
        <v>993066.52833043528</v>
      </c>
      <c r="AB55" s="1555">
        <f t="shared" si="38"/>
        <v>736049.92344371218</v>
      </c>
      <c r="AC55" s="1555">
        <f t="shared" si="38"/>
        <v>5224503.7923227791</v>
      </c>
      <c r="AD55" s="1555">
        <f t="shared" si="38"/>
        <v>3899538.0730540152</v>
      </c>
      <c r="AE55" s="1555">
        <f t="shared" si="38"/>
        <v>4381316.8943642443</v>
      </c>
      <c r="AF55" s="1555">
        <f t="shared" si="38"/>
        <v>3910421.6229061321</v>
      </c>
      <c r="AG55" s="1555">
        <f t="shared" si="38"/>
        <v>4648428.9705176158</v>
      </c>
      <c r="AH55" s="1555">
        <f t="shared" si="38"/>
        <v>5720077.5895654475</v>
      </c>
      <c r="AI55" s="1555">
        <f t="shared" si="38"/>
        <v>7346893.380265845</v>
      </c>
      <c r="AJ55" s="1555">
        <f t="shared" si="38"/>
        <v>6563020.8160033664</v>
      </c>
      <c r="AK55" s="1555">
        <f t="shared" si="38"/>
        <v>8431952.2660467606</v>
      </c>
      <c r="AL55" s="1555">
        <f t="shared" si="38"/>
        <v>9592340.4137368314</v>
      </c>
      <c r="AM55" s="1555">
        <f t="shared" si="38"/>
        <v>10315318.016327191</v>
      </c>
      <c r="AN55" s="1555">
        <f t="shared" si="38"/>
        <v>9174210.0171780679</v>
      </c>
      <c r="AO55" s="1555">
        <f t="shared" si="38"/>
        <v>673673.71892521344</v>
      </c>
      <c r="AP55" s="1555">
        <f t="shared" si="38"/>
        <v>723896.79764556512</v>
      </c>
      <c r="AQ55" s="1555">
        <f t="shared" si="38"/>
        <v>0</v>
      </c>
      <c r="AR55" s="1555">
        <f t="shared" si="38"/>
        <v>0</v>
      </c>
      <c r="AS55" s="1555">
        <f t="shared" si="38"/>
        <v>0</v>
      </c>
      <c r="AT55" s="1555">
        <f t="shared" si="38"/>
        <v>0</v>
      </c>
      <c r="AU55" s="1558">
        <f>SUM(B55:AS55)</f>
        <v>108799381.80914253</v>
      </c>
      <c r="AV55" s="1066"/>
      <c r="AW55" s="1066"/>
      <c r="AX55" s="1066"/>
    </row>
    <row r="56" spans="1:54" ht="15.6">
      <c r="A56" s="1075"/>
      <c r="B56" s="1061"/>
      <c r="C56" s="1061"/>
      <c r="D56" s="1075"/>
      <c r="E56" s="1061"/>
      <c r="F56" s="1075"/>
      <c r="G56" s="1061"/>
      <c r="H56" s="1061"/>
      <c r="I56" s="1061"/>
      <c r="J56" s="1061"/>
      <c r="K56" s="1061"/>
      <c r="L56" s="1061"/>
      <c r="M56" s="1061"/>
      <c r="N56" s="1061"/>
      <c r="O56" s="1061"/>
      <c r="P56" s="1061"/>
      <c r="Q56" s="1061"/>
      <c r="R56" s="1061"/>
      <c r="S56" s="1061"/>
      <c r="T56" s="1061"/>
      <c r="U56" s="1061"/>
      <c r="V56" s="1061"/>
      <c r="W56" s="1061"/>
      <c r="X56" s="1061"/>
      <c r="Y56" s="1061"/>
      <c r="Z56" s="1061"/>
      <c r="AA56" s="1061"/>
      <c r="AB56" s="1061"/>
      <c r="AC56" s="1061"/>
      <c r="AD56" s="1061"/>
      <c r="AE56" s="1061"/>
      <c r="AF56" s="1061"/>
      <c r="AG56" s="1061"/>
      <c r="AH56" s="1061"/>
      <c r="AI56" s="1061"/>
      <c r="AJ56" s="1061"/>
      <c r="AK56" s="1061"/>
      <c r="AL56" s="1061"/>
      <c r="AM56" s="1061"/>
      <c r="AN56" s="1061"/>
      <c r="AO56" s="1061"/>
      <c r="AP56" s="1061"/>
      <c r="AQ56" s="1061"/>
      <c r="AR56" s="1061"/>
      <c r="AS56" s="1061"/>
      <c r="AT56" s="1061"/>
      <c r="AU56" s="1062"/>
      <c r="AV56" s="1061"/>
      <c r="AW56" s="1061"/>
      <c r="AX56" s="1061"/>
    </row>
    <row r="57" spans="1:54" ht="15.6">
      <c r="A57" s="1075" t="s">
        <v>1811</v>
      </c>
      <c r="B57" s="1061"/>
      <c r="C57" s="1061"/>
      <c r="D57" s="1075" t="s">
        <v>1812</v>
      </c>
      <c r="E57" s="1061"/>
      <c r="F57" s="1075" t="s">
        <v>62</v>
      </c>
      <c r="G57" s="1061"/>
      <c r="H57" s="1061"/>
      <c r="I57" s="1061"/>
      <c r="J57" s="1061"/>
      <c r="K57" s="1061"/>
      <c r="L57" s="1061"/>
      <c r="M57" s="1061"/>
      <c r="N57" s="1061"/>
      <c r="O57" s="1061"/>
      <c r="P57" s="1061"/>
      <c r="Q57" s="1061"/>
      <c r="R57" s="1061"/>
      <c r="S57" s="1061"/>
      <c r="T57" s="1061"/>
      <c r="U57" s="1061"/>
      <c r="V57" s="1061"/>
      <c r="W57" s="1061"/>
      <c r="X57" s="1061"/>
      <c r="Y57" s="1061"/>
      <c r="Z57" s="1061"/>
      <c r="AA57" s="1061"/>
      <c r="AB57" s="1061"/>
      <c r="AC57" s="1061"/>
      <c r="AD57" s="1061"/>
      <c r="AE57" s="1061"/>
      <c r="AF57" s="1061"/>
      <c r="AG57" s="1061"/>
      <c r="AH57" s="1061"/>
      <c r="AI57" s="1061"/>
      <c r="AJ57" s="1061"/>
      <c r="AK57" s="1061"/>
      <c r="AL57" s="1061"/>
      <c r="AM57" s="1061"/>
      <c r="AN57" s="1061"/>
      <c r="AO57" s="1061"/>
      <c r="AP57" s="1061"/>
      <c r="AQ57" s="1061"/>
      <c r="AR57" s="1061"/>
      <c r="AS57" s="1061"/>
      <c r="AT57" s="1061"/>
      <c r="AU57" s="1062"/>
      <c r="AV57" s="1061"/>
      <c r="AW57" s="1061"/>
      <c r="AX57" s="1061"/>
    </row>
    <row r="58" spans="1:54">
      <c r="A58" s="1061" t="s">
        <v>1813</v>
      </c>
      <c r="B58" s="1064">
        <f>+'Feed Cost &amp; Allocation'!T74</f>
        <v>0</v>
      </c>
      <c r="C58" s="1061"/>
      <c r="D58" s="1061"/>
      <c r="E58" s="1061"/>
      <c r="F58" s="1061"/>
      <c r="G58" s="1061"/>
      <c r="H58" s="1061"/>
      <c r="I58" s="1061"/>
      <c r="J58" s="1061"/>
      <c r="K58" s="1061"/>
      <c r="L58" s="1061"/>
      <c r="M58" s="1061"/>
      <c r="N58" s="1061"/>
      <c r="O58" s="1061"/>
      <c r="P58" s="1061"/>
      <c r="Q58" s="1061"/>
      <c r="R58" s="1061"/>
      <c r="S58" s="1061"/>
      <c r="T58" s="1061"/>
      <c r="U58" s="1061"/>
      <c r="V58" s="1061"/>
      <c r="W58" s="1061"/>
      <c r="X58" s="1061"/>
      <c r="Y58" s="1061"/>
      <c r="Z58" s="1061"/>
      <c r="AA58" s="1061"/>
      <c r="AB58" s="1061"/>
      <c r="AC58" s="1061"/>
      <c r="AD58" s="1061"/>
      <c r="AE58" s="1061"/>
      <c r="AF58" s="1061"/>
      <c r="AG58" s="1061"/>
      <c r="AH58" s="1061"/>
      <c r="AI58" s="1061"/>
      <c r="AJ58" s="1061"/>
      <c r="AK58" s="1061"/>
      <c r="AL58" s="1061"/>
      <c r="AM58" s="1061"/>
      <c r="AN58" s="1061"/>
      <c r="AO58" s="1061"/>
      <c r="AP58" s="1061"/>
      <c r="AQ58" s="1061"/>
      <c r="AR58" s="1061"/>
      <c r="AS58" s="1061"/>
      <c r="AT58" s="1061"/>
      <c r="AU58" s="1062"/>
      <c r="AV58" s="1061"/>
      <c r="AW58" s="1061"/>
      <c r="AX58" s="1061"/>
    </row>
    <row r="59" spans="1:54">
      <c r="A59" s="1061" t="s">
        <v>60</v>
      </c>
      <c r="B59" s="1064">
        <f>+'Feed Cost &amp; Allocation'!K74</f>
        <v>15999</v>
      </c>
      <c r="C59" s="1061"/>
      <c r="D59" s="1064">
        <f>+'Feed Cost &amp; Allocation'!L74</f>
        <v>12835</v>
      </c>
      <c r="E59" s="1061"/>
      <c r="F59" s="1064">
        <f>+'Feed Cost &amp; Allocation'!C74</f>
        <v>6400</v>
      </c>
      <c r="G59" s="1061"/>
      <c r="H59" s="1061"/>
      <c r="I59" s="1061"/>
      <c r="J59" s="1061"/>
      <c r="K59" s="1061"/>
      <c r="L59" s="1061"/>
      <c r="M59" s="1061"/>
      <c r="N59" s="1061"/>
      <c r="O59" s="1061"/>
      <c r="P59" s="1061"/>
      <c r="Q59" s="1061"/>
      <c r="R59" s="1061"/>
      <c r="S59" s="1061"/>
      <c r="T59" s="1061"/>
      <c r="U59" s="1061"/>
      <c r="V59" s="1061"/>
      <c r="W59" s="1061"/>
      <c r="X59" s="1061"/>
      <c r="Y59" s="1061"/>
      <c r="Z59" s="1061"/>
      <c r="AA59" s="1061"/>
      <c r="AB59" s="1061"/>
      <c r="AC59" s="1061"/>
      <c r="AD59" s="1061"/>
      <c r="AE59" s="1061"/>
      <c r="AF59" s="1061"/>
      <c r="AG59" s="1061"/>
      <c r="AH59" s="1061"/>
      <c r="AI59" s="1061"/>
      <c r="AJ59" s="1061"/>
      <c r="AK59" s="1061"/>
      <c r="AL59" s="1061"/>
      <c r="AM59" s="1061"/>
      <c r="AN59" s="1061"/>
      <c r="AO59" s="1061"/>
      <c r="AP59" s="1061"/>
      <c r="AQ59" s="1061"/>
      <c r="AR59" s="1061"/>
      <c r="AS59" s="1061"/>
      <c r="AT59" s="1061"/>
      <c r="AU59" s="1062"/>
      <c r="AV59" s="1061"/>
      <c r="AW59" s="1061"/>
      <c r="AX59" s="1061"/>
    </row>
    <row r="60" spans="1:54">
      <c r="A60" s="1061" t="s">
        <v>1829</v>
      </c>
      <c r="B60" s="1064">
        <f>+'Feed Cost &amp; Allocation'!O74</f>
        <v>4742</v>
      </c>
      <c r="C60" s="1061"/>
      <c r="D60" s="1064">
        <f>+'Feed Cost &amp; Allocation'!M74</f>
        <v>3019</v>
      </c>
      <c r="E60" s="1061"/>
      <c r="F60" s="1064">
        <f>SUM(W20:Z20)/(SUM(W26:Z26)-SUM(W20:Z20))*F59</f>
        <v>0</v>
      </c>
      <c r="G60" s="1061"/>
      <c r="H60" s="1061"/>
      <c r="I60" s="1061"/>
      <c r="J60" s="1061"/>
      <c r="K60" s="1061"/>
      <c r="L60" s="1061"/>
      <c r="M60" s="1061"/>
      <c r="N60" s="1061"/>
      <c r="O60" s="1061"/>
      <c r="P60" s="1061"/>
      <c r="Q60" s="1061"/>
      <c r="R60" s="1061"/>
      <c r="S60" s="1061"/>
      <c r="T60" s="1061"/>
      <c r="U60" s="1061"/>
      <c r="V60" s="1061"/>
      <c r="W60" s="1061"/>
      <c r="X60" s="1061"/>
      <c r="Y60" s="1061"/>
      <c r="Z60" s="1061"/>
      <c r="AA60" s="1061"/>
      <c r="AB60" s="1061"/>
      <c r="AC60" s="1061"/>
      <c r="AD60" s="1061"/>
      <c r="AE60" s="1061"/>
      <c r="AF60" s="1061"/>
      <c r="AG60" s="1061"/>
      <c r="AH60" s="1061"/>
      <c r="AI60" s="1061"/>
      <c r="AJ60" s="1061"/>
      <c r="AK60" s="1061"/>
      <c r="AL60" s="1061"/>
      <c r="AM60" s="1061"/>
      <c r="AN60" s="1061"/>
      <c r="AO60" s="1061"/>
      <c r="AP60" s="1061"/>
      <c r="AQ60" s="1061"/>
      <c r="AR60" s="1061"/>
      <c r="AS60" s="1061"/>
      <c r="AT60" s="1061"/>
      <c r="AU60" s="1062"/>
      <c r="AV60" s="1061"/>
      <c r="AW60" s="1061"/>
      <c r="AX60" s="1061"/>
    </row>
    <row r="61" spans="1:54" ht="15.6">
      <c r="A61" s="1075" t="s">
        <v>71</v>
      </c>
      <c r="B61" s="1076">
        <f>SUM(B58:B60)</f>
        <v>20741</v>
      </c>
      <c r="C61" s="1061"/>
      <c r="D61" s="1076">
        <f>SUM(D58:D60)</f>
        <v>15854</v>
      </c>
      <c r="E61" s="1061"/>
      <c r="F61" s="1064">
        <f>SUM(F59:F60)</f>
        <v>6400</v>
      </c>
      <c r="G61" s="1061"/>
      <c r="H61" s="1061"/>
      <c r="I61" s="1061"/>
      <c r="J61" s="1061"/>
      <c r="K61" s="1061"/>
      <c r="L61" s="1061"/>
      <c r="M61" s="1061"/>
      <c r="N61" s="1061"/>
      <c r="O61" s="1061"/>
      <c r="P61" s="1061"/>
      <c r="Q61" s="1061"/>
      <c r="R61" s="1061"/>
      <c r="S61" s="1061"/>
      <c r="T61" s="1061"/>
      <c r="U61" s="1061"/>
      <c r="V61" s="1061"/>
      <c r="W61" s="1061"/>
      <c r="X61" s="1061"/>
      <c r="Y61" s="1061"/>
      <c r="Z61" s="1061"/>
      <c r="AA61" s="1061"/>
      <c r="AB61" s="1061"/>
      <c r="AC61" s="1061"/>
      <c r="AD61" s="1061"/>
      <c r="AE61" s="1061"/>
      <c r="AF61" s="1061"/>
      <c r="AG61" s="1061"/>
      <c r="AH61" s="1061"/>
      <c r="AI61" s="1061"/>
      <c r="AJ61" s="1061"/>
      <c r="AK61" s="1061"/>
      <c r="AL61" s="1061"/>
      <c r="AM61" s="1061"/>
      <c r="AN61" s="1061"/>
      <c r="AO61" s="1061"/>
      <c r="AP61" s="1061"/>
      <c r="AQ61" s="1061"/>
      <c r="AR61" s="1061"/>
      <c r="AS61" s="1061"/>
      <c r="AT61" s="1061"/>
      <c r="AU61" s="1062"/>
      <c r="AV61" s="1061"/>
      <c r="AW61" s="1061"/>
      <c r="AX61" s="1061"/>
    </row>
    <row r="62" spans="1:54">
      <c r="A62" s="1061"/>
      <c r="B62" s="1061"/>
      <c r="C62" s="1061"/>
      <c r="D62" s="1061"/>
      <c r="E62" s="1061"/>
      <c r="F62" s="1061"/>
      <c r="G62" s="1061"/>
      <c r="H62" s="1061"/>
      <c r="I62" s="1061"/>
      <c r="J62" s="1061"/>
      <c r="K62" s="1061"/>
      <c r="L62" s="1061"/>
      <c r="M62" s="1061"/>
      <c r="N62" s="1061"/>
      <c r="O62" s="1061"/>
      <c r="P62" s="1061"/>
      <c r="Q62" s="1061"/>
      <c r="R62" s="1061"/>
      <c r="S62" s="1061"/>
      <c r="T62" s="1061"/>
      <c r="U62" s="1061"/>
      <c r="V62" s="1061"/>
      <c r="W62" s="1061"/>
      <c r="X62" s="1061"/>
      <c r="Y62" s="1061"/>
      <c r="Z62" s="1061"/>
      <c r="AA62" s="1061"/>
      <c r="AB62" s="1061"/>
      <c r="AC62" s="1061"/>
      <c r="AD62" s="1061"/>
      <c r="AE62" s="1061"/>
      <c r="AF62" s="1061"/>
      <c r="AG62" s="1061"/>
      <c r="AH62" s="1061"/>
      <c r="AI62" s="1061"/>
      <c r="AJ62" s="1061"/>
      <c r="AK62" s="1061"/>
      <c r="AL62" s="1061"/>
      <c r="AM62" s="1061"/>
      <c r="AN62" s="1061"/>
      <c r="AO62" s="1061"/>
      <c r="AP62" s="1061"/>
      <c r="AQ62" s="1061"/>
      <c r="AR62" s="1061"/>
      <c r="AS62" s="1061"/>
      <c r="AT62" s="1061"/>
      <c r="AU62" s="1062"/>
      <c r="AV62" s="1061"/>
      <c r="AW62" s="1061"/>
      <c r="AX62" s="1061"/>
    </row>
    <row r="63" spans="1:54" ht="15.6">
      <c r="A63" s="1077" t="s">
        <v>1815</v>
      </c>
      <c r="B63" s="1077" t="str">
        <f t="shared" ref="B63:AA63" si="39">B3</f>
        <v>DRY SOW</v>
      </c>
      <c r="C63" s="1077" t="str">
        <f t="shared" si="39"/>
        <v>DRY SOW</v>
      </c>
      <c r="D63" s="1077" t="str">
        <f t="shared" si="39"/>
        <v>DRY SOW</v>
      </c>
      <c r="E63" s="1078" t="str">
        <f t="shared" si="39"/>
        <v>DRY SOW</v>
      </c>
      <c r="F63" s="1078" t="str">
        <f t="shared" si="39"/>
        <v>DRY SOW</v>
      </c>
      <c r="G63" s="1078" t="str">
        <f t="shared" si="39"/>
        <v>DRY SOW</v>
      </c>
      <c r="H63" s="1078" t="str">
        <f t="shared" si="39"/>
        <v>DRY SOW</v>
      </c>
      <c r="I63" s="1078" t="str">
        <f t="shared" si="39"/>
        <v>DRY SOW</v>
      </c>
      <c r="J63" s="1078" t="str">
        <f t="shared" si="39"/>
        <v>DRY SOW</v>
      </c>
      <c r="K63" s="1078" t="str">
        <f t="shared" si="39"/>
        <v>DRY SOW</v>
      </c>
      <c r="L63" s="1078" t="str">
        <f t="shared" si="39"/>
        <v>DRY SOW</v>
      </c>
      <c r="M63" s="1078" t="str">
        <f t="shared" si="39"/>
        <v>DRY SOW</v>
      </c>
      <c r="N63" s="1078" t="str">
        <f t="shared" si="39"/>
        <v>DRY SOW</v>
      </c>
      <c r="O63" s="1078" t="str">
        <f t="shared" si="39"/>
        <v>DRY SOW</v>
      </c>
      <c r="P63" s="1078" t="str">
        <f t="shared" si="39"/>
        <v>DRY SOW</v>
      </c>
      <c r="Q63" s="1078" t="str">
        <f t="shared" si="39"/>
        <v>DRY SOW</v>
      </c>
      <c r="R63" s="1078" t="str">
        <f t="shared" si="39"/>
        <v>Flush</v>
      </c>
      <c r="S63" s="1078" t="str">
        <f t="shared" si="39"/>
        <v>LACTATE</v>
      </c>
      <c r="T63" s="1078" t="str">
        <f t="shared" si="39"/>
        <v>LACTATE</v>
      </c>
      <c r="U63" s="1078" t="str">
        <f t="shared" si="39"/>
        <v>LACTATE</v>
      </c>
      <c r="V63" s="1078" t="str">
        <f t="shared" si="39"/>
        <v>Early Wean</v>
      </c>
      <c r="W63" s="1078" t="str">
        <f t="shared" si="39"/>
        <v>Early Wean</v>
      </c>
      <c r="X63" s="1078" t="str">
        <f t="shared" si="39"/>
        <v>CREEP</v>
      </c>
      <c r="Y63" s="1078" t="str">
        <f t="shared" si="39"/>
        <v>CREEP</v>
      </c>
      <c r="Z63" s="1078" t="str">
        <f t="shared" si="39"/>
        <v>WEANER</v>
      </c>
      <c r="AA63" s="1078" t="str">
        <f t="shared" si="39"/>
        <v>WEANER</v>
      </c>
      <c r="AB63" s="1078" t="str">
        <f>AA63</f>
        <v>WEANER</v>
      </c>
      <c r="AC63" s="1078" t="str">
        <f>AB63</f>
        <v>WEANER</v>
      </c>
      <c r="AD63" s="1078" t="str">
        <f t="shared" ref="AD63:AN63" si="40">AD3</f>
        <v>GROWER 1</v>
      </c>
      <c r="AE63" s="1078" t="str">
        <f t="shared" si="40"/>
        <v>GROWER 1</v>
      </c>
      <c r="AF63" s="1078" t="str">
        <f t="shared" si="40"/>
        <v>GROWER 2</v>
      </c>
      <c r="AG63" s="1078" t="str">
        <f t="shared" si="40"/>
        <v>GROWER 2</v>
      </c>
      <c r="AH63" s="1078" t="str">
        <f t="shared" si="40"/>
        <v>GROWER 3</v>
      </c>
      <c r="AI63" s="1078" t="str">
        <f t="shared" si="40"/>
        <v>GROWER 3</v>
      </c>
      <c r="AJ63" s="1078" t="str">
        <f t="shared" si="40"/>
        <v>GROWER 3</v>
      </c>
      <c r="AK63" s="1078" t="str">
        <f t="shared" si="40"/>
        <v>FINISHER</v>
      </c>
      <c r="AL63" s="1078" t="str">
        <f t="shared" si="40"/>
        <v>FINISHER</v>
      </c>
      <c r="AM63" s="1078" t="str">
        <f t="shared" si="40"/>
        <v>FINISHER</v>
      </c>
      <c r="AN63" s="1078" t="str">
        <f t="shared" si="40"/>
        <v>FINISHER</v>
      </c>
      <c r="AO63" s="1078" t="s">
        <v>71</v>
      </c>
      <c r="AP63" s="1079"/>
      <c r="AQ63" s="1079"/>
      <c r="AR63" s="1079"/>
      <c r="AS63" s="1066"/>
      <c r="AT63" s="1066"/>
      <c r="AU63" s="1068"/>
      <c r="AV63" s="1066"/>
      <c r="AW63" s="1066"/>
      <c r="AX63" s="1066"/>
    </row>
    <row r="64" spans="1:54" ht="15.6">
      <c r="A64" s="1077" t="s">
        <v>1816</v>
      </c>
      <c r="B64" s="1077">
        <v>7</v>
      </c>
      <c r="C64" s="1077">
        <v>7</v>
      </c>
      <c r="D64" s="1077">
        <v>7</v>
      </c>
      <c r="E64" s="1077">
        <v>7</v>
      </c>
      <c r="F64" s="1077">
        <v>7</v>
      </c>
      <c r="G64" s="1077">
        <v>7</v>
      </c>
      <c r="H64" s="1077">
        <v>7</v>
      </c>
      <c r="I64" s="1077">
        <v>7</v>
      </c>
      <c r="J64" s="1077">
        <v>7</v>
      </c>
      <c r="K64" s="1077">
        <v>7</v>
      </c>
      <c r="L64" s="1077">
        <v>7</v>
      </c>
      <c r="M64" s="1077">
        <v>7</v>
      </c>
      <c r="N64" s="1077">
        <v>7</v>
      </c>
      <c r="O64" s="1077">
        <v>7</v>
      </c>
      <c r="P64" s="1077">
        <v>7</v>
      </c>
      <c r="Q64" s="1077">
        <v>7</v>
      </c>
      <c r="R64" s="1077">
        <v>7</v>
      </c>
      <c r="S64" s="1077">
        <v>7</v>
      </c>
      <c r="T64" s="1077">
        <v>7</v>
      </c>
      <c r="U64" s="1077">
        <v>7</v>
      </c>
      <c r="V64" s="1077">
        <v>7</v>
      </c>
      <c r="W64" s="1077">
        <v>7</v>
      </c>
      <c r="X64" s="1077">
        <v>7</v>
      </c>
      <c r="Y64" s="1077">
        <v>7</v>
      </c>
      <c r="Z64" s="1077">
        <v>7</v>
      </c>
      <c r="AA64" s="1077">
        <v>7</v>
      </c>
      <c r="AB64" s="1077">
        <v>7</v>
      </c>
      <c r="AC64" s="1077">
        <v>7</v>
      </c>
      <c r="AD64" s="1077">
        <v>7</v>
      </c>
      <c r="AE64" s="1077">
        <v>7</v>
      </c>
      <c r="AF64" s="1077">
        <v>7</v>
      </c>
      <c r="AG64" s="1077">
        <v>7</v>
      </c>
      <c r="AH64" s="1077">
        <v>7</v>
      </c>
      <c r="AI64" s="1077">
        <v>7</v>
      </c>
      <c r="AJ64" s="1077">
        <v>7</v>
      </c>
      <c r="AK64" s="1077">
        <v>7</v>
      </c>
      <c r="AL64" s="1077">
        <v>7</v>
      </c>
      <c r="AM64" s="1077">
        <v>7</v>
      </c>
      <c r="AN64" s="1077">
        <v>7</v>
      </c>
      <c r="AO64" s="1077"/>
      <c r="AP64" s="1066"/>
      <c r="AQ64" s="1066"/>
      <c r="AR64" s="1066"/>
      <c r="AS64" s="1066"/>
      <c r="AT64" s="1066"/>
      <c r="AU64" s="1068"/>
      <c r="AV64" s="1066"/>
      <c r="AW64" s="1066"/>
      <c r="AX64" s="1066"/>
      <c r="BB64" s="818">
        <f>+AT54+'Grasmere Pig Cost'!AT61</f>
        <v>-11140865.636445517</v>
      </c>
    </row>
    <row r="65" spans="1:50" ht="15.6">
      <c r="A65" s="1077" t="s">
        <v>1817</v>
      </c>
      <c r="B65" s="1077">
        <v>2.5</v>
      </c>
      <c r="C65" s="1077">
        <v>2.5</v>
      </c>
      <c r="D65" s="1077">
        <v>2.5</v>
      </c>
      <c r="E65" s="1077">
        <v>2.5</v>
      </c>
      <c r="F65" s="1077">
        <v>2.2999999999999998</v>
      </c>
      <c r="G65" s="1077">
        <v>2.2999999999999998</v>
      </c>
      <c r="H65" s="1077">
        <v>2.2999999999999998</v>
      </c>
      <c r="I65" s="1077">
        <v>2.2999999999999998</v>
      </c>
      <c r="J65" s="1077">
        <v>2.2999999999999998</v>
      </c>
      <c r="K65" s="1077">
        <v>2.2999999999999998</v>
      </c>
      <c r="L65" s="1077">
        <v>2.2999999999999998</v>
      </c>
      <c r="M65" s="1077">
        <v>2.2999999999999998</v>
      </c>
      <c r="N65" s="1077">
        <v>2.8</v>
      </c>
      <c r="O65" s="1077">
        <v>2.8</v>
      </c>
      <c r="P65" s="1077">
        <v>2.8</v>
      </c>
      <c r="Q65" s="1077">
        <v>2.8</v>
      </c>
      <c r="R65" s="1077">
        <v>5</v>
      </c>
      <c r="S65" s="1080">
        <v>3</v>
      </c>
      <c r="T65" s="1080">
        <v>5.5</v>
      </c>
      <c r="U65" s="1080">
        <v>7</v>
      </c>
      <c r="V65" s="1080">
        <v>9.5</v>
      </c>
      <c r="W65" s="1077">
        <v>0.35</v>
      </c>
      <c r="X65" s="1077">
        <v>0.5</v>
      </c>
      <c r="Y65" s="1077">
        <v>0.6</v>
      </c>
      <c r="Z65" s="1077">
        <v>0.9</v>
      </c>
      <c r="AA65" s="1077">
        <v>1.1000000000000001</v>
      </c>
      <c r="AB65" s="1077">
        <v>1.2</v>
      </c>
      <c r="AC65" s="1080">
        <v>1.4</v>
      </c>
      <c r="AD65" s="1080">
        <v>1.6</v>
      </c>
      <c r="AE65" s="1080">
        <v>1.8</v>
      </c>
      <c r="AF65" s="1080">
        <v>2</v>
      </c>
      <c r="AG65" s="1080">
        <v>2.2000000000000002</v>
      </c>
      <c r="AH65" s="1080">
        <v>2.2999999999999998</v>
      </c>
      <c r="AI65" s="1080">
        <v>2.4</v>
      </c>
      <c r="AJ65" s="1080">
        <v>2.5</v>
      </c>
      <c r="AK65" s="1080">
        <v>2.7</v>
      </c>
      <c r="AL65" s="1080">
        <v>2.9</v>
      </c>
      <c r="AM65" s="1080">
        <v>3</v>
      </c>
      <c r="AN65" s="1080">
        <v>3</v>
      </c>
      <c r="AO65" s="1080"/>
      <c r="AP65" s="1073"/>
      <c r="AQ65" s="1073"/>
      <c r="AR65" s="1073"/>
      <c r="AS65" s="1066"/>
      <c r="AT65" s="1066"/>
      <c r="AU65" s="1068"/>
      <c r="AV65" s="1066"/>
      <c r="AW65" s="1066"/>
      <c r="AX65" s="1066"/>
    </row>
    <row r="66" spans="1:50" ht="15.6">
      <c r="A66" s="1077" t="s">
        <v>1818</v>
      </c>
      <c r="B66" s="1081">
        <f>'Summary Total Pigs'!AF93/17*4</f>
        <v>101.88235294117646</v>
      </c>
      <c r="C66" s="1081">
        <f>B66</f>
        <v>101.88235294117646</v>
      </c>
      <c r="D66" s="1081">
        <f t="shared" ref="D66:R66" si="41">C66</f>
        <v>101.88235294117646</v>
      </c>
      <c r="E66" s="1081">
        <f>D66</f>
        <v>101.88235294117646</v>
      </c>
      <c r="F66" s="1081">
        <f t="shared" si="41"/>
        <v>101.88235294117646</v>
      </c>
      <c r="G66" s="1081">
        <f t="shared" si="41"/>
        <v>101.88235294117646</v>
      </c>
      <c r="H66" s="1081">
        <f t="shared" si="41"/>
        <v>101.88235294117646</v>
      </c>
      <c r="I66" s="1081">
        <f t="shared" si="41"/>
        <v>101.88235294117646</v>
      </c>
      <c r="J66" s="1081">
        <f t="shared" si="41"/>
        <v>101.88235294117646</v>
      </c>
      <c r="K66" s="1081">
        <f t="shared" si="41"/>
        <v>101.88235294117646</v>
      </c>
      <c r="L66" s="1081">
        <f t="shared" si="41"/>
        <v>101.88235294117646</v>
      </c>
      <c r="M66" s="1081">
        <f t="shared" si="41"/>
        <v>101.88235294117646</v>
      </c>
      <c r="N66" s="1081">
        <f t="shared" si="41"/>
        <v>101.88235294117646</v>
      </c>
      <c r="O66" s="1081">
        <f t="shared" si="41"/>
        <v>101.88235294117646</v>
      </c>
      <c r="P66" s="1081">
        <f t="shared" si="41"/>
        <v>101.88235294117646</v>
      </c>
      <c r="Q66" s="1081">
        <f t="shared" si="41"/>
        <v>101.88235294117646</v>
      </c>
      <c r="R66" s="1081">
        <f t="shared" si="41"/>
        <v>101.88235294117646</v>
      </c>
      <c r="S66" s="1081">
        <f>R66</f>
        <v>101.88235294117646</v>
      </c>
      <c r="T66" s="1081">
        <f>S66</f>
        <v>101.88235294117646</v>
      </c>
      <c r="U66" s="1081">
        <f>T66</f>
        <v>101.88235294117646</v>
      </c>
      <c r="V66" s="1081">
        <f>U66</f>
        <v>101.88235294117646</v>
      </c>
      <c r="W66" s="1081">
        <f t="shared" ref="W66:AM66" si="42">SUM(W7:Z7)</f>
        <v>849</v>
      </c>
      <c r="X66" s="1081">
        <f t="shared" si="42"/>
        <v>1127</v>
      </c>
      <c r="Y66" s="1081">
        <f t="shared" si="42"/>
        <v>1085</v>
      </c>
      <c r="Z66" s="1081">
        <f t="shared" si="42"/>
        <v>1039</v>
      </c>
      <c r="AA66" s="1081">
        <f t="shared" si="42"/>
        <v>935</v>
      </c>
      <c r="AB66" s="1081">
        <f t="shared" si="42"/>
        <v>835</v>
      </c>
      <c r="AC66" s="1081">
        <f t="shared" si="42"/>
        <v>744</v>
      </c>
      <c r="AD66" s="1081">
        <f t="shared" si="42"/>
        <v>706</v>
      </c>
      <c r="AE66" s="1081">
        <f t="shared" si="42"/>
        <v>712</v>
      </c>
      <c r="AF66" s="1081">
        <f t="shared" si="42"/>
        <v>703</v>
      </c>
      <c r="AG66" s="1081">
        <f t="shared" si="42"/>
        <v>685</v>
      </c>
      <c r="AH66" s="1081">
        <f t="shared" si="42"/>
        <v>683</v>
      </c>
      <c r="AI66" s="1081">
        <f t="shared" si="42"/>
        <v>673</v>
      </c>
      <c r="AJ66" s="1081">
        <f t="shared" si="42"/>
        <v>671</v>
      </c>
      <c r="AK66" s="1081">
        <f t="shared" si="42"/>
        <v>665</v>
      </c>
      <c r="AL66" s="1081">
        <f t="shared" si="42"/>
        <v>663</v>
      </c>
      <c r="AM66" s="1081">
        <f t="shared" si="42"/>
        <v>661</v>
      </c>
      <c r="AN66" s="1081">
        <f>SUM(AN7:AQ7)</f>
        <v>672</v>
      </c>
      <c r="AO66" s="1077"/>
      <c r="AP66" s="1066"/>
      <c r="AQ66" s="1066"/>
      <c r="AR66" s="1066"/>
      <c r="AS66" s="1066"/>
      <c r="AT66" s="1066"/>
      <c r="AU66" s="1068"/>
      <c r="AV66" s="1066"/>
      <c r="AW66" s="1066"/>
      <c r="AX66" s="1066"/>
    </row>
    <row r="67" spans="1:50" ht="15.6">
      <c r="A67" s="1077" t="s">
        <v>1819</v>
      </c>
      <c r="B67" s="1081">
        <f>B64*B65*B66</f>
        <v>1782.9411764705881</v>
      </c>
      <c r="C67" s="1081">
        <f t="shared" ref="C67:Q67" si="43">C64*C65*C66</f>
        <v>1782.9411764705881</v>
      </c>
      <c r="D67" s="1081">
        <f t="shared" si="43"/>
        <v>1782.9411764705881</v>
      </c>
      <c r="E67" s="1081">
        <f t="shared" si="43"/>
        <v>1782.9411764705881</v>
      </c>
      <c r="F67" s="1081">
        <f t="shared" si="43"/>
        <v>1640.3058823529409</v>
      </c>
      <c r="G67" s="1081">
        <f>G64*G65*G66</f>
        <v>1640.3058823529409</v>
      </c>
      <c r="H67" s="1081">
        <f t="shared" si="43"/>
        <v>1640.3058823529409</v>
      </c>
      <c r="I67" s="1081">
        <f t="shared" si="43"/>
        <v>1640.3058823529409</v>
      </c>
      <c r="J67" s="1081">
        <f t="shared" si="43"/>
        <v>1640.3058823529409</v>
      </c>
      <c r="K67" s="1081">
        <f>K64*K65*K66</f>
        <v>1640.3058823529409</v>
      </c>
      <c r="L67" s="1081">
        <f t="shared" si="43"/>
        <v>1640.3058823529409</v>
      </c>
      <c r="M67" s="1081">
        <f t="shared" si="43"/>
        <v>1640.3058823529409</v>
      </c>
      <c r="N67" s="1081">
        <f t="shared" si="43"/>
        <v>1996.8941176470585</v>
      </c>
      <c r="O67" s="1081">
        <f t="shared" si="43"/>
        <v>1996.8941176470585</v>
      </c>
      <c r="P67" s="1081">
        <f t="shared" si="43"/>
        <v>1996.8941176470585</v>
      </c>
      <c r="Q67" s="1081">
        <f t="shared" si="43"/>
        <v>1996.8941176470585</v>
      </c>
      <c r="R67" s="1081">
        <f>R64*R65*R66</f>
        <v>3565.8823529411761</v>
      </c>
      <c r="S67" s="1081">
        <f>S64*S65*S66</f>
        <v>2139.5294117647059</v>
      </c>
      <c r="T67" s="1081">
        <f t="shared" ref="T67:AK67" si="44">T64*T65*T66</f>
        <v>3922.4705882352937</v>
      </c>
      <c r="U67" s="1081">
        <f t="shared" si="44"/>
        <v>4992.2352941176468</v>
      </c>
      <c r="V67" s="1081">
        <f>V64*V65*V66</f>
        <v>6775.1764705882351</v>
      </c>
      <c r="W67" s="1081">
        <f t="shared" si="44"/>
        <v>2080.0499999999997</v>
      </c>
      <c r="X67" s="1081">
        <f>X64*X65*X66</f>
        <v>3944.5</v>
      </c>
      <c r="Y67" s="1081">
        <f t="shared" si="44"/>
        <v>4557</v>
      </c>
      <c r="Z67" s="1081">
        <f t="shared" si="44"/>
        <v>6545.7</v>
      </c>
      <c r="AA67" s="1081">
        <f t="shared" si="44"/>
        <v>7199.5000000000009</v>
      </c>
      <c r="AB67" s="1081">
        <f t="shared" si="44"/>
        <v>7014</v>
      </c>
      <c r="AC67" s="1081">
        <f t="shared" si="44"/>
        <v>7291.1999999999989</v>
      </c>
      <c r="AD67" s="1081">
        <f t="shared" si="44"/>
        <v>7907.2000000000007</v>
      </c>
      <c r="AE67" s="1081">
        <f t="shared" si="44"/>
        <v>8971.1999999999989</v>
      </c>
      <c r="AF67" s="1081">
        <f t="shared" si="44"/>
        <v>9842</v>
      </c>
      <c r="AG67" s="1081">
        <f t="shared" si="44"/>
        <v>10549.000000000002</v>
      </c>
      <c r="AH67" s="1081">
        <f t="shared" si="44"/>
        <v>10996.3</v>
      </c>
      <c r="AI67" s="1081">
        <f t="shared" si="44"/>
        <v>11306.4</v>
      </c>
      <c r="AJ67" s="1081">
        <f t="shared" si="44"/>
        <v>11742.5</v>
      </c>
      <c r="AK67" s="1081">
        <f t="shared" si="44"/>
        <v>12568.500000000002</v>
      </c>
      <c r="AL67" s="1081">
        <f>AL64*AL65*AL66</f>
        <v>13458.9</v>
      </c>
      <c r="AM67" s="1081">
        <f>AM64*AM65*AM66</f>
        <v>13881</v>
      </c>
      <c r="AN67" s="1081">
        <f>AN64*AN65*AN66</f>
        <v>14112</v>
      </c>
      <c r="AO67" s="1081">
        <f>SUM(B67:AN67)</f>
        <v>213604.03235294114</v>
      </c>
      <c r="AP67" s="1066"/>
      <c r="AQ67" s="1066"/>
      <c r="AR67" s="1066"/>
      <c r="AS67" s="1066"/>
      <c r="AT67" s="1066"/>
      <c r="AU67" s="1068"/>
      <c r="AV67" s="1066"/>
      <c r="AW67" s="1066"/>
      <c r="AX67" s="1066"/>
    </row>
    <row r="68" spans="1:50" ht="15.6">
      <c r="A68" s="1077"/>
      <c r="B68" s="1081"/>
      <c r="C68" s="1081"/>
      <c r="D68" s="1081"/>
      <c r="E68" s="1081"/>
      <c r="F68" s="1081"/>
      <c r="G68" s="1081"/>
      <c r="H68" s="1081"/>
      <c r="I68" s="1081"/>
      <c r="J68" s="1081"/>
      <c r="K68" s="1081"/>
      <c r="L68" s="1081"/>
      <c r="M68" s="1081"/>
      <c r="N68" s="1081"/>
      <c r="O68" s="1081"/>
      <c r="P68" s="1081"/>
      <c r="Q68" s="1081"/>
      <c r="R68" s="1081">
        <f>SUM(B67:R67)</f>
        <v>31807.670588235291</v>
      </c>
      <c r="S68" s="1081"/>
      <c r="T68" s="1081"/>
      <c r="U68" s="1081">
        <f>SUM(S67:U67)</f>
        <v>11054.235294117647</v>
      </c>
      <c r="V68" s="1081"/>
      <c r="W68" s="1081">
        <f>SUM(V67:W67)</f>
        <v>8855.2264705882353</v>
      </c>
      <c r="X68" s="1081"/>
      <c r="Y68" s="1081">
        <f>SUM(X67:Y67)</f>
        <v>8501.5</v>
      </c>
      <c r="Z68" s="1081"/>
      <c r="AA68" s="1081">
        <v>0</v>
      </c>
      <c r="AB68" s="1081"/>
      <c r="AC68" s="1081">
        <f>SUM(Z67:AC67)</f>
        <v>28050.400000000001</v>
      </c>
      <c r="AD68" s="1081"/>
      <c r="AE68" s="1081">
        <f>SUM(AD67:AE67)</f>
        <v>16878.400000000001</v>
      </c>
      <c r="AF68" s="1081"/>
      <c r="AG68" s="1081">
        <f>SUM(AF67:AG67)</f>
        <v>20391</v>
      </c>
      <c r="AH68" s="1081"/>
      <c r="AI68" s="1081"/>
      <c r="AJ68" s="1081"/>
      <c r="AK68" s="1081"/>
      <c r="AL68" s="1081">
        <f>SUM(AH67:AL67)</f>
        <v>60072.6</v>
      </c>
      <c r="AM68" s="1081"/>
      <c r="AN68" s="1081">
        <f>SUM(AM67:AN67)</f>
        <v>27993</v>
      </c>
      <c r="AO68" s="1081">
        <f>SUM(B68:AN68)</f>
        <v>213604.03235294117</v>
      </c>
      <c r="AP68" s="1066"/>
      <c r="AQ68" s="1066"/>
      <c r="AR68" s="1066"/>
      <c r="AS68" s="1066"/>
      <c r="AT68" s="1066"/>
      <c r="AU68" s="1068"/>
      <c r="AV68" s="1066"/>
      <c r="AW68" s="1066"/>
      <c r="AX68" s="1066"/>
    </row>
    <row r="69" spans="1:50" ht="15.6">
      <c r="A69" s="1077" t="s">
        <v>1820</v>
      </c>
      <c r="B69" s="1082">
        <f>B67/$R$68</f>
        <v>5.6053811659192827E-2</v>
      </c>
      <c r="C69" s="1082">
        <f t="shared" ref="C69:R69" si="45">C67/$R$68</f>
        <v>5.6053811659192827E-2</v>
      </c>
      <c r="D69" s="1082">
        <f t="shared" si="45"/>
        <v>5.6053811659192827E-2</v>
      </c>
      <c r="E69" s="1082">
        <f t="shared" si="45"/>
        <v>5.6053811659192827E-2</v>
      </c>
      <c r="F69" s="1082">
        <f t="shared" si="45"/>
        <v>5.1569506726457395E-2</v>
      </c>
      <c r="G69" s="1082">
        <f t="shared" si="45"/>
        <v>5.1569506726457395E-2</v>
      </c>
      <c r="H69" s="1082">
        <f>H67/$R$68</f>
        <v>5.1569506726457395E-2</v>
      </c>
      <c r="I69" s="1082">
        <f t="shared" si="45"/>
        <v>5.1569506726457395E-2</v>
      </c>
      <c r="J69" s="1082">
        <f t="shared" si="45"/>
        <v>5.1569506726457395E-2</v>
      </c>
      <c r="K69" s="1082">
        <f>K67/$R$68</f>
        <v>5.1569506726457395E-2</v>
      </c>
      <c r="L69" s="1082">
        <f t="shared" si="45"/>
        <v>5.1569506726457395E-2</v>
      </c>
      <c r="M69" s="1082">
        <f t="shared" si="45"/>
        <v>5.1569506726457395E-2</v>
      </c>
      <c r="N69" s="1082">
        <f t="shared" si="45"/>
        <v>6.2780269058295965E-2</v>
      </c>
      <c r="O69" s="1082">
        <f t="shared" si="45"/>
        <v>6.2780269058295965E-2</v>
      </c>
      <c r="P69" s="1082">
        <f t="shared" si="45"/>
        <v>6.2780269058295965E-2</v>
      </c>
      <c r="Q69" s="1082">
        <f t="shared" si="45"/>
        <v>6.2780269058295965E-2</v>
      </c>
      <c r="R69" s="1082">
        <f t="shared" si="45"/>
        <v>0.11210762331838565</v>
      </c>
      <c r="S69" s="1082">
        <f>S67/$U$68</f>
        <v>0.19354838709677419</v>
      </c>
      <c r="T69" s="1082">
        <f>T67/$U$68</f>
        <v>0.35483870967741932</v>
      </c>
      <c r="U69" s="1082">
        <f>U67/$U$68</f>
        <v>0.45161290322580644</v>
      </c>
      <c r="V69" s="1082">
        <f>V67/$W$68</f>
        <v>0.76510482177856409</v>
      </c>
      <c r="W69" s="1082">
        <f>W67/$W$68</f>
        <v>0.23489517822143582</v>
      </c>
      <c r="X69" s="1082">
        <f>X67/$Y$68</f>
        <v>0.46397694524495675</v>
      </c>
      <c r="Y69" s="1082">
        <f>Y67/$Y$68</f>
        <v>0.53602305475504319</v>
      </c>
      <c r="Z69" s="1082">
        <f>Z67/$AC$68</f>
        <v>0.23335496107007384</v>
      </c>
      <c r="AA69" s="1082">
        <f>AA67/$AC$68</f>
        <v>0.25666300658814134</v>
      </c>
      <c r="AB69" s="1082">
        <f>AB67/$AC$68</f>
        <v>0.25004991016170891</v>
      </c>
      <c r="AC69" s="1082">
        <f>AC67/$AC$68</f>
        <v>0.25993212218007583</v>
      </c>
      <c r="AD69" s="1082">
        <f>AD67/$AE$68</f>
        <v>0.46848042468480428</v>
      </c>
      <c r="AE69" s="1082">
        <f>AE67/$AE$68</f>
        <v>0.53151957531519567</v>
      </c>
      <c r="AF69" s="1082">
        <f>AF67/$AG$68</f>
        <v>0.48266392035702027</v>
      </c>
      <c r="AG69" s="1082">
        <f>AG67/$AG$68</f>
        <v>0.51733607964297978</v>
      </c>
      <c r="AH69" s="1082">
        <f>AH67/$AL$68</f>
        <v>0.18305017595376261</v>
      </c>
      <c r="AI69" s="1082">
        <f>AI67/$AL$68</f>
        <v>0.18821226316157449</v>
      </c>
      <c r="AJ69" s="1082">
        <f>AJ67/$AL$68</f>
        <v>0.19547181244028061</v>
      </c>
      <c r="AK69" s="1082">
        <f>AK67/$AL$68</f>
        <v>0.20922184157169829</v>
      </c>
      <c r="AL69" s="1082">
        <f>AL67/$AL$68</f>
        <v>0.22404390687268405</v>
      </c>
      <c r="AM69" s="1082">
        <f>AM67/$AN$68</f>
        <v>0.49587396849212301</v>
      </c>
      <c r="AN69" s="1082">
        <f>AN67/$AN$68</f>
        <v>0.50412603150787694</v>
      </c>
      <c r="AO69" s="1065"/>
      <c r="AU69" s="1057"/>
    </row>
    <row r="70" spans="1:50">
      <c r="A70" s="1065"/>
      <c r="B70" s="1065"/>
      <c r="C70" s="1065"/>
      <c r="D70" s="1065"/>
      <c r="E70" s="1065"/>
      <c r="F70" s="1065"/>
      <c r="G70" s="1065"/>
      <c r="H70" s="1065"/>
      <c r="I70" s="1065"/>
      <c r="J70" s="1065"/>
      <c r="K70" s="1065"/>
      <c r="L70" s="1065"/>
      <c r="M70" s="1065"/>
      <c r="N70" s="1065"/>
      <c r="O70" s="1065"/>
      <c r="P70" s="1065"/>
      <c r="Q70" s="1065"/>
      <c r="R70" s="1065"/>
      <c r="S70" s="1065"/>
      <c r="T70" s="1065"/>
      <c r="U70" s="1065"/>
      <c r="V70" s="1065"/>
      <c r="W70" s="1065"/>
      <c r="X70" s="1065"/>
      <c r="Y70" s="1065"/>
      <c r="Z70" s="1065"/>
      <c r="AA70" s="1065"/>
      <c r="AB70" s="1065"/>
      <c r="AC70" s="1065"/>
      <c r="AD70" s="1065"/>
      <c r="AE70" s="1065"/>
      <c r="AF70" s="1065"/>
      <c r="AG70" s="1065"/>
      <c r="AH70" s="1065"/>
      <c r="AI70" s="1065"/>
      <c r="AJ70" s="1065"/>
      <c r="AK70" s="1065"/>
      <c r="AL70" s="1065"/>
      <c r="AM70" s="1065"/>
      <c r="AN70" s="1065"/>
      <c r="AO70" s="1065"/>
      <c r="AU70" s="1057"/>
    </row>
    <row r="71" spans="1:50">
      <c r="A71" s="1065"/>
      <c r="B71" s="1065"/>
      <c r="C71" s="1065"/>
      <c r="D71" s="1065"/>
      <c r="E71" s="1065"/>
      <c r="F71" s="1065"/>
      <c r="G71" s="1065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5"/>
      <c r="AD71" s="1065"/>
      <c r="AE71" s="1065"/>
      <c r="AF71" s="1065"/>
      <c r="AG71" s="1065"/>
      <c r="AH71" s="1065"/>
      <c r="AI71" s="1065"/>
      <c r="AJ71" s="1065"/>
      <c r="AK71" s="1065"/>
      <c r="AL71" s="1065"/>
      <c r="AM71" s="1065"/>
      <c r="AN71" s="1065"/>
      <c r="AO71" s="1065"/>
      <c r="AU71" s="1057"/>
    </row>
    <row r="72" spans="1:50" ht="15.6">
      <c r="A72" s="1081" t="s">
        <v>1821</v>
      </c>
      <c r="B72" s="1081"/>
      <c r="C72" s="1081"/>
      <c r="D72" s="1081"/>
      <c r="E72" s="1081"/>
      <c r="F72" s="1081"/>
      <c r="G72" s="1081"/>
      <c r="H72" s="1081"/>
      <c r="I72" s="1081"/>
      <c r="J72" s="1081"/>
      <c r="K72" s="1081"/>
      <c r="L72" s="1081"/>
      <c r="M72" s="1081"/>
      <c r="N72" s="1081"/>
      <c r="O72" s="1081"/>
      <c r="P72" s="1081"/>
      <c r="Q72" s="1081">
        <f>SUM(B67:Q67)</f>
        <v>28241.788235294116</v>
      </c>
      <c r="R72" s="1081">
        <f>R67</f>
        <v>3565.8823529411761</v>
      </c>
      <c r="S72" s="1081">
        <f>S67</f>
        <v>2139.5294117647059</v>
      </c>
      <c r="T72" s="1081">
        <f>T66*T64*T65</f>
        <v>3922.4705882352937</v>
      </c>
      <c r="U72" s="1081">
        <f>U66*U64*U65</f>
        <v>4992.2352941176468</v>
      </c>
      <c r="V72" s="1081">
        <f>V66*V64*V65</f>
        <v>6775.1764705882351</v>
      </c>
      <c r="W72" s="1081">
        <f>W67</f>
        <v>2080.0499999999997</v>
      </c>
      <c r="X72" s="1081"/>
      <c r="Y72" s="1081">
        <f>Y68</f>
        <v>8501.5</v>
      </c>
      <c r="Z72" s="1081"/>
      <c r="AA72" s="1081"/>
      <c r="AB72" s="1081"/>
      <c r="AC72" s="1081">
        <f>AC68</f>
        <v>28050.400000000001</v>
      </c>
      <c r="AD72" s="1081"/>
      <c r="AE72" s="1081">
        <f>AE68</f>
        <v>16878.400000000001</v>
      </c>
      <c r="AF72" s="1081"/>
      <c r="AG72" s="1081">
        <f>AG68</f>
        <v>20391</v>
      </c>
      <c r="AH72" s="1081"/>
      <c r="AI72" s="1081"/>
      <c r="AJ72" s="1081">
        <f>AJ68</f>
        <v>0</v>
      </c>
      <c r="AK72" s="1081"/>
      <c r="AL72" s="1081"/>
      <c r="AM72" s="1081"/>
      <c r="AN72" s="1081">
        <f>AN68</f>
        <v>27993</v>
      </c>
      <c r="AO72" s="1081">
        <f>SUM(B72:AN72)</f>
        <v>153531.43235294116</v>
      </c>
      <c r="AP72" s="1068"/>
      <c r="AQ72" s="1068"/>
      <c r="AR72" s="1068"/>
      <c r="AS72" s="1068"/>
      <c r="AT72" s="1068"/>
      <c r="AU72" s="1068"/>
      <c r="AV72" s="1068"/>
      <c r="AW72" s="1068"/>
      <c r="AX72" s="1068"/>
    </row>
    <row r="73" spans="1:50" ht="15.6">
      <c r="A73" s="1081" t="s">
        <v>1822</v>
      </c>
      <c r="B73" s="1081"/>
      <c r="C73" s="1081"/>
      <c r="D73" s="1081"/>
      <c r="E73" s="1081"/>
      <c r="F73" s="1081"/>
      <c r="G73" s="1081"/>
      <c r="H73" s="1081"/>
      <c r="I73" s="1081"/>
      <c r="J73" s="1081"/>
      <c r="K73" s="1081"/>
      <c r="L73" s="1081"/>
      <c r="M73" s="1081"/>
      <c r="N73" s="1081"/>
      <c r="O73" s="1081"/>
      <c r="P73" s="1081"/>
      <c r="Q73" s="1081">
        <f>'[4]Feed Costing &amp; Appotionment '!K122+'[4]Feed Costing &amp; Appotionment '!O122</f>
        <v>273392.90000000002</v>
      </c>
      <c r="R73" s="1081">
        <f>'[4]Feed Costing &amp; Appotionment '!T122</f>
        <v>47127.5</v>
      </c>
      <c r="S73" s="1081">
        <f>'[4]Feed Costing &amp; Appotionment '!N122</f>
        <v>17559.5</v>
      </c>
      <c r="T73" s="1081"/>
      <c r="U73" s="1081"/>
      <c r="V73" s="1081">
        <f>'[4]Feed Costing &amp; Appotionment '!L122+'[4]Feed Costing &amp; Appotionment '!M122</f>
        <v>117633</v>
      </c>
      <c r="W73" s="1081">
        <f>'[4]Feed Costing &amp; Appotionment '!B122</f>
        <v>29254.2</v>
      </c>
      <c r="X73" s="1081"/>
      <c r="Y73" s="1081">
        <f>'[4]Feed Costing &amp; Appotionment '!C122</f>
        <v>126974</v>
      </c>
      <c r="Z73" s="1081"/>
      <c r="AA73" s="1081"/>
      <c r="AB73" s="1081"/>
      <c r="AC73" s="1081">
        <f>'[4]Feed Costing &amp; Appotionment '!D122+'[4]Feed Costing &amp; Appotionment '!E122</f>
        <v>243037.40000000002</v>
      </c>
      <c r="AD73" s="1081"/>
      <c r="AE73" s="1081">
        <f>'[4]Feed Costing &amp; Appotionment '!F122</f>
        <v>176588.4</v>
      </c>
      <c r="AF73" s="1081"/>
      <c r="AG73" s="1081">
        <f>'[4]Feed Costing &amp; Appotionment '!G122</f>
        <v>59290</v>
      </c>
      <c r="AH73" s="1081"/>
      <c r="AI73" s="1081"/>
      <c r="AJ73" s="1081">
        <f>'[4]Feed Costing &amp; Appotionment '!H122</f>
        <v>949048.7</v>
      </c>
      <c r="AK73" s="1081"/>
      <c r="AL73" s="1081"/>
      <c r="AM73" s="1081"/>
      <c r="AN73" s="1081">
        <f>'[4]Feed Costing &amp; Appotionment '!J122</f>
        <v>710118.55</v>
      </c>
      <c r="AO73" s="1081">
        <f>SUM(B73:AN73)</f>
        <v>2750024.1500000004</v>
      </c>
      <c r="AP73" s="1068">
        <f>AO73-'[4]Feed Costing &amp; Appotionment '!U122+'[4]Feed Costing &amp; Appotionment '!P122+'[4]Feed Costing &amp; Appotionment '!Q122+'[4]Feed Costing &amp; Appotionment '!R122</f>
        <v>1.8917489796876907E-10</v>
      </c>
      <c r="AQ73" s="1068"/>
      <c r="AR73" s="1068"/>
      <c r="AS73" s="1068"/>
      <c r="AT73" s="1068"/>
      <c r="AU73" s="1068"/>
      <c r="AV73" s="1068"/>
      <c r="AW73" s="1068"/>
      <c r="AX73" s="1068"/>
    </row>
    <row r="74" spans="1:50" ht="15.6">
      <c r="A74" s="1081" t="s">
        <v>1823</v>
      </c>
      <c r="B74" s="1081"/>
      <c r="C74" s="1081"/>
      <c r="D74" s="1081"/>
      <c r="E74" s="1081"/>
      <c r="F74" s="1081"/>
      <c r="G74" s="1081"/>
      <c r="H74" s="1081"/>
      <c r="I74" s="1081"/>
      <c r="J74" s="1081"/>
      <c r="K74" s="1081"/>
      <c r="L74" s="1081"/>
      <c r="M74" s="1081"/>
      <c r="N74" s="1081"/>
      <c r="O74" s="1081"/>
      <c r="P74" s="1081"/>
      <c r="Q74" s="1081">
        <f>Q72-Q73</f>
        <v>-245151.11176470591</v>
      </c>
      <c r="R74" s="1081">
        <f>R72-R73</f>
        <v>-43561.617647058825</v>
      </c>
      <c r="S74" s="1081">
        <f>S72-S73</f>
        <v>-15419.970588235294</v>
      </c>
      <c r="T74" s="1081"/>
      <c r="U74" s="1081"/>
      <c r="V74" s="1081">
        <f>SUM(T72:V72)-V73</f>
        <v>-101943.11764705883</v>
      </c>
      <c r="W74" s="1081">
        <f>W72-W73</f>
        <v>-27174.15</v>
      </c>
      <c r="X74" s="1081">
        <f>X72-X73</f>
        <v>0</v>
      </c>
      <c r="Y74" s="1081">
        <f>Y72-Y73</f>
        <v>-118472.5</v>
      </c>
      <c r="Z74" s="1081"/>
      <c r="AA74" s="1081"/>
      <c r="AB74" s="1081"/>
      <c r="AC74" s="1081">
        <f>AC72-AC73</f>
        <v>-214987.00000000003</v>
      </c>
      <c r="AD74" s="1081"/>
      <c r="AE74" s="1081">
        <f>AE72-AE73</f>
        <v>-159710</v>
      </c>
      <c r="AF74" s="1081"/>
      <c r="AG74" s="1081">
        <f>AG72-AG73</f>
        <v>-38899</v>
      </c>
      <c r="AH74" s="1081"/>
      <c r="AI74" s="1081"/>
      <c r="AJ74" s="1081">
        <f>AJ72-AJ73</f>
        <v>-949048.7</v>
      </c>
      <c r="AK74" s="1081"/>
      <c r="AL74" s="1081"/>
      <c r="AM74" s="1081"/>
      <c r="AN74" s="1081">
        <f>AN72-AN73</f>
        <v>-682125.55</v>
      </c>
      <c r="AO74" s="1081">
        <f>SUM(B74:AN74)</f>
        <v>-2596492.7176470589</v>
      </c>
      <c r="AP74" s="1068">
        <f>AO73-'[4]Feed Costing &amp; Appotionment '!U122</f>
        <v>-86697.799999999814</v>
      </c>
      <c r="AQ74" s="1068"/>
      <c r="AR74" s="1068"/>
      <c r="AS74" s="1068"/>
      <c r="AT74" s="1068"/>
      <c r="AU74" s="1068"/>
      <c r="AV74" s="1068"/>
      <c r="AW74" s="1068"/>
      <c r="AX74" s="1068"/>
    </row>
    <row r="75" spans="1:50" ht="15.6">
      <c r="A75" s="1081" t="s">
        <v>1824</v>
      </c>
      <c r="B75" s="1077"/>
      <c r="C75" s="1077"/>
      <c r="D75" s="1077"/>
      <c r="E75" s="1077"/>
      <c r="F75" s="1077"/>
      <c r="G75" s="1077"/>
      <c r="H75" s="1077"/>
      <c r="I75" s="1077"/>
      <c r="J75" s="1077"/>
      <c r="K75" s="1077"/>
      <c r="L75" s="1077"/>
      <c r="M75" s="1077"/>
      <c r="N75" s="1077"/>
      <c r="O75" s="1077"/>
      <c r="P75" s="1077"/>
      <c r="Q75" s="1083">
        <f>('[4]Feed Costing &amp; Appotionment '!K123+'[4]Feed Costing &amp; Appotionment '!O123)/('[4]Feed Costing &amp; Appotionment '!K122+'[4]Feed Costing &amp; Appotionment '!O122)</f>
        <v>0.33022565021567968</v>
      </c>
      <c r="R75" s="1080">
        <f>'[4]Feed Costing &amp; Appotionment '!T124</f>
        <v>0.37880590011098036</v>
      </c>
      <c r="S75" s="1080">
        <f>'[4]Feed Costing &amp; Appotionment '!N124</f>
        <v>0.36773334194341661</v>
      </c>
      <c r="T75" s="1077"/>
      <c r="U75" s="1077"/>
      <c r="V75" s="1080">
        <f>('[4]Feed Costing &amp; Appotionment '!M123+'[4]Feed Costing &amp; Appotionment '!L123)/('[4]Feed Costing &amp; Appotionment '!L122+'[4]Feed Costing &amp; Appotionment '!M122)</f>
        <v>0.38986305594770371</v>
      </c>
      <c r="W75" s="1080">
        <f>'[4]Feed Costing &amp; Appotionment '!B124</f>
        <v>0.70516028376225237</v>
      </c>
      <c r="X75" s="1077"/>
      <c r="Y75" s="1080">
        <f>'[4]Feed Costing &amp; Appotionment '!C124</f>
        <v>0.553048745740369</v>
      </c>
      <c r="Z75" s="1077"/>
      <c r="AA75" s="1080"/>
      <c r="AB75" s="1077"/>
      <c r="AC75" s="1080">
        <f>'[4]Feed Costing &amp; Appotionment '!D124</f>
        <v>0.45761789674138609</v>
      </c>
      <c r="AD75" s="1077"/>
      <c r="AE75" s="1080">
        <f>'[4]Feed Costing &amp; Appotionment '!F124</f>
        <v>0.36072118784213153</v>
      </c>
      <c r="AF75" s="1077"/>
      <c r="AG75" s="1080">
        <f>'[4]Feed Costing &amp; Appotionment '!G124</f>
        <v>0.35277419368699731</v>
      </c>
      <c r="AH75" s="1077"/>
      <c r="AI75" s="1077"/>
      <c r="AJ75" s="1080">
        <f>'[4]Feed Costing &amp; Appotionment '!H124</f>
        <v>0.32545898419719504</v>
      </c>
      <c r="AK75" s="1077"/>
      <c r="AL75" s="1077"/>
      <c r="AM75" s="1077"/>
      <c r="AN75" s="1080">
        <f>'[4]Feed Costing &amp; Appotionment '!J124</f>
        <v>0.34727367194923103</v>
      </c>
      <c r="AO75" s="1083">
        <f>AO76/AO74</f>
        <v>0.36319377350057558</v>
      </c>
      <c r="AP75" s="1068">
        <f>'[4]Feed Costing &amp; Appotionment '!P122+'[4]Feed Costing &amp; Appotionment '!Q122+'[4]Feed Costing &amp; Appotionment '!R122</f>
        <v>86697.8</v>
      </c>
      <c r="AQ75" s="1066"/>
      <c r="AR75" s="1066"/>
      <c r="AS75" s="1066"/>
      <c r="AT75" s="1066"/>
      <c r="AU75" s="1068"/>
      <c r="AV75" s="1066"/>
      <c r="AW75" s="1066"/>
      <c r="AX75" s="1066"/>
    </row>
    <row r="76" spans="1:50" ht="15.6">
      <c r="A76" s="1081" t="s">
        <v>1825</v>
      </c>
      <c r="B76" s="1077"/>
      <c r="C76" s="1077"/>
      <c r="D76" s="1077"/>
      <c r="E76" s="1077"/>
      <c r="F76" s="1077"/>
      <c r="G76" s="1077"/>
      <c r="H76" s="1077"/>
      <c r="I76" s="1077"/>
      <c r="J76" s="1077"/>
      <c r="K76" s="1077"/>
      <c r="L76" s="1077"/>
      <c r="M76" s="1077"/>
      <c r="N76" s="1077"/>
      <c r="O76" s="1077"/>
      <c r="P76" s="1077"/>
      <c r="Q76" s="1083">
        <f>Q74*Q75</f>
        <v>-80955.185283596773</v>
      </c>
      <c r="R76" s="1083">
        <f>R74*R75</f>
        <v>-16501.397783084485</v>
      </c>
      <c r="S76" s="1083">
        <f>S74*S75</f>
        <v>-5670.4373170809558</v>
      </c>
      <c r="T76" s="1077"/>
      <c r="U76" s="1077"/>
      <c r="V76" s="1083">
        <f>V74*V75</f>
        <v>-39743.855378718639</v>
      </c>
      <c r="W76" s="1083">
        <f>W74*W75</f>
        <v>-19162.131324998012</v>
      </c>
      <c r="X76" s="1077"/>
      <c r="Y76" s="1083">
        <f>Y74*Y75</f>
        <v>-65521.067529725864</v>
      </c>
      <c r="Z76" s="1077"/>
      <c r="AA76" s="1083"/>
      <c r="AB76" s="1077"/>
      <c r="AC76" s="1083">
        <f>AC74*AC75</f>
        <v>-98381.898766740385</v>
      </c>
      <c r="AD76" s="1077"/>
      <c r="AE76" s="1083">
        <f>AE74*AE75</f>
        <v>-57610.780910266825</v>
      </c>
      <c r="AF76" s="1077"/>
      <c r="AG76" s="1083">
        <f>AG74*AG75</f>
        <v>-13722.563360230508</v>
      </c>
      <c r="AH76" s="1077"/>
      <c r="AI76" s="1077"/>
      <c r="AJ76" s="1083">
        <f>AJ74*AJ75</f>
        <v>-308876.42585566849</v>
      </c>
      <c r="AK76" s="1077"/>
      <c r="AL76" s="1077"/>
      <c r="AM76" s="1077"/>
      <c r="AN76" s="1083">
        <f>AN74*AN75</f>
        <v>-236884.24447888881</v>
      </c>
      <c r="AO76" s="1081">
        <f>SUM(B76:AN76)</f>
        <v>-943029.98798899981</v>
      </c>
      <c r="AP76" s="1084">
        <f>SUM(AP74:AP75)</f>
        <v>1.8917489796876907E-10</v>
      </c>
      <c r="AQ76" s="1066"/>
      <c r="AR76" s="1066"/>
      <c r="AS76" s="1066"/>
      <c r="AT76" s="1066"/>
      <c r="AU76" s="1068"/>
      <c r="AV76" s="1066"/>
      <c r="AW76" s="1066"/>
      <c r="AX76" s="1066"/>
    </row>
    <row r="77" spans="1:50">
      <c r="AU77" s="1057"/>
    </row>
    <row r="79" spans="1:50" ht="15.6">
      <c r="A79" s="131" t="s">
        <v>1816</v>
      </c>
      <c r="B79" s="1716">
        <v>7</v>
      </c>
      <c r="C79" s="1716">
        <v>7</v>
      </c>
      <c r="D79" s="1716">
        <v>7</v>
      </c>
      <c r="E79" s="1716">
        <v>7</v>
      </c>
      <c r="F79" s="1716">
        <v>7</v>
      </c>
      <c r="G79" s="1716">
        <v>7</v>
      </c>
      <c r="H79" s="1716">
        <v>7</v>
      </c>
      <c r="I79" s="1716">
        <v>7</v>
      </c>
      <c r="J79" s="1716">
        <v>7</v>
      </c>
      <c r="K79" s="1716">
        <v>7</v>
      </c>
      <c r="L79" s="1716">
        <v>7</v>
      </c>
      <c r="M79" s="1716">
        <v>7</v>
      </c>
      <c r="N79" s="1716">
        <v>7</v>
      </c>
      <c r="O79" s="1716">
        <v>7</v>
      </c>
      <c r="P79" s="1716">
        <v>7</v>
      </c>
      <c r="Q79" s="1717">
        <v>7</v>
      </c>
      <c r="R79" s="1717">
        <v>7</v>
      </c>
      <c r="S79" s="1710">
        <v>3</v>
      </c>
      <c r="T79" s="1710">
        <v>7</v>
      </c>
      <c r="U79" s="1709">
        <v>7</v>
      </c>
      <c r="V79" s="1709">
        <v>7</v>
      </c>
      <c r="W79" s="1710">
        <v>4</v>
      </c>
      <c r="X79" s="1709">
        <v>7</v>
      </c>
      <c r="Y79" s="1710">
        <v>7</v>
      </c>
      <c r="Z79" s="1709">
        <v>7</v>
      </c>
      <c r="AA79" s="1710">
        <v>7</v>
      </c>
      <c r="AB79" s="1709">
        <v>7</v>
      </c>
      <c r="AC79" s="1710">
        <v>7</v>
      </c>
      <c r="AD79" s="1709">
        <v>7</v>
      </c>
      <c r="AE79" s="1710">
        <v>7</v>
      </c>
      <c r="AF79" s="1709">
        <v>7</v>
      </c>
      <c r="AG79" s="1710">
        <v>7</v>
      </c>
      <c r="AH79" s="1710">
        <v>7</v>
      </c>
      <c r="AI79" s="1709">
        <v>7</v>
      </c>
      <c r="AJ79" s="1710">
        <v>7</v>
      </c>
      <c r="AK79" s="1710">
        <v>7</v>
      </c>
      <c r="AL79" s="1710">
        <v>7</v>
      </c>
      <c r="AM79" s="1709">
        <v>7</v>
      </c>
      <c r="AN79" s="1709">
        <v>7</v>
      </c>
    </row>
    <row r="80" spans="1:50" ht="15.6">
      <c r="A80" s="131" t="s">
        <v>1815</v>
      </c>
      <c r="B80" s="1711" t="s">
        <v>1773</v>
      </c>
      <c r="C80" s="1711" t="s">
        <v>1773</v>
      </c>
      <c r="D80" s="1711" t="s">
        <v>1773</v>
      </c>
      <c r="E80" s="1711" t="s">
        <v>1773</v>
      </c>
      <c r="F80" s="1711" t="s">
        <v>1773</v>
      </c>
      <c r="G80" s="1711" t="s">
        <v>1773</v>
      </c>
      <c r="H80" s="1711" t="s">
        <v>1773</v>
      </c>
      <c r="I80" s="1711" t="s">
        <v>1773</v>
      </c>
      <c r="J80" s="1711" t="s">
        <v>1773</v>
      </c>
      <c r="K80" s="1711" t="s">
        <v>1773</v>
      </c>
      <c r="L80" s="1711" t="s">
        <v>1773</v>
      </c>
      <c r="M80" s="1711" t="s">
        <v>1773</v>
      </c>
      <c r="N80" s="1711" t="s">
        <v>1773</v>
      </c>
      <c r="O80" s="1711" t="s">
        <v>1773</v>
      </c>
      <c r="P80" s="1711" t="s">
        <v>1773</v>
      </c>
      <c r="Q80" s="1711" t="s">
        <v>1773</v>
      </c>
      <c r="R80" s="1711" t="s">
        <v>1826</v>
      </c>
      <c r="S80" s="1711" t="s">
        <v>1775</v>
      </c>
      <c r="T80" s="1711" t="s">
        <v>1775</v>
      </c>
      <c r="U80" s="1711" t="s">
        <v>1775</v>
      </c>
      <c r="V80" s="1711" t="s">
        <v>1775</v>
      </c>
      <c r="W80" s="1711" t="s">
        <v>1775</v>
      </c>
      <c r="X80" s="1711" t="s">
        <v>1776</v>
      </c>
      <c r="Y80" s="1711" t="s">
        <v>1777</v>
      </c>
      <c r="Z80" s="1711" t="s">
        <v>1777</v>
      </c>
      <c r="AA80" s="1711" t="s">
        <v>108</v>
      </c>
      <c r="AB80" s="1711" t="s">
        <v>108</v>
      </c>
      <c r="AC80" s="1711" t="s">
        <v>108</v>
      </c>
      <c r="AD80" s="1711" t="s">
        <v>1778</v>
      </c>
      <c r="AE80" s="1711" t="s">
        <v>1778</v>
      </c>
      <c r="AF80" s="1711" t="s">
        <v>1779</v>
      </c>
      <c r="AG80" s="1711" t="s">
        <v>1779</v>
      </c>
      <c r="AH80" s="1711" t="s">
        <v>1780</v>
      </c>
      <c r="AI80" s="1711" t="s">
        <v>1780</v>
      </c>
      <c r="AJ80" s="1711" t="s">
        <v>1780</v>
      </c>
      <c r="AK80" s="1711" t="s">
        <v>1781</v>
      </c>
      <c r="AL80" s="1711" t="s">
        <v>1781</v>
      </c>
      <c r="AM80" s="1711" t="s">
        <v>1781</v>
      </c>
      <c r="AN80" s="1711" t="s">
        <v>1781</v>
      </c>
    </row>
    <row r="81" spans="1:40" ht="15.6">
      <c r="A81" s="131" t="s">
        <v>323</v>
      </c>
      <c r="B81" s="1711">
        <v>-16</v>
      </c>
      <c r="C81" s="1711">
        <v>-15</v>
      </c>
      <c r="D81" s="1711">
        <v>-14</v>
      </c>
      <c r="E81" s="1711">
        <v>-13</v>
      </c>
      <c r="F81" s="1711">
        <v>-12</v>
      </c>
      <c r="G81" s="1711">
        <v>-11</v>
      </c>
      <c r="H81" s="1711">
        <v>-10</v>
      </c>
      <c r="I81" s="1711">
        <v>-9</v>
      </c>
      <c r="J81" s="1711">
        <v>-8</v>
      </c>
      <c r="K81" s="1711">
        <v>-7</v>
      </c>
      <c r="L81" s="1711">
        <v>-6</v>
      </c>
      <c r="M81" s="1711">
        <v>-5</v>
      </c>
      <c r="N81" s="1711">
        <v>-4</v>
      </c>
      <c r="O81" s="1711">
        <v>-3</v>
      </c>
      <c r="P81" s="1711">
        <v>-2</v>
      </c>
      <c r="Q81" s="1711">
        <v>-1</v>
      </c>
      <c r="R81" s="1711">
        <v>0</v>
      </c>
      <c r="S81" s="276">
        <v>1</v>
      </c>
      <c r="T81" s="276">
        <v>2</v>
      </c>
      <c r="U81" s="276">
        <v>3</v>
      </c>
      <c r="V81" s="276">
        <v>4</v>
      </c>
      <c r="W81" s="276">
        <v>5</v>
      </c>
      <c r="X81" s="276">
        <v>6</v>
      </c>
      <c r="Y81" s="276">
        <v>7</v>
      </c>
      <c r="Z81" s="276">
        <v>8</v>
      </c>
      <c r="AA81" s="276">
        <v>9</v>
      </c>
      <c r="AB81" s="276">
        <v>10</v>
      </c>
      <c r="AC81" s="276">
        <v>11</v>
      </c>
      <c r="AD81" s="276">
        <v>12</v>
      </c>
      <c r="AE81" s="276">
        <v>13</v>
      </c>
      <c r="AF81" s="276">
        <v>14</v>
      </c>
      <c r="AG81" s="276">
        <v>15</v>
      </c>
      <c r="AH81" s="276">
        <v>16</v>
      </c>
      <c r="AI81" s="276">
        <v>17</v>
      </c>
      <c r="AJ81" s="276">
        <v>18</v>
      </c>
      <c r="AK81" s="276">
        <v>19</v>
      </c>
      <c r="AL81" s="276">
        <v>20</v>
      </c>
      <c r="AM81" s="276">
        <v>21</v>
      </c>
      <c r="AN81" s="276">
        <v>22</v>
      </c>
    </row>
    <row r="82" spans="1:40" ht="16.149999999999999" thickBot="1">
      <c r="A82" s="131"/>
      <c r="B82" s="1718">
        <f>+B83*B79</f>
        <v>17.5</v>
      </c>
      <c r="C82" s="1718">
        <f t="shared" ref="C82:R82" si="46">+C83*C79</f>
        <v>17.5</v>
      </c>
      <c r="D82" s="1718">
        <f t="shared" si="46"/>
        <v>17.5</v>
      </c>
      <c r="E82" s="1718">
        <f t="shared" si="46"/>
        <v>17.5</v>
      </c>
      <c r="F82" s="1718">
        <f t="shared" si="46"/>
        <v>16.099999999999998</v>
      </c>
      <c r="G82" s="1718">
        <f t="shared" si="46"/>
        <v>16.099999999999998</v>
      </c>
      <c r="H82" s="1718">
        <f t="shared" si="46"/>
        <v>16.099999999999998</v>
      </c>
      <c r="I82" s="1718">
        <f t="shared" si="46"/>
        <v>16.099999999999998</v>
      </c>
      <c r="J82" s="1718">
        <f t="shared" si="46"/>
        <v>16.099999999999998</v>
      </c>
      <c r="K82" s="1718">
        <f t="shared" si="46"/>
        <v>16.099999999999998</v>
      </c>
      <c r="L82" s="1718">
        <f t="shared" si="46"/>
        <v>16.099999999999998</v>
      </c>
      <c r="M82" s="1718">
        <f t="shared" si="46"/>
        <v>16.099999999999998</v>
      </c>
      <c r="N82" s="1718">
        <f t="shared" si="46"/>
        <v>19.599999999999998</v>
      </c>
      <c r="O82" s="1718">
        <f t="shared" si="46"/>
        <v>19.599999999999998</v>
      </c>
      <c r="P82" s="1718">
        <f t="shared" si="46"/>
        <v>19.599999999999998</v>
      </c>
      <c r="Q82" s="1718">
        <f t="shared" si="46"/>
        <v>19.599999999999998</v>
      </c>
      <c r="R82" s="1718">
        <f t="shared" si="46"/>
        <v>35</v>
      </c>
      <c r="S82" s="1699">
        <v>0.3</v>
      </c>
      <c r="T82" s="1699">
        <v>1.8</v>
      </c>
      <c r="U82" s="1699">
        <v>2.5</v>
      </c>
      <c r="V82" s="1700">
        <v>3.5</v>
      </c>
      <c r="W82" s="1700">
        <v>2</v>
      </c>
      <c r="X82" s="1701">
        <v>4.5</v>
      </c>
      <c r="Y82" s="1702">
        <v>6</v>
      </c>
      <c r="Z82" s="1702">
        <v>7</v>
      </c>
      <c r="AA82" s="1703">
        <v>10.5</v>
      </c>
      <c r="AB82" s="1703">
        <v>11.9</v>
      </c>
      <c r="AC82" s="1703">
        <v>13.3</v>
      </c>
      <c r="AD82" s="1704">
        <v>15.4</v>
      </c>
      <c r="AE82" s="1704">
        <v>17.5</v>
      </c>
      <c r="AF82" s="1705">
        <v>18.2</v>
      </c>
      <c r="AG82" s="1705">
        <v>18.899999999999999</v>
      </c>
      <c r="AH82" s="1706">
        <v>20.3</v>
      </c>
      <c r="AI82" s="1706">
        <v>21.7</v>
      </c>
      <c r="AJ82" s="1706">
        <v>21.7</v>
      </c>
      <c r="AK82" s="1707">
        <v>21.7</v>
      </c>
      <c r="AL82" s="1707">
        <v>21.7</v>
      </c>
      <c r="AM82" s="1708">
        <v>21.7</v>
      </c>
      <c r="AN82" s="1708">
        <v>21.7</v>
      </c>
    </row>
    <row r="83" spans="1:40" ht="15.6">
      <c r="A83" s="131" t="s">
        <v>1817</v>
      </c>
      <c r="B83" s="142">
        <v>2.5</v>
      </c>
      <c r="C83" s="142">
        <v>2.5</v>
      </c>
      <c r="D83" s="142">
        <v>2.5</v>
      </c>
      <c r="E83" s="142">
        <v>2.5</v>
      </c>
      <c r="F83" s="142">
        <v>2.2999999999999998</v>
      </c>
      <c r="G83" s="142">
        <v>2.2999999999999998</v>
      </c>
      <c r="H83" s="142">
        <v>2.2999999999999998</v>
      </c>
      <c r="I83" s="142">
        <v>2.2999999999999998</v>
      </c>
      <c r="J83" s="142">
        <v>2.2999999999999998</v>
      </c>
      <c r="K83" s="142">
        <v>2.2999999999999998</v>
      </c>
      <c r="L83" s="142">
        <v>2.2999999999999998</v>
      </c>
      <c r="M83" s="142">
        <v>2.2999999999999998</v>
      </c>
      <c r="N83" s="142">
        <v>2.8</v>
      </c>
      <c r="O83" s="142">
        <v>2.8</v>
      </c>
      <c r="P83" s="142">
        <v>2.8</v>
      </c>
      <c r="Q83" s="142">
        <v>2.8</v>
      </c>
      <c r="R83" s="142">
        <v>5</v>
      </c>
      <c r="S83" s="1712">
        <f>+S82/S79</f>
        <v>9.9999999999999992E-2</v>
      </c>
      <c r="T83" s="1712">
        <f t="shared" ref="T83:AN83" si="47">+T82/T79</f>
        <v>0.25714285714285717</v>
      </c>
      <c r="U83" s="1712">
        <f t="shared" si="47"/>
        <v>0.35714285714285715</v>
      </c>
      <c r="V83" s="1712">
        <f t="shared" si="47"/>
        <v>0.5</v>
      </c>
      <c r="W83" s="1712">
        <f t="shared" si="47"/>
        <v>0.5</v>
      </c>
      <c r="X83" s="1712">
        <f>+X82/X79</f>
        <v>0.6428571428571429</v>
      </c>
      <c r="Y83" s="1712">
        <f t="shared" si="47"/>
        <v>0.8571428571428571</v>
      </c>
      <c r="Z83" s="1712">
        <f t="shared" si="47"/>
        <v>1</v>
      </c>
      <c r="AA83" s="1712">
        <f t="shared" si="47"/>
        <v>1.5</v>
      </c>
      <c r="AB83" s="1712">
        <f t="shared" si="47"/>
        <v>1.7</v>
      </c>
      <c r="AC83" s="1712">
        <f t="shared" si="47"/>
        <v>1.9000000000000001</v>
      </c>
      <c r="AD83" s="1712">
        <f t="shared" si="47"/>
        <v>2.2000000000000002</v>
      </c>
      <c r="AE83" s="1712">
        <f t="shared" si="47"/>
        <v>2.5</v>
      </c>
      <c r="AF83" s="1712">
        <f t="shared" si="47"/>
        <v>2.6</v>
      </c>
      <c r="AG83" s="1712">
        <f t="shared" si="47"/>
        <v>2.6999999999999997</v>
      </c>
      <c r="AH83" s="1712">
        <f t="shared" si="47"/>
        <v>2.9</v>
      </c>
      <c r="AI83" s="1712">
        <f t="shared" si="47"/>
        <v>3.1</v>
      </c>
      <c r="AJ83" s="1712">
        <f t="shared" si="47"/>
        <v>3.1</v>
      </c>
      <c r="AK83" s="1712">
        <f t="shared" si="47"/>
        <v>3.1</v>
      </c>
      <c r="AL83" s="1712">
        <f t="shared" si="47"/>
        <v>3.1</v>
      </c>
      <c r="AM83" s="1712">
        <f t="shared" si="47"/>
        <v>3.1</v>
      </c>
      <c r="AN83" s="1712">
        <f t="shared" si="47"/>
        <v>3.1</v>
      </c>
    </row>
    <row r="84" spans="1:40" ht="15.6">
      <c r="B84" s="1081">
        <f>'Summary Total Pigs'!AF93/17*4</f>
        <v>101.88235294117646</v>
      </c>
      <c r="C84" s="817">
        <f>+B84</f>
        <v>101.88235294117646</v>
      </c>
      <c r="D84" s="817">
        <f t="shared" ref="D84:R84" si="48">+C84</f>
        <v>101.88235294117646</v>
      </c>
      <c r="E84" s="817">
        <f t="shared" si="48"/>
        <v>101.88235294117646</v>
      </c>
      <c r="F84" s="817">
        <f t="shared" si="48"/>
        <v>101.88235294117646</v>
      </c>
      <c r="G84" s="817">
        <f t="shared" si="48"/>
        <v>101.88235294117646</v>
      </c>
      <c r="H84" s="817">
        <f t="shared" si="48"/>
        <v>101.88235294117646</v>
      </c>
      <c r="I84" s="817">
        <f t="shared" si="48"/>
        <v>101.88235294117646</v>
      </c>
      <c r="J84" s="817">
        <f t="shared" si="48"/>
        <v>101.88235294117646</v>
      </c>
      <c r="K84" s="817">
        <f t="shared" si="48"/>
        <v>101.88235294117646</v>
      </c>
      <c r="L84" s="817">
        <f t="shared" si="48"/>
        <v>101.88235294117646</v>
      </c>
      <c r="M84" s="817">
        <f t="shared" si="48"/>
        <v>101.88235294117646</v>
      </c>
      <c r="N84" s="817">
        <f t="shared" si="48"/>
        <v>101.88235294117646</v>
      </c>
      <c r="O84" s="817">
        <f t="shared" si="48"/>
        <v>101.88235294117646</v>
      </c>
      <c r="P84" s="817">
        <f t="shared" si="48"/>
        <v>101.88235294117646</v>
      </c>
      <c r="Q84" s="817">
        <f t="shared" si="48"/>
        <v>101.88235294117646</v>
      </c>
      <c r="R84" s="817">
        <f t="shared" si="48"/>
        <v>101.88235294117646</v>
      </c>
      <c r="S84" s="817">
        <f>+R84</f>
        <v>101.88235294117646</v>
      </c>
      <c r="T84" s="817">
        <f t="shared" ref="T84:V84" si="49">+S84</f>
        <v>101.88235294117646</v>
      </c>
      <c r="U84" s="817">
        <f t="shared" si="49"/>
        <v>101.88235294117646</v>
      </c>
      <c r="V84" s="817">
        <f t="shared" si="49"/>
        <v>101.88235294117646</v>
      </c>
      <c r="W84" s="1059">
        <f>SUM(W7:Z7)</f>
        <v>849</v>
      </c>
      <c r="X84" s="1059">
        <f>SUM(X7:AA7)</f>
        <v>1127</v>
      </c>
      <c r="Y84" s="1059">
        <f>SUM(X7:AA7)</f>
        <v>1127</v>
      </c>
      <c r="Z84" s="1059">
        <f t="shared" ref="Z84:AN84" si="50">SUM(Z7:AC7)</f>
        <v>1039</v>
      </c>
      <c r="AA84" s="1059">
        <f t="shared" si="50"/>
        <v>935</v>
      </c>
      <c r="AB84" s="1059">
        <f t="shared" si="50"/>
        <v>835</v>
      </c>
      <c r="AC84" s="1059">
        <f t="shared" si="50"/>
        <v>744</v>
      </c>
      <c r="AD84" s="1059">
        <f t="shared" si="50"/>
        <v>706</v>
      </c>
      <c r="AE84" s="1059">
        <f t="shared" si="50"/>
        <v>712</v>
      </c>
      <c r="AF84" s="1059">
        <f t="shared" si="50"/>
        <v>703</v>
      </c>
      <c r="AG84" s="1059">
        <f t="shared" si="50"/>
        <v>685</v>
      </c>
      <c r="AH84" s="1059">
        <f t="shared" si="50"/>
        <v>683</v>
      </c>
      <c r="AI84" s="1059">
        <f t="shared" si="50"/>
        <v>673</v>
      </c>
      <c r="AJ84" s="1059">
        <f t="shared" si="50"/>
        <v>671</v>
      </c>
      <c r="AK84" s="817">
        <f t="shared" si="50"/>
        <v>665</v>
      </c>
      <c r="AL84" s="817">
        <f t="shared" si="50"/>
        <v>663</v>
      </c>
      <c r="AM84" s="817">
        <f t="shared" si="50"/>
        <v>661</v>
      </c>
      <c r="AN84" s="817">
        <f t="shared" si="50"/>
        <v>672</v>
      </c>
    </row>
    <row r="85" spans="1:40">
      <c r="B85" s="1059">
        <f t="shared" ref="B85:R85" si="51">+B79*B83*B84</f>
        <v>1782.9411764705881</v>
      </c>
      <c r="C85" s="1059">
        <f t="shared" si="51"/>
        <v>1782.9411764705881</v>
      </c>
      <c r="D85" s="1059">
        <f t="shared" si="51"/>
        <v>1782.9411764705881</v>
      </c>
      <c r="E85" s="1059">
        <f t="shared" si="51"/>
        <v>1782.9411764705881</v>
      </c>
      <c r="F85" s="1059">
        <f t="shared" si="51"/>
        <v>1640.3058823529409</v>
      </c>
      <c r="G85" s="1059">
        <f t="shared" si="51"/>
        <v>1640.3058823529409</v>
      </c>
      <c r="H85" s="1059">
        <f t="shared" si="51"/>
        <v>1640.3058823529409</v>
      </c>
      <c r="I85" s="1059">
        <f t="shared" si="51"/>
        <v>1640.3058823529409</v>
      </c>
      <c r="J85" s="1059">
        <f t="shared" si="51"/>
        <v>1640.3058823529409</v>
      </c>
      <c r="K85" s="1059">
        <f t="shared" si="51"/>
        <v>1640.3058823529409</v>
      </c>
      <c r="L85" s="1059">
        <f t="shared" si="51"/>
        <v>1640.3058823529409</v>
      </c>
      <c r="M85" s="1059">
        <f t="shared" si="51"/>
        <v>1640.3058823529409</v>
      </c>
      <c r="N85" s="1059">
        <f t="shared" si="51"/>
        <v>1996.8941176470585</v>
      </c>
      <c r="O85" s="1059">
        <f t="shared" si="51"/>
        <v>1996.8941176470585</v>
      </c>
      <c r="P85" s="1059">
        <f t="shared" si="51"/>
        <v>1996.8941176470585</v>
      </c>
      <c r="Q85" s="1059">
        <f t="shared" si="51"/>
        <v>1996.8941176470585</v>
      </c>
      <c r="R85" s="1059">
        <f t="shared" si="51"/>
        <v>3565.8823529411761</v>
      </c>
      <c r="S85" s="1059">
        <f>+S79*S83*S84</f>
        <v>30.564705882352939</v>
      </c>
      <c r="T85" s="1059">
        <f t="shared" ref="T85:AN85" si="52">+T79*T83*T84</f>
        <v>183.38823529411766</v>
      </c>
      <c r="U85" s="1059">
        <f t="shared" si="52"/>
        <v>254.70588235294116</v>
      </c>
      <c r="V85" s="1059">
        <f t="shared" si="52"/>
        <v>356.58823529411762</v>
      </c>
      <c r="W85" s="1059">
        <f t="shared" si="52"/>
        <v>1698</v>
      </c>
      <c r="X85" s="1059">
        <f>+X79*X83*X84</f>
        <v>5071.5</v>
      </c>
      <c r="Y85" s="1059">
        <f>+Y79*Y83*Y84</f>
        <v>6762</v>
      </c>
      <c r="Z85" s="1059">
        <f>+Z79*Z83*Z84</f>
        <v>7273</v>
      </c>
      <c r="AA85" s="1059">
        <f t="shared" ref="AA85:AC85" si="53">+AA79*AA83*AA84</f>
        <v>9817.5</v>
      </c>
      <c r="AB85" s="1059">
        <f t="shared" si="53"/>
        <v>9936.5</v>
      </c>
      <c r="AC85" s="1059">
        <f t="shared" si="53"/>
        <v>9895.2000000000007</v>
      </c>
      <c r="AD85" s="1059">
        <f>+AD79*AD83*AD84</f>
        <v>10872.400000000001</v>
      </c>
      <c r="AE85" s="1059">
        <f>+AE79*AE83*AE84</f>
        <v>12460</v>
      </c>
      <c r="AF85" s="1059">
        <f t="shared" ref="AF85:AJ85" si="54">+AF79*AF83*AF84</f>
        <v>12794.6</v>
      </c>
      <c r="AG85" s="1059">
        <f t="shared" si="54"/>
        <v>12946.499999999998</v>
      </c>
      <c r="AH85" s="1059">
        <f t="shared" si="54"/>
        <v>13864.9</v>
      </c>
      <c r="AI85" s="1059">
        <f t="shared" si="54"/>
        <v>14604.1</v>
      </c>
      <c r="AJ85" s="1059">
        <f t="shared" si="54"/>
        <v>14560.699999999999</v>
      </c>
      <c r="AK85" s="1059">
        <f t="shared" si="52"/>
        <v>14430.5</v>
      </c>
      <c r="AL85" s="1059">
        <f t="shared" si="52"/>
        <v>14387.1</v>
      </c>
      <c r="AM85" s="1059">
        <f t="shared" si="52"/>
        <v>14343.699999999999</v>
      </c>
      <c r="AN85" s="1059">
        <f t="shared" si="52"/>
        <v>14582.4</v>
      </c>
    </row>
    <row r="86" spans="1:40">
      <c r="R86" s="818">
        <f>SUM(B85:R85)</f>
        <v>31807.670588235291</v>
      </c>
      <c r="V86" s="818"/>
      <c r="W86" s="818">
        <f>SUM(S85:W85)</f>
        <v>2523.2470588235292</v>
      </c>
      <c r="X86" s="818">
        <f>SUM(X85)</f>
        <v>5071.5</v>
      </c>
      <c r="Z86" s="818">
        <f>SUM(Y85:Z85)</f>
        <v>14035</v>
      </c>
      <c r="AC86" s="818">
        <f>SUM(AA85:AC85)</f>
        <v>29649.200000000001</v>
      </c>
      <c r="AE86" s="818">
        <f>SUM(AD85:AE85)</f>
        <v>23332.400000000001</v>
      </c>
      <c r="AG86" s="818">
        <f>SUM(AF85:AG85)</f>
        <v>25741.1</v>
      </c>
      <c r="AJ86" s="818">
        <f>SUM(AH85:AJ85)</f>
        <v>43029.7</v>
      </c>
      <c r="AN86" s="818">
        <f>SUM(AK85:AN85)</f>
        <v>57743.7</v>
      </c>
    </row>
    <row r="87" spans="1:40" ht="15.6">
      <c r="B87" s="1715">
        <f>+B85/$R$86</f>
        <v>5.6053811659192827E-2</v>
      </c>
      <c r="C87" s="1715">
        <f t="shared" ref="C87:R87" si="55">+C85/$R$86</f>
        <v>5.6053811659192827E-2</v>
      </c>
      <c r="D87" s="1715">
        <f t="shared" si="55"/>
        <v>5.6053811659192827E-2</v>
      </c>
      <c r="E87" s="1715">
        <f t="shared" si="55"/>
        <v>5.6053811659192827E-2</v>
      </c>
      <c r="F87" s="1715">
        <f t="shared" si="55"/>
        <v>5.1569506726457395E-2</v>
      </c>
      <c r="G87" s="1715">
        <f t="shared" si="55"/>
        <v>5.1569506726457395E-2</v>
      </c>
      <c r="H87" s="1715">
        <f t="shared" si="55"/>
        <v>5.1569506726457395E-2</v>
      </c>
      <c r="I87" s="1715">
        <f t="shared" si="55"/>
        <v>5.1569506726457395E-2</v>
      </c>
      <c r="J87" s="1715">
        <f t="shared" si="55"/>
        <v>5.1569506726457395E-2</v>
      </c>
      <c r="K87" s="1715">
        <f t="shared" si="55"/>
        <v>5.1569506726457395E-2</v>
      </c>
      <c r="L87" s="1715">
        <f t="shared" si="55"/>
        <v>5.1569506726457395E-2</v>
      </c>
      <c r="M87" s="1715">
        <f t="shared" si="55"/>
        <v>5.1569506726457395E-2</v>
      </c>
      <c r="N87" s="1715">
        <f t="shared" si="55"/>
        <v>6.2780269058295965E-2</v>
      </c>
      <c r="O87" s="1715">
        <f t="shared" si="55"/>
        <v>6.2780269058295965E-2</v>
      </c>
      <c r="P87" s="1715">
        <f t="shared" si="55"/>
        <v>6.2780269058295965E-2</v>
      </c>
      <c r="Q87" s="1715">
        <f>+Q85/$R$86</f>
        <v>6.2780269058295965E-2</v>
      </c>
      <c r="R87" s="1715">
        <f t="shared" si="55"/>
        <v>0.11210762331838565</v>
      </c>
      <c r="S87" s="1715">
        <f>+S85/$W$86</f>
        <v>1.2113243439825436E-2</v>
      </c>
      <c r="T87" s="1715">
        <f t="shared" ref="T87:W87" si="56">+T85/$W$86</f>
        <v>7.2679460638952628E-2</v>
      </c>
      <c r="U87" s="1715">
        <f t="shared" si="56"/>
        <v>0.10094369533187862</v>
      </c>
      <c r="V87" s="1715">
        <f t="shared" si="56"/>
        <v>0.14132117346463008</v>
      </c>
      <c r="W87" s="1715">
        <f t="shared" si="56"/>
        <v>0.6729424271247133</v>
      </c>
      <c r="X87" s="1715">
        <f>+X85/X86</f>
        <v>1</v>
      </c>
      <c r="Y87" s="1715">
        <f>+Y85/Z86</f>
        <v>0.48179551122194514</v>
      </c>
      <c r="Z87" s="1715">
        <f>+Z85/Z86</f>
        <v>0.51820448877805492</v>
      </c>
      <c r="AA87" s="1715">
        <f>+AA85/AC86</f>
        <v>0.33112191897251864</v>
      </c>
      <c r="AB87" s="1715">
        <f>+AB85/AC86</f>
        <v>0.33513551799036734</v>
      </c>
      <c r="AC87" s="1715">
        <f>+AC85/AC86</f>
        <v>0.33374256303711403</v>
      </c>
      <c r="AD87" s="1715">
        <f>+AD85/AE86</f>
        <v>0.46597863914556586</v>
      </c>
      <c r="AE87" s="1715">
        <f>+AE85/AE86</f>
        <v>0.53402136085443419</v>
      </c>
      <c r="AF87" s="1715">
        <f>+AF85/AG86</f>
        <v>0.49704946564055152</v>
      </c>
      <c r="AG87" s="1715">
        <f>+AG85/AG86</f>
        <v>0.50295053435944848</v>
      </c>
      <c r="AH87" s="1715">
        <f>+AH85/AJ86</f>
        <v>0.32221698036472485</v>
      </c>
      <c r="AI87" s="1715">
        <f>+AI85/AJ86</f>
        <v>0.33939581265962815</v>
      </c>
      <c r="AJ87" s="1715">
        <f>+AJ85/AJ86</f>
        <v>0.33838720697564706</v>
      </c>
      <c r="AK87" s="1715">
        <f>+AK85/$AN$86</f>
        <v>0.24990605035700866</v>
      </c>
      <c r="AL87" s="1715">
        <f t="shared" ref="AL87:AN87" si="57">+AL85/$AN$86</f>
        <v>0.2491544532130778</v>
      </c>
      <c r="AM87" s="1715">
        <f t="shared" si="57"/>
        <v>0.24840285606914694</v>
      </c>
      <c r="AN87" s="1715">
        <f t="shared" si="57"/>
        <v>0.25253664036076662</v>
      </c>
    </row>
  </sheetData>
  <pageMargins left="0.7" right="0.7" top="0.75" bottom="0.75" header="0.3" footer="0.3"/>
  <pageSetup paperSize="9" scale="10" orientation="portrait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7">
    <tabColor theme="6" tint="-0.249977111117893"/>
    <pageSetUpPr fitToPage="1"/>
  </sheetPr>
  <dimension ref="A1:AZ94"/>
  <sheetViews>
    <sheetView view="pageBreakPreview" topLeftCell="A2" zoomScale="49" zoomScaleNormal="100" zoomScaleSheetLayoutView="63" workbookViewId="0">
      <pane xSplit="1" ySplit="2" topLeftCell="AG18" activePane="bottomRight" state="frozen"/>
      <selection pane="bottomRight" activeCell="AO25" sqref="AO25"/>
      <selection pane="bottomLeft" activeCell="A4" sqref="A4"/>
      <selection pane="topRight" activeCell="B2" sqref="B2"/>
    </sheetView>
  </sheetViews>
  <sheetFormatPr defaultColWidth="9.140625" defaultRowHeight="15"/>
  <cols>
    <col min="1" max="1" width="37.85546875" style="142" bestFit="1" customWidth="1"/>
    <col min="2" max="2" width="23.42578125" style="142" bestFit="1" customWidth="1"/>
    <col min="3" max="3" width="19" style="142" bestFit="1" customWidth="1"/>
    <col min="4" max="4" width="23.42578125" style="142" bestFit="1" customWidth="1"/>
    <col min="5" max="5" width="19" style="142" bestFit="1" customWidth="1"/>
    <col min="6" max="6" width="21.85546875" style="142" bestFit="1" customWidth="1"/>
    <col min="7" max="11" width="21.28515625" style="142" bestFit="1" customWidth="1"/>
    <col min="12" max="13" width="20.5703125" style="142" bestFit="1" customWidth="1"/>
    <col min="14" max="17" width="21.28515625" style="142" bestFit="1" customWidth="1"/>
    <col min="18" max="18" width="21.85546875" style="142" bestFit="1" customWidth="1"/>
    <col min="19" max="20" width="21.28515625" style="142" bestFit="1" customWidth="1"/>
    <col min="21" max="21" width="21.85546875" style="142" bestFit="1" customWidth="1"/>
    <col min="22" max="22" width="21.28515625" style="142" bestFit="1" customWidth="1"/>
    <col min="23" max="23" width="26.85546875" style="142" bestFit="1" customWidth="1"/>
    <col min="24" max="25" width="21.85546875" style="142" bestFit="1" customWidth="1"/>
    <col min="26" max="30" width="23.42578125" style="142" bestFit="1" customWidth="1"/>
    <col min="31" max="31" width="23" style="142" bestFit="1" customWidth="1"/>
    <col min="32" max="32" width="22.5703125" style="142" bestFit="1" customWidth="1"/>
    <col min="33" max="33" width="24" style="142" bestFit="1" customWidth="1"/>
    <col min="34" max="34" width="22.28515625" style="142" bestFit="1" customWidth="1"/>
    <col min="35" max="38" width="24" style="142" bestFit="1" customWidth="1"/>
    <col min="39" max="39" width="23.42578125" style="142" bestFit="1" customWidth="1"/>
    <col min="40" max="40" width="21.85546875" style="142" bestFit="1" customWidth="1"/>
    <col min="41" max="42" width="23.42578125" style="142" bestFit="1" customWidth="1"/>
    <col min="43" max="43" width="22.28515625" style="142" bestFit="1" customWidth="1"/>
    <col min="44" max="44" width="23.42578125" style="142" bestFit="1" customWidth="1"/>
    <col min="45" max="45" width="21.85546875" style="142" bestFit="1" customWidth="1"/>
    <col min="46" max="46" width="21.85546875" style="142" customWidth="1"/>
    <col min="47" max="47" width="21.85546875" style="142" bestFit="1" customWidth="1"/>
    <col min="48" max="48" width="28.42578125" style="142" bestFit="1" customWidth="1"/>
    <col min="49" max="49" width="23.7109375" style="142" customWidth="1"/>
    <col min="50" max="50" width="17.7109375" style="142" bestFit="1" customWidth="1"/>
    <col min="51" max="51" width="14.140625" style="142" bestFit="1" customWidth="1"/>
    <col min="52" max="52" width="12.28515625" style="142" bestFit="1" customWidth="1"/>
    <col min="53" max="16384" width="9.140625" style="142"/>
  </cols>
  <sheetData>
    <row r="1" spans="1:52">
      <c r="AU1" s="1057"/>
      <c r="AV1" s="1057"/>
    </row>
    <row r="2" spans="1:52" ht="15.6">
      <c r="A2" s="1066" t="s">
        <v>1772</v>
      </c>
      <c r="B2" s="1079">
        <f>[1]Grasmere!B2</f>
        <v>1</v>
      </c>
      <c r="C2" s="1079">
        <f>[1]Grasmere!C2</f>
        <v>2</v>
      </c>
      <c r="D2" s="1079">
        <f>[1]Grasmere!D2</f>
        <v>3</v>
      </c>
      <c r="E2" s="1079">
        <f>[1]Grasmere!E2</f>
        <v>4</v>
      </c>
      <c r="F2" s="1079">
        <f>[1]Grasmere!F2</f>
        <v>5</v>
      </c>
      <c r="G2" s="1079">
        <f>[1]Grasmere!G2</f>
        <v>6</v>
      </c>
      <c r="H2" s="1079">
        <f>[1]Grasmere!H2</f>
        <v>7</v>
      </c>
      <c r="I2" s="1079">
        <f>[1]Grasmere!I2</f>
        <v>8</v>
      </c>
      <c r="J2" s="1079">
        <f>[1]Grasmere!J2</f>
        <v>9</v>
      </c>
      <c r="K2" s="1079">
        <f>[1]Grasmere!K2</f>
        <v>10</v>
      </c>
      <c r="L2" s="1079">
        <f>[1]Grasmere!L2</f>
        <v>11</v>
      </c>
      <c r="M2" s="1079">
        <f>[1]Grasmere!M2</f>
        <v>12</v>
      </c>
      <c r="N2" s="1079">
        <f>[1]Grasmere!N2</f>
        <v>13</v>
      </c>
      <c r="O2" s="1079">
        <f>[1]Grasmere!O2</f>
        <v>14</v>
      </c>
      <c r="P2" s="1079">
        <f>[1]Grasmere!P2</f>
        <v>15</v>
      </c>
      <c r="Q2" s="1079">
        <f>[1]Grasmere!Q2</f>
        <v>16</v>
      </c>
      <c r="R2" s="1079">
        <f>[1]Grasmere!R2</f>
        <v>17</v>
      </c>
      <c r="S2" s="1079">
        <f>[1]Grasmere!S2</f>
        <v>18</v>
      </c>
      <c r="T2" s="1079">
        <f>[1]Grasmere!T2</f>
        <v>19</v>
      </c>
      <c r="U2" s="1079">
        <f>[1]Grasmere!U2</f>
        <v>20</v>
      </c>
      <c r="V2" s="1079">
        <f>[1]Grasmere!V2</f>
        <v>21</v>
      </c>
      <c r="W2" s="1079">
        <f>[1]Grasmere!W2</f>
        <v>22</v>
      </c>
      <c r="X2" s="1079">
        <f>[1]Grasmere!X2</f>
        <v>23</v>
      </c>
      <c r="Y2" s="1079">
        <f>[1]Grasmere!Y2</f>
        <v>24</v>
      </c>
      <c r="Z2" s="1079">
        <f>[1]Grasmere!Z2</f>
        <v>25</v>
      </c>
      <c r="AA2" s="1079">
        <f>[1]Grasmere!AA2</f>
        <v>26</v>
      </c>
      <c r="AB2" s="1079">
        <f>[1]Grasmere!AB2</f>
        <v>27</v>
      </c>
      <c r="AC2" s="1079">
        <f>[1]Grasmere!AC2</f>
        <v>28</v>
      </c>
      <c r="AD2" s="1079">
        <f>[1]Grasmere!AD2</f>
        <v>29</v>
      </c>
      <c r="AE2" s="1079">
        <f>[1]Grasmere!AE2</f>
        <v>30</v>
      </c>
      <c r="AF2" s="1079">
        <f>[1]Grasmere!AF2</f>
        <v>31</v>
      </c>
      <c r="AG2" s="1079">
        <f>[1]Grasmere!AG2</f>
        <v>32</v>
      </c>
      <c r="AH2" s="1079">
        <f>[1]Grasmere!AH2</f>
        <v>33</v>
      </c>
      <c r="AI2" s="1079">
        <f>[1]Grasmere!AI2</f>
        <v>34</v>
      </c>
      <c r="AJ2" s="1079">
        <f>[1]Grasmere!AJ2</f>
        <v>35</v>
      </c>
      <c r="AK2" s="1079">
        <f>[1]Grasmere!AK2</f>
        <v>36</v>
      </c>
      <c r="AL2" s="1079">
        <f>[1]Grasmere!AL2</f>
        <v>37</v>
      </c>
      <c r="AM2" s="1079">
        <f>[1]Grasmere!AM2</f>
        <v>38</v>
      </c>
      <c r="AN2" s="1079"/>
      <c r="AO2" s="1079"/>
      <c r="AP2" s="1079"/>
      <c r="AQ2" s="1079"/>
      <c r="AR2" s="1079"/>
      <c r="AS2" s="1079"/>
      <c r="AT2" s="1079"/>
      <c r="AU2" s="1057"/>
      <c r="AV2" s="1057"/>
    </row>
    <row r="3" spans="1:52" ht="15.6">
      <c r="B3" s="1730" t="s">
        <v>1773</v>
      </c>
      <c r="C3" s="1730" t="s">
        <v>1773</v>
      </c>
      <c r="D3" s="1730" t="s">
        <v>1773</v>
      </c>
      <c r="E3" s="1730" t="s">
        <v>1773</v>
      </c>
      <c r="F3" s="1730" t="s">
        <v>1773</v>
      </c>
      <c r="G3" s="1730" t="s">
        <v>1773</v>
      </c>
      <c r="H3" s="1730" t="s">
        <v>1773</v>
      </c>
      <c r="I3" s="1730" t="s">
        <v>1773</v>
      </c>
      <c r="J3" s="1730" t="s">
        <v>1773</v>
      </c>
      <c r="K3" s="1730" t="s">
        <v>1773</v>
      </c>
      <c r="L3" s="1730" t="s">
        <v>1773</v>
      </c>
      <c r="M3" s="1730" t="s">
        <v>1773</v>
      </c>
      <c r="N3" s="1730" t="s">
        <v>1773</v>
      </c>
      <c r="O3" s="1730" t="s">
        <v>1773</v>
      </c>
      <c r="P3" s="1730" t="s">
        <v>1773</v>
      </c>
      <c r="Q3" s="1730" t="s">
        <v>1773</v>
      </c>
      <c r="R3" s="1730" t="s">
        <v>1774</v>
      </c>
      <c r="S3" s="1730" t="s">
        <v>1775</v>
      </c>
      <c r="T3" s="1730" t="s">
        <v>1775</v>
      </c>
      <c r="U3" s="1730" t="s">
        <v>1775</v>
      </c>
      <c r="V3" s="1730" t="s">
        <v>1776</v>
      </c>
      <c r="W3" s="1730" t="s">
        <v>1776</v>
      </c>
      <c r="X3" s="1730" t="s">
        <v>1777</v>
      </c>
      <c r="Y3" s="1730" t="s">
        <v>1777</v>
      </c>
      <c r="Z3" s="1730" t="s">
        <v>1777</v>
      </c>
      <c r="AA3" s="1730" t="s">
        <v>108</v>
      </c>
      <c r="AB3" s="1730" t="s">
        <v>108</v>
      </c>
      <c r="AC3" s="1730" t="s">
        <v>108</v>
      </c>
      <c r="AD3" s="1730" t="s">
        <v>1778</v>
      </c>
      <c r="AE3" s="1730" t="s">
        <v>1778</v>
      </c>
      <c r="AF3" s="1730" t="s">
        <v>1779</v>
      </c>
      <c r="AG3" s="1730" t="s">
        <v>1779</v>
      </c>
      <c r="AH3" s="1730" t="s">
        <v>1780</v>
      </c>
      <c r="AI3" s="1730" t="s">
        <v>1781</v>
      </c>
      <c r="AJ3" s="1730" t="s">
        <v>1781</v>
      </c>
      <c r="AK3" s="1730" t="s">
        <v>1781</v>
      </c>
      <c r="AL3" s="1730" t="s">
        <v>1781</v>
      </c>
      <c r="AM3" s="1731" t="s">
        <v>1781</v>
      </c>
      <c r="AN3" s="131"/>
      <c r="AO3" s="1079"/>
      <c r="AP3" s="1079"/>
      <c r="AQ3" s="1079"/>
      <c r="AR3" s="1079"/>
      <c r="AS3" s="1079"/>
      <c r="AT3" s="1079"/>
      <c r="AU3" s="1057"/>
      <c r="AV3" s="1057"/>
    </row>
    <row r="4" spans="1:52" ht="15.6">
      <c r="A4" s="1066" t="s">
        <v>1782</v>
      </c>
      <c r="B4" s="1079">
        <f>[1]Grasmere!B4</f>
        <v>23</v>
      </c>
      <c r="C4" s="1079">
        <f>[1]Grasmere!C4</f>
        <v>24</v>
      </c>
      <c r="D4" s="1079">
        <f>[1]Grasmere!D4</f>
        <v>25</v>
      </c>
      <c r="E4" s="1079">
        <f>[1]Grasmere!E4</f>
        <v>26</v>
      </c>
      <c r="F4" s="1079">
        <f>[1]Grasmere!F4</f>
        <v>27</v>
      </c>
      <c r="G4" s="1079">
        <f>[1]Grasmere!G4</f>
        <v>28</v>
      </c>
      <c r="H4" s="1079">
        <f>[1]Grasmere!H4</f>
        <v>29</v>
      </c>
      <c r="I4" s="1079">
        <f>[1]Grasmere!I4</f>
        <v>30</v>
      </c>
      <c r="J4" s="1079">
        <f>[1]Grasmere!J4</f>
        <v>31</v>
      </c>
      <c r="K4" s="1079">
        <f>[1]Grasmere!K4</f>
        <v>32</v>
      </c>
      <c r="L4" s="1079">
        <f>[1]Grasmere!L4</f>
        <v>33</v>
      </c>
      <c r="M4" s="1079">
        <f>[1]Grasmere!M4</f>
        <v>34</v>
      </c>
      <c r="N4" s="1079">
        <f>[1]Grasmere!N4</f>
        <v>35</v>
      </c>
      <c r="O4" s="1079">
        <f>[1]Grasmere!O4</f>
        <v>36</v>
      </c>
      <c r="P4" s="1079">
        <f>[1]Grasmere!P4</f>
        <v>37</v>
      </c>
      <c r="Q4" s="1079">
        <f>[1]Grasmere!Q4</f>
        <v>38</v>
      </c>
      <c r="R4" s="1079">
        <f>[1]Grasmere!R4</f>
        <v>39</v>
      </c>
      <c r="S4" s="1067">
        <f>[1]Grasmere!S4</f>
        <v>40</v>
      </c>
      <c r="T4" s="1079">
        <f>[1]Grasmere!T4</f>
        <v>41</v>
      </c>
      <c r="U4" s="1079">
        <f>[1]Grasmere!U4</f>
        <v>42</v>
      </c>
      <c r="V4" s="1079">
        <f>[1]Grasmere!V4</f>
        <v>43</v>
      </c>
      <c r="W4" s="1079">
        <f>[1]Grasmere!W4</f>
        <v>44</v>
      </c>
      <c r="X4" s="1079">
        <f>[1]Grasmere!X4</f>
        <v>45</v>
      </c>
      <c r="Y4" s="1079">
        <f>[1]Grasmere!Y4</f>
        <v>46</v>
      </c>
      <c r="Z4" s="1079">
        <f>[1]Grasmere!Z4</f>
        <v>47</v>
      </c>
      <c r="AA4" s="1079">
        <f>[1]Grasmere!AA4</f>
        <v>48</v>
      </c>
      <c r="AB4" s="1079">
        <f>[1]Grasmere!AB4</f>
        <v>49</v>
      </c>
      <c r="AC4" s="1079">
        <f>[1]Grasmere!AC4</f>
        <v>50</v>
      </c>
      <c r="AD4" s="1079">
        <f>[1]Grasmere!AD4</f>
        <v>51</v>
      </c>
      <c r="AE4" s="1079">
        <f>[1]Grasmere!AE4</f>
        <v>52</v>
      </c>
      <c r="AF4" s="1079">
        <f>[1]Grasmere!AF4</f>
        <v>1</v>
      </c>
      <c r="AG4" s="1079">
        <f>[1]Grasmere!AG4</f>
        <v>2</v>
      </c>
      <c r="AH4" s="1079">
        <f>[1]Grasmere!AH4</f>
        <v>3</v>
      </c>
      <c r="AI4" s="1079">
        <f>[1]Grasmere!AI4</f>
        <v>4</v>
      </c>
      <c r="AJ4" s="1079">
        <f>[1]Grasmere!AJ4</f>
        <v>5</v>
      </c>
      <c r="AK4" s="1079">
        <f>[1]Grasmere!AK4</f>
        <v>6</v>
      </c>
      <c r="AL4" s="1079">
        <f>[1]Grasmere!AL4</f>
        <v>7</v>
      </c>
      <c r="AM4" s="1079">
        <f>[1]Grasmere!AM4</f>
        <v>8</v>
      </c>
      <c r="AN4" s="1079"/>
      <c r="AO4" s="1079"/>
      <c r="AP4" s="1079"/>
      <c r="AQ4" s="1079"/>
      <c r="AR4" s="1079"/>
      <c r="AS4" s="1079"/>
      <c r="AT4" s="1079"/>
      <c r="AU4" s="1068"/>
      <c r="AV4" s="1068"/>
      <c r="AW4" s="1066"/>
      <c r="AX4" s="1066"/>
    </row>
    <row r="5" spans="1:52" ht="15.6">
      <c r="A5" s="1066" t="s">
        <v>1783</v>
      </c>
      <c r="B5" s="1079">
        <f>[1]Grasmere!B5</f>
        <v>-16</v>
      </c>
      <c r="C5" s="1079">
        <f>[1]Grasmere!C5</f>
        <v>-15</v>
      </c>
      <c r="D5" s="1079">
        <f>[1]Grasmere!D5</f>
        <v>-14</v>
      </c>
      <c r="E5" s="1079">
        <f>[1]Grasmere!E5</f>
        <v>-13</v>
      </c>
      <c r="F5" s="1079">
        <f>[1]Grasmere!F5</f>
        <v>-12</v>
      </c>
      <c r="G5" s="1079">
        <f>[1]Grasmere!G5</f>
        <v>-11</v>
      </c>
      <c r="H5" s="1079">
        <f>[1]Grasmere!H5</f>
        <v>-10</v>
      </c>
      <c r="I5" s="1079">
        <f>[1]Grasmere!I5</f>
        <v>-9</v>
      </c>
      <c r="J5" s="1079">
        <f>[1]Grasmere!J5</f>
        <v>-8</v>
      </c>
      <c r="K5" s="1079">
        <f>[1]Grasmere!K5</f>
        <v>-7</v>
      </c>
      <c r="L5" s="1079">
        <f>[1]Grasmere!L5</f>
        <v>-6</v>
      </c>
      <c r="M5" s="1079">
        <f>[1]Grasmere!M5</f>
        <v>-5</v>
      </c>
      <c r="N5" s="1079">
        <f>[1]Grasmere!N5</f>
        <v>-4</v>
      </c>
      <c r="O5" s="1079">
        <f>[1]Grasmere!O5</f>
        <v>-3</v>
      </c>
      <c r="P5" s="1079">
        <f>[1]Grasmere!P5</f>
        <v>-2</v>
      </c>
      <c r="Q5" s="1079">
        <f>[1]Grasmere!Q5</f>
        <v>-1</v>
      </c>
      <c r="R5" s="1079">
        <f>[1]Grasmere!R5</f>
        <v>0</v>
      </c>
      <c r="S5" s="1079">
        <f>[1]Grasmere!S5</f>
        <v>1</v>
      </c>
      <c r="T5" s="1079">
        <f>[1]Grasmere!T5</f>
        <v>2</v>
      </c>
      <c r="U5" s="1079">
        <f>[1]Grasmere!U5</f>
        <v>3</v>
      </c>
      <c r="V5" s="1079">
        <f>[1]Grasmere!V5</f>
        <v>4</v>
      </c>
      <c r="W5" s="1079">
        <f>[1]Grasmere!W5</f>
        <v>5</v>
      </c>
      <c r="X5" s="1079">
        <f>[1]Grasmere!X5</f>
        <v>6</v>
      </c>
      <c r="Y5" s="1079">
        <f>[1]Grasmere!Y5</f>
        <v>7</v>
      </c>
      <c r="Z5" s="1079">
        <f>[1]Grasmere!Z5</f>
        <v>8</v>
      </c>
      <c r="AA5" s="1079">
        <f>[1]Grasmere!AA5</f>
        <v>9</v>
      </c>
      <c r="AB5" s="1079">
        <f>[1]Grasmere!AB5</f>
        <v>10</v>
      </c>
      <c r="AC5" s="1079">
        <f>[1]Grasmere!AC5</f>
        <v>11</v>
      </c>
      <c r="AD5" s="1079">
        <f>[1]Grasmere!AD5</f>
        <v>12</v>
      </c>
      <c r="AE5" s="1079">
        <f>[1]Grasmere!AE5</f>
        <v>13</v>
      </c>
      <c r="AF5" s="1079">
        <f>[1]Grasmere!AF5</f>
        <v>14</v>
      </c>
      <c r="AG5" s="1079">
        <f>[1]Grasmere!AG5</f>
        <v>15</v>
      </c>
      <c r="AH5" s="1079">
        <f>[1]Grasmere!AH5</f>
        <v>16</v>
      </c>
      <c r="AI5" s="1079">
        <f>[1]Grasmere!AI5</f>
        <v>17</v>
      </c>
      <c r="AJ5" s="1079">
        <f>[1]Grasmere!AJ5</f>
        <v>18</v>
      </c>
      <c r="AK5" s="1079">
        <f>[1]Grasmere!AK5</f>
        <v>19</v>
      </c>
      <c r="AL5" s="1079">
        <f>[1]Grasmere!AL5</f>
        <v>20</v>
      </c>
      <c r="AM5" s="1079">
        <f>[1]Grasmere!AM5</f>
        <v>21</v>
      </c>
      <c r="AN5" s="1079" t="s">
        <v>1784</v>
      </c>
      <c r="AO5" s="1079" t="str">
        <f>[1]Grasmere!AO5</f>
        <v>Sold</v>
      </c>
      <c r="AP5" s="1079" t="str">
        <f>[1]Grasmere!AP5</f>
        <v>Sold</v>
      </c>
      <c r="AQ5" s="1079" t="str">
        <f>[1]Grasmere!AQ5</f>
        <v>Sold</v>
      </c>
      <c r="AR5" s="1079" t="str">
        <f>[1]Grasmere!AR5</f>
        <v>Sold</v>
      </c>
      <c r="AS5" s="1079" t="str">
        <f>[1]Grasmere!AS5</f>
        <v>Sold</v>
      </c>
      <c r="AT5" s="1079" t="s">
        <v>1784</v>
      </c>
      <c r="AU5" s="1069" t="s">
        <v>71</v>
      </c>
      <c r="AV5" s="1601" t="s">
        <v>1827</v>
      </c>
    </row>
    <row r="6" spans="1:52" ht="14.45" customHeight="1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U6" s="1057"/>
      <c r="AV6" s="1057"/>
    </row>
    <row r="7" spans="1:52" ht="15.6">
      <c r="A7" s="1066" t="s">
        <v>1786</v>
      </c>
      <c r="B7" s="1057"/>
      <c r="C7" s="1057"/>
      <c r="D7" s="1057"/>
      <c r="E7" s="1057"/>
      <c r="F7" s="1057"/>
      <c r="G7" s="1057"/>
      <c r="H7" s="1057"/>
      <c r="I7" s="1057"/>
      <c r="J7" s="1057"/>
      <c r="K7" s="1057"/>
      <c r="L7" s="1057"/>
      <c r="M7" s="1057"/>
      <c r="N7" s="1057"/>
      <c r="O7" s="1057"/>
      <c r="P7" s="1057"/>
      <c r="Q7" s="1057"/>
      <c r="R7" s="1057"/>
      <c r="S7" s="1057"/>
      <c r="T7" s="1057"/>
      <c r="U7" s="1057"/>
      <c r="V7" s="1057"/>
      <c r="W7" s="1057">
        <f>'[2]Richlands Pig Cost'!S29</f>
        <v>345</v>
      </c>
      <c r="X7" s="1057">
        <f>'[2]Richlands Pig Cost'!T29</f>
        <v>678</v>
      </c>
      <c r="Y7" s="1057">
        <f>'[2]Richlands Pig Cost'!U29</f>
        <v>636</v>
      </c>
      <c r="Z7" s="1057">
        <f>'[2]Richlands Pig Cost'!V29</f>
        <v>634</v>
      </c>
      <c r="AA7" s="1057">
        <f>'[2]Richlands Pig Cost'!W29</f>
        <v>674</v>
      </c>
      <c r="AB7" s="1057">
        <f>'[2]Richlands Pig Cost'!X29</f>
        <v>676</v>
      </c>
      <c r="AC7" s="1057">
        <f>'[2]Richlands Pig Cost'!Y29</f>
        <v>663</v>
      </c>
      <c r="AD7" s="1057">
        <f>'[2]Richlands Pig Cost'!Z29</f>
        <v>661</v>
      </c>
      <c r="AE7" s="1057">
        <f>'[2]Richlands Pig Cost'!AA29</f>
        <v>664</v>
      </c>
      <c r="AF7" s="1057">
        <f>'[2]Richlands Pig Cost'!AB29</f>
        <v>553</v>
      </c>
      <c r="AG7" s="1057">
        <f>'[2]Richlands Pig Cost'!AC29</f>
        <v>531</v>
      </c>
      <c r="AH7" s="1057">
        <f>'[2]Richlands Pig Cost'!AD29</f>
        <v>497</v>
      </c>
      <c r="AI7" s="1057">
        <f>'[2]Richlands Pig Cost'!AE29</f>
        <v>529</v>
      </c>
      <c r="AJ7" s="1057">
        <f>'[2]Richlands Pig Cost'!AF29</f>
        <v>518</v>
      </c>
      <c r="AK7" s="1057">
        <f>'[2]Richlands Pig Cost'!AG29</f>
        <v>513</v>
      </c>
      <c r="AL7" s="1057">
        <f>'[2]Richlands Pig Cost'!AH29</f>
        <v>531</v>
      </c>
      <c r="AM7" s="1057">
        <f>'[2]Richlands Pig Cost'!AI29</f>
        <v>603</v>
      </c>
      <c r="AN7" s="1057">
        <f>'[2]Richlands Pig Cost'!AJ29</f>
        <v>617</v>
      </c>
      <c r="AO7" s="1057">
        <f>'[2]Richlands Pig Cost'!AK29</f>
        <v>518</v>
      </c>
      <c r="AP7" s="1057">
        <f>'[2]Richlands Pig Cost'!AL29</f>
        <v>545</v>
      </c>
      <c r="AQ7" s="1057">
        <f>'[2]Richlands Pig Cost'!AM29</f>
        <v>556</v>
      </c>
      <c r="AR7" s="1057">
        <f>'[2]Richlands Pig Cost'!AN29</f>
        <v>15</v>
      </c>
      <c r="AS7" s="1057">
        <f>'[2]Richlands Pig Cost'!AO29</f>
        <v>0</v>
      </c>
      <c r="AT7" s="1057">
        <f>'[2]Richlands Pig Cost'!AP29</f>
        <v>0</v>
      </c>
      <c r="AU7" s="1057">
        <f>SUM(W7:AT7)</f>
        <v>12157</v>
      </c>
      <c r="AV7" s="1057">
        <f>'[2]Richlands Pig Cost'!AU29</f>
        <v>12157</v>
      </c>
      <c r="AW7" s="1170">
        <f t="shared" ref="AW7:AW28" si="0">AU7-AV7</f>
        <v>0</v>
      </c>
      <c r="AX7" s="818"/>
      <c r="AZ7" s="817"/>
    </row>
    <row r="8" spans="1:52" ht="15.6">
      <c r="A8" s="1066" t="s">
        <v>1787</v>
      </c>
      <c r="B8" s="1057">
        <v>0</v>
      </c>
      <c r="C8" s="1057"/>
      <c r="D8" s="1057"/>
      <c r="E8" s="1057"/>
      <c r="F8" s="1057"/>
      <c r="G8" s="807"/>
      <c r="H8" s="807"/>
      <c r="I8" s="807"/>
      <c r="J8" s="807"/>
      <c r="K8" s="807"/>
      <c r="L8" s="807"/>
      <c r="M8" s="807"/>
      <c r="N8" s="807"/>
      <c r="O8" s="807"/>
      <c r="P8" s="807"/>
      <c r="Q8" s="807"/>
      <c r="R8" s="807"/>
      <c r="S8" s="807">
        <f>238-12+57-6</f>
        <v>277</v>
      </c>
      <c r="T8" s="807">
        <f>218-10+250-13+245-17</f>
        <v>673</v>
      </c>
      <c r="U8" s="807">
        <f>211-6+226-11+223-12</f>
        <v>631</v>
      </c>
      <c r="V8" s="807">
        <f>215-7+253-19+216-12</f>
        <v>646</v>
      </c>
      <c r="W8" s="807">
        <f>350-2-14</f>
        <v>334</v>
      </c>
      <c r="X8" s="807"/>
      <c r="Y8" s="807"/>
      <c r="Z8" s="807"/>
      <c r="AA8" s="807"/>
      <c r="AB8" s="807"/>
      <c r="AC8" s="807"/>
      <c r="AD8" s="807"/>
      <c r="AE8" s="807"/>
      <c r="AF8" s="807"/>
      <c r="AG8" s="807"/>
      <c r="AH8" s="807"/>
      <c r="AI8" s="807"/>
      <c r="AJ8" s="807"/>
      <c r="AK8" s="807"/>
      <c r="AL8" s="807"/>
      <c r="AM8" s="807"/>
      <c r="AN8" s="807"/>
      <c r="AO8" s="807"/>
      <c r="AP8" s="807"/>
      <c r="AQ8" s="807"/>
      <c r="AR8" s="807"/>
      <c r="AS8" s="807"/>
      <c r="AT8" s="807"/>
      <c r="AU8" s="1057">
        <f>SUM(S8:AT8)</f>
        <v>2561</v>
      </c>
      <c r="AV8" s="1057">
        <f>SUM('Summary Total Pigs'!J108)</f>
        <v>2561</v>
      </c>
      <c r="AW8" s="1170">
        <f>AU8-AV8</f>
        <v>0</v>
      </c>
      <c r="AX8" s="818"/>
    </row>
    <row r="9" spans="1:52" ht="15.6">
      <c r="A9" s="1066" t="s">
        <v>212</v>
      </c>
      <c r="B9" s="1057"/>
      <c r="C9" s="1057"/>
      <c r="D9" s="1057"/>
      <c r="E9" s="1057"/>
      <c r="F9" s="1057"/>
      <c r="G9" s="807"/>
      <c r="H9" s="807"/>
      <c r="I9" s="807"/>
      <c r="J9" s="807"/>
      <c r="K9" s="807"/>
      <c r="L9" s="807"/>
      <c r="M9" s="807"/>
      <c r="N9" s="807"/>
      <c r="O9" s="807"/>
      <c r="P9" s="807"/>
      <c r="Q9" s="807"/>
      <c r="R9" s="807"/>
      <c r="S9" s="807"/>
      <c r="T9" s="807"/>
      <c r="U9" s="807"/>
      <c r="V9" s="807">
        <v>3</v>
      </c>
      <c r="W9" s="807">
        <v>2</v>
      </c>
      <c r="X9" s="807">
        <v>3</v>
      </c>
      <c r="Y9" s="1661">
        <v>2</v>
      </c>
      <c r="Z9" s="807">
        <v>13</v>
      </c>
      <c r="AA9" s="807"/>
      <c r="AB9" s="807"/>
      <c r="AC9" s="807"/>
      <c r="AD9" s="807"/>
      <c r="AE9" s="807"/>
      <c r="AF9" s="807"/>
      <c r="AG9" s="807"/>
      <c r="AH9" s="807"/>
      <c r="AI9" s="807"/>
      <c r="AJ9" s="807"/>
      <c r="AK9" s="807"/>
      <c r="AL9" s="807"/>
      <c r="AM9" s="807"/>
      <c r="AN9" s="807">
        <v>5</v>
      </c>
      <c r="AO9" s="807"/>
      <c r="AP9" s="807"/>
      <c r="AQ9" s="807"/>
      <c r="AR9" s="807"/>
      <c r="AU9" s="1057">
        <f>SUM(S9:AT9)</f>
        <v>28</v>
      </c>
      <c r="AV9" s="807">
        <f>SUM('Summary Total Pigs'!D108:D110)</f>
        <v>4625</v>
      </c>
      <c r="AW9" s="1170">
        <f t="shared" ref="AW9:AW10" si="1">AU9-AV9</f>
        <v>-4597</v>
      </c>
      <c r="AX9" s="818"/>
    </row>
    <row r="10" spans="1:52" ht="15.6">
      <c r="A10" s="1066" t="s">
        <v>1832</v>
      </c>
      <c r="B10" s="1057"/>
      <c r="C10" s="1057"/>
      <c r="D10" s="1057"/>
      <c r="E10" s="1057"/>
      <c r="F10" s="1057"/>
      <c r="G10" s="807"/>
      <c r="H10" s="807"/>
      <c r="I10" s="807"/>
      <c r="J10" s="807"/>
      <c r="K10" s="807"/>
      <c r="L10" s="807"/>
      <c r="M10" s="807"/>
      <c r="N10" s="807"/>
      <c r="O10" s="807"/>
      <c r="P10" s="807"/>
      <c r="Q10" s="807"/>
      <c r="R10" s="807"/>
      <c r="S10" s="807"/>
      <c r="T10" s="807"/>
      <c r="U10" s="807"/>
      <c r="V10" s="807"/>
      <c r="W10" s="807">
        <v>-3</v>
      </c>
      <c r="X10" s="1283">
        <f>-2-2</f>
        <v>-4</v>
      </c>
      <c r="Y10" s="807">
        <f>-13-3</f>
        <v>-16</v>
      </c>
      <c r="Z10" s="807"/>
      <c r="AA10" s="807"/>
      <c r="AB10" s="1661"/>
      <c r="AC10" s="807"/>
      <c r="AD10" s="807"/>
      <c r="AE10" s="807"/>
      <c r="AF10" s="807"/>
      <c r="AG10" s="807"/>
      <c r="AH10" s="807"/>
      <c r="AI10" s="807"/>
      <c r="AJ10" s="807"/>
      <c r="AK10" s="807"/>
      <c r="AL10" s="807"/>
      <c r="AM10" s="1283"/>
      <c r="AN10" s="807"/>
      <c r="AO10" s="807">
        <v>-5</v>
      </c>
      <c r="AP10" s="1661"/>
      <c r="AQ10" s="807"/>
      <c r="AR10" s="807"/>
      <c r="AS10" s="807"/>
      <c r="AT10" s="807"/>
      <c r="AU10" s="1057">
        <f t="shared" ref="AU10" si="2">SUM(S10:AT10)</f>
        <v>-28</v>
      </c>
      <c r="AV10" s="807">
        <f>SUM('Summary Total Pigs'!N108:N110)+'Summary Total Pigs'!D111</f>
        <v>-4625</v>
      </c>
      <c r="AW10" s="1170">
        <f t="shared" si="1"/>
        <v>4597</v>
      </c>
      <c r="AX10" s="818"/>
    </row>
    <row r="11" spans="1:52" ht="15.6">
      <c r="A11" s="1066" t="s">
        <v>1789</v>
      </c>
      <c r="B11" s="1068">
        <f t="shared" ref="B11:R11" si="3">SUM(B7:B9)</f>
        <v>0</v>
      </c>
      <c r="C11" s="1068">
        <f t="shared" si="3"/>
        <v>0</v>
      </c>
      <c r="D11" s="1068">
        <f t="shared" si="3"/>
        <v>0</v>
      </c>
      <c r="E11" s="1068">
        <f t="shared" si="3"/>
        <v>0</v>
      </c>
      <c r="F11" s="1068">
        <f t="shared" si="3"/>
        <v>0</v>
      </c>
      <c r="G11" s="1068">
        <f t="shared" si="3"/>
        <v>0</v>
      </c>
      <c r="H11" s="1068">
        <f t="shared" si="3"/>
        <v>0</v>
      </c>
      <c r="I11" s="1068">
        <f t="shared" si="3"/>
        <v>0</v>
      </c>
      <c r="J11" s="1068">
        <f t="shared" si="3"/>
        <v>0</v>
      </c>
      <c r="K11" s="1068">
        <f t="shared" si="3"/>
        <v>0</v>
      </c>
      <c r="L11" s="1068">
        <f t="shared" si="3"/>
        <v>0</v>
      </c>
      <c r="M11" s="1068">
        <f t="shared" si="3"/>
        <v>0</v>
      </c>
      <c r="N11" s="1068">
        <f t="shared" si="3"/>
        <v>0</v>
      </c>
      <c r="O11" s="1068">
        <f t="shared" si="3"/>
        <v>0</v>
      </c>
      <c r="P11" s="1068">
        <f t="shared" si="3"/>
        <v>0</v>
      </c>
      <c r="Q11" s="1068">
        <f t="shared" si="3"/>
        <v>0</v>
      </c>
      <c r="R11" s="1068">
        <f t="shared" si="3"/>
        <v>0</v>
      </c>
      <c r="S11" s="1068">
        <f t="shared" ref="S11:AU11" si="4">SUM(S7:S10)</f>
        <v>277</v>
      </c>
      <c r="T11" s="1068">
        <f t="shared" si="4"/>
        <v>673</v>
      </c>
      <c r="U11" s="1068">
        <f t="shared" si="4"/>
        <v>631</v>
      </c>
      <c r="V11" s="1068">
        <f t="shared" si="4"/>
        <v>649</v>
      </c>
      <c r="W11" s="1068">
        <f t="shared" si="4"/>
        <v>678</v>
      </c>
      <c r="X11" s="1068">
        <f t="shared" si="4"/>
        <v>677</v>
      </c>
      <c r="Y11" s="1068">
        <f t="shared" si="4"/>
        <v>622</v>
      </c>
      <c r="Z11" s="1068">
        <f t="shared" si="4"/>
        <v>647</v>
      </c>
      <c r="AA11" s="1068">
        <f t="shared" si="4"/>
        <v>674</v>
      </c>
      <c r="AB11" s="1068">
        <f t="shared" si="4"/>
        <v>676</v>
      </c>
      <c r="AC11" s="1068">
        <f t="shared" si="4"/>
        <v>663</v>
      </c>
      <c r="AD11" s="1068">
        <f t="shared" si="4"/>
        <v>661</v>
      </c>
      <c r="AE11" s="1068">
        <f t="shared" si="4"/>
        <v>664</v>
      </c>
      <c r="AF11" s="1068">
        <f t="shared" si="4"/>
        <v>553</v>
      </c>
      <c r="AG11" s="1068">
        <f t="shared" si="4"/>
        <v>531</v>
      </c>
      <c r="AH11" s="1068">
        <f t="shared" si="4"/>
        <v>497</v>
      </c>
      <c r="AI11" s="1068">
        <f t="shared" si="4"/>
        <v>529</v>
      </c>
      <c r="AJ11" s="1068">
        <f t="shared" si="4"/>
        <v>518</v>
      </c>
      <c r="AK11" s="1068">
        <f t="shared" si="4"/>
        <v>513</v>
      </c>
      <c r="AL11" s="1068">
        <f t="shared" si="4"/>
        <v>531</v>
      </c>
      <c r="AM11" s="1068">
        <f t="shared" si="4"/>
        <v>603</v>
      </c>
      <c r="AN11" s="1068">
        <f t="shared" si="4"/>
        <v>622</v>
      </c>
      <c r="AO11" s="1068">
        <f t="shared" si="4"/>
        <v>513</v>
      </c>
      <c r="AP11" s="1068">
        <f t="shared" si="4"/>
        <v>545</v>
      </c>
      <c r="AQ11" s="1068">
        <f>SUM(AQ7:AQ10)</f>
        <v>556</v>
      </c>
      <c r="AR11" s="1068">
        <f t="shared" si="4"/>
        <v>15</v>
      </c>
      <c r="AS11" s="1068">
        <f t="shared" si="4"/>
        <v>0</v>
      </c>
      <c r="AT11" s="1068">
        <f t="shared" si="4"/>
        <v>0</v>
      </c>
      <c r="AU11" s="1068">
        <f t="shared" si="4"/>
        <v>14718</v>
      </c>
      <c r="AV11" s="1068">
        <f>SUM(AV7:AV10)</f>
        <v>14718</v>
      </c>
      <c r="AW11" s="1170">
        <f>AU11-AV11</f>
        <v>0</v>
      </c>
      <c r="AX11" s="1066"/>
    </row>
    <row r="12" spans="1:52" ht="13.5" customHeight="1">
      <c r="A12" s="142" t="str">
        <f>+'Grasmere Pig Cost'!A12</f>
        <v>Transfers Lionshead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Y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807"/>
      <c r="AL12" s="807"/>
      <c r="AM12" s="807"/>
      <c r="AN12" s="807"/>
      <c r="AO12" s="807"/>
      <c r="AP12" s="807"/>
      <c r="AQ12" s="807"/>
      <c r="AR12" s="807"/>
      <c r="AS12" s="807"/>
      <c r="AT12" s="807"/>
      <c r="AU12" s="807">
        <f>SUM(B12:AT12)</f>
        <v>0</v>
      </c>
      <c r="AV12" s="807">
        <f>SUM('Summary Total Pigs'!P108:P110,'Summary Total Pigs'!F108:F110)</f>
        <v>0</v>
      </c>
      <c r="AW12" s="1170">
        <f>AU12-AV12</f>
        <v>0</v>
      </c>
    </row>
    <row r="13" spans="1:52">
      <c r="A13" s="142" t="str">
        <f>+'Grasmere Pig Cost'!A13</f>
        <v>Transfers Lionshead Ext.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/>
      <c r="X13" s="807"/>
      <c r="Y13" s="807"/>
      <c r="Z13" s="807"/>
      <c r="AA13" s="807"/>
      <c r="AB13" s="807">
        <v>-40</v>
      </c>
      <c r="AC13" s="807">
        <v>-110</v>
      </c>
      <c r="AD13" s="807">
        <v>-90</v>
      </c>
      <c r="AE13" s="807">
        <v>-140</v>
      </c>
      <c r="AF13" s="807"/>
      <c r="AG13" s="807"/>
      <c r="AH13" s="807"/>
      <c r="AI13" s="807"/>
      <c r="AJ13" s="807"/>
      <c r="AK13" s="807"/>
      <c r="AL13" s="807"/>
      <c r="AM13" s="807"/>
      <c r="AN13" s="807"/>
      <c r="AO13" s="807"/>
      <c r="AP13" s="807"/>
      <c r="AQ13" s="807"/>
      <c r="AR13" s="807"/>
      <c r="AS13" s="807"/>
      <c r="AT13" s="807"/>
      <c r="AU13" s="807">
        <f t="shared" ref="AU13:AU26" si="5">SUM(B13:AT13)</f>
        <v>-380</v>
      </c>
      <c r="AV13" s="807">
        <f>SUM('Summary Total Pigs'!G108:G110,'Summary Total Pigs'!Q108:Q110)</f>
        <v>-380</v>
      </c>
      <c r="AW13" s="1170">
        <f t="shared" si="0"/>
        <v>0</v>
      </c>
    </row>
    <row r="14" spans="1:52" ht="13.5" customHeight="1">
      <c r="A14" s="142" t="s">
        <v>1833</v>
      </c>
      <c r="B14" s="807"/>
      <c r="C14" s="807"/>
      <c r="D14" s="807"/>
      <c r="E14" s="807"/>
      <c r="F14" s="807"/>
      <c r="G14" s="807"/>
      <c r="H14" s="807"/>
      <c r="I14" s="807"/>
      <c r="J14" s="807"/>
      <c r="K14" s="807"/>
      <c r="L14" s="807"/>
      <c r="M14" s="807"/>
      <c r="N14" s="807"/>
      <c r="O14" s="807"/>
      <c r="P14" s="807"/>
      <c r="Q14" s="807"/>
      <c r="R14" s="807"/>
      <c r="S14" s="807"/>
      <c r="T14" s="807"/>
      <c r="U14" s="807"/>
      <c r="V14" s="807"/>
      <c r="W14" s="807"/>
      <c r="X14" s="807"/>
      <c r="Y14" s="807"/>
      <c r="AC14" s="807"/>
      <c r="AD14" s="807"/>
      <c r="AE14" s="807"/>
      <c r="AF14" s="807"/>
      <c r="AG14" s="807"/>
      <c r="AH14" s="807"/>
      <c r="AI14" s="807"/>
      <c r="AJ14" s="807"/>
      <c r="AK14" s="807"/>
      <c r="AL14" s="807"/>
      <c r="AM14" s="807"/>
      <c r="AN14" s="807"/>
      <c r="AO14" s="807"/>
      <c r="AP14" s="807"/>
      <c r="AQ14" s="807"/>
      <c r="AR14" s="807"/>
      <c r="AS14" s="807"/>
      <c r="AT14" s="807"/>
      <c r="AU14" s="807">
        <f t="shared" si="5"/>
        <v>0</v>
      </c>
      <c r="AV14" s="807">
        <f>SUM('Summary Total Pigs'!E108:E110,'Summary Total Pigs'!O108:O110)</f>
        <v>0</v>
      </c>
      <c r="AW14" s="1170">
        <f t="shared" si="0"/>
        <v>0</v>
      </c>
    </row>
    <row r="15" spans="1:52">
      <c r="A15" s="142" t="str">
        <f>+'Grasmere Pig Cost'!A15</f>
        <v>Transfers Learig</v>
      </c>
      <c r="B15" s="807"/>
      <c r="C15" s="807"/>
      <c r="D15" s="807"/>
      <c r="E15" s="807"/>
      <c r="F15" s="807"/>
      <c r="G15" s="807"/>
      <c r="H15" s="807"/>
      <c r="I15" s="807"/>
      <c r="J15" s="807"/>
      <c r="K15" s="807"/>
      <c r="L15" s="807"/>
      <c r="M15" s="807"/>
      <c r="N15" s="807"/>
      <c r="O15" s="807"/>
      <c r="P15" s="807"/>
      <c r="Q15" s="807"/>
      <c r="R15" s="807"/>
      <c r="S15" s="807"/>
      <c r="T15" s="807"/>
      <c r="U15" s="807"/>
      <c r="V15" s="807"/>
      <c r="W15" s="807"/>
      <c r="X15" s="807"/>
      <c r="Y15" s="807"/>
      <c r="Z15" s="807"/>
      <c r="AA15" s="807"/>
      <c r="AB15" s="807"/>
      <c r="AC15" s="807"/>
      <c r="AD15" s="807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807"/>
      <c r="AP15" s="807"/>
      <c r="AQ15" s="807"/>
      <c r="AR15" s="807"/>
      <c r="AS15" s="807"/>
      <c r="AT15" s="807"/>
      <c r="AU15" s="807">
        <f t="shared" si="5"/>
        <v>0</v>
      </c>
      <c r="AV15" s="807">
        <f>SUM('Summary Total Pigs'!H108:H110,'Summary Total Pigs'!R108:R110)</f>
        <v>0</v>
      </c>
      <c r="AW15" s="1170">
        <f t="shared" si="0"/>
        <v>0</v>
      </c>
    </row>
    <row r="16" spans="1:52">
      <c r="A16" s="142" t="str">
        <f>+'Grasmere Pig Cost'!A16</f>
        <v>Transfers Villa</v>
      </c>
      <c r="B16" s="807"/>
      <c r="C16" s="807"/>
      <c r="D16" s="807"/>
      <c r="E16" s="807"/>
      <c r="F16" s="807"/>
      <c r="G16" s="807"/>
      <c r="H16" s="807"/>
      <c r="I16" s="807"/>
      <c r="J16" s="807"/>
      <c r="K16" s="807"/>
      <c r="L16" s="807"/>
      <c r="M16" s="807"/>
      <c r="N16" s="807"/>
      <c r="O16" s="807"/>
      <c r="P16" s="807"/>
      <c r="Q16" s="807"/>
      <c r="R16" s="807"/>
      <c r="S16" s="807"/>
      <c r="T16" s="807"/>
      <c r="U16" s="807"/>
      <c r="V16" s="807"/>
      <c r="W16" s="807"/>
      <c r="X16" s="807"/>
      <c r="Y16" s="807"/>
      <c r="Z16" s="807"/>
      <c r="AA16" s="807"/>
      <c r="AB16" s="807"/>
      <c r="AC16" s="807"/>
      <c r="AD16" s="807"/>
      <c r="AE16" s="807"/>
      <c r="AF16" s="807"/>
      <c r="AG16" s="807"/>
      <c r="AH16" s="807"/>
      <c r="AI16" s="807"/>
      <c r="AJ16" s="807"/>
      <c r="AK16" s="807"/>
      <c r="AL16" s="807"/>
      <c r="AM16" s="807"/>
      <c r="AN16" s="807"/>
      <c r="AO16" s="807"/>
      <c r="AP16" s="807"/>
      <c r="AQ16" s="807"/>
      <c r="AR16" s="807"/>
      <c r="AS16" s="807"/>
      <c r="AT16" s="807"/>
      <c r="AU16" s="807">
        <f t="shared" si="5"/>
        <v>0</v>
      </c>
      <c r="AV16" s="807">
        <f>SUM('Summary Total Pigs'!I108:I110,'Summary Total Pigs'!S108:S110)</f>
        <v>0</v>
      </c>
      <c r="AW16" s="1170">
        <f t="shared" si="0"/>
        <v>0</v>
      </c>
    </row>
    <row r="17" spans="1:51">
      <c r="A17" s="142" t="str">
        <f>+'Grasmere Pig Cost'!A17</f>
        <v>Transfers Porta</v>
      </c>
      <c r="B17" s="807"/>
      <c r="C17" s="807"/>
      <c r="D17" s="807"/>
      <c r="E17" s="807"/>
      <c r="F17" s="807"/>
      <c r="G17" s="807"/>
      <c r="H17" s="807"/>
      <c r="I17" s="807"/>
      <c r="J17" s="807"/>
      <c r="K17" s="807"/>
      <c r="L17" s="807"/>
      <c r="M17" s="807"/>
      <c r="N17" s="807"/>
      <c r="O17" s="807"/>
      <c r="P17" s="807"/>
      <c r="Q17" s="807"/>
      <c r="R17" s="807"/>
      <c r="S17" s="807"/>
      <c r="T17" s="807"/>
      <c r="U17" s="807"/>
      <c r="V17" s="807"/>
      <c r="W17" s="807"/>
      <c r="X17" s="807"/>
      <c r="Y17" s="807"/>
      <c r="Z17" s="807"/>
      <c r="AA17" s="807"/>
      <c r="AB17" s="807"/>
      <c r="AC17" s="807"/>
      <c r="AD17" s="807"/>
      <c r="AE17" s="807"/>
      <c r="AF17" s="807"/>
      <c r="AG17" s="807"/>
      <c r="AH17" s="807"/>
      <c r="AI17" s="807"/>
      <c r="AJ17" s="807"/>
      <c r="AK17" s="807"/>
      <c r="AL17" s="807"/>
      <c r="AM17" s="807"/>
      <c r="AN17" s="807"/>
      <c r="AO17" s="807"/>
      <c r="AP17" s="807"/>
      <c r="AQ17" s="807"/>
      <c r="AR17" s="807"/>
      <c r="AS17" s="807"/>
      <c r="AT17" s="807"/>
      <c r="AU17" s="807"/>
      <c r="AV17" s="807"/>
      <c r="AW17" s="1170"/>
    </row>
    <row r="18" spans="1:51">
      <c r="A18" s="142" t="str">
        <f>+'Grasmere Pig Cost'!A18</f>
        <v>Transfers Multiplier</v>
      </c>
      <c r="B18" s="807"/>
      <c r="C18" s="807"/>
      <c r="D18" s="807"/>
      <c r="E18" s="807"/>
      <c r="F18" s="807"/>
      <c r="G18" s="807"/>
      <c r="H18" s="807"/>
      <c r="I18" s="807"/>
      <c r="J18" s="807"/>
      <c r="K18" s="807"/>
      <c r="L18" s="807"/>
      <c r="M18" s="807"/>
      <c r="N18" s="807"/>
      <c r="O18" s="807"/>
      <c r="P18" s="807"/>
      <c r="Q18" s="807"/>
      <c r="R18" s="807"/>
      <c r="S18" s="807"/>
      <c r="T18" s="807"/>
      <c r="U18" s="807"/>
      <c r="V18" s="807"/>
      <c r="W18" s="807"/>
      <c r="X18" s="807"/>
      <c r="Y18" s="807"/>
      <c r="Z18" s="807"/>
      <c r="AA18" s="807"/>
      <c r="AB18" s="807"/>
      <c r="AC18" s="807"/>
      <c r="AD18" s="807"/>
      <c r="AE18" s="807"/>
      <c r="AF18" s="807"/>
      <c r="AG18" s="807"/>
      <c r="AH18" s="807"/>
      <c r="AI18" s="807"/>
      <c r="AJ18" s="807"/>
      <c r="AK18" s="807"/>
      <c r="AL18" s="807"/>
      <c r="AM18" s="807"/>
      <c r="AN18" s="807"/>
      <c r="AO18" s="807"/>
      <c r="AP18" s="807"/>
      <c r="AQ18" s="807"/>
      <c r="AR18" s="807"/>
      <c r="AS18" s="807"/>
      <c r="AT18" s="807"/>
      <c r="AU18" s="807"/>
      <c r="AV18" s="807"/>
      <c r="AW18" s="1170"/>
    </row>
    <row r="19" spans="1:51">
      <c r="A19" s="142">
        <f>+'Grasmere Pig Cost'!A19</f>
        <v>0</v>
      </c>
      <c r="B19" s="807"/>
      <c r="C19" s="807"/>
      <c r="D19" s="807"/>
      <c r="E19" s="807"/>
      <c r="F19" s="807"/>
      <c r="G19" s="807"/>
      <c r="H19" s="807"/>
      <c r="I19" s="807"/>
      <c r="J19" s="807"/>
      <c r="K19" s="807"/>
      <c r="L19" s="807"/>
      <c r="M19" s="807"/>
      <c r="N19" s="807"/>
      <c r="O19" s="807"/>
      <c r="P19" s="807"/>
      <c r="Q19" s="807"/>
      <c r="R19" s="807"/>
      <c r="S19" s="807"/>
      <c r="T19" s="807"/>
      <c r="U19" s="807"/>
      <c r="V19" s="807"/>
      <c r="W19" s="807"/>
      <c r="X19" s="807"/>
      <c r="Y19" s="807"/>
      <c r="Z19" s="807"/>
      <c r="AA19" s="807"/>
      <c r="AB19" s="807"/>
      <c r="AC19" s="807"/>
      <c r="AD19" s="807"/>
      <c r="AE19" s="807"/>
      <c r="AF19" s="807"/>
      <c r="AG19" s="807"/>
      <c r="AH19" s="807"/>
      <c r="AI19" s="807"/>
      <c r="AJ19" s="807"/>
      <c r="AK19" s="807"/>
      <c r="AL19" s="807"/>
      <c r="AM19" s="807"/>
      <c r="AN19" s="807"/>
      <c r="AO19" s="807"/>
      <c r="AP19" s="807"/>
      <c r="AQ19" s="807"/>
      <c r="AR19" s="807"/>
      <c r="AS19" s="807"/>
      <c r="AT19" s="807"/>
      <c r="AU19" s="807"/>
      <c r="AV19" s="807"/>
      <c r="AW19" s="1170"/>
    </row>
    <row r="20" spans="1:51">
      <c r="A20" s="142" t="str">
        <f>+'Grasmere Pig Cost'!A20</f>
        <v>Transfers  Boars</v>
      </c>
      <c r="B20" s="807"/>
      <c r="C20" s="807"/>
      <c r="D20" s="807"/>
      <c r="E20" s="807"/>
      <c r="F20" s="807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  <c r="V20" s="807"/>
      <c r="W20" s="807"/>
      <c r="X20" s="807"/>
      <c r="Y20" s="807"/>
      <c r="Z20" s="807"/>
      <c r="AA20" s="807"/>
      <c r="AB20" s="807"/>
      <c r="AC20" s="807"/>
      <c r="AD20" s="807"/>
      <c r="AE20" s="807"/>
      <c r="AF20" s="807"/>
      <c r="AG20" s="807"/>
      <c r="AH20" s="807"/>
      <c r="AI20" s="807"/>
      <c r="AJ20" s="807"/>
      <c r="AK20" s="807"/>
      <c r="AL20" s="807"/>
      <c r="AM20" s="807"/>
      <c r="AN20" s="807"/>
      <c r="AO20" s="807"/>
      <c r="AP20" s="807"/>
      <c r="AQ20" s="807"/>
      <c r="AR20" s="807"/>
      <c r="AS20" s="807"/>
      <c r="AT20" s="807"/>
      <c r="AU20" s="807">
        <f t="shared" si="5"/>
        <v>0</v>
      </c>
      <c r="AV20" s="807">
        <v>0</v>
      </c>
      <c r="AW20" s="1170">
        <f t="shared" si="0"/>
        <v>0</v>
      </c>
    </row>
    <row r="21" spans="1:51">
      <c r="A21" s="142" t="str">
        <f>+'Grasmere Pig Cost'!A21</f>
        <v>Transfers Grower</v>
      </c>
      <c r="B21" s="807"/>
      <c r="C21" s="807"/>
      <c r="D21" s="807"/>
      <c r="E21" s="807"/>
      <c r="F21" s="807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/>
      <c r="T21" s="807"/>
      <c r="U21" s="807"/>
      <c r="V21" s="807"/>
      <c r="W21" s="807">
        <v>12</v>
      </c>
      <c r="X21" s="807">
        <v>9</v>
      </c>
      <c r="Y21" s="807">
        <v>10</v>
      </c>
      <c r="Z21" s="807">
        <v>14</v>
      </c>
      <c r="AA21" s="807"/>
      <c r="AB21" s="807"/>
      <c r="AC21" s="807"/>
      <c r="AD21" s="807"/>
      <c r="AE21" s="807"/>
      <c r="AF21" s="807"/>
      <c r="AG21" s="807"/>
      <c r="AH21" s="807"/>
      <c r="AI21" s="807"/>
      <c r="AJ21" s="807"/>
      <c r="AK21" s="807"/>
      <c r="AL21" s="807"/>
      <c r="AM21" s="807"/>
      <c r="AN21" s="807"/>
      <c r="AO21" s="807"/>
      <c r="AP21" s="807"/>
      <c r="AQ21" s="807"/>
      <c r="AR21" s="807"/>
      <c r="AS21" s="807"/>
      <c r="AT21" s="807"/>
      <c r="AU21" s="807">
        <f>SUM(B21:AT21)</f>
        <v>45</v>
      </c>
      <c r="AV21" s="807">
        <f>+'Summary Total Pigs'!L114</f>
        <v>45</v>
      </c>
      <c r="AW21" s="1170">
        <f>AU21-AV21</f>
        <v>0</v>
      </c>
    </row>
    <row r="22" spans="1:51">
      <c r="A22" s="142" t="str">
        <f>+'Grasmere Pig Cost'!A22</f>
        <v>Transfer to Sick Block</v>
      </c>
      <c r="B22" s="807"/>
      <c r="C22" s="807"/>
      <c r="D22" s="807"/>
      <c r="E22" s="807"/>
      <c r="F22" s="807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7"/>
      <c r="AB22" s="807"/>
      <c r="AC22" s="807"/>
      <c r="AD22" s="807"/>
      <c r="AE22" s="807"/>
      <c r="AF22" s="807"/>
      <c r="AG22" s="807"/>
      <c r="AH22" s="807"/>
      <c r="AI22" s="807"/>
      <c r="AJ22" s="807"/>
      <c r="AK22" s="807"/>
      <c r="AL22" s="807"/>
      <c r="AM22" s="807"/>
      <c r="AN22" s="807"/>
      <c r="AO22" s="807"/>
      <c r="AP22" s="807"/>
      <c r="AQ22" s="807"/>
      <c r="AR22" s="807"/>
      <c r="AS22" s="807"/>
      <c r="AT22" s="807"/>
      <c r="AU22" s="807">
        <f t="shared" si="5"/>
        <v>0</v>
      </c>
      <c r="AV22" s="807"/>
      <c r="AW22" s="1170"/>
    </row>
    <row r="23" spans="1:51" ht="15.6">
      <c r="A23" s="142" t="str">
        <f>+'Grasmere Pig Cost'!A23</f>
        <v>Transfers Gilts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>
        <v>-14</v>
      </c>
      <c r="AD23" s="807">
        <v>-14</v>
      </c>
      <c r="AE23" s="807">
        <v>-12</v>
      </c>
      <c r="AF23" s="807">
        <v>-14</v>
      </c>
      <c r="AG23" s="807"/>
      <c r="AH23" s="807"/>
      <c r="AI23" s="807"/>
      <c r="AJ23" s="807"/>
      <c r="AK23" s="807"/>
      <c r="AL23" s="807"/>
      <c r="AM23" s="1282"/>
      <c r="AN23" s="807"/>
      <c r="AO23" s="1796"/>
      <c r="AP23" s="1661"/>
      <c r="AQ23" s="807"/>
      <c r="AR23" s="807"/>
      <c r="AS23" s="807"/>
      <c r="AT23" s="807"/>
      <c r="AU23" s="807">
        <f t="shared" si="5"/>
        <v>-54</v>
      </c>
      <c r="AV23" s="807">
        <f>-SUM('Summary Total Pigs'!D111)</f>
        <v>-54</v>
      </c>
      <c r="AW23" s="1170">
        <f t="shared" si="0"/>
        <v>0</v>
      </c>
      <c r="AX23" s="818"/>
    </row>
    <row r="24" spans="1:51">
      <c r="A24" s="142" t="str">
        <f>+'Grasmere Pig Cost'!A24</f>
        <v>Mortality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>
        <v>-1</v>
      </c>
      <c r="T24" s="807">
        <f>-1-1-2-9-2-4-8-2-2-5</f>
        <v>-36</v>
      </c>
      <c r="U24" s="807">
        <f>-4-6-3-1-3-1-1-2-2-6</f>
        <v>-29</v>
      </c>
      <c r="V24" s="807">
        <f>-1-3-2-8-4-1-2-1-1-1-8-7-1-1-2-5</f>
        <v>-48</v>
      </c>
      <c r="W24" s="807">
        <f>-6-10-6-2-6-2-4-2-2-3-1-2-1-1-1-3</f>
        <v>-52</v>
      </c>
      <c r="X24" s="807">
        <f>-2-3-4-9-8-7-3-2-6-2-2-2-2-1-1-2-2-4-2</f>
        <v>-64</v>
      </c>
      <c r="Y24" s="807">
        <f>-2-2-2-2-3-1-3-1-4-1-1-2-1-1-1</f>
        <v>-27</v>
      </c>
      <c r="Z24" s="807">
        <f>-3-3-6-1-2-2-1-2-1-2-3-1-2-3-2</f>
        <v>-34</v>
      </c>
      <c r="AA24" s="807">
        <f>-2-1-2</f>
        <v>-5</v>
      </c>
      <c r="AB24" s="807">
        <f>-1-2-1-2-2</f>
        <v>-8</v>
      </c>
      <c r="AC24" s="807">
        <f>-1-1</f>
        <v>-2</v>
      </c>
      <c r="AD24" s="807">
        <f>-2-1-1-1</f>
        <v>-5</v>
      </c>
      <c r="AE24" s="807">
        <f>-1-1-1-1-1-1-1</f>
        <v>-7</v>
      </c>
      <c r="AF24" s="807">
        <f>-1-1</f>
        <v>-2</v>
      </c>
      <c r="AG24" s="807">
        <f>-1-1-1-1</f>
        <v>-4</v>
      </c>
      <c r="AH24" s="807">
        <f>-1-1</f>
        <v>-2</v>
      </c>
      <c r="AI24" s="807">
        <v>-1</v>
      </c>
      <c r="AJ24" s="807">
        <f>-1-1</f>
        <v>-2</v>
      </c>
      <c r="AK24" s="807">
        <f>-1-1</f>
        <v>-2</v>
      </c>
      <c r="AL24" s="807">
        <f>-1-1-1</f>
        <v>-3</v>
      </c>
      <c r="AM24" s="807">
        <f>-1-1-1-2</f>
        <v>-5</v>
      </c>
      <c r="AN24" s="807">
        <f>-1-1-1-1</f>
        <v>-4</v>
      </c>
      <c r="AO24" s="807">
        <f>-1-1-2-'[3]Sales USD'!$BA$8</f>
        <v>-5</v>
      </c>
      <c r="AP24" s="807">
        <f>-1-1-1-1-1-'[3]Sales USD'!$AZ$8</f>
        <v>-7</v>
      </c>
      <c r="AQ24" s="807"/>
      <c r="AR24" s="807">
        <v>-1</v>
      </c>
      <c r="AS24" s="807"/>
      <c r="AT24" s="807"/>
      <c r="AU24" s="807">
        <f>SUM(B24:AT24)</f>
        <v>-356</v>
      </c>
      <c r="AV24" s="807">
        <f>SUM('Summary Total Pigs'!W108:W110,'Summary Total Pigs'!Y108:Y110)</f>
        <v>-356</v>
      </c>
      <c r="AW24" s="1170">
        <f t="shared" si="0"/>
        <v>0</v>
      </c>
      <c r="AX24" s="818"/>
    </row>
    <row r="25" spans="1:51">
      <c r="A25" s="142" t="str">
        <f>+'Grasmere Pig Cost'!A25</f>
        <v>Rations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>
        <v>-1</v>
      </c>
      <c r="AL25" s="807"/>
      <c r="AM25" s="807"/>
      <c r="AN25" s="807">
        <v>-1</v>
      </c>
      <c r="AO25" s="807"/>
      <c r="AP25" s="807">
        <v>-4</v>
      </c>
      <c r="AQ25" s="807"/>
      <c r="AR25" s="807">
        <v>-2</v>
      </c>
      <c r="AS25" s="807"/>
      <c r="AT25" s="807"/>
      <c r="AU25" s="807">
        <f t="shared" si="5"/>
        <v>-8</v>
      </c>
      <c r="AV25" s="807">
        <f>SUM('Summary Total Pigs'!Z108:Z110)</f>
        <v>-8</v>
      </c>
      <c r="AW25" s="1170">
        <f t="shared" si="0"/>
        <v>0</v>
      </c>
      <c r="AX25" s="818"/>
      <c r="AY25" s="817"/>
    </row>
    <row r="26" spans="1:51">
      <c r="A26" s="142" t="str">
        <f>+'Grasmere Pig Cost'!A26</f>
        <v>Pet Food</v>
      </c>
      <c r="B26" s="807"/>
      <c r="C26" s="807"/>
      <c r="D26" s="807"/>
      <c r="E26" s="807"/>
      <c r="F26" s="807"/>
      <c r="G26" s="807"/>
      <c r="H26" s="807"/>
      <c r="I26" s="807"/>
      <c r="J26" s="807"/>
      <c r="K26" s="807"/>
      <c r="L26" s="807"/>
      <c r="M26" s="807"/>
      <c r="N26" s="807"/>
      <c r="O26" s="807"/>
      <c r="P26" s="807"/>
      <c r="Q26" s="807"/>
      <c r="R26" s="807"/>
      <c r="S26" s="807"/>
      <c r="T26" s="807"/>
      <c r="U26" s="807"/>
      <c r="V26" s="807"/>
      <c r="W26" s="807"/>
      <c r="X26" s="807"/>
      <c r="Y26" s="807"/>
      <c r="Z26" s="807"/>
      <c r="AA26" s="807"/>
      <c r="AB26" s="807"/>
      <c r="AC26" s="807"/>
      <c r="AD26" s="807"/>
      <c r="AE26" s="807"/>
      <c r="AF26" s="807"/>
      <c r="AG26" s="807"/>
      <c r="AH26" s="807"/>
      <c r="AI26" s="807"/>
      <c r="AJ26" s="807"/>
      <c r="AK26" s="807"/>
      <c r="AL26" s="807"/>
      <c r="AM26" s="807"/>
      <c r="AN26" s="807"/>
      <c r="AO26" s="807"/>
      <c r="AP26" s="807"/>
      <c r="AQ26" s="807"/>
      <c r="AR26" s="807"/>
      <c r="AS26" s="807"/>
      <c r="AT26" s="807"/>
      <c r="AU26" s="807">
        <f t="shared" si="5"/>
        <v>0</v>
      </c>
      <c r="AV26" s="807">
        <f>SUM('Summary Total Pigs'!AB108:AB110)</f>
        <v>0</v>
      </c>
      <c r="AW26" s="1170">
        <f t="shared" si="0"/>
        <v>0</v>
      </c>
      <c r="AX26" s="818"/>
    </row>
    <row r="27" spans="1:51">
      <c r="A27" s="142" t="str">
        <f>+'Grasmere Pig Cost'!A27</f>
        <v>Farm Sales</v>
      </c>
      <c r="B27" s="807"/>
      <c r="C27" s="807"/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07"/>
      <c r="V27" s="807"/>
      <c r="W27" s="807"/>
      <c r="X27" s="807"/>
      <c r="Y27" s="807"/>
      <c r="Z27" s="807"/>
      <c r="AA27" s="807"/>
      <c r="AB27" s="807"/>
      <c r="AC27" s="807"/>
      <c r="AD27" s="807"/>
      <c r="AE27" s="807"/>
      <c r="AF27" s="807"/>
      <c r="AG27" s="807"/>
      <c r="AH27" s="807"/>
      <c r="AI27" s="807"/>
      <c r="AJ27" s="807"/>
      <c r="AK27" s="807"/>
      <c r="AL27" s="807"/>
      <c r="AM27" s="807"/>
      <c r="AN27" s="807"/>
      <c r="AO27" s="807"/>
      <c r="AP27" s="807"/>
      <c r="AQ27" s="807"/>
      <c r="AR27" s="807"/>
      <c r="AS27" s="807"/>
      <c r="AT27" s="807"/>
      <c r="AU27" s="807">
        <f>SUM(B27:AT27)</f>
        <v>0</v>
      </c>
      <c r="AV27" s="807">
        <f>SUM('Summary Total Pigs'!AC108:AC110)</f>
        <v>0</v>
      </c>
      <c r="AW27" s="1170">
        <f t="shared" si="0"/>
        <v>0</v>
      </c>
      <c r="AX27" s="818"/>
    </row>
    <row r="28" spans="1:51" ht="15.6" thickBot="1">
      <c r="A28" s="142" t="str">
        <f>+'Grasmere Pig Cost'!A28</f>
        <v xml:space="preserve"> Colcom Sales</v>
      </c>
      <c r="B28" s="807"/>
      <c r="C28" s="807"/>
      <c r="D28" s="807"/>
      <c r="E28" s="807"/>
      <c r="F28" s="807"/>
      <c r="G28" s="807"/>
      <c r="H28" s="807"/>
      <c r="I28" s="807"/>
      <c r="J28" s="807"/>
      <c r="K28" s="807"/>
      <c r="L28" s="807"/>
      <c r="M28" s="807"/>
      <c r="N28" s="807"/>
      <c r="O28" s="807"/>
      <c r="P28" s="807"/>
      <c r="Q28" s="807"/>
      <c r="R28" s="807"/>
      <c r="S28" s="807"/>
      <c r="T28" s="807"/>
      <c r="U28" s="807"/>
      <c r="V28" s="807"/>
      <c r="W28" s="807"/>
      <c r="X28" s="807"/>
      <c r="Y28" s="807"/>
      <c r="Z28" s="807"/>
      <c r="AA28" s="807"/>
      <c r="AB28" s="807"/>
      <c r="AC28" s="807"/>
      <c r="AD28" s="807"/>
      <c r="AE28" s="807"/>
      <c r="AF28" s="807"/>
      <c r="AG28" s="807"/>
      <c r="AH28" s="807"/>
      <c r="AI28" s="807"/>
      <c r="AJ28" s="807"/>
      <c r="AK28" s="807"/>
      <c r="AL28" s="807"/>
      <c r="AM28" s="807"/>
      <c r="AN28" s="807">
        <v>-610</v>
      </c>
      <c r="AO28" s="807">
        <f>-509+'[3]Sales USD'!$BA$8</f>
        <v>-508</v>
      </c>
      <c r="AP28" s="1283">
        <f>-536+'[3]Sales USD'!$AZ$8</f>
        <v>-534</v>
      </c>
      <c r="AQ28" s="807">
        <v>-556</v>
      </c>
      <c r="AR28" s="807">
        <v>-12</v>
      </c>
      <c r="AS28" s="807"/>
      <c r="AT28" s="807"/>
      <c r="AU28" s="807">
        <f>SUM(B28:AT28)</f>
        <v>-2220</v>
      </c>
      <c r="AV28" s="807">
        <f>SUM('Summary Total Pigs'!X108:X110)</f>
        <v>-2220</v>
      </c>
      <c r="AW28" s="1170">
        <f t="shared" si="0"/>
        <v>0</v>
      </c>
      <c r="AX28" s="818"/>
    </row>
    <row r="29" spans="1:51" ht="16.149999999999999" thickBot="1">
      <c r="A29" s="1070" t="s">
        <v>1802</v>
      </c>
      <c r="B29" s="1071">
        <f t="shared" ref="B29:R29" si="6">SUM(B11:B24)</f>
        <v>0</v>
      </c>
      <c r="C29" s="1071">
        <f t="shared" si="6"/>
        <v>0</v>
      </c>
      <c r="D29" s="1071">
        <f t="shared" si="6"/>
        <v>0</v>
      </c>
      <c r="E29" s="1071">
        <f t="shared" si="6"/>
        <v>0</v>
      </c>
      <c r="F29" s="1071">
        <f t="shared" si="6"/>
        <v>0</v>
      </c>
      <c r="G29" s="1071">
        <f t="shared" si="6"/>
        <v>0</v>
      </c>
      <c r="H29" s="1071">
        <f t="shared" si="6"/>
        <v>0</v>
      </c>
      <c r="I29" s="1071">
        <f t="shared" si="6"/>
        <v>0</v>
      </c>
      <c r="J29" s="1071">
        <f t="shared" si="6"/>
        <v>0</v>
      </c>
      <c r="K29" s="1071">
        <f t="shared" si="6"/>
        <v>0</v>
      </c>
      <c r="L29" s="1071">
        <f t="shared" si="6"/>
        <v>0</v>
      </c>
      <c r="M29" s="1071">
        <f t="shared" si="6"/>
        <v>0</v>
      </c>
      <c r="N29" s="1071">
        <f t="shared" si="6"/>
        <v>0</v>
      </c>
      <c r="O29" s="1071">
        <f t="shared" si="6"/>
        <v>0</v>
      </c>
      <c r="P29" s="1071">
        <f t="shared" si="6"/>
        <v>0</v>
      </c>
      <c r="Q29" s="1071">
        <f t="shared" si="6"/>
        <v>0</v>
      </c>
      <c r="R29" s="1071">
        <f t="shared" si="6"/>
        <v>0</v>
      </c>
      <c r="S29" s="1071">
        <f>SUM(S11:S28)</f>
        <v>276</v>
      </c>
      <c r="T29" s="1071">
        <f>SUM(T11:T28)</f>
        <v>637</v>
      </c>
      <c r="U29" s="1071">
        <f t="shared" ref="U29:AT29" si="7">SUM(U11:U28)</f>
        <v>602</v>
      </c>
      <c r="V29" s="1071">
        <f>SUM(V11:V28)</f>
        <v>601</v>
      </c>
      <c r="W29" s="1071">
        <f>SUM(W11:W28)</f>
        <v>638</v>
      </c>
      <c r="X29" s="1071">
        <f t="shared" si="7"/>
        <v>622</v>
      </c>
      <c r="Y29" s="1071">
        <f t="shared" si="7"/>
        <v>605</v>
      </c>
      <c r="Z29" s="1071">
        <f t="shared" si="7"/>
        <v>627</v>
      </c>
      <c r="AA29" s="1071">
        <f t="shared" si="7"/>
        <v>669</v>
      </c>
      <c r="AB29" s="1071">
        <f t="shared" si="7"/>
        <v>628</v>
      </c>
      <c r="AC29" s="1071">
        <f t="shared" si="7"/>
        <v>537</v>
      </c>
      <c r="AD29" s="1071">
        <f t="shared" si="7"/>
        <v>552</v>
      </c>
      <c r="AE29" s="1071">
        <f t="shared" si="7"/>
        <v>505</v>
      </c>
      <c r="AF29" s="1071">
        <f t="shared" si="7"/>
        <v>537</v>
      </c>
      <c r="AG29" s="1071">
        <f t="shared" si="7"/>
        <v>527</v>
      </c>
      <c r="AH29" s="1071">
        <f t="shared" si="7"/>
        <v>495</v>
      </c>
      <c r="AI29" s="1071">
        <f t="shared" si="7"/>
        <v>528</v>
      </c>
      <c r="AJ29" s="1071">
        <f t="shared" si="7"/>
        <v>516</v>
      </c>
      <c r="AK29" s="1071">
        <f t="shared" si="7"/>
        <v>510</v>
      </c>
      <c r="AL29" s="1071">
        <f t="shared" si="7"/>
        <v>528</v>
      </c>
      <c r="AM29" s="1071">
        <f t="shared" si="7"/>
        <v>598</v>
      </c>
      <c r="AN29" s="1071">
        <f t="shared" si="7"/>
        <v>7</v>
      </c>
      <c r="AO29" s="1071">
        <f t="shared" si="7"/>
        <v>0</v>
      </c>
      <c r="AP29" s="1071">
        <f>SUM(AP11:AP28)</f>
        <v>0</v>
      </c>
      <c r="AQ29" s="1071">
        <f>SUM(AQ11:AQ28)</f>
        <v>0</v>
      </c>
      <c r="AR29" s="1071">
        <f t="shared" si="7"/>
        <v>0</v>
      </c>
      <c r="AS29" s="1071">
        <f t="shared" si="7"/>
        <v>0</v>
      </c>
      <c r="AT29" s="1071">
        <f t="shared" si="7"/>
        <v>0</v>
      </c>
      <c r="AU29" s="1071">
        <f>SUM(AU11:AU28)</f>
        <v>11745</v>
      </c>
      <c r="AV29" s="1072">
        <f>SUM(AV11:AV28)</f>
        <v>11745</v>
      </c>
      <c r="AW29" s="1170">
        <f>AU29-AV29</f>
        <v>0</v>
      </c>
    </row>
    <row r="30" spans="1:51">
      <c r="S30" s="1058">
        <f>+'Richlands Valuation'!E10</f>
        <v>276</v>
      </c>
      <c r="T30" s="1058">
        <f>+'Richlands Valuation'!E11</f>
        <v>637</v>
      </c>
      <c r="U30" s="1058">
        <f>+'Richlands Valuation'!E12</f>
        <v>602</v>
      </c>
      <c r="V30" s="1058">
        <f>+'Richlands Valuation'!E13</f>
        <v>601</v>
      </c>
      <c r="W30" s="1058">
        <f>+'Richlands Valuation'!E14</f>
        <v>638</v>
      </c>
      <c r="X30" s="1058">
        <f>+'Richlands Valuation'!E15</f>
        <v>622</v>
      </c>
      <c r="Y30" s="1058">
        <f>+'Richlands Valuation'!E16</f>
        <v>605</v>
      </c>
      <c r="Z30" s="1058">
        <f>+'Richlands Valuation'!E17</f>
        <v>627</v>
      </c>
      <c r="AA30" s="1058">
        <f>+'Richlands Valuation'!E18</f>
        <v>669</v>
      </c>
      <c r="AB30" s="1058">
        <f>+'Richlands Valuation'!E19</f>
        <v>628</v>
      </c>
      <c r="AC30" s="1058">
        <f>+'Richlands Valuation'!E20</f>
        <v>537</v>
      </c>
      <c r="AD30" s="1058">
        <f>+'Richlands Valuation'!E21</f>
        <v>552</v>
      </c>
      <c r="AE30" s="1058">
        <f>+'Richlands Valuation'!E22</f>
        <v>505</v>
      </c>
      <c r="AF30" s="1058">
        <f>+'Richlands Valuation'!E23</f>
        <v>537</v>
      </c>
      <c r="AG30" s="1058">
        <f>+'Richlands Valuation'!E24</f>
        <v>527</v>
      </c>
      <c r="AH30" s="1058">
        <f>+'Richlands Valuation'!E25</f>
        <v>495</v>
      </c>
      <c r="AI30" s="1058">
        <f>+'Richlands Valuation'!E26</f>
        <v>528</v>
      </c>
      <c r="AJ30" s="1058">
        <f>+'Richlands Valuation'!E27</f>
        <v>516</v>
      </c>
      <c r="AK30" s="1058">
        <f>+'Richlands Valuation'!E28</f>
        <v>510</v>
      </c>
      <c r="AL30" s="1058">
        <f>+'Richlands Valuation'!E29</f>
        <v>528</v>
      </c>
      <c r="AM30" s="1058">
        <f>+'Richlands Valuation'!E30</f>
        <v>598</v>
      </c>
      <c r="AN30" s="1058">
        <f>+'Richlands Valuation'!E31</f>
        <v>7</v>
      </c>
      <c r="AO30" s="1058">
        <f>+'Richlands Valuation'!E32</f>
        <v>0</v>
      </c>
      <c r="AP30" s="1058">
        <f>+'Richlands Valuation'!E33</f>
        <v>0</v>
      </c>
      <c r="AQ30" s="1058">
        <f>+'Richlands Valuation'!E34</f>
        <v>0</v>
      </c>
      <c r="AR30" s="1058">
        <f>+'Richlands Valuation'!E35</f>
        <v>0</v>
      </c>
      <c r="AS30" s="1058">
        <f>+'Richlands Valuation'!E36</f>
        <v>0</v>
      </c>
      <c r="AT30" s="1058">
        <f>+'Richlands Valuation'!E37</f>
        <v>0</v>
      </c>
      <c r="AU30" s="1057">
        <f>SUM(S30:AT30)</f>
        <v>11745</v>
      </c>
      <c r="AV30" s="1057">
        <f>SUM('Richlands Valuation'!E10:E41)</f>
        <v>11745</v>
      </c>
      <c r="AW30" s="1170">
        <f>AU30-AV30</f>
        <v>0</v>
      </c>
    </row>
    <row r="31" spans="1:51">
      <c r="S31" s="1058">
        <f>+S29-S30</f>
        <v>0</v>
      </c>
      <c r="T31" s="1058">
        <f>+T29-T30</f>
        <v>0</v>
      </c>
      <c r="U31" s="1058">
        <f>+U29-U30</f>
        <v>0</v>
      </c>
      <c r="V31" s="1058">
        <f t="shared" ref="V31:AS31" si="8">+V29-V30</f>
        <v>0</v>
      </c>
      <c r="W31" s="1058">
        <f>+W29-W30</f>
        <v>0</v>
      </c>
      <c r="X31" s="1886">
        <f t="shared" si="8"/>
        <v>0</v>
      </c>
      <c r="Y31" s="1886">
        <f t="shared" si="8"/>
        <v>0</v>
      </c>
      <c r="Z31" s="1058">
        <f t="shared" si="8"/>
        <v>0</v>
      </c>
      <c r="AA31" s="1058">
        <f t="shared" si="8"/>
        <v>0</v>
      </c>
      <c r="AB31" s="1058">
        <f t="shared" si="8"/>
        <v>0</v>
      </c>
      <c r="AC31" s="1058">
        <f t="shared" si="8"/>
        <v>0</v>
      </c>
      <c r="AD31" s="1058">
        <f t="shared" si="8"/>
        <v>0</v>
      </c>
      <c r="AE31" s="1058">
        <f t="shared" si="8"/>
        <v>0</v>
      </c>
      <c r="AF31" s="1058">
        <f t="shared" si="8"/>
        <v>0</v>
      </c>
      <c r="AG31" s="1058">
        <f t="shared" si="8"/>
        <v>0</v>
      </c>
      <c r="AH31" s="1058">
        <f>+AH29-AH30</f>
        <v>0</v>
      </c>
      <c r="AI31" s="1058">
        <f>+AI29-AI30</f>
        <v>0</v>
      </c>
      <c r="AJ31" s="1058">
        <f t="shared" si="8"/>
        <v>0</v>
      </c>
      <c r="AK31" s="1058">
        <f t="shared" si="8"/>
        <v>0</v>
      </c>
      <c r="AL31" s="1058">
        <f t="shared" si="8"/>
        <v>0</v>
      </c>
      <c r="AM31" s="1058">
        <f t="shared" si="8"/>
        <v>0</v>
      </c>
      <c r="AN31" s="1058">
        <f t="shared" si="8"/>
        <v>0</v>
      </c>
      <c r="AO31" s="1058">
        <f t="shared" si="8"/>
        <v>0</v>
      </c>
      <c r="AP31" s="1749">
        <f t="shared" si="8"/>
        <v>0</v>
      </c>
      <c r="AQ31" s="1058">
        <f t="shared" si="8"/>
        <v>0</v>
      </c>
      <c r="AR31" s="1058">
        <f t="shared" si="8"/>
        <v>0</v>
      </c>
      <c r="AS31" s="1058">
        <f t="shared" si="8"/>
        <v>0</v>
      </c>
      <c r="AT31" s="1058">
        <f t="shared" ref="AT31" si="9">+AT29-AT30</f>
        <v>0</v>
      </c>
      <c r="AU31" s="807">
        <f>SUM(S31:AT31)</f>
        <v>0</v>
      </c>
      <c r="AV31" s="807">
        <f>SUM('Summary Total Pigs'!AF108:AF110)</f>
        <v>11745</v>
      </c>
      <c r="AW31" s="818"/>
      <c r="AX31" s="142">
        <f>AV33/AV7</f>
        <v>166.56929661906702</v>
      </c>
    </row>
    <row r="32" spans="1:51" ht="15.6">
      <c r="A32" s="1066" t="s">
        <v>199</v>
      </c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817"/>
      <c r="AG32" s="817"/>
      <c r="AH32" s="817"/>
      <c r="AI32" s="817"/>
      <c r="AJ32" s="817"/>
      <c r="AK32" s="817"/>
      <c r="AL32" s="817"/>
      <c r="AM32" s="817"/>
      <c r="AN32" s="817"/>
      <c r="AO32" s="817"/>
      <c r="AP32" s="817"/>
      <c r="AQ32" s="817"/>
      <c r="AR32" s="817"/>
      <c r="AS32" s="817"/>
      <c r="AT32" s="817"/>
      <c r="AU32" s="817"/>
      <c r="AV32" s="1057"/>
      <c r="AW32" s="818"/>
      <c r="AX32" s="1059">
        <f>AU62/AU30</f>
        <v>172.82473733549253</v>
      </c>
    </row>
    <row r="33" spans="1:51">
      <c r="A33" s="142" t="s">
        <v>1803</v>
      </c>
      <c r="B33" s="818"/>
      <c r="C33" s="818"/>
      <c r="D33" s="818"/>
      <c r="E33" s="818"/>
      <c r="F33" s="818">
        <f>'[2]Richlands Pig Cost'!B62</f>
        <v>5039.3497757847535</v>
      </c>
      <c r="G33" s="818">
        <f>'[2]Richlands Pig Cost'!C62</f>
        <v>5039.3497757847535</v>
      </c>
      <c r="H33" s="818">
        <f>'[2]Richlands Pig Cost'!D62</f>
        <v>5039.3497757847535</v>
      </c>
      <c r="I33" s="818">
        <f>'[2]Richlands Pig Cost'!E62</f>
        <v>5039.3497757847535</v>
      </c>
      <c r="J33" s="818">
        <f>'[2]Richlands Pig Cost'!F62</f>
        <v>4636.2017937219734</v>
      </c>
      <c r="K33" s="818">
        <f>'[2]Richlands Pig Cost'!G62</f>
        <v>9699.6547085201819</v>
      </c>
      <c r="L33" s="818">
        <f>'[2]Richlands Pig Cost'!H62</f>
        <v>9699.6547085201819</v>
      </c>
      <c r="M33" s="818">
        <f>'[2]Richlands Pig Cost'!I62</f>
        <v>9699.6547085201819</v>
      </c>
      <c r="N33" s="818">
        <f>'[2]Richlands Pig Cost'!J62</f>
        <v>9699.6547085201819</v>
      </c>
      <c r="O33" s="818">
        <f>'[2]Richlands Pig Cost'!K62</f>
        <v>13927.762331838567</v>
      </c>
      <c r="P33" s="818">
        <f>'[2]Richlands Pig Cost'!L62</f>
        <v>13927.762331838567</v>
      </c>
      <c r="Q33" s="818">
        <f>'[2]Richlands Pig Cost'!M62</f>
        <v>13927.762331838567</v>
      </c>
      <c r="R33" s="818">
        <f>'[2]Richlands Pig Cost'!N62</f>
        <v>14935.632286995518</v>
      </c>
      <c r="S33" s="818">
        <f>'[2]Richlands Pig Cost'!O62</f>
        <v>19564.97757847534</v>
      </c>
      <c r="T33" s="818">
        <f>'[2]Richlands Pig Cost'!P62</f>
        <v>19564.97757847534</v>
      </c>
      <c r="U33" s="818">
        <f>'[2]Richlands Pig Cost'!Q62</f>
        <v>19564.97757847534</v>
      </c>
      <c r="V33" s="818">
        <f>'[2]Richlands Pig Cost'!R62</f>
        <v>23999.605381165922</v>
      </c>
      <c r="W33" s="818">
        <f>'[2]Richlands Pig Cost'!S62</f>
        <v>25058.770494161203</v>
      </c>
      <c r="X33" s="818">
        <f>'[2]Richlands Pig Cost'!T62</f>
        <v>36230.018729131021</v>
      </c>
      <c r="Y33" s="818">
        <f>'[2]Richlands Pig Cost'!U62</f>
        <v>39534.140218234003</v>
      </c>
      <c r="Z33" s="818">
        <f>'[2]Richlands Pig Cost'!V62</f>
        <v>27597.945032630956</v>
      </c>
      <c r="AA33" s="818">
        <f>'[2]Richlands Pig Cost'!W62</f>
        <v>26302.674166906545</v>
      </c>
      <c r="AB33" s="818">
        <f>'[2]Richlands Pig Cost'!X62</f>
        <v>35810.747892366606</v>
      </c>
      <c r="AC33" s="818">
        <f>'[2]Richlands Pig Cost'!Y62</f>
        <v>46856.773855366977</v>
      </c>
      <c r="AD33" s="818">
        <f>'[2]Richlands Pig Cost'!Z62</f>
        <v>58747.230762179221</v>
      </c>
      <c r="AE33" s="818">
        <f>'[2]Richlands Pig Cost'!AA62</f>
        <v>81001.680225650314</v>
      </c>
      <c r="AF33" s="818">
        <f>'[2]Richlands Pig Cost'!AB62</f>
        <v>71637.522477687002</v>
      </c>
      <c r="AG33" s="818">
        <f>'[2]Richlands Pig Cost'!AC62</f>
        <v>82136.370421822838</v>
      </c>
      <c r="AH33" s="818">
        <f>'[2]Richlands Pig Cost'!AD62</f>
        <v>67385.621061993661</v>
      </c>
      <c r="AI33" s="818">
        <f>'[2]Richlands Pig Cost'!AE62</f>
        <v>72845.759597978191</v>
      </c>
      <c r="AJ33" s="818">
        <f>'[2]Richlands Pig Cost'!AF62</f>
        <v>101702.50684399251</v>
      </c>
      <c r="AK33" s="818">
        <f>'[2]Richlands Pig Cost'!AG62</f>
        <v>110613.71186075013</v>
      </c>
      <c r="AL33" s="818">
        <f>'[2]Richlands Pig Cost'!AH62</f>
        <v>157594.56294394442</v>
      </c>
      <c r="AM33" s="818">
        <f>'[2]Richlands Pig Cost'!AI62</f>
        <v>132533.49225977238</v>
      </c>
      <c r="AN33" s="818">
        <f>'[2]Richlands Pig Cost'!AJ62</f>
        <v>151191.69231159752</v>
      </c>
      <c r="AO33" s="818">
        <f>'[2]Richlands Pig Cost'!AK62</f>
        <v>151196.47666449947</v>
      </c>
      <c r="AP33" s="818">
        <f>'[2]Richlands Pig Cost'!AL62</f>
        <v>163810.66319629271</v>
      </c>
      <c r="AQ33" s="818">
        <f>'[2]Richlands Pig Cost'!AM62</f>
        <v>178446.5612536569</v>
      </c>
      <c r="AR33" s="818">
        <f>'[2]Richlands Pig Cost'!AN62</f>
        <v>3742.339597338665</v>
      </c>
      <c r="AS33" s="818">
        <f>'[2]Richlands Pig Cost'!AO62</f>
        <v>2.9103830456733704E-11</v>
      </c>
      <c r="AT33" s="818">
        <f>'[2]Richlands Pig Cost'!AP62</f>
        <v>0</v>
      </c>
      <c r="AU33" s="1057">
        <f>SUM(B33:AT33)</f>
        <v>2024982.9389979979</v>
      </c>
      <c r="AV33" s="818">
        <f>'[2]Richlands Pig Cost'!AU62</f>
        <v>2024982.9389979979</v>
      </c>
      <c r="AW33" s="1170">
        <f>+AU33-AV33</f>
        <v>0</v>
      </c>
      <c r="AX33" s="818">
        <f>AX31-AX32</f>
        <v>-6.255440716425511</v>
      </c>
      <c r="AY33" s="1992">
        <f>AX33/AX32</f>
        <v>-3.6195285541110143E-2</v>
      </c>
    </row>
    <row r="34" spans="1:51" s="805" customFormat="1" ht="15.6">
      <c r="A34" s="1066" t="s">
        <v>212</v>
      </c>
      <c r="S34" s="1101">
        <f t="shared" ref="S34:AL34" si="10">-T35</f>
        <v>0</v>
      </c>
      <c r="T34" s="1101">
        <f t="shared" si="10"/>
        <v>0</v>
      </c>
      <c r="U34" s="1101">
        <v>0</v>
      </c>
      <c r="V34" s="1101">
        <f>-W35</f>
        <v>110.71621720542505</v>
      </c>
      <c r="W34" s="1101">
        <f>-X35</f>
        <v>213.746423180714</v>
      </c>
      <c r="X34" s="1101">
        <v>0</v>
      </c>
      <c r="Y34" s="1101">
        <f>-Z35</f>
        <v>0</v>
      </c>
      <c r="Z34" s="1101">
        <v>0</v>
      </c>
      <c r="AA34" s="1101"/>
      <c r="AB34" s="1101">
        <f>-AC35</f>
        <v>0</v>
      </c>
      <c r="AC34" s="1101">
        <f t="shared" si="10"/>
        <v>0</v>
      </c>
      <c r="AD34" s="1101">
        <f t="shared" si="10"/>
        <v>0</v>
      </c>
      <c r="AE34" s="1101">
        <f t="shared" si="10"/>
        <v>0</v>
      </c>
      <c r="AF34" s="1101">
        <f>-AG35</f>
        <v>0</v>
      </c>
      <c r="AG34" s="1101">
        <f t="shared" si="10"/>
        <v>0</v>
      </c>
      <c r="AH34" s="1101">
        <f t="shared" si="10"/>
        <v>0</v>
      </c>
      <c r="AI34" s="1101">
        <f t="shared" si="10"/>
        <v>0</v>
      </c>
      <c r="AJ34" s="1101">
        <f t="shared" si="10"/>
        <v>0</v>
      </c>
      <c r="AK34" s="1101">
        <f t="shared" si="10"/>
        <v>0</v>
      </c>
      <c r="AL34" s="1101">
        <f t="shared" si="10"/>
        <v>0</v>
      </c>
      <c r="AM34" s="1101"/>
      <c r="AN34" s="1101">
        <f>-AO35</f>
        <v>1459.4254504295316</v>
      </c>
      <c r="AO34" s="1101">
        <f>-AP35</f>
        <v>0</v>
      </c>
      <c r="AP34" s="1101">
        <f>-AQ35</f>
        <v>0</v>
      </c>
      <c r="AQ34" s="1101">
        <f>-AR35</f>
        <v>0</v>
      </c>
      <c r="AR34" s="1101">
        <f>-AS35</f>
        <v>0</v>
      </c>
      <c r="AS34" s="1101"/>
      <c r="AT34" s="1101"/>
      <c r="AU34" s="807">
        <f>SUM(B34:AT34)</f>
        <v>1783.8880908156707</v>
      </c>
    </row>
    <row r="35" spans="1:51" s="805" customFormat="1" ht="15.6">
      <c r="A35" s="1066" t="s">
        <v>1832</v>
      </c>
      <c r="S35" s="1101"/>
      <c r="T35" s="1101">
        <f>+IFERROR(T33/T8*T10,0)</f>
        <v>0</v>
      </c>
      <c r="U35" s="1101">
        <f>+IFERROR(U33/U8*U10,0)</f>
        <v>0</v>
      </c>
      <c r="V35" s="1101">
        <f>+IFERROR(V33/V8*V10,0)</f>
        <v>0</v>
      </c>
      <c r="W35" s="1101">
        <f>+IFERROR(W33/(W8+W7)*W10,0)</f>
        <v>-110.71621720542505</v>
      </c>
      <c r="X35" s="1101">
        <f>+IFERROR(X33/X7*X10,0)</f>
        <v>-213.746423180714</v>
      </c>
      <c r="Y35" s="1101">
        <f>+IFERROR(Y33/Y7*Y10,0)</f>
        <v>-994.56956523859128</v>
      </c>
      <c r="Z35" s="1101">
        <f>+IFERROR(Z33/Z7*Z10,0)</f>
        <v>0</v>
      </c>
      <c r="AA35" s="1101">
        <f>+IFERROR(AA33/AA7*AA10,0)</f>
        <v>0</v>
      </c>
      <c r="AB35" s="1101">
        <f t="shared" ref="AB35" si="11">+IFERROR(AB33/AB7*AB10,0)</f>
        <v>0</v>
      </c>
      <c r="AC35" s="1101">
        <f>+IFERROR(AC33/AC7*AC10,0)</f>
        <v>0</v>
      </c>
      <c r="AD35" s="1101">
        <f>+IFERROR(AD33/AD7*AD10,0)</f>
        <v>0</v>
      </c>
      <c r="AE35" s="1101">
        <f>+IFERROR(AE33/AE7*AE10,0)</f>
        <v>0</v>
      </c>
      <c r="AF35" s="1101">
        <f>+IFERROR(AF33/AF7*AF10,0)</f>
        <v>0</v>
      </c>
      <c r="AG35" s="1101">
        <f>+IFERROR(AG33/AG7*AG10,0)</f>
        <v>0</v>
      </c>
      <c r="AH35" s="1101">
        <f t="shared" ref="AH35:AM35" si="12">+IFERROR(AH33/AH7*AH10,0)</f>
        <v>0</v>
      </c>
      <c r="AI35" s="1101">
        <f t="shared" si="12"/>
        <v>0</v>
      </c>
      <c r="AJ35" s="1101">
        <f t="shared" si="12"/>
        <v>0</v>
      </c>
      <c r="AK35" s="1101">
        <f t="shared" si="12"/>
        <v>0</v>
      </c>
      <c r="AL35" s="1101">
        <f t="shared" si="12"/>
        <v>0</v>
      </c>
      <c r="AM35" s="1101">
        <f t="shared" si="12"/>
        <v>0</v>
      </c>
      <c r="AN35" s="1101">
        <f t="shared" ref="AN35" si="13">+IFERROR(AN33/AN7*AN10,0)</f>
        <v>0</v>
      </c>
      <c r="AO35" s="1101">
        <f>+IFERROR(AO33/AO7*AO10,0)</f>
        <v>-1459.4254504295316</v>
      </c>
      <c r="AP35" s="1101">
        <f>+IFERROR(AP33/AP7*AP10,0)</f>
        <v>0</v>
      </c>
      <c r="AQ35" s="1101">
        <f>+IFERROR(AQ33/AQ7*AQ10,0)</f>
        <v>0</v>
      </c>
      <c r="AR35" s="1101">
        <f>+IFERROR(AR33/AR7*AR10,0)</f>
        <v>0</v>
      </c>
      <c r="AS35" s="1101">
        <f>+IFERROR(AS33/AS7*AS10,0)</f>
        <v>0</v>
      </c>
      <c r="AT35" s="1101"/>
      <c r="AU35" s="807">
        <f>SUM(B35:AT35)</f>
        <v>-2778.4576560542619</v>
      </c>
      <c r="AX35" s="2065">
        <f>AX32/AX31-1</f>
        <v>3.7554584448605155E-2</v>
      </c>
    </row>
    <row r="36" spans="1:51">
      <c r="A36" s="1059" t="s">
        <v>1804</v>
      </c>
      <c r="B36" s="818">
        <f>IFERROR(SUM(B33:B35),0)</f>
        <v>0</v>
      </c>
      <c r="C36" s="818">
        <f t="shared" ref="C36:AU36" si="14">IFERROR(SUM(C33:C35),0)</f>
        <v>0</v>
      </c>
      <c r="D36" s="818">
        <f t="shared" si="14"/>
        <v>0</v>
      </c>
      <c r="E36" s="818">
        <f t="shared" si="14"/>
        <v>0</v>
      </c>
      <c r="F36" s="818">
        <f t="shared" si="14"/>
        <v>5039.3497757847535</v>
      </c>
      <c r="G36" s="818">
        <f t="shared" si="14"/>
        <v>5039.3497757847535</v>
      </c>
      <c r="H36" s="818">
        <f t="shared" si="14"/>
        <v>5039.3497757847535</v>
      </c>
      <c r="I36" s="818">
        <f t="shared" si="14"/>
        <v>5039.3497757847535</v>
      </c>
      <c r="J36" s="818">
        <f t="shared" si="14"/>
        <v>4636.2017937219734</v>
      </c>
      <c r="K36" s="818">
        <f t="shared" si="14"/>
        <v>9699.6547085201819</v>
      </c>
      <c r="L36" s="818">
        <f t="shared" si="14"/>
        <v>9699.6547085201819</v>
      </c>
      <c r="M36" s="818">
        <f t="shared" si="14"/>
        <v>9699.6547085201819</v>
      </c>
      <c r="N36" s="818">
        <f t="shared" si="14"/>
        <v>9699.6547085201819</v>
      </c>
      <c r="O36" s="818">
        <f t="shared" si="14"/>
        <v>13927.762331838567</v>
      </c>
      <c r="P36" s="818">
        <f t="shared" si="14"/>
        <v>13927.762331838567</v>
      </c>
      <c r="Q36" s="818">
        <f t="shared" si="14"/>
        <v>13927.762331838567</v>
      </c>
      <c r="R36" s="818">
        <f t="shared" si="14"/>
        <v>14935.632286995518</v>
      </c>
      <c r="S36" s="818">
        <f t="shared" si="14"/>
        <v>19564.97757847534</v>
      </c>
      <c r="T36" s="818">
        <f t="shared" si="14"/>
        <v>19564.97757847534</v>
      </c>
      <c r="U36" s="818">
        <f t="shared" si="14"/>
        <v>19564.97757847534</v>
      </c>
      <c r="V36" s="818">
        <f t="shared" si="14"/>
        <v>24110.321598371349</v>
      </c>
      <c r="W36" s="818">
        <f t="shared" si="14"/>
        <v>25161.800700136489</v>
      </c>
      <c r="X36" s="818">
        <f t="shared" si="14"/>
        <v>36016.272305950304</v>
      </c>
      <c r="Y36" s="818">
        <f t="shared" si="14"/>
        <v>38539.570652995411</v>
      </c>
      <c r="Z36" s="818">
        <f t="shared" si="14"/>
        <v>27597.945032630956</v>
      </c>
      <c r="AA36" s="818">
        <f t="shared" si="14"/>
        <v>26302.674166906545</v>
      </c>
      <c r="AB36" s="818">
        <f t="shared" si="14"/>
        <v>35810.747892366606</v>
      </c>
      <c r="AC36" s="818">
        <f t="shared" si="14"/>
        <v>46856.773855366977</v>
      </c>
      <c r="AD36" s="818">
        <f t="shared" si="14"/>
        <v>58747.230762179221</v>
      </c>
      <c r="AE36" s="818">
        <f t="shared" si="14"/>
        <v>81001.680225650314</v>
      </c>
      <c r="AF36" s="818">
        <f t="shared" si="14"/>
        <v>71637.522477687002</v>
      </c>
      <c r="AG36" s="818">
        <f t="shared" si="14"/>
        <v>82136.370421822838</v>
      </c>
      <c r="AH36" s="818">
        <f t="shared" si="14"/>
        <v>67385.621061993661</v>
      </c>
      <c r="AI36" s="818">
        <f t="shared" si="14"/>
        <v>72845.759597978191</v>
      </c>
      <c r="AJ36" s="818">
        <f t="shared" si="14"/>
        <v>101702.50684399251</v>
      </c>
      <c r="AK36" s="818">
        <f t="shared" si="14"/>
        <v>110613.71186075013</v>
      </c>
      <c r="AL36" s="818">
        <f t="shared" si="14"/>
        <v>157594.56294394442</v>
      </c>
      <c r="AM36" s="818">
        <f t="shared" si="14"/>
        <v>132533.49225977238</v>
      </c>
      <c r="AN36" s="818">
        <f t="shared" si="14"/>
        <v>152651.11776202705</v>
      </c>
      <c r="AO36" s="818">
        <f t="shared" si="14"/>
        <v>149737.05121406994</v>
      </c>
      <c r="AP36" s="818">
        <f t="shared" si="14"/>
        <v>163810.66319629271</v>
      </c>
      <c r="AQ36" s="818">
        <f t="shared" si="14"/>
        <v>178446.5612536569</v>
      </c>
      <c r="AR36" s="818">
        <f t="shared" si="14"/>
        <v>3742.339597338665</v>
      </c>
      <c r="AS36" s="818">
        <f t="shared" si="14"/>
        <v>2.9103830456733704E-11</v>
      </c>
      <c r="AT36" s="818">
        <f t="shared" si="14"/>
        <v>0</v>
      </c>
      <c r="AU36" s="818">
        <f t="shared" si="14"/>
        <v>2023988.3694327592</v>
      </c>
      <c r="AV36" s="1057"/>
      <c r="AW36" s="1170"/>
    </row>
    <row r="37" spans="1:51">
      <c r="A37" s="1059" t="s">
        <v>1805</v>
      </c>
      <c r="B37" s="818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>
        <f>IFERROR(S36/S11,0)</f>
        <v>70.631688008936251</v>
      </c>
      <c r="T37" s="818">
        <f t="shared" ref="T37:AU37" si="15">IFERROR(T36/T11,0)</f>
        <v>29.071289121062911</v>
      </c>
      <c r="U37" s="818">
        <f t="shared" si="15"/>
        <v>31.006303610895944</v>
      </c>
      <c r="V37" s="818">
        <f t="shared" si="15"/>
        <v>37.149956237860323</v>
      </c>
      <c r="W37" s="818">
        <f t="shared" si="15"/>
        <v>37.11180044267919</v>
      </c>
      <c r="X37" s="818">
        <f t="shared" si="15"/>
        <v>53.199811382496755</v>
      </c>
      <c r="Y37" s="818">
        <f t="shared" si="15"/>
        <v>61.960724522500662</v>
      </c>
      <c r="Z37" s="818">
        <f t="shared" si="15"/>
        <v>42.655247345642898</v>
      </c>
      <c r="AA37" s="818">
        <f t="shared" si="15"/>
        <v>39.024739120039385</v>
      </c>
      <c r="AB37" s="818">
        <f t="shared" si="15"/>
        <v>52.974479130719828</v>
      </c>
      <c r="AC37" s="818">
        <f t="shared" si="15"/>
        <v>70.673867051835558</v>
      </c>
      <c r="AD37" s="818">
        <f t="shared" si="15"/>
        <v>88.876294647774913</v>
      </c>
      <c r="AE37" s="818">
        <f t="shared" si="15"/>
        <v>121.99048226754566</v>
      </c>
      <c r="AF37" s="818">
        <f t="shared" si="15"/>
        <v>129.54344028514828</v>
      </c>
      <c r="AG37" s="818">
        <f t="shared" si="15"/>
        <v>154.68243017292437</v>
      </c>
      <c r="AH37" s="818">
        <f t="shared" si="15"/>
        <v>135.58475062775383</v>
      </c>
      <c r="AI37" s="818">
        <f t="shared" si="15"/>
        <v>137.70464952358827</v>
      </c>
      <c r="AJ37" s="818">
        <f t="shared" si="15"/>
        <v>196.33688579921335</v>
      </c>
      <c r="AK37" s="818">
        <f t="shared" si="15"/>
        <v>215.62127068372345</v>
      </c>
      <c r="AL37" s="818">
        <f t="shared" si="15"/>
        <v>296.78825413172206</v>
      </c>
      <c r="AM37" s="818">
        <f t="shared" si="15"/>
        <v>219.79020275252466</v>
      </c>
      <c r="AN37" s="818">
        <f t="shared" si="15"/>
        <v>245.41980347592772</v>
      </c>
      <c r="AO37" s="818">
        <f t="shared" si="15"/>
        <v>291.88509008590631</v>
      </c>
      <c r="AP37" s="818">
        <f t="shared" si="15"/>
        <v>300.57002421338109</v>
      </c>
      <c r="AQ37" s="818">
        <f t="shared" si="15"/>
        <v>320.94705261449081</v>
      </c>
      <c r="AR37" s="818">
        <f t="shared" si="15"/>
        <v>249.48930648924434</v>
      </c>
      <c r="AS37" s="818">
        <f t="shared" si="15"/>
        <v>0</v>
      </c>
      <c r="AT37" s="818">
        <f t="shared" si="15"/>
        <v>0</v>
      </c>
      <c r="AU37" s="818">
        <f t="shared" si="15"/>
        <v>137.51789437646141</v>
      </c>
      <c r="AV37" s="1057"/>
      <c r="AW37" s="1170"/>
    </row>
    <row r="38" spans="1:51">
      <c r="B38" s="818"/>
      <c r="C38" s="818"/>
      <c r="D38" s="818"/>
      <c r="E38" s="818"/>
      <c r="F38" s="818"/>
      <c r="G38" s="818"/>
      <c r="H38" s="818"/>
      <c r="I38" s="818"/>
      <c r="J38" s="818"/>
      <c r="K38" s="818"/>
      <c r="L38" s="818"/>
      <c r="M38" s="818"/>
      <c r="N38" s="818"/>
      <c r="O38" s="818"/>
      <c r="P38" s="818"/>
      <c r="Q38" s="818"/>
      <c r="R38" s="818"/>
      <c r="S38" s="818"/>
      <c r="T38" s="818"/>
      <c r="U38" s="818"/>
      <c r="V38" s="818"/>
      <c r="W38" s="818"/>
      <c r="X38" s="818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  <c r="AI38" s="818"/>
      <c r="AJ38" s="818"/>
      <c r="AK38" s="818"/>
      <c r="AL38" s="818"/>
      <c r="AM38" s="818"/>
      <c r="AN38" s="818"/>
      <c r="AO38" s="818"/>
      <c r="AP38" s="818"/>
      <c r="AQ38" s="818"/>
      <c r="AR38" s="818"/>
      <c r="AS38" s="818"/>
      <c r="AT38" s="818"/>
      <c r="AU38" s="1057"/>
      <c r="AV38" s="1057"/>
      <c r="AW38" s="1170"/>
    </row>
    <row r="39" spans="1:51" ht="15.6">
      <c r="A39" s="1687" t="s">
        <v>1806</v>
      </c>
      <c r="B39" s="818">
        <f t="shared" ref="B39:AU39" si="16">IFERROR(B36+SUM(B45:B56),0)</f>
        <v>0</v>
      </c>
      <c r="C39" s="818">
        <f t="shared" si="16"/>
        <v>0</v>
      </c>
      <c r="D39" s="818">
        <f t="shared" si="16"/>
        <v>0</v>
      </c>
      <c r="E39" s="818">
        <f t="shared" si="16"/>
        <v>0</v>
      </c>
      <c r="F39" s="818">
        <f t="shared" si="16"/>
        <v>5039.3497757847535</v>
      </c>
      <c r="G39" s="818">
        <f t="shared" si="16"/>
        <v>5039.3497757847535</v>
      </c>
      <c r="H39" s="818">
        <f t="shared" si="16"/>
        <v>5039.3497757847535</v>
      </c>
      <c r="I39" s="818">
        <f t="shared" si="16"/>
        <v>5039.3497757847535</v>
      </c>
      <c r="J39" s="818">
        <f t="shared" si="16"/>
        <v>4636.2017937219734</v>
      </c>
      <c r="K39" s="818">
        <f t="shared" si="16"/>
        <v>9699.6547085201819</v>
      </c>
      <c r="L39" s="818">
        <f t="shared" si="16"/>
        <v>9699.6547085201819</v>
      </c>
      <c r="M39" s="818">
        <f t="shared" si="16"/>
        <v>9699.6547085201819</v>
      </c>
      <c r="N39" s="818">
        <f t="shared" si="16"/>
        <v>9699.6547085201819</v>
      </c>
      <c r="O39" s="818">
        <f t="shared" si="16"/>
        <v>13927.762331838567</v>
      </c>
      <c r="P39" s="818">
        <f t="shared" si="16"/>
        <v>13927.762331838567</v>
      </c>
      <c r="Q39" s="818">
        <f t="shared" si="16"/>
        <v>13927.762331838567</v>
      </c>
      <c r="R39" s="818">
        <f t="shared" si="16"/>
        <v>14935.632286995518</v>
      </c>
      <c r="S39" s="818">
        <f t="shared" si="16"/>
        <v>19564.97757847534</v>
      </c>
      <c r="T39" s="818">
        <f t="shared" si="16"/>
        <v>19564.97757847534</v>
      </c>
      <c r="U39" s="818">
        <f t="shared" si="16"/>
        <v>19564.97757847534</v>
      </c>
      <c r="V39" s="818">
        <f t="shared" si="16"/>
        <v>24110.321598371349</v>
      </c>
      <c r="W39" s="818">
        <f t="shared" si="16"/>
        <v>27189.335811322788</v>
      </c>
      <c r="X39" s="818">
        <f t="shared" si="16"/>
        <v>37536.923639340028</v>
      </c>
      <c r="Y39" s="818">
        <f t="shared" si="16"/>
        <v>40229.18324565066</v>
      </c>
      <c r="Z39" s="818">
        <f t="shared" si="16"/>
        <v>29963.402662348308</v>
      </c>
      <c r="AA39" s="818">
        <f t="shared" si="16"/>
        <v>26302.674166906545</v>
      </c>
      <c r="AB39" s="818">
        <f t="shared" si="16"/>
        <v>33691.768727137809</v>
      </c>
      <c r="AC39" s="818">
        <f t="shared" si="16"/>
        <v>38093.214340939368</v>
      </c>
      <c r="AD39" s="818">
        <f t="shared" si="16"/>
        <v>49504.09611881063</v>
      </c>
      <c r="AE39" s="818">
        <f t="shared" si="16"/>
        <v>62459.12692098337</v>
      </c>
      <c r="AF39" s="818">
        <f t="shared" si="16"/>
        <v>69823.914313694928</v>
      </c>
      <c r="AG39" s="818">
        <f t="shared" si="16"/>
        <v>82136.370421822838</v>
      </c>
      <c r="AH39" s="818">
        <f t="shared" si="16"/>
        <v>67385.621061993661</v>
      </c>
      <c r="AI39" s="818">
        <f t="shared" si="16"/>
        <v>72845.759597978191</v>
      </c>
      <c r="AJ39" s="818">
        <f t="shared" si="16"/>
        <v>101702.50684399251</v>
      </c>
      <c r="AK39" s="818">
        <f t="shared" si="16"/>
        <v>110613.71186075013</v>
      </c>
      <c r="AL39" s="818">
        <f t="shared" si="16"/>
        <v>157594.56294394442</v>
      </c>
      <c r="AM39" s="818">
        <f>IFERROR(AM36+SUM(AM45:AM56),0)</f>
        <v>132533.49225977238</v>
      </c>
      <c r="AN39" s="818">
        <f t="shared" si="16"/>
        <v>152651.11776202705</v>
      </c>
      <c r="AO39" s="818">
        <f t="shared" si="16"/>
        <v>149737.05121406994</v>
      </c>
      <c r="AP39" s="818">
        <f t="shared" si="16"/>
        <v>163810.66319629271</v>
      </c>
      <c r="AQ39" s="818">
        <f t="shared" si="16"/>
        <v>178446.5612536569</v>
      </c>
      <c r="AR39" s="818">
        <f t="shared" si="16"/>
        <v>3742.339597338665</v>
      </c>
      <c r="AS39" s="818">
        <f t="shared" si="16"/>
        <v>2.9103830456733704E-11</v>
      </c>
      <c r="AT39" s="818">
        <f t="shared" si="16"/>
        <v>0</v>
      </c>
      <c r="AU39" s="818">
        <f t="shared" si="16"/>
        <v>1991109.791308024</v>
      </c>
      <c r="AV39" s="1057"/>
      <c r="AW39" s="1170"/>
    </row>
    <row r="40" spans="1:51" ht="15.6">
      <c r="A40" s="1066" t="s">
        <v>1807</v>
      </c>
      <c r="B40" s="1318">
        <f>B76*$B$68</f>
        <v>4362.1636771300464</v>
      </c>
      <c r="C40" s="1318">
        <f>C76*$B$68</f>
        <v>4362.1636771300464</v>
      </c>
      <c r="D40" s="1318">
        <f t="shared" ref="D40:R40" si="17">D76*$B$68</f>
        <v>4362.1636771300464</v>
      </c>
      <c r="E40" s="1318">
        <f t="shared" si="17"/>
        <v>4362.1636771300464</v>
      </c>
      <c r="F40" s="1318">
        <f t="shared" si="17"/>
        <v>4013.1905829596417</v>
      </c>
      <c r="G40" s="1318">
        <f t="shared" si="17"/>
        <v>4013.1905829596417</v>
      </c>
      <c r="H40" s="1318">
        <f t="shared" si="17"/>
        <v>4013.1905829596417</v>
      </c>
      <c r="I40" s="1318">
        <f t="shared" si="17"/>
        <v>4013.1905829596417</v>
      </c>
      <c r="J40" s="1318">
        <f t="shared" si="17"/>
        <v>4013.1905829596417</v>
      </c>
      <c r="K40" s="1318">
        <f t="shared" si="17"/>
        <v>4013.1905829596417</v>
      </c>
      <c r="L40" s="1318">
        <f t="shared" si="17"/>
        <v>4013.1905829596417</v>
      </c>
      <c r="M40" s="1318">
        <f t="shared" si="17"/>
        <v>4013.1905829596417</v>
      </c>
      <c r="N40" s="1318">
        <f t="shared" si="17"/>
        <v>4885.6233183856511</v>
      </c>
      <c r="O40" s="1318">
        <f t="shared" si="17"/>
        <v>4885.6233183856511</v>
      </c>
      <c r="P40" s="1318">
        <f t="shared" si="17"/>
        <v>4885.6233183856511</v>
      </c>
      <c r="Q40" s="1318">
        <f t="shared" si="17"/>
        <v>4885.6233183856511</v>
      </c>
      <c r="R40" s="1318">
        <f t="shared" si="17"/>
        <v>8724.3273542600928</v>
      </c>
      <c r="S40" s="1317">
        <f>S76*$D$68</f>
        <v>7022.322580645161</v>
      </c>
      <c r="T40" s="1317">
        <f>T76*$D$68</f>
        <v>12874.258064516127</v>
      </c>
      <c r="U40" s="1317">
        <f>U76*$D$68</f>
        <v>16385.419354838708</v>
      </c>
      <c r="V40" s="1319">
        <f>V76*'Feed Cost &amp; Allocation'!B76+V76*SUM('Feed Cost &amp; Allocation'!Y76:Z76)</f>
        <v>7705.8200379011359</v>
      </c>
      <c r="W40" s="1319">
        <f>W76*'Feed Cost &amp; Allocation'!B76+W76*SUM('Feed Cost &amp; Allocation'!Y76:Z76)</f>
        <v>2231.1799620988641</v>
      </c>
      <c r="X40" s="1060">
        <f>X76*$F$68</f>
        <v>12486.902515723272</v>
      </c>
      <c r="Y40" s="1060">
        <f>Y76*$F$68</f>
        <v>13231.823899371069</v>
      </c>
      <c r="Z40" s="1060">
        <f>Z76*$F$68</f>
        <v>20052.273584905659</v>
      </c>
      <c r="AA40" s="1551">
        <f>AA7/(AA7+AB7+AC7)*('Feed Cost &amp; Allocation'!D76+'Feed Cost &amp; Allocation'!E76+'Feed Cost &amp; Allocation'!AM76)</f>
        <v>39571.80228514655</v>
      </c>
      <c r="AB40" s="1551">
        <f>AB7/(AA7+AB7+AC7)*('Feed Cost &amp; Allocation'!D76+'Feed Cost &amp; Allocation'!E76+'Feed Cost &amp; Allocation'!AM76)</f>
        <v>39689.2260307998</v>
      </c>
      <c r="AC40" s="1551">
        <f>AC7/(AB7+AC7+AA7)*('Feed Cost &amp; Allocation'!D76+'Feed Cost &amp; Allocation'!E76+'Feed Cost &amp; Allocation'!AM76)</f>
        <v>38925.971684053649</v>
      </c>
      <c r="AD40" s="1320">
        <f>(AD7/(AD7+AE7))*'Feed Cost &amp; Allocation'!F76</f>
        <v>37574.233207547171</v>
      </c>
      <c r="AE40" s="1320">
        <f>'Feed Cost &amp; Allocation'!F76-AD40</f>
        <v>37744.766792452829</v>
      </c>
      <c r="AF40" s="1553">
        <f>AF7/(AF7+AG7)*'Feed Cost &amp; Allocation'!G76</f>
        <v>42039.223247232476</v>
      </c>
      <c r="AG40" s="1553">
        <f>AG7/(AF7+AG7)*'Feed Cost &amp; Allocation'!G76</f>
        <v>40366.776752767531</v>
      </c>
      <c r="AH40" s="1554">
        <f>AH7/(AH7)*'Feed Cost &amp; Allocation'!H76</f>
        <v>46217</v>
      </c>
      <c r="AI40" s="1552">
        <f>AI7/(AJ7+AI7+AK7+AL7+AM7)*'Feed Cost &amp; Allocation'!J76</f>
        <v>43392.727171492203</v>
      </c>
      <c r="AJ40" s="1552">
        <f>AJ7/(AI7+AK7+AJ7+AL7+AM7)*'Feed Cost &amp; Allocation'!J76</f>
        <v>42490.420935412025</v>
      </c>
      <c r="AK40" s="1552">
        <f>AK7/(AI7+AJ7+AL7+AK7+AM7)*'Feed Cost &amp; Allocation'!J76</f>
        <v>42080.281737193764</v>
      </c>
      <c r="AL40" s="1552">
        <f>AL7/(AI7+AJ7+AK7+AM7+AL7)*'Feed Cost &amp; Allocation'!J76</f>
        <v>43556.782850779506</v>
      </c>
      <c r="AM40" s="1552">
        <f>AM7/(AI7+AJ7+AK7+AL7+AM7)*'Feed Cost &amp; Allocation'!J76</f>
        <v>49462.787305122496</v>
      </c>
      <c r="AN40" s="818"/>
      <c r="AO40" s="818"/>
      <c r="AP40" s="818"/>
      <c r="AQ40" s="818"/>
      <c r="AR40" s="818"/>
      <c r="AS40" s="818">
        <v>0</v>
      </c>
      <c r="AT40" s="818"/>
      <c r="AU40" s="807">
        <f>SUM(B40:AT40)</f>
        <v>712923.00000000012</v>
      </c>
      <c r="AV40" s="1199">
        <f>+AU40-'Feed Cost &amp; Allocation'!AY76+'Feed Cost &amp; Allocation'!R76+'Feed Cost &amp; Allocation'!Q76+'Feed Cost &amp; Allocation'!P76+'Feed Cost &amp; Allocation'!W76+'Feed Cost &amp; Allocation'!X76+'Feed Cost &amp; Allocation'!AB76-F67</f>
        <v>1.1641532182693481E-10</v>
      </c>
      <c r="AW40" s="1088">
        <f>+'Feed Cost &amp; Allocation'!P76+'Feed Cost &amp; Allocation'!Q76+'Feed Cost &amp; Allocation'!R76+'Feed Cost &amp; Allocation'!W76+'Feed Cost &amp; Allocation'!X76+'Feed Cost &amp; Allocation'!AB76-'Richlands Pig Cost'!F67</f>
        <v>23169</v>
      </c>
      <c r="AX40" s="818">
        <f>'Feed Cost &amp; Allocation'!AY76-'Richlands Pig Cost'!AU40</f>
        <v>23168.999999999884</v>
      </c>
      <c r="AY40" s="142">
        <v>6</v>
      </c>
    </row>
    <row r="41" spans="1:51" ht="15.6">
      <c r="A41" s="1790" t="s">
        <v>1808</v>
      </c>
      <c r="B41" s="1318">
        <f>IFERROR(SUM(B39:B40),0)</f>
        <v>4362.1636771300464</v>
      </c>
      <c r="C41" s="1318">
        <f t="shared" ref="C41:AT41" si="18">IFERROR(SUM(C39:C40),0)</f>
        <v>4362.1636771300464</v>
      </c>
      <c r="D41" s="1318">
        <f t="shared" si="18"/>
        <v>4362.1636771300464</v>
      </c>
      <c r="E41" s="1318">
        <f t="shared" si="18"/>
        <v>4362.1636771300464</v>
      </c>
      <c r="F41" s="1318">
        <f t="shared" si="18"/>
        <v>9052.5403587443943</v>
      </c>
      <c r="G41" s="1318">
        <f t="shared" si="18"/>
        <v>9052.5403587443943</v>
      </c>
      <c r="H41" s="1318">
        <f t="shared" si="18"/>
        <v>9052.5403587443943</v>
      </c>
      <c r="I41" s="1318">
        <f t="shared" si="18"/>
        <v>9052.5403587443943</v>
      </c>
      <c r="J41" s="1318">
        <f t="shared" si="18"/>
        <v>8649.3923766816151</v>
      </c>
      <c r="K41" s="1318">
        <f t="shared" si="18"/>
        <v>13712.845291479824</v>
      </c>
      <c r="L41" s="1318">
        <f t="shared" si="18"/>
        <v>13712.845291479824</v>
      </c>
      <c r="M41" s="1318">
        <f t="shared" si="18"/>
        <v>13712.845291479824</v>
      </c>
      <c r="N41" s="1318">
        <f t="shared" si="18"/>
        <v>14585.278026905833</v>
      </c>
      <c r="O41" s="1318">
        <f t="shared" si="18"/>
        <v>18813.38565022422</v>
      </c>
      <c r="P41" s="1318">
        <f t="shared" si="18"/>
        <v>18813.38565022422</v>
      </c>
      <c r="Q41" s="1318">
        <f t="shared" si="18"/>
        <v>18813.38565022422</v>
      </c>
      <c r="R41" s="1318">
        <f t="shared" si="18"/>
        <v>23659.959641255613</v>
      </c>
      <c r="S41" s="1318">
        <f t="shared" si="18"/>
        <v>26587.300159120503</v>
      </c>
      <c r="T41" s="1318">
        <f t="shared" si="18"/>
        <v>32439.235642991465</v>
      </c>
      <c r="U41" s="1318">
        <f t="shared" si="18"/>
        <v>35950.396933314049</v>
      </c>
      <c r="V41" s="1318">
        <f t="shared" si="18"/>
        <v>31816.141636272485</v>
      </c>
      <c r="W41" s="1318">
        <f t="shared" si="18"/>
        <v>29420.515773421652</v>
      </c>
      <c r="X41" s="1318">
        <f t="shared" si="18"/>
        <v>50023.826155063303</v>
      </c>
      <c r="Y41" s="1318">
        <f t="shared" si="18"/>
        <v>53461.007145021729</v>
      </c>
      <c r="Z41" s="1318">
        <f t="shared" si="18"/>
        <v>50015.67624725397</v>
      </c>
      <c r="AA41" s="1318">
        <f t="shared" si="18"/>
        <v>65874.476452053088</v>
      </c>
      <c r="AB41" s="1318">
        <f t="shared" si="18"/>
        <v>73380.994757937617</v>
      </c>
      <c r="AC41" s="1318">
        <f t="shared" si="18"/>
        <v>77019.186024993018</v>
      </c>
      <c r="AD41" s="1318">
        <f t="shared" si="18"/>
        <v>87078.329326357809</v>
      </c>
      <c r="AE41" s="1318">
        <f t="shared" si="18"/>
        <v>100203.89371343621</v>
      </c>
      <c r="AF41" s="1318">
        <f t="shared" si="18"/>
        <v>111863.1375609274</v>
      </c>
      <c r="AG41" s="1318">
        <f t="shared" si="18"/>
        <v>122503.14717459037</v>
      </c>
      <c r="AH41" s="1318">
        <f t="shared" si="18"/>
        <v>113602.62106199366</v>
      </c>
      <c r="AI41" s="1318">
        <f t="shared" si="18"/>
        <v>116238.48676947039</v>
      </c>
      <c r="AJ41" s="1318">
        <f t="shared" si="18"/>
        <v>144192.92777940453</v>
      </c>
      <c r="AK41" s="1318">
        <f t="shared" si="18"/>
        <v>152693.99359794389</v>
      </c>
      <c r="AL41" s="1318">
        <f t="shared" si="18"/>
        <v>201151.34579472392</v>
      </c>
      <c r="AM41" s="1318">
        <f>IFERROR(SUM(AM39:AM40),0)</f>
        <v>181996.27956489488</v>
      </c>
      <c r="AN41" s="1318">
        <f t="shared" si="18"/>
        <v>152651.11776202705</v>
      </c>
      <c r="AO41" s="1318">
        <f t="shared" si="18"/>
        <v>149737.05121406994</v>
      </c>
      <c r="AP41" s="1318">
        <f t="shared" si="18"/>
        <v>163810.66319629271</v>
      </c>
      <c r="AQ41" s="1318">
        <f t="shared" si="18"/>
        <v>178446.5612536569</v>
      </c>
      <c r="AR41" s="1318">
        <f t="shared" si="18"/>
        <v>3742.339597338665</v>
      </c>
      <c r="AS41" s="1318">
        <f t="shared" si="18"/>
        <v>2.9103830456733704E-11</v>
      </c>
      <c r="AT41" s="1318">
        <f t="shared" si="18"/>
        <v>0</v>
      </c>
      <c r="AU41" s="1318">
        <f>IFERROR(SUM(AU39:AU40),0)</f>
        <v>2704032.791308024</v>
      </c>
      <c r="AV41" s="1057">
        <f>'Feed Cost &amp; Allocation'!Z76-'Feed Cost &amp; Allocation'!R76-'Feed Cost &amp; Allocation'!Q76-'Feed Cost &amp; Allocation'!P76+'Richlands Pig Cost'!F67-'Richlands Pig Cost'!AU40</f>
        <v>-717973.00000000012</v>
      </c>
      <c r="AY41" s="1091">
        <f>+AU32-AW12</f>
        <v>0</v>
      </c>
    </row>
    <row r="42" spans="1:51">
      <c r="AU42" s="1057"/>
      <c r="AV42" s="1057"/>
    </row>
    <row r="43" spans="1:51" ht="15.6">
      <c r="A43" s="1790" t="s">
        <v>1809</v>
      </c>
      <c r="S43" s="1074">
        <f>IFERROR(S41/SUM(S11:S23),0)</f>
        <v>95.983033065416976</v>
      </c>
      <c r="T43" s="1074">
        <f t="shared" ref="T43:AU43" si="19">IFERROR(T41/SUM(T11:T23),0)</f>
        <v>48.200944491814958</v>
      </c>
      <c r="U43" s="1074">
        <f t="shared" si="19"/>
        <v>56.97368769146442</v>
      </c>
      <c r="V43" s="1074">
        <f t="shared" si="19"/>
        <v>49.023330718447589</v>
      </c>
      <c r="W43" s="1074">
        <f t="shared" si="19"/>
        <v>42.638428657132827</v>
      </c>
      <c r="X43" s="1074">
        <f t="shared" si="19"/>
        <v>72.92102938055875</v>
      </c>
      <c r="Y43" s="1074">
        <f t="shared" si="19"/>
        <v>84.590201178831848</v>
      </c>
      <c r="Z43" s="1074">
        <f t="shared" si="19"/>
        <v>75.666681160747302</v>
      </c>
      <c r="AA43" s="1074">
        <f t="shared" si="19"/>
        <v>97.736611946666301</v>
      </c>
      <c r="AB43" s="1074">
        <f t="shared" si="19"/>
        <v>115.37892257537361</v>
      </c>
      <c r="AC43" s="1074">
        <f t="shared" si="19"/>
        <v>142.89273845082192</v>
      </c>
      <c r="AD43" s="1074">
        <f t="shared" si="19"/>
        <v>156.33452302757237</v>
      </c>
      <c r="AE43" s="1074">
        <f t="shared" si="19"/>
        <v>195.71072990905509</v>
      </c>
      <c r="AF43" s="1074">
        <f t="shared" si="19"/>
        <v>207.53828861025491</v>
      </c>
      <c r="AG43" s="1074">
        <f t="shared" si="19"/>
        <v>230.70272537587641</v>
      </c>
      <c r="AH43" s="1074">
        <f t="shared" si="19"/>
        <v>228.57670233801542</v>
      </c>
      <c r="AI43" s="1074">
        <f t="shared" si="19"/>
        <v>219.7324891672408</v>
      </c>
      <c r="AJ43" s="1074">
        <f t="shared" si="19"/>
        <v>278.3647254428659</v>
      </c>
      <c r="AK43" s="1074">
        <f t="shared" si="19"/>
        <v>297.64911032737598</v>
      </c>
      <c r="AL43" s="1074">
        <f t="shared" si="19"/>
        <v>378.81609377537461</v>
      </c>
      <c r="AM43" s="1074">
        <f>IFERROR(AM41/SUM(AM11:AM23),0)</f>
        <v>301.81804239617725</v>
      </c>
      <c r="AN43" s="1074">
        <f t="shared" si="19"/>
        <v>245.41980347592772</v>
      </c>
      <c r="AO43" s="1074">
        <f t="shared" si="19"/>
        <v>291.88509008590631</v>
      </c>
      <c r="AP43" s="1074">
        <f t="shared" si="19"/>
        <v>300.57002421338109</v>
      </c>
      <c r="AQ43" s="1074">
        <f t="shared" si="19"/>
        <v>320.94705261449081</v>
      </c>
      <c r="AR43" s="1074">
        <f t="shared" si="19"/>
        <v>249.48930648924434</v>
      </c>
      <c r="AS43" s="1074">
        <f t="shared" si="19"/>
        <v>0</v>
      </c>
      <c r="AT43" s="1074">
        <f t="shared" si="19"/>
        <v>0</v>
      </c>
      <c r="AU43" s="1074">
        <f t="shared" si="19"/>
        <v>188.71050256877828</v>
      </c>
      <c r="AV43" s="1057"/>
    </row>
    <row r="44" spans="1:51" ht="15.6"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74"/>
      <c r="AJ44" s="1074"/>
      <c r="AK44" s="1074"/>
      <c r="AL44" s="1074"/>
      <c r="AM44" s="1074"/>
      <c r="AN44" s="1074"/>
      <c r="AO44" s="1074"/>
      <c r="AP44" s="1074"/>
      <c r="AQ44" s="1074"/>
      <c r="AR44" s="1074"/>
      <c r="AS44" s="1074"/>
      <c r="AT44" s="1074"/>
      <c r="AU44" s="1074"/>
      <c r="AV44" s="1057"/>
    </row>
    <row r="45" spans="1:51" ht="15.6">
      <c r="A45" s="142" t="str">
        <f t="shared" ref="A45:A50" si="20">+A12</f>
        <v>Transfers Lionshead</v>
      </c>
      <c r="S45" s="1059">
        <f t="shared" ref="S45:AT45" si="21">S12*$S$37</f>
        <v>0</v>
      </c>
      <c r="T45" s="1059">
        <f t="shared" si="21"/>
        <v>0</v>
      </c>
      <c r="U45" s="1059">
        <f t="shared" si="21"/>
        <v>0</v>
      </c>
      <c r="V45" s="1059">
        <f t="shared" si="21"/>
        <v>0</v>
      </c>
      <c r="W45" s="1059">
        <f t="shared" si="21"/>
        <v>0</v>
      </c>
      <c r="X45" s="1059">
        <f t="shared" si="21"/>
        <v>0</v>
      </c>
      <c r="Y45" s="1059">
        <f t="shared" si="21"/>
        <v>0</v>
      </c>
      <c r="Z45" s="1059">
        <f t="shared" si="21"/>
        <v>0</v>
      </c>
      <c r="AA45" s="1059">
        <f t="shared" si="21"/>
        <v>0</v>
      </c>
      <c r="AB45" s="1059">
        <f t="shared" si="21"/>
        <v>0</v>
      </c>
      <c r="AC45" s="1059">
        <f t="shared" si="21"/>
        <v>0</v>
      </c>
      <c r="AD45" s="1059">
        <f t="shared" si="21"/>
        <v>0</v>
      </c>
      <c r="AE45" s="1059">
        <f t="shared" si="21"/>
        <v>0</v>
      </c>
      <c r="AF45" s="1059">
        <f t="shared" si="21"/>
        <v>0</v>
      </c>
      <c r="AG45" s="1059">
        <f>AG12*$S$37</f>
        <v>0</v>
      </c>
      <c r="AH45" s="1059">
        <f t="shared" si="21"/>
        <v>0</v>
      </c>
      <c r="AI45" s="1059">
        <f t="shared" si="21"/>
        <v>0</v>
      </c>
      <c r="AJ45" s="1059">
        <f t="shared" si="21"/>
        <v>0</v>
      </c>
      <c r="AK45" s="1059">
        <f t="shared" si="21"/>
        <v>0</v>
      </c>
      <c r="AL45" s="1059">
        <f t="shared" si="21"/>
        <v>0</v>
      </c>
      <c r="AM45" s="1059">
        <f t="shared" si="21"/>
        <v>0</v>
      </c>
      <c r="AN45" s="1059">
        <f t="shared" si="21"/>
        <v>0</v>
      </c>
      <c r="AO45" s="1059">
        <f t="shared" si="21"/>
        <v>0</v>
      </c>
      <c r="AP45" s="1059">
        <f t="shared" si="21"/>
        <v>0</v>
      </c>
      <c r="AQ45" s="1059">
        <f t="shared" si="21"/>
        <v>0</v>
      </c>
      <c r="AR45" s="1059">
        <f t="shared" si="21"/>
        <v>0</v>
      </c>
      <c r="AS45" s="1059">
        <f t="shared" si="21"/>
        <v>0</v>
      </c>
      <c r="AT45" s="1059">
        <f t="shared" si="21"/>
        <v>0</v>
      </c>
      <c r="AU45" s="1068">
        <f>SUM(B45:AT45)</f>
        <v>0</v>
      </c>
      <c r="AV45" s="1057"/>
      <c r="AY45" s="817"/>
    </row>
    <row r="46" spans="1:51" ht="15.6">
      <c r="A46" s="142" t="str">
        <f t="shared" si="20"/>
        <v>Transfers Lionshead Ext.</v>
      </c>
      <c r="S46" s="1059">
        <f t="shared" ref="S46:AT46" si="22">S13*S37</f>
        <v>0</v>
      </c>
      <c r="T46" s="1059">
        <f t="shared" si="22"/>
        <v>0</v>
      </c>
      <c r="U46" s="1059">
        <f t="shared" si="22"/>
        <v>0</v>
      </c>
      <c r="V46" s="1059">
        <f t="shared" si="22"/>
        <v>0</v>
      </c>
      <c r="W46" s="1059">
        <f t="shared" si="22"/>
        <v>0</v>
      </c>
      <c r="X46" s="1059">
        <f t="shared" si="22"/>
        <v>0</v>
      </c>
      <c r="Y46" s="1059">
        <f t="shared" si="22"/>
        <v>0</v>
      </c>
      <c r="Z46" s="1059">
        <f t="shared" si="22"/>
        <v>0</v>
      </c>
      <c r="AA46" s="1059">
        <f t="shared" si="22"/>
        <v>0</v>
      </c>
      <c r="AB46" s="1059">
        <f t="shared" si="22"/>
        <v>-2118.9791652287931</v>
      </c>
      <c r="AC46" s="1059">
        <f t="shared" si="22"/>
        <v>-7774.1253757019113</v>
      </c>
      <c r="AD46" s="1059">
        <f t="shared" si="22"/>
        <v>-7998.866518299742</v>
      </c>
      <c r="AE46" s="1059">
        <f t="shared" si="22"/>
        <v>-17078.667517456393</v>
      </c>
      <c r="AF46" s="1059">
        <f t="shared" si="22"/>
        <v>0</v>
      </c>
      <c r="AG46" s="1059">
        <f t="shared" si="22"/>
        <v>0</v>
      </c>
      <c r="AH46" s="1059">
        <f t="shared" si="22"/>
        <v>0</v>
      </c>
      <c r="AI46" s="1059">
        <f t="shared" si="22"/>
        <v>0</v>
      </c>
      <c r="AJ46" s="1059">
        <f t="shared" si="22"/>
        <v>0</v>
      </c>
      <c r="AK46" s="1059">
        <f t="shared" si="22"/>
        <v>0</v>
      </c>
      <c r="AL46" s="1059">
        <f t="shared" si="22"/>
        <v>0</v>
      </c>
      <c r="AM46" s="1059">
        <f t="shared" si="22"/>
        <v>0</v>
      </c>
      <c r="AN46" s="1059">
        <f t="shared" si="22"/>
        <v>0</v>
      </c>
      <c r="AO46" s="1059">
        <f t="shared" si="22"/>
        <v>0</v>
      </c>
      <c r="AP46" s="1059">
        <f t="shared" si="22"/>
        <v>0</v>
      </c>
      <c r="AQ46" s="1059">
        <f t="shared" si="22"/>
        <v>0</v>
      </c>
      <c r="AR46" s="1059">
        <f t="shared" si="22"/>
        <v>0</v>
      </c>
      <c r="AS46" s="1059">
        <f t="shared" si="22"/>
        <v>0</v>
      </c>
      <c r="AT46" s="1059">
        <f t="shared" si="22"/>
        <v>0</v>
      </c>
      <c r="AU46" s="1068">
        <f>SUM(B46:AT46)</f>
        <v>-34970.638576686841</v>
      </c>
      <c r="AV46" s="1057"/>
    </row>
    <row r="47" spans="1:51" ht="15.6">
      <c r="A47" s="142" t="str">
        <f t="shared" si="20"/>
        <v>Transfer Grasmere</v>
      </c>
      <c r="S47" s="1059">
        <f>-'Grasmere Pig Cost'!S47</f>
        <v>0</v>
      </c>
      <c r="T47" s="1059">
        <f>-'Grasmere Pig Cost'!T47</f>
        <v>0</v>
      </c>
      <c r="U47" s="1059">
        <f>-'Grasmere Pig Cost'!U47</f>
        <v>0</v>
      </c>
      <c r="V47" s="1059">
        <f>-'Grasmere Pig Cost'!V47</f>
        <v>0</v>
      </c>
      <c r="W47" s="1059">
        <f>-'Grasmere Pig Cost'!W47</f>
        <v>0</v>
      </c>
      <c r="X47" s="1059">
        <f>-'Grasmere Pig Cost'!X47</f>
        <v>0</v>
      </c>
      <c r="Y47" s="1059">
        <f>-'Grasmere Pig Cost'!Y47</f>
        <v>0</v>
      </c>
      <c r="Z47" s="1059">
        <f>-'Grasmere Pig Cost'!Z47</f>
        <v>0</v>
      </c>
      <c r="AA47" s="1059">
        <f>-'Grasmere Pig Cost'!AA47</f>
        <v>0</v>
      </c>
      <c r="AB47" s="1059">
        <f>-'Grasmere Pig Cost'!AB47</f>
        <v>0</v>
      </c>
      <c r="AC47" s="1059">
        <f>-'Grasmere Pig Cost'!AC47</f>
        <v>0</v>
      </c>
      <c r="AD47" s="1059">
        <f>-'Grasmere Pig Cost'!AD47</f>
        <v>0</v>
      </c>
      <c r="AE47" s="1059">
        <f>-'Grasmere Pig Cost'!AE47</f>
        <v>0</v>
      </c>
      <c r="AF47" s="1059">
        <f>-'Grasmere Pig Cost'!AF47</f>
        <v>0</v>
      </c>
      <c r="AG47" s="1059">
        <f>-'Grasmere Pig Cost'!AG47</f>
        <v>0</v>
      </c>
      <c r="AH47" s="1059">
        <f>-'Grasmere Pig Cost'!AH47</f>
        <v>0</v>
      </c>
      <c r="AI47" s="1059">
        <f>-'Grasmere Pig Cost'!AI47</f>
        <v>0</v>
      </c>
      <c r="AJ47" s="1059">
        <f>-'Grasmere Pig Cost'!AJ47</f>
        <v>0</v>
      </c>
      <c r="AK47" s="1059">
        <f>-'Grasmere Pig Cost'!AK47</f>
        <v>0</v>
      </c>
      <c r="AL47" s="1059">
        <f>-'Grasmere Pig Cost'!AL47</f>
        <v>0</v>
      </c>
      <c r="AM47" s="1059">
        <f>-'Grasmere Pig Cost'!AM47</f>
        <v>0</v>
      </c>
      <c r="AN47" s="1059">
        <f>-'Grasmere Pig Cost'!AN47</f>
        <v>0</v>
      </c>
      <c r="AO47" s="1059">
        <f>-'Grasmere Pig Cost'!AO47</f>
        <v>0</v>
      </c>
      <c r="AP47" s="1059">
        <f>-'Grasmere Pig Cost'!AP47</f>
        <v>0</v>
      </c>
      <c r="AQ47" s="1059">
        <f>-'Grasmere Pig Cost'!AQ47</f>
        <v>0</v>
      </c>
      <c r="AR47" s="1059">
        <f>-'Grasmere Pig Cost'!AR47</f>
        <v>0</v>
      </c>
      <c r="AS47" s="1059">
        <f>-'Grasmere Pig Cost'!AS47</f>
        <v>0</v>
      </c>
      <c r="AT47" s="1059">
        <f>-'Grasmere Pig Cost'!AT47</f>
        <v>0</v>
      </c>
      <c r="AU47" s="1068">
        <f t="shared" ref="AU47:AU61" si="23">SUM(B47:AT47)</f>
        <v>0</v>
      </c>
      <c r="AV47" s="1057"/>
    </row>
    <row r="48" spans="1:51" ht="20.25" customHeight="1">
      <c r="A48" s="142" t="str">
        <f t="shared" si="20"/>
        <v>Transfers Learig</v>
      </c>
      <c r="S48" s="1059">
        <f t="shared" ref="S48:AT48" si="24">S15*S37</f>
        <v>0</v>
      </c>
      <c r="T48" s="1059">
        <f t="shared" si="24"/>
        <v>0</v>
      </c>
      <c r="U48" s="1059">
        <f t="shared" si="24"/>
        <v>0</v>
      </c>
      <c r="V48" s="1059">
        <f t="shared" si="24"/>
        <v>0</v>
      </c>
      <c r="W48" s="1059">
        <f t="shared" si="24"/>
        <v>0</v>
      </c>
      <c r="X48" s="1059">
        <f t="shared" si="24"/>
        <v>0</v>
      </c>
      <c r="Y48" s="1059">
        <f>Y15*Y37</f>
        <v>0</v>
      </c>
      <c r="Z48" s="1059">
        <f t="shared" si="24"/>
        <v>0</v>
      </c>
      <c r="AA48" s="1059">
        <f t="shared" si="24"/>
        <v>0</v>
      </c>
      <c r="AB48" s="1059">
        <f t="shared" si="24"/>
        <v>0</v>
      </c>
      <c r="AC48" s="1059">
        <f t="shared" si="24"/>
        <v>0</v>
      </c>
      <c r="AD48" s="1059">
        <f t="shared" si="24"/>
        <v>0</v>
      </c>
      <c r="AE48" s="1059">
        <f t="shared" si="24"/>
        <v>0</v>
      </c>
      <c r="AF48" s="1059">
        <f t="shared" si="24"/>
        <v>0</v>
      </c>
      <c r="AG48" s="1059">
        <f t="shared" si="24"/>
        <v>0</v>
      </c>
      <c r="AH48" s="1059">
        <f t="shared" si="24"/>
        <v>0</v>
      </c>
      <c r="AI48" s="1059">
        <f t="shared" si="24"/>
        <v>0</v>
      </c>
      <c r="AJ48" s="1059">
        <f t="shared" si="24"/>
        <v>0</v>
      </c>
      <c r="AK48" s="1059">
        <f t="shared" si="24"/>
        <v>0</v>
      </c>
      <c r="AL48" s="1059">
        <f t="shared" si="24"/>
        <v>0</v>
      </c>
      <c r="AM48" s="1059">
        <f t="shared" si="24"/>
        <v>0</v>
      </c>
      <c r="AN48" s="1059">
        <f t="shared" si="24"/>
        <v>0</v>
      </c>
      <c r="AO48" s="1059">
        <f t="shared" si="24"/>
        <v>0</v>
      </c>
      <c r="AP48" s="1059">
        <f t="shared" si="24"/>
        <v>0</v>
      </c>
      <c r="AQ48" s="1059">
        <f t="shared" si="24"/>
        <v>0</v>
      </c>
      <c r="AR48" s="1059">
        <f t="shared" si="24"/>
        <v>0</v>
      </c>
      <c r="AS48" s="1059">
        <f t="shared" si="24"/>
        <v>0</v>
      </c>
      <c r="AT48" s="1059">
        <f t="shared" si="24"/>
        <v>0</v>
      </c>
      <c r="AU48" s="1068">
        <f>SUM(B48:AT48)</f>
        <v>0</v>
      </c>
      <c r="AV48" s="1057"/>
    </row>
    <row r="49" spans="1:52" ht="15.6">
      <c r="A49" s="142" t="str">
        <f t="shared" si="20"/>
        <v>Transfers Villa</v>
      </c>
      <c r="S49" s="1059">
        <f t="shared" ref="S49:AT49" si="25">S16*S37</f>
        <v>0</v>
      </c>
      <c r="T49" s="1059">
        <f t="shared" si="25"/>
        <v>0</v>
      </c>
      <c r="U49" s="1059">
        <f t="shared" si="25"/>
        <v>0</v>
      </c>
      <c r="V49" s="1059">
        <f t="shared" si="25"/>
        <v>0</v>
      </c>
      <c r="W49" s="1059">
        <f t="shared" si="25"/>
        <v>0</v>
      </c>
      <c r="X49" s="1059">
        <f t="shared" si="25"/>
        <v>0</v>
      </c>
      <c r="Y49" s="1059">
        <f t="shared" si="25"/>
        <v>0</v>
      </c>
      <c r="Z49" s="1059">
        <f t="shared" si="25"/>
        <v>0</v>
      </c>
      <c r="AA49" s="1059">
        <f t="shared" si="25"/>
        <v>0</v>
      </c>
      <c r="AB49" s="1059">
        <f t="shared" si="25"/>
        <v>0</v>
      </c>
      <c r="AC49" s="1059">
        <f t="shared" si="25"/>
        <v>0</v>
      </c>
      <c r="AD49" s="1059">
        <f t="shared" si="25"/>
        <v>0</v>
      </c>
      <c r="AE49" s="1059">
        <f t="shared" si="25"/>
        <v>0</v>
      </c>
      <c r="AF49" s="1059">
        <f t="shared" si="25"/>
        <v>0</v>
      </c>
      <c r="AG49" s="1059">
        <f t="shared" si="25"/>
        <v>0</v>
      </c>
      <c r="AH49" s="1059">
        <f t="shared" si="25"/>
        <v>0</v>
      </c>
      <c r="AI49" s="1059">
        <f t="shared" si="25"/>
        <v>0</v>
      </c>
      <c r="AJ49" s="1059">
        <f t="shared" si="25"/>
        <v>0</v>
      </c>
      <c r="AK49" s="1059">
        <f t="shared" si="25"/>
        <v>0</v>
      </c>
      <c r="AL49" s="1059">
        <f t="shared" si="25"/>
        <v>0</v>
      </c>
      <c r="AM49" s="1059">
        <f t="shared" si="25"/>
        <v>0</v>
      </c>
      <c r="AN49" s="1059">
        <f t="shared" si="25"/>
        <v>0</v>
      </c>
      <c r="AO49" s="1059">
        <f t="shared" si="25"/>
        <v>0</v>
      </c>
      <c r="AP49" s="1059">
        <f t="shared" si="25"/>
        <v>0</v>
      </c>
      <c r="AQ49" s="1059">
        <f t="shared" si="25"/>
        <v>0</v>
      </c>
      <c r="AR49" s="1059">
        <f t="shared" si="25"/>
        <v>0</v>
      </c>
      <c r="AS49" s="1059">
        <f t="shared" si="25"/>
        <v>0</v>
      </c>
      <c r="AT49" s="1059">
        <f t="shared" si="25"/>
        <v>0</v>
      </c>
      <c r="AU49" s="1068">
        <f t="shared" si="23"/>
        <v>0</v>
      </c>
      <c r="AV49" s="1057"/>
    </row>
    <row r="50" spans="1:52" ht="15.6">
      <c r="A50" s="142" t="str">
        <f t="shared" si="20"/>
        <v>Transfers Porta</v>
      </c>
      <c r="S50" s="1059"/>
      <c r="T50" s="1059"/>
      <c r="U50" s="1059"/>
      <c r="V50" s="1059"/>
      <c r="W50" s="1059"/>
      <c r="X50" s="1059"/>
      <c r="Y50" s="1059"/>
      <c r="Z50" s="1059"/>
      <c r="AA50" s="1059"/>
      <c r="AB50" s="1059"/>
      <c r="AC50" s="1059"/>
      <c r="AD50" s="1059"/>
      <c r="AE50" s="1059"/>
      <c r="AF50" s="1059"/>
      <c r="AG50" s="1059"/>
      <c r="AH50" s="1059"/>
      <c r="AI50" s="1059"/>
      <c r="AJ50" s="1059"/>
      <c r="AK50" s="1059"/>
      <c r="AL50" s="1059"/>
      <c r="AM50" s="1059"/>
      <c r="AN50" s="1059"/>
      <c r="AO50" s="1059"/>
      <c r="AP50" s="1059"/>
      <c r="AQ50" s="1059"/>
      <c r="AR50" s="1059"/>
      <c r="AS50" s="1059"/>
      <c r="AT50" s="1059"/>
      <c r="AU50" s="1068"/>
      <c r="AV50" s="1057"/>
    </row>
    <row r="51" spans="1:52" ht="15.6">
      <c r="A51" s="142" t="str">
        <f t="shared" ref="A51:A52" si="26">+A18</f>
        <v>Transfers Multiplier</v>
      </c>
      <c r="S51" s="1059"/>
      <c r="T51" s="1059"/>
      <c r="U51" s="1059"/>
      <c r="V51" s="1059"/>
      <c r="W51" s="1059"/>
      <c r="X51" s="1059"/>
      <c r="Y51" s="1059"/>
      <c r="Z51" s="1059"/>
      <c r="AA51" s="1059"/>
      <c r="AB51" s="1059"/>
      <c r="AC51" s="1059"/>
      <c r="AD51" s="1059"/>
      <c r="AE51" s="1059"/>
      <c r="AF51" s="1059"/>
      <c r="AG51" s="1059"/>
      <c r="AH51" s="1059"/>
      <c r="AI51" s="1059"/>
      <c r="AJ51" s="1059"/>
      <c r="AK51" s="1059"/>
      <c r="AL51" s="1059"/>
      <c r="AM51" s="1059"/>
      <c r="AN51" s="1059"/>
      <c r="AO51" s="1059"/>
      <c r="AP51" s="1059"/>
      <c r="AQ51" s="1059"/>
      <c r="AR51" s="1059"/>
      <c r="AS51" s="1059"/>
      <c r="AT51" s="1059"/>
      <c r="AU51" s="1068"/>
      <c r="AV51" s="1057"/>
    </row>
    <row r="52" spans="1:52" ht="15.6">
      <c r="A52" s="142">
        <f t="shared" si="26"/>
        <v>0</v>
      </c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59"/>
      <c r="AJ52" s="1059"/>
      <c r="AK52" s="1059"/>
      <c r="AL52" s="1059"/>
      <c r="AM52" s="1059"/>
      <c r="AN52" s="1059"/>
      <c r="AO52" s="1059"/>
      <c r="AP52" s="1059"/>
      <c r="AQ52" s="1059"/>
      <c r="AR52" s="1059"/>
      <c r="AS52" s="1059"/>
      <c r="AT52" s="1059"/>
      <c r="AU52" s="1068"/>
      <c r="AV52" s="1057"/>
    </row>
    <row r="53" spans="1:52" ht="15.6">
      <c r="A53" s="142" t="str">
        <f t="shared" ref="A53:A61" si="27">+A20</f>
        <v>Transfers  Boars</v>
      </c>
      <c r="S53" s="1059">
        <f t="shared" ref="S53:AT53" si="28">S20*S37</f>
        <v>0</v>
      </c>
      <c r="T53" s="1059">
        <f t="shared" si="28"/>
        <v>0</v>
      </c>
      <c r="U53" s="1059">
        <f t="shared" si="28"/>
        <v>0</v>
      </c>
      <c r="V53" s="1059">
        <f t="shared" si="28"/>
        <v>0</v>
      </c>
      <c r="W53" s="1059">
        <f t="shared" si="28"/>
        <v>0</v>
      </c>
      <c r="X53" s="1059">
        <f t="shared" si="28"/>
        <v>0</v>
      </c>
      <c r="Y53" s="1059">
        <f t="shared" si="28"/>
        <v>0</v>
      </c>
      <c r="Z53" s="1059">
        <f t="shared" si="28"/>
        <v>0</v>
      </c>
      <c r="AA53" s="1059">
        <f t="shared" si="28"/>
        <v>0</v>
      </c>
      <c r="AB53" s="1059">
        <f t="shared" si="28"/>
        <v>0</v>
      </c>
      <c r="AC53" s="1059">
        <f t="shared" si="28"/>
        <v>0</v>
      </c>
      <c r="AD53" s="1059">
        <f t="shared" si="28"/>
        <v>0</v>
      </c>
      <c r="AE53" s="1059">
        <f t="shared" si="28"/>
        <v>0</v>
      </c>
      <c r="AF53" s="1059">
        <f t="shared" si="28"/>
        <v>0</v>
      </c>
      <c r="AG53" s="1059">
        <f t="shared" si="28"/>
        <v>0</v>
      </c>
      <c r="AH53" s="1059">
        <f t="shared" si="28"/>
        <v>0</v>
      </c>
      <c r="AI53" s="1059">
        <f t="shared" si="28"/>
        <v>0</v>
      </c>
      <c r="AJ53" s="1059">
        <f t="shared" si="28"/>
        <v>0</v>
      </c>
      <c r="AK53" s="1059">
        <f t="shared" si="28"/>
        <v>0</v>
      </c>
      <c r="AL53" s="1059">
        <f t="shared" si="28"/>
        <v>0</v>
      </c>
      <c r="AM53" s="1059">
        <f t="shared" si="28"/>
        <v>0</v>
      </c>
      <c r="AN53" s="1059">
        <f t="shared" si="28"/>
        <v>0</v>
      </c>
      <c r="AO53" s="1059">
        <f t="shared" si="28"/>
        <v>0</v>
      </c>
      <c r="AP53" s="1059">
        <f t="shared" si="28"/>
        <v>0</v>
      </c>
      <c r="AQ53" s="1059">
        <f t="shared" si="28"/>
        <v>0</v>
      </c>
      <c r="AR53" s="1059">
        <f t="shared" si="28"/>
        <v>0</v>
      </c>
      <c r="AS53" s="1059">
        <f t="shared" si="28"/>
        <v>0</v>
      </c>
      <c r="AT53" s="1059">
        <f t="shared" si="28"/>
        <v>0</v>
      </c>
      <c r="AU53" s="1068">
        <f t="shared" si="23"/>
        <v>0</v>
      </c>
      <c r="AV53" s="1057"/>
    </row>
    <row r="54" spans="1:52" ht="15.6">
      <c r="A54" s="142" t="str">
        <f t="shared" si="27"/>
        <v>Transfers Grower</v>
      </c>
      <c r="S54" s="1059">
        <f t="shared" ref="S54:AT54" si="29">S21*S37</f>
        <v>0</v>
      </c>
      <c r="T54" s="1059">
        <f t="shared" si="29"/>
        <v>0</v>
      </c>
      <c r="U54" s="1059">
        <f t="shared" si="29"/>
        <v>0</v>
      </c>
      <c r="V54" s="1059">
        <f t="shared" si="29"/>
        <v>0</v>
      </c>
      <c r="W54" s="1059">
        <f>+'Non Current'!$L$30*W21</f>
        <v>2027.5351111862997</v>
      </c>
      <c r="X54" s="1605">
        <f>+'Non Current'!$L$30*X21</f>
        <v>1520.6513333897246</v>
      </c>
      <c r="Y54" s="1605">
        <f>+'Non Current'!$L$30*Y21</f>
        <v>1689.6125926552497</v>
      </c>
      <c r="Z54" s="1605">
        <f>+'Non Current'!$L$30*Z21</f>
        <v>2365.4576297173498</v>
      </c>
      <c r="AA54" s="1605">
        <f>+'Non Current'!$L$30*AA21</f>
        <v>0</v>
      </c>
      <c r="AB54" s="1605">
        <f>+'Non Current'!$L$30*AB21</f>
        <v>0</v>
      </c>
      <c r="AC54" s="1059">
        <f t="shared" si="29"/>
        <v>0</v>
      </c>
      <c r="AD54" s="1059">
        <f t="shared" si="29"/>
        <v>0</v>
      </c>
      <c r="AE54" s="1059">
        <f t="shared" si="29"/>
        <v>0</v>
      </c>
      <c r="AF54" s="1059">
        <f t="shared" si="29"/>
        <v>0</v>
      </c>
      <c r="AG54" s="1059">
        <f t="shared" si="29"/>
        <v>0</v>
      </c>
      <c r="AH54" s="1059">
        <f t="shared" si="29"/>
        <v>0</v>
      </c>
      <c r="AI54" s="1059">
        <f t="shared" si="29"/>
        <v>0</v>
      </c>
      <c r="AJ54" s="1059">
        <f t="shared" si="29"/>
        <v>0</v>
      </c>
      <c r="AK54" s="1059">
        <f t="shared" si="29"/>
        <v>0</v>
      </c>
      <c r="AL54" s="1059">
        <f t="shared" si="29"/>
        <v>0</v>
      </c>
      <c r="AM54" s="1059">
        <f t="shared" si="29"/>
        <v>0</v>
      </c>
      <c r="AN54" s="1059">
        <f t="shared" si="29"/>
        <v>0</v>
      </c>
      <c r="AO54" s="1059">
        <f t="shared" si="29"/>
        <v>0</v>
      </c>
      <c r="AP54" s="1059">
        <f t="shared" si="29"/>
        <v>0</v>
      </c>
      <c r="AQ54" s="1059">
        <f t="shared" si="29"/>
        <v>0</v>
      </c>
      <c r="AR54" s="1059">
        <f t="shared" si="29"/>
        <v>0</v>
      </c>
      <c r="AS54" s="1059">
        <f t="shared" si="29"/>
        <v>0</v>
      </c>
      <c r="AT54" s="1059">
        <f t="shared" si="29"/>
        <v>0</v>
      </c>
      <c r="AU54" s="1068">
        <f t="shared" si="23"/>
        <v>7603.2566669486241</v>
      </c>
      <c r="AV54" s="1057"/>
      <c r="AZ54" s="817">
        <f>+AU54+'Villa Pig Cost'!AU54</f>
        <v>7603.2566669486241</v>
      </c>
    </row>
    <row r="55" spans="1:52" ht="15.6">
      <c r="A55" s="142" t="str">
        <f t="shared" si="27"/>
        <v>Transfer to Sick Block</v>
      </c>
      <c r="S55" s="1059">
        <f t="shared" ref="S55:AT55" si="30">S22*S37</f>
        <v>0</v>
      </c>
      <c r="T55" s="1059">
        <f t="shared" si="30"/>
        <v>0</v>
      </c>
      <c r="U55" s="1059">
        <f t="shared" si="30"/>
        <v>0</v>
      </c>
      <c r="V55" s="1059">
        <f t="shared" si="30"/>
        <v>0</v>
      </c>
      <c r="W55" s="1059">
        <f t="shared" si="30"/>
        <v>0</v>
      </c>
      <c r="X55" s="1059">
        <f t="shared" si="30"/>
        <v>0</v>
      </c>
      <c r="Y55" s="1059">
        <f t="shared" si="30"/>
        <v>0</v>
      </c>
      <c r="Z55" s="1059">
        <f t="shared" si="30"/>
        <v>0</v>
      </c>
      <c r="AA55" s="1059">
        <f t="shared" si="30"/>
        <v>0</v>
      </c>
      <c r="AB55" s="1059">
        <f t="shared" si="30"/>
        <v>0</v>
      </c>
      <c r="AC55" s="1059">
        <f t="shared" si="30"/>
        <v>0</v>
      </c>
      <c r="AD55" s="1059">
        <f t="shared" si="30"/>
        <v>0</v>
      </c>
      <c r="AE55" s="1059">
        <f t="shared" si="30"/>
        <v>0</v>
      </c>
      <c r="AF55" s="1059">
        <f t="shared" si="30"/>
        <v>0</v>
      </c>
      <c r="AG55" s="1059">
        <f t="shared" si="30"/>
        <v>0</v>
      </c>
      <c r="AH55" s="1059">
        <f t="shared" si="30"/>
        <v>0</v>
      </c>
      <c r="AI55" s="1059">
        <f t="shared" si="30"/>
        <v>0</v>
      </c>
      <c r="AJ55" s="1059">
        <f t="shared" si="30"/>
        <v>0</v>
      </c>
      <c r="AK55" s="1059">
        <f t="shared" si="30"/>
        <v>0</v>
      </c>
      <c r="AL55" s="1059">
        <f t="shared" si="30"/>
        <v>0</v>
      </c>
      <c r="AM55" s="1059">
        <f t="shared" si="30"/>
        <v>0</v>
      </c>
      <c r="AN55" s="1059">
        <f t="shared" si="30"/>
        <v>0</v>
      </c>
      <c r="AO55" s="1059">
        <f t="shared" si="30"/>
        <v>0</v>
      </c>
      <c r="AP55" s="1059">
        <f t="shared" si="30"/>
        <v>0</v>
      </c>
      <c r="AQ55" s="1059">
        <f t="shared" si="30"/>
        <v>0</v>
      </c>
      <c r="AR55" s="1059">
        <f t="shared" si="30"/>
        <v>0</v>
      </c>
      <c r="AS55" s="1059">
        <f t="shared" si="30"/>
        <v>0</v>
      </c>
      <c r="AT55" s="1059">
        <f t="shared" si="30"/>
        <v>0</v>
      </c>
      <c r="AU55" s="1068">
        <f t="shared" si="23"/>
        <v>0</v>
      </c>
      <c r="AV55" s="1057"/>
      <c r="AZ55" s="817"/>
    </row>
    <row r="56" spans="1:52" ht="15.6">
      <c r="A56" s="142" t="str">
        <f t="shared" si="27"/>
        <v>Transfers Gilts</v>
      </c>
      <c r="S56" s="1059">
        <f t="shared" ref="S56:AT56" si="31">S23*S37</f>
        <v>0</v>
      </c>
      <c r="T56" s="1059">
        <f t="shared" si="31"/>
        <v>0</v>
      </c>
      <c r="U56" s="1059">
        <f t="shared" si="31"/>
        <v>0</v>
      </c>
      <c r="V56" s="1059">
        <f t="shared" si="31"/>
        <v>0</v>
      </c>
      <c r="W56" s="1059">
        <f t="shared" si="31"/>
        <v>0</v>
      </c>
      <c r="X56" s="1059">
        <f t="shared" si="31"/>
        <v>0</v>
      </c>
      <c r="Y56" s="1059">
        <f t="shared" si="31"/>
        <v>0</v>
      </c>
      <c r="Z56" s="1059">
        <f t="shared" si="31"/>
        <v>0</v>
      </c>
      <c r="AA56" s="1059">
        <f t="shared" si="31"/>
        <v>0</v>
      </c>
      <c r="AB56" s="1059">
        <f t="shared" si="31"/>
        <v>0</v>
      </c>
      <c r="AC56" s="1059">
        <f t="shared" si="31"/>
        <v>-989.43413872569784</v>
      </c>
      <c r="AD56" s="1059">
        <f t="shared" si="31"/>
        <v>-1244.2681250688488</v>
      </c>
      <c r="AE56" s="1059">
        <f t="shared" si="31"/>
        <v>-1463.885787210548</v>
      </c>
      <c r="AF56" s="1059">
        <f t="shared" si="31"/>
        <v>-1813.6081639920758</v>
      </c>
      <c r="AG56" s="1059">
        <f>AG23*AG37</f>
        <v>0</v>
      </c>
      <c r="AH56" s="1059">
        <f t="shared" si="31"/>
        <v>0</v>
      </c>
      <c r="AI56" s="1059">
        <f t="shared" si="31"/>
        <v>0</v>
      </c>
      <c r="AJ56" s="1059">
        <f t="shared" si="31"/>
        <v>0</v>
      </c>
      <c r="AK56" s="1059">
        <f t="shared" si="31"/>
        <v>0</v>
      </c>
      <c r="AL56" s="1059">
        <f t="shared" si="31"/>
        <v>0</v>
      </c>
      <c r="AM56" s="1059">
        <f t="shared" si="31"/>
        <v>0</v>
      </c>
      <c r="AN56" s="1059">
        <f t="shared" si="31"/>
        <v>0</v>
      </c>
      <c r="AO56" s="1059">
        <f t="shared" si="31"/>
        <v>0</v>
      </c>
      <c r="AP56" s="1059">
        <f>AP23*AP37</f>
        <v>0</v>
      </c>
      <c r="AQ56" s="1059">
        <f t="shared" si="31"/>
        <v>0</v>
      </c>
      <c r="AR56" s="1059">
        <f t="shared" si="31"/>
        <v>0</v>
      </c>
      <c r="AS56" s="1059">
        <f t="shared" si="31"/>
        <v>0</v>
      </c>
      <c r="AT56" s="1059">
        <f t="shared" si="31"/>
        <v>0</v>
      </c>
      <c r="AU56" s="1068">
        <f t="shared" si="23"/>
        <v>-5511.1962149971705</v>
      </c>
      <c r="AV56" s="1057"/>
    </row>
    <row r="57" spans="1:52" ht="15.6">
      <c r="A57" s="142" t="str">
        <f t="shared" si="27"/>
        <v>Mortality</v>
      </c>
      <c r="S57" s="1059">
        <f t="shared" ref="S57:AT57" si="32">S24*S43</f>
        <v>-95.983033065416976</v>
      </c>
      <c r="T57" s="1059">
        <f t="shared" si="32"/>
        <v>-1735.2340017053384</v>
      </c>
      <c r="U57" s="1059">
        <f t="shared" si="32"/>
        <v>-1652.2369430524682</v>
      </c>
      <c r="V57" s="1059">
        <f t="shared" si="32"/>
        <v>-2353.1198744854842</v>
      </c>
      <c r="W57" s="1059">
        <f t="shared" si="32"/>
        <v>-2217.1982901709071</v>
      </c>
      <c r="X57" s="1059">
        <f t="shared" si="32"/>
        <v>-4666.94588035576</v>
      </c>
      <c r="Y57" s="1059">
        <f t="shared" si="32"/>
        <v>-2283.93543182846</v>
      </c>
      <c r="Z57" s="1059">
        <f t="shared" si="32"/>
        <v>-2572.6671594654081</v>
      </c>
      <c r="AA57" s="1059">
        <f t="shared" si="32"/>
        <v>-488.6830597333315</v>
      </c>
      <c r="AB57" s="1059">
        <f t="shared" si="32"/>
        <v>-923.03138060298886</v>
      </c>
      <c r="AC57" s="1059">
        <f t="shared" si="32"/>
        <v>-285.78547690164385</v>
      </c>
      <c r="AD57" s="1059">
        <f t="shared" si="32"/>
        <v>-781.67261513786184</v>
      </c>
      <c r="AE57" s="1059">
        <f t="shared" si="32"/>
        <v>-1369.9751093633856</v>
      </c>
      <c r="AF57" s="1059">
        <f t="shared" si="32"/>
        <v>-415.07657722050982</v>
      </c>
      <c r="AG57" s="1059">
        <f t="shared" si="32"/>
        <v>-922.81090150350565</v>
      </c>
      <c r="AH57" s="1059">
        <f t="shared" si="32"/>
        <v>-457.15340467603085</v>
      </c>
      <c r="AI57" s="1059">
        <f t="shared" si="32"/>
        <v>-219.7324891672408</v>
      </c>
      <c r="AJ57" s="1059">
        <f t="shared" si="32"/>
        <v>-556.72945088573181</v>
      </c>
      <c r="AK57" s="1059">
        <f t="shared" si="32"/>
        <v>-595.29822065475196</v>
      </c>
      <c r="AL57" s="1059">
        <f t="shared" si="32"/>
        <v>-1136.4482813261238</v>
      </c>
      <c r="AM57" s="1059">
        <f t="shared" si="32"/>
        <v>-1509.0902119808861</v>
      </c>
      <c r="AN57" s="1059">
        <f t="shared" si="32"/>
        <v>-981.67921390371089</v>
      </c>
      <c r="AO57" s="1059">
        <f t="shared" si="32"/>
        <v>-1459.4254504295316</v>
      </c>
      <c r="AP57" s="1059">
        <f>AP24*AP43</f>
        <v>-2103.9901694936675</v>
      </c>
      <c r="AQ57" s="1059">
        <f t="shared" si="32"/>
        <v>0</v>
      </c>
      <c r="AR57" s="1059">
        <f t="shared" si="32"/>
        <v>-249.48930648924434</v>
      </c>
      <c r="AS57" s="1059">
        <f t="shared" si="32"/>
        <v>0</v>
      </c>
      <c r="AT57" s="1059">
        <f t="shared" si="32"/>
        <v>0</v>
      </c>
      <c r="AU57" s="1068">
        <f t="shared" si="23"/>
        <v>-32033.391933599385</v>
      </c>
      <c r="AV57" s="1057"/>
    </row>
    <row r="58" spans="1:52" ht="15.6">
      <c r="A58" s="142" t="str">
        <f t="shared" si="27"/>
        <v>Rations</v>
      </c>
      <c r="S58" s="1059">
        <f t="shared" ref="S58:AT58" si="33">S25*S43</f>
        <v>0</v>
      </c>
      <c r="T58" s="1059">
        <f t="shared" si="33"/>
        <v>0</v>
      </c>
      <c r="U58" s="1059">
        <f t="shared" si="33"/>
        <v>0</v>
      </c>
      <c r="V58" s="1059">
        <f t="shared" si="33"/>
        <v>0</v>
      </c>
      <c r="W58" s="1059">
        <f t="shared" si="33"/>
        <v>0</v>
      </c>
      <c r="X58" s="1059">
        <f t="shared" si="33"/>
        <v>0</v>
      </c>
      <c r="Y58" s="1059">
        <f t="shared" si="33"/>
        <v>0</v>
      </c>
      <c r="Z58" s="1059">
        <f t="shared" si="33"/>
        <v>0</v>
      </c>
      <c r="AA58" s="1059">
        <f t="shared" si="33"/>
        <v>0</v>
      </c>
      <c r="AB58" s="1059">
        <f t="shared" si="33"/>
        <v>0</v>
      </c>
      <c r="AC58" s="1059">
        <f t="shared" si="33"/>
        <v>0</v>
      </c>
      <c r="AD58" s="1059">
        <f t="shared" si="33"/>
        <v>0</v>
      </c>
      <c r="AE58" s="1059">
        <f t="shared" si="33"/>
        <v>0</v>
      </c>
      <c r="AF58" s="1059">
        <f t="shared" si="33"/>
        <v>0</v>
      </c>
      <c r="AG58" s="1059">
        <f t="shared" si="33"/>
        <v>0</v>
      </c>
      <c r="AH58" s="1059">
        <f t="shared" si="33"/>
        <v>0</v>
      </c>
      <c r="AI58" s="1059">
        <f t="shared" si="33"/>
        <v>0</v>
      </c>
      <c r="AJ58" s="1059">
        <f t="shared" si="33"/>
        <v>0</v>
      </c>
      <c r="AK58" s="1059">
        <f t="shared" si="33"/>
        <v>-297.64911032737598</v>
      </c>
      <c r="AL58" s="1059">
        <f t="shared" si="33"/>
        <v>0</v>
      </c>
      <c r="AM58" s="1059">
        <f t="shared" si="33"/>
        <v>0</v>
      </c>
      <c r="AN58" s="1059">
        <f t="shared" si="33"/>
        <v>-245.41980347592772</v>
      </c>
      <c r="AO58" s="1059">
        <f t="shared" si="33"/>
        <v>0</v>
      </c>
      <c r="AP58" s="1059">
        <f t="shared" si="33"/>
        <v>-1202.2800968535244</v>
      </c>
      <c r="AQ58" s="1059">
        <f t="shared" si="33"/>
        <v>0</v>
      </c>
      <c r="AR58" s="1059">
        <f t="shared" si="33"/>
        <v>-498.97861297848868</v>
      </c>
      <c r="AS58" s="1059">
        <f t="shared" si="33"/>
        <v>0</v>
      </c>
      <c r="AT58" s="1059">
        <f t="shared" si="33"/>
        <v>0</v>
      </c>
      <c r="AU58" s="1068">
        <f t="shared" si="23"/>
        <v>-2244.3276236353167</v>
      </c>
      <c r="AV58" s="1057"/>
    </row>
    <row r="59" spans="1:52" ht="15.6">
      <c r="A59" s="142" t="str">
        <f t="shared" si="27"/>
        <v>Pet Food</v>
      </c>
      <c r="S59" s="1059">
        <f t="shared" ref="S59:AT59" si="34">S26*S43</f>
        <v>0</v>
      </c>
      <c r="T59" s="1059">
        <f t="shared" si="34"/>
        <v>0</v>
      </c>
      <c r="U59" s="1059">
        <f t="shared" si="34"/>
        <v>0</v>
      </c>
      <c r="V59" s="1059">
        <f t="shared" si="34"/>
        <v>0</v>
      </c>
      <c r="W59" s="1059">
        <f t="shared" si="34"/>
        <v>0</v>
      </c>
      <c r="X59" s="1059">
        <f t="shared" si="34"/>
        <v>0</v>
      </c>
      <c r="Y59" s="1059">
        <f t="shared" si="34"/>
        <v>0</v>
      </c>
      <c r="Z59" s="1059">
        <f t="shared" si="34"/>
        <v>0</v>
      </c>
      <c r="AA59" s="1059">
        <f t="shared" si="34"/>
        <v>0</v>
      </c>
      <c r="AB59" s="1059">
        <f t="shared" si="34"/>
        <v>0</v>
      </c>
      <c r="AC59" s="1059">
        <f t="shared" si="34"/>
        <v>0</v>
      </c>
      <c r="AD59" s="1059">
        <f t="shared" si="34"/>
        <v>0</v>
      </c>
      <c r="AE59" s="1059">
        <f t="shared" si="34"/>
        <v>0</v>
      </c>
      <c r="AF59" s="1059">
        <f t="shared" si="34"/>
        <v>0</v>
      </c>
      <c r="AG59" s="1059">
        <f t="shared" si="34"/>
        <v>0</v>
      </c>
      <c r="AH59" s="1059">
        <f t="shared" si="34"/>
        <v>0</v>
      </c>
      <c r="AI59" s="1059">
        <f t="shared" si="34"/>
        <v>0</v>
      </c>
      <c r="AJ59" s="1059">
        <f t="shared" si="34"/>
        <v>0</v>
      </c>
      <c r="AK59" s="1059">
        <f t="shared" si="34"/>
        <v>0</v>
      </c>
      <c r="AL59" s="1059">
        <f t="shared" si="34"/>
        <v>0</v>
      </c>
      <c r="AM59" s="1059">
        <f t="shared" si="34"/>
        <v>0</v>
      </c>
      <c r="AN59" s="1059">
        <f t="shared" si="34"/>
        <v>0</v>
      </c>
      <c r="AO59" s="1059">
        <f t="shared" si="34"/>
        <v>0</v>
      </c>
      <c r="AP59" s="1059">
        <f t="shared" si="34"/>
        <v>0</v>
      </c>
      <c r="AQ59" s="1059">
        <f t="shared" si="34"/>
        <v>0</v>
      </c>
      <c r="AR59" s="1059">
        <f t="shared" si="34"/>
        <v>0</v>
      </c>
      <c r="AS59" s="1059">
        <f t="shared" si="34"/>
        <v>0</v>
      </c>
      <c r="AT59" s="1059">
        <f t="shared" si="34"/>
        <v>0</v>
      </c>
      <c r="AU59" s="1068">
        <f t="shared" si="23"/>
        <v>0</v>
      </c>
      <c r="AV59" s="1057"/>
    </row>
    <row r="60" spans="1:52" ht="15.6">
      <c r="A60" s="142" t="str">
        <f t="shared" si="27"/>
        <v>Farm Sales</v>
      </c>
      <c r="S60" s="1059">
        <f t="shared" ref="S60:AT60" si="35">S27*S43</f>
        <v>0</v>
      </c>
      <c r="T60" s="1059">
        <f t="shared" si="35"/>
        <v>0</v>
      </c>
      <c r="U60" s="1059">
        <f t="shared" si="35"/>
        <v>0</v>
      </c>
      <c r="V60" s="1059">
        <f t="shared" si="35"/>
        <v>0</v>
      </c>
      <c r="W60" s="1059">
        <f t="shared" si="35"/>
        <v>0</v>
      </c>
      <c r="X60" s="1059">
        <f t="shared" si="35"/>
        <v>0</v>
      </c>
      <c r="Y60" s="1059">
        <f t="shared" si="35"/>
        <v>0</v>
      </c>
      <c r="Z60" s="1059">
        <f t="shared" si="35"/>
        <v>0</v>
      </c>
      <c r="AA60" s="1059">
        <f t="shared" si="35"/>
        <v>0</v>
      </c>
      <c r="AB60" s="1059">
        <f t="shared" si="35"/>
        <v>0</v>
      </c>
      <c r="AC60" s="1059">
        <f t="shared" si="35"/>
        <v>0</v>
      </c>
      <c r="AD60" s="1059">
        <f t="shared" si="35"/>
        <v>0</v>
      </c>
      <c r="AE60" s="1059">
        <f t="shared" si="35"/>
        <v>0</v>
      </c>
      <c r="AF60" s="1059">
        <f t="shared" si="35"/>
        <v>0</v>
      </c>
      <c r="AG60" s="1059">
        <f t="shared" si="35"/>
        <v>0</v>
      </c>
      <c r="AH60" s="1059">
        <f t="shared" si="35"/>
        <v>0</v>
      </c>
      <c r="AI60" s="1059">
        <f t="shared" si="35"/>
        <v>0</v>
      </c>
      <c r="AJ60" s="1059">
        <f t="shared" si="35"/>
        <v>0</v>
      </c>
      <c r="AK60" s="1059">
        <f t="shared" si="35"/>
        <v>0</v>
      </c>
      <c r="AL60" s="1059">
        <f t="shared" si="35"/>
        <v>0</v>
      </c>
      <c r="AM60" s="1059">
        <f t="shared" si="35"/>
        <v>0</v>
      </c>
      <c r="AN60" s="1059">
        <f t="shared" si="35"/>
        <v>0</v>
      </c>
      <c r="AO60" s="1059">
        <f t="shared" si="35"/>
        <v>0</v>
      </c>
      <c r="AP60" s="1059">
        <f t="shared" si="35"/>
        <v>0</v>
      </c>
      <c r="AQ60" s="1059">
        <f t="shared" si="35"/>
        <v>0</v>
      </c>
      <c r="AR60" s="1059">
        <f t="shared" si="35"/>
        <v>0</v>
      </c>
      <c r="AS60" s="1059">
        <f t="shared" si="35"/>
        <v>0</v>
      </c>
      <c r="AT60" s="1059">
        <f t="shared" si="35"/>
        <v>0</v>
      </c>
      <c r="AU60" s="1068">
        <f t="shared" si="23"/>
        <v>0</v>
      </c>
      <c r="AV60" s="1057"/>
    </row>
    <row r="61" spans="1:52" ht="16.149999999999999" thickBot="1">
      <c r="A61" s="142" t="str">
        <f t="shared" si="27"/>
        <v xml:space="preserve"> Colcom Sales</v>
      </c>
      <c r="S61" s="1059">
        <f t="shared" ref="S61:AT61" si="36">S28*S43</f>
        <v>0</v>
      </c>
      <c r="T61" s="1059">
        <f t="shared" si="36"/>
        <v>0</v>
      </c>
      <c r="U61" s="1059">
        <f t="shared" si="36"/>
        <v>0</v>
      </c>
      <c r="V61" s="1059">
        <f t="shared" si="36"/>
        <v>0</v>
      </c>
      <c r="W61" s="1059">
        <f t="shared" si="36"/>
        <v>0</v>
      </c>
      <c r="X61" s="1059">
        <f t="shared" si="36"/>
        <v>0</v>
      </c>
      <c r="Y61" s="1059">
        <f t="shared" si="36"/>
        <v>0</v>
      </c>
      <c r="Z61" s="1059">
        <f t="shared" si="36"/>
        <v>0</v>
      </c>
      <c r="AA61" s="1059">
        <f t="shared" si="36"/>
        <v>0</v>
      </c>
      <c r="AB61" s="1059">
        <f t="shared" si="36"/>
        <v>0</v>
      </c>
      <c r="AC61" s="1059">
        <f t="shared" si="36"/>
        <v>0</v>
      </c>
      <c r="AD61" s="1059">
        <f t="shared" si="36"/>
        <v>0</v>
      </c>
      <c r="AE61" s="1059">
        <f t="shared" si="36"/>
        <v>0</v>
      </c>
      <c r="AF61" s="1059">
        <f t="shared" si="36"/>
        <v>0</v>
      </c>
      <c r="AG61" s="1059">
        <f t="shared" si="36"/>
        <v>0</v>
      </c>
      <c r="AH61" s="1059">
        <f t="shared" si="36"/>
        <v>0</v>
      </c>
      <c r="AI61" s="1059">
        <f t="shared" si="36"/>
        <v>0</v>
      </c>
      <c r="AJ61" s="1059">
        <f t="shared" si="36"/>
        <v>0</v>
      </c>
      <c r="AK61" s="1059">
        <f t="shared" si="36"/>
        <v>0</v>
      </c>
      <c r="AL61" s="1059">
        <f t="shared" si="36"/>
        <v>0</v>
      </c>
      <c r="AM61" s="1059">
        <f t="shared" si="36"/>
        <v>0</v>
      </c>
      <c r="AN61" s="1059">
        <f t="shared" si="36"/>
        <v>-149706.08012031592</v>
      </c>
      <c r="AO61" s="1059">
        <f t="shared" si="36"/>
        <v>-148277.62576364042</v>
      </c>
      <c r="AP61" s="1059">
        <f t="shared" si="36"/>
        <v>-160504.39292994549</v>
      </c>
      <c r="AQ61" s="1059">
        <f t="shared" si="36"/>
        <v>-178446.5612536569</v>
      </c>
      <c r="AR61" s="1059">
        <f t="shared" si="36"/>
        <v>-2993.8716778709322</v>
      </c>
      <c r="AS61" s="1059">
        <f t="shared" si="36"/>
        <v>0</v>
      </c>
      <c r="AT61" s="1059">
        <f t="shared" si="36"/>
        <v>0</v>
      </c>
      <c r="AU61" s="1068">
        <f t="shared" si="23"/>
        <v>-639928.53174542973</v>
      </c>
      <c r="AV61" s="1057"/>
    </row>
    <row r="62" spans="1:52" ht="16.149999999999999" thickBot="1">
      <c r="A62" s="1070" t="s">
        <v>1810</v>
      </c>
      <c r="B62" s="1555">
        <f>IFERROR(SUM(B57:B61)+B41,0)</f>
        <v>4362.1636771300464</v>
      </c>
      <c r="C62" s="1555">
        <f t="shared" ref="C62:AS62" si="37">IFERROR(SUM(C57:C61)+C41,0)</f>
        <v>4362.1636771300464</v>
      </c>
      <c r="D62" s="1555">
        <f t="shared" si="37"/>
        <v>4362.1636771300464</v>
      </c>
      <c r="E62" s="1555">
        <f t="shared" si="37"/>
        <v>4362.1636771300464</v>
      </c>
      <c r="F62" s="1555">
        <f t="shared" si="37"/>
        <v>9052.5403587443943</v>
      </c>
      <c r="G62" s="1555">
        <f t="shared" si="37"/>
        <v>9052.5403587443943</v>
      </c>
      <c r="H62" s="1555">
        <f t="shared" si="37"/>
        <v>9052.5403587443943</v>
      </c>
      <c r="I62" s="1555">
        <f t="shared" si="37"/>
        <v>9052.5403587443943</v>
      </c>
      <c r="J62" s="1555">
        <f t="shared" si="37"/>
        <v>8649.3923766816151</v>
      </c>
      <c r="K62" s="1555">
        <f t="shared" si="37"/>
        <v>13712.845291479824</v>
      </c>
      <c r="L62" s="1555">
        <f t="shared" si="37"/>
        <v>13712.845291479824</v>
      </c>
      <c r="M62" s="1555">
        <f t="shared" si="37"/>
        <v>13712.845291479824</v>
      </c>
      <c r="N62" s="1555">
        <f t="shared" si="37"/>
        <v>14585.278026905833</v>
      </c>
      <c r="O62" s="1555">
        <f t="shared" si="37"/>
        <v>18813.38565022422</v>
      </c>
      <c r="P62" s="1555">
        <f t="shared" si="37"/>
        <v>18813.38565022422</v>
      </c>
      <c r="Q62" s="1555">
        <f t="shared" si="37"/>
        <v>18813.38565022422</v>
      </c>
      <c r="R62" s="1555">
        <f t="shared" si="37"/>
        <v>23659.959641255613</v>
      </c>
      <c r="S62" s="1555">
        <f t="shared" si="37"/>
        <v>26491.317126055084</v>
      </c>
      <c r="T62" s="1555">
        <f t="shared" si="37"/>
        <v>30704.001641286126</v>
      </c>
      <c r="U62" s="1555">
        <f t="shared" si="37"/>
        <v>34298.159990261578</v>
      </c>
      <c r="V62" s="1555">
        <f t="shared" si="37"/>
        <v>29463.021761787</v>
      </c>
      <c r="W62" s="1555">
        <f t="shared" si="37"/>
        <v>27203.317483250743</v>
      </c>
      <c r="X62" s="1555">
        <f t="shared" si="37"/>
        <v>45356.880274707546</v>
      </c>
      <c r="Y62" s="1555">
        <f t="shared" si="37"/>
        <v>51177.071713193269</v>
      </c>
      <c r="Z62" s="1555">
        <f t="shared" si="37"/>
        <v>47443.00908778856</v>
      </c>
      <c r="AA62" s="1555">
        <f t="shared" si="37"/>
        <v>65385.793392319756</v>
      </c>
      <c r="AB62" s="1555">
        <f t="shared" si="37"/>
        <v>72457.963377334629</v>
      </c>
      <c r="AC62" s="1555">
        <f t="shared" si="37"/>
        <v>76733.400548091377</v>
      </c>
      <c r="AD62" s="1555">
        <f t="shared" si="37"/>
        <v>86296.656711219941</v>
      </c>
      <c r="AE62" s="1555">
        <f t="shared" si="37"/>
        <v>98833.918604072824</v>
      </c>
      <c r="AF62" s="1555">
        <f t="shared" si="37"/>
        <v>111448.06098370689</v>
      </c>
      <c r="AG62" s="1555">
        <f t="shared" si="37"/>
        <v>121580.33627308687</v>
      </c>
      <c r="AH62" s="1555">
        <f t="shared" si="37"/>
        <v>113145.46765731763</v>
      </c>
      <c r="AI62" s="1555">
        <f t="shared" si="37"/>
        <v>116018.75428030314</v>
      </c>
      <c r="AJ62" s="1555">
        <f t="shared" si="37"/>
        <v>143636.1983285188</v>
      </c>
      <c r="AK62" s="1555">
        <f t="shared" si="37"/>
        <v>151801.04626696176</v>
      </c>
      <c r="AL62" s="1555">
        <f t="shared" si="37"/>
        <v>200014.89751339779</v>
      </c>
      <c r="AM62" s="1555">
        <f>IFERROR(SUM(AM57:AM61)+AM41,0)</f>
        <v>180487.18935291399</v>
      </c>
      <c r="AN62" s="1555">
        <f t="shared" si="37"/>
        <v>1717.9386243314948</v>
      </c>
      <c r="AO62" s="1555">
        <f t="shared" si="37"/>
        <v>0</v>
      </c>
      <c r="AP62" s="1555">
        <f t="shared" si="37"/>
        <v>2.9103830456733704E-11</v>
      </c>
      <c r="AQ62" s="1555">
        <f t="shared" si="37"/>
        <v>0</v>
      </c>
      <c r="AR62" s="1555">
        <f t="shared" si="37"/>
        <v>0</v>
      </c>
      <c r="AS62" s="1555">
        <f t="shared" si="37"/>
        <v>2.9103830456733704E-11</v>
      </c>
      <c r="AT62" s="1555">
        <f>IFERROR(SUM(AT57:AT61)+AT41,0)</f>
        <v>0</v>
      </c>
      <c r="AU62" s="1072">
        <f>SUM(B62:AT62)</f>
        <v>2029826.5400053598</v>
      </c>
      <c r="AV62" s="1068"/>
      <c r="AW62" s="1066"/>
      <c r="AX62" s="1066"/>
    </row>
    <row r="63" spans="1:52" ht="15.6">
      <c r="A63" s="1075"/>
      <c r="B63" s="1061"/>
      <c r="C63" s="1061"/>
      <c r="D63" s="1075"/>
      <c r="E63" s="1061"/>
      <c r="F63" s="1075"/>
      <c r="G63" s="1061"/>
      <c r="H63" s="1061"/>
      <c r="I63" s="1061"/>
      <c r="J63" s="1061"/>
      <c r="K63" s="1061"/>
      <c r="L63" s="1061"/>
      <c r="M63" s="1061"/>
      <c r="N63" s="1061"/>
      <c r="O63" s="1061"/>
      <c r="P63" s="1061"/>
      <c r="Q63" s="1061"/>
      <c r="R63" s="1061"/>
      <c r="S63" s="1061"/>
      <c r="T63" s="1061"/>
      <c r="U63" s="1061"/>
      <c r="V63" s="1061"/>
      <c r="W63" s="1061"/>
      <c r="X63" s="1061"/>
      <c r="Y63" s="1061"/>
      <c r="Z63" s="1061"/>
      <c r="AA63" s="1061"/>
      <c r="AB63" s="1061"/>
      <c r="AC63" s="1061"/>
      <c r="AD63" s="1061"/>
      <c r="AE63" s="1061"/>
      <c r="AF63" s="1061"/>
      <c r="AG63" s="1061"/>
      <c r="AH63" s="1061"/>
      <c r="AI63" s="1061"/>
      <c r="AJ63" s="1061"/>
      <c r="AK63" s="1061"/>
      <c r="AL63" s="1061"/>
      <c r="AM63" s="1061"/>
      <c r="AN63" s="1061"/>
      <c r="AO63" s="1061"/>
      <c r="AP63" s="1061"/>
      <c r="AQ63" s="1061"/>
      <c r="AR63" s="1061"/>
      <c r="AS63" s="1061"/>
      <c r="AT63" s="1061"/>
      <c r="AU63" s="1062"/>
      <c r="AV63" s="1062"/>
      <c r="AW63" s="1061"/>
      <c r="AX63" s="1061"/>
    </row>
    <row r="64" spans="1:52" ht="15.6">
      <c r="A64" s="1075" t="s">
        <v>1811</v>
      </c>
      <c r="B64" s="1061"/>
      <c r="C64" s="1061"/>
      <c r="D64" s="1075" t="s">
        <v>1812</v>
      </c>
      <c r="E64" s="1061"/>
      <c r="F64" s="1075" t="s">
        <v>62</v>
      </c>
      <c r="G64" s="1061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1"/>
      <c r="X64" s="1061"/>
      <c r="Y64" s="1061"/>
      <c r="Z64" s="1061"/>
      <c r="AA64" s="1061"/>
      <c r="AB64" s="1061"/>
      <c r="AC64" s="1061"/>
      <c r="AD64" s="1061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061"/>
      <c r="AP64" s="1061"/>
      <c r="AQ64" s="1061"/>
      <c r="AR64" s="1061"/>
      <c r="AS64" s="1061"/>
      <c r="AT64" s="1061"/>
      <c r="AU64" s="1062"/>
      <c r="AV64" s="1062"/>
      <c r="AW64" s="1061"/>
      <c r="AX64" s="1061"/>
    </row>
    <row r="65" spans="1:50">
      <c r="A65" s="1061" t="s">
        <v>1813</v>
      </c>
      <c r="B65" s="1064">
        <f>+'Feed Cost &amp; Allocation'!$T$76+'Feed Cost &amp; Allocation'!I76+'Feed Cost &amp; Allocation'!AP76</f>
        <v>11224</v>
      </c>
      <c r="C65" s="1061"/>
      <c r="D65" s="1061"/>
      <c r="E65" s="1061"/>
      <c r="F65" s="1061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  <c r="AR65" s="1061"/>
      <c r="AS65" s="1061"/>
      <c r="AT65" s="1061"/>
      <c r="AU65" s="1062"/>
      <c r="AV65" s="1062"/>
      <c r="AW65" s="1061"/>
      <c r="AX65" s="1061"/>
    </row>
    <row r="66" spans="1:50">
      <c r="A66" s="1061" t="s">
        <v>60</v>
      </c>
      <c r="B66" s="1064">
        <f>+'Feed Cost &amp; Allocation'!$K$76+'Feed Cost &amp; Allocation'!$N$76+'Feed Cost &amp; Allocation'!AE76+'Feed Cost &amp; Allocation'!AN76+'Feed Cost &amp; Allocation'!AO76</f>
        <v>52932</v>
      </c>
      <c r="C66" s="1061"/>
      <c r="D66" s="1064">
        <f>+'Feed Cost &amp; Allocation'!$L$76</f>
        <v>0</v>
      </c>
      <c r="E66" s="1061"/>
      <c r="F66" s="1064">
        <f>+'Feed Cost &amp; Allocation'!$C$76+'Feed Cost &amp; Allocation'!AC76+'Feed Cost &amp; Allocation'!AG76+'Feed Cost &amp; Allocation'!AH76</f>
        <v>45771</v>
      </c>
      <c r="G66" s="1061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061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2"/>
      <c r="AW66" s="1061"/>
      <c r="AX66" s="1061"/>
    </row>
    <row r="67" spans="1:50">
      <c r="A67" s="1061" t="s">
        <v>1829</v>
      </c>
      <c r="B67" s="1064">
        <f>+'Feed Cost &amp; Allocation'!$O$76</f>
        <v>13665</v>
      </c>
      <c r="C67" s="1061"/>
      <c r="D67" s="1064">
        <f>'Feed Cost &amp; Allocation'!$M$76</f>
        <v>36282</v>
      </c>
      <c r="E67" s="1061"/>
      <c r="F67" s="1064">
        <f>SUM(W23:Z23)/(SUM(W29:Z29)-SUM(W23:Z23))*F66</f>
        <v>0</v>
      </c>
      <c r="G67" s="1061"/>
      <c r="H67" s="1061"/>
      <c r="I67" s="1061"/>
      <c r="J67" s="1061"/>
      <c r="K67" s="1061"/>
      <c r="L67" s="1061"/>
      <c r="M67" s="1061"/>
      <c r="N67" s="1061"/>
      <c r="O67" s="1061"/>
      <c r="P67" s="1061"/>
      <c r="Q67" s="1061"/>
      <c r="R67" s="1061"/>
      <c r="S67" s="1061"/>
      <c r="T67" s="1061"/>
      <c r="U67" s="1061"/>
      <c r="V67" s="1061"/>
      <c r="W67" s="1061"/>
      <c r="X67" s="1061"/>
      <c r="Y67" s="1061"/>
      <c r="Z67" s="1061"/>
      <c r="AA67" s="1061"/>
      <c r="AB67" s="1061"/>
      <c r="AC67" s="1061"/>
      <c r="AD67" s="1061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  <c r="AR67" s="1061"/>
      <c r="AS67" s="1061"/>
      <c r="AT67" s="1061"/>
      <c r="AU67" s="1062"/>
      <c r="AV67" s="1062"/>
      <c r="AW67" s="1061"/>
      <c r="AX67" s="1061"/>
    </row>
    <row r="68" spans="1:50" ht="15.6">
      <c r="A68" s="1075" t="s">
        <v>71</v>
      </c>
      <c r="B68" s="1076">
        <f>SUM(B65:B67)</f>
        <v>77821</v>
      </c>
      <c r="C68" s="1061"/>
      <c r="D68" s="1076">
        <f>SUM(D65:D67)</f>
        <v>36282</v>
      </c>
      <c r="E68" s="1061"/>
      <c r="F68" s="1064">
        <f>SUM(F66:F67)</f>
        <v>45771</v>
      </c>
      <c r="G68" s="1061"/>
      <c r="H68" s="1061"/>
      <c r="I68" s="1061"/>
      <c r="J68" s="1061"/>
      <c r="K68" s="1061"/>
      <c r="L68" s="1061"/>
      <c r="M68" s="1061"/>
      <c r="N68" s="1061"/>
      <c r="O68" s="1061"/>
      <c r="P68" s="1061"/>
      <c r="Q68" s="1061"/>
      <c r="R68" s="1061"/>
      <c r="S68" s="1061"/>
      <c r="T68" s="1061"/>
      <c r="U68" s="1061"/>
      <c r="V68" s="1061"/>
      <c r="W68" s="1061"/>
      <c r="X68" s="1061"/>
      <c r="Y68" s="1061"/>
      <c r="Z68" s="1061"/>
      <c r="AA68" s="1061"/>
      <c r="AB68" s="1061"/>
      <c r="AC68" s="1061"/>
      <c r="AD68" s="1061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  <c r="AR68" s="1061"/>
      <c r="AS68" s="1061"/>
      <c r="AT68" s="1061"/>
      <c r="AU68" s="1062"/>
      <c r="AV68" s="1062"/>
      <c r="AW68" s="1061"/>
      <c r="AX68" s="1061"/>
    </row>
    <row r="69" spans="1:50">
      <c r="A69" s="1061"/>
      <c r="B69" s="1061"/>
      <c r="C69" s="1061"/>
      <c r="D69" s="1061"/>
      <c r="E69" s="1061"/>
      <c r="F69" s="1061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2"/>
      <c r="AW69" s="1061"/>
      <c r="AX69" s="1061"/>
    </row>
    <row r="70" spans="1:50" ht="15.6">
      <c r="A70" s="1077" t="s">
        <v>1815</v>
      </c>
      <c r="B70" s="1077" t="str">
        <f t="shared" ref="B70:AA70" si="38">B3</f>
        <v>DRY SOW</v>
      </c>
      <c r="C70" s="1077" t="str">
        <f t="shared" si="38"/>
        <v>DRY SOW</v>
      </c>
      <c r="D70" s="1077" t="str">
        <f t="shared" si="38"/>
        <v>DRY SOW</v>
      </c>
      <c r="E70" s="1078" t="str">
        <f t="shared" si="38"/>
        <v>DRY SOW</v>
      </c>
      <c r="F70" s="1078" t="str">
        <f t="shared" si="38"/>
        <v>DRY SOW</v>
      </c>
      <c r="G70" s="1078" t="str">
        <f t="shared" si="38"/>
        <v>DRY SOW</v>
      </c>
      <c r="H70" s="1078" t="str">
        <f t="shared" si="38"/>
        <v>DRY SOW</v>
      </c>
      <c r="I70" s="1078" t="str">
        <f t="shared" si="38"/>
        <v>DRY SOW</v>
      </c>
      <c r="J70" s="1078" t="str">
        <f t="shared" si="38"/>
        <v>DRY SOW</v>
      </c>
      <c r="K70" s="1078" t="str">
        <f t="shared" si="38"/>
        <v>DRY SOW</v>
      </c>
      <c r="L70" s="1078" t="str">
        <f t="shared" si="38"/>
        <v>DRY SOW</v>
      </c>
      <c r="M70" s="1078" t="str">
        <f t="shared" si="38"/>
        <v>DRY SOW</v>
      </c>
      <c r="N70" s="1078" t="str">
        <f t="shared" si="38"/>
        <v>DRY SOW</v>
      </c>
      <c r="O70" s="1078" t="str">
        <f t="shared" si="38"/>
        <v>DRY SOW</v>
      </c>
      <c r="P70" s="1078" t="str">
        <f t="shared" si="38"/>
        <v>DRY SOW</v>
      </c>
      <c r="Q70" s="1078" t="str">
        <f t="shared" si="38"/>
        <v>DRY SOW</v>
      </c>
      <c r="R70" s="1078" t="str">
        <f t="shared" si="38"/>
        <v>Flush</v>
      </c>
      <c r="S70" s="1078" t="str">
        <f t="shared" si="38"/>
        <v>LACTATE</v>
      </c>
      <c r="T70" s="1078" t="str">
        <f t="shared" si="38"/>
        <v>LACTATE</v>
      </c>
      <c r="U70" s="1078" t="str">
        <f t="shared" si="38"/>
        <v>LACTATE</v>
      </c>
      <c r="V70" s="1078" t="str">
        <f t="shared" si="38"/>
        <v>Early Wean</v>
      </c>
      <c r="W70" s="1078" t="str">
        <f t="shared" si="38"/>
        <v>Early Wean</v>
      </c>
      <c r="X70" s="1078" t="str">
        <f t="shared" si="38"/>
        <v>CREEP</v>
      </c>
      <c r="Y70" s="1078" t="str">
        <f t="shared" si="38"/>
        <v>CREEP</v>
      </c>
      <c r="Z70" s="1078" t="str">
        <f t="shared" si="38"/>
        <v>CREEP</v>
      </c>
      <c r="AA70" s="1078" t="str">
        <f t="shared" si="38"/>
        <v>WEANER</v>
      </c>
      <c r="AB70" s="1078" t="str">
        <f>AA70</f>
        <v>WEANER</v>
      </c>
      <c r="AC70" s="1078" t="str">
        <f>AB70</f>
        <v>WEANER</v>
      </c>
      <c r="AD70" s="1078" t="str">
        <f t="shared" ref="AD70:AN70" si="39">AD3</f>
        <v>GROWER 1</v>
      </c>
      <c r="AE70" s="1078" t="str">
        <f t="shared" si="39"/>
        <v>GROWER 1</v>
      </c>
      <c r="AF70" s="1078" t="str">
        <f t="shared" si="39"/>
        <v>GROWER 2</v>
      </c>
      <c r="AG70" s="1078" t="str">
        <f t="shared" si="39"/>
        <v>GROWER 2</v>
      </c>
      <c r="AH70" s="1078" t="str">
        <f t="shared" si="39"/>
        <v>GROWER 3</v>
      </c>
      <c r="AI70" s="1078" t="str">
        <f t="shared" si="39"/>
        <v>FINISHER</v>
      </c>
      <c r="AJ70" s="1078" t="str">
        <f t="shared" si="39"/>
        <v>FINISHER</v>
      </c>
      <c r="AK70" s="1078" t="str">
        <f t="shared" si="39"/>
        <v>FINISHER</v>
      </c>
      <c r="AL70" s="1078" t="str">
        <f t="shared" si="39"/>
        <v>FINISHER</v>
      </c>
      <c r="AM70" s="1078" t="str">
        <f t="shared" si="39"/>
        <v>FINISHER</v>
      </c>
      <c r="AN70" s="1078">
        <f t="shared" si="39"/>
        <v>0</v>
      </c>
      <c r="AO70" s="1078" t="s">
        <v>71</v>
      </c>
      <c r="AP70" s="1079"/>
      <c r="AQ70" s="1079"/>
      <c r="AR70" s="1079"/>
      <c r="AS70" s="1066"/>
      <c r="AT70" s="1066"/>
      <c r="AU70" s="1068"/>
      <c r="AV70" s="1068"/>
      <c r="AW70" s="1066"/>
      <c r="AX70" s="1066"/>
    </row>
    <row r="71" spans="1:50" ht="15.6">
      <c r="A71" s="1077" t="s">
        <v>1816</v>
      </c>
      <c r="B71" s="1077">
        <v>7</v>
      </c>
      <c r="C71" s="1077">
        <v>7</v>
      </c>
      <c r="D71" s="1077">
        <v>7</v>
      </c>
      <c r="E71" s="1077">
        <v>7</v>
      </c>
      <c r="F71" s="1077">
        <v>7</v>
      </c>
      <c r="G71" s="1077">
        <v>7</v>
      </c>
      <c r="H71" s="1077">
        <v>7</v>
      </c>
      <c r="I71" s="1077">
        <v>7</v>
      </c>
      <c r="J71" s="1077">
        <v>7</v>
      </c>
      <c r="K71" s="1077">
        <v>7</v>
      </c>
      <c r="L71" s="1077">
        <v>7</v>
      </c>
      <c r="M71" s="1077">
        <v>7</v>
      </c>
      <c r="N71" s="1077">
        <v>7</v>
      </c>
      <c r="O71" s="1077">
        <v>7</v>
      </c>
      <c r="P71" s="1077">
        <v>7</v>
      </c>
      <c r="Q71" s="1077">
        <v>7</v>
      </c>
      <c r="R71" s="1077">
        <v>7</v>
      </c>
      <c r="S71" s="1077">
        <v>7</v>
      </c>
      <c r="T71" s="1077">
        <v>7</v>
      </c>
      <c r="U71" s="1077">
        <v>7</v>
      </c>
      <c r="V71" s="1077">
        <v>7</v>
      </c>
      <c r="W71" s="1077">
        <v>7</v>
      </c>
      <c r="X71" s="1077">
        <v>7</v>
      </c>
      <c r="Y71" s="1077">
        <v>7</v>
      </c>
      <c r="Z71" s="1077">
        <v>7</v>
      </c>
      <c r="AA71" s="1077">
        <v>7</v>
      </c>
      <c r="AB71" s="1077">
        <v>7</v>
      </c>
      <c r="AC71" s="1077">
        <v>7</v>
      </c>
      <c r="AD71" s="1077">
        <v>7</v>
      </c>
      <c r="AE71" s="1077">
        <v>7</v>
      </c>
      <c r="AF71" s="1077">
        <v>7</v>
      </c>
      <c r="AG71" s="1077">
        <v>7</v>
      </c>
      <c r="AH71" s="1077">
        <v>7</v>
      </c>
      <c r="AI71" s="1077">
        <v>7</v>
      </c>
      <c r="AJ71" s="1077">
        <v>7</v>
      </c>
      <c r="AK71" s="1077">
        <v>7</v>
      </c>
      <c r="AL71" s="1077">
        <v>7</v>
      </c>
      <c r="AM71" s="1077">
        <v>7</v>
      </c>
      <c r="AN71" s="1077">
        <v>7</v>
      </c>
      <c r="AO71" s="1077"/>
      <c r="AP71" s="1066"/>
      <c r="AQ71" s="1066"/>
      <c r="AR71" s="1066"/>
      <c r="AS71" s="1066"/>
      <c r="AT71" s="1066"/>
      <c r="AU71" s="1068"/>
      <c r="AV71" s="1068"/>
      <c r="AW71" s="1066"/>
      <c r="AX71" s="1066"/>
    </row>
    <row r="72" spans="1:50" ht="15.6">
      <c r="A72" s="1077" t="s">
        <v>1817</v>
      </c>
      <c r="B72" s="1077">
        <v>2.5</v>
      </c>
      <c r="C72" s="1077">
        <v>2.5</v>
      </c>
      <c r="D72" s="1077">
        <v>2.5</v>
      </c>
      <c r="E72" s="1077">
        <v>2.5</v>
      </c>
      <c r="F72" s="1077">
        <v>2.2999999999999998</v>
      </c>
      <c r="G72" s="1077">
        <v>2.2999999999999998</v>
      </c>
      <c r="H72" s="1077">
        <v>2.2999999999999998</v>
      </c>
      <c r="I72" s="1077">
        <v>2.2999999999999998</v>
      </c>
      <c r="J72" s="1077">
        <v>2.2999999999999998</v>
      </c>
      <c r="K72" s="1077">
        <v>2.2999999999999998</v>
      </c>
      <c r="L72" s="1077">
        <v>2.2999999999999998</v>
      </c>
      <c r="M72" s="1077">
        <v>2.2999999999999998</v>
      </c>
      <c r="N72" s="1077">
        <v>2.8</v>
      </c>
      <c r="O72" s="1077">
        <v>2.8</v>
      </c>
      <c r="P72" s="1077">
        <v>2.8</v>
      </c>
      <c r="Q72" s="1077">
        <v>2.8</v>
      </c>
      <c r="R72" s="1077">
        <v>5</v>
      </c>
      <c r="S72" s="1080">
        <v>3</v>
      </c>
      <c r="T72" s="1080">
        <v>5.5</v>
      </c>
      <c r="U72" s="1080">
        <v>7</v>
      </c>
      <c r="V72" s="1080">
        <v>9.5</v>
      </c>
      <c r="W72" s="1077">
        <v>0.35</v>
      </c>
      <c r="X72" s="1077">
        <v>0.5</v>
      </c>
      <c r="Y72" s="1077">
        <v>0.6</v>
      </c>
      <c r="Z72" s="1077">
        <v>0.9</v>
      </c>
      <c r="AA72" s="1077">
        <v>1.1000000000000001</v>
      </c>
      <c r="AB72" s="1077">
        <v>1.2</v>
      </c>
      <c r="AC72" s="1080">
        <v>1.4</v>
      </c>
      <c r="AD72" s="1080">
        <v>1.6</v>
      </c>
      <c r="AE72" s="1080">
        <v>1.8</v>
      </c>
      <c r="AF72" s="1080">
        <v>2</v>
      </c>
      <c r="AG72" s="1080">
        <v>2.2000000000000002</v>
      </c>
      <c r="AH72" s="1080">
        <v>2.2999999999999998</v>
      </c>
      <c r="AI72" s="1080">
        <v>2.4</v>
      </c>
      <c r="AJ72" s="1080">
        <v>2.5</v>
      </c>
      <c r="AK72" s="1080">
        <v>2.7</v>
      </c>
      <c r="AL72" s="1080">
        <v>2.9</v>
      </c>
      <c r="AM72" s="1080">
        <v>3</v>
      </c>
      <c r="AN72" s="1080">
        <v>3</v>
      </c>
      <c r="AO72" s="1080"/>
      <c r="AP72" s="1073"/>
      <c r="AQ72" s="1073"/>
      <c r="AR72" s="1073"/>
      <c r="AS72" s="1066"/>
      <c r="AT72" s="1066"/>
      <c r="AU72" s="1068"/>
      <c r="AV72" s="1068"/>
      <c r="AW72" s="1066"/>
      <c r="AX72" s="1066"/>
    </row>
    <row r="73" spans="1:50" ht="15.6">
      <c r="A73" s="1077" t="s">
        <v>1818</v>
      </c>
      <c r="B73" s="1081">
        <f>'Summary Total Pigs'!AF112/17*5</f>
        <v>291.76470588235293</v>
      </c>
      <c r="C73" s="1081">
        <f>B73</f>
        <v>291.76470588235293</v>
      </c>
      <c r="D73" s="1081">
        <f t="shared" ref="D73:R73" si="40">C73</f>
        <v>291.76470588235293</v>
      </c>
      <c r="E73" s="1081">
        <f t="shared" si="40"/>
        <v>291.76470588235293</v>
      </c>
      <c r="F73" s="1081">
        <f t="shared" si="40"/>
        <v>291.76470588235293</v>
      </c>
      <c r="G73" s="1081">
        <f t="shared" si="40"/>
        <v>291.76470588235293</v>
      </c>
      <c r="H73" s="1081">
        <f t="shared" si="40"/>
        <v>291.76470588235293</v>
      </c>
      <c r="I73" s="1081">
        <f t="shared" si="40"/>
        <v>291.76470588235293</v>
      </c>
      <c r="J73" s="1081">
        <f t="shared" si="40"/>
        <v>291.76470588235293</v>
      </c>
      <c r="K73" s="1081">
        <f t="shared" si="40"/>
        <v>291.76470588235293</v>
      </c>
      <c r="L73" s="1081">
        <f t="shared" si="40"/>
        <v>291.76470588235293</v>
      </c>
      <c r="M73" s="1081">
        <f t="shared" si="40"/>
        <v>291.76470588235293</v>
      </c>
      <c r="N73" s="1081">
        <f t="shared" si="40"/>
        <v>291.76470588235293</v>
      </c>
      <c r="O73" s="1081">
        <f t="shared" si="40"/>
        <v>291.76470588235293</v>
      </c>
      <c r="P73" s="1081">
        <f t="shared" si="40"/>
        <v>291.76470588235293</v>
      </c>
      <c r="Q73" s="1081">
        <f t="shared" si="40"/>
        <v>291.76470588235293</v>
      </c>
      <c r="R73" s="1081">
        <f t="shared" si="40"/>
        <v>291.76470588235293</v>
      </c>
      <c r="S73" s="1081">
        <f>R73</f>
        <v>291.76470588235293</v>
      </c>
      <c r="T73" s="1081">
        <f>S73</f>
        <v>291.76470588235293</v>
      </c>
      <c r="U73" s="1081">
        <f>T73</f>
        <v>291.76470588235293</v>
      </c>
      <c r="V73" s="1081">
        <f>U73</f>
        <v>291.76470588235293</v>
      </c>
      <c r="W73" s="1081">
        <f>SUM(W7:Z7)</f>
        <v>2293</v>
      </c>
      <c r="X73" s="1081">
        <f>SUM(W7:AA7)</f>
        <v>2967</v>
      </c>
      <c r="Y73" s="1081">
        <f t="shared" ref="Y73:AN73" si="41">SUM(Y7:AB7)</f>
        <v>2620</v>
      </c>
      <c r="Z73" s="1081">
        <f t="shared" si="41"/>
        <v>2647</v>
      </c>
      <c r="AA73" s="1081">
        <f t="shared" si="41"/>
        <v>2674</v>
      </c>
      <c r="AB73" s="1081">
        <f t="shared" si="41"/>
        <v>2664</v>
      </c>
      <c r="AC73" s="1081">
        <f t="shared" si="41"/>
        <v>2541</v>
      </c>
      <c r="AD73" s="1081">
        <f t="shared" si="41"/>
        <v>2409</v>
      </c>
      <c r="AE73" s="1081">
        <f t="shared" si="41"/>
        <v>2245</v>
      </c>
      <c r="AF73" s="1081">
        <f t="shared" si="41"/>
        <v>2110</v>
      </c>
      <c r="AG73" s="1081">
        <f t="shared" si="41"/>
        <v>2075</v>
      </c>
      <c r="AH73" s="1081">
        <f t="shared" si="41"/>
        <v>2057</v>
      </c>
      <c r="AI73" s="1081">
        <f t="shared" si="41"/>
        <v>2091</v>
      </c>
      <c r="AJ73" s="1081">
        <f t="shared" si="41"/>
        <v>2165</v>
      </c>
      <c r="AK73" s="1081">
        <f t="shared" si="41"/>
        <v>2264</v>
      </c>
      <c r="AL73" s="1081">
        <f t="shared" si="41"/>
        <v>2269</v>
      </c>
      <c r="AM73" s="1081">
        <f t="shared" si="41"/>
        <v>2283</v>
      </c>
      <c r="AN73" s="1081">
        <f t="shared" si="41"/>
        <v>2236</v>
      </c>
      <c r="AO73" s="1077"/>
      <c r="AP73" s="1066"/>
      <c r="AQ73" s="1066"/>
      <c r="AR73" s="1066"/>
      <c r="AS73" s="1066"/>
      <c r="AT73" s="1066"/>
      <c r="AU73" s="1068"/>
      <c r="AV73" s="1068"/>
      <c r="AW73" s="1066"/>
      <c r="AX73" s="1066"/>
    </row>
    <row r="74" spans="1:50" ht="15.6">
      <c r="A74" s="1077" t="s">
        <v>1819</v>
      </c>
      <c r="B74" s="1081">
        <f>B71*B72*B73</f>
        <v>5105.8823529411766</v>
      </c>
      <c r="C74" s="1081">
        <f t="shared" ref="C74:Q74" si="42">C71*C72*C73</f>
        <v>5105.8823529411766</v>
      </c>
      <c r="D74" s="1081">
        <f t="shared" si="42"/>
        <v>5105.8823529411766</v>
      </c>
      <c r="E74" s="1081">
        <f t="shared" si="42"/>
        <v>5105.8823529411766</v>
      </c>
      <c r="F74" s="1081">
        <f t="shared" si="42"/>
        <v>4697.4117647058811</v>
      </c>
      <c r="G74" s="1081">
        <f t="shared" si="42"/>
        <v>4697.4117647058811</v>
      </c>
      <c r="H74" s="1081">
        <f t="shared" si="42"/>
        <v>4697.4117647058811</v>
      </c>
      <c r="I74" s="1081">
        <f t="shared" si="42"/>
        <v>4697.4117647058811</v>
      </c>
      <c r="J74" s="1081">
        <f t="shared" si="42"/>
        <v>4697.4117647058811</v>
      </c>
      <c r="K74" s="1081">
        <f t="shared" si="42"/>
        <v>4697.4117647058811</v>
      </c>
      <c r="L74" s="1081">
        <f t="shared" si="42"/>
        <v>4697.4117647058811</v>
      </c>
      <c r="M74" s="1081">
        <f t="shared" si="42"/>
        <v>4697.4117647058811</v>
      </c>
      <c r="N74" s="1081">
        <f t="shared" si="42"/>
        <v>5718.5882352941171</v>
      </c>
      <c r="O74" s="1081">
        <f t="shared" si="42"/>
        <v>5718.5882352941171</v>
      </c>
      <c r="P74" s="1081">
        <f t="shared" si="42"/>
        <v>5718.5882352941171</v>
      </c>
      <c r="Q74" s="1081">
        <f t="shared" si="42"/>
        <v>5718.5882352941171</v>
      </c>
      <c r="R74" s="1081">
        <f>R71*R72*R73</f>
        <v>10211.764705882353</v>
      </c>
      <c r="S74" s="1081">
        <f>S71*S72*S73</f>
        <v>6127.0588235294117</v>
      </c>
      <c r="T74" s="1081">
        <f t="shared" ref="T74:AN74" si="43">T71*T72*T73</f>
        <v>11232.941176470587</v>
      </c>
      <c r="U74" s="1081">
        <f t="shared" si="43"/>
        <v>14296.470588235294</v>
      </c>
      <c r="V74" s="1081">
        <f t="shared" si="43"/>
        <v>19402.352941176468</v>
      </c>
      <c r="W74" s="1081">
        <f t="shared" si="43"/>
        <v>5617.8499999999995</v>
      </c>
      <c r="X74" s="1081">
        <f t="shared" si="43"/>
        <v>10384.5</v>
      </c>
      <c r="Y74" s="1081">
        <f t="shared" si="43"/>
        <v>11004</v>
      </c>
      <c r="Z74" s="1081">
        <f t="shared" si="43"/>
        <v>16676.099999999999</v>
      </c>
      <c r="AA74" s="1081">
        <f t="shared" si="43"/>
        <v>20589.800000000003</v>
      </c>
      <c r="AB74" s="1081">
        <f t="shared" si="43"/>
        <v>22377.600000000002</v>
      </c>
      <c r="AC74" s="1081">
        <f t="shared" si="43"/>
        <v>24901.799999999996</v>
      </c>
      <c r="AD74" s="1081">
        <f t="shared" si="43"/>
        <v>26980.800000000003</v>
      </c>
      <c r="AE74" s="1081">
        <f t="shared" si="43"/>
        <v>28287</v>
      </c>
      <c r="AF74" s="1081">
        <f t="shared" si="43"/>
        <v>29540</v>
      </c>
      <c r="AG74" s="1081">
        <f t="shared" si="43"/>
        <v>31955.000000000004</v>
      </c>
      <c r="AH74" s="1081">
        <f t="shared" si="43"/>
        <v>33117.699999999997</v>
      </c>
      <c r="AI74" s="1081">
        <f t="shared" si="43"/>
        <v>35128.800000000003</v>
      </c>
      <c r="AJ74" s="1081">
        <f t="shared" si="43"/>
        <v>37887.5</v>
      </c>
      <c r="AK74" s="1081">
        <f t="shared" si="43"/>
        <v>42789.600000000006</v>
      </c>
      <c r="AL74" s="1081">
        <f t="shared" si="43"/>
        <v>46060.700000000004</v>
      </c>
      <c r="AM74" s="1081">
        <f t="shared" si="43"/>
        <v>47943</v>
      </c>
      <c r="AN74" s="1081">
        <f t="shared" si="43"/>
        <v>46956</v>
      </c>
      <c r="AO74" s="1081">
        <f>SUM(B74:AN74)</f>
        <v>660345.51470588229</v>
      </c>
      <c r="AP74" s="1066"/>
      <c r="AQ74" s="1066"/>
      <c r="AR74" s="1066"/>
      <c r="AS74" s="1066"/>
      <c r="AT74" s="1066"/>
      <c r="AU74" s="1068"/>
      <c r="AV74" s="1068"/>
      <c r="AW74" s="1066"/>
      <c r="AX74" s="1066"/>
    </row>
    <row r="75" spans="1:50" ht="15.6">
      <c r="A75" s="1077"/>
      <c r="B75" s="1081"/>
      <c r="C75" s="1081"/>
      <c r="D75" s="1081"/>
      <c r="E75" s="1081"/>
      <c r="F75" s="1081"/>
      <c r="G75" s="1081"/>
      <c r="H75" s="1081"/>
      <c r="I75" s="1081"/>
      <c r="J75" s="1081"/>
      <c r="K75" s="1081"/>
      <c r="L75" s="1081"/>
      <c r="M75" s="1081"/>
      <c r="N75" s="1081"/>
      <c r="O75" s="1081"/>
      <c r="P75" s="1081"/>
      <c r="Q75" s="1081"/>
      <c r="R75" s="1081">
        <f>SUM(B74:R74)</f>
        <v>91088.941176470558</v>
      </c>
      <c r="S75" s="1081"/>
      <c r="T75" s="1081"/>
      <c r="U75" s="1081">
        <f>SUM(S74:U74)</f>
        <v>31656.470588235294</v>
      </c>
      <c r="V75" s="1081"/>
      <c r="W75" s="1081">
        <f>SUM(V74:W74)</f>
        <v>25020.202941176467</v>
      </c>
      <c r="X75" s="1081"/>
      <c r="Y75" s="1081"/>
      <c r="Z75" s="1081">
        <f>SUM(X74:Z74)</f>
        <v>38064.6</v>
      </c>
      <c r="AA75" s="1081">
        <v>0</v>
      </c>
      <c r="AB75" s="1081"/>
      <c r="AC75" s="1081">
        <f>SUM(AA74:AC74)</f>
        <v>67869.200000000012</v>
      </c>
      <c r="AD75" s="1081"/>
      <c r="AE75" s="1081">
        <f>SUM(AD74:AE74)</f>
        <v>55267.8</v>
      </c>
      <c r="AF75" s="1081"/>
      <c r="AG75" s="1081">
        <f>SUM(AF74:AG74)</f>
        <v>61495</v>
      </c>
      <c r="AH75" s="1081"/>
      <c r="AI75" s="1081"/>
      <c r="AJ75" s="1081">
        <f>SUM(AH74:AJ74)</f>
        <v>106134</v>
      </c>
      <c r="AK75" s="1081"/>
      <c r="AL75" s="1081"/>
      <c r="AM75" s="1081"/>
      <c r="AN75" s="1081">
        <f>SUM(AK74:AN74)</f>
        <v>183749.30000000002</v>
      </c>
      <c r="AO75" s="1081">
        <f>SUM(B75:AN75)</f>
        <v>660345.51470588241</v>
      </c>
      <c r="AP75" s="1066"/>
      <c r="AQ75" s="1066"/>
      <c r="AR75" s="1066"/>
      <c r="AS75" s="1066"/>
      <c r="AT75" s="1066"/>
      <c r="AU75" s="1068"/>
      <c r="AV75" s="1068"/>
      <c r="AW75" s="1066"/>
      <c r="AX75" s="1066"/>
    </row>
    <row r="76" spans="1:50" ht="15.6">
      <c r="A76" s="1077" t="s">
        <v>1820</v>
      </c>
      <c r="B76" s="1082">
        <f>B74/$R$75</f>
        <v>5.6053811659192848E-2</v>
      </c>
      <c r="C76" s="1082">
        <f t="shared" ref="C76:R76" si="44">C74/$R$75</f>
        <v>5.6053811659192848E-2</v>
      </c>
      <c r="D76" s="1082">
        <f t="shared" si="44"/>
        <v>5.6053811659192848E-2</v>
      </c>
      <c r="E76" s="1082">
        <f t="shared" si="44"/>
        <v>5.6053811659192848E-2</v>
      </c>
      <c r="F76" s="1082">
        <f t="shared" si="44"/>
        <v>5.1569506726457402E-2</v>
      </c>
      <c r="G76" s="1082">
        <f t="shared" si="44"/>
        <v>5.1569506726457402E-2</v>
      </c>
      <c r="H76" s="1082">
        <f t="shared" si="44"/>
        <v>5.1569506726457402E-2</v>
      </c>
      <c r="I76" s="1082">
        <f t="shared" si="44"/>
        <v>5.1569506726457402E-2</v>
      </c>
      <c r="J76" s="1082">
        <f t="shared" si="44"/>
        <v>5.1569506726457402E-2</v>
      </c>
      <c r="K76" s="1082">
        <f t="shared" si="44"/>
        <v>5.1569506726457402E-2</v>
      </c>
      <c r="L76" s="1082">
        <f t="shared" si="44"/>
        <v>5.1569506726457402E-2</v>
      </c>
      <c r="M76" s="1082">
        <f t="shared" si="44"/>
        <v>5.1569506726457402E-2</v>
      </c>
      <c r="N76" s="1082">
        <f t="shared" si="44"/>
        <v>6.2780269058295979E-2</v>
      </c>
      <c r="O76" s="1082">
        <f t="shared" si="44"/>
        <v>6.2780269058295979E-2</v>
      </c>
      <c r="P76" s="1082">
        <f t="shared" si="44"/>
        <v>6.2780269058295979E-2</v>
      </c>
      <c r="Q76" s="1082">
        <f t="shared" si="44"/>
        <v>6.2780269058295979E-2</v>
      </c>
      <c r="R76" s="1082">
        <f t="shared" si="44"/>
        <v>0.1121076233183857</v>
      </c>
      <c r="S76" s="1082">
        <f>S74/$U$75</f>
        <v>0.19354838709677419</v>
      </c>
      <c r="T76" s="1082">
        <f>T74/$U$75</f>
        <v>0.35483870967741932</v>
      </c>
      <c r="U76" s="1082">
        <f>U74/$U$75</f>
        <v>0.45161290322580644</v>
      </c>
      <c r="V76" s="1082">
        <f>V74/$W$75</f>
        <v>0.77546744871703088</v>
      </c>
      <c r="W76" s="1082">
        <f>W74/$W$75</f>
        <v>0.22453255128296909</v>
      </c>
      <c r="X76" s="1082">
        <f>X74/$Z$75</f>
        <v>0.27281253448085624</v>
      </c>
      <c r="Y76" s="1082">
        <f>Y74/$Z$75</f>
        <v>0.28908749862076577</v>
      </c>
      <c r="Z76" s="1082">
        <f>Z74/$Z$75</f>
        <v>0.43809996689837799</v>
      </c>
      <c r="AA76" s="1082">
        <f>AA74/$AC$75</f>
        <v>0.30337472668014354</v>
      </c>
      <c r="AB76" s="1082">
        <f>AB74/$AC$75</f>
        <v>0.32971657246586078</v>
      </c>
      <c r="AC76" s="1082">
        <f>AC74/$AC$75</f>
        <v>0.36690870085399552</v>
      </c>
      <c r="AD76" s="1082">
        <f>AD74/$AE$75</f>
        <v>0.48818299262861925</v>
      </c>
      <c r="AE76" s="1082">
        <f>AE74/$AE$75</f>
        <v>0.51181700737138081</v>
      </c>
      <c r="AF76" s="1082">
        <f>AF74/$AG$75</f>
        <v>0.48036425725668752</v>
      </c>
      <c r="AG76" s="1082">
        <f>AG74/$AG$75</f>
        <v>0.51963574274331248</v>
      </c>
      <c r="AH76" s="1082">
        <f>AH74/$AJ$75</f>
        <v>0.3120366706239282</v>
      </c>
      <c r="AI76" s="1082">
        <f>AI74/$AJ$75</f>
        <v>0.33098535813217256</v>
      </c>
      <c r="AJ76" s="1082">
        <f>AJ74/$AJ$75</f>
        <v>0.35697797124389924</v>
      </c>
      <c r="AK76" s="1082">
        <f>AK74/$AN$75</f>
        <v>0.23286945855031829</v>
      </c>
      <c r="AL76" s="1082">
        <f>AL74/$AN$75</f>
        <v>0.25067143112926144</v>
      </c>
      <c r="AM76" s="1082">
        <f>AM74/$AN$75</f>
        <v>0.26091527967725586</v>
      </c>
      <c r="AN76" s="1082">
        <f>AN74/$AN$75</f>
        <v>0.25554383064316433</v>
      </c>
      <c r="AO76" s="1065"/>
      <c r="AU76" s="1057"/>
      <c r="AV76" s="1057"/>
    </row>
    <row r="77" spans="1:50">
      <c r="A77" s="1065"/>
      <c r="B77" s="1065"/>
      <c r="C77" s="1065"/>
      <c r="D77" s="1065"/>
      <c r="E77" s="1065"/>
      <c r="F77" s="1065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5"/>
      <c r="AD77" s="1065"/>
      <c r="AE77" s="1065"/>
      <c r="AF77" s="1065"/>
      <c r="AG77" s="1065"/>
      <c r="AH77" s="1065"/>
      <c r="AI77" s="1065"/>
      <c r="AJ77" s="1065"/>
      <c r="AK77" s="1065"/>
      <c r="AL77" s="1065"/>
      <c r="AM77" s="1065"/>
      <c r="AN77" s="1065"/>
      <c r="AO77" s="1065"/>
      <c r="AU77" s="1057"/>
      <c r="AV77" s="1057"/>
    </row>
    <row r="78" spans="1:50">
      <c r="A78" s="1065"/>
      <c r="B78" s="1065"/>
      <c r="C78" s="1065"/>
      <c r="D78" s="1065"/>
      <c r="E78" s="1065"/>
      <c r="F78" s="1065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5"/>
      <c r="AD78" s="1065"/>
      <c r="AE78" s="1065"/>
      <c r="AF78" s="1065"/>
      <c r="AG78" s="1065"/>
      <c r="AH78" s="1065"/>
      <c r="AI78" s="1065"/>
      <c r="AJ78" s="1065"/>
      <c r="AK78" s="1065"/>
      <c r="AL78" s="1065"/>
      <c r="AM78" s="1065"/>
      <c r="AN78" s="1065"/>
      <c r="AO78" s="1065"/>
      <c r="AU78" s="1057"/>
      <c r="AV78" s="1057"/>
    </row>
    <row r="79" spans="1:50" ht="15.6">
      <c r="A79" s="1081" t="s">
        <v>1821</v>
      </c>
      <c r="B79" s="1081"/>
      <c r="C79" s="1081"/>
      <c r="D79" s="1081"/>
      <c r="E79" s="1081"/>
      <c r="F79" s="1081"/>
      <c r="G79" s="1081"/>
      <c r="H79" s="1081"/>
      <c r="I79" s="1081"/>
      <c r="J79" s="1081"/>
      <c r="K79" s="1081"/>
      <c r="L79" s="1081"/>
      <c r="M79" s="1081"/>
      <c r="N79" s="1081"/>
      <c r="O79" s="1081"/>
      <c r="P79" s="1081"/>
      <c r="Q79" s="1081">
        <f>SUM(B74:Q74)</f>
        <v>80877.176470588209</v>
      </c>
      <c r="R79" s="1081">
        <f>R74</f>
        <v>10211.764705882353</v>
      </c>
      <c r="S79" s="1081">
        <f>S74</f>
        <v>6127.0588235294117</v>
      </c>
      <c r="T79" s="1081">
        <f>T73*T71*T72</f>
        <v>11232.941176470587</v>
      </c>
      <c r="U79" s="1081">
        <f>U73*U71*U72</f>
        <v>14296.470588235294</v>
      </c>
      <c r="V79" s="1081">
        <f>V73*V71*V72</f>
        <v>19402.352941176468</v>
      </c>
      <c r="W79" s="1081">
        <f>W74</f>
        <v>5617.8499999999995</v>
      </c>
      <c r="X79" s="1081"/>
      <c r="Y79" s="1081">
        <f>Y75</f>
        <v>0</v>
      </c>
      <c r="Z79" s="1081"/>
      <c r="AA79" s="1081"/>
      <c r="AB79" s="1081"/>
      <c r="AC79" s="1081">
        <f>AC75</f>
        <v>67869.200000000012</v>
      </c>
      <c r="AD79" s="1081"/>
      <c r="AE79" s="1081">
        <f>AE75</f>
        <v>55267.8</v>
      </c>
      <c r="AF79" s="1081"/>
      <c r="AG79" s="1081">
        <f>AG75</f>
        <v>61495</v>
      </c>
      <c r="AH79" s="1081"/>
      <c r="AI79" s="1081"/>
      <c r="AJ79" s="1081">
        <f>AJ75</f>
        <v>106134</v>
      </c>
      <c r="AK79" s="1081"/>
      <c r="AL79" s="1081"/>
      <c r="AM79" s="1081"/>
      <c r="AN79" s="1081">
        <f>AN75</f>
        <v>183749.30000000002</v>
      </c>
      <c r="AO79" s="1081">
        <f>SUM(B79:AN79)</f>
        <v>622280.91470588231</v>
      </c>
      <c r="AP79" s="1068"/>
      <c r="AQ79" s="1068"/>
      <c r="AR79" s="1068"/>
      <c r="AS79" s="1068"/>
      <c r="AT79" s="1068"/>
      <c r="AU79" s="1068"/>
      <c r="AV79" s="1068"/>
      <c r="AW79" s="1068"/>
      <c r="AX79" s="1068"/>
    </row>
    <row r="80" spans="1:50" ht="15.6">
      <c r="A80" s="1081" t="s">
        <v>1822</v>
      </c>
      <c r="B80" s="1081"/>
      <c r="C80" s="1081"/>
      <c r="D80" s="1081"/>
      <c r="E80" s="1081"/>
      <c r="F80" s="1081"/>
      <c r="G80" s="1081"/>
      <c r="H80" s="1081"/>
      <c r="I80" s="1081"/>
      <c r="J80" s="1081"/>
      <c r="K80" s="1081"/>
      <c r="L80" s="1081"/>
      <c r="M80" s="1081"/>
      <c r="N80" s="1081"/>
      <c r="O80" s="1081"/>
      <c r="P80" s="1081"/>
      <c r="Q80" s="1081">
        <f>'[4]Feed Costing &amp; Appotionment '!K122+'[4]Feed Costing &amp; Appotionment '!O122</f>
        <v>273392.90000000002</v>
      </c>
      <c r="R80" s="1081">
        <f>'[4]Feed Costing &amp; Appotionment '!T122</f>
        <v>47127.5</v>
      </c>
      <c r="S80" s="1081">
        <f>'[4]Feed Costing &amp; Appotionment '!N122</f>
        <v>17559.5</v>
      </c>
      <c r="T80" s="1081"/>
      <c r="U80" s="1081"/>
      <c r="V80" s="1081">
        <f>'[4]Feed Costing &amp; Appotionment '!L122+'[4]Feed Costing &amp; Appotionment '!M122</f>
        <v>117633</v>
      </c>
      <c r="W80" s="1081">
        <f>'[4]Feed Costing &amp; Appotionment '!B122</f>
        <v>29254.2</v>
      </c>
      <c r="X80" s="1081"/>
      <c r="Y80" s="1081">
        <f>'[4]Feed Costing &amp; Appotionment '!C122</f>
        <v>126974</v>
      </c>
      <c r="Z80" s="1081"/>
      <c r="AA80" s="1081"/>
      <c r="AB80" s="1081"/>
      <c r="AC80" s="1081">
        <f>'[4]Feed Costing &amp; Appotionment '!D122+'[4]Feed Costing &amp; Appotionment '!E122</f>
        <v>243037.40000000002</v>
      </c>
      <c r="AD80" s="1081"/>
      <c r="AE80" s="1081">
        <f>'[4]Feed Costing &amp; Appotionment '!F122</f>
        <v>176588.4</v>
      </c>
      <c r="AF80" s="1081"/>
      <c r="AG80" s="1081">
        <f>'[4]Feed Costing &amp; Appotionment '!G122</f>
        <v>59290</v>
      </c>
      <c r="AH80" s="1081"/>
      <c r="AI80" s="1081"/>
      <c r="AJ80" s="1081">
        <f>'[4]Feed Costing &amp; Appotionment '!H122</f>
        <v>949048.7</v>
      </c>
      <c r="AK80" s="1081"/>
      <c r="AL80" s="1081"/>
      <c r="AM80" s="1081"/>
      <c r="AN80" s="1081">
        <f>'[4]Feed Costing &amp; Appotionment '!J122</f>
        <v>710118.55</v>
      </c>
      <c r="AO80" s="1081">
        <f>SUM(B80:AN80)</f>
        <v>2750024.1500000004</v>
      </c>
      <c r="AP80" s="1068">
        <f>AO80-'[4]Feed Costing &amp; Appotionment '!U122+'[4]Feed Costing &amp; Appotionment '!P122+'[4]Feed Costing &amp; Appotionment '!Q122+'[4]Feed Costing &amp; Appotionment '!R122</f>
        <v>1.8917489796876907E-10</v>
      </c>
      <c r="AQ80" s="1068"/>
      <c r="AR80" s="1068"/>
      <c r="AS80" s="1068"/>
      <c r="AT80" s="1068"/>
      <c r="AU80" s="1068"/>
      <c r="AV80" s="1068"/>
      <c r="AW80" s="1068"/>
      <c r="AX80" s="1068"/>
    </row>
    <row r="81" spans="1:50" ht="15.6">
      <c r="A81" s="1081" t="s">
        <v>1823</v>
      </c>
      <c r="B81" s="1081"/>
      <c r="C81" s="1081"/>
      <c r="D81" s="1081"/>
      <c r="E81" s="1081"/>
      <c r="F81" s="1081"/>
      <c r="G81" s="1081"/>
      <c r="H81" s="1081"/>
      <c r="I81" s="1081"/>
      <c r="J81" s="1081"/>
      <c r="K81" s="1081"/>
      <c r="L81" s="1081"/>
      <c r="M81" s="1081"/>
      <c r="N81" s="1081"/>
      <c r="O81" s="1081"/>
      <c r="P81" s="1081"/>
      <c r="Q81" s="1081">
        <f>Q79-Q80</f>
        <v>-192515.72352941183</v>
      </c>
      <c r="R81" s="1081">
        <f>R79-R80</f>
        <v>-36915.73529411765</v>
      </c>
      <c r="S81" s="1081">
        <f>S79-S80</f>
        <v>-11432.441176470587</v>
      </c>
      <c r="T81" s="1081"/>
      <c r="U81" s="1081"/>
      <c r="V81" s="1081">
        <f>SUM(T79:V79)-V80</f>
        <v>-72701.23529411765</v>
      </c>
      <c r="W81" s="1081">
        <f>W79-W80</f>
        <v>-23636.350000000002</v>
      </c>
      <c r="X81" s="1081">
        <f>X79-X80</f>
        <v>0</v>
      </c>
      <c r="Y81" s="1081">
        <f>Y79-Y80</f>
        <v>-126974</v>
      </c>
      <c r="Z81" s="1081"/>
      <c r="AA81" s="1081"/>
      <c r="AB81" s="1081"/>
      <c r="AC81" s="1081">
        <f>AC79-AC80</f>
        <v>-175168.2</v>
      </c>
      <c r="AD81" s="1081"/>
      <c r="AE81" s="1081">
        <f>AE79-AE80</f>
        <v>-121320.59999999999</v>
      </c>
      <c r="AF81" s="1081"/>
      <c r="AG81" s="1081">
        <f>AG79-AG80</f>
        <v>2205</v>
      </c>
      <c r="AH81" s="1081"/>
      <c r="AI81" s="1081"/>
      <c r="AJ81" s="1081">
        <f>AJ79-AJ80</f>
        <v>-842914.7</v>
      </c>
      <c r="AK81" s="1081"/>
      <c r="AL81" s="1081"/>
      <c r="AM81" s="1081"/>
      <c r="AN81" s="1081">
        <f>AN79-AN80</f>
        <v>-526369.25</v>
      </c>
      <c r="AO81" s="1081">
        <f>SUM(B81:AN81)</f>
        <v>-2127743.2352941176</v>
      </c>
      <c r="AP81" s="1068">
        <f>AO80-'[4]Feed Costing &amp; Appotionment '!U122</f>
        <v>-86697.799999999814</v>
      </c>
      <c r="AQ81" s="1068"/>
      <c r="AR81" s="1068"/>
      <c r="AS81" s="1068"/>
      <c r="AT81" s="1068"/>
      <c r="AU81" s="1068"/>
      <c r="AV81" s="1068"/>
      <c r="AW81" s="1068"/>
      <c r="AX81" s="1068"/>
    </row>
    <row r="82" spans="1:50" ht="15.6">
      <c r="A82" s="1081" t="s">
        <v>1824</v>
      </c>
      <c r="B82" s="1077"/>
      <c r="C82" s="1077"/>
      <c r="D82" s="1077"/>
      <c r="E82" s="1077"/>
      <c r="F82" s="1077"/>
      <c r="G82" s="1077"/>
      <c r="H82" s="1077"/>
      <c r="I82" s="1077"/>
      <c r="J82" s="1077"/>
      <c r="K82" s="1077"/>
      <c r="L82" s="1077"/>
      <c r="M82" s="1077"/>
      <c r="N82" s="1077"/>
      <c r="O82" s="1077"/>
      <c r="P82" s="1077"/>
      <c r="Q82" s="1083">
        <f>('[4]Feed Costing &amp; Appotionment '!K123+'[4]Feed Costing &amp; Appotionment '!O123)/('[4]Feed Costing &amp; Appotionment '!K122+'[4]Feed Costing &amp; Appotionment '!O122)</f>
        <v>0.33022565021567968</v>
      </c>
      <c r="R82" s="1080">
        <f>'[4]Feed Costing &amp; Appotionment '!T124</f>
        <v>0.37880590011098036</v>
      </c>
      <c r="S82" s="1080">
        <f>'[4]Feed Costing &amp; Appotionment '!N124</f>
        <v>0.36773334194341661</v>
      </c>
      <c r="T82" s="1077"/>
      <c r="U82" s="1077"/>
      <c r="V82" s="1080">
        <f>('[4]Feed Costing &amp; Appotionment '!M123+'[4]Feed Costing &amp; Appotionment '!L123)/('[4]Feed Costing &amp; Appotionment '!L122+'[4]Feed Costing &amp; Appotionment '!M122)</f>
        <v>0.38986305594770371</v>
      </c>
      <c r="W82" s="1080">
        <f>'[4]Feed Costing &amp; Appotionment '!B124</f>
        <v>0.70516028376225237</v>
      </c>
      <c r="X82" s="1077"/>
      <c r="Y82" s="1080">
        <f>'[4]Feed Costing &amp; Appotionment '!C124</f>
        <v>0.553048745740369</v>
      </c>
      <c r="Z82" s="1077"/>
      <c r="AA82" s="1080"/>
      <c r="AB82" s="1077"/>
      <c r="AC82" s="1080">
        <f>'[4]Feed Costing &amp; Appotionment '!D124</f>
        <v>0.45761789674138609</v>
      </c>
      <c r="AD82" s="1077"/>
      <c r="AE82" s="1080">
        <f>'[4]Feed Costing &amp; Appotionment '!F124</f>
        <v>0.36072118784213153</v>
      </c>
      <c r="AF82" s="1077"/>
      <c r="AG82" s="1080">
        <f>'[4]Feed Costing &amp; Appotionment '!G124</f>
        <v>0.35277419368699731</v>
      </c>
      <c r="AH82" s="1077"/>
      <c r="AI82" s="1077"/>
      <c r="AJ82" s="1080">
        <f>'[4]Feed Costing &amp; Appotionment '!H124</f>
        <v>0.32545898419719504</v>
      </c>
      <c r="AK82" s="1077"/>
      <c r="AL82" s="1077"/>
      <c r="AM82" s="1077"/>
      <c r="AN82" s="1080">
        <f>'[4]Feed Costing &amp; Appotionment '!J124</f>
        <v>0.34727367194923103</v>
      </c>
      <c r="AO82" s="1083">
        <f>AO83/AO81</f>
        <v>0.36530200123812517</v>
      </c>
      <c r="AP82" s="1068">
        <f>'[4]Feed Costing &amp; Appotionment '!P122+'[4]Feed Costing &amp; Appotionment '!Q122+'[4]Feed Costing &amp; Appotionment '!R122</f>
        <v>86697.8</v>
      </c>
      <c r="AQ82" s="1066"/>
      <c r="AR82" s="1066"/>
      <c r="AS82" s="1066"/>
      <c r="AT82" s="1066"/>
      <c r="AU82" s="1068"/>
      <c r="AV82" s="1068"/>
      <c r="AW82" s="1066"/>
      <c r="AX82" s="1066"/>
    </row>
    <row r="83" spans="1:50" ht="15.6">
      <c r="A83" s="1081" t="s">
        <v>1825</v>
      </c>
      <c r="B83" s="1077"/>
      <c r="C83" s="1077"/>
      <c r="D83" s="1077"/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83">
        <f>Q81*Q82</f>
        <v>-63573.629979242047</v>
      </c>
      <c r="R83" s="1083">
        <f>R81*R82</f>
        <v>-13983.898336346923</v>
      </c>
      <c r="S83" s="1083">
        <f>S81*S82</f>
        <v>-4204.0898003950542</v>
      </c>
      <c r="T83" s="1077"/>
      <c r="U83" s="1077"/>
      <c r="V83" s="1083">
        <f>V81*V82</f>
        <v>-28343.525762937759</v>
      </c>
      <c r="W83" s="1083">
        <f>W81*W82</f>
        <v>-16667.415273103914</v>
      </c>
      <c r="X83" s="1077"/>
      <c r="Y83" s="1083">
        <f>Y81*Y82</f>
        <v>-70222.811441637619</v>
      </c>
      <c r="Z83" s="1077"/>
      <c r="AA83" s="1083"/>
      <c r="AB83" s="1077"/>
      <c r="AC83" s="1083">
        <f>AC81*AC82</f>
        <v>-80160.103259974465</v>
      </c>
      <c r="AD83" s="1077"/>
      <c r="AE83" s="1083">
        <f>AE81*AE82</f>
        <v>-43762.910941720096</v>
      </c>
      <c r="AF83" s="1077"/>
      <c r="AG83" s="1083">
        <f>AG81*AG82</f>
        <v>777.86709707982902</v>
      </c>
      <c r="AH83" s="1077"/>
      <c r="AI83" s="1077"/>
      <c r="AJ83" s="1083">
        <f>AJ81*AJ82</f>
        <v>-274334.16202688339</v>
      </c>
      <c r="AK83" s="1077"/>
      <c r="AL83" s="1077"/>
      <c r="AM83" s="1077"/>
      <c r="AN83" s="1083">
        <f>AN81*AN82</f>
        <v>-182794.18224866278</v>
      </c>
      <c r="AO83" s="1081">
        <f>SUM(B83:AN83)</f>
        <v>-777268.86197382421</v>
      </c>
      <c r="AP83" s="1084">
        <f>SUM(AP81:AP82)</f>
        <v>1.8917489796876907E-10</v>
      </c>
      <c r="AQ83" s="1066"/>
      <c r="AR83" s="1066"/>
      <c r="AS83" s="1066"/>
      <c r="AT83" s="1066"/>
      <c r="AU83" s="1068"/>
      <c r="AV83" s="1068"/>
      <c r="AW83" s="1066"/>
      <c r="AX83" s="1066"/>
    </row>
    <row r="84" spans="1:50">
      <c r="AU84" s="1057"/>
      <c r="AV84" s="1057"/>
    </row>
    <row r="86" spans="1:50" ht="15.6">
      <c r="A86" s="131" t="s">
        <v>1816</v>
      </c>
      <c r="B86" s="1716">
        <v>7</v>
      </c>
      <c r="C86" s="1716">
        <v>7</v>
      </c>
      <c r="D86" s="1716">
        <v>7</v>
      </c>
      <c r="E86" s="1716">
        <v>7</v>
      </c>
      <c r="F86" s="1716">
        <v>7</v>
      </c>
      <c r="G86" s="1716">
        <v>7</v>
      </c>
      <c r="H86" s="1716">
        <v>7</v>
      </c>
      <c r="I86" s="1716">
        <v>7</v>
      </c>
      <c r="J86" s="1716">
        <v>7</v>
      </c>
      <c r="K86" s="1716">
        <v>7</v>
      </c>
      <c r="L86" s="1716">
        <v>7</v>
      </c>
      <c r="M86" s="1716">
        <v>7</v>
      </c>
      <c r="N86" s="1716">
        <v>7</v>
      </c>
      <c r="O86" s="1716">
        <v>7</v>
      </c>
      <c r="P86" s="1716">
        <v>7</v>
      </c>
      <c r="Q86" s="1717">
        <v>7</v>
      </c>
      <c r="R86" s="1717">
        <v>7</v>
      </c>
      <c r="S86" s="1709">
        <v>3</v>
      </c>
      <c r="T86" s="1710">
        <v>7</v>
      </c>
      <c r="U86" s="1710">
        <v>7</v>
      </c>
      <c r="V86" s="1709">
        <v>7</v>
      </c>
      <c r="W86" s="1709">
        <v>4</v>
      </c>
      <c r="X86" s="1710">
        <v>7</v>
      </c>
      <c r="Y86" s="1709">
        <v>7</v>
      </c>
      <c r="Z86" s="1710">
        <v>7</v>
      </c>
      <c r="AA86" s="1709">
        <v>7</v>
      </c>
      <c r="AB86" s="1710">
        <v>7</v>
      </c>
      <c r="AC86" s="1709">
        <v>7</v>
      </c>
      <c r="AD86" s="1710">
        <v>7</v>
      </c>
      <c r="AE86" s="1709">
        <v>7</v>
      </c>
      <c r="AF86" s="1710">
        <v>7</v>
      </c>
      <c r="AG86" s="1709">
        <v>7</v>
      </c>
      <c r="AH86" s="1710">
        <v>7</v>
      </c>
      <c r="AI86" s="1710">
        <v>3</v>
      </c>
      <c r="AJ86" s="1709">
        <v>4</v>
      </c>
      <c r="AK86" s="1710">
        <v>7</v>
      </c>
      <c r="AL86" s="1710">
        <v>7</v>
      </c>
      <c r="AM86" s="1710">
        <v>7</v>
      </c>
      <c r="AN86" s="1726">
        <v>3</v>
      </c>
      <c r="AO86" s="1695"/>
    </row>
    <row r="87" spans="1:50" ht="15.6">
      <c r="A87" s="131" t="s">
        <v>1815</v>
      </c>
      <c r="B87" s="1711" t="s">
        <v>1773</v>
      </c>
      <c r="C87" s="1711" t="s">
        <v>1773</v>
      </c>
      <c r="D87" s="1711" t="s">
        <v>1773</v>
      </c>
      <c r="E87" s="1711" t="s">
        <v>1773</v>
      </c>
      <c r="F87" s="1711" t="s">
        <v>1773</v>
      </c>
      <c r="G87" s="1711" t="s">
        <v>1773</v>
      </c>
      <c r="H87" s="1711" t="s">
        <v>1773</v>
      </c>
      <c r="I87" s="1711" t="s">
        <v>1773</v>
      </c>
      <c r="J87" s="1711" t="s">
        <v>1773</v>
      </c>
      <c r="K87" s="1711" t="s">
        <v>1773</v>
      </c>
      <c r="L87" s="1711" t="s">
        <v>1773</v>
      </c>
      <c r="M87" s="1711" t="s">
        <v>1773</v>
      </c>
      <c r="N87" s="1711" t="s">
        <v>1773</v>
      </c>
      <c r="O87" s="1711" t="s">
        <v>1773</v>
      </c>
      <c r="P87" s="1711" t="s">
        <v>1773</v>
      </c>
      <c r="Q87" s="1711" t="s">
        <v>1773</v>
      </c>
      <c r="R87" s="1711" t="s">
        <v>1826</v>
      </c>
      <c r="S87" s="1711" t="s">
        <v>1775</v>
      </c>
      <c r="T87" s="1711" t="s">
        <v>1775</v>
      </c>
      <c r="U87" s="1711" t="s">
        <v>1775</v>
      </c>
      <c r="V87" s="1711" t="s">
        <v>1775</v>
      </c>
      <c r="W87" s="1711" t="s">
        <v>1775</v>
      </c>
      <c r="X87" s="1711" t="s">
        <v>1776</v>
      </c>
      <c r="Y87" s="1711" t="s">
        <v>1777</v>
      </c>
      <c r="Z87" s="1711" t="s">
        <v>1777</v>
      </c>
      <c r="AA87" s="1711" t="s">
        <v>108</v>
      </c>
      <c r="AB87" s="1711" t="s">
        <v>108</v>
      </c>
      <c r="AC87" s="1711" t="s">
        <v>108</v>
      </c>
      <c r="AD87" s="1711" t="s">
        <v>1778</v>
      </c>
      <c r="AE87" s="1711" t="s">
        <v>1778</v>
      </c>
      <c r="AF87" s="1711" t="s">
        <v>1779</v>
      </c>
      <c r="AG87" s="1711" t="s">
        <v>1779</v>
      </c>
      <c r="AH87" s="1711" t="s">
        <v>1780</v>
      </c>
      <c r="AI87" s="1711" t="s">
        <v>1780</v>
      </c>
      <c r="AJ87" s="1711" t="s">
        <v>1781</v>
      </c>
      <c r="AK87" s="1711" t="s">
        <v>1781</v>
      </c>
      <c r="AL87" s="1711" t="s">
        <v>1781</v>
      </c>
      <c r="AM87" s="1711" t="s">
        <v>1781</v>
      </c>
      <c r="AN87" s="1727" t="s">
        <v>1781</v>
      </c>
    </row>
    <row r="88" spans="1:50" ht="15.6">
      <c r="A88" s="131" t="s">
        <v>323</v>
      </c>
      <c r="B88" s="1711">
        <v>-16</v>
      </c>
      <c r="C88" s="1711">
        <v>-15</v>
      </c>
      <c r="D88" s="1711">
        <v>-14</v>
      </c>
      <c r="E88" s="1711">
        <v>-13</v>
      </c>
      <c r="F88" s="1711">
        <v>-12</v>
      </c>
      <c r="G88" s="1711">
        <v>-11</v>
      </c>
      <c r="H88" s="1711">
        <v>-10</v>
      </c>
      <c r="I88" s="1711">
        <v>-9</v>
      </c>
      <c r="J88" s="1711">
        <v>-8</v>
      </c>
      <c r="K88" s="1711">
        <v>-7</v>
      </c>
      <c r="L88" s="1711">
        <v>-6</v>
      </c>
      <c r="M88" s="1711">
        <v>-5</v>
      </c>
      <c r="N88" s="1711">
        <v>-4</v>
      </c>
      <c r="O88" s="1711">
        <v>-3</v>
      </c>
      <c r="P88" s="1711">
        <v>-2</v>
      </c>
      <c r="Q88" s="1711">
        <v>-1</v>
      </c>
      <c r="R88" s="1711">
        <v>0</v>
      </c>
      <c r="S88" s="276">
        <v>1</v>
      </c>
      <c r="T88" s="276">
        <v>2</v>
      </c>
      <c r="U88" s="276">
        <v>3</v>
      </c>
      <c r="V88" s="276">
        <v>4</v>
      </c>
      <c r="W88" s="276">
        <v>5</v>
      </c>
      <c r="X88" s="276">
        <v>6</v>
      </c>
      <c r="Y88" s="276">
        <v>7</v>
      </c>
      <c r="Z88" s="276">
        <v>8</v>
      </c>
      <c r="AA88" s="276">
        <v>9</v>
      </c>
      <c r="AB88" s="276">
        <v>10</v>
      </c>
      <c r="AC88" s="276">
        <v>11</v>
      </c>
      <c r="AD88" s="276">
        <v>12</v>
      </c>
      <c r="AE88" s="276">
        <v>13</v>
      </c>
      <c r="AF88" s="276">
        <v>14</v>
      </c>
      <c r="AG88" s="276">
        <v>15</v>
      </c>
      <c r="AH88" s="276">
        <v>16</v>
      </c>
      <c r="AI88" s="276">
        <v>17</v>
      </c>
      <c r="AJ88" s="276">
        <v>17</v>
      </c>
      <c r="AK88" s="276">
        <v>18</v>
      </c>
      <c r="AL88" s="276">
        <v>19</v>
      </c>
      <c r="AM88" s="276">
        <v>20</v>
      </c>
      <c r="AN88" s="1728">
        <v>21</v>
      </c>
      <c r="AO88"/>
    </row>
    <row r="89" spans="1:50" ht="16.149999999999999" thickBot="1">
      <c r="A89" s="131"/>
      <c r="B89" s="1718">
        <f>+B90*B86</f>
        <v>17.5</v>
      </c>
      <c r="C89" s="1718">
        <f t="shared" ref="C89:R89" si="45">+C90*C86</f>
        <v>17.5</v>
      </c>
      <c r="D89" s="1718">
        <f t="shared" si="45"/>
        <v>17.5</v>
      </c>
      <c r="E89" s="1718">
        <f t="shared" si="45"/>
        <v>17.5</v>
      </c>
      <c r="F89" s="1718">
        <f t="shared" si="45"/>
        <v>16.099999999999998</v>
      </c>
      <c r="G89" s="1718">
        <f t="shared" si="45"/>
        <v>16.099999999999998</v>
      </c>
      <c r="H89" s="1718">
        <f t="shared" si="45"/>
        <v>16.099999999999998</v>
      </c>
      <c r="I89" s="1718">
        <f t="shared" si="45"/>
        <v>16.099999999999998</v>
      </c>
      <c r="J89" s="1718">
        <f t="shared" si="45"/>
        <v>16.099999999999998</v>
      </c>
      <c r="K89" s="1718">
        <f t="shared" si="45"/>
        <v>16.099999999999998</v>
      </c>
      <c r="L89" s="1718">
        <f t="shared" si="45"/>
        <v>16.099999999999998</v>
      </c>
      <c r="M89" s="1718">
        <f t="shared" si="45"/>
        <v>16.099999999999998</v>
      </c>
      <c r="N89" s="1718">
        <f t="shared" si="45"/>
        <v>19.599999999999998</v>
      </c>
      <c r="O89" s="1718">
        <f t="shared" si="45"/>
        <v>19.599999999999998</v>
      </c>
      <c r="P89" s="1718">
        <f t="shared" si="45"/>
        <v>19.599999999999998</v>
      </c>
      <c r="Q89" s="1718">
        <f t="shared" si="45"/>
        <v>19.599999999999998</v>
      </c>
      <c r="R89" s="1718">
        <f t="shared" si="45"/>
        <v>35</v>
      </c>
      <c r="S89" s="1698">
        <v>0.3</v>
      </c>
      <c r="T89" s="1699">
        <v>1.8</v>
      </c>
      <c r="U89" s="1699">
        <v>2.5</v>
      </c>
      <c r="V89" s="1699">
        <v>3.5</v>
      </c>
      <c r="W89" s="1700">
        <v>2</v>
      </c>
      <c r="X89" s="1701">
        <v>4.5</v>
      </c>
      <c r="Y89" s="1702">
        <v>6</v>
      </c>
      <c r="Z89" s="1702">
        <v>7</v>
      </c>
      <c r="AA89" s="1703">
        <v>10.5</v>
      </c>
      <c r="AB89" s="1703">
        <v>11.9</v>
      </c>
      <c r="AC89" s="1703">
        <v>13.3</v>
      </c>
      <c r="AD89" s="1704">
        <v>15.4</v>
      </c>
      <c r="AE89" s="1704">
        <v>17.5</v>
      </c>
      <c r="AF89" s="1705">
        <v>18.2</v>
      </c>
      <c r="AG89" s="1705">
        <v>18.899999999999999</v>
      </c>
      <c r="AH89" s="1706">
        <v>20.3</v>
      </c>
      <c r="AI89" s="1706">
        <v>9</v>
      </c>
      <c r="AJ89" s="1707">
        <v>12.4</v>
      </c>
      <c r="AK89" s="1707">
        <v>21.7</v>
      </c>
      <c r="AL89" s="1707">
        <v>21.7</v>
      </c>
      <c r="AM89" s="1707">
        <v>21.7</v>
      </c>
      <c r="AN89" s="1729">
        <v>21.7</v>
      </c>
      <c r="AO89" s="818"/>
    </row>
    <row r="90" spans="1:50" ht="15.6">
      <c r="A90" s="131" t="s">
        <v>1817</v>
      </c>
      <c r="B90" s="142">
        <v>2.5</v>
      </c>
      <c r="C90" s="142">
        <v>2.5</v>
      </c>
      <c r="D90" s="142">
        <v>2.5</v>
      </c>
      <c r="E90" s="142">
        <v>2.5</v>
      </c>
      <c r="F90" s="142">
        <v>2.2999999999999998</v>
      </c>
      <c r="G90" s="142">
        <v>2.2999999999999998</v>
      </c>
      <c r="H90" s="142">
        <v>2.2999999999999998</v>
      </c>
      <c r="I90" s="142">
        <v>2.2999999999999998</v>
      </c>
      <c r="J90" s="142">
        <v>2.2999999999999998</v>
      </c>
      <c r="K90" s="142">
        <v>2.2999999999999998</v>
      </c>
      <c r="L90" s="142">
        <v>2.2999999999999998</v>
      </c>
      <c r="M90" s="142">
        <v>2.2999999999999998</v>
      </c>
      <c r="N90" s="142">
        <v>2.8</v>
      </c>
      <c r="O90" s="142">
        <v>2.8</v>
      </c>
      <c r="P90" s="142">
        <v>2.8</v>
      </c>
      <c r="Q90" s="142">
        <v>2.8</v>
      </c>
      <c r="R90" s="142">
        <v>5</v>
      </c>
      <c r="S90" s="1712">
        <f>+S89/S86</f>
        <v>9.9999999999999992E-2</v>
      </c>
      <c r="T90" s="1712">
        <f t="shared" ref="T90:V90" si="46">+T89/T86</f>
        <v>0.25714285714285717</v>
      </c>
      <c r="U90" s="1712">
        <f t="shared" si="46"/>
        <v>0.35714285714285715</v>
      </c>
      <c r="V90" s="1712">
        <f t="shared" si="46"/>
        <v>0.5</v>
      </c>
      <c r="W90" s="1712">
        <f>+W89/W86</f>
        <v>0.5</v>
      </c>
      <c r="X90" s="1712">
        <f t="shared" ref="X90:AD90" si="47">+X89/X86</f>
        <v>0.6428571428571429</v>
      </c>
      <c r="Y90" s="1712">
        <f t="shared" si="47"/>
        <v>0.8571428571428571</v>
      </c>
      <c r="Z90" s="1712">
        <f t="shared" si="47"/>
        <v>1</v>
      </c>
      <c r="AA90" s="1712">
        <f t="shared" si="47"/>
        <v>1.5</v>
      </c>
      <c r="AB90" s="1712">
        <f t="shared" si="47"/>
        <v>1.7</v>
      </c>
      <c r="AC90" s="1712">
        <f t="shared" si="47"/>
        <v>1.9000000000000001</v>
      </c>
      <c r="AD90" s="1712">
        <f t="shared" si="47"/>
        <v>2.2000000000000002</v>
      </c>
      <c r="AE90" s="1712">
        <f>+AE89/AE86</f>
        <v>2.5</v>
      </c>
      <c r="AF90" s="1712">
        <f t="shared" ref="AF90:AJ90" si="48">+AF89/AF86</f>
        <v>2.6</v>
      </c>
      <c r="AG90" s="1712">
        <f t="shared" si="48"/>
        <v>2.6999999999999997</v>
      </c>
      <c r="AH90" s="1712">
        <f t="shared" si="48"/>
        <v>2.9</v>
      </c>
      <c r="AI90" s="1712">
        <f t="shared" si="48"/>
        <v>3</v>
      </c>
      <c r="AJ90" s="1712">
        <f t="shared" si="48"/>
        <v>3.1</v>
      </c>
      <c r="AK90" s="1712">
        <f t="shared" ref="AK90:AN90" si="49">+AK89/AK86</f>
        <v>3.1</v>
      </c>
      <c r="AL90" s="1712">
        <f t="shared" si="49"/>
        <v>3.1</v>
      </c>
      <c r="AM90" s="1712">
        <f t="shared" si="49"/>
        <v>3.1</v>
      </c>
      <c r="AN90" s="1712">
        <f t="shared" si="49"/>
        <v>7.2333333333333334</v>
      </c>
      <c r="AO90" s="1712"/>
    </row>
    <row r="91" spans="1:50" ht="15.6">
      <c r="B91" s="1081">
        <f>'Summary Total Pigs'!AF112/17*4</f>
        <v>233.41176470588235</v>
      </c>
      <c r="C91" s="817">
        <f>+B91</f>
        <v>233.41176470588235</v>
      </c>
      <c r="D91" s="817">
        <f t="shared" ref="D91:R91" si="50">+C91</f>
        <v>233.41176470588235</v>
      </c>
      <c r="E91" s="817">
        <f t="shared" si="50"/>
        <v>233.41176470588235</v>
      </c>
      <c r="F91" s="817">
        <f t="shared" si="50"/>
        <v>233.41176470588235</v>
      </c>
      <c r="G91" s="817">
        <f t="shared" si="50"/>
        <v>233.41176470588235</v>
      </c>
      <c r="H91" s="817">
        <f t="shared" si="50"/>
        <v>233.41176470588235</v>
      </c>
      <c r="I91" s="817">
        <f t="shared" si="50"/>
        <v>233.41176470588235</v>
      </c>
      <c r="J91" s="817">
        <f t="shared" si="50"/>
        <v>233.41176470588235</v>
      </c>
      <c r="K91" s="817">
        <f t="shared" si="50"/>
        <v>233.41176470588235</v>
      </c>
      <c r="L91" s="817">
        <f t="shared" si="50"/>
        <v>233.41176470588235</v>
      </c>
      <c r="M91" s="817">
        <f t="shared" si="50"/>
        <v>233.41176470588235</v>
      </c>
      <c r="N91" s="817">
        <f t="shared" si="50"/>
        <v>233.41176470588235</v>
      </c>
      <c r="O91" s="817">
        <f t="shared" si="50"/>
        <v>233.41176470588235</v>
      </c>
      <c r="P91" s="817">
        <f t="shared" si="50"/>
        <v>233.41176470588235</v>
      </c>
      <c r="Q91" s="817">
        <f t="shared" si="50"/>
        <v>233.41176470588235</v>
      </c>
      <c r="R91" s="817">
        <f t="shared" si="50"/>
        <v>233.41176470588235</v>
      </c>
      <c r="S91" s="817">
        <f>+R91</f>
        <v>233.41176470588235</v>
      </c>
      <c r="T91" s="817">
        <f t="shared" ref="T91:V91" si="51">+S91</f>
        <v>233.41176470588235</v>
      </c>
      <c r="U91" s="817">
        <f t="shared" si="51"/>
        <v>233.41176470588235</v>
      </c>
      <c r="V91" s="817">
        <f t="shared" si="51"/>
        <v>233.41176470588235</v>
      </c>
      <c r="W91" s="1059">
        <f t="shared" ref="W91:AJ91" si="52">SUM(W7:Z7)</f>
        <v>2293</v>
      </c>
      <c r="X91" s="1059">
        <f t="shared" si="52"/>
        <v>2622</v>
      </c>
      <c r="Y91" s="1059">
        <f t="shared" si="52"/>
        <v>2620</v>
      </c>
      <c r="Z91" s="1059">
        <f t="shared" si="52"/>
        <v>2647</v>
      </c>
      <c r="AA91" s="1059">
        <f t="shared" si="52"/>
        <v>2674</v>
      </c>
      <c r="AB91" s="1059">
        <f t="shared" si="52"/>
        <v>2664</v>
      </c>
      <c r="AC91" s="1059">
        <f t="shared" si="52"/>
        <v>2541</v>
      </c>
      <c r="AD91" s="1059">
        <f t="shared" si="52"/>
        <v>2409</v>
      </c>
      <c r="AE91" s="1059">
        <f t="shared" si="52"/>
        <v>2245</v>
      </c>
      <c r="AF91" s="1059">
        <f t="shared" si="52"/>
        <v>2110</v>
      </c>
      <c r="AG91" s="1059">
        <f t="shared" si="52"/>
        <v>2075</v>
      </c>
      <c r="AH91" s="1059">
        <f t="shared" si="52"/>
        <v>2057</v>
      </c>
      <c r="AI91" s="1059">
        <f t="shared" si="52"/>
        <v>2091</v>
      </c>
      <c r="AJ91" s="1059">
        <f t="shared" si="52"/>
        <v>2165</v>
      </c>
      <c r="AK91" s="1059">
        <f>SUM(AJ7:AM7)</f>
        <v>2165</v>
      </c>
      <c r="AL91" s="1059">
        <f>SUM(AK7:AN7)</f>
        <v>2264</v>
      </c>
      <c r="AM91" s="1059">
        <f>SUM(AL7:AO7)</f>
        <v>2269</v>
      </c>
      <c r="AN91" s="1059">
        <f>SUM(AM7:AP7)</f>
        <v>2283</v>
      </c>
      <c r="AO91" s="1059"/>
    </row>
    <row r="92" spans="1:50">
      <c r="B92" s="1059">
        <f t="shared" ref="B92:R92" si="53">+B86*B90*B91</f>
        <v>4084.705882352941</v>
      </c>
      <c r="C92" s="1059">
        <f t="shared" si="53"/>
        <v>4084.705882352941</v>
      </c>
      <c r="D92" s="1059">
        <f t="shared" si="53"/>
        <v>4084.705882352941</v>
      </c>
      <c r="E92" s="1059">
        <f t="shared" si="53"/>
        <v>4084.705882352941</v>
      </c>
      <c r="F92" s="1059">
        <f t="shared" si="53"/>
        <v>3757.9294117647055</v>
      </c>
      <c r="G92" s="1059">
        <f t="shared" si="53"/>
        <v>3757.9294117647055</v>
      </c>
      <c r="H92" s="1059">
        <f t="shared" si="53"/>
        <v>3757.9294117647055</v>
      </c>
      <c r="I92" s="1059">
        <f t="shared" si="53"/>
        <v>3757.9294117647055</v>
      </c>
      <c r="J92" s="1059">
        <f t="shared" si="53"/>
        <v>3757.9294117647055</v>
      </c>
      <c r="K92" s="1059">
        <f t="shared" si="53"/>
        <v>3757.9294117647055</v>
      </c>
      <c r="L92" s="1059">
        <f t="shared" si="53"/>
        <v>3757.9294117647055</v>
      </c>
      <c r="M92" s="1059">
        <f t="shared" si="53"/>
        <v>3757.9294117647055</v>
      </c>
      <c r="N92" s="1059">
        <f t="shared" si="53"/>
        <v>4574.8705882352933</v>
      </c>
      <c r="O92" s="1059">
        <f t="shared" si="53"/>
        <v>4574.8705882352933</v>
      </c>
      <c r="P92" s="1059">
        <f t="shared" si="53"/>
        <v>4574.8705882352933</v>
      </c>
      <c r="Q92" s="1059">
        <f t="shared" si="53"/>
        <v>4574.8705882352933</v>
      </c>
      <c r="R92" s="1059">
        <f t="shared" si="53"/>
        <v>8169.411764705882</v>
      </c>
      <c r="S92" s="1059">
        <f>+S86*S90*S91</f>
        <v>70.023529411764699</v>
      </c>
      <c r="T92" s="1059">
        <f>+T86*T90*T91</f>
        <v>420.14117647058828</v>
      </c>
      <c r="U92" s="1059">
        <f>+U86*U90*U91</f>
        <v>583.52941176470586</v>
      </c>
      <c r="V92" s="1059">
        <f>+V86*V90*V91</f>
        <v>816.94117647058818</v>
      </c>
      <c r="W92" s="1059">
        <f t="shared" ref="W92:X92" si="54">+W86*W90*W91</f>
        <v>4586</v>
      </c>
      <c r="X92" s="1059">
        <f t="shared" si="54"/>
        <v>11799</v>
      </c>
      <c r="Y92" s="1059">
        <f>+Y86*Y90*Y91</f>
        <v>15720</v>
      </c>
      <c r="Z92" s="1059">
        <f>+Z86*Z90*Z91</f>
        <v>18529</v>
      </c>
      <c r="AA92" s="1059">
        <f t="shared" ref="AA92:AC92" si="55">+AA86*AA90*AA91</f>
        <v>28077</v>
      </c>
      <c r="AB92" s="1059">
        <f t="shared" si="55"/>
        <v>31701.600000000002</v>
      </c>
      <c r="AC92" s="1059">
        <f t="shared" si="55"/>
        <v>33795.300000000003</v>
      </c>
      <c r="AD92" s="1059">
        <f>+AD86*AD90*AD91</f>
        <v>37098.600000000006</v>
      </c>
      <c r="AE92" s="1059">
        <f>+AE86*AE90*AE91</f>
        <v>39287.5</v>
      </c>
      <c r="AF92" s="1059">
        <f t="shared" ref="AF92:AI92" si="56">+AF86*AF90*AF91</f>
        <v>38402</v>
      </c>
      <c r="AG92" s="1059">
        <f t="shared" si="56"/>
        <v>39217.5</v>
      </c>
      <c r="AH92" s="1059">
        <f>+AH86*AH90*AH91</f>
        <v>41757.1</v>
      </c>
      <c r="AI92" s="1059">
        <f t="shared" si="56"/>
        <v>18819</v>
      </c>
      <c r="AJ92" s="1059">
        <f>+AJ86*AJ90*AJ91</f>
        <v>26846</v>
      </c>
      <c r="AK92" s="1059">
        <f t="shared" ref="AK92:AN92" si="57">+AK86*AK90*AK91</f>
        <v>46980.5</v>
      </c>
      <c r="AL92" s="1059">
        <f t="shared" si="57"/>
        <v>49128.799999999996</v>
      </c>
      <c r="AM92" s="1059">
        <f t="shared" si="57"/>
        <v>49237.299999999996</v>
      </c>
      <c r="AN92" s="1059">
        <f t="shared" si="57"/>
        <v>49541.1</v>
      </c>
      <c r="AO92" s="1059"/>
    </row>
    <row r="93" spans="1:50">
      <c r="R93" s="818">
        <f>SUM(B92:R92)</f>
        <v>72871.152941176479</v>
      </c>
      <c r="W93" s="818">
        <f>SUM(S92:W92)</f>
        <v>6476.6352941176465</v>
      </c>
      <c r="X93" s="818">
        <f>SUM(X92)</f>
        <v>11799</v>
      </c>
      <c r="Z93" s="818">
        <f>SUM(Y92:Z92)</f>
        <v>34249</v>
      </c>
      <c r="AC93" s="818">
        <f>SUM(AA92:AC92)</f>
        <v>93573.900000000009</v>
      </c>
      <c r="AE93" s="818">
        <f>SUM(AD92:AE92)</f>
        <v>76386.100000000006</v>
      </c>
      <c r="AG93" s="818">
        <f>SUM(AF92:AG92)</f>
        <v>77619.5</v>
      </c>
      <c r="AI93" s="818">
        <f>SUM(AH92:AI92)</f>
        <v>60576.1</v>
      </c>
      <c r="AJ93" s="818"/>
      <c r="AN93" s="818">
        <f>SUM(AJ92:AN92)</f>
        <v>221733.69999999998</v>
      </c>
      <c r="AO93" s="818"/>
    </row>
    <row r="94" spans="1:50" ht="15.6">
      <c r="B94" s="1715">
        <f>+B92/$R$93</f>
        <v>5.6053811659192813E-2</v>
      </c>
      <c r="C94" s="1715">
        <f t="shared" ref="C94:R94" si="58">+C92/$R$93</f>
        <v>5.6053811659192813E-2</v>
      </c>
      <c r="D94" s="1715">
        <f t="shared" si="58"/>
        <v>5.6053811659192813E-2</v>
      </c>
      <c r="E94" s="1715">
        <f t="shared" si="58"/>
        <v>5.6053811659192813E-2</v>
      </c>
      <c r="F94" s="1715">
        <f t="shared" si="58"/>
        <v>5.1569506726457388E-2</v>
      </c>
      <c r="G94" s="1715">
        <f t="shared" si="58"/>
        <v>5.1569506726457388E-2</v>
      </c>
      <c r="H94" s="1715">
        <f t="shared" si="58"/>
        <v>5.1569506726457388E-2</v>
      </c>
      <c r="I94" s="1715">
        <f t="shared" si="58"/>
        <v>5.1569506726457388E-2</v>
      </c>
      <c r="J94" s="1715">
        <f t="shared" si="58"/>
        <v>5.1569506726457388E-2</v>
      </c>
      <c r="K94" s="1715">
        <f t="shared" si="58"/>
        <v>5.1569506726457388E-2</v>
      </c>
      <c r="L94" s="1715">
        <f t="shared" si="58"/>
        <v>5.1569506726457388E-2</v>
      </c>
      <c r="M94" s="1715">
        <f t="shared" si="58"/>
        <v>5.1569506726457388E-2</v>
      </c>
      <c r="N94" s="1715">
        <f t="shared" si="58"/>
        <v>6.2780269058295951E-2</v>
      </c>
      <c r="O94" s="1715">
        <f t="shared" si="58"/>
        <v>6.2780269058295951E-2</v>
      </c>
      <c r="P94" s="1715">
        <f t="shared" si="58"/>
        <v>6.2780269058295951E-2</v>
      </c>
      <c r="Q94" s="1715">
        <f t="shared" si="58"/>
        <v>6.2780269058295951E-2</v>
      </c>
      <c r="R94" s="1715">
        <f t="shared" si="58"/>
        <v>0.11210762331838563</v>
      </c>
      <c r="S94" s="1715">
        <f>+S92/W93</f>
        <v>1.081171414350952E-2</v>
      </c>
      <c r="T94" s="1715">
        <f>+T92/W93</f>
        <v>6.4870284861057129E-2</v>
      </c>
      <c r="U94" s="1715">
        <f>+U92/W93</f>
        <v>9.0097617862579332E-2</v>
      </c>
      <c r="V94" s="1715">
        <f>+V92/W93</f>
        <v>0.12613666500761106</v>
      </c>
      <c r="W94" s="1715">
        <f>+W92/W93</f>
        <v>0.70808371812524307</v>
      </c>
      <c r="X94" s="1715">
        <f>+X92/X93</f>
        <v>1</v>
      </c>
      <c r="Y94" s="1715">
        <f>+Y92/Z93</f>
        <v>0.45899150340155914</v>
      </c>
      <c r="Z94" s="1715">
        <f>+Z92/Z93</f>
        <v>0.54100849659844086</v>
      </c>
      <c r="AA94" s="1715">
        <f>+AA92/AC93</f>
        <v>0.30005161695729254</v>
      </c>
      <c r="AB94" s="1715">
        <f>+AB92/AC93</f>
        <v>0.33878677708207094</v>
      </c>
      <c r="AC94" s="1715">
        <f>+AC92/AC93</f>
        <v>0.36116160596063646</v>
      </c>
      <c r="AD94" s="1715">
        <f>+AD92/AE93</f>
        <v>0.48567213144799909</v>
      </c>
      <c r="AE94" s="1715">
        <f>+AE92/AE93</f>
        <v>0.51432786855200097</v>
      </c>
      <c r="AF94" s="1715">
        <f>+AF92/AG93</f>
        <v>0.49474680975785723</v>
      </c>
      <c r="AG94" s="1715">
        <f>+AG92/AG93</f>
        <v>0.50525319024214277</v>
      </c>
      <c r="AH94" s="1715">
        <f>+AH92/AI93</f>
        <v>0.68933292172985716</v>
      </c>
      <c r="AI94" s="1715">
        <f>+AI92/AI93</f>
        <v>0.31066707827014284</v>
      </c>
      <c r="AJ94" s="1715">
        <f>+AJ92/AN93</f>
        <v>0.12107316118388861</v>
      </c>
      <c r="AK94" s="1715">
        <f>+AK92/AN93</f>
        <v>0.21187803207180506</v>
      </c>
      <c r="AL94" s="1715">
        <f>+AL92/AN93</f>
        <v>0.2215666811134257</v>
      </c>
      <c r="AM94" s="1715">
        <f>+AM92/AN93</f>
        <v>0.22205600682259846</v>
      </c>
      <c r="AN94" s="1715">
        <f>+AN92/AN93</f>
        <v>0.2234261188082822</v>
      </c>
      <c r="AO94" s="1715"/>
    </row>
  </sheetData>
  <pageMargins left="0.70866141732283472" right="0.70866141732283472" top="0.74803149606299213" bottom="0.74803149606299213" header="0.31496062992125984" footer="0.31496062992125984"/>
  <pageSetup paperSize="9" scale="11" orientation="landscape" r:id="rId1"/>
  <colBreaks count="1" manualBreakCount="1">
    <brk id="42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D0EE-D5EA-449F-A677-A701648A77F3}">
  <sheetPr>
    <tabColor theme="6" tint="-0.249977111117893"/>
  </sheetPr>
  <dimension ref="A1"/>
  <sheetViews>
    <sheetView workbookViewId="0"/>
  </sheetViews>
  <sheetFormatPr defaultRowHeight="13.1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8">
    <tabColor theme="6" tint="-0.249977111117893"/>
  </sheetPr>
  <dimension ref="A1:AZ87"/>
  <sheetViews>
    <sheetView view="pageBreakPreview" topLeftCell="A2" zoomScale="76" zoomScaleNormal="100" zoomScaleSheetLayoutView="76" workbookViewId="0">
      <pane xSplit="1" ySplit="2" topLeftCell="AO25" activePane="bottomRight" state="frozen"/>
      <selection pane="bottomRight" activeCell="AW47" sqref="AW47"/>
      <selection pane="bottomLeft" activeCell="A4" sqref="A4"/>
      <selection pane="topRight" activeCell="B2" sqref="B2"/>
    </sheetView>
  </sheetViews>
  <sheetFormatPr defaultColWidth="9.140625" defaultRowHeight="15"/>
  <cols>
    <col min="1" max="1" width="34" style="142" bestFit="1" customWidth="1"/>
    <col min="2" max="2" width="23.42578125" style="142" bestFit="1" customWidth="1"/>
    <col min="3" max="3" width="19" style="142" bestFit="1" customWidth="1"/>
    <col min="4" max="4" width="23.42578125" style="142" bestFit="1" customWidth="1"/>
    <col min="5" max="5" width="19" style="142" bestFit="1" customWidth="1"/>
    <col min="6" max="6" width="21.85546875" style="142" bestFit="1" customWidth="1"/>
    <col min="7" max="11" width="21.28515625" style="142" bestFit="1" customWidth="1"/>
    <col min="12" max="13" width="20.5703125" style="142" bestFit="1" customWidth="1"/>
    <col min="14" max="17" width="21.28515625" style="142" bestFit="1" customWidth="1"/>
    <col min="18" max="18" width="21.85546875" style="142" bestFit="1" customWidth="1"/>
    <col min="19" max="20" width="21.28515625" style="142" bestFit="1" customWidth="1"/>
    <col min="21" max="21" width="21.85546875" style="142" bestFit="1" customWidth="1"/>
    <col min="22" max="22" width="21.28515625" style="142" bestFit="1" customWidth="1"/>
    <col min="23" max="23" width="26.85546875" style="142" bestFit="1" customWidth="1"/>
    <col min="24" max="25" width="21.85546875" style="142" bestFit="1" customWidth="1"/>
    <col min="26" max="30" width="23.42578125" style="142" bestFit="1" customWidth="1"/>
    <col min="31" max="31" width="23" style="142" bestFit="1" customWidth="1"/>
    <col min="32" max="32" width="22.5703125" style="142" bestFit="1" customWidth="1"/>
    <col min="33" max="33" width="24" style="142" bestFit="1" customWidth="1"/>
    <col min="34" max="34" width="22.28515625" style="142" bestFit="1" customWidth="1"/>
    <col min="35" max="38" width="24" style="142" bestFit="1" customWidth="1"/>
    <col min="39" max="39" width="23.42578125" style="142" bestFit="1" customWidth="1"/>
    <col min="40" max="40" width="21.85546875" style="142" bestFit="1" customWidth="1"/>
    <col min="41" max="42" width="23.42578125" style="142" bestFit="1" customWidth="1"/>
    <col min="43" max="43" width="22.28515625" style="142" bestFit="1" customWidth="1"/>
    <col min="44" max="44" width="23.42578125" style="142" bestFit="1" customWidth="1"/>
    <col min="45" max="45" width="21.85546875" style="142" bestFit="1" customWidth="1"/>
    <col min="46" max="46" width="21.85546875" style="142" customWidth="1"/>
    <col min="47" max="47" width="21.85546875" style="142" bestFit="1" customWidth="1"/>
    <col min="48" max="48" width="28.42578125" style="142" bestFit="1" customWidth="1"/>
    <col min="49" max="49" width="23.7109375" style="142" customWidth="1"/>
    <col min="50" max="50" width="17.7109375" style="142" bestFit="1" customWidth="1"/>
    <col min="51" max="51" width="14.140625" style="142" bestFit="1" customWidth="1"/>
    <col min="52" max="52" width="12.28515625" style="142" bestFit="1" customWidth="1"/>
    <col min="53" max="16384" width="9.140625" style="142"/>
  </cols>
  <sheetData>
    <row r="1" spans="1:52">
      <c r="AU1" s="1057"/>
      <c r="AV1" s="1057"/>
    </row>
    <row r="2" spans="1:52" ht="15.6">
      <c r="A2" s="1066" t="s">
        <v>1772</v>
      </c>
      <c r="B2" s="1079">
        <f>[1]Grasmere!B2</f>
        <v>1</v>
      </c>
      <c r="C2" s="1079">
        <f>[1]Grasmere!C2</f>
        <v>2</v>
      </c>
      <c r="D2" s="1079">
        <f>[1]Grasmere!D2</f>
        <v>3</v>
      </c>
      <c r="E2" s="1079">
        <f>[1]Grasmere!E2</f>
        <v>4</v>
      </c>
      <c r="F2" s="1079">
        <f>[1]Grasmere!F2</f>
        <v>5</v>
      </c>
      <c r="G2" s="1079">
        <f>[1]Grasmere!G2</f>
        <v>6</v>
      </c>
      <c r="H2" s="1079">
        <f>[1]Grasmere!H2</f>
        <v>7</v>
      </c>
      <c r="I2" s="1079">
        <f>[1]Grasmere!I2</f>
        <v>8</v>
      </c>
      <c r="J2" s="1079">
        <f>[1]Grasmere!J2</f>
        <v>9</v>
      </c>
      <c r="K2" s="1079">
        <f>[1]Grasmere!K2</f>
        <v>10</v>
      </c>
      <c r="L2" s="1079">
        <f>[1]Grasmere!L2</f>
        <v>11</v>
      </c>
      <c r="M2" s="1079">
        <f>[1]Grasmere!M2</f>
        <v>12</v>
      </c>
      <c r="N2" s="1079">
        <f>[1]Grasmere!N2</f>
        <v>13</v>
      </c>
      <c r="O2" s="1079">
        <f>[1]Grasmere!O2</f>
        <v>14</v>
      </c>
      <c r="P2" s="1079">
        <f>[1]Grasmere!P2</f>
        <v>15</v>
      </c>
      <c r="Q2" s="1079">
        <f>[1]Grasmere!Q2</f>
        <v>16</v>
      </c>
      <c r="R2" s="1079">
        <f>[1]Grasmere!R2</f>
        <v>17</v>
      </c>
      <c r="S2" s="1079">
        <f>[1]Grasmere!S2</f>
        <v>18</v>
      </c>
      <c r="T2" s="1079">
        <f>[1]Grasmere!T2</f>
        <v>19</v>
      </c>
      <c r="U2" s="1079">
        <f>[1]Grasmere!U2</f>
        <v>20</v>
      </c>
      <c r="V2" s="1079">
        <f>[1]Grasmere!V2</f>
        <v>21</v>
      </c>
      <c r="W2" s="1079">
        <f>[1]Grasmere!W2</f>
        <v>22</v>
      </c>
      <c r="X2" s="1079">
        <f>[1]Grasmere!X2</f>
        <v>23</v>
      </c>
      <c r="Y2" s="1079">
        <f>[1]Grasmere!Y2</f>
        <v>24</v>
      </c>
      <c r="Z2" s="1079">
        <f>[1]Grasmere!Z2</f>
        <v>25</v>
      </c>
      <c r="AA2" s="1079">
        <f>[1]Grasmere!AA2</f>
        <v>26</v>
      </c>
      <c r="AB2" s="1079">
        <f>[1]Grasmere!AB2</f>
        <v>27</v>
      </c>
      <c r="AC2" s="1079">
        <f>[1]Grasmere!AC2</f>
        <v>28</v>
      </c>
      <c r="AD2" s="1079">
        <f>[1]Grasmere!AD2</f>
        <v>29</v>
      </c>
      <c r="AE2" s="1079">
        <f>[1]Grasmere!AE2</f>
        <v>30</v>
      </c>
      <c r="AF2" s="1079">
        <f>[1]Grasmere!AF2</f>
        <v>31</v>
      </c>
      <c r="AG2" s="1079">
        <f>[1]Grasmere!AG2</f>
        <v>32</v>
      </c>
      <c r="AH2" s="1079">
        <f>[1]Grasmere!AH2</f>
        <v>33</v>
      </c>
      <c r="AI2" s="1079">
        <f>[1]Grasmere!AI2</f>
        <v>34</v>
      </c>
      <c r="AJ2" s="1079">
        <f>[1]Grasmere!AJ2</f>
        <v>35</v>
      </c>
      <c r="AK2" s="1079">
        <f>[1]Grasmere!AK2</f>
        <v>36</v>
      </c>
      <c r="AL2" s="1079">
        <f>[1]Grasmere!AL2</f>
        <v>37</v>
      </c>
      <c r="AM2" s="1079">
        <f>[1]Grasmere!AM2</f>
        <v>38</v>
      </c>
      <c r="AN2" s="1079"/>
      <c r="AO2" s="1079"/>
      <c r="AP2" s="1079"/>
      <c r="AQ2" s="1079"/>
      <c r="AR2" s="1079"/>
      <c r="AS2" s="1079"/>
      <c r="AT2" s="1079"/>
      <c r="AU2" s="1057"/>
      <c r="AV2" s="1057"/>
    </row>
    <row r="3" spans="1:52" ht="15.6">
      <c r="B3" s="1730" t="s">
        <v>1773</v>
      </c>
      <c r="C3" s="1730" t="s">
        <v>1773</v>
      </c>
      <c r="D3" s="1730" t="s">
        <v>1773</v>
      </c>
      <c r="E3" s="1730" t="s">
        <v>1773</v>
      </c>
      <c r="F3" s="1730" t="s">
        <v>1773</v>
      </c>
      <c r="G3" s="1730" t="s">
        <v>1773</v>
      </c>
      <c r="H3" s="1730" t="s">
        <v>1773</v>
      </c>
      <c r="I3" s="1730" t="s">
        <v>1773</v>
      </c>
      <c r="J3" s="1730" t="s">
        <v>1773</v>
      </c>
      <c r="K3" s="1730" t="s">
        <v>1773</v>
      </c>
      <c r="L3" s="1730" t="s">
        <v>1773</v>
      </c>
      <c r="M3" s="1730" t="s">
        <v>1773</v>
      </c>
      <c r="N3" s="1730" t="s">
        <v>1773</v>
      </c>
      <c r="O3" s="1730" t="s">
        <v>1773</v>
      </c>
      <c r="P3" s="1730" t="s">
        <v>1773</v>
      </c>
      <c r="Q3" s="1730" t="s">
        <v>1773</v>
      </c>
      <c r="R3" s="1730" t="s">
        <v>1774</v>
      </c>
      <c r="S3" s="1730" t="s">
        <v>1775</v>
      </c>
      <c r="T3" s="1730" t="s">
        <v>1775</v>
      </c>
      <c r="U3" s="1730" t="s">
        <v>1775</v>
      </c>
      <c r="V3" s="1730" t="s">
        <v>1776</v>
      </c>
      <c r="W3" s="1730" t="s">
        <v>1776</v>
      </c>
      <c r="X3" s="1730" t="s">
        <v>1777</v>
      </c>
      <c r="Y3" s="1730" t="s">
        <v>1777</v>
      </c>
      <c r="Z3" s="1730" t="s">
        <v>1777</v>
      </c>
      <c r="AA3" s="1730" t="s">
        <v>108</v>
      </c>
      <c r="AB3" s="1730" t="s">
        <v>108</v>
      </c>
      <c r="AC3" s="1730" t="s">
        <v>108</v>
      </c>
      <c r="AD3" s="1730" t="s">
        <v>1778</v>
      </c>
      <c r="AE3" s="1730" t="s">
        <v>1778</v>
      </c>
      <c r="AF3" s="1730" t="s">
        <v>1779</v>
      </c>
      <c r="AG3" s="1730" t="s">
        <v>1779</v>
      </c>
      <c r="AH3" s="1730" t="s">
        <v>1780</v>
      </c>
      <c r="AI3" s="1730" t="s">
        <v>1781</v>
      </c>
      <c r="AJ3" s="1730" t="s">
        <v>1781</v>
      </c>
      <c r="AK3" s="1730" t="s">
        <v>1781</v>
      </c>
      <c r="AL3" s="1730" t="s">
        <v>1781</v>
      </c>
      <c r="AM3" s="1731" t="s">
        <v>1781</v>
      </c>
      <c r="AN3" s="131"/>
      <c r="AO3" s="1079"/>
      <c r="AP3" s="1079"/>
      <c r="AQ3" s="1079"/>
      <c r="AR3" s="1079"/>
      <c r="AS3" s="1079"/>
      <c r="AT3" s="1079"/>
      <c r="AU3" s="1057"/>
      <c r="AV3" s="1057"/>
    </row>
    <row r="4" spans="1:52" ht="15.6">
      <c r="A4" s="1066" t="s">
        <v>1782</v>
      </c>
      <c r="B4" s="1079">
        <f>[1]Grasmere!B4</f>
        <v>23</v>
      </c>
      <c r="C4" s="1079">
        <f>[1]Grasmere!C4</f>
        <v>24</v>
      </c>
      <c r="D4" s="1079">
        <f>[1]Grasmere!D4</f>
        <v>25</v>
      </c>
      <c r="E4" s="1079">
        <f>[1]Grasmere!E4</f>
        <v>26</v>
      </c>
      <c r="F4" s="1079">
        <f>[1]Grasmere!F4</f>
        <v>27</v>
      </c>
      <c r="G4" s="1079">
        <f>[1]Grasmere!G4</f>
        <v>28</v>
      </c>
      <c r="H4" s="1079">
        <f>[1]Grasmere!H4</f>
        <v>29</v>
      </c>
      <c r="I4" s="1079">
        <f>[1]Grasmere!I4</f>
        <v>30</v>
      </c>
      <c r="J4" s="1079">
        <f>[1]Grasmere!J4</f>
        <v>31</v>
      </c>
      <c r="K4" s="1079">
        <f>[1]Grasmere!K4</f>
        <v>32</v>
      </c>
      <c r="L4" s="1079">
        <f>[1]Grasmere!L4</f>
        <v>33</v>
      </c>
      <c r="M4" s="1079">
        <f>[1]Grasmere!M4</f>
        <v>34</v>
      </c>
      <c r="N4" s="1079">
        <f>[1]Grasmere!N4</f>
        <v>35</v>
      </c>
      <c r="O4" s="1079">
        <f>[1]Grasmere!O4</f>
        <v>36</v>
      </c>
      <c r="P4" s="1079">
        <f>[1]Grasmere!P4</f>
        <v>37</v>
      </c>
      <c r="Q4" s="1079">
        <f>[1]Grasmere!Q4</f>
        <v>38</v>
      </c>
      <c r="R4" s="1079">
        <f>[1]Grasmere!R4</f>
        <v>39</v>
      </c>
      <c r="S4" s="1067">
        <f>[1]Grasmere!S4</f>
        <v>40</v>
      </c>
      <c r="T4" s="1079">
        <f>[1]Grasmere!T4</f>
        <v>41</v>
      </c>
      <c r="U4" s="1079">
        <f>[1]Grasmere!U4</f>
        <v>42</v>
      </c>
      <c r="V4" s="1079">
        <f>[1]Grasmere!V4</f>
        <v>43</v>
      </c>
      <c r="W4" s="1079">
        <f>[1]Grasmere!W4</f>
        <v>44</v>
      </c>
      <c r="X4" s="1079">
        <f>[1]Grasmere!X4</f>
        <v>45</v>
      </c>
      <c r="Y4" s="1079">
        <f>[1]Grasmere!Y4</f>
        <v>46</v>
      </c>
      <c r="Z4" s="1079">
        <f>[1]Grasmere!Z4</f>
        <v>47</v>
      </c>
      <c r="AA4" s="1079">
        <f>[1]Grasmere!AA4</f>
        <v>48</v>
      </c>
      <c r="AB4" s="1079">
        <f>[1]Grasmere!AB4</f>
        <v>49</v>
      </c>
      <c r="AC4" s="1079">
        <f>[1]Grasmere!AC4</f>
        <v>50</v>
      </c>
      <c r="AD4" s="1079">
        <f>[1]Grasmere!AD4</f>
        <v>51</v>
      </c>
      <c r="AE4" s="1079">
        <f>[1]Grasmere!AE4</f>
        <v>52</v>
      </c>
      <c r="AF4" s="1079">
        <f>[1]Grasmere!AF4</f>
        <v>1</v>
      </c>
      <c r="AG4" s="1079">
        <f>[1]Grasmere!AG4</f>
        <v>2</v>
      </c>
      <c r="AH4" s="1079">
        <f>[1]Grasmere!AH4</f>
        <v>3</v>
      </c>
      <c r="AI4" s="1079">
        <f>[1]Grasmere!AI4</f>
        <v>4</v>
      </c>
      <c r="AJ4" s="1079">
        <f>[1]Grasmere!AJ4</f>
        <v>5</v>
      </c>
      <c r="AK4" s="1079">
        <f>[1]Grasmere!AK4</f>
        <v>6</v>
      </c>
      <c r="AL4" s="1079">
        <f>[1]Grasmere!AL4</f>
        <v>7</v>
      </c>
      <c r="AM4" s="1079">
        <f>[1]Grasmere!AM4</f>
        <v>8</v>
      </c>
      <c r="AN4" s="1079"/>
      <c r="AO4" s="1079"/>
      <c r="AP4" s="1079"/>
      <c r="AQ4" s="1079"/>
      <c r="AR4" s="1079"/>
      <c r="AS4" s="1079"/>
      <c r="AT4" s="1079"/>
      <c r="AU4" s="1068"/>
      <c r="AV4" s="1068"/>
      <c r="AW4" s="1066"/>
      <c r="AX4" s="1066"/>
    </row>
    <row r="5" spans="1:52" ht="15.6">
      <c r="A5" s="1066" t="s">
        <v>1783</v>
      </c>
      <c r="B5" s="1079">
        <f>[1]Grasmere!B5</f>
        <v>-16</v>
      </c>
      <c r="C5" s="1079">
        <f>[1]Grasmere!C5</f>
        <v>-15</v>
      </c>
      <c r="D5" s="1079">
        <f>[1]Grasmere!D5</f>
        <v>-14</v>
      </c>
      <c r="E5" s="1079">
        <f>[1]Grasmere!E5</f>
        <v>-13</v>
      </c>
      <c r="F5" s="1079">
        <f>[1]Grasmere!F5</f>
        <v>-12</v>
      </c>
      <c r="G5" s="1079">
        <f>[1]Grasmere!G5</f>
        <v>-11</v>
      </c>
      <c r="H5" s="1079">
        <f>[1]Grasmere!H5</f>
        <v>-10</v>
      </c>
      <c r="I5" s="1079">
        <f>[1]Grasmere!I5</f>
        <v>-9</v>
      </c>
      <c r="J5" s="1079">
        <f>[1]Grasmere!J5</f>
        <v>-8</v>
      </c>
      <c r="K5" s="1079">
        <f>[1]Grasmere!K5</f>
        <v>-7</v>
      </c>
      <c r="L5" s="1079">
        <f>[1]Grasmere!L5</f>
        <v>-6</v>
      </c>
      <c r="M5" s="1079">
        <f>[1]Grasmere!M5</f>
        <v>-5</v>
      </c>
      <c r="N5" s="1079">
        <f>[1]Grasmere!N5</f>
        <v>-4</v>
      </c>
      <c r="O5" s="1079">
        <f>[1]Grasmere!O5</f>
        <v>-3</v>
      </c>
      <c r="P5" s="1079">
        <f>[1]Grasmere!P5</f>
        <v>-2</v>
      </c>
      <c r="Q5" s="1079">
        <f>[1]Grasmere!Q5</f>
        <v>-1</v>
      </c>
      <c r="R5" s="1079">
        <f>[1]Grasmere!R5</f>
        <v>0</v>
      </c>
      <c r="S5" s="1079">
        <f>[1]Grasmere!S5</f>
        <v>1</v>
      </c>
      <c r="T5" s="1079">
        <f>[1]Grasmere!T5</f>
        <v>2</v>
      </c>
      <c r="U5" s="1079">
        <f>[1]Grasmere!U5</f>
        <v>3</v>
      </c>
      <c r="V5" s="1079">
        <f>[1]Grasmere!V5</f>
        <v>4</v>
      </c>
      <c r="W5" s="1079">
        <f>[1]Grasmere!W5</f>
        <v>5</v>
      </c>
      <c r="X5" s="1079">
        <f>[1]Grasmere!X5</f>
        <v>6</v>
      </c>
      <c r="Y5" s="1079">
        <f>[1]Grasmere!Y5</f>
        <v>7</v>
      </c>
      <c r="Z5" s="1079">
        <f>[1]Grasmere!Z5</f>
        <v>8</v>
      </c>
      <c r="AA5" s="1079">
        <f>[1]Grasmere!AA5</f>
        <v>9</v>
      </c>
      <c r="AB5" s="1079">
        <f>[1]Grasmere!AB5</f>
        <v>10</v>
      </c>
      <c r="AC5" s="1079">
        <f>[1]Grasmere!AC5</f>
        <v>11</v>
      </c>
      <c r="AD5" s="1079">
        <f>[1]Grasmere!AD5</f>
        <v>12</v>
      </c>
      <c r="AE5" s="1079">
        <f>[1]Grasmere!AE5</f>
        <v>13</v>
      </c>
      <c r="AF5" s="1079">
        <f>[1]Grasmere!AF5</f>
        <v>14</v>
      </c>
      <c r="AG5" s="1079">
        <f>[1]Grasmere!AG5</f>
        <v>15</v>
      </c>
      <c r="AH5" s="1079">
        <f>[1]Grasmere!AH5</f>
        <v>16</v>
      </c>
      <c r="AI5" s="1079">
        <f>[1]Grasmere!AI5</f>
        <v>17</v>
      </c>
      <c r="AJ5" s="1079">
        <f>[1]Grasmere!AJ5</f>
        <v>18</v>
      </c>
      <c r="AK5" s="1079">
        <f>[1]Grasmere!AK5</f>
        <v>19</v>
      </c>
      <c r="AL5" s="1079">
        <f>[1]Grasmere!AL5</f>
        <v>20</v>
      </c>
      <c r="AM5" s="1079">
        <f>[1]Grasmere!AM5</f>
        <v>21</v>
      </c>
      <c r="AN5" s="1079" t="s">
        <v>1784</v>
      </c>
      <c r="AO5" s="1079" t="str">
        <f>[1]Grasmere!AO5</f>
        <v>Sold</v>
      </c>
      <c r="AP5" s="1079" t="str">
        <f>[1]Grasmere!AP5</f>
        <v>Sold</v>
      </c>
      <c r="AQ5" s="1079" t="str">
        <f>[1]Grasmere!AQ5</f>
        <v>Sold</v>
      </c>
      <c r="AR5" s="1079" t="str">
        <f>[1]Grasmere!AR5</f>
        <v>Sold</v>
      </c>
      <c r="AS5" s="1079" t="str">
        <f>[1]Grasmere!AS5</f>
        <v>Sold</v>
      </c>
      <c r="AT5" s="1079" t="s">
        <v>1784</v>
      </c>
      <c r="AU5" s="1069" t="s">
        <v>71</v>
      </c>
      <c r="AV5" s="1601" t="s">
        <v>1827</v>
      </c>
    </row>
    <row r="6" spans="1:52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U6" s="1057"/>
      <c r="AV6" s="1057"/>
    </row>
    <row r="7" spans="1:52" ht="15.6">
      <c r="A7" s="1066" t="s">
        <v>1786</v>
      </c>
      <c r="B7" s="1057"/>
      <c r="C7" s="1057"/>
      <c r="D7" s="1057"/>
      <c r="E7" s="1057"/>
      <c r="F7" s="1057"/>
      <c r="G7" s="1057"/>
      <c r="H7" s="1057"/>
      <c r="I7" s="1057"/>
      <c r="J7" s="1057"/>
      <c r="K7" s="1057"/>
      <c r="L7" s="1057"/>
      <c r="M7" s="1057"/>
      <c r="N7" s="1057"/>
      <c r="O7" s="1057"/>
      <c r="P7" s="1057"/>
      <c r="Q7" s="1057"/>
      <c r="R7" s="1057"/>
      <c r="S7" s="1057"/>
      <c r="T7" s="1057"/>
      <c r="U7" s="1057"/>
      <c r="V7" s="1057"/>
      <c r="W7" s="1057"/>
      <c r="X7" s="1057">
        <f>+'[77]Richlands Pig Cost'!S26</f>
        <v>601</v>
      </c>
      <c r="Y7" s="1057">
        <f>+'[77]Richlands Pig Cost'!T26</f>
        <v>609</v>
      </c>
      <c r="Z7" s="1057">
        <f>+'[77]Richlands Pig Cost'!U26</f>
        <v>637</v>
      </c>
      <c r="AA7" s="1057">
        <f>+'[77]Richlands Pig Cost'!V26</f>
        <v>595</v>
      </c>
      <c r="AB7" s="1057">
        <f>+'[77]Richlands Pig Cost'!W26</f>
        <v>629</v>
      </c>
      <c r="AC7" s="1057">
        <f>+'[77]Richlands Pig Cost'!X26</f>
        <v>505</v>
      </c>
      <c r="AD7" s="1057">
        <f>+'[77]Richlands Pig Cost'!Y26</f>
        <v>508</v>
      </c>
      <c r="AE7" s="1057">
        <f>+'[77]Richlands Pig Cost'!Z26</f>
        <v>473</v>
      </c>
      <c r="AF7" s="1057">
        <f>+'[77]Richlands Pig Cost'!AA26</f>
        <v>506</v>
      </c>
      <c r="AG7" s="1057">
        <f>+'[77]Richlands Pig Cost'!AB26</f>
        <v>505</v>
      </c>
      <c r="AH7" s="1057">
        <f>+'[77]Richlands Pig Cost'!AC26</f>
        <v>464</v>
      </c>
      <c r="AI7" s="1057">
        <f>+'[77]Richlands Pig Cost'!AD26</f>
        <v>482</v>
      </c>
      <c r="AJ7" s="1057">
        <f>+'[77]Richlands Pig Cost'!AE26</f>
        <v>502</v>
      </c>
      <c r="AK7" s="1057">
        <f>+'[77]Richlands Pig Cost'!AF26</f>
        <v>483</v>
      </c>
      <c r="AL7" s="1057">
        <f>+'[77]Richlands Pig Cost'!AG26</f>
        <v>484</v>
      </c>
      <c r="AM7" s="1057">
        <f>+'[77]Richlands Pig Cost'!AH26</f>
        <v>479</v>
      </c>
      <c r="AN7" s="1057">
        <f>+'[77]Richlands Pig Cost'!AI26</f>
        <v>465</v>
      </c>
      <c r="AO7" s="1057">
        <f>+'[77]Richlands Pig Cost'!AJ26</f>
        <v>474</v>
      </c>
      <c r="AP7" s="1057">
        <f>+'[77]Richlands Pig Cost'!AK26</f>
        <v>443</v>
      </c>
      <c r="AQ7" s="1057">
        <f>+'[77]Richlands Pig Cost'!AL26</f>
        <v>479</v>
      </c>
      <c r="AR7" s="1057">
        <f>+'[77]Richlands Pig Cost'!AM26</f>
        <v>471</v>
      </c>
      <c r="AS7" s="1057">
        <f>+'[77]Richlands Pig Cost'!AN26</f>
        <v>0</v>
      </c>
      <c r="AT7" s="1057">
        <f>+'[77]Richlands Pig Cost'!AO26</f>
        <v>0</v>
      </c>
      <c r="AU7" s="1057">
        <f>SUM(W7:AT7)</f>
        <v>10794</v>
      </c>
      <c r="AV7" s="1057">
        <f>+'[77]Richlands Pig Cost'!$AU$26</f>
        <v>10794</v>
      </c>
      <c r="AW7" s="1170">
        <f t="shared" ref="AW7:AW25" si="0">AU7-AV7</f>
        <v>0</v>
      </c>
      <c r="AX7" s="818"/>
      <c r="AZ7" s="817"/>
    </row>
    <row r="8" spans="1:52" ht="15.6">
      <c r="A8" s="1066" t="s">
        <v>1787</v>
      </c>
      <c r="B8" s="1057">
        <v>0</v>
      </c>
      <c r="C8" s="1057">
        <v>0</v>
      </c>
      <c r="D8" s="1057">
        <v>0</v>
      </c>
      <c r="E8" s="1057">
        <v>0</v>
      </c>
      <c r="F8" s="1057">
        <v>0</v>
      </c>
      <c r="G8" s="1057">
        <v>0</v>
      </c>
      <c r="H8" s="1057">
        <v>0</v>
      </c>
      <c r="I8" s="1057">
        <v>0</v>
      </c>
      <c r="J8" s="1057">
        <v>0</v>
      </c>
      <c r="K8" s="1057">
        <v>0</v>
      </c>
      <c r="L8" s="1057">
        <v>0</v>
      </c>
      <c r="M8" s="1057">
        <v>0</v>
      </c>
      <c r="N8" s="1057">
        <v>0</v>
      </c>
      <c r="O8" s="1057">
        <v>0</v>
      </c>
      <c r="P8" s="1057">
        <v>0</v>
      </c>
      <c r="Q8" s="1057">
        <v>0</v>
      </c>
      <c r="R8" s="1057">
        <v>0</v>
      </c>
      <c r="S8" s="807">
        <f>78+35+52+67+92+190+157-4-7-7-6-9-18</f>
        <v>620</v>
      </c>
      <c r="T8" s="807">
        <f>47+177+330+161-4-25-16-28</f>
        <v>642</v>
      </c>
      <c r="U8" s="1057">
        <f>51+83+156+359+95-4-5-4-32-12</f>
        <v>687</v>
      </c>
      <c r="V8" s="807">
        <f>32+169+78+330+93-2-12-5-27-14</f>
        <v>642</v>
      </c>
      <c r="W8" s="807">
        <f>222+109+96+57-17-7-11-3</f>
        <v>446</v>
      </c>
      <c r="X8" s="1057"/>
      <c r="Y8" s="1057"/>
      <c r="Z8" s="1057"/>
      <c r="AA8" s="1057"/>
      <c r="AB8" s="1057"/>
      <c r="AC8" s="1057"/>
      <c r="AD8" s="1057"/>
      <c r="AE8" s="1057"/>
      <c r="AF8" s="1057"/>
      <c r="AG8" s="1057"/>
      <c r="AH8" s="1057"/>
      <c r="AI8" s="1057"/>
      <c r="AJ8" s="1057"/>
      <c r="AK8" s="1057"/>
      <c r="AL8" s="1057"/>
      <c r="AM8" s="1057"/>
      <c r="AN8" s="1057"/>
      <c r="AO8" s="1057"/>
      <c r="AP8" s="1057"/>
      <c r="AQ8" s="1057"/>
      <c r="AR8" s="1057"/>
      <c r="AS8" s="1057"/>
      <c r="AT8" s="1057"/>
      <c r="AU8" s="1057">
        <f>SUM(S8:AT8)</f>
        <v>3037</v>
      </c>
      <c r="AV8" s="1057">
        <f>SUM('Summary Total Pigs'!J108)</f>
        <v>2561</v>
      </c>
      <c r="AW8" s="1170">
        <f>AU8-AV8</f>
        <v>476</v>
      </c>
      <c r="AX8" s="818"/>
    </row>
    <row r="9" spans="1:52" ht="15.6">
      <c r="A9" s="1066" t="s">
        <v>212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807"/>
      <c r="T9" s="807"/>
      <c r="U9" s="807"/>
      <c r="V9" s="807">
        <v>3</v>
      </c>
      <c r="W9" s="807">
        <f>3</f>
        <v>3</v>
      </c>
      <c r="X9" s="807">
        <v>6</v>
      </c>
      <c r="Y9" s="1283"/>
      <c r="Z9" s="807"/>
      <c r="AA9" s="807"/>
      <c r="AB9" s="807"/>
      <c r="AC9" s="1057">
        <f>13</f>
        <v>13</v>
      </c>
      <c r="AD9" s="1057"/>
      <c r="AE9" s="1057"/>
      <c r="AF9" s="1057"/>
      <c r="AG9" s="1057"/>
      <c r="AH9" s="1057"/>
      <c r="AI9" s="1057"/>
      <c r="AJ9" s="1057"/>
      <c r="AK9" s="1057"/>
      <c r="AL9" s="1057"/>
      <c r="AM9" s="1057"/>
      <c r="AN9" s="1057">
        <f>6</f>
        <v>6</v>
      </c>
      <c r="AO9" s="1057">
        <f>4</f>
        <v>4</v>
      </c>
      <c r="AP9" s="1057">
        <f>2</f>
        <v>2</v>
      </c>
      <c r="AQ9" s="1057"/>
      <c r="AR9" s="1057"/>
      <c r="AU9" s="1057">
        <f t="shared" ref="AU9:AU10" si="1">SUM(S9:AT9)</f>
        <v>37</v>
      </c>
      <c r="AV9" s="807">
        <f>SUM('Summary Total Pigs'!D108:D110)</f>
        <v>4625</v>
      </c>
      <c r="AW9" s="1170"/>
      <c r="AX9" s="818"/>
    </row>
    <row r="10" spans="1:52" ht="15.6">
      <c r="A10" s="1066" t="s">
        <v>1832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807"/>
      <c r="T10" s="807"/>
      <c r="U10" s="807"/>
      <c r="V10" s="807"/>
      <c r="W10" s="807">
        <f>-3</f>
        <v>-3</v>
      </c>
      <c r="X10" s="1283">
        <f>-3</f>
        <v>-3</v>
      </c>
      <c r="Y10" s="807">
        <f>-6</f>
        <v>-6</v>
      </c>
      <c r="Z10" s="807"/>
      <c r="AA10" s="807"/>
      <c r="AB10" s="1661"/>
      <c r="AC10" s="1057"/>
      <c r="AD10" s="1057">
        <f>-13</f>
        <v>-13</v>
      </c>
      <c r="AE10" s="1057"/>
      <c r="AF10" s="1057"/>
      <c r="AG10" s="1057"/>
      <c r="AH10" s="1057"/>
      <c r="AI10" s="1057"/>
      <c r="AJ10" s="1057"/>
      <c r="AK10" s="1057"/>
      <c r="AL10" s="1057"/>
      <c r="AM10" s="1057"/>
      <c r="AN10" s="1057"/>
      <c r="AO10" s="1057">
        <f>-6</f>
        <v>-6</v>
      </c>
      <c r="AP10" s="1057">
        <f>-4</f>
        <v>-4</v>
      </c>
      <c r="AQ10" s="1057">
        <f>-2</f>
        <v>-2</v>
      </c>
      <c r="AR10" s="1057"/>
      <c r="AS10" s="1057"/>
      <c r="AT10" s="1057"/>
      <c r="AU10" s="1057">
        <f t="shared" si="1"/>
        <v>-37</v>
      </c>
      <c r="AV10" s="807">
        <f>SUM('Summary Total Pigs'!N108:N110)+'Summary Total Pigs'!D111-AV18</f>
        <v>-4630</v>
      </c>
      <c r="AW10" s="818"/>
      <c r="AX10" s="818"/>
    </row>
    <row r="11" spans="1:52" ht="15.6">
      <c r="A11" s="1066" t="s">
        <v>1789</v>
      </c>
      <c r="B11" s="1068">
        <f t="shared" ref="B11:R11" si="2">SUM(B7:B9)</f>
        <v>0</v>
      </c>
      <c r="C11" s="1068">
        <f t="shared" si="2"/>
        <v>0</v>
      </c>
      <c r="D11" s="1068">
        <f t="shared" si="2"/>
        <v>0</v>
      </c>
      <c r="E11" s="1068">
        <f t="shared" si="2"/>
        <v>0</v>
      </c>
      <c r="F11" s="1068">
        <f t="shared" si="2"/>
        <v>0</v>
      </c>
      <c r="G11" s="1068">
        <f t="shared" si="2"/>
        <v>0</v>
      </c>
      <c r="H11" s="1068">
        <f t="shared" si="2"/>
        <v>0</v>
      </c>
      <c r="I11" s="1068">
        <f t="shared" si="2"/>
        <v>0</v>
      </c>
      <c r="J11" s="1068">
        <f t="shared" si="2"/>
        <v>0</v>
      </c>
      <c r="K11" s="1068">
        <f t="shared" si="2"/>
        <v>0</v>
      </c>
      <c r="L11" s="1068">
        <f t="shared" si="2"/>
        <v>0</v>
      </c>
      <c r="M11" s="1068">
        <f t="shared" si="2"/>
        <v>0</v>
      </c>
      <c r="N11" s="1068">
        <f t="shared" si="2"/>
        <v>0</v>
      </c>
      <c r="O11" s="1068">
        <f t="shared" si="2"/>
        <v>0</v>
      </c>
      <c r="P11" s="1068">
        <f t="shared" si="2"/>
        <v>0</v>
      </c>
      <c r="Q11" s="1068">
        <f t="shared" si="2"/>
        <v>0</v>
      </c>
      <c r="R11" s="1068">
        <f t="shared" si="2"/>
        <v>0</v>
      </c>
      <c r="S11" s="1068">
        <f t="shared" ref="S11:AV11" si="3">SUM(S7:S10)</f>
        <v>620</v>
      </c>
      <c r="T11" s="1068">
        <f t="shared" si="3"/>
        <v>642</v>
      </c>
      <c r="U11" s="1068">
        <f t="shared" si="3"/>
        <v>687</v>
      </c>
      <c r="V11" s="1068">
        <f t="shared" si="3"/>
        <v>645</v>
      </c>
      <c r="W11" s="1068">
        <f t="shared" si="3"/>
        <v>446</v>
      </c>
      <c r="X11" s="1068">
        <f t="shared" si="3"/>
        <v>604</v>
      </c>
      <c r="Y11" s="1068">
        <f t="shared" si="3"/>
        <v>603</v>
      </c>
      <c r="Z11" s="1068">
        <f t="shared" si="3"/>
        <v>637</v>
      </c>
      <c r="AA11" s="1068">
        <f t="shared" si="3"/>
        <v>595</v>
      </c>
      <c r="AB11" s="1068">
        <f t="shared" si="3"/>
        <v>629</v>
      </c>
      <c r="AC11" s="1068">
        <f t="shared" si="3"/>
        <v>518</v>
      </c>
      <c r="AD11" s="1068">
        <f t="shared" si="3"/>
        <v>495</v>
      </c>
      <c r="AE11" s="1068">
        <f t="shared" si="3"/>
        <v>473</v>
      </c>
      <c r="AF11" s="1068">
        <f t="shared" si="3"/>
        <v>506</v>
      </c>
      <c r="AG11" s="1068">
        <f t="shared" si="3"/>
        <v>505</v>
      </c>
      <c r="AH11" s="1068">
        <f t="shared" si="3"/>
        <v>464</v>
      </c>
      <c r="AI11" s="1068">
        <f t="shared" si="3"/>
        <v>482</v>
      </c>
      <c r="AJ11" s="1068">
        <f t="shared" si="3"/>
        <v>502</v>
      </c>
      <c r="AK11" s="1068">
        <f t="shared" si="3"/>
        <v>483</v>
      </c>
      <c r="AL11" s="1068">
        <f t="shared" si="3"/>
        <v>484</v>
      </c>
      <c r="AM11" s="1068">
        <f t="shared" si="3"/>
        <v>479</v>
      </c>
      <c r="AN11" s="1068">
        <f t="shared" si="3"/>
        <v>471</v>
      </c>
      <c r="AO11" s="1068">
        <f t="shared" si="3"/>
        <v>472</v>
      </c>
      <c r="AP11" s="1068">
        <f t="shared" si="3"/>
        <v>441</v>
      </c>
      <c r="AQ11" s="1068">
        <f>SUM(AQ7:AQ10)</f>
        <v>477</v>
      </c>
      <c r="AR11" s="1068">
        <f t="shared" si="3"/>
        <v>471</v>
      </c>
      <c r="AS11" s="1068">
        <f t="shared" si="3"/>
        <v>0</v>
      </c>
      <c r="AT11" s="1068">
        <f t="shared" si="3"/>
        <v>0</v>
      </c>
      <c r="AU11" s="1068">
        <f t="shared" si="3"/>
        <v>13831</v>
      </c>
      <c r="AV11" s="1068">
        <f t="shared" si="3"/>
        <v>13350</v>
      </c>
      <c r="AW11" s="1170">
        <f t="shared" si="0"/>
        <v>481</v>
      </c>
      <c r="AX11" s="1066"/>
    </row>
    <row r="12" spans="1:52" ht="13.5" customHeight="1">
      <c r="A12" s="142" t="str">
        <f>+'Grasmere Pig Cost'!A12</f>
        <v>Transfers Lionshead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Y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807"/>
      <c r="AL12" s="807"/>
      <c r="AM12" s="807"/>
      <c r="AN12" s="807"/>
      <c r="AO12" s="807"/>
      <c r="AP12" s="807"/>
      <c r="AQ12" s="807"/>
      <c r="AR12" s="807"/>
      <c r="AS12" s="807"/>
      <c r="AT12" s="807"/>
      <c r="AU12" s="807">
        <f>SUM(B12:AT12)</f>
        <v>0</v>
      </c>
      <c r="AV12" s="807">
        <f>SUM('Summary Total Pigs'!P108:P110,'Summary Total Pigs'!F108:F110)</f>
        <v>0</v>
      </c>
      <c r="AW12" s="1170">
        <f>AU12-AV12</f>
        <v>0</v>
      </c>
    </row>
    <row r="13" spans="1:52">
      <c r="A13" s="142" t="str">
        <f>+'Grasmere Pig Cost'!A13</f>
        <v>Transfers Lionshead Ext.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/>
      <c r="X13" s="807"/>
      <c r="Y13" s="807"/>
      <c r="Z13" s="807"/>
      <c r="AA13" s="807">
        <f>-50</f>
        <v>-50</v>
      </c>
      <c r="AB13" s="807"/>
      <c r="AC13" s="807"/>
      <c r="AD13" s="807"/>
      <c r="AE13" s="807"/>
      <c r="AF13" s="807"/>
      <c r="AG13" s="807"/>
      <c r="AH13" s="807"/>
      <c r="AI13" s="807"/>
      <c r="AJ13" s="807"/>
      <c r="AK13" s="807"/>
      <c r="AL13" s="807"/>
      <c r="AM13" s="807"/>
      <c r="AN13" s="807"/>
      <c r="AO13" s="807"/>
      <c r="AP13" s="807"/>
      <c r="AQ13" s="807"/>
      <c r="AR13" s="807"/>
      <c r="AS13" s="807"/>
      <c r="AT13" s="807"/>
      <c r="AU13" s="807">
        <f t="shared" ref="AU13:AU25" si="4">SUM(B13:AT13)</f>
        <v>-50</v>
      </c>
      <c r="AV13" s="807">
        <f>SUM('Summary Total Pigs'!G108:G110,'Summary Total Pigs'!Q108:Q110)</f>
        <v>-380</v>
      </c>
      <c r="AW13" s="1170">
        <f t="shared" si="0"/>
        <v>330</v>
      </c>
    </row>
    <row r="14" spans="1:52" ht="13.5" customHeight="1">
      <c r="A14" s="142" t="s">
        <v>1833</v>
      </c>
      <c r="B14" s="807"/>
      <c r="C14" s="807"/>
      <c r="D14" s="807"/>
      <c r="E14" s="807"/>
      <c r="F14" s="807"/>
      <c r="G14" s="807"/>
      <c r="H14" s="807"/>
      <c r="I14" s="807"/>
      <c r="J14" s="807"/>
      <c r="K14" s="807"/>
      <c r="L14" s="807"/>
      <c r="M14" s="807"/>
      <c r="N14" s="807"/>
      <c r="O14" s="807"/>
      <c r="P14" s="807"/>
      <c r="Q14" s="807"/>
      <c r="R14" s="807"/>
      <c r="S14" s="807"/>
      <c r="T14" s="807"/>
      <c r="U14" s="807"/>
      <c r="V14" s="807"/>
      <c r="W14" s="807"/>
      <c r="X14" s="807">
        <v>0</v>
      </c>
      <c r="Y14" s="807"/>
      <c r="Z14" s="807"/>
      <c r="AA14" s="807"/>
      <c r="AB14" s="807"/>
      <c r="AC14" s="807"/>
      <c r="AD14" s="807"/>
      <c r="AE14" s="807"/>
      <c r="AF14" s="807"/>
      <c r="AG14" s="807"/>
      <c r="AH14" s="807"/>
      <c r="AI14" s="807"/>
      <c r="AJ14" s="807"/>
      <c r="AK14" s="807"/>
      <c r="AL14" s="807"/>
      <c r="AM14" s="807"/>
      <c r="AN14" s="807"/>
      <c r="AO14" s="807"/>
      <c r="AP14" s="807"/>
      <c r="AQ14" s="807"/>
      <c r="AR14" s="807"/>
      <c r="AS14" s="807"/>
      <c r="AT14" s="807"/>
      <c r="AU14" s="807">
        <f t="shared" si="4"/>
        <v>0</v>
      </c>
      <c r="AV14" s="807">
        <f>SUM('Summary Total Pigs'!E108:E110,'Summary Total Pigs'!O108:O110)</f>
        <v>0</v>
      </c>
      <c r="AW14" s="1170">
        <f t="shared" si="0"/>
        <v>0</v>
      </c>
    </row>
    <row r="15" spans="1:52">
      <c r="A15" s="142" t="str">
        <f>+'Grasmere Pig Cost'!A15</f>
        <v>Transfers Learig</v>
      </c>
      <c r="B15" s="807"/>
      <c r="C15" s="807"/>
      <c r="D15" s="807"/>
      <c r="E15" s="807"/>
      <c r="F15" s="807"/>
      <c r="G15" s="807"/>
      <c r="H15" s="807"/>
      <c r="I15" s="807"/>
      <c r="J15" s="807"/>
      <c r="K15" s="807"/>
      <c r="L15" s="807"/>
      <c r="M15" s="807"/>
      <c r="N15" s="807"/>
      <c r="O15" s="807"/>
      <c r="P15" s="807"/>
      <c r="Q15" s="807"/>
      <c r="R15" s="807"/>
      <c r="S15" s="807"/>
      <c r="T15" s="807"/>
      <c r="U15" s="807"/>
      <c r="V15" s="807"/>
      <c r="W15" s="807"/>
      <c r="X15" s="807">
        <f>-89</f>
        <v>-89</v>
      </c>
      <c r="Y15" s="807">
        <f>-80</f>
        <v>-80</v>
      </c>
      <c r="Z15" s="807">
        <f>-131</f>
        <v>-131</v>
      </c>
      <c r="AA15" s="807"/>
      <c r="AB15" s="807"/>
      <c r="AC15" s="807"/>
      <c r="AD15" s="807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807"/>
      <c r="AP15" s="807"/>
      <c r="AQ15" s="807"/>
      <c r="AR15" s="807"/>
      <c r="AS15" s="807"/>
      <c r="AT15" s="807"/>
      <c r="AU15" s="807">
        <f t="shared" si="4"/>
        <v>-300</v>
      </c>
      <c r="AV15" s="807">
        <f>SUM('Summary Total Pigs'!H108:H110,'Summary Total Pigs'!R108:R110)</f>
        <v>0</v>
      </c>
      <c r="AW15" s="1170">
        <f t="shared" si="0"/>
        <v>-300</v>
      </c>
    </row>
    <row r="16" spans="1:52">
      <c r="A16" s="142" t="str">
        <f>+'Grasmere Pig Cost'!A16</f>
        <v>Transfers Villa</v>
      </c>
      <c r="B16" s="807"/>
      <c r="C16" s="807"/>
      <c r="D16" s="807"/>
      <c r="E16" s="807"/>
      <c r="F16" s="807"/>
      <c r="G16" s="807"/>
      <c r="H16" s="807"/>
      <c r="I16" s="807"/>
      <c r="J16" s="807"/>
      <c r="K16" s="807"/>
      <c r="L16" s="807"/>
      <c r="M16" s="807"/>
      <c r="N16" s="807"/>
      <c r="O16" s="807"/>
      <c r="P16" s="807"/>
      <c r="Q16" s="807"/>
      <c r="R16" s="807"/>
      <c r="S16" s="807"/>
      <c r="T16" s="807"/>
      <c r="U16" s="807"/>
      <c r="V16" s="807"/>
      <c r="W16" s="807"/>
      <c r="X16" s="807"/>
      <c r="Y16" s="807"/>
      <c r="Z16" s="807">
        <f>-5</f>
        <v>-5</v>
      </c>
      <c r="AA16" s="807">
        <f>-5</f>
        <v>-5</v>
      </c>
      <c r="AB16" s="807"/>
      <c r="AC16" s="807"/>
      <c r="AD16" s="807"/>
      <c r="AE16" s="807"/>
      <c r="AF16" s="807"/>
      <c r="AG16" s="807"/>
      <c r="AH16" s="807"/>
      <c r="AI16" s="807"/>
      <c r="AJ16" s="807"/>
      <c r="AK16" s="807"/>
      <c r="AL16" s="807"/>
      <c r="AM16" s="807"/>
      <c r="AN16" s="807"/>
      <c r="AO16" s="807"/>
      <c r="AP16" s="807"/>
      <c r="AQ16" s="807"/>
      <c r="AR16" s="807"/>
      <c r="AS16" s="807"/>
      <c r="AT16" s="807"/>
      <c r="AU16" s="807">
        <f t="shared" si="4"/>
        <v>-10</v>
      </c>
      <c r="AV16" s="807">
        <f>SUM('Summary Total Pigs'!I108:I110,'Summary Total Pigs'!S108:S110)</f>
        <v>0</v>
      </c>
      <c r="AW16" s="1170">
        <f t="shared" si="0"/>
        <v>-10</v>
      </c>
    </row>
    <row r="17" spans="1:50">
      <c r="A17" s="142" t="str">
        <f>+'Grasmere Pig Cost'!A20</f>
        <v>Transfers  Boars</v>
      </c>
      <c r="B17" s="807"/>
      <c r="C17" s="807"/>
      <c r="D17" s="807"/>
      <c r="E17" s="807"/>
      <c r="F17" s="807"/>
      <c r="G17" s="807"/>
      <c r="H17" s="807"/>
      <c r="I17" s="807"/>
      <c r="J17" s="807"/>
      <c r="K17" s="807"/>
      <c r="L17" s="807"/>
      <c r="M17" s="807"/>
      <c r="N17" s="807"/>
      <c r="O17" s="807"/>
      <c r="P17" s="807"/>
      <c r="Q17" s="807"/>
      <c r="R17" s="807"/>
      <c r="S17" s="807"/>
      <c r="T17" s="807"/>
      <c r="U17" s="807"/>
      <c r="V17" s="807"/>
      <c r="W17" s="807"/>
      <c r="X17" s="807"/>
      <c r="Y17" s="807"/>
      <c r="Z17" s="807"/>
      <c r="AA17" s="807"/>
      <c r="AB17" s="807"/>
      <c r="AC17" s="807"/>
      <c r="AD17" s="807"/>
      <c r="AE17" s="807"/>
      <c r="AF17" s="807"/>
      <c r="AG17" s="807"/>
      <c r="AH17" s="807"/>
      <c r="AI17" s="807"/>
      <c r="AJ17" s="807"/>
      <c r="AK17" s="807"/>
      <c r="AL17" s="807"/>
      <c r="AM17" s="807"/>
      <c r="AN17" s="807"/>
      <c r="AO17" s="807"/>
      <c r="AP17" s="807"/>
      <c r="AQ17" s="807"/>
      <c r="AR17" s="807"/>
      <c r="AS17" s="807"/>
      <c r="AT17" s="807"/>
      <c r="AU17" s="807">
        <f t="shared" si="4"/>
        <v>0</v>
      </c>
      <c r="AV17" s="807">
        <v>0</v>
      </c>
      <c r="AW17" s="1170">
        <f t="shared" si="0"/>
        <v>0</v>
      </c>
    </row>
    <row r="18" spans="1:50">
      <c r="A18" s="142" t="str">
        <f>+'Grasmere Pig Cost'!A21</f>
        <v>Transfers Grower</v>
      </c>
      <c r="B18" s="807"/>
      <c r="C18" s="807"/>
      <c r="D18" s="807"/>
      <c r="E18" s="807"/>
      <c r="F18" s="807"/>
      <c r="G18" s="807"/>
      <c r="H18" s="807"/>
      <c r="I18" s="807"/>
      <c r="J18" s="807"/>
      <c r="K18" s="807"/>
      <c r="L18" s="807"/>
      <c r="M18" s="807"/>
      <c r="N18" s="807"/>
      <c r="O18" s="807"/>
      <c r="P18" s="807"/>
      <c r="Q18" s="807"/>
      <c r="R18" s="807"/>
      <c r="S18" s="807"/>
      <c r="T18" s="807"/>
      <c r="U18" s="807"/>
      <c r="V18" s="807"/>
      <c r="W18" s="807"/>
      <c r="X18" s="807">
        <v>5</v>
      </c>
      <c r="Y18" s="807"/>
      <c r="Z18" s="807"/>
      <c r="AA18" s="807"/>
      <c r="AB18" s="807"/>
      <c r="AC18" s="807"/>
      <c r="AD18" s="807"/>
      <c r="AE18" s="807"/>
      <c r="AF18" s="807"/>
      <c r="AG18" s="807"/>
      <c r="AH18" s="807"/>
      <c r="AI18" s="807"/>
      <c r="AJ18" s="807"/>
      <c r="AK18" s="807"/>
      <c r="AL18" s="807"/>
      <c r="AM18" s="807"/>
      <c r="AN18" s="807"/>
      <c r="AO18" s="807"/>
      <c r="AP18" s="807"/>
      <c r="AQ18" s="807"/>
      <c r="AR18" s="807"/>
      <c r="AS18" s="807"/>
      <c r="AT18" s="807"/>
      <c r="AU18" s="807">
        <f t="shared" si="4"/>
        <v>5</v>
      </c>
      <c r="AV18" s="807">
        <v>5</v>
      </c>
      <c r="AW18" s="1170">
        <f t="shared" si="0"/>
        <v>0</v>
      </c>
    </row>
    <row r="19" spans="1:50">
      <c r="A19" s="142" t="str">
        <f>+'Grasmere Pig Cost'!A22</f>
        <v>Transfer to Sick Block</v>
      </c>
      <c r="B19" s="807"/>
      <c r="C19" s="807"/>
      <c r="D19" s="807"/>
      <c r="E19" s="807"/>
      <c r="F19" s="807"/>
      <c r="G19" s="807"/>
      <c r="H19" s="807"/>
      <c r="I19" s="807"/>
      <c r="J19" s="807"/>
      <c r="K19" s="807"/>
      <c r="L19" s="807"/>
      <c r="M19" s="807"/>
      <c r="N19" s="807"/>
      <c r="O19" s="807"/>
      <c r="P19" s="807"/>
      <c r="Q19" s="807"/>
      <c r="R19" s="807"/>
      <c r="S19" s="807"/>
      <c r="T19" s="807"/>
      <c r="U19" s="807"/>
      <c r="V19" s="807"/>
      <c r="W19" s="807"/>
      <c r="X19" s="807"/>
      <c r="Y19" s="807"/>
      <c r="Z19" s="807"/>
      <c r="AA19" s="807"/>
      <c r="AB19" s="807"/>
      <c r="AC19" s="807"/>
      <c r="AD19" s="807"/>
      <c r="AE19" s="807"/>
      <c r="AF19" s="807"/>
      <c r="AG19" s="807"/>
      <c r="AH19" s="807"/>
      <c r="AI19" s="807"/>
      <c r="AJ19" s="807"/>
      <c r="AK19" s="807"/>
      <c r="AL19" s="807"/>
      <c r="AM19" s="807"/>
      <c r="AN19" s="807"/>
      <c r="AO19" s="807"/>
      <c r="AP19" s="807"/>
      <c r="AQ19" s="807"/>
      <c r="AR19" s="807"/>
      <c r="AS19" s="807"/>
      <c r="AT19" s="807"/>
      <c r="AU19" s="807">
        <f t="shared" si="4"/>
        <v>0</v>
      </c>
      <c r="AV19" s="807"/>
      <c r="AW19" s="1170"/>
    </row>
    <row r="20" spans="1:50">
      <c r="A20" s="142" t="str">
        <f>+'Grasmere Pig Cost'!A23</f>
        <v>Transfers Gilts</v>
      </c>
      <c r="B20" s="807"/>
      <c r="C20" s="807"/>
      <c r="D20" s="807"/>
      <c r="E20" s="807"/>
      <c r="F20" s="807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  <c r="V20" s="807"/>
      <c r="W20" s="807"/>
      <c r="X20" s="807"/>
      <c r="Y20" s="807"/>
      <c r="Z20" s="807"/>
      <c r="AA20" s="807"/>
      <c r="AB20" s="807"/>
      <c r="AC20" s="807">
        <f>-14</f>
        <v>-14</v>
      </c>
      <c r="AD20" s="807">
        <f>-14</f>
        <v>-14</v>
      </c>
      <c r="AE20" s="807">
        <f>-14</f>
        <v>-14</v>
      </c>
      <c r="AF20" s="807">
        <f>-14</f>
        <v>-14</v>
      </c>
      <c r="AG20" s="807"/>
      <c r="AH20" s="807"/>
      <c r="AI20" s="807"/>
      <c r="AJ20" s="807"/>
      <c r="AK20" s="807"/>
      <c r="AL20" s="807"/>
      <c r="AM20" s="807"/>
      <c r="AN20" s="807"/>
      <c r="AO20" s="807"/>
      <c r="AP20" s="1661"/>
      <c r="AQ20" s="807"/>
      <c r="AR20" s="807"/>
      <c r="AS20" s="807"/>
      <c r="AT20" s="807"/>
      <c r="AU20" s="807">
        <f t="shared" si="4"/>
        <v>-56</v>
      </c>
      <c r="AV20" s="807">
        <f>-SUM('Summary Total Pigs'!D111)</f>
        <v>-54</v>
      </c>
      <c r="AW20" s="1170">
        <f t="shared" si="0"/>
        <v>-2</v>
      </c>
      <c r="AX20" s="818"/>
    </row>
    <row r="21" spans="1:50">
      <c r="A21" s="142" t="str">
        <f>+'Grasmere Pig Cost'!A24</f>
        <v>Mortality</v>
      </c>
      <c r="B21" s="807"/>
      <c r="C21" s="807"/>
      <c r="D21" s="807"/>
      <c r="E21" s="807"/>
      <c r="F21" s="807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>
        <f>-2-1-1-1-1-1-12</f>
        <v>-19</v>
      </c>
      <c r="T21" s="807">
        <f>-5-4-6-5-6-3-4</f>
        <v>-33</v>
      </c>
      <c r="U21" s="807">
        <f>-4-4-11-5-5-5-6-4-2-3-1</f>
        <v>-50</v>
      </c>
      <c r="V21" s="807">
        <f>-5-5-3-5-4-6-8-4-4-2-3-1</f>
        <v>-50</v>
      </c>
      <c r="W21" s="807">
        <f>-2-2-5-6-10-3-3-3-2</f>
        <v>-36</v>
      </c>
      <c r="X21" s="807">
        <f>-1-4-3-4-3-3</f>
        <v>-18</v>
      </c>
      <c r="Y21" s="807">
        <f>-1-2-2-1</f>
        <v>-6</v>
      </c>
      <c r="Z21" s="807">
        <f>-1-2-2-2</f>
        <v>-7</v>
      </c>
      <c r="AA21" s="807">
        <f>-2</f>
        <v>-2</v>
      </c>
      <c r="AB21" s="807">
        <f>-2</f>
        <v>-2</v>
      </c>
      <c r="AC21" s="807"/>
      <c r="AD21" s="807">
        <f>-3-3-1-2-2-1-3</f>
        <v>-15</v>
      </c>
      <c r="AE21" s="807">
        <f>-1-1</f>
        <v>-2</v>
      </c>
      <c r="AF21" s="807">
        <f>-1-1</f>
        <v>-2</v>
      </c>
      <c r="AG21" s="807">
        <f>-1</f>
        <v>-1</v>
      </c>
      <c r="AH21" s="807">
        <f>-1</f>
        <v>-1</v>
      </c>
      <c r="AI21" s="807">
        <f>-1-1-2-2</f>
        <v>-6</v>
      </c>
      <c r="AJ21" s="807">
        <f>-1-1</f>
        <v>-2</v>
      </c>
      <c r="AK21" s="807">
        <f>-2-1</f>
        <v>-3</v>
      </c>
      <c r="AL21" s="807">
        <f>-1</f>
        <v>-1</v>
      </c>
      <c r="AM21" s="807">
        <f>-2</f>
        <v>-2</v>
      </c>
      <c r="AN21" s="807">
        <f>-1-2-1-1-1-1-3</f>
        <v>-10</v>
      </c>
      <c r="AO21" s="807">
        <f>-1-1-1</f>
        <v>-3</v>
      </c>
      <c r="AP21" s="807">
        <f>-2</f>
        <v>-2</v>
      </c>
      <c r="AQ21" s="807"/>
      <c r="AR21" s="807"/>
      <c r="AS21" s="807"/>
      <c r="AT21" s="807"/>
      <c r="AU21" s="807">
        <f t="shared" si="4"/>
        <v>-273</v>
      </c>
      <c r="AV21" s="807">
        <f>SUM('Summary Total Pigs'!W108:W110,'Summary Total Pigs'!Y108:Y110)</f>
        <v>-356</v>
      </c>
      <c r="AW21" s="1170">
        <f t="shared" si="0"/>
        <v>83</v>
      </c>
      <c r="AX21" s="818"/>
    </row>
    <row r="22" spans="1:50">
      <c r="A22" s="142" t="str">
        <f>+'Grasmere Pig Cost'!A25</f>
        <v>Rations</v>
      </c>
      <c r="B22" s="807"/>
      <c r="C22" s="807"/>
      <c r="D22" s="807"/>
      <c r="E22" s="807"/>
      <c r="F22" s="807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7"/>
      <c r="AB22" s="807"/>
      <c r="AC22" s="807"/>
      <c r="AD22" s="807"/>
      <c r="AE22" s="807"/>
      <c r="AF22" s="807"/>
      <c r="AG22" s="807"/>
      <c r="AH22" s="807"/>
      <c r="AI22" s="807"/>
      <c r="AJ22" s="807"/>
      <c r="AK22" s="807"/>
      <c r="AL22" s="807"/>
      <c r="AM22" s="807">
        <f>-1</f>
        <v>-1</v>
      </c>
      <c r="AN22" s="807">
        <f>-2</f>
        <v>-2</v>
      </c>
      <c r="AO22" s="807">
        <f>-2</f>
        <v>-2</v>
      </c>
      <c r="AP22" s="807">
        <f>-1-1</f>
        <v>-2</v>
      </c>
      <c r="AQ22" s="807"/>
      <c r="AR22" s="807"/>
      <c r="AS22" s="807"/>
      <c r="AT22" s="807"/>
      <c r="AU22" s="807">
        <f t="shared" si="4"/>
        <v>-7</v>
      </c>
      <c r="AV22" s="807">
        <f>SUM('Summary Total Pigs'!Z108:Z110)</f>
        <v>-8</v>
      </c>
      <c r="AW22" s="1170">
        <f t="shared" si="0"/>
        <v>1</v>
      </c>
      <c r="AX22" s="818"/>
    </row>
    <row r="23" spans="1:50">
      <c r="A23" s="142" t="str">
        <f>+'Grasmere Pig Cost'!A26</f>
        <v>Pet Food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/>
      <c r="AD23" s="807"/>
      <c r="AE23" s="807"/>
      <c r="AF23" s="807"/>
      <c r="AG23" s="807"/>
      <c r="AH23" s="807"/>
      <c r="AI23" s="807"/>
      <c r="AJ23" s="807"/>
      <c r="AK23" s="807"/>
      <c r="AL23" s="807"/>
      <c r="AM23" s="807"/>
      <c r="AN23" s="807"/>
      <c r="AO23" s="807"/>
      <c r="AP23" s="807"/>
      <c r="AQ23" s="807"/>
      <c r="AR23" s="807"/>
      <c r="AS23" s="807"/>
      <c r="AT23" s="807"/>
      <c r="AU23" s="807">
        <f t="shared" si="4"/>
        <v>0</v>
      </c>
      <c r="AV23" s="807">
        <f>SUM('Summary Total Pigs'!AB108:AB110)</f>
        <v>0</v>
      </c>
      <c r="AW23" s="1170">
        <f t="shared" si="0"/>
        <v>0</v>
      </c>
      <c r="AX23" s="818"/>
    </row>
    <row r="24" spans="1:50">
      <c r="A24" s="142" t="str">
        <f>+'Grasmere Pig Cost'!A27</f>
        <v>Farm Sales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/>
      <c r="T24" s="807"/>
      <c r="U24" s="807"/>
      <c r="V24" s="807"/>
      <c r="W24" s="807"/>
      <c r="X24" s="807"/>
      <c r="Y24" s="807"/>
      <c r="Z24" s="807"/>
      <c r="AA24" s="807"/>
      <c r="AB24" s="807"/>
      <c r="AC24" s="807"/>
      <c r="AD24" s="807"/>
      <c r="AE24" s="807"/>
      <c r="AF24" s="807"/>
      <c r="AG24" s="807"/>
      <c r="AH24" s="807"/>
      <c r="AI24" s="807"/>
      <c r="AJ24" s="807"/>
      <c r="AK24" s="807"/>
      <c r="AL24" s="807"/>
      <c r="AM24" s="807"/>
      <c r="AN24" s="807"/>
      <c r="AO24" s="807"/>
      <c r="AP24" s="807"/>
      <c r="AQ24" s="807"/>
      <c r="AR24" s="807"/>
      <c r="AS24" s="807"/>
      <c r="AT24" s="807"/>
      <c r="AU24" s="807">
        <f t="shared" si="4"/>
        <v>0</v>
      </c>
      <c r="AV24" s="807">
        <f>SUM('Summary Total Pigs'!AC108:AC110)</f>
        <v>0</v>
      </c>
      <c r="AW24" s="1170">
        <f t="shared" si="0"/>
        <v>0</v>
      </c>
      <c r="AX24" s="818"/>
    </row>
    <row r="25" spans="1:50" ht="15.6" thickBot="1">
      <c r="A25" s="142" t="str">
        <f>+'Grasmere Pig Cost'!A28</f>
        <v xml:space="preserve"> Colcom Sales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>
        <f>-467</f>
        <v>-467</v>
      </c>
      <c r="AO25" s="807">
        <f>-480</f>
        <v>-480</v>
      </c>
      <c r="AP25" s="807">
        <f>-479+2</f>
        <v>-477</v>
      </c>
      <c r="AQ25" s="807">
        <f>-505</f>
        <v>-505</v>
      </c>
      <c r="AR25" s="807"/>
      <c r="AS25" s="807"/>
      <c r="AT25" s="807"/>
      <c r="AU25" s="807">
        <f t="shared" si="4"/>
        <v>-1929</v>
      </c>
      <c r="AV25" s="807">
        <f>SUM('Summary Total Pigs'!X108:X110)</f>
        <v>-2220</v>
      </c>
      <c r="AW25" s="1170">
        <f t="shared" si="0"/>
        <v>291</v>
      </c>
      <c r="AX25" s="818"/>
    </row>
    <row r="26" spans="1:50" ht="16.149999999999999" thickBot="1">
      <c r="A26" s="1070" t="s">
        <v>1802</v>
      </c>
      <c r="B26" s="1071">
        <f t="shared" ref="B26:R26" si="5">SUM(B11:B21)</f>
        <v>0</v>
      </c>
      <c r="C26" s="1071">
        <f t="shared" si="5"/>
        <v>0</v>
      </c>
      <c r="D26" s="1071">
        <f t="shared" si="5"/>
        <v>0</v>
      </c>
      <c r="E26" s="1071">
        <f t="shared" si="5"/>
        <v>0</v>
      </c>
      <c r="F26" s="1071">
        <f t="shared" si="5"/>
        <v>0</v>
      </c>
      <c r="G26" s="1071">
        <f t="shared" si="5"/>
        <v>0</v>
      </c>
      <c r="H26" s="1071">
        <f t="shared" si="5"/>
        <v>0</v>
      </c>
      <c r="I26" s="1071">
        <f t="shared" si="5"/>
        <v>0</v>
      </c>
      <c r="J26" s="1071">
        <f t="shared" si="5"/>
        <v>0</v>
      </c>
      <c r="K26" s="1071">
        <f t="shared" si="5"/>
        <v>0</v>
      </c>
      <c r="L26" s="1071">
        <f t="shared" si="5"/>
        <v>0</v>
      </c>
      <c r="M26" s="1071">
        <f t="shared" si="5"/>
        <v>0</v>
      </c>
      <c r="N26" s="1071">
        <f t="shared" si="5"/>
        <v>0</v>
      </c>
      <c r="O26" s="1071">
        <f t="shared" si="5"/>
        <v>0</v>
      </c>
      <c r="P26" s="1071">
        <f t="shared" si="5"/>
        <v>0</v>
      </c>
      <c r="Q26" s="1071">
        <f t="shared" si="5"/>
        <v>0</v>
      </c>
      <c r="R26" s="1071">
        <f t="shared" si="5"/>
        <v>0</v>
      </c>
      <c r="S26" s="1071">
        <f>SUM(S11:S25)</f>
        <v>601</v>
      </c>
      <c r="T26" s="1071">
        <f t="shared" ref="T26:AT26" si="6">SUM(T11:T25)</f>
        <v>609</v>
      </c>
      <c r="U26" s="1071">
        <f t="shared" si="6"/>
        <v>637</v>
      </c>
      <c r="V26" s="1071">
        <f t="shared" si="6"/>
        <v>595</v>
      </c>
      <c r="W26" s="1071">
        <f>SUM(W11:W25)</f>
        <v>410</v>
      </c>
      <c r="X26" s="1071">
        <f t="shared" si="6"/>
        <v>502</v>
      </c>
      <c r="Y26" s="1071">
        <f t="shared" si="6"/>
        <v>517</v>
      </c>
      <c r="Z26" s="1071">
        <f t="shared" si="6"/>
        <v>494</v>
      </c>
      <c r="AA26" s="1071">
        <f t="shared" si="6"/>
        <v>538</v>
      </c>
      <c r="AB26" s="1071">
        <f t="shared" si="6"/>
        <v>627</v>
      </c>
      <c r="AC26" s="1071">
        <f t="shared" si="6"/>
        <v>504</v>
      </c>
      <c r="AD26" s="1071">
        <f t="shared" si="6"/>
        <v>466</v>
      </c>
      <c r="AE26" s="1071">
        <f t="shared" si="6"/>
        <v>457</v>
      </c>
      <c r="AF26" s="1071">
        <f t="shared" si="6"/>
        <v>490</v>
      </c>
      <c r="AG26" s="1071">
        <f t="shared" si="6"/>
        <v>504</v>
      </c>
      <c r="AH26" s="1071">
        <f t="shared" si="6"/>
        <v>463</v>
      </c>
      <c r="AI26" s="1071">
        <f t="shared" si="6"/>
        <v>476</v>
      </c>
      <c r="AJ26" s="1071">
        <f t="shared" si="6"/>
        <v>500</v>
      </c>
      <c r="AK26" s="1071">
        <f t="shared" si="6"/>
        <v>480</v>
      </c>
      <c r="AL26" s="1071">
        <f t="shared" si="6"/>
        <v>483</v>
      </c>
      <c r="AM26" s="1071">
        <f t="shared" si="6"/>
        <v>476</v>
      </c>
      <c r="AN26" s="1071">
        <f t="shared" si="6"/>
        <v>-8</v>
      </c>
      <c r="AO26" s="1071">
        <f t="shared" si="6"/>
        <v>-13</v>
      </c>
      <c r="AP26" s="1071">
        <f>SUM(AP11:AP25)</f>
        <v>-40</v>
      </c>
      <c r="AQ26" s="1071">
        <f>SUM(AQ11:AQ25)</f>
        <v>-28</v>
      </c>
      <c r="AR26" s="1071">
        <f t="shared" si="6"/>
        <v>471</v>
      </c>
      <c r="AS26" s="1071">
        <f t="shared" si="6"/>
        <v>0</v>
      </c>
      <c r="AT26" s="1071">
        <f t="shared" si="6"/>
        <v>0</v>
      </c>
      <c r="AU26" s="1071">
        <f>SUM(AU11:AU25)</f>
        <v>11211</v>
      </c>
      <c r="AV26" s="1072">
        <f>SUM(AV11:AV25)</f>
        <v>10337</v>
      </c>
      <c r="AW26" s="1170">
        <f>AU26-AV26</f>
        <v>874</v>
      </c>
    </row>
    <row r="27" spans="1:50">
      <c r="S27" s="1058">
        <f>+'Richlands Valuation'!E10</f>
        <v>276</v>
      </c>
      <c r="T27" s="1058">
        <f>+'Richlands Valuation'!E11</f>
        <v>637</v>
      </c>
      <c r="U27" s="1058">
        <f>+'Richlands Valuation'!E12</f>
        <v>602</v>
      </c>
      <c r="V27" s="1058">
        <f>+'Richlands Valuation'!E13</f>
        <v>601</v>
      </c>
      <c r="W27" s="1058">
        <f>+'Richlands Valuation'!E14</f>
        <v>638</v>
      </c>
      <c r="X27" s="1058">
        <f>+'Richlands Valuation'!E15</f>
        <v>622</v>
      </c>
      <c r="Y27" s="1058">
        <f>+'Richlands Valuation'!E16</f>
        <v>605</v>
      </c>
      <c r="Z27" s="1058">
        <f>+'Richlands Valuation'!E17</f>
        <v>627</v>
      </c>
      <c r="AA27" s="1058">
        <f>+'Richlands Valuation'!E18</f>
        <v>669</v>
      </c>
      <c r="AB27" s="1058">
        <f>+'Richlands Valuation'!E19</f>
        <v>628</v>
      </c>
      <c r="AC27" s="1058">
        <f>+'Richlands Valuation'!E20</f>
        <v>537</v>
      </c>
      <c r="AD27" s="1058">
        <f>+'Richlands Valuation'!E21</f>
        <v>552</v>
      </c>
      <c r="AE27" s="1058">
        <f>+'Richlands Valuation'!E22</f>
        <v>505</v>
      </c>
      <c r="AF27" s="1058">
        <f>+'Richlands Valuation'!E23</f>
        <v>537</v>
      </c>
      <c r="AG27" s="1058">
        <f>+'Richlands Valuation'!E24</f>
        <v>527</v>
      </c>
      <c r="AH27" s="1058">
        <f>+'Richlands Valuation'!E25</f>
        <v>495</v>
      </c>
      <c r="AI27" s="1058">
        <f>+'Richlands Valuation'!E26</f>
        <v>528</v>
      </c>
      <c r="AJ27" s="1058">
        <f>+'Richlands Valuation'!E27</f>
        <v>516</v>
      </c>
      <c r="AK27" s="1058">
        <f>+'Richlands Valuation'!E28</f>
        <v>510</v>
      </c>
      <c r="AL27" s="1058">
        <f>+'Richlands Valuation'!E29</f>
        <v>528</v>
      </c>
      <c r="AM27" s="1058">
        <f>+'Richlands Valuation'!E30</f>
        <v>598</v>
      </c>
      <c r="AN27" s="1058">
        <f>+'Richlands Valuation'!E31</f>
        <v>7</v>
      </c>
      <c r="AO27" s="1058">
        <f>+'Richlands Valuation'!E32</f>
        <v>0</v>
      </c>
      <c r="AP27" s="1058">
        <f>+'Richlands Valuation'!E33</f>
        <v>0</v>
      </c>
      <c r="AQ27" s="1058">
        <f>+'Richlands Valuation'!E34</f>
        <v>0</v>
      </c>
      <c r="AR27" s="1058">
        <f>+'Richlands Valuation'!E35</f>
        <v>0</v>
      </c>
      <c r="AS27" s="1058">
        <f>+'Richlands Valuation'!E36</f>
        <v>0</v>
      </c>
      <c r="AT27" s="1058">
        <f>+'Richlands Valuation'!E37</f>
        <v>0</v>
      </c>
      <c r="AU27" s="1057">
        <f>SUM(S27:AT27)</f>
        <v>11745</v>
      </c>
      <c r="AV27" s="1057">
        <f>SUM('Richlands Valuation'!E10:E41)</f>
        <v>11745</v>
      </c>
      <c r="AW27" s="1170">
        <f>AU27-AV27</f>
        <v>0</v>
      </c>
    </row>
    <row r="28" spans="1:50">
      <c r="S28" s="1058">
        <f>+S26-S27</f>
        <v>325</v>
      </c>
      <c r="T28" s="1058">
        <f t="shared" ref="T28:AT28" si="7">+T26-T27</f>
        <v>-28</v>
      </c>
      <c r="U28" s="1058">
        <f t="shared" si="7"/>
        <v>35</v>
      </c>
      <c r="V28" s="1058">
        <f t="shared" si="7"/>
        <v>-6</v>
      </c>
      <c r="W28" s="1058">
        <f>+W26-W27</f>
        <v>-228</v>
      </c>
      <c r="X28" s="1058">
        <f t="shared" si="7"/>
        <v>-120</v>
      </c>
      <c r="Y28" s="1058">
        <f t="shared" si="7"/>
        <v>-88</v>
      </c>
      <c r="Z28" s="1058">
        <f t="shared" si="7"/>
        <v>-133</v>
      </c>
      <c r="AA28" s="1058">
        <f t="shared" si="7"/>
        <v>-131</v>
      </c>
      <c r="AB28" s="1058">
        <f t="shared" si="7"/>
        <v>-1</v>
      </c>
      <c r="AC28" s="1058">
        <f t="shared" si="7"/>
        <v>-33</v>
      </c>
      <c r="AD28" s="1058">
        <f t="shared" si="7"/>
        <v>-86</v>
      </c>
      <c r="AE28" s="1058">
        <f t="shared" si="7"/>
        <v>-48</v>
      </c>
      <c r="AF28" s="1058">
        <f t="shared" si="7"/>
        <v>-47</v>
      </c>
      <c r="AG28" s="1058">
        <f t="shared" si="7"/>
        <v>-23</v>
      </c>
      <c r="AH28" s="1058">
        <f t="shared" si="7"/>
        <v>-32</v>
      </c>
      <c r="AI28" s="1058">
        <f t="shared" si="7"/>
        <v>-52</v>
      </c>
      <c r="AJ28" s="1058">
        <f t="shared" si="7"/>
        <v>-16</v>
      </c>
      <c r="AK28" s="1058">
        <f t="shared" si="7"/>
        <v>-30</v>
      </c>
      <c r="AL28" s="1058">
        <f t="shared" si="7"/>
        <v>-45</v>
      </c>
      <c r="AM28" s="1058">
        <f t="shared" si="7"/>
        <v>-122</v>
      </c>
      <c r="AN28" s="1058">
        <f t="shared" si="7"/>
        <v>-15</v>
      </c>
      <c r="AO28" s="1058">
        <f t="shared" si="7"/>
        <v>-13</v>
      </c>
      <c r="AP28" s="1058">
        <f t="shared" si="7"/>
        <v>-40</v>
      </c>
      <c r="AQ28" s="1058">
        <f t="shared" si="7"/>
        <v>-28</v>
      </c>
      <c r="AR28" s="1058">
        <f t="shared" si="7"/>
        <v>471</v>
      </c>
      <c r="AS28" s="1058">
        <f t="shared" si="7"/>
        <v>0</v>
      </c>
      <c r="AT28" s="1058">
        <f t="shared" si="7"/>
        <v>0</v>
      </c>
      <c r="AU28" s="807">
        <f>SUM(S28:AT28)</f>
        <v>-534</v>
      </c>
      <c r="AV28" s="807">
        <f>SUM('Summary Total Pigs'!AF108:AF110)</f>
        <v>11745</v>
      </c>
      <c r="AW28" s="818"/>
    </row>
    <row r="29" spans="1:50" ht="15.6">
      <c r="A29" s="1066" t="s">
        <v>199</v>
      </c>
      <c r="S29" s="817"/>
      <c r="T29" s="817"/>
      <c r="U29" s="817"/>
      <c r="V29" s="817"/>
      <c r="W29" s="817"/>
      <c r="X29" s="817"/>
      <c r="Y29" s="817"/>
      <c r="Z29" s="817"/>
      <c r="AA29" s="817"/>
      <c r="AB29" s="817"/>
      <c r="AC29" s="817"/>
      <c r="AD29" s="817"/>
      <c r="AE29" s="817"/>
      <c r="AF29" s="817"/>
      <c r="AG29" s="817"/>
      <c r="AH29" s="817"/>
      <c r="AI29" s="817"/>
      <c r="AJ29" s="817"/>
      <c r="AK29" s="817"/>
      <c r="AL29" s="817"/>
      <c r="AM29" s="817"/>
      <c r="AN29" s="817"/>
      <c r="AO29" s="817"/>
      <c r="AP29" s="817"/>
      <c r="AQ29" s="817"/>
      <c r="AR29" s="817"/>
      <c r="AS29" s="817"/>
      <c r="AT29" s="817"/>
      <c r="AU29" s="817"/>
      <c r="AV29" s="1057"/>
      <c r="AW29" s="818"/>
      <c r="AX29" s="817"/>
    </row>
    <row r="30" spans="1:50">
      <c r="A30" s="142" t="s">
        <v>1803</v>
      </c>
      <c r="B30" s="1057"/>
      <c r="C30" s="1057"/>
      <c r="D30" s="1057"/>
      <c r="E30" s="1057"/>
      <c r="F30" s="1057"/>
      <c r="G30" s="1057">
        <f>+'[77]Richlands Pig Cost'!B53</f>
        <v>874506.59089815547</v>
      </c>
      <c r="H30" s="1057">
        <f>+'[77]Richlands Pig Cost'!C53</f>
        <v>874506.59089815547</v>
      </c>
      <c r="I30" s="1057">
        <f>+'[77]Richlands Pig Cost'!D53</f>
        <v>874506.59089815547</v>
      </c>
      <c r="J30" s="1057">
        <f>+'[77]Richlands Pig Cost'!E53</f>
        <v>874506.59089815547</v>
      </c>
      <c r="K30" s="1057">
        <f>+'[77]Richlands Pig Cost'!F53</f>
        <v>1681308.0799414259</v>
      </c>
      <c r="L30" s="1057">
        <f>+'[77]Richlands Pig Cost'!G53</f>
        <v>1681308.0799414259</v>
      </c>
      <c r="M30" s="1057">
        <f>+'[77]Richlands Pig Cost'!H53</f>
        <v>1681308.0799414259</v>
      </c>
      <c r="N30" s="1057">
        <f>+'[77]Richlands Pig Cost'!I53</f>
        <v>1681308.0799414259</v>
      </c>
      <c r="O30" s="1057">
        <f>+'[77]Richlands Pig Cost'!J53</f>
        <v>2641898.6451861789</v>
      </c>
      <c r="P30" s="1057">
        <f>+'[77]Richlands Pig Cost'!K53</f>
        <v>2641898.6451861789</v>
      </c>
      <c r="Q30" s="1057">
        <f>+'[77]Richlands Pig Cost'!L53</f>
        <v>2641898.6451861789</v>
      </c>
      <c r="R30" s="1057">
        <f>+'[77]Richlands Pig Cost'!M53</f>
        <v>2641898.6451861789</v>
      </c>
      <c r="S30" s="1057">
        <f>+'[77]Richlands Pig Cost'!N53</f>
        <v>2734341.4412418129</v>
      </c>
      <c r="T30" s="1057">
        <f>+'[77]Richlands Pig Cost'!O53</f>
        <v>3538303.8165303194</v>
      </c>
      <c r="U30" s="1057">
        <f>+'[77]Richlands Pig Cost'!P53</f>
        <v>3538303.8165303194</v>
      </c>
      <c r="V30" s="1057">
        <f>+'[77]Richlands Pig Cost'!Q53</f>
        <v>3538303.8165303194</v>
      </c>
      <c r="W30" s="1057">
        <f>+'[77]Richlands Pig Cost'!R53</f>
        <v>4483222.0197837204</v>
      </c>
      <c r="X30" s="1057">
        <f>+'[77]Richlands Pig Cost'!S53</f>
        <v>5572519.5802560598</v>
      </c>
      <c r="Y30" s="1057">
        <f>+'[77]Richlands Pig Cost'!T53</f>
        <v>7215381.5564272627</v>
      </c>
      <c r="Z30" s="1057">
        <f>+'[77]Richlands Pig Cost'!U53</f>
        <v>8086253.3059015647</v>
      </c>
      <c r="AA30" s="1057">
        <f>+'[77]Richlands Pig Cost'!V53</f>
        <v>7762090.9098064331</v>
      </c>
      <c r="AB30" s="1057">
        <f>+'[77]Richlands Pig Cost'!W53</f>
        <v>5775414.293903782</v>
      </c>
      <c r="AC30" s="1057">
        <f>+'[77]Richlands Pig Cost'!X53</f>
        <v>8723310.6629072763</v>
      </c>
      <c r="AD30" s="1057">
        <f>+'[77]Richlands Pig Cost'!Y53</f>
        <v>9874157.6108195372</v>
      </c>
      <c r="AE30" s="1057">
        <f>+'[77]Richlands Pig Cost'!Z53</f>
        <v>9696473.1450424604</v>
      </c>
      <c r="AF30" s="1057">
        <f>+'[77]Richlands Pig Cost'!AA53</f>
        <v>16341524.534054631</v>
      </c>
      <c r="AG30" s="1057">
        <f>+'[77]Richlands Pig Cost'!AB53</f>
        <v>19881605.402330641</v>
      </c>
      <c r="AH30" s="1057">
        <f>+'[77]Richlands Pig Cost'!AC53</f>
        <v>18119035.79270979</v>
      </c>
      <c r="AI30" s="1057">
        <f>+'[77]Richlands Pig Cost'!AD53</f>
        <v>17331270.842917275</v>
      </c>
      <c r="AJ30" s="1057">
        <f>+'[77]Richlands Pig Cost'!AE53</f>
        <v>21159070.779442806</v>
      </c>
      <c r="AK30" s="1057">
        <f>+'[77]Richlands Pig Cost'!AF53</f>
        <v>21735447.716420289</v>
      </c>
      <c r="AL30" s="1057">
        <f>+'[77]Richlands Pig Cost'!AG53</f>
        <v>23760128.27172637</v>
      </c>
      <c r="AM30" s="1057">
        <f>+'[77]Richlands Pig Cost'!AH53</f>
        <v>31728884.476292722</v>
      </c>
      <c r="AN30" s="1057">
        <f>+'[77]Richlands Pig Cost'!AI53</f>
        <v>33288218.327994157</v>
      </c>
      <c r="AO30" s="1057">
        <f>+'[77]Richlands Pig Cost'!AJ53</f>
        <v>32708597.202593178</v>
      </c>
      <c r="AP30" s="1057">
        <f>+'[77]Richlands Pig Cost'!AK53</f>
        <v>34496575.453510322</v>
      </c>
      <c r="AQ30" s="1057">
        <f>+'[77]Richlands Pig Cost'!AL53</f>
        <v>39757185.246729746</v>
      </c>
      <c r="AR30" s="1057">
        <f>+'[77]Richlands Pig Cost'!AM53</f>
        <v>35155985.309135824</v>
      </c>
      <c r="AS30" s="1057">
        <f>+'[77]Richlands Pig Cost'!AN53</f>
        <v>0</v>
      </c>
      <c r="AT30" s="1057">
        <f>+'[77]Richlands Pig Cost'!AO53</f>
        <v>0</v>
      </c>
      <c r="AU30" s="1057">
        <f>SUM(B30:AT30)</f>
        <v>446792458.59564173</v>
      </c>
      <c r="AV30" s="1057">
        <f>+'[76]Richlands Pig Cost'!$AU$53</f>
        <v>425258692.66822124</v>
      </c>
      <c r="AW30" s="1778">
        <f>+AU30-AV30</f>
        <v>21533765.927420497</v>
      </c>
    </row>
    <row r="31" spans="1:50" s="805" customFormat="1" ht="15.6">
      <c r="A31" s="1066" t="s">
        <v>212</v>
      </c>
      <c r="B31" s="807"/>
      <c r="C31" s="807"/>
      <c r="D31" s="807"/>
      <c r="E31" s="807"/>
      <c r="F31" s="807"/>
      <c r="G31" s="807"/>
      <c r="H31" s="807"/>
      <c r="I31" s="807"/>
      <c r="J31" s="807"/>
      <c r="K31" s="807"/>
      <c r="L31" s="807"/>
      <c r="M31" s="807"/>
      <c r="N31" s="807"/>
      <c r="O31" s="807"/>
      <c r="P31" s="807"/>
      <c r="Q31" s="807"/>
      <c r="R31" s="807"/>
      <c r="S31" s="1283">
        <f t="shared" ref="S31:AR31" si="8">-T32</f>
        <v>0</v>
      </c>
      <c r="T31" s="1283">
        <f t="shared" si="8"/>
        <v>0</v>
      </c>
      <c r="U31" s="1283">
        <f t="shared" si="8"/>
        <v>0</v>
      </c>
      <c r="V31" s="1283">
        <f t="shared" si="8"/>
        <v>30156.201926796326</v>
      </c>
      <c r="W31" s="1283">
        <f t="shared" si="8"/>
        <v>27816.237505437901</v>
      </c>
      <c r="X31" s="1283">
        <f t="shared" si="8"/>
        <v>71087.503018987816</v>
      </c>
      <c r="Y31" s="1283">
        <f t="shared" si="8"/>
        <v>0</v>
      </c>
      <c r="Z31" s="1283">
        <f t="shared" si="8"/>
        <v>0</v>
      </c>
      <c r="AA31" s="1283">
        <f t="shared" si="8"/>
        <v>0</v>
      </c>
      <c r="AB31" s="1283">
        <f t="shared" si="8"/>
        <v>0</v>
      </c>
      <c r="AC31" s="1283">
        <f t="shared" si="8"/>
        <v>252685.13570994878</v>
      </c>
      <c r="AD31" s="1283">
        <f t="shared" si="8"/>
        <v>0</v>
      </c>
      <c r="AE31" s="1283">
        <f t="shared" si="8"/>
        <v>0</v>
      </c>
      <c r="AF31" s="1283">
        <f t="shared" si="8"/>
        <v>0</v>
      </c>
      <c r="AG31" s="1283">
        <f t="shared" si="8"/>
        <v>0</v>
      </c>
      <c r="AH31" s="1283">
        <f t="shared" si="8"/>
        <v>0</v>
      </c>
      <c r="AI31" s="1283">
        <f t="shared" si="8"/>
        <v>0</v>
      </c>
      <c r="AJ31" s="1283">
        <f t="shared" si="8"/>
        <v>0</v>
      </c>
      <c r="AK31" s="1283">
        <f t="shared" si="8"/>
        <v>0</v>
      </c>
      <c r="AL31" s="1283">
        <f t="shared" si="8"/>
        <v>0</v>
      </c>
      <c r="AM31" s="1283">
        <f t="shared" si="8"/>
        <v>0</v>
      </c>
      <c r="AN31" s="1283">
        <f t="shared" si="8"/>
        <v>414032.87598219211</v>
      </c>
      <c r="AO31" s="1283">
        <f t="shared" si="8"/>
        <v>311481.49393688777</v>
      </c>
      <c r="AP31" s="1283">
        <f t="shared" si="8"/>
        <v>166000.77347277556</v>
      </c>
      <c r="AQ31" s="1283">
        <f t="shared" si="8"/>
        <v>0</v>
      </c>
      <c r="AR31" s="1283">
        <f t="shared" si="8"/>
        <v>0</v>
      </c>
      <c r="AS31" s="1283"/>
      <c r="AT31" s="1283"/>
      <c r="AU31" s="807">
        <f>SUM(B31:AT31)</f>
        <v>1273260.2215530262</v>
      </c>
      <c r="AV31" s="807"/>
      <c r="AW31" s="807"/>
    </row>
    <row r="32" spans="1:50" s="805" customFormat="1" ht="15.6">
      <c r="A32" s="1066" t="s">
        <v>1832</v>
      </c>
      <c r="B32" s="807"/>
      <c r="C32" s="807"/>
      <c r="D32" s="807"/>
      <c r="E32" s="807"/>
      <c r="F32" s="807"/>
      <c r="G32" s="807"/>
      <c r="H32" s="807"/>
      <c r="I32" s="807"/>
      <c r="J32" s="807"/>
      <c r="K32" s="807"/>
      <c r="L32" s="807"/>
      <c r="M32" s="807"/>
      <c r="N32" s="807"/>
      <c r="O32" s="807"/>
      <c r="P32" s="807"/>
      <c r="Q32" s="807"/>
      <c r="R32" s="807"/>
      <c r="S32" s="1283"/>
      <c r="T32" s="1283">
        <f>+IFERROR(T30/T8*T10,0)</f>
        <v>0</v>
      </c>
      <c r="U32" s="1283">
        <f>+IFERROR(U30/U8*U10,0)</f>
        <v>0</v>
      </c>
      <c r="V32" s="1283">
        <f>+IFERROR(V30/V8*V10,0)</f>
        <v>0</v>
      </c>
      <c r="W32" s="1283">
        <f>+IFERROR(W30/(W8+W7)*W10,0)</f>
        <v>-30156.201926796326</v>
      </c>
      <c r="X32" s="1283">
        <f t="shared" ref="X32:AS32" si="9">+IFERROR(X30/X7*X10,0)</f>
        <v>-27816.237505437901</v>
      </c>
      <c r="Y32" s="1283">
        <f t="shared" si="9"/>
        <v>-71087.503018987816</v>
      </c>
      <c r="Z32" s="1283">
        <f t="shared" si="9"/>
        <v>0</v>
      </c>
      <c r="AA32" s="1283">
        <f t="shared" si="9"/>
        <v>0</v>
      </c>
      <c r="AB32" s="1283">
        <f t="shared" si="9"/>
        <v>0</v>
      </c>
      <c r="AC32" s="1283">
        <f t="shared" si="9"/>
        <v>0</v>
      </c>
      <c r="AD32" s="1283">
        <f t="shared" si="9"/>
        <v>-252685.13570994878</v>
      </c>
      <c r="AE32" s="1283">
        <f t="shared" si="9"/>
        <v>0</v>
      </c>
      <c r="AF32" s="1283">
        <f t="shared" si="9"/>
        <v>0</v>
      </c>
      <c r="AG32" s="1283">
        <f t="shared" si="9"/>
        <v>0</v>
      </c>
      <c r="AH32" s="1283">
        <f t="shared" si="9"/>
        <v>0</v>
      </c>
      <c r="AI32" s="1283">
        <f t="shared" si="9"/>
        <v>0</v>
      </c>
      <c r="AJ32" s="1283">
        <f t="shared" si="9"/>
        <v>0</v>
      </c>
      <c r="AK32" s="1283">
        <f t="shared" si="9"/>
        <v>0</v>
      </c>
      <c r="AL32" s="1283">
        <f t="shared" si="9"/>
        <v>0</v>
      </c>
      <c r="AM32" s="1283">
        <f t="shared" si="9"/>
        <v>0</v>
      </c>
      <c r="AN32" s="1283">
        <f t="shared" si="9"/>
        <v>0</v>
      </c>
      <c r="AO32" s="1283">
        <f t="shared" si="9"/>
        <v>-414032.87598219211</v>
      </c>
      <c r="AP32" s="1283">
        <f t="shared" si="9"/>
        <v>-311481.49393688777</v>
      </c>
      <c r="AQ32" s="1283">
        <f t="shared" si="9"/>
        <v>-166000.77347277556</v>
      </c>
      <c r="AR32" s="1283">
        <f t="shared" si="9"/>
        <v>0</v>
      </c>
      <c r="AS32" s="1283">
        <f t="shared" si="9"/>
        <v>0</v>
      </c>
      <c r="AT32" s="1283"/>
      <c r="AU32" s="807">
        <f>SUM(B32:AT32)</f>
        <v>-1273260.2215530262</v>
      </c>
      <c r="AV32" s="807"/>
      <c r="AW32" s="807"/>
    </row>
    <row r="33" spans="1:52">
      <c r="A33" s="1059" t="s">
        <v>1804</v>
      </c>
      <c r="B33" s="1057">
        <f>SUM(B30:B32)</f>
        <v>0</v>
      </c>
      <c r="C33" s="1057">
        <f t="shared" ref="C33:AT33" si="10">SUM(C30:C32)</f>
        <v>0</v>
      </c>
      <c r="D33" s="1057">
        <f t="shared" si="10"/>
        <v>0</v>
      </c>
      <c r="E33" s="1057">
        <f t="shared" si="10"/>
        <v>0</v>
      </c>
      <c r="F33" s="1057">
        <f t="shared" si="10"/>
        <v>0</v>
      </c>
      <c r="G33" s="1057">
        <f t="shared" si="10"/>
        <v>874506.59089815547</v>
      </c>
      <c r="H33" s="1057">
        <f t="shared" si="10"/>
        <v>874506.59089815547</v>
      </c>
      <c r="I33" s="1057">
        <f t="shared" si="10"/>
        <v>874506.59089815547</v>
      </c>
      <c r="J33" s="1057">
        <f t="shared" si="10"/>
        <v>874506.59089815547</v>
      </c>
      <c r="K33" s="1057">
        <f t="shared" si="10"/>
        <v>1681308.0799414259</v>
      </c>
      <c r="L33" s="1057">
        <f t="shared" si="10"/>
        <v>1681308.0799414259</v>
      </c>
      <c r="M33" s="1057">
        <f t="shared" si="10"/>
        <v>1681308.0799414259</v>
      </c>
      <c r="N33" s="1057">
        <f t="shared" si="10"/>
        <v>1681308.0799414259</v>
      </c>
      <c r="O33" s="1057">
        <f t="shared" si="10"/>
        <v>2641898.6451861789</v>
      </c>
      <c r="P33" s="1057">
        <f t="shared" si="10"/>
        <v>2641898.6451861789</v>
      </c>
      <c r="Q33" s="1057">
        <f t="shared" si="10"/>
        <v>2641898.6451861789</v>
      </c>
      <c r="R33" s="1057">
        <f t="shared" si="10"/>
        <v>2641898.6451861789</v>
      </c>
      <c r="S33" s="1057">
        <f t="shared" si="10"/>
        <v>2734341.4412418129</v>
      </c>
      <c r="T33" s="1057">
        <f t="shared" si="10"/>
        <v>3538303.8165303194</v>
      </c>
      <c r="U33" s="1057">
        <f t="shared" si="10"/>
        <v>3538303.8165303194</v>
      </c>
      <c r="V33" s="1057">
        <f t="shared" si="10"/>
        <v>3568460.0184571156</v>
      </c>
      <c r="W33" s="1057">
        <f t="shared" si="10"/>
        <v>4480882.0553623615</v>
      </c>
      <c r="X33" s="1057">
        <f t="shared" si="10"/>
        <v>5615790.8457696093</v>
      </c>
      <c r="Y33" s="1057">
        <f t="shared" si="10"/>
        <v>7144294.0534082754</v>
      </c>
      <c r="Z33" s="1057">
        <f t="shared" si="10"/>
        <v>8086253.3059015647</v>
      </c>
      <c r="AA33" s="1057">
        <f t="shared" si="10"/>
        <v>7762090.9098064331</v>
      </c>
      <c r="AB33" s="1057">
        <f t="shared" si="10"/>
        <v>5775414.293903782</v>
      </c>
      <c r="AC33" s="1057">
        <f t="shared" si="10"/>
        <v>8975995.7986172251</v>
      </c>
      <c r="AD33" s="1057">
        <f t="shared" si="10"/>
        <v>9621472.4751095884</v>
      </c>
      <c r="AE33" s="1057">
        <f t="shared" si="10"/>
        <v>9696473.1450424604</v>
      </c>
      <c r="AF33" s="1057">
        <f t="shared" si="10"/>
        <v>16341524.534054631</v>
      </c>
      <c r="AG33" s="1057">
        <f t="shared" si="10"/>
        <v>19881605.402330641</v>
      </c>
      <c r="AH33" s="1057">
        <f t="shared" si="10"/>
        <v>18119035.79270979</v>
      </c>
      <c r="AI33" s="1057">
        <f t="shared" si="10"/>
        <v>17331270.842917275</v>
      </c>
      <c r="AJ33" s="1057">
        <f t="shared" si="10"/>
        <v>21159070.779442806</v>
      </c>
      <c r="AK33" s="1057">
        <f t="shared" si="10"/>
        <v>21735447.716420289</v>
      </c>
      <c r="AL33" s="1057">
        <f t="shared" si="10"/>
        <v>23760128.27172637</v>
      </c>
      <c r="AM33" s="1057">
        <f t="shared" si="10"/>
        <v>31728884.476292722</v>
      </c>
      <c r="AN33" s="1057">
        <f t="shared" si="10"/>
        <v>33702251.203976348</v>
      </c>
      <c r="AO33" s="1057">
        <f t="shared" si="10"/>
        <v>32606045.820547875</v>
      </c>
      <c r="AP33" s="1057">
        <f t="shared" si="10"/>
        <v>34351094.733046211</v>
      </c>
      <c r="AQ33" s="1057">
        <f t="shared" si="10"/>
        <v>39591184.473256968</v>
      </c>
      <c r="AR33" s="1057">
        <f t="shared" si="10"/>
        <v>35155985.309135824</v>
      </c>
      <c r="AS33" s="1057">
        <f t="shared" si="10"/>
        <v>0</v>
      </c>
      <c r="AT33" s="1057">
        <f t="shared" si="10"/>
        <v>0</v>
      </c>
      <c r="AU33" s="1057"/>
      <c r="AV33" s="1057"/>
      <c r="AW33" s="1778"/>
    </row>
    <row r="34" spans="1:52">
      <c r="A34" s="1059" t="s">
        <v>1805</v>
      </c>
      <c r="B34" s="1057"/>
      <c r="C34" s="1057"/>
      <c r="D34" s="1057"/>
      <c r="E34" s="1057"/>
      <c r="F34" s="1057"/>
      <c r="G34" s="1057"/>
      <c r="H34" s="1057"/>
      <c r="I34" s="1057"/>
      <c r="J34" s="1057"/>
      <c r="K34" s="1057"/>
      <c r="L34" s="1057"/>
      <c r="M34" s="1057"/>
      <c r="N34" s="1057"/>
      <c r="O34" s="1057"/>
      <c r="P34" s="1057"/>
      <c r="Q34" s="1057"/>
      <c r="R34" s="1057"/>
      <c r="S34" s="1057">
        <f>IFERROR(S33/S11,0)</f>
        <v>4410.2281310351818</v>
      </c>
      <c r="T34" s="1057">
        <f t="shared" ref="T34:AT34" si="11">IFERROR(T33/T11,0)</f>
        <v>5511.3766612621794</v>
      </c>
      <c r="U34" s="1057">
        <f t="shared" si="11"/>
        <v>5150.3694563760109</v>
      </c>
      <c r="V34" s="1057">
        <f t="shared" si="11"/>
        <v>5532.4961526466905</v>
      </c>
      <c r="W34" s="1057">
        <f t="shared" si="11"/>
        <v>10046.820751933546</v>
      </c>
      <c r="X34" s="1057">
        <f t="shared" si="11"/>
        <v>9297.666963194717</v>
      </c>
      <c r="Y34" s="1057">
        <f t="shared" si="11"/>
        <v>11847.917169831302</v>
      </c>
      <c r="Z34" s="1057">
        <f t="shared" si="11"/>
        <v>12694.275205496962</v>
      </c>
      <c r="AA34" s="1057">
        <f t="shared" si="11"/>
        <v>13045.530940851148</v>
      </c>
      <c r="AB34" s="1057">
        <f t="shared" si="11"/>
        <v>9181.8987184479847</v>
      </c>
      <c r="AC34" s="1057">
        <f t="shared" si="11"/>
        <v>17328.177217407771</v>
      </c>
      <c r="AD34" s="1057">
        <f t="shared" si="11"/>
        <v>19437.318131534521</v>
      </c>
      <c r="AE34" s="1057">
        <f t="shared" si="11"/>
        <v>20499.943224191247</v>
      </c>
      <c r="AF34" s="1057">
        <f t="shared" si="11"/>
        <v>32295.50303172852</v>
      </c>
      <c r="AG34" s="1057">
        <f t="shared" si="11"/>
        <v>39369.515648179484</v>
      </c>
      <c r="AH34" s="1057">
        <f t="shared" si="11"/>
        <v>39049.646104977997</v>
      </c>
      <c r="AI34" s="1057">
        <f t="shared" si="11"/>
        <v>35956.993450035843</v>
      </c>
      <c r="AJ34" s="1057">
        <f t="shared" si="11"/>
        <v>42149.543385344237</v>
      </c>
      <c r="AK34" s="1057">
        <f t="shared" si="11"/>
        <v>45000.926949110326</v>
      </c>
      <c r="AL34" s="1057">
        <f t="shared" si="11"/>
        <v>49091.174115137124</v>
      </c>
      <c r="AM34" s="1057">
        <f t="shared" si="11"/>
        <v>66239.842330464977</v>
      </c>
      <c r="AN34" s="1057">
        <f t="shared" si="11"/>
        <v>71554.67346916422</v>
      </c>
      <c r="AO34" s="1057">
        <f t="shared" si="11"/>
        <v>69080.605552008215</v>
      </c>
      <c r="AP34" s="1057">
        <f t="shared" si="11"/>
        <v>77893.638850444928</v>
      </c>
      <c r="AQ34" s="1057">
        <f t="shared" si="11"/>
        <v>83000.38673638778</v>
      </c>
      <c r="AR34" s="1057">
        <f t="shared" si="11"/>
        <v>74641.157768865873</v>
      </c>
      <c r="AS34" s="1057">
        <f t="shared" si="11"/>
        <v>0</v>
      </c>
      <c r="AT34" s="1057">
        <f t="shared" si="11"/>
        <v>0</v>
      </c>
      <c r="AU34" s="1057">
        <f t="shared" ref="AU34" si="12">AU33/AU11</f>
        <v>0</v>
      </c>
      <c r="AV34" s="1057"/>
      <c r="AW34" s="1778"/>
    </row>
    <row r="35" spans="1:52">
      <c r="B35" s="1057"/>
      <c r="C35" s="1057"/>
      <c r="D35" s="1057"/>
      <c r="E35" s="1057"/>
      <c r="F35" s="1057"/>
      <c r="G35" s="1057"/>
      <c r="H35" s="1057"/>
      <c r="I35" s="1057"/>
      <c r="J35" s="1057"/>
      <c r="K35" s="1057"/>
      <c r="L35" s="1057"/>
      <c r="M35" s="1057"/>
      <c r="N35" s="1057"/>
      <c r="O35" s="1057"/>
      <c r="P35" s="1057"/>
      <c r="Q35" s="1057"/>
      <c r="R35" s="1057"/>
      <c r="S35" s="1057"/>
      <c r="T35" s="1057"/>
      <c r="U35" s="1057"/>
      <c r="V35" s="1057"/>
      <c r="W35" s="1057"/>
      <c r="X35" s="1057"/>
      <c r="Y35" s="1057"/>
      <c r="Z35" s="1057"/>
      <c r="AA35" s="1057"/>
      <c r="AB35" s="1057"/>
      <c r="AC35" s="1057"/>
      <c r="AD35" s="1057"/>
      <c r="AE35" s="1057"/>
      <c r="AF35" s="1057"/>
      <c r="AG35" s="1057"/>
      <c r="AH35" s="1057"/>
      <c r="AI35" s="1057"/>
      <c r="AJ35" s="1057"/>
      <c r="AK35" s="1057"/>
      <c r="AL35" s="1057"/>
      <c r="AM35" s="1057"/>
      <c r="AN35" s="1057"/>
      <c r="AO35" s="1057"/>
      <c r="AP35" s="1057"/>
      <c r="AQ35" s="1057"/>
      <c r="AR35" s="1057"/>
      <c r="AS35" s="1057"/>
      <c r="AT35" s="1057"/>
      <c r="AU35" s="1057"/>
      <c r="AV35" s="1057"/>
      <c r="AW35" s="1778"/>
    </row>
    <row r="36" spans="1:52" ht="15.6">
      <c r="A36" s="1687" t="s">
        <v>1806</v>
      </c>
      <c r="B36" s="1057">
        <f t="shared" ref="B36:AT36" si="13">B33+SUM(B41:B49)</f>
        <v>0</v>
      </c>
      <c r="C36" s="1057">
        <f t="shared" si="13"/>
        <v>0</v>
      </c>
      <c r="D36" s="1057">
        <f t="shared" si="13"/>
        <v>0</v>
      </c>
      <c r="E36" s="1057">
        <f t="shared" si="13"/>
        <v>0</v>
      </c>
      <c r="F36" s="1057">
        <f t="shared" si="13"/>
        <v>0</v>
      </c>
      <c r="G36" s="1057">
        <f t="shared" si="13"/>
        <v>874506.59089815547</v>
      </c>
      <c r="H36" s="1057">
        <f t="shared" si="13"/>
        <v>874506.59089815547</v>
      </c>
      <c r="I36" s="1057">
        <f t="shared" si="13"/>
        <v>874506.59089815547</v>
      </c>
      <c r="J36" s="1057">
        <f t="shared" si="13"/>
        <v>874506.59089815547</v>
      </c>
      <c r="K36" s="1057">
        <f t="shared" si="13"/>
        <v>1681308.0799414259</v>
      </c>
      <c r="L36" s="1057">
        <f t="shared" si="13"/>
        <v>1681308.0799414259</v>
      </c>
      <c r="M36" s="1057">
        <f t="shared" si="13"/>
        <v>1681308.0799414259</v>
      </c>
      <c r="N36" s="1057">
        <f t="shared" si="13"/>
        <v>1681308.0799414259</v>
      </c>
      <c r="O36" s="1057">
        <f t="shared" si="13"/>
        <v>2641898.6451861789</v>
      </c>
      <c r="P36" s="1057">
        <f t="shared" si="13"/>
        <v>2641898.6451861789</v>
      </c>
      <c r="Q36" s="1057">
        <f t="shared" si="13"/>
        <v>2641898.6451861789</v>
      </c>
      <c r="R36" s="1057">
        <f t="shared" si="13"/>
        <v>2641898.6451861789</v>
      </c>
      <c r="S36" s="1057">
        <f t="shared" si="13"/>
        <v>2734341.4412418129</v>
      </c>
      <c r="T36" s="1057">
        <f t="shared" si="13"/>
        <v>3538303.8165303194</v>
      </c>
      <c r="U36" s="1057">
        <f t="shared" si="13"/>
        <v>3538303.8165303194</v>
      </c>
      <c r="V36" s="1057">
        <f t="shared" si="13"/>
        <v>3568460.0184571156</v>
      </c>
      <c r="W36" s="1057">
        <f t="shared" si="13"/>
        <v>4480882.0553623615</v>
      </c>
      <c r="X36" s="1057">
        <f t="shared" si="13"/>
        <v>4834786.820861253</v>
      </c>
      <c r="Y36" s="1057">
        <f t="shared" si="13"/>
        <v>6196460.6798217716</v>
      </c>
      <c r="Z36" s="1057">
        <f t="shared" si="13"/>
        <v>6359831.8779539783</v>
      </c>
      <c r="AA36" s="1057">
        <f t="shared" si="13"/>
        <v>7044586.7080596201</v>
      </c>
      <c r="AB36" s="1057">
        <f t="shared" si="13"/>
        <v>5775414.293903782</v>
      </c>
      <c r="AC36" s="1057">
        <f t="shared" si="13"/>
        <v>8733401.3175735157</v>
      </c>
      <c r="AD36" s="1057">
        <f t="shared" si="13"/>
        <v>9349350.0212681051</v>
      </c>
      <c r="AE36" s="1057">
        <f t="shared" si="13"/>
        <v>9409473.9399037827</v>
      </c>
      <c r="AF36" s="1057">
        <f t="shared" si="13"/>
        <v>15889387.491610432</v>
      </c>
      <c r="AG36" s="1057">
        <f t="shared" si="13"/>
        <v>19881605.402330641</v>
      </c>
      <c r="AH36" s="1057">
        <f t="shared" si="13"/>
        <v>18119035.79270979</v>
      </c>
      <c r="AI36" s="1057">
        <f t="shared" si="13"/>
        <v>17331270.842917275</v>
      </c>
      <c r="AJ36" s="1057">
        <f t="shared" si="13"/>
        <v>21159070.779442806</v>
      </c>
      <c r="AK36" s="1057">
        <f t="shared" si="13"/>
        <v>21735447.716420289</v>
      </c>
      <c r="AL36" s="1057">
        <f t="shared" si="13"/>
        <v>23760128.27172637</v>
      </c>
      <c r="AM36" s="1057">
        <f t="shared" si="13"/>
        <v>31728884.476292722</v>
      </c>
      <c r="AN36" s="1057">
        <f t="shared" si="13"/>
        <v>33702251.203976348</v>
      </c>
      <c r="AO36" s="1057">
        <f t="shared" si="13"/>
        <v>32606045.820547875</v>
      </c>
      <c r="AP36" s="1057">
        <f t="shared" si="13"/>
        <v>34351094.733046211</v>
      </c>
      <c r="AQ36" s="1057">
        <f t="shared" si="13"/>
        <v>39591184.473256968</v>
      </c>
      <c r="AR36" s="1057">
        <f t="shared" si="13"/>
        <v>35155985.309135824</v>
      </c>
      <c r="AS36" s="1057">
        <f t="shared" si="13"/>
        <v>0</v>
      </c>
      <c r="AT36" s="1057">
        <f t="shared" si="13"/>
        <v>0</v>
      </c>
      <c r="AU36" s="1057"/>
      <c r="AV36" s="1057"/>
      <c r="AW36" s="1778"/>
    </row>
    <row r="37" spans="1:52" ht="15.6">
      <c r="A37" s="1066" t="s">
        <v>1807</v>
      </c>
      <c r="B37" s="1779">
        <f t="shared" ref="B37:R37" si="14">B69*$B$61</f>
        <v>2759.9775784753356</v>
      </c>
      <c r="C37" s="1779">
        <f t="shared" si="14"/>
        <v>2759.9775784753356</v>
      </c>
      <c r="D37" s="1779">
        <f t="shared" si="14"/>
        <v>2759.9775784753356</v>
      </c>
      <c r="E37" s="1779">
        <f t="shared" si="14"/>
        <v>2759.9775784753356</v>
      </c>
      <c r="F37" s="1779">
        <f t="shared" si="14"/>
        <v>2539.179372197309</v>
      </c>
      <c r="G37" s="1779">
        <f t="shared" si="14"/>
        <v>2539.179372197309</v>
      </c>
      <c r="H37" s="1779">
        <f t="shared" si="14"/>
        <v>2539.179372197309</v>
      </c>
      <c r="I37" s="1779">
        <f t="shared" si="14"/>
        <v>2539.179372197309</v>
      </c>
      <c r="J37" s="1779">
        <f t="shared" si="14"/>
        <v>2539.179372197309</v>
      </c>
      <c r="K37" s="1779">
        <f t="shared" si="14"/>
        <v>2539.179372197309</v>
      </c>
      <c r="L37" s="1779">
        <f t="shared" si="14"/>
        <v>2539.179372197309</v>
      </c>
      <c r="M37" s="1779">
        <f t="shared" si="14"/>
        <v>2539.179372197309</v>
      </c>
      <c r="N37" s="1779">
        <f t="shared" si="14"/>
        <v>3091.1748878923759</v>
      </c>
      <c r="O37" s="1779">
        <f t="shared" si="14"/>
        <v>3091.1748878923759</v>
      </c>
      <c r="P37" s="1779">
        <f t="shared" si="14"/>
        <v>3091.1748878923759</v>
      </c>
      <c r="Q37" s="1779">
        <f t="shared" si="14"/>
        <v>3091.1748878923759</v>
      </c>
      <c r="R37" s="1779">
        <f t="shared" si="14"/>
        <v>5519.9551569506712</v>
      </c>
      <c r="S37" s="1780">
        <f>S69*$D$61</f>
        <v>7022.3225806451619</v>
      </c>
      <c r="T37" s="1780">
        <f>T69*$D$61</f>
        <v>12874.258064516129</v>
      </c>
      <c r="U37" s="1780">
        <f>U69*$D$61</f>
        <v>16385.419354838708</v>
      </c>
      <c r="V37" s="1781">
        <f>V69*'Feed Cost &amp; Allocation'!B76</f>
        <v>0</v>
      </c>
      <c r="W37" s="1781">
        <f>W69*'Feed Cost &amp; Allocation'!B76</f>
        <v>0</v>
      </c>
      <c r="X37" s="1739">
        <f>X69*$F$61</f>
        <v>11564.934814998756</v>
      </c>
      <c r="Y37" s="1739">
        <f>Y69*$F$61</f>
        <v>14037.046188229451</v>
      </c>
      <c r="Z37" s="1739">
        <f>Z69*$F$61</f>
        <v>20169.018996771789</v>
      </c>
      <c r="AA37" s="1782">
        <f>AA7/(AA7+AB7+AC7)*'Feed Cost &amp; Allocation'!D76</f>
        <v>14606.234817813764</v>
      </c>
      <c r="AB37" s="1782">
        <f>AB7/(AA7+AB7+AC7)*'Feed Cost &amp; Allocation'!D76</f>
        <v>15440.876807403121</v>
      </c>
      <c r="AC37" s="1782">
        <f>AC7/(AB7+AC7+AA7)*'Feed Cost &amp; Allocation'!D76</f>
        <v>12396.888374783111</v>
      </c>
      <c r="AD37" s="1783">
        <f>(AD7/(AD7+AE7))*'Feed Cost &amp; Allocation'!F76</f>
        <v>39003.111111111109</v>
      </c>
      <c r="AE37" s="1783">
        <f>'Feed Cost &amp; Allocation'!F76-AD37</f>
        <v>36315.888888888891</v>
      </c>
      <c r="AF37" s="1784">
        <f>AF7/(AF7+AG7)*'Feed Cost &amp; Allocation'!G76</f>
        <v>41243.754698318495</v>
      </c>
      <c r="AG37" s="1784">
        <f>AG7/(AF7+AG7)*'Feed Cost &amp; Allocation'!G76</f>
        <v>41162.245301681505</v>
      </c>
      <c r="AH37" s="1785">
        <f>AH7/(AH7)*'Feed Cost &amp; Allocation'!H76</f>
        <v>46217</v>
      </c>
      <c r="AI37" s="1786">
        <f>AI7/(AJ7+AI7+AK7+AL7+AM7)*'Feed Cost &amp; Allocation'!J76</f>
        <v>43832.841975308642</v>
      </c>
      <c r="AJ37" s="1786">
        <f>AJ7/(AI7+AK7+AJ7+AL7+AM7)*'Feed Cost &amp; Allocation'!J76</f>
        <v>45651.632098765433</v>
      </c>
      <c r="AK37" s="1786">
        <f>AK7/(AI7+AJ7+AL7+AK7+AM7)*'Feed Cost &amp; Allocation'!J76</f>
        <v>43923.781481481485</v>
      </c>
      <c r="AL37" s="1786">
        <f>AL7/(AI7+AJ7+AK7+AM7+AL7)*'Feed Cost &amp; Allocation'!J76</f>
        <v>44014.72098765432</v>
      </c>
      <c r="AM37" s="1786">
        <f>AM7/(AI7+AJ7+AK7+AL7+AM7)*'Feed Cost &amp; Allocation'!J76</f>
        <v>43560.023456790128</v>
      </c>
      <c r="AN37" s="807">
        <f>AO87*'Feed Cost &amp; Allocation'!$J$76</f>
        <v>0</v>
      </c>
      <c r="AO37" s="807">
        <v>0</v>
      </c>
      <c r="AP37" s="807">
        <v>0</v>
      </c>
      <c r="AQ37" s="807">
        <v>0</v>
      </c>
      <c r="AR37" s="807">
        <v>0</v>
      </c>
      <c r="AS37" s="807">
        <v>0</v>
      </c>
      <c r="AT37" s="807"/>
      <c r="AU37" s="807">
        <f>SUM(B37:AT37)</f>
        <v>598660</v>
      </c>
      <c r="AV37" s="1739">
        <f>+AU37-'Feed Cost &amp; Allocation'!Z76+'Feed Cost &amp; Allocation'!R76+'Feed Cost &amp; Allocation'!Q76+'Feed Cost &amp; Allocation'!P76-F60</f>
        <v>603710</v>
      </c>
      <c r="AW37" s="1086">
        <f>+'Feed Cost &amp; Allocation'!P76+'Feed Cost &amp; Allocation'!Q76+'Feed Cost &amp; Allocation'!R76-'Richlands Pig Cost (2)'!F60</f>
        <v>13372</v>
      </c>
    </row>
    <row r="38" spans="1:52" ht="15.6">
      <c r="A38" s="131" t="s">
        <v>1808</v>
      </c>
      <c r="B38" s="1057">
        <f>SUM(B36:B37)</f>
        <v>2759.9775784753356</v>
      </c>
      <c r="C38" s="1057">
        <f t="shared" ref="C38:AT38" si="15">SUM(C36:C37)</f>
        <v>2759.9775784753356</v>
      </c>
      <c r="D38" s="1057">
        <f t="shared" si="15"/>
        <v>2759.9775784753356</v>
      </c>
      <c r="E38" s="1057">
        <f t="shared" si="15"/>
        <v>2759.9775784753356</v>
      </c>
      <c r="F38" s="1057">
        <f t="shared" si="15"/>
        <v>2539.179372197309</v>
      </c>
      <c r="G38" s="1057">
        <f t="shared" si="15"/>
        <v>877045.77027035283</v>
      </c>
      <c r="H38" s="1057">
        <f t="shared" si="15"/>
        <v>877045.77027035283</v>
      </c>
      <c r="I38" s="1057">
        <f t="shared" si="15"/>
        <v>877045.77027035283</v>
      </c>
      <c r="J38" s="1057">
        <f t="shared" si="15"/>
        <v>877045.77027035283</v>
      </c>
      <c r="K38" s="1057">
        <f t="shared" si="15"/>
        <v>1683847.2593136232</v>
      </c>
      <c r="L38" s="1057">
        <f t="shared" si="15"/>
        <v>1683847.2593136232</v>
      </c>
      <c r="M38" s="1057">
        <f t="shared" si="15"/>
        <v>1683847.2593136232</v>
      </c>
      <c r="N38" s="1057">
        <f t="shared" si="15"/>
        <v>1684399.2548293183</v>
      </c>
      <c r="O38" s="1057">
        <f t="shared" si="15"/>
        <v>2644989.8200740712</v>
      </c>
      <c r="P38" s="1057">
        <f t="shared" si="15"/>
        <v>2644989.8200740712</v>
      </c>
      <c r="Q38" s="1057">
        <f t="shared" si="15"/>
        <v>2644989.8200740712</v>
      </c>
      <c r="R38" s="1057">
        <f t="shared" si="15"/>
        <v>2647418.6003431296</v>
      </c>
      <c r="S38" s="1057">
        <f t="shared" si="15"/>
        <v>2741363.7638224582</v>
      </c>
      <c r="T38" s="1057">
        <f t="shared" si="15"/>
        <v>3551178.0745948358</v>
      </c>
      <c r="U38" s="1057">
        <f t="shared" si="15"/>
        <v>3554689.2358851582</v>
      </c>
      <c r="V38" s="1057">
        <f t="shared" si="15"/>
        <v>3568460.0184571156</v>
      </c>
      <c r="W38" s="1057">
        <f t="shared" si="15"/>
        <v>4480882.0553623615</v>
      </c>
      <c r="X38" s="1057">
        <f t="shared" si="15"/>
        <v>4846351.7556762518</v>
      </c>
      <c r="Y38" s="1057">
        <f t="shared" si="15"/>
        <v>6210497.7260100013</v>
      </c>
      <c r="Z38" s="1057">
        <f t="shared" si="15"/>
        <v>6380000.8969507497</v>
      </c>
      <c r="AA38" s="1057">
        <f t="shared" si="15"/>
        <v>7059192.9428774342</v>
      </c>
      <c r="AB38" s="1057">
        <f t="shared" si="15"/>
        <v>5790855.1707111849</v>
      </c>
      <c r="AC38" s="1057">
        <f t="shared" si="15"/>
        <v>8745798.2059482988</v>
      </c>
      <c r="AD38" s="1057">
        <f t="shared" si="15"/>
        <v>9388353.1323792171</v>
      </c>
      <c r="AE38" s="1057">
        <f t="shared" si="15"/>
        <v>9445789.8287926707</v>
      </c>
      <c r="AF38" s="1057">
        <f t="shared" si="15"/>
        <v>15930631.246308751</v>
      </c>
      <c r="AG38" s="1057">
        <f t="shared" si="15"/>
        <v>19922767.647632323</v>
      </c>
      <c r="AH38" s="1057">
        <f t="shared" si="15"/>
        <v>18165252.79270979</v>
      </c>
      <c r="AI38" s="1057">
        <f t="shared" si="15"/>
        <v>17375103.684892584</v>
      </c>
      <c r="AJ38" s="1057">
        <f t="shared" si="15"/>
        <v>21204722.41154157</v>
      </c>
      <c r="AK38" s="1057">
        <f t="shared" si="15"/>
        <v>21779371.497901771</v>
      </c>
      <c r="AL38" s="1057">
        <f t="shared" si="15"/>
        <v>23804142.992714025</v>
      </c>
      <c r="AM38" s="1057">
        <f t="shared" si="15"/>
        <v>31772444.499749511</v>
      </c>
      <c r="AN38" s="1057">
        <f t="shared" si="15"/>
        <v>33702251.203976348</v>
      </c>
      <c r="AO38" s="1057">
        <f t="shared" si="15"/>
        <v>32606045.820547875</v>
      </c>
      <c r="AP38" s="1057">
        <f t="shared" si="15"/>
        <v>34351094.733046211</v>
      </c>
      <c r="AQ38" s="1057">
        <f t="shared" si="15"/>
        <v>39591184.473256968</v>
      </c>
      <c r="AR38" s="1057">
        <f t="shared" si="15"/>
        <v>35155985.309135824</v>
      </c>
      <c r="AS38" s="1057">
        <f t="shared" si="15"/>
        <v>0</v>
      </c>
      <c r="AT38" s="1057">
        <f t="shared" si="15"/>
        <v>0</v>
      </c>
      <c r="AU38" s="1057"/>
      <c r="AV38" s="1057"/>
      <c r="AW38" s="1057"/>
    </row>
    <row r="39" spans="1:52" ht="15.6">
      <c r="A39" s="1687" t="s">
        <v>1809</v>
      </c>
      <c r="B39" s="1057"/>
      <c r="C39" s="1057"/>
      <c r="D39" s="1057"/>
      <c r="E39" s="1057"/>
      <c r="F39" s="1057"/>
      <c r="G39" s="1057"/>
      <c r="H39" s="1057"/>
      <c r="I39" s="1057"/>
      <c r="J39" s="1057"/>
      <c r="K39" s="1057"/>
      <c r="L39" s="1057"/>
      <c r="M39" s="1057"/>
      <c r="N39" s="1057"/>
      <c r="O39" s="1057"/>
      <c r="P39" s="1057"/>
      <c r="Q39" s="1057"/>
      <c r="R39" s="1057"/>
      <c r="S39" s="1057">
        <f>IFERROR(S38/SUM(S11:S20),0)</f>
        <v>4421.5544577781584</v>
      </c>
      <c r="T39" s="1057">
        <f t="shared" ref="T39:AT39" si="16">IFERROR(T38/SUM(T11:T20),0)</f>
        <v>5531.4300227333888</v>
      </c>
      <c r="U39" s="1057">
        <f t="shared" si="16"/>
        <v>5174.2201395708271</v>
      </c>
      <c r="V39" s="1057">
        <f t="shared" si="16"/>
        <v>5532.4961526466905</v>
      </c>
      <c r="W39" s="1057">
        <f t="shared" si="16"/>
        <v>10046.820751933546</v>
      </c>
      <c r="X39" s="1057">
        <f t="shared" si="16"/>
        <v>9319.9072224543306</v>
      </c>
      <c r="Y39" s="1057">
        <f t="shared" si="16"/>
        <v>11874.756646290632</v>
      </c>
      <c r="Z39" s="1057">
        <f t="shared" si="16"/>
        <v>12734.53272844461</v>
      </c>
      <c r="AA39" s="1057">
        <f t="shared" si="16"/>
        <v>13072.5795238471</v>
      </c>
      <c r="AB39" s="1057">
        <f t="shared" si="16"/>
        <v>9206.4470122594357</v>
      </c>
      <c r="AC39" s="1057">
        <f t="shared" si="16"/>
        <v>17352.774218151386</v>
      </c>
      <c r="AD39" s="1057">
        <f t="shared" si="16"/>
        <v>19518.405680622072</v>
      </c>
      <c r="AE39" s="1057">
        <f t="shared" si="16"/>
        <v>20579.062807827169</v>
      </c>
      <c r="AF39" s="1057">
        <f t="shared" si="16"/>
        <v>32379.331801440552</v>
      </c>
      <c r="AG39" s="1057">
        <f t="shared" si="16"/>
        <v>39451.025044816481</v>
      </c>
      <c r="AH39" s="1057">
        <f t="shared" si="16"/>
        <v>39149.251708426273</v>
      </c>
      <c r="AI39" s="1057">
        <f t="shared" si="16"/>
        <v>36047.932956208679</v>
      </c>
      <c r="AJ39" s="1057">
        <f t="shared" si="16"/>
        <v>42240.482891517073</v>
      </c>
      <c r="AK39" s="1057">
        <f t="shared" si="16"/>
        <v>45091.866455283169</v>
      </c>
      <c r="AL39" s="1057">
        <f t="shared" si="16"/>
        <v>49182.113621309967</v>
      </c>
      <c r="AM39" s="1057">
        <f t="shared" si="16"/>
        <v>66330.781836637805</v>
      </c>
      <c r="AN39" s="1057">
        <f t="shared" si="16"/>
        <v>71554.67346916422</v>
      </c>
      <c r="AO39" s="1057">
        <f t="shared" si="16"/>
        <v>69080.605552008215</v>
      </c>
      <c r="AP39" s="1057">
        <f t="shared" si="16"/>
        <v>77893.638850444928</v>
      </c>
      <c r="AQ39" s="1057">
        <f t="shared" si="16"/>
        <v>83000.38673638778</v>
      </c>
      <c r="AR39" s="1057">
        <f t="shared" si="16"/>
        <v>74641.157768865873</v>
      </c>
      <c r="AS39" s="1057">
        <f t="shared" si="16"/>
        <v>0</v>
      </c>
      <c r="AT39" s="1057">
        <f t="shared" si="16"/>
        <v>0</v>
      </c>
      <c r="AU39" s="1057"/>
      <c r="AV39" s="1057"/>
      <c r="AW39" s="1057"/>
    </row>
    <row r="40" spans="1:52" ht="15.6">
      <c r="B40" s="1057"/>
      <c r="C40" s="1057"/>
      <c r="D40" s="1057"/>
      <c r="E40" s="1057"/>
      <c r="F40" s="1057"/>
      <c r="G40" s="1057"/>
      <c r="H40" s="1057"/>
      <c r="I40" s="1057"/>
      <c r="J40" s="1057"/>
      <c r="K40" s="1057"/>
      <c r="L40" s="1057"/>
      <c r="M40" s="1057"/>
      <c r="N40" s="1057"/>
      <c r="O40" s="1057"/>
      <c r="P40" s="1057"/>
      <c r="Q40" s="1057"/>
      <c r="R40" s="1057"/>
      <c r="S40" s="1068"/>
      <c r="T40" s="1068"/>
      <c r="U40" s="1068"/>
      <c r="V40" s="1068"/>
      <c r="W40" s="1068"/>
      <c r="X40" s="1068"/>
      <c r="Y40" s="1068"/>
      <c r="Z40" s="1068"/>
      <c r="AA40" s="1068"/>
      <c r="AB40" s="1068"/>
      <c r="AC40" s="1068"/>
      <c r="AD40" s="1068"/>
      <c r="AE40" s="1068"/>
      <c r="AF40" s="1068"/>
      <c r="AG40" s="1068"/>
      <c r="AH40" s="1068"/>
      <c r="AI40" s="1068"/>
      <c r="AJ40" s="1068"/>
      <c r="AK40" s="1068"/>
      <c r="AL40" s="1068"/>
      <c r="AM40" s="1068"/>
      <c r="AN40" s="1068"/>
      <c r="AO40" s="1068"/>
      <c r="AP40" s="1068"/>
      <c r="AQ40" s="1068"/>
      <c r="AR40" s="1068"/>
      <c r="AS40" s="1068"/>
      <c r="AT40" s="1068"/>
      <c r="AU40" s="1068"/>
      <c r="AV40" s="1057"/>
      <c r="AW40" s="1057"/>
    </row>
    <row r="41" spans="1:52" ht="15.6">
      <c r="A41" s="142" t="str">
        <f t="shared" ref="A41:A54" si="17">+A12</f>
        <v>Transfers Lionshead</v>
      </c>
      <c r="B41" s="1057"/>
      <c r="C41" s="1057"/>
      <c r="D41" s="1057"/>
      <c r="E41" s="1057"/>
      <c r="F41" s="1057"/>
      <c r="G41" s="1057"/>
      <c r="H41" s="1057"/>
      <c r="I41" s="1057"/>
      <c r="J41" s="1057"/>
      <c r="K41" s="1057"/>
      <c r="L41" s="1057"/>
      <c r="M41" s="1057"/>
      <c r="N41" s="1057"/>
      <c r="O41" s="1057"/>
      <c r="P41" s="1057"/>
      <c r="Q41" s="1057"/>
      <c r="R41" s="1057"/>
      <c r="S41" s="1057">
        <f t="shared" ref="S41:AT41" si="18">S12*S34</f>
        <v>0</v>
      </c>
      <c r="T41" s="1057">
        <f t="shared" si="18"/>
        <v>0</v>
      </c>
      <c r="U41" s="1057">
        <f t="shared" si="18"/>
        <v>0</v>
      </c>
      <c r="V41" s="1057">
        <f t="shared" si="18"/>
        <v>0</v>
      </c>
      <c r="W41" s="1057">
        <f t="shared" si="18"/>
        <v>0</v>
      </c>
      <c r="X41" s="1057">
        <f t="shared" si="18"/>
        <v>0</v>
      </c>
      <c r="Y41" s="1057">
        <f t="shared" si="18"/>
        <v>0</v>
      </c>
      <c r="Z41" s="1057">
        <f t="shared" si="18"/>
        <v>0</v>
      </c>
      <c r="AA41" s="1057">
        <f t="shared" si="18"/>
        <v>0</v>
      </c>
      <c r="AB41" s="1057">
        <f t="shared" si="18"/>
        <v>0</v>
      </c>
      <c r="AC41" s="1057">
        <f t="shared" si="18"/>
        <v>0</v>
      </c>
      <c r="AD41" s="1057">
        <f t="shared" si="18"/>
        <v>0</v>
      </c>
      <c r="AE41" s="1057">
        <f t="shared" si="18"/>
        <v>0</v>
      </c>
      <c r="AF41" s="1057">
        <f t="shared" si="18"/>
        <v>0</v>
      </c>
      <c r="AG41" s="1057">
        <f t="shared" si="18"/>
        <v>0</v>
      </c>
      <c r="AH41" s="1057">
        <f t="shared" si="18"/>
        <v>0</v>
      </c>
      <c r="AI41" s="1057">
        <f t="shared" si="18"/>
        <v>0</v>
      </c>
      <c r="AJ41" s="1057">
        <f t="shared" si="18"/>
        <v>0</v>
      </c>
      <c r="AK41" s="1057">
        <f t="shared" si="18"/>
        <v>0</v>
      </c>
      <c r="AL41" s="1057">
        <f t="shared" si="18"/>
        <v>0</v>
      </c>
      <c r="AM41" s="1057">
        <f t="shared" si="18"/>
        <v>0</v>
      </c>
      <c r="AN41" s="1057">
        <f t="shared" si="18"/>
        <v>0</v>
      </c>
      <c r="AO41" s="1057">
        <f t="shared" si="18"/>
        <v>0</v>
      </c>
      <c r="AP41" s="1057">
        <f t="shared" si="18"/>
        <v>0</v>
      </c>
      <c r="AQ41" s="1057">
        <f t="shared" si="18"/>
        <v>0</v>
      </c>
      <c r="AR41" s="1057">
        <f t="shared" si="18"/>
        <v>0</v>
      </c>
      <c r="AS41" s="1057">
        <f t="shared" si="18"/>
        <v>0</v>
      </c>
      <c r="AT41" s="1057">
        <f t="shared" si="18"/>
        <v>0</v>
      </c>
      <c r="AU41" s="1068">
        <f>SUM(B41:AT41)</f>
        <v>0</v>
      </c>
      <c r="AV41" s="1057"/>
      <c r="AW41" s="1057"/>
      <c r="AY41" s="817"/>
    </row>
    <row r="42" spans="1:52" ht="15.6">
      <c r="A42" s="142" t="str">
        <f t="shared" si="17"/>
        <v>Transfers Lionshead Ext.</v>
      </c>
      <c r="B42" s="1057"/>
      <c r="C42" s="1057"/>
      <c r="D42" s="1057"/>
      <c r="E42" s="1057"/>
      <c r="F42" s="1057"/>
      <c r="G42" s="1057"/>
      <c r="H42" s="1057"/>
      <c r="I42" s="1057"/>
      <c r="J42" s="1057"/>
      <c r="K42" s="1057"/>
      <c r="L42" s="1057"/>
      <c r="M42" s="1057"/>
      <c r="N42" s="1057"/>
      <c r="O42" s="1057"/>
      <c r="P42" s="1057"/>
      <c r="Q42" s="1057"/>
      <c r="R42" s="1057"/>
      <c r="S42" s="1057">
        <f t="shared" ref="S42:AT42" si="19">S13*S34</f>
        <v>0</v>
      </c>
      <c r="T42" s="1057">
        <f t="shared" si="19"/>
        <v>0</v>
      </c>
      <c r="U42" s="1057">
        <f t="shared" si="19"/>
        <v>0</v>
      </c>
      <c r="V42" s="1057">
        <f t="shared" si="19"/>
        <v>0</v>
      </c>
      <c r="W42" s="1057">
        <f t="shared" si="19"/>
        <v>0</v>
      </c>
      <c r="X42" s="1057">
        <f t="shared" si="19"/>
        <v>0</v>
      </c>
      <c r="Y42" s="1057">
        <f t="shared" si="19"/>
        <v>0</v>
      </c>
      <c r="Z42" s="1057">
        <f t="shared" si="19"/>
        <v>0</v>
      </c>
      <c r="AA42" s="1057">
        <f t="shared" si="19"/>
        <v>-652276.54704255739</v>
      </c>
      <c r="AB42" s="1057">
        <f t="shared" si="19"/>
        <v>0</v>
      </c>
      <c r="AC42" s="1057">
        <f t="shared" si="19"/>
        <v>0</v>
      </c>
      <c r="AD42" s="1057">
        <f t="shared" si="19"/>
        <v>0</v>
      </c>
      <c r="AE42" s="1057">
        <f t="shared" si="19"/>
        <v>0</v>
      </c>
      <c r="AF42" s="1057">
        <f t="shared" si="19"/>
        <v>0</v>
      </c>
      <c r="AG42" s="1057">
        <f t="shared" si="19"/>
        <v>0</v>
      </c>
      <c r="AH42" s="1057">
        <f t="shared" si="19"/>
        <v>0</v>
      </c>
      <c r="AI42" s="1057">
        <f t="shared" si="19"/>
        <v>0</v>
      </c>
      <c r="AJ42" s="1057">
        <f t="shared" si="19"/>
        <v>0</v>
      </c>
      <c r="AK42" s="1057">
        <f t="shared" si="19"/>
        <v>0</v>
      </c>
      <c r="AL42" s="1057">
        <f t="shared" si="19"/>
        <v>0</v>
      </c>
      <c r="AM42" s="1057">
        <f t="shared" si="19"/>
        <v>0</v>
      </c>
      <c r="AN42" s="1057">
        <f t="shared" si="19"/>
        <v>0</v>
      </c>
      <c r="AO42" s="1057">
        <f t="shared" si="19"/>
        <v>0</v>
      </c>
      <c r="AP42" s="1057">
        <f t="shared" si="19"/>
        <v>0</v>
      </c>
      <c r="AQ42" s="1057">
        <f t="shared" si="19"/>
        <v>0</v>
      </c>
      <c r="AR42" s="1057">
        <f t="shared" si="19"/>
        <v>0</v>
      </c>
      <c r="AS42" s="1057">
        <f t="shared" si="19"/>
        <v>0</v>
      </c>
      <c r="AT42" s="1057">
        <f t="shared" si="19"/>
        <v>0</v>
      </c>
      <c r="AU42" s="1068">
        <f t="shared" ref="AU42:AU54" si="20">SUM(B42:AT42)</f>
        <v>-652276.54704255739</v>
      </c>
      <c r="AV42" s="1057"/>
      <c r="AW42" s="1057"/>
    </row>
    <row r="43" spans="1:52" ht="15.6">
      <c r="A43" s="142" t="str">
        <f t="shared" si="17"/>
        <v>Transfer Grasmere</v>
      </c>
      <c r="B43" s="1057"/>
      <c r="C43" s="1057"/>
      <c r="D43" s="1057"/>
      <c r="E43" s="1057"/>
      <c r="F43" s="1057"/>
      <c r="G43" s="1057"/>
      <c r="H43" s="1057"/>
      <c r="I43" s="1057"/>
      <c r="J43" s="1057"/>
      <c r="K43" s="1057"/>
      <c r="L43" s="1057"/>
      <c r="M43" s="1057"/>
      <c r="N43" s="1057"/>
      <c r="O43" s="1057"/>
      <c r="P43" s="1057"/>
      <c r="Q43" s="1057"/>
      <c r="R43" s="1057"/>
      <c r="S43" s="1057">
        <f t="shared" ref="S43:AT43" si="21">S14*S34</f>
        <v>0</v>
      </c>
      <c r="T43" s="1057">
        <f t="shared" si="21"/>
        <v>0</v>
      </c>
      <c r="U43" s="1057">
        <f t="shared" si="21"/>
        <v>0</v>
      </c>
      <c r="V43" s="1057">
        <f t="shared" si="21"/>
        <v>0</v>
      </c>
      <c r="W43" s="1057">
        <f t="shared" si="21"/>
        <v>0</v>
      </c>
      <c r="X43" s="1057">
        <f t="shared" si="21"/>
        <v>0</v>
      </c>
      <c r="Y43" s="1057">
        <f t="shared" si="21"/>
        <v>0</v>
      </c>
      <c r="Z43" s="1057">
        <f t="shared" si="21"/>
        <v>0</v>
      </c>
      <c r="AA43" s="1057">
        <f t="shared" si="21"/>
        <v>0</v>
      </c>
      <c r="AB43" s="1057">
        <f t="shared" si="21"/>
        <v>0</v>
      </c>
      <c r="AC43" s="1057">
        <f t="shared" si="21"/>
        <v>0</v>
      </c>
      <c r="AD43" s="1057">
        <f t="shared" si="21"/>
        <v>0</v>
      </c>
      <c r="AE43" s="1057">
        <f t="shared" si="21"/>
        <v>0</v>
      </c>
      <c r="AF43" s="1057">
        <f t="shared" si="21"/>
        <v>0</v>
      </c>
      <c r="AG43" s="1057">
        <f t="shared" si="21"/>
        <v>0</v>
      </c>
      <c r="AH43" s="1057">
        <f t="shared" si="21"/>
        <v>0</v>
      </c>
      <c r="AI43" s="1057">
        <f t="shared" si="21"/>
        <v>0</v>
      </c>
      <c r="AJ43" s="1057">
        <f t="shared" si="21"/>
        <v>0</v>
      </c>
      <c r="AK43" s="1057">
        <f t="shared" si="21"/>
        <v>0</v>
      </c>
      <c r="AL43" s="1057">
        <f t="shared" si="21"/>
        <v>0</v>
      </c>
      <c r="AM43" s="1057">
        <f t="shared" si="21"/>
        <v>0</v>
      </c>
      <c r="AN43" s="1057">
        <f t="shared" si="21"/>
        <v>0</v>
      </c>
      <c r="AO43" s="1057">
        <f t="shared" si="21"/>
        <v>0</v>
      </c>
      <c r="AP43" s="1057">
        <f t="shared" si="21"/>
        <v>0</v>
      </c>
      <c r="AQ43" s="1057">
        <f t="shared" si="21"/>
        <v>0</v>
      </c>
      <c r="AR43" s="1057">
        <f t="shared" si="21"/>
        <v>0</v>
      </c>
      <c r="AS43" s="1057">
        <f t="shared" si="21"/>
        <v>0</v>
      </c>
      <c r="AT43" s="1057">
        <f t="shared" si="21"/>
        <v>0</v>
      </c>
      <c r="AU43" s="1068">
        <f t="shared" si="20"/>
        <v>0</v>
      </c>
      <c r="AV43" s="1057"/>
      <c r="AW43" s="1057"/>
    </row>
    <row r="44" spans="1:52" ht="20.25" customHeight="1">
      <c r="A44" s="142" t="str">
        <f t="shared" si="17"/>
        <v>Transfers Learig</v>
      </c>
      <c r="B44" s="1057"/>
      <c r="C44" s="1057"/>
      <c r="D44" s="1057"/>
      <c r="E44" s="1057"/>
      <c r="F44" s="1057"/>
      <c r="G44" s="1057"/>
      <c r="H44" s="1057"/>
      <c r="I44" s="1057"/>
      <c r="J44" s="1057"/>
      <c r="K44" s="1057"/>
      <c r="L44" s="1057"/>
      <c r="M44" s="1057"/>
      <c r="N44" s="1057"/>
      <c r="O44" s="1057"/>
      <c r="P44" s="1057"/>
      <c r="Q44" s="1057"/>
      <c r="R44" s="1057"/>
      <c r="S44" s="1057">
        <f t="shared" ref="S44:AT44" si="22">S15*S34</f>
        <v>0</v>
      </c>
      <c r="T44" s="1057">
        <f t="shared" si="22"/>
        <v>0</v>
      </c>
      <c r="U44" s="1057">
        <f t="shared" si="22"/>
        <v>0</v>
      </c>
      <c r="V44" s="1057">
        <f t="shared" si="22"/>
        <v>0</v>
      </c>
      <c r="W44" s="1057">
        <f t="shared" si="22"/>
        <v>0</v>
      </c>
      <c r="X44" s="1057">
        <f t="shared" si="22"/>
        <v>-827492.35972432978</v>
      </c>
      <c r="Y44" s="1057">
        <f t="shared" si="22"/>
        <v>-947833.37358650414</v>
      </c>
      <c r="Z44" s="1057">
        <f t="shared" si="22"/>
        <v>-1662950.051920102</v>
      </c>
      <c r="AA44" s="1057">
        <f t="shared" si="22"/>
        <v>0</v>
      </c>
      <c r="AB44" s="1057">
        <f t="shared" si="22"/>
        <v>0</v>
      </c>
      <c r="AC44" s="1057">
        <f t="shared" si="22"/>
        <v>0</v>
      </c>
      <c r="AD44" s="1057">
        <f t="shared" si="22"/>
        <v>0</v>
      </c>
      <c r="AE44" s="1057">
        <f t="shared" si="22"/>
        <v>0</v>
      </c>
      <c r="AF44" s="1057">
        <f t="shared" si="22"/>
        <v>0</v>
      </c>
      <c r="AG44" s="1057">
        <f t="shared" si="22"/>
        <v>0</v>
      </c>
      <c r="AH44" s="1057">
        <f t="shared" si="22"/>
        <v>0</v>
      </c>
      <c r="AI44" s="1057">
        <f t="shared" si="22"/>
        <v>0</v>
      </c>
      <c r="AJ44" s="1057">
        <f t="shared" si="22"/>
        <v>0</v>
      </c>
      <c r="AK44" s="1057">
        <f t="shared" si="22"/>
        <v>0</v>
      </c>
      <c r="AL44" s="1057">
        <f t="shared" si="22"/>
        <v>0</v>
      </c>
      <c r="AM44" s="1057">
        <f t="shared" si="22"/>
        <v>0</v>
      </c>
      <c r="AN44" s="1057">
        <f t="shared" si="22"/>
        <v>0</v>
      </c>
      <c r="AO44" s="1057">
        <f t="shared" si="22"/>
        <v>0</v>
      </c>
      <c r="AP44" s="1057">
        <f t="shared" si="22"/>
        <v>0</v>
      </c>
      <c r="AQ44" s="1057">
        <f t="shared" si="22"/>
        <v>0</v>
      </c>
      <c r="AR44" s="1057">
        <f t="shared" si="22"/>
        <v>0</v>
      </c>
      <c r="AS44" s="1057">
        <f t="shared" si="22"/>
        <v>0</v>
      </c>
      <c r="AT44" s="1057">
        <f t="shared" si="22"/>
        <v>0</v>
      </c>
      <c r="AU44" s="1068">
        <f t="shared" si="20"/>
        <v>-3438275.785230936</v>
      </c>
      <c r="AV44" s="1057"/>
      <c r="AW44" s="1057"/>
    </row>
    <row r="45" spans="1:52" ht="15.6">
      <c r="A45" s="142" t="str">
        <f t="shared" si="17"/>
        <v>Transfers Villa</v>
      </c>
      <c r="B45" s="1057"/>
      <c r="C45" s="1057"/>
      <c r="D45" s="1057"/>
      <c r="E45" s="1057"/>
      <c r="F45" s="1057"/>
      <c r="G45" s="1057"/>
      <c r="H45" s="1057"/>
      <c r="I45" s="1057"/>
      <c r="J45" s="1057"/>
      <c r="K45" s="1057"/>
      <c r="L45" s="1057"/>
      <c r="M45" s="1057"/>
      <c r="N45" s="1057"/>
      <c r="O45" s="1057"/>
      <c r="P45" s="1057"/>
      <c r="Q45" s="1057"/>
      <c r="R45" s="1057"/>
      <c r="S45" s="1057">
        <f t="shared" ref="S45:AT45" si="23">S16*S34</f>
        <v>0</v>
      </c>
      <c r="T45" s="1057">
        <f t="shared" si="23"/>
        <v>0</v>
      </c>
      <c r="U45" s="1057">
        <f t="shared" si="23"/>
        <v>0</v>
      </c>
      <c r="V45" s="1057">
        <f t="shared" si="23"/>
        <v>0</v>
      </c>
      <c r="W45" s="1057">
        <f t="shared" si="23"/>
        <v>0</v>
      </c>
      <c r="X45" s="1057">
        <f t="shared" si="23"/>
        <v>0</v>
      </c>
      <c r="Y45" s="1057">
        <f t="shared" si="23"/>
        <v>0</v>
      </c>
      <c r="Z45" s="1057">
        <f t="shared" si="23"/>
        <v>-63471.37602748481</v>
      </c>
      <c r="AA45" s="1057">
        <f t="shared" si="23"/>
        <v>-65227.654704255736</v>
      </c>
      <c r="AB45" s="1057">
        <f t="shared" si="23"/>
        <v>0</v>
      </c>
      <c r="AC45" s="1057">
        <f t="shared" si="23"/>
        <v>0</v>
      </c>
      <c r="AD45" s="1057">
        <f t="shared" si="23"/>
        <v>0</v>
      </c>
      <c r="AE45" s="1057">
        <f t="shared" si="23"/>
        <v>0</v>
      </c>
      <c r="AF45" s="1057">
        <f t="shared" si="23"/>
        <v>0</v>
      </c>
      <c r="AG45" s="1057">
        <f t="shared" si="23"/>
        <v>0</v>
      </c>
      <c r="AH45" s="1057">
        <f t="shared" si="23"/>
        <v>0</v>
      </c>
      <c r="AI45" s="1057">
        <f t="shared" si="23"/>
        <v>0</v>
      </c>
      <c r="AJ45" s="1057">
        <f t="shared" si="23"/>
        <v>0</v>
      </c>
      <c r="AK45" s="1057">
        <f t="shared" si="23"/>
        <v>0</v>
      </c>
      <c r="AL45" s="1057">
        <f t="shared" si="23"/>
        <v>0</v>
      </c>
      <c r="AM45" s="1057">
        <f t="shared" si="23"/>
        <v>0</v>
      </c>
      <c r="AN45" s="1057">
        <f t="shared" si="23"/>
        <v>0</v>
      </c>
      <c r="AO45" s="1057">
        <f t="shared" si="23"/>
        <v>0</v>
      </c>
      <c r="AP45" s="1057">
        <f t="shared" si="23"/>
        <v>0</v>
      </c>
      <c r="AQ45" s="1057">
        <f t="shared" si="23"/>
        <v>0</v>
      </c>
      <c r="AR45" s="1057">
        <f t="shared" si="23"/>
        <v>0</v>
      </c>
      <c r="AS45" s="1057">
        <f t="shared" si="23"/>
        <v>0</v>
      </c>
      <c r="AT45" s="1057">
        <f t="shared" si="23"/>
        <v>0</v>
      </c>
      <c r="AU45" s="1068">
        <f t="shared" si="20"/>
        <v>-128699.03073174055</v>
      </c>
      <c r="AV45" s="1057"/>
      <c r="AW45" s="1057"/>
    </row>
    <row r="46" spans="1:52" ht="15.6">
      <c r="A46" s="142" t="str">
        <f t="shared" si="17"/>
        <v>Transfers  Boars</v>
      </c>
      <c r="B46" s="1057"/>
      <c r="C46" s="1057"/>
      <c r="D46" s="1057"/>
      <c r="E46" s="1057"/>
      <c r="F46" s="1057"/>
      <c r="G46" s="1057"/>
      <c r="H46" s="1057"/>
      <c r="I46" s="1057"/>
      <c r="J46" s="1057"/>
      <c r="K46" s="1057"/>
      <c r="L46" s="1057"/>
      <c r="M46" s="1057"/>
      <c r="N46" s="1057"/>
      <c r="O46" s="1057"/>
      <c r="P46" s="1057"/>
      <c r="Q46" s="1057"/>
      <c r="R46" s="1057"/>
      <c r="S46" s="1057">
        <f t="shared" ref="S46:AT46" si="24">S17*S34</f>
        <v>0</v>
      </c>
      <c r="T46" s="1057">
        <f t="shared" si="24"/>
        <v>0</v>
      </c>
      <c r="U46" s="1057">
        <f t="shared" si="24"/>
        <v>0</v>
      </c>
      <c r="V46" s="1057">
        <f t="shared" si="24"/>
        <v>0</v>
      </c>
      <c r="W46" s="1057">
        <f t="shared" si="24"/>
        <v>0</v>
      </c>
      <c r="X46" s="1057">
        <f t="shared" si="24"/>
        <v>0</v>
      </c>
      <c r="Y46" s="1057">
        <f t="shared" si="24"/>
        <v>0</v>
      </c>
      <c r="Z46" s="1057">
        <f t="shared" si="24"/>
        <v>0</v>
      </c>
      <c r="AA46" s="1057">
        <f t="shared" si="24"/>
        <v>0</v>
      </c>
      <c r="AB46" s="1057">
        <f t="shared" si="24"/>
        <v>0</v>
      </c>
      <c r="AC46" s="1057">
        <f t="shared" si="24"/>
        <v>0</v>
      </c>
      <c r="AD46" s="1057">
        <f t="shared" si="24"/>
        <v>0</v>
      </c>
      <c r="AE46" s="1057">
        <f t="shared" si="24"/>
        <v>0</v>
      </c>
      <c r="AF46" s="1057">
        <f t="shared" si="24"/>
        <v>0</v>
      </c>
      <c r="AG46" s="1057">
        <f t="shared" si="24"/>
        <v>0</v>
      </c>
      <c r="AH46" s="1057">
        <f t="shared" si="24"/>
        <v>0</v>
      </c>
      <c r="AI46" s="1057">
        <f t="shared" si="24"/>
        <v>0</v>
      </c>
      <c r="AJ46" s="1057">
        <f t="shared" si="24"/>
        <v>0</v>
      </c>
      <c r="AK46" s="1057">
        <f t="shared" si="24"/>
        <v>0</v>
      </c>
      <c r="AL46" s="1057">
        <f t="shared" si="24"/>
        <v>0</v>
      </c>
      <c r="AM46" s="1057">
        <f t="shared" si="24"/>
        <v>0</v>
      </c>
      <c r="AN46" s="1057">
        <f t="shared" si="24"/>
        <v>0</v>
      </c>
      <c r="AO46" s="1057">
        <f t="shared" si="24"/>
        <v>0</v>
      </c>
      <c r="AP46" s="1057">
        <f t="shared" si="24"/>
        <v>0</v>
      </c>
      <c r="AQ46" s="1057">
        <f t="shared" si="24"/>
        <v>0</v>
      </c>
      <c r="AR46" s="1057">
        <f t="shared" si="24"/>
        <v>0</v>
      </c>
      <c r="AS46" s="1057">
        <f t="shared" si="24"/>
        <v>0</v>
      </c>
      <c r="AT46" s="1057">
        <f t="shared" si="24"/>
        <v>0</v>
      </c>
      <c r="AU46" s="1068">
        <f t="shared" si="20"/>
        <v>0</v>
      </c>
      <c r="AV46" s="1057"/>
      <c r="AW46" s="1057"/>
    </row>
    <row r="47" spans="1:52" ht="15.6">
      <c r="A47" s="142" t="str">
        <f t="shared" si="17"/>
        <v>Transfers Grower</v>
      </c>
      <c r="B47" s="1057"/>
      <c r="C47" s="1057"/>
      <c r="D47" s="1057"/>
      <c r="E47" s="1057"/>
      <c r="F47" s="1057"/>
      <c r="G47" s="1057"/>
      <c r="H47" s="1057"/>
      <c r="I47" s="1057"/>
      <c r="J47" s="1057"/>
      <c r="K47" s="1057"/>
      <c r="L47" s="1057"/>
      <c r="M47" s="1057"/>
      <c r="N47" s="1057"/>
      <c r="O47" s="1057"/>
      <c r="P47" s="1057"/>
      <c r="Q47" s="1057"/>
      <c r="R47" s="1057"/>
      <c r="S47" s="1057">
        <f t="shared" ref="S47:AT47" si="25">S18*S34</f>
        <v>0</v>
      </c>
      <c r="T47" s="1057">
        <f t="shared" si="25"/>
        <v>0</v>
      </c>
      <c r="U47" s="1057">
        <f t="shared" si="25"/>
        <v>0</v>
      </c>
      <c r="V47" s="1057">
        <f t="shared" si="25"/>
        <v>0</v>
      </c>
      <c r="W47" s="1057">
        <f t="shared" si="25"/>
        <v>0</v>
      </c>
      <c r="X47" s="1057">
        <f t="shared" si="25"/>
        <v>46488.334815973583</v>
      </c>
      <c r="Y47" s="1057">
        <f t="shared" si="25"/>
        <v>0</v>
      </c>
      <c r="Z47" s="1057">
        <f t="shared" si="25"/>
        <v>0</v>
      </c>
      <c r="AA47" s="1057">
        <f t="shared" si="25"/>
        <v>0</v>
      </c>
      <c r="AB47" s="1057">
        <f t="shared" si="25"/>
        <v>0</v>
      </c>
      <c r="AC47" s="1057">
        <f t="shared" si="25"/>
        <v>0</v>
      </c>
      <c r="AD47" s="1057">
        <f t="shared" si="25"/>
        <v>0</v>
      </c>
      <c r="AE47" s="1057">
        <f t="shared" si="25"/>
        <v>0</v>
      </c>
      <c r="AF47" s="1057">
        <f t="shared" si="25"/>
        <v>0</v>
      </c>
      <c r="AG47" s="1057">
        <f t="shared" si="25"/>
        <v>0</v>
      </c>
      <c r="AH47" s="1057">
        <f t="shared" si="25"/>
        <v>0</v>
      </c>
      <c r="AI47" s="1057">
        <f t="shared" si="25"/>
        <v>0</v>
      </c>
      <c r="AJ47" s="1057">
        <f t="shared" si="25"/>
        <v>0</v>
      </c>
      <c r="AK47" s="1057">
        <f t="shared" si="25"/>
        <v>0</v>
      </c>
      <c r="AL47" s="1057">
        <f t="shared" si="25"/>
        <v>0</v>
      </c>
      <c r="AM47" s="1057">
        <f t="shared" si="25"/>
        <v>0</v>
      </c>
      <c r="AN47" s="1057">
        <f t="shared" si="25"/>
        <v>0</v>
      </c>
      <c r="AO47" s="1057">
        <f t="shared" si="25"/>
        <v>0</v>
      </c>
      <c r="AP47" s="1057">
        <f t="shared" si="25"/>
        <v>0</v>
      </c>
      <c r="AQ47" s="1057">
        <f t="shared" si="25"/>
        <v>0</v>
      </c>
      <c r="AR47" s="1057">
        <f t="shared" si="25"/>
        <v>0</v>
      </c>
      <c r="AS47" s="1057">
        <f t="shared" si="25"/>
        <v>0</v>
      </c>
      <c r="AT47" s="1057">
        <f t="shared" si="25"/>
        <v>0</v>
      </c>
      <c r="AU47" s="1068">
        <f t="shared" si="20"/>
        <v>46488.334815973583</v>
      </c>
      <c r="AV47" s="1057"/>
      <c r="AW47" s="1057"/>
      <c r="AZ47" s="817">
        <f>+AU47+'Villa Pig Cost'!AU54</f>
        <v>46488.334815973583</v>
      </c>
    </row>
    <row r="48" spans="1:52" ht="15.6">
      <c r="A48" s="142" t="str">
        <f t="shared" si="17"/>
        <v>Transfer to Sick Block</v>
      </c>
      <c r="B48" s="1057"/>
      <c r="C48" s="1057"/>
      <c r="D48" s="1057"/>
      <c r="E48" s="1057"/>
      <c r="F48" s="1057"/>
      <c r="G48" s="1057"/>
      <c r="H48" s="1057"/>
      <c r="I48" s="1057"/>
      <c r="J48" s="1057"/>
      <c r="K48" s="1057"/>
      <c r="L48" s="1057"/>
      <c r="M48" s="1057"/>
      <c r="N48" s="1057"/>
      <c r="O48" s="1057"/>
      <c r="P48" s="1057"/>
      <c r="Q48" s="1057"/>
      <c r="R48" s="1057"/>
      <c r="S48" s="1057">
        <f t="shared" ref="S48:AT48" si="26">S19*S34</f>
        <v>0</v>
      </c>
      <c r="T48" s="1057">
        <f t="shared" si="26"/>
        <v>0</v>
      </c>
      <c r="U48" s="1057">
        <f t="shared" si="26"/>
        <v>0</v>
      </c>
      <c r="V48" s="1057">
        <f t="shared" si="26"/>
        <v>0</v>
      </c>
      <c r="W48" s="1057">
        <f t="shared" si="26"/>
        <v>0</v>
      </c>
      <c r="X48" s="1057">
        <f t="shared" si="26"/>
        <v>0</v>
      </c>
      <c r="Y48" s="1057">
        <f t="shared" si="26"/>
        <v>0</v>
      </c>
      <c r="Z48" s="1057">
        <f t="shared" si="26"/>
        <v>0</v>
      </c>
      <c r="AA48" s="1057">
        <f t="shared" si="26"/>
        <v>0</v>
      </c>
      <c r="AB48" s="1057">
        <f t="shared" si="26"/>
        <v>0</v>
      </c>
      <c r="AC48" s="1057">
        <f t="shared" si="26"/>
        <v>0</v>
      </c>
      <c r="AD48" s="1057">
        <f t="shared" si="26"/>
        <v>0</v>
      </c>
      <c r="AE48" s="1057">
        <f t="shared" si="26"/>
        <v>0</v>
      </c>
      <c r="AF48" s="1057">
        <f t="shared" si="26"/>
        <v>0</v>
      </c>
      <c r="AG48" s="1057">
        <f t="shared" si="26"/>
        <v>0</v>
      </c>
      <c r="AH48" s="1057">
        <f t="shared" si="26"/>
        <v>0</v>
      </c>
      <c r="AI48" s="1057">
        <f t="shared" si="26"/>
        <v>0</v>
      </c>
      <c r="AJ48" s="1057">
        <f t="shared" si="26"/>
        <v>0</v>
      </c>
      <c r="AK48" s="1057">
        <f t="shared" si="26"/>
        <v>0</v>
      </c>
      <c r="AL48" s="1057">
        <f t="shared" si="26"/>
        <v>0</v>
      </c>
      <c r="AM48" s="1057">
        <f t="shared" si="26"/>
        <v>0</v>
      </c>
      <c r="AN48" s="1057">
        <f t="shared" si="26"/>
        <v>0</v>
      </c>
      <c r="AO48" s="1057">
        <f t="shared" si="26"/>
        <v>0</v>
      </c>
      <c r="AP48" s="1057">
        <f t="shared" si="26"/>
        <v>0</v>
      </c>
      <c r="AQ48" s="1057">
        <f t="shared" si="26"/>
        <v>0</v>
      </c>
      <c r="AR48" s="1057">
        <f t="shared" si="26"/>
        <v>0</v>
      </c>
      <c r="AS48" s="1057">
        <f t="shared" si="26"/>
        <v>0</v>
      </c>
      <c r="AT48" s="1057">
        <f t="shared" si="26"/>
        <v>0</v>
      </c>
      <c r="AU48" s="1068">
        <f t="shared" si="20"/>
        <v>0</v>
      </c>
      <c r="AV48" s="1057"/>
      <c r="AW48" s="1057"/>
      <c r="AZ48" s="817"/>
    </row>
    <row r="49" spans="1:50" ht="15.6">
      <c r="A49" s="142" t="str">
        <f t="shared" si="17"/>
        <v>Transfers Gilts</v>
      </c>
      <c r="B49" s="1057"/>
      <c r="C49" s="1057"/>
      <c r="D49" s="1057"/>
      <c r="E49" s="1057"/>
      <c r="F49" s="1057"/>
      <c r="G49" s="1057"/>
      <c r="H49" s="1057"/>
      <c r="I49" s="1057"/>
      <c r="J49" s="1057"/>
      <c r="K49" s="1057"/>
      <c r="L49" s="1057"/>
      <c r="M49" s="1057"/>
      <c r="N49" s="1057"/>
      <c r="O49" s="1057"/>
      <c r="P49" s="1057"/>
      <c r="Q49" s="1057"/>
      <c r="R49" s="1057"/>
      <c r="S49" s="1057">
        <f t="shared" ref="S49:AT49" si="27">S20*S34</f>
        <v>0</v>
      </c>
      <c r="T49" s="1057">
        <f t="shared" si="27"/>
        <v>0</v>
      </c>
      <c r="U49" s="1057">
        <f t="shared" si="27"/>
        <v>0</v>
      </c>
      <c r="V49" s="1057">
        <f t="shared" si="27"/>
        <v>0</v>
      </c>
      <c r="W49" s="1057">
        <f t="shared" si="27"/>
        <v>0</v>
      </c>
      <c r="X49" s="1057">
        <f t="shared" si="27"/>
        <v>0</v>
      </c>
      <c r="Y49" s="1057">
        <f t="shared" si="27"/>
        <v>0</v>
      </c>
      <c r="Z49" s="1057">
        <f t="shared" si="27"/>
        <v>0</v>
      </c>
      <c r="AA49" s="1057">
        <f t="shared" si="27"/>
        <v>0</v>
      </c>
      <c r="AB49" s="1057">
        <f t="shared" si="27"/>
        <v>0</v>
      </c>
      <c r="AC49" s="1057">
        <f t="shared" si="27"/>
        <v>-242594.4810437088</v>
      </c>
      <c r="AD49" s="1057">
        <f t="shared" si="27"/>
        <v>-272122.45384148328</v>
      </c>
      <c r="AE49" s="1057">
        <f t="shared" si="27"/>
        <v>-286999.20513867744</v>
      </c>
      <c r="AF49" s="1057">
        <f t="shared" si="27"/>
        <v>-452137.04244419927</v>
      </c>
      <c r="AG49" s="1057">
        <f t="shared" si="27"/>
        <v>0</v>
      </c>
      <c r="AH49" s="1057">
        <f t="shared" si="27"/>
        <v>0</v>
      </c>
      <c r="AI49" s="1057">
        <f t="shared" si="27"/>
        <v>0</v>
      </c>
      <c r="AJ49" s="1057">
        <f t="shared" si="27"/>
        <v>0</v>
      </c>
      <c r="AK49" s="1057">
        <f t="shared" si="27"/>
        <v>0</v>
      </c>
      <c r="AL49" s="1057">
        <f t="shared" si="27"/>
        <v>0</v>
      </c>
      <c r="AM49" s="1057">
        <f t="shared" si="27"/>
        <v>0</v>
      </c>
      <c r="AN49" s="1057">
        <f t="shared" si="27"/>
        <v>0</v>
      </c>
      <c r="AO49" s="1057">
        <f t="shared" si="27"/>
        <v>0</v>
      </c>
      <c r="AP49" s="1057">
        <f t="shared" si="27"/>
        <v>0</v>
      </c>
      <c r="AQ49" s="1057">
        <f t="shared" si="27"/>
        <v>0</v>
      </c>
      <c r="AR49" s="1057">
        <f t="shared" si="27"/>
        <v>0</v>
      </c>
      <c r="AS49" s="1057">
        <f t="shared" si="27"/>
        <v>0</v>
      </c>
      <c r="AT49" s="1057">
        <f t="shared" si="27"/>
        <v>0</v>
      </c>
      <c r="AU49" s="1068">
        <f t="shared" si="20"/>
        <v>-1253853.1824680688</v>
      </c>
      <c r="AV49" s="1057"/>
      <c r="AW49" s="1057"/>
    </row>
    <row r="50" spans="1:50" ht="15.6">
      <c r="A50" s="142" t="str">
        <f t="shared" si="17"/>
        <v>Mortality</v>
      </c>
      <c r="B50" s="1057"/>
      <c r="C50" s="1057"/>
      <c r="D50" s="1057"/>
      <c r="E50" s="1057"/>
      <c r="F50" s="1057"/>
      <c r="G50" s="1057"/>
      <c r="H50" s="1057"/>
      <c r="I50" s="1057"/>
      <c r="J50" s="1057"/>
      <c r="K50" s="1057"/>
      <c r="L50" s="1057"/>
      <c r="M50" s="1057"/>
      <c r="N50" s="1057"/>
      <c r="O50" s="1057"/>
      <c r="P50" s="1057"/>
      <c r="Q50" s="1057"/>
      <c r="R50" s="1057"/>
      <c r="S50" s="1057">
        <f t="shared" ref="S50:AT50" si="28">S21*S39</f>
        <v>-84009.534697785013</v>
      </c>
      <c r="T50" s="1057">
        <f t="shared" si="28"/>
        <v>-182537.19075020184</v>
      </c>
      <c r="U50" s="1057">
        <f t="shared" si="28"/>
        <v>-258711.00697854135</v>
      </c>
      <c r="V50" s="1057">
        <f t="shared" si="28"/>
        <v>-276624.80763233453</v>
      </c>
      <c r="W50" s="1057">
        <f t="shared" si="28"/>
        <v>-361685.54706960765</v>
      </c>
      <c r="X50" s="1057">
        <f t="shared" si="28"/>
        <v>-167758.33000417796</v>
      </c>
      <c r="Y50" s="1057">
        <f t="shared" si="28"/>
        <v>-71248.539877743795</v>
      </c>
      <c r="Z50" s="1057">
        <f t="shared" si="28"/>
        <v>-89141.729099112272</v>
      </c>
      <c r="AA50" s="1057">
        <f t="shared" si="28"/>
        <v>-26145.1590476942</v>
      </c>
      <c r="AB50" s="1057">
        <f t="shared" si="28"/>
        <v>-18412.894024518871</v>
      </c>
      <c r="AC50" s="1057">
        <f t="shared" si="28"/>
        <v>0</v>
      </c>
      <c r="AD50" s="1057">
        <f t="shared" si="28"/>
        <v>-292776.08520933107</v>
      </c>
      <c r="AE50" s="1057">
        <f t="shared" si="28"/>
        <v>-41158.125615654339</v>
      </c>
      <c r="AF50" s="1057">
        <f t="shared" si="28"/>
        <v>-64758.663602881104</v>
      </c>
      <c r="AG50" s="1057">
        <f t="shared" si="28"/>
        <v>-39451.025044816481</v>
      </c>
      <c r="AH50" s="1057">
        <f t="shared" si="28"/>
        <v>-39149.251708426273</v>
      </c>
      <c r="AI50" s="1057">
        <f t="shared" si="28"/>
        <v>-216287.59773725207</v>
      </c>
      <c r="AJ50" s="1057">
        <f t="shared" si="28"/>
        <v>-84480.965783034146</v>
      </c>
      <c r="AK50" s="1057">
        <f t="shared" si="28"/>
        <v>-135275.59936584951</v>
      </c>
      <c r="AL50" s="1057">
        <f t="shared" si="28"/>
        <v>-49182.113621309967</v>
      </c>
      <c r="AM50" s="1057">
        <f t="shared" si="28"/>
        <v>-132661.56367327561</v>
      </c>
      <c r="AN50" s="1057">
        <f t="shared" si="28"/>
        <v>-715546.73469164222</v>
      </c>
      <c r="AO50" s="1057">
        <f t="shared" si="28"/>
        <v>-207241.81665602466</v>
      </c>
      <c r="AP50" s="1057">
        <f t="shared" si="28"/>
        <v>-155787.27770088986</v>
      </c>
      <c r="AQ50" s="1057">
        <f t="shared" si="28"/>
        <v>0</v>
      </c>
      <c r="AR50" s="1057">
        <f t="shared" si="28"/>
        <v>0</v>
      </c>
      <c r="AS50" s="1057">
        <f t="shared" si="28"/>
        <v>0</v>
      </c>
      <c r="AT50" s="1057">
        <f t="shared" si="28"/>
        <v>0</v>
      </c>
      <c r="AU50" s="1068">
        <f t="shared" si="20"/>
        <v>-3710031.5595921045</v>
      </c>
      <c r="AV50" s="1057"/>
      <c r="AW50" s="1057"/>
    </row>
    <row r="51" spans="1:50" ht="15.6">
      <c r="A51" s="142" t="str">
        <f t="shared" si="17"/>
        <v>Rations</v>
      </c>
      <c r="B51" s="1057"/>
      <c r="C51" s="1057"/>
      <c r="D51" s="1057"/>
      <c r="E51" s="1057"/>
      <c r="F51" s="1057"/>
      <c r="G51" s="1057"/>
      <c r="H51" s="1057"/>
      <c r="I51" s="1057"/>
      <c r="J51" s="1057"/>
      <c r="K51" s="1057"/>
      <c r="L51" s="1057"/>
      <c r="M51" s="1057"/>
      <c r="N51" s="1057"/>
      <c r="O51" s="1057"/>
      <c r="P51" s="1057"/>
      <c r="Q51" s="1057"/>
      <c r="R51" s="1057"/>
      <c r="S51" s="1057">
        <f t="shared" ref="S51:AT51" si="29">S22*S39</f>
        <v>0</v>
      </c>
      <c r="T51" s="1057">
        <f t="shared" si="29"/>
        <v>0</v>
      </c>
      <c r="U51" s="1057">
        <f t="shared" si="29"/>
        <v>0</v>
      </c>
      <c r="V51" s="1057">
        <f t="shared" si="29"/>
        <v>0</v>
      </c>
      <c r="W51" s="1057">
        <f t="shared" si="29"/>
        <v>0</v>
      </c>
      <c r="X51" s="1057">
        <f t="shared" si="29"/>
        <v>0</v>
      </c>
      <c r="Y51" s="1057">
        <f t="shared" si="29"/>
        <v>0</v>
      </c>
      <c r="Z51" s="1057">
        <f t="shared" si="29"/>
        <v>0</v>
      </c>
      <c r="AA51" s="1057">
        <f t="shared" si="29"/>
        <v>0</v>
      </c>
      <c r="AB51" s="1057">
        <f t="shared" si="29"/>
        <v>0</v>
      </c>
      <c r="AC51" s="1057">
        <f t="shared" si="29"/>
        <v>0</v>
      </c>
      <c r="AD51" s="1057">
        <f t="shared" si="29"/>
        <v>0</v>
      </c>
      <c r="AE51" s="1057">
        <f t="shared" si="29"/>
        <v>0</v>
      </c>
      <c r="AF51" s="1057">
        <f t="shared" si="29"/>
        <v>0</v>
      </c>
      <c r="AG51" s="1057">
        <f t="shared" si="29"/>
        <v>0</v>
      </c>
      <c r="AH51" s="1057">
        <f t="shared" si="29"/>
        <v>0</v>
      </c>
      <c r="AI51" s="1057">
        <f t="shared" si="29"/>
        <v>0</v>
      </c>
      <c r="AJ51" s="1057">
        <f t="shared" si="29"/>
        <v>0</v>
      </c>
      <c r="AK51" s="1057">
        <f t="shared" si="29"/>
        <v>0</v>
      </c>
      <c r="AL51" s="1057">
        <f t="shared" si="29"/>
        <v>0</v>
      </c>
      <c r="AM51" s="1057">
        <f t="shared" si="29"/>
        <v>-66330.781836637805</v>
      </c>
      <c r="AN51" s="1057">
        <f t="shared" si="29"/>
        <v>-143109.34693832844</v>
      </c>
      <c r="AO51" s="1057">
        <f t="shared" si="29"/>
        <v>-138161.21110401643</v>
      </c>
      <c r="AP51" s="1057">
        <f t="shared" si="29"/>
        <v>-155787.27770088986</v>
      </c>
      <c r="AQ51" s="1057">
        <f t="shared" si="29"/>
        <v>0</v>
      </c>
      <c r="AR51" s="1057">
        <f t="shared" si="29"/>
        <v>0</v>
      </c>
      <c r="AS51" s="1057">
        <f t="shared" si="29"/>
        <v>0</v>
      </c>
      <c r="AT51" s="1057">
        <f t="shared" si="29"/>
        <v>0</v>
      </c>
      <c r="AU51" s="1068">
        <f t="shared" si="20"/>
        <v>-503388.61757987249</v>
      </c>
      <c r="AV51" s="1057"/>
      <c r="AW51" s="1057"/>
    </row>
    <row r="52" spans="1:50" ht="15.6">
      <c r="A52" s="142" t="str">
        <f t="shared" si="17"/>
        <v>Pet Food</v>
      </c>
      <c r="B52" s="1057"/>
      <c r="C52" s="1057"/>
      <c r="D52" s="1057"/>
      <c r="E52" s="1057"/>
      <c r="F52" s="1057"/>
      <c r="G52" s="1057"/>
      <c r="H52" s="1057"/>
      <c r="I52" s="1057"/>
      <c r="J52" s="1057"/>
      <c r="K52" s="1057"/>
      <c r="L52" s="1057"/>
      <c r="M52" s="1057"/>
      <c r="N52" s="1057"/>
      <c r="O52" s="1057"/>
      <c r="P52" s="1057"/>
      <c r="Q52" s="1057"/>
      <c r="R52" s="1057"/>
      <c r="S52" s="1057">
        <f t="shared" ref="S52:AT52" si="30">S23*S39</f>
        <v>0</v>
      </c>
      <c r="T52" s="1057">
        <f t="shared" si="30"/>
        <v>0</v>
      </c>
      <c r="U52" s="1057">
        <f t="shared" si="30"/>
        <v>0</v>
      </c>
      <c r="V52" s="1057">
        <f t="shared" si="30"/>
        <v>0</v>
      </c>
      <c r="W52" s="1057">
        <f t="shared" si="30"/>
        <v>0</v>
      </c>
      <c r="X52" s="1057">
        <f t="shared" si="30"/>
        <v>0</v>
      </c>
      <c r="Y52" s="1057">
        <f t="shared" si="30"/>
        <v>0</v>
      </c>
      <c r="Z52" s="1057">
        <f t="shared" si="30"/>
        <v>0</v>
      </c>
      <c r="AA52" s="1057">
        <f t="shared" si="30"/>
        <v>0</v>
      </c>
      <c r="AB52" s="1057">
        <f t="shared" si="30"/>
        <v>0</v>
      </c>
      <c r="AC52" s="1057">
        <f t="shared" si="30"/>
        <v>0</v>
      </c>
      <c r="AD52" s="1057">
        <f t="shared" si="30"/>
        <v>0</v>
      </c>
      <c r="AE52" s="1057">
        <f t="shared" si="30"/>
        <v>0</v>
      </c>
      <c r="AF52" s="1057">
        <f t="shared" si="30"/>
        <v>0</v>
      </c>
      <c r="AG52" s="1057">
        <f t="shared" si="30"/>
        <v>0</v>
      </c>
      <c r="AH52" s="1057">
        <f t="shared" si="30"/>
        <v>0</v>
      </c>
      <c r="AI52" s="1057">
        <f t="shared" si="30"/>
        <v>0</v>
      </c>
      <c r="AJ52" s="1057">
        <f t="shared" si="30"/>
        <v>0</v>
      </c>
      <c r="AK52" s="1057">
        <f t="shared" si="30"/>
        <v>0</v>
      </c>
      <c r="AL52" s="1057">
        <f t="shared" si="30"/>
        <v>0</v>
      </c>
      <c r="AM52" s="1057">
        <f t="shared" si="30"/>
        <v>0</v>
      </c>
      <c r="AN52" s="1057">
        <f t="shared" si="30"/>
        <v>0</v>
      </c>
      <c r="AO52" s="1057">
        <f t="shared" si="30"/>
        <v>0</v>
      </c>
      <c r="AP52" s="1057">
        <f t="shared" si="30"/>
        <v>0</v>
      </c>
      <c r="AQ52" s="1057">
        <f t="shared" si="30"/>
        <v>0</v>
      </c>
      <c r="AR52" s="1057">
        <f t="shared" si="30"/>
        <v>0</v>
      </c>
      <c r="AS52" s="1057">
        <f t="shared" si="30"/>
        <v>0</v>
      </c>
      <c r="AT52" s="1057">
        <f t="shared" si="30"/>
        <v>0</v>
      </c>
      <c r="AU52" s="1068">
        <f t="shared" si="20"/>
        <v>0</v>
      </c>
      <c r="AV52" s="1057"/>
      <c r="AW52" s="1057"/>
    </row>
    <row r="53" spans="1:50" ht="15.6">
      <c r="A53" s="142" t="str">
        <f t="shared" si="17"/>
        <v>Farm Sales</v>
      </c>
      <c r="B53" s="1057"/>
      <c r="C53" s="1057"/>
      <c r="D53" s="1057"/>
      <c r="E53" s="1057"/>
      <c r="F53" s="1057"/>
      <c r="G53" s="1057"/>
      <c r="H53" s="1057"/>
      <c r="I53" s="1057"/>
      <c r="J53" s="1057"/>
      <c r="K53" s="1057"/>
      <c r="L53" s="1057"/>
      <c r="M53" s="1057"/>
      <c r="N53" s="1057"/>
      <c r="O53" s="1057"/>
      <c r="P53" s="1057"/>
      <c r="Q53" s="1057"/>
      <c r="R53" s="1057"/>
      <c r="S53" s="1057">
        <f t="shared" ref="S53:AT53" si="31">S24*S39</f>
        <v>0</v>
      </c>
      <c r="T53" s="1057">
        <f t="shared" si="31"/>
        <v>0</v>
      </c>
      <c r="U53" s="1057">
        <f t="shared" si="31"/>
        <v>0</v>
      </c>
      <c r="V53" s="1057">
        <f t="shared" si="31"/>
        <v>0</v>
      </c>
      <c r="W53" s="1057">
        <f t="shared" si="31"/>
        <v>0</v>
      </c>
      <c r="X53" s="1057">
        <f t="shared" si="31"/>
        <v>0</v>
      </c>
      <c r="Y53" s="1057">
        <f t="shared" si="31"/>
        <v>0</v>
      </c>
      <c r="Z53" s="1057">
        <f t="shared" si="31"/>
        <v>0</v>
      </c>
      <c r="AA53" s="1057">
        <f t="shared" si="31"/>
        <v>0</v>
      </c>
      <c r="AB53" s="1057">
        <f t="shared" si="31"/>
        <v>0</v>
      </c>
      <c r="AC53" s="1057">
        <f t="shared" si="31"/>
        <v>0</v>
      </c>
      <c r="AD53" s="1057">
        <f t="shared" si="31"/>
        <v>0</v>
      </c>
      <c r="AE53" s="1057">
        <f t="shared" si="31"/>
        <v>0</v>
      </c>
      <c r="AF53" s="1057">
        <f t="shared" si="31"/>
        <v>0</v>
      </c>
      <c r="AG53" s="1057">
        <f t="shared" si="31"/>
        <v>0</v>
      </c>
      <c r="AH53" s="1057">
        <f t="shared" si="31"/>
        <v>0</v>
      </c>
      <c r="AI53" s="1057">
        <f t="shared" si="31"/>
        <v>0</v>
      </c>
      <c r="AJ53" s="1057">
        <f t="shared" si="31"/>
        <v>0</v>
      </c>
      <c r="AK53" s="1057">
        <f t="shared" si="31"/>
        <v>0</v>
      </c>
      <c r="AL53" s="1057">
        <f t="shared" si="31"/>
        <v>0</v>
      </c>
      <c r="AM53" s="1057">
        <f t="shared" si="31"/>
        <v>0</v>
      </c>
      <c r="AN53" s="1057">
        <f t="shared" si="31"/>
        <v>0</v>
      </c>
      <c r="AO53" s="1057">
        <f t="shared" si="31"/>
        <v>0</v>
      </c>
      <c r="AP53" s="1057">
        <f t="shared" si="31"/>
        <v>0</v>
      </c>
      <c r="AQ53" s="1057">
        <f t="shared" si="31"/>
        <v>0</v>
      </c>
      <c r="AR53" s="1057">
        <f t="shared" si="31"/>
        <v>0</v>
      </c>
      <c r="AS53" s="1057">
        <f t="shared" si="31"/>
        <v>0</v>
      </c>
      <c r="AT53" s="1057">
        <f t="shared" si="31"/>
        <v>0</v>
      </c>
      <c r="AU53" s="1068">
        <f t="shared" si="20"/>
        <v>0</v>
      </c>
      <c r="AV53" s="1057"/>
      <c r="AW53" s="1057"/>
    </row>
    <row r="54" spans="1:50" ht="16.149999999999999" thickBot="1">
      <c r="A54" s="142" t="str">
        <f t="shared" si="17"/>
        <v xml:space="preserve"> Colcom Sales</v>
      </c>
      <c r="B54" s="1057"/>
      <c r="C54" s="1057"/>
      <c r="D54" s="1057"/>
      <c r="E54" s="1057"/>
      <c r="F54" s="1057"/>
      <c r="G54" s="1057"/>
      <c r="H54" s="1057"/>
      <c r="I54" s="1057"/>
      <c r="J54" s="1057"/>
      <c r="K54" s="1057"/>
      <c r="L54" s="1057"/>
      <c r="M54" s="1057"/>
      <c r="N54" s="1057"/>
      <c r="O54" s="1057"/>
      <c r="P54" s="1057"/>
      <c r="Q54" s="1057"/>
      <c r="R54" s="1057"/>
      <c r="S54" s="1057">
        <f t="shared" ref="S54:AT54" si="32">S25*S39</f>
        <v>0</v>
      </c>
      <c r="T54" s="1057">
        <f t="shared" si="32"/>
        <v>0</v>
      </c>
      <c r="U54" s="1057">
        <f t="shared" si="32"/>
        <v>0</v>
      </c>
      <c r="V54" s="1057">
        <f t="shared" si="32"/>
        <v>0</v>
      </c>
      <c r="W54" s="1057">
        <f t="shared" si="32"/>
        <v>0</v>
      </c>
      <c r="X54" s="1057">
        <f t="shared" si="32"/>
        <v>0</v>
      </c>
      <c r="Y54" s="1057">
        <f t="shared" si="32"/>
        <v>0</v>
      </c>
      <c r="Z54" s="1057">
        <f t="shared" si="32"/>
        <v>0</v>
      </c>
      <c r="AA54" s="1057">
        <f t="shared" si="32"/>
        <v>0</v>
      </c>
      <c r="AB54" s="1057">
        <f t="shared" si="32"/>
        <v>0</v>
      </c>
      <c r="AC54" s="1057">
        <f t="shared" si="32"/>
        <v>0</v>
      </c>
      <c r="AD54" s="1057">
        <f t="shared" si="32"/>
        <v>0</v>
      </c>
      <c r="AE54" s="1057">
        <f t="shared" si="32"/>
        <v>0</v>
      </c>
      <c r="AF54" s="1057">
        <f t="shared" si="32"/>
        <v>0</v>
      </c>
      <c r="AG54" s="1057">
        <f t="shared" si="32"/>
        <v>0</v>
      </c>
      <c r="AH54" s="1057">
        <f t="shared" si="32"/>
        <v>0</v>
      </c>
      <c r="AI54" s="1057">
        <f t="shared" si="32"/>
        <v>0</v>
      </c>
      <c r="AJ54" s="1057">
        <f t="shared" si="32"/>
        <v>0</v>
      </c>
      <c r="AK54" s="1057">
        <f t="shared" si="32"/>
        <v>0</v>
      </c>
      <c r="AL54" s="1057">
        <f t="shared" si="32"/>
        <v>0</v>
      </c>
      <c r="AM54" s="1057">
        <f t="shared" si="32"/>
        <v>0</v>
      </c>
      <c r="AN54" s="1057">
        <f t="shared" si="32"/>
        <v>-33416032.51009969</v>
      </c>
      <c r="AO54" s="1057">
        <f t="shared" si="32"/>
        <v>-33158690.664963942</v>
      </c>
      <c r="AP54" s="1057">
        <f t="shared" si="32"/>
        <v>-37155265.731662229</v>
      </c>
      <c r="AQ54" s="1057">
        <f t="shared" si="32"/>
        <v>-41915195.30187583</v>
      </c>
      <c r="AR54" s="1057">
        <f t="shared" si="32"/>
        <v>0</v>
      </c>
      <c r="AS54" s="1057">
        <f t="shared" si="32"/>
        <v>0</v>
      </c>
      <c r="AT54" s="1057">
        <f t="shared" si="32"/>
        <v>0</v>
      </c>
      <c r="AU54" s="1068">
        <f t="shared" si="20"/>
        <v>-145645184.20860168</v>
      </c>
      <c r="AV54" s="1057"/>
      <c r="AW54" s="1057"/>
    </row>
    <row r="55" spans="1:50" ht="16.149999999999999" thickBot="1">
      <c r="A55" s="1070" t="s">
        <v>1810</v>
      </c>
      <c r="B55" s="1787">
        <f t="shared" ref="B55:AT55" si="33">SUM(B41:B54)+B38</f>
        <v>2759.9775784753356</v>
      </c>
      <c r="C55" s="1787">
        <f t="shared" si="33"/>
        <v>2759.9775784753356</v>
      </c>
      <c r="D55" s="1787">
        <f t="shared" si="33"/>
        <v>2759.9775784753356</v>
      </c>
      <c r="E55" s="1787">
        <f t="shared" si="33"/>
        <v>2759.9775784753356</v>
      </c>
      <c r="F55" s="1787">
        <f t="shared" si="33"/>
        <v>2539.179372197309</v>
      </c>
      <c r="G55" s="1787">
        <f t="shared" si="33"/>
        <v>877045.77027035283</v>
      </c>
      <c r="H55" s="1787">
        <f t="shared" si="33"/>
        <v>877045.77027035283</v>
      </c>
      <c r="I55" s="1787">
        <f t="shared" si="33"/>
        <v>877045.77027035283</v>
      </c>
      <c r="J55" s="1787">
        <f t="shared" si="33"/>
        <v>877045.77027035283</v>
      </c>
      <c r="K55" s="1787">
        <f t="shared" si="33"/>
        <v>1683847.2593136232</v>
      </c>
      <c r="L55" s="1787">
        <f t="shared" si="33"/>
        <v>1683847.2593136232</v>
      </c>
      <c r="M55" s="1787">
        <f t="shared" si="33"/>
        <v>1683847.2593136232</v>
      </c>
      <c r="N55" s="1787">
        <f t="shared" si="33"/>
        <v>1684399.2548293183</v>
      </c>
      <c r="O55" s="1787">
        <f t="shared" si="33"/>
        <v>2644989.8200740712</v>
      </c>
      <c r="P55" s="1787">
        <f t="shared" si="33"/>
        <v>2644989.8200740712</v>
      </c>
      <c r="Q55" s="1787">
        <f t="shared" si="33"/>
        <v>2644989.8200740712</v>
      </c>
      <c r="R55" s="1787">
        <f t="shared" si="33"/>
        <v>2647418.6003431296</v>
      </c>
      <c r="S55" s="1787">
        <f t="shared" si="33"/>
        <v>2657354.2291246732</v>
      </c>
      <c r="T55" s="1787">
        <f t="shared" si="33"/>
        <v>3368640.8838446341</v>
      </c>
      <c r="U55" s="1787">
        <f t="shared" si="33"/>
        <v>3295978.228906617</v>
      </c>
      <c r="V55" s="1787">
        <f t="shared" si="33"/>
        <v>3291835.2108247811</v>
      </c>
      <c r="W55" s="1787">
        <f t="shared" si="33"/>
        <v>4119196.5082927537</v>
      </c>
      <c r="X55" s="1787">
        <f t="shared" si="33"/>
        <v>3897589.4007637175</v>
      </c>
      <c r="Y55" s="1787">
        <f t="shared" si="33"/>
        <v>5191415.8125457531</v>
      </c>
      <c r="Z55" s="1787">
        <f t="shared" si="33"/>
        <v>4564437.7399040507</v>
      </c>
      <c r="AA55" s="1787">
        <f t="shared" si="33"/>
        <v>6315543.5820829272</v>
      </c>
      <c r="AB55" s="1787">
        <f t="shared" si="33"/>
        <v>5772442.2766866656</v>
      </c>
      <c r="AC55" s="1787">
        <f t="shared" si="33"/>
        <v>8503203.7249045894</v>
      </c>
      <c r="AD55" s="1787">
        <f t="shared" si="33"/>
        <v>8823454.5933284033</v>
      </c>
      <c r="AE55" s="1787">
        <f t="shared" si="33"/>
        <v>9117632.4980383385</v>
      </c>
      <c r="AF55" s="1787">
        <f t="shared" si="33"/>
        <v>15413735.540261671</v>
      </c>
      <c r="AG55" s="1787">
        <f t="shared" si="33"/>
        <v>19883316.622587506</v>
      </c>
      <c r="AH55" s="1787">
        <f t="shared" si="33"/>
        <v>18126103.541001365</v>
      </c>
      <c r="AI55" s="1787">
        <f t="shared" si="33"/>
        <v>17158816.087155331</v>
      </c>
      <c r="AJ55" s="1787">
        <f t="shared" si="33"/>
        <v>21120241.445758536</v>
      </c>
      <c r="AK55" s="1787">
        <f t="shared" si="33"/>
        <v>21644095.898535922</v>
      </c>
      <c r="AL55" s="1787">
        <f t="shared" si="33"/>
        <v>23754960.879092716</v>
      </c>
      <c r="AM55" s="1787">
        <f t="shared" si="33"/>
        <v>31573452.154239599</v>
      </c>
      <c r="AN55" s="1787">
        <f t="shared" si="33"/>
        <v>-572437.38775331527</v>
      </c>
      <c r="AO55" s="1787">
        <f t="shared" si="33"/>
        <v>-898047.87217610702</v>
      </c>
      <c r="AP55" s="1787">
        <f t="shared" si="33"/>
        <v>-3115745.5540177971</v>
      </c>
      <c r="AQ55" s="1787">
        <f t="shared" si="33"/>
        <v>-2324010.8286188617</v>
      </c>
      <c r="AR55" s="1787">
        <f t="shared" si="33"/>
        <v>35155985.309135824</v>
      </c>
      <c r="AS55" s="1787">
        <f t="shared" si="33"/>
        <v>0</v>
      </c>
      <c r="AT55" s="1787">
        <f t="shared" si="33"/>
        <v>0</v>
      </c>
      <c r="AU55" s="1072">
        <f>SUM(B55:AS55)</f>
        <v>286679281.7885533</v>
      </c>
      <c r="AV55" s="1068"/>
      <c r="AW55" s="1068"/>
      <c r="AX55" s="1066"/>
    </row>
    <row r="56" spans="1:50" ht="15.6">
      <c r="A56" s="1075"/>
      <c r="B56" s="1061"/>
      <c r="C56" s="1061"/>
      <c r="D56" s="1075"/>
      <c r="E56" s="1061"/>
      <c r="F56" s="1075"/>
      <c r="G56" s="1061"/>
      <c r="H56" s="1061"/>
      <c r="I56" s="1061"/>
      <c r="J56" s="1061"/>
      <c r="K56" s="1061"/>
      <c r="L56" s="1061"/>
      <c r="M56" s="1061"/>
      <c r="N56" s="1061"/>
      <c r="O56" s="1061"/>
      <c r="P56" s="1061"/>
      <c r="Q56" s="1061"/>
      <c r="R56" s="1061"/>
      <c r="S56" s="1061"/>
      <c r="T56" s="1061"/>
      <c r="U56" s="1061"/>
      <c r="V56" s="1061"/>
      <c r="W56" s="1061"/>
      <c r="X56" s="1061"/>
      <c r="Y56" s="1061"/>
      <c r="Z56" s="1061"/>
      <c r="AA56" s="1061"/>
      <c r="AB56" s="1061"/>
      <c r="AC56" s="1061"/>
      <c r="AD56" s="1061"/>
      <c r="AE56" s="1061"/>
      <c r="AF56" s="1061"/>
      <c r="AG56" s="1061"/>
      <c r="AH56" s="1061"/>
      <c r="AI56" s="1061"/>
      <c r="AJ56" s="1061"/>
      <c r="AK56" s="1061"/>
      <c r="AL56" s="1061"/>
      <c r="AM56" s="1061"/>
      <c r="AN56" s="1061"/>
      <c r="AO56" s="1061"/>
      <c r="AP56" s="1061"/>
      <c r="AQ56" s="1061"/>
      <c r="AR56" s="1061"/>
      <c r="AS56" s="1061"/>
      <c r="AT56" s="1061"/>
      <c r="AU56" s="1062"/>
      <c r="AV56" s="1062"/>
      <c r="AW56" s="1061"/>
      <c r="AX56" s="1061"/>
    </row>
    <row r="57" spans="1:50" ht="15.6">
      <c r="A57" s="1075" t="s">
        <v>1811</v>
      </c>
      <c r="B57" s="1061"/>
      <c r="C57" s="1061"/>
      <c r="D57" s="1075" t="s">
        <v>1812</v>
      </c>
      <c r="E57" s="1061"/>
      <c r="F57" s="1075" t="s">
        <v>62</v>
      </c>
      <c r="G57" s="1061"/>
      <c r="H57" s="1061"/>
      <c r="I57" s="1061"/>
      <c r="J57" s="1061"/>
      <c r="K57" s="1061"/>
      <c r="L57" s="1061"/>
      <c r="M57" s="1061"/>
      <c r="N57" s="1061"/>
      <c r="O57" s="1061"/>
      <c r="P57" s="1061"/>
      <c r="Q57" s="1061"/>
      <c r="R57" s="1061"/>
      <c r="S57" s="1061"/>
      <c r="T57" s="1061"/>
      <c r="U57" s="1061"/>
      <c r="V57" s="1061"/>
      <c r="W57" s="1061"/>
      <c r="X57" s="1061"/>
      <c r="Y57" s="1061"/>
      <c r="Z57" s="1061"/>
      <c r="AA57" s="1061"/>
      <c r="AB57" s="1061"/>
      <c r="AC57" s="1061"/>
      <c r="AD57" s="1061"/>
      <c r="AE57" s="1061"/>
      <c r="AF57" s="1061"/>
      <c r="AG57" s="1061"/>
      <c r="AH57" s="1061"/>
      <c r="AI57" s="1061"/>
      <c r="AJ57" s="1061"/>
      <c r="AK57" s="1061"/>
      <c r="AL57" s="1061"/>
      <c r="AM57" s="1061"/>
      <c r="AN57" s="1061"/>
      <c r="AO57" s="1061"/>
      <c r="AP57" s="1061"/>
      <c r="AQ57" s="1061"/>
      <c r="AR57" s="1061"/>
      <c r="AS57" s="1061"/>
      <c r="AT57" s="1061"/>
      <c r="AU57" s="1062"/>
      <c r="AV57" s="1062"/>
      <c r="AW57" s="1061"/>
      <c r="AX57" s="1061"/>
    </row>
    <row r="58" spans="1:50">
      <c r="A58" s="1061" t="s">
        <v>1813</v>
      </c>
      <c r="B58" s="1064">
        <f>+'Feed Cost &amp; Allocation'!T76</f>
        <v>0</v>
      </c>
      <c r="C58" s="1061"/>
      <c r="D58" s="1061"/>
      <c r="E58" s="1061"/>
      <c r="F58" s="1061"/>
      <c r="G58" s="1061"/>
      <c r="H58" s="1061"/>
      <c r="I58" s="1061"/>
      <c r="J58" s="1061"/>
      <c r="K58" s="1061"/>
      <c r="L58" s="1061"/>
      <c r="M58" s="1061"/>
      <c r="N58" s="1061"/>
      <c r="O58" s="1061"/>
      <c r="P58" s="1061"/>
      <c r="Q58" s="1061"/>
      <c r="R58" s="1061"/>
      <c r="S58" s="1061"/>
      <c r="T58" s="1061"/>
      <c r="U58" s="1061"/>
      <c r="V58" s="1061"/>
      <c r="W58" s="1061"/>
      <c r="X58" s="1061"/>
      <c r="Y58" s="1061"/>
      <c r="Z58" s="1061"/>
      <c r="AA58" s="1061"/>
      <c r="AB58" s="1061"/>
      <c r="AC58" s="1061"/>
      <c r="AD58" s="1061"/>
      <c r="AE58" s="1061"/>
      <c r="AF58" s="1061"/>
      <c r="AG58" s="1061"/>
      <c r="AH58" s="1061"/>
      <c r="AI58" s="1061"/>
      <c r="AJ58" s="1061"/>
      <c r="AK58" s="1061"/>
      <c r="AL58" s="1061"/>
      <c r="AM58" s="1061"/>
      <c r="AN58" s="1061"/>
      <c r="AO58" s="1061"/>
      <c r="AP58" s="1061"/>
      <c r="AQ58" s="1061"/>
      <c r="AR58" s="1061"/>
      <c r="AS58" s="1061"/>
      <c r="AT58" s="1061"/>
      <c r="AU58" s="1062"/>
      <c r="AV58" s="1062"/>
      <c r="AW58" s="1061"/>
      <c r="AX58" s="1061"/>
    </row>
    <row r="59" spans="1:50">
      <c r="A59" s="1061" t="s">
        <v>60</v>
      </c>
      <c r="B59" s="1064">
        <f>+'Feed Cost &amp; Allocation'!K76</f>
        <v>35573</v>
      </c>
      <c r="C59" s="1061"/>
      <c r="D59" s="1064">
        <f>+'Feed Cost &amp; Allocation'!L76</f>
        <v>0</v>
      </c>
      <c r="E59" s="1061"/>
      <c r="F59" s="1064">
        <f>+'Feed Cost &amp; Allocation'!C76</f>
        <v>45771</v>
      </c>
      <c r="G59" s="1061"/>
      <c r="H59" s="1061"/>
      <c r="I59" s="1061"/>
      <c r="J59" s="1061"/>
      <c r="K59" s="1061"/>
      <c r="L59" s="1061"/>
      <c r="M59" s="1061"/>
      <c r="N59" s="1061"/>
      <c r="O59" s="1061"/>
      <c r="P59" s="1061"/>
      <c r="Q59" s="1061"/>
      <c r="R59" s="1061"/>
      <c r="S59" s="1061"/>
      <c r="T59" s="1061"/>
      <c r="U59" s="1061"/>
      <c r="V59" s="1061"/>
      <c r="W59" s="1061"/>
      <c r="X59" s="1061"/>
      <c r="Y59" s="1061"/>
      <c r="Z59" s="1061"/>
      <c r="AA59" s="1061"/>
      <c r="AB59" s="1061"/>
      <c r="AC59" s="1061"/>
      <c r="AD59" s="1061"/>
      <c r="AE59" s="1061"/>
      <c r="AF59" s="1061"/>
      <c r="AG59" s="1061"/>
      <c r="AH59" s="1061"/>
      <c r="AI59" s="1061"/>
      <c r="AJ59" s="1061"/>
      <c r="AK59" s="1061"/>
      <c r="AL59" s="1061"/>
      <c r="AM59" s="1061"/>
      <c r="AN59" s="1061"/>
      <c r="AO59" s="1061"/>
      <c r="AP59" s="1061"/>
      <c r="AQ59" s="1061"/>
      <c r="AR59" s="1061"/>
      <c r="AS59" s="1061"/>
      <c r="AT59" s="1061"/>
      <c r="AU59" s="1062"/>
      <c r="AV59" s="1062"/>
      <c r="AW59" s="1061"/>
      <c r="AX59" s="1061"/>
    </row>
    <row r="60" spans="1:50">
      <c r="A60" s="1061" t="s">
        <v>1829</v>
      </c>
      <c r="B60" s="1064">
        <f>+'Feed Cost &amp; Allocation'!O76</f>
        <v>13665</v>
      </c>
      <c r="C60" s="1061"/>
      <c r="D60" s="1064">
        <f>'Feed Cost &amp; Allocation'!M76</f>
        <v>36282</v>
      </c>
      <c r="E60" s="1061"/>
      <c r="F60" s="1064">
        <f>SUM(W20:Z20)/(SUM(W26:Z26)-SUM(W20:Z20))*F59</f>
        <v>0</v>
      </c>
      <c r="G60" s="1061"/>
      <c r="H60" s="1061"/>
      <c r="I60" s="1061"/>
      <c r="J60" s="1061"/>
      <c r="K60" s="1061"/>
      <c r="L60" s="1061"/>
      <c r="M60" s="1061"/>
      <c r="N60" s="1061"/>
      <c r="O60" s="1061"/>
      <c r="P60" s="1061"/>
      <c r="Q60" s="1061"/>
      <c r="R60" s="1061"/>
      <c r="S60" s="1061"/>
      <c r="T60" s="1061"/>
      <c r="U60" s="1061"/>
      <c r="V60" s="1061"/>
      <c r="W60" s="1061"/>
      <c r="X60" s="1061"/>
      <c r="Y60" s="1061"/>
      <c r="Z60" s="1061"/>
      <c r="AA60" s="1061"/>
      <c r="AB60" s="1061"/>
      <c r="AC60" s="1061"/>
      <c r="AD60" s="1061"/>
      <c r="AE60" s="1061"/>
      <c r="AF60" s="1061"/>
      <c r="AG60" s="1061"/>
      <c r="AH60" s="1061"/>
      <c r="AI60" s="1061"/>
      <c r="AJ60" s="1061"/>
      <c r="AK60" s="1061"/>
      <c r="AL60" s="1061"/>
      <c r="AM60" s="1061"/>
      <c r="AN60" s="1061"/>
      <c r="AO60" s="1061"/>
      <c r="AP60" s="1061"/>
      <c r="AQ60" s="1061"/>
      <c r="AR60" s="1061"/>
      <c r="AS60" s="1061"/>
      <c r="AT60" s="1061"/>
      <c r="AU60" s="1062"/>
      <c r="AV60" s="1062"/>
      <c r="AW60" s="1061"/>
      <c r="AX60" s="1061"/>
    </row>
    <row r="61" spans="1:50" ht="15.6">
      <c r="A61" s="1075" t="s">
        <v>71</v>
      </c>
      <c r="B61" s="1076">
        <f>SUM(B58:B60)</f>
        <v>49238</v>
      </c>
      <c r="C61" s="1061"/>
      <c r="D61" s="1076">
        <f>SUM(D58:D60)</f>
        <v>36282</v>
      </c>
      <c r="E61" s="1061"/>
      <c r="F61" s="1064">
        <f>SUM(F59:F60)</f>
        <v>45771</v>
      </c>
      <c r="G61" s="1061"/>
      <c r="H61" s="1061"/>
      <c r="I61" s="1061"/>
      <c r="J61" s="1061"/>
      <c r="K61" s="1061"/>
      <c r="L61" s="1061"/>
      <c r="M61" s="1061"/>
      <c r="N61" s="1061"/>
      <c r="O61" s="1061"/>
      <c r="P61" s="1061"/>
      <c r="Q61" s="1061"/>
      <c r="R61" s="1061"/>
      <c r="S61" s="1061"/>
      <c r="T61" s="1061"/>
      <c r="U61" s="1061"/>
      <c r="V61" s="1061"/>
      <c r="W61" s="1061"/>
      <c r="X61" s="1061"/>
      <c r="Y61" s="1061"/>
      <c r="Z61" s="1061"/>
      <c r="AA61" s="1061"/>
      <c r="AB61" s="1061"/>
      <c r="AC61" s="1061"/>
      <c r="AD61" s="1061"/>
      <c r="AE61" s="1061"/>
      <c r="AF61" s="1061"/>
      <c r="AG61" s="1061"/>
      <c r="AH61" s="1061"/>
      <c r="AI61" s="1061"/>
      <c r="AJ61" s="1061"/>
      <c r="AK61" s="1061"/>
      <c r="AL61" s="1061"/>
      <c r="AM61" s="1061"/>
      <c r="AN61" s="1061"/>
      <c r="AO61" s="1061"/>
      <c r="AP61" s="1061"/>
      <c r="AQ61" s="1061"/>
      <c r="AR61" s="1061"/>
      <c r="AS61" s="1061"/>
      <c r="AT61" s="1061"/>
      <c r="AU61" s="1062"/>
      <c r="AV61" s="1062"/>
      <c r="AW61" s="1061"/>
      <c r="AX61" s="1061"/>
    </row>
    <row r="62" spans="1:50">
      <c r="A62" s="1061"/>
      <c r="B62" s="1061"/>
      <c r="C62" s="1061"/>
      <c r="D62" s="1061"/>
      <c r="E62" s="1061"/>
      <c r="F62" s="1061"/>
      <c r="G62" s="1061"/>
      <c r="H62" s="1061"/>
      <c r="I62" s="1061"/>
      <c r="J62" s="1061"/>
      <c r="K62" s="1061"/>
      <c r="L62" s="1061"/>
      <c r="M62" s="1061"/>
      <c r="N62" s="1061"/>
      <c r="O62" s="1061"/>
      <c r="P62" s="1061"/>
      <c r="Q62" s="1061"/>
      <c r="R62" s="1061"/>
      <c r="S62" s="1061"/>
      <c r="T62" s="1061"/>
      <c r="U62" s="1061"/>
      <c r="V62" s="1061"/>
      <c r="W62" s="1061"/>
      <c r="X62" s="1061"/>
      <c r="Y62" s="1061"/>
      <c r="Z62" s="1061"/>
      <c r="AA62" s="1061"/>
      <c r="AB62" s="1061"/>
      <c r="AC62" s="1061"/>
      <c r="AD62" s="1061"/>
      <c r="AE62" s="1061"/>
      <c r="AF62" s="1061"/>
      <c r="AG62" s="1061"/>
      <c r="AH62" s="1061"/>
      <c r="AI62" s="1061"/>
      <c r="AJ62" s="1061"/>
      <c r="AK62" s="1061"/>
      <c r="AL62" s="1061"/>
      <c r="AM62" s="1061"/>
      <c r="AN62" s="1061"/>
      <c r="AO62" s="1061"/>
      <c r="AP62" s="1061"/>
      <c r="AQ62" s="1061"/>
      <c r="AR62" s="1061"/>
      <c r="AS62" s="1061"/>
      <c r="AT62" s="1061"/>
      <c r="AU62" s="1062"/>
      <c r="AV62" s="1062"/>
      <c r="AW62" s="1061"/>
      <c r="AX62" s="1061"/>
    </row>
    <row r="63" spans="1:50" ht="15.6">
      <c r="A63" s="1077" t="s">
        <v>1815</v>
      </c>
      <c r="B63" s="1077" t="str">
        <f t="shared" ref="B63:AA63" si="34">B3</f>
        <v>DRY SOW</v>
      </c>
      <c r="C63" s="1077" t="str">
        <f t="shared" si="34"/>
        <v>DRY SOW</v>
      </c>
      <c r="D63" s="1077" t="str">
        <f t="shared" si="34"/>
        <v>DRY SOW</v>
      </c>
      <c r="E63" s="1078" t="str">
        <f t="shared" si="34"/>
        <v>DRY SOW</v>
      </c>
      <c r="F63" s="1078" t="str">
        <f t="shared" si="34"/>
        <v>DRY SOW</v>
      </c>
      <c r="G63" s="1078" t="str">
        <f t="shared" si="34"/>
        <v>DRY SOW</v>
      </c>
      <c r="H63" s="1078" t="str">
        <f t="shared" si="34"/>
        <v>DRY SOW</v>
      </c>
      <c r="I63" s="1078" t="str">
        <f t="shared" si="34"/>
        <v>DRY SOW</v>
      </c>
      <c r="J63" s="1078" t="str">
        <f t="shared" si="34"/>
        <v>DRY SOW</v>
      </c>
      <c r="K63" s="1078" t="str">
        <f t="shared" si="34"/>
        <v>DRY SOW</v>
      </c>
      <c r="L63" s="1078" t="str">
        <f t="shared" si="34"/>
        <v>DRY SOW</v>
      </c>
      <c r="M63" s="1078" t="str">
        <f t="shared" si="34"/>
        <v>DRY SOW</v>
      </c>
      <c r="N63" s="1078" t="str">
        <f t="shared" si="34"/>
        <v>DRY SOW</v>
      </c>
      <c r="O63" s="1078" t="str">
        <f t="shared" si="34"/>
        <v>DRY SOW</v>
      </c>
      <c r="P63" s="1078" t="str">
        <f t="shared" si="34"/>
        <v>DRY SOW</v>
      </c>
      <c r="Q63" s="1078" t="str">
        <f t="shared" si="34"/>
        <v>DRY SOW</v>
      </c>
      <c r="R63" s="1078" t="str">
        <f t="shared" si="34"/>
        <v>Flush</v>
      </c>
      <c r="S63" s="1078" t="str">
        <f t="shared" si="34"/>
        <v>LACTATE</v>
      </c>
      <c r="T63" s="1078" t="str">
        <f t="shared" si="34"/>
        <v>LACTATE</v>
      </c>
      <c r="U63" s="1078" t="str">
        <f t="shared" si="34"/>
        <v>LACTATE</v>
      </c>
      <c r="V63" s="1078" t="str">
        <f t="shared" si="34"/>
        <v>Early Wean</v>
      </c>
      <c r="W63" s="1078" t="str">
        <f t="shared" si="34"/>
        <v>Early Wean</v>
      </c>
      <c r="X63" s="1078" t="str">
        <f t="shared" si="34"/>
        <v>CREEP</v>
      </c>
      <c r="Y63" s="1078" t="str">
        <f t="shared" si="34"/>
        <v>CREEP</v>
      </c>
      <c r="Z63" s="1078" t="str">
        <f t="shared" si="34"/>
        <v>CREEP</v>
      </c>
      <c r="AA63" s="1078" t="str">
        <f t="shared" si="34"/>
        <v>WEANER</v>
      </c>
      <c r="AB63" s="1078" t="str">
        <f>AA63</f>
        <v>WEANER</v>
      </c>
      <c r="AC63" s="1078" t="str">
        <f>AB63</f>
        <v>WEANER</v>
      </c>
      <c r="AD63" s="1078" t="str">
        <f t="shared" ref="AD63:AN63" si="35">AD3</f>
        <v>GROWER 1</v>
      </c>
      <c r="AE63" s="1078" t="str">
        <f t="shared" si="35"/>
        <v>GROWER 1</v>
      </c>
      <c r="AF63" s="1078" t="str">
        <f t="shared" si="35"/>
        <v>GROWER 2</v>
      </c>
      <c r="AG63" s="1078" t="str">
        <f t="shared" si="35"/>
        <v>GROWER 2</v>
      </c>
      <c r="AH63" s="1078" t="str">
        <f t="shared" si="35"/>
        <v>GROWER 3</v>
      </c>
      <c r="AI63" s="1078" t="str">
        <f t="shared" si="35"/>
        <v>FINISHER</v>
      </c>
      <c r="AJ63" s="1078" t="str">
        <f t="shared" si="35"/>
        <v>FINISHER</v>
      </c>
      <c r="AK63" s="1078" t="str">
        <f t="shared" si="35"/>
        <v>FINISHER</v>
      </c>
      <c r="AL63" s="1078" t="str">
        <f t="shared" si="35"/>
        <v>FINISHER</v>
      </c>
      <c r="AM63" s="1078" t="str">
        <f t="shared" si="35"/>
        <v>FINISHER</v>
      </c>
      <c r="AN63" s="1078">
        <f t="shared" si="35"/>
        <v>0</v>
      </c>
      <c r="AO63" s="1078" t="s">
        <v>71</v>
      </c>
      <c r="AP63" s="1079"/>
      <c r="AQ63" s="1079"/>
      <c r="AR63" s="1079"/>
      <c r="AS63" s="1066"/>
      <c r="AT63" s="1066"/>
      <c r="AU63" s="1068"/>
      <c r="AV63" s="1068"/>
      <c r="AW63" s="1066"/>
      <c r="AX63" s="1066"/>
    </row>
    <row r="64" spans="1:50" ht="15.6">
      <c r="A64" s="1077" t="s">
        <v>1816</v>
      </c>
      <c r="B64" s="1077">
        <v>7</v>
      </c>
      <c r="C64" s="1077">
        <v>7</v>
      </c>
      <c r="D64" s="1077">
        <v>7</v>
      </c>
      <c r="E64" s="1077">
        <v>7</v>
      </c>
      <c r="F64" s="1077">
        <v>7</v>
      </c>
      <c r="G64" s="1077">
        <v>7</v>
      </c>
      <c r="H64" s="1077">
        <v>7</v>
      </c>
      <c r="I64" s="1077">
        <v>7</v>
      </c>
      <c r="J64" s="1077">
        <v>7</v>
      </c>
      <c r="K64" s="1077">
        <v>7</v>
      </c>
      <c r="L64" s="1077">
        <v>7</v>
      </c>
      <c r="M64" s="1077">
        <v>7</v>
      </c>
      <c r="N64" s="1077">
        <v>7</v>
      </c>
      <c r="O64" s="1077">
        <v>7</v>
      </c>
      <c r="P64" s="1077">
        <v>7</v>
      </c>
      <c r="Q64" s="1077">
        <v>7</v>
      </c>
      <c r="R64" s="1077">
        <v>7</v>
      </c>
      <c r="S64" s="1077">
        <v>7</v>
      </c>
      <c r="T64" s="1077">
        <v>7</v>
      </c>
      <c r="U64" s="1077">
        <v>7</v>
      </c>
      <c r="V64" s="1077">
        <v>7</v>
      </c>
      <c r="W64" s="1077">
        <v>7</v>
      </c>
      <c r="X64" s="1077">
        <v>7</v>
      </c>
      <c r="Y64" s="1077">
        <v>7</v>
      </c>
      <c r="Z64" s="1077">
        <v>7</v>
      </c>
      <c r="AA64" s="1077">
        <v>7</v>
      </c>
      <c r="AB64" s="1077">
        <v>7</v>
      </c>
      <c r="AC64" s="1077">
        <v>7</v>
      </c>
      <c r="AD64" s="1077">
        <v>7</v>
      </c>
      <c r="AE64" s="1077">
        <v>7</v>
      </c>
      <c r="AF64" s="1077">
        <v>7</v>
      </c>
      <c r="AG64" s="1077">
        <v>7</v>
      </c>
      <c r="AH64" s="1077">
        <v>7</v>
      </c>
      <c r="AI64" s="1077">
        <v>7</v>
      </c>
      <c r="AJ64" s="1077">
        <v>7</v>
      </c>
      <c r="AK64" s="1077">
        <v>7</v>
      </c>
      <c r="AL64" s="1077">
        <v>7</v>
      </c>
      <c r="AM64" s="1077">
        <v>7</v>
      </c>
      <c r="AN64" s="1077">
        <v>7</v>
      </c>
      <c r="AO64" s="1077"/>
      <c r="AP64" s="1066"/>
      <c r="AQ64" s="1066"/>
      <c r="AR64" s="1066"/>
      <c r="AS64" s="1066"/>
      <c r="AT64" s="1066"/>
      <c r="AU64" s="1068"/>
      <c r="AV64" s="1068"/>
      <c r="AW64" s="1066"/>
      <c r="AX64" s="1066"/>
    </row>
    <row r="65" spans="1:50" ht="15.6">
      <c r="A65" s="1077" t="s">
        <v>1817</v>
      </c>
      <c r="B65" s="1077">
        <v>2.5</v>
      </c>
      <c r="C65" s="1077">
        <v>2.5</v>
      </c>
      <c r="D65" s="1077">
        <v>2.5</v>
      </c>
      <c r="E65" s="1077">
        <v>2.5</v>
      </c>
      <c r="F65" s="1077">
        <v>2.2999999999999998</v>
      </c>
      <c r="G65" s="1077">
        <v>2.2999999999999998</v>
      </c>
      <c r="H65" s="1077">
        <v>2.2999999999999998</v>
      </c>
      <c r="I65" s="1077">
        <v>2.2999999999999998</v>
      </c>
      <c r="J65" s="1077">
        <v>2.2999999999999998</v>
      </c>
      <c r="K65" s="1077">
        <v>2.2999999999999998</v>
      </c>
      <c r="L65" s="1077">
        <v>2.2999999999999998</v>
      </c>
      <c r="M65" s="1077">
        <v>2.2999999999999998</v>
      </c>
      <c r="N65" s="1077">
        <v>2.8</v>
      </c>
      <c r="O65" s="1077">
        <v>2.8</v>
      </c>
      <c r="P65" s="1077">
        <v>2.8</v>
      </c>
      <c r="Q65" s="1077">
        <v>2.8</v>
      </c>
      <c r="R65" s="1077">
        <v>5</v>
      </c>
      <c r="S65" s="1080">
        <v>3</v>
      </c>
      <c r="T65" s="1080">
        <v>5.5</v>
      </c>
      <c r="U65" s="1080">
        <v>7</v>
      </c>
      <c r="V65" s="1080">
        <v>9.5</v>
      </c>
      <c r="W65" s="1077">
        <v>0.35</v>
      </c>
      <c r="X65" s="1077">
        <v>0.5</v>
      </c>
      <c r="Y65" s="1077">
        <v>0.6</v>
      </c>
      <c r="Z65" s="1077">
        <v>0.9</v>
      </c>
      <c r="AA65" s="1077">
        <v>1.1000000000000001</v>
      </c>
      <c r="AB65" s="1077">
        <v>1.2</v>
      </c>
      <c r="AC65" s="1080">
        <v>1.4</v>
      </c>
      <c r="AD65" s="1080">
        <v>1.6</v>
      </c>
      <c r="AE65" s="1080">
        <v>1.8</v>
      </c>
      <c r="AF65" s="1080">
        <v>2</v>
      </c>
      <c r="AG65" s="1080">
        <v>2.2000000000000002</v>
      </c>
      <c r="AH65" s="1080">
        <v>2.2999999999999998</v>
      </c>
      <c r="AI65" s="1080">
        <v>2.4</v>
      </c>
      <c r="AJ65" s="1080">
        <v>2.5</v>
      </c>
      <c r="AK65" s="1080">
        <v>2.7</v>
      </c>
      <c r="AL65" s="1080">
        <v>2.9</v>
      </c>
      <c r="AM65" s="1080">
        <v>3</v>
      </c>
      <c r="AN65" s="1080">
        <v>3</v>
      </c>
      <c r="AO65" s="1080"/>
      <c r="AP65" s="1073"/>
      <c r="AQ65" s="1073"/>
      <c r="AR65" s="1073"/>
      <c r="AS65" s="1066"/>
      <c r="AT65" s="1066"/>
      <c r="AU65" s="1068"/>
      <c r="AV65" s="1068"/>
      <c r="AW65" s="1066"/>
      <c r="AX65" s="1066"/>
    </row>
    <row r="66" spans="1:50" ht="15.6">
      <c r="A66" s="1077" t="s">
        <v>1818</v>
      </c>
      <c r="B66" s="1081">
        <f>'Summary Total Pigs'!AF112/17*4</f>
        <v>233.41176470588235</v>
      </c>
      <c r="C66" s="1081">
        <f>B66</f>
        <v>233.41176470588235</v>
      </c>
      <c r="D66" s="1081">
        <f t="shared" ref="D66:R66" si="36">C66</f>
        <v>233.41176470588235</v>
      </c>
      <c r="E66" s="1081">
        <f t="shared" si="36"/>
        <v>233.41176470588235</v>
      </c>
      <c r="F66" s="1081">
        <f t="shared" si="36"/>
        <v>233.41176470588235</v>
      </c>
      <c r="G66" s="1081">
        <f t="shared" si="36"/>
        <v>233.41176470588235</v>
      </c>
      <c r="H66" s="1081">
        <f t="shared" si="36"/>
        <v>233.41176470588235</v>
      </c>
      <c r="I66" s="1081">
        <f t="shared" si="36"/>
        <v>233.41176470588235</v>
      </c>
      <c r="J66" s="1081">
        <f t="shared" si="36"/>
        <v>233.41176470588235</v>
      </c>
      <c r="K66" s="1081">
        <f t="shared" si="36"/>
        <v>233.41176470588235</v>
      </c>
      <c r="L66" s="1081">
        <f t="shared" si="36"/>
        <v>233.41176470588235</v>
      </c>
      <c r="M66" s="1081">
        <f t="shared" si="36"/>
        <v>233.41176470588235</v>
      </c>
      <c r="N66" s="1081">
        <f t="shared" si="36"/>
        <v>233.41176470588235</v>
      </c>
      <c r="O66" s="1081">
        <f t="shared" si="36"/>
        <v>233.41176470588235</v>
      </c>
      <c r="P66" s="1081">
        <f t="shared" si="36"/>
        <v>233.41176470588235</v>
      </c>
      <c r="Q66" s="1081">
        <f t="shared" si="36"/>
        <v>233.41176470588235</v>
      </c>
      <c r="R66" s="1081">
        <f t="shared" si="36"/>
        <v>233.41176470588235</v>
      </c>
      <c r="S66" s="1081">
        <f>R66</f>
        <v>233.41176470588235</v>
      </c>
      <c r="T66" s="1081">
        <f>S66</f>
        <v>233.41176470588235</v>
      </c>
      <c r="U66" s="1081">
        <f>T66</f>
        <v>233.41176470588235</v>
      </c>
      <c r="V66" s="1081">
        <f>U66</f>
        <v>233.41176470588235</v>
      </c>
      <c r="W66" s="1081">
        <f>SUM(W7:Z7)</f>
        <v>1847</v>
      </c>
      <c r="X66" s="1081">
        <f>SUM(W7:AA7)</f>
        <v>2442</v>
      </c>
      <c r="Y66" s="1081">
        <f t="shared" ref="Y66:AN66" si="37">SUM(Y7:AB7)</f>
        <v>2470</v>
      </c>
      <c r="Z66" s="1081">
        <f t="shared" si="37"/>
        <v>2366</v>
      </c>
      <c r="AA66" s="1081">
        <f t="shared" si="37"/>
        <v>2237</v>
      </c>
      <c r="AB66" s="1081">
        <f t="shared" si="37"/>
        <v>2115</v>
      </c>
      <c r="AC66" s="1081">
        <f t="shared" si="37"/>
        <v>1992</v>
      </c>
      <c r="AD66" s="1081">
        <f t="shared" si="37"/>
        <v>1992</v>
      </c>
      <c r="AE66" s="1081">
        <f t="shared" si="37"/>
        <v>1948</v>
      </c>
      <c r="AF66" s="1081">
        <f t="shared" si="37"/>
        <v>1957</v>
      </c>
      <c r="AG66" s="1081">
        <f t="shared" si="37"/>
        <v>1953</v>
      </c>
      <c r="AH66" s="1081">
        <f t="shared" si="37"/>
        <v>1931</v>
      </c>
      <c r="AI66" s="1081">
        <f t="shared" si="37"/>
        <v>1951</v>
      </c>
      <c r="AJ66" s="1081">
        <f t="shared" si="37"/>
        <v>1948</v>
      </c>
      <c r="AK66" s="1081">
        <f t="shared" si="37"/>
        <v>1911</v>
      </c>
      <c r="AL66" s="1081">
        <f t="shared" si="37"/>
        <v>1902</v>
      </c>
      <c r="AM66" s="1081">
        <f t="shared" si="37"/>
        <v>1861</v>
      </c>
      <c r="AN66" s="1081">
        <f t="shared" si="37"/>
        <v>1861</v>
      </c>
      <c r="AO66" s="1077"/>
      <c r="AP66" s="1066"/>
      <c r="AQ66" s="1066"/>
      <c r="AR66" s="1066"/>
      <c r="AS66" s="1066"/>
      <c r="AT66" s="1066"/>
      <c r="AU66" s="1068"/>
      <c r="AV66" s="1068"/>
      <c r="AW66" s="1066"/>
      <c r="AX66" s="1066"/>
    </row>
    <row r="67" spans="1:50" ht="15.6">
      <c r="A67" s="1077" t="s">
        <v>1819</v>
      </c>
      <c r="B67" s="1081">
        <f>B64*B65*B66</f>
        <v>4084.705882352941</v>
      </c>
      <c r="C67" s="1081">
        <f t="shared" ref="C67:Q67" si="38">C64*C65*C66</f>
        <v>4084.705882352941</v>
      </c>
      <c r="D67" s="1081">
        <f t="shared" si="38"/>
        <v>4084.705882352941</v>
      </c>
      <c r="E67" s="1081">
        <f t="shared" si="38"/>
        <v>4084.705882352941</v>
      </c>
      <c r="F67" s="1081">
        <f t="shared" si="38"/>
        <v>3757.9294117647055</v>
      </c>
      <c r="G67" s="1081">
        <f t="shared" si="38"/>
        <v>3757.9294117647055</v>
      </c>
      <c r="H67" s="1081">
        <f t="shared" si="38"/>
        <v>3757.9294117647055</v>
      </c>
      <c r="I67" s="1081">
        <f t="shared" si="38"/>
        <v>3757.9294117647055</v>
      </c>
      <c r="J67" s="1081">
        <f t="shared" si="38"/>
        <v>3757.9294117647055</v>
      </c>
      <c r="K67" s="1081">
        <f t="shared" si="38"/>
        <v>3757.9294117647055</v>
      </c>
      <c r="L67" s="1081">
        <f t="shared" si="38"/>
        <v>3757.9294117647055</v>
      </c>
      <c r="M67" s="1081">
        <f t="shared" si="38"/>
        <v>3757.9294117647055</v>
      </c>
      <c r="N67" s="1081">
        <f t="shared" si="38"/>
        <v>4574.8705882352933</v>
      </c>
      <c r="O67" s="1081">
        <f t="shared" si="38"/>
        <v>4574.8705882352933</v>
      </c>
      <c r="P67" s="1081">
        <f t="shared" si="38"/>
        <v>4574.8705882352933</v>
      </c>
      <c r="Q67" s="1081">
        <f t="shared" si="38"/>
        <v>4574.8705882352933</v>
      </c>
      <c r="R67" s="1081">
        <f>R64*R65*R66</f>
        <v>8169.411764705882</v>
      </c>
      <c r="S67" s="1081">
        <f>S64*S65*S66</f>
        <v>4901.6470588235297</v>
      </c>
      <c r="T67" s="1081">
        <f t="shared" ref="T67:AN67" si="39">T64*T65*T66</f>
        <v>8986.3529411764703</v>
      </c>
      <c r="U67" s="1081">
        <f t="shared" si="39"/>
        <v>11437.176470588234</v>
      </c>
      <c r="V67" s="1081">
        <f t="shared" si="39"/>
        <v>15521.882352941177</v>
      </c>
      <c r="W67" s="1081">
        <f t="shared" si="39"/>
        <v>4525.1499999999996</v>
      </c>
      <c r="X67" s="1081">
        <f t="shared" si="39"/>
        <v>8547</v>
      </c>
      <c r="Y67" s="1081">
        <f t="shared" si="39"/>
        <v>10374</v>
      </c>
      <c r="Z67" s="1081">
        <f t="shared" si="39"/>
        <v>14905.8</v>
      </c>
      <c r="AA67" s="1081">
        <f t="shared" si="39"/>
        <v>17224.900000000001</v>
      </c>
      <c r="AB67" s="1081">
        <f t="shared" si="39"/>
        <v>17766</v>
      </c>
      <c r="AC67" s="1081">
        <f t="shared" si="39"/>
        <v>19521.599999999999</v>
      </c>
      <c r="AD67" s="1081">
        <f t="shared" si="39"/>
        <v>22310.400000000001</v>
      </c>
      <c r="AE67" s="1081">
        <f t="shared" si="39"/>
        <v>24544.799999999999</v>
      </c>
      <c r="AF67" s="1081">
        <f t="shared" si="39"/>
        <v>27398</v>
      </c>
      <c r="AG67" s="1081">
        <f t="shared" si="39"/>
        <v>30076.200000000004</v>
      </c>
      <c r="AH67" s="1081">
        <f t="shared" si="39"/>
        <v>31089.099999999995</v>
      </c>
      <c r="AI67" s="1081">
        <f t="shared" si="39"/>
        <v>32776.800000000003</v>
      </c>
      <c r="AJ67" s="1081">
        <f t="shared" si="39"/>
        <v>34090</v>
      </c>
      <c r="AK67" s="1081">
        <f t="shared" si="39"/>
        <v>36117.9</v>
      </c>
      <c r="AL67" s="1081">
        <f t="shared" si="39"/>
        <v>38610.6</v>
      </c>
      <c r="AM67" s="1081">
        <f t="shared" si="39"/>
        <v>39081</v>
      </c>
      <c r="AN67" s="1081">
        <f t="shared" si="39"/>
        <v>39081</v>
      </c>
      <c r="AO67" s="1081">
        <f>SUM(B67:AN67)</f>
        <v>561758.46176470583</v>
      </c>
      <c r="AP67" s="1066"/>
      <c r="AQ67" s="1066"/>
      <c r="AR67" s="1066"/>
      <c r="AS67" s="1066"/>
      <c r="AT67" s="1066"/>
      <c r="AU67" s="1068"/>
      <c r="AV67" s="1068"/>
      <c r="AW67" s="1066"/>
      <c r="AX67" s="1066"/>
    </row>
    <row r="68" spans="1:50" ht="15.6">
      <c r="A68" s="1077"/>
      <c r="B68" s="1081"/>
      <c r="C68" s="1081"/>
      <c r="D68" s="1081"/>
      <c r="E68" s="1081"/>
      <c r="F68" s="1081"/>
      <c r="G68" s="1081"/>
      <c r="H68" s="1081"/>
      <c r="I68" s="1081"/>
      <c r="J68" s="1081"/>
      <c r="K68" s="1081"/>
      <c r="L68" s="1081"/>
      <c r="M68" s="1081"/>
      <c r="N68" s="1081"/>
      <c r="O68" s="1081"/>
      <c r="P68" s="1081"/>
      <c r="Q68" s="1081"/>
      <c r="R68" s="1081">
        <f>SUM(B67:R67)</f>
        <v>72871.152941176479</v>
      </c>
      <c r="S68" s="1081"/>
      <c r="T68" s="1081"/>
      <c r="U68" s="1081">
        <f>SUM(S67:U67)</f>
        <v>25325.176470588234</v>
      </c>
      <c r="V68" s="1081"/>
      <c r="W68" s="1081">
        <f>SUM(V67:W67)</f>
        <v>20047.032352941176</v>
      </c>
      <c r="X68" s="1081"/>
      <c r="Y68" s="1081"/>
      <c r="Z68" s="1081">
        <f>SUM(X67:Z67)</f>
        <v>33826.800000000003</v>
      </c>
      <c r="AA68" s="1081">
        <v>0</v>
      </c>
      <c r="AB68" s="1081"/>
      <c r="AC68" s="1081">
        <f>SUM(AA67:AC67)</f>
        <v>54512.5</v>
      </c>
      <c r="AD68" s="1081"/>
      <c r="AE68" s="1081">
        <f>SUM(AD67:AE67)</f>
        <v>46855.199999999997</v>
      </c>
      <c r="AF68" s="1081"/>
      <c r="AG68" s="1081">
        <f>SUM(AF67:AG67)</f>
        <v>57474.200000000004</v>
      </c>
      <c r="AH68" s="1081"/>
      <c r="AI68" s="1081"/>
      <c r="AJ68" s="1081">
        <f>SUM(AH67:AJ67)</f>
        <v>97955.9</v>
      </c>
      <c r="AK68" s="1081"/>
      <c r="AL68" s="1081"/>
      <c r="AM68" s="1081"/>
      <c r="AN68" s="1081">
        <f>SUM(AK67:AN67)</f>
        <v>152890.5</v>
      </c>
      <c r="AO68" s="1081">
        <f>SUM(B68:AN68)</f>
        <v>561758.46176470595</v>
      </c>
      <c r="AP68" s="1066"/>
      <c r="AQ68" s="1066"/>
      <c r="AR68" s="1066"/>
      <c r="AS68" s="1066"/>
      <c r="AT68" s="1066"/>
      <c r="AU68" s="1068"/>
      <c r="AV68" s="1068"/>
      <c r="AW68" s="1066"/>
      <c r="AX68" s="1066"/>
    </row>
    <row r="69" spans="1:50" ht="15.6">
      <c r="A69" s="1077" t="s">
        <v>1820</v>
      </c>
      <c r="B69" s="1082">
        <f>B67/$R$68</f>
        <v>5.6053811659192813E-2</v>
      </c>
      <c r="C69" s="1082">
        <f t="shared" ref="C69:R69" si="40">C67/$R$68</f>
        <v>5.6053811659192813E-2</v>
      </c>
      <c r="D69" s="1082">
        <f t="shared" si="40"/>
        <v>5.6053811659192813E-2</v>
      </c>
      <c r="E69" s="1082">
        <f t="shared" si="40"/>
        <v>5.6053811659192813E-2</v>
      </c>
      <c r="F69" s="1082">
        <f t="shared" si="40"/>
        <v>5.1569506726457388E-2</v>
      </c>
      <c r="G69" s="1082">
        <f t="shared" si="40"/>
        <v>5.1569506726457388E-2</v>
      </c>
      <c r="H69" s="1082">
        <f t="shared" si="40"/>
        <v>5.1569506726457388E-2</v>
      </c>
      <c r="I69" s="1082">
        <f t="shared" si="40"/>
        <v>5.1569506726457388E-2</v>
      </c>
      <c r="J69" s="1082">
        <f t="shared" si="40"/>
        <v>5.1569506726457388E-2</v>
      </c>
      <c r="K69" s="1082">
        <f t="shared" si="40"/>
        <v>5.1569506726457388E-2</v>
      </c>
      <c r="L69" s="1082">
        <f t="shared" si="40"/>
        <v>5.1569506726457388E-2</v>
      </c>
      <c r="M69" s="1082">
        <f t="shared" si="40"/>
        <v>5.1569506726457388E-2</v>
      </c>
      <c r="N69" s="1082">
        <f t="shared" si="40"/>
        <v>6.2780269058295951E-2</v>
      </c>
      <c r="O69" s="1082">
        <f t="shared" si="40"/>
        <v>6.2780269058295951E-2</v>
      </c>
      <c r="P69" s="1082">
        <f t="shared" si="40"/>
        <v>6.2780269058295951E-2</v>
      </c>
      <c r="Q69" s="1082">
        <f t="shared" si="40"/>
        <v>6.2780269058295951E-2</v>
      </c>
      <c r="R69" s="1082">
        <f t="shared" si="40"/>
        <v>0.11210762331838563</v>
      </c>
      <c r="S69" s="1082">
        <f>S67/$U$68</f>
        <v>0.19354838709677422</v>
      </c>
      <c r="T69" s="1082">
        <f>T67/$U$68</f>
        <v>0.35483870967741937</v>
      </c>
      <c r="U69" s="1082">
        <f>U67/$U$68</f>
        <v>0.45161290322580644</v>
      </c>
      <c r="V69" s="1082">
        <f>V67/$W$68</f>
        <v>0.77427332283742745</v>
      </c>
      <c r="W69" s="1082">
        <f>W67/$W$68</f>
        <v>0.22572667716257253</v>
      </c>
      <c r="X69" s="1082">
        <f>X67/$Z$68</f>
        <v>0.25266948100322817</v>
      </c>
      <c r="Y69" s="1082">
        <f>Y67/$Z$68</f>
        <v>0.30667991060342686</v>
      </c>
      <c r="Z69" s="1082">
        <f>Z67/$Z$68</f>
        <v>0.44065060839334486</v>
      </c>
      <c r="AA69" s="1082">
        <f>AA67/$AC$68</f>
        <v>0.31598073836276086</v>
      </c>
      <c r="AB69" s="1082">
        <f>AB67/$AC$68</f>
        <v>0.32590690208667739</v>
      </c>
      <c r="AC69" s="1082">
        <f>AC67/$AC$68</f>
        <v>0.35811235955056175</v>
      </c>
      <c r="AD69" s="1082">
        <f>AD67/$AE$68</f>
        <v>0.47615632843313022</v>
      </c>
      <c r="AE69" s="1082">
        <f>AE67/$AE$68</f>
        <v>0.52384367156686984</v>
      </c>
      <c r="AF69" s="1082">
        <f>AF67/$AG$68</f>
        <v>0.47670085012057578</v>
      </c>
      <c r="AG69" s="1082">
        <f>AG67/$AG$68</f>
        <v>0.52329914987942416</v>
      </c>
      <c r="AH69" s="1082">
        <f>AH67/$AJ$68</f>
        <v>0.31737853462629606</v>
      </c>
      <c r="AI69" s="1082">
        <f>AI67/$AJ$68</f>
        <v>0.33460771632949116</v>
      </c>
      <c r="AJ69" s="1082">
        <f>AJ67/$AJ$68</f>
        <v>0.34801374904421278</v>
      </c>
      <c r="AK69" s="1082">
        <f>AK67/$AN$68</f>
        <v>0.23623377515280544</v>
      </c>
      <c r="AL69" s="1082">
        <f>AL67/$AN$68</f>
        <v>0.25253760043953022</v>
      </c>
      <c r="AM69" s="1082">
        <f>AM67/$AN$68</f>
        <v>0.25561431220383213</v>
      </c>
      <c r="AN69" s="1082">
        <f>AN67/$AN$68</f>
        <v>0.25561431220383213</v>
      </c>
      <c r="AO69" s="1065"/>
      <c r="AU69" s="1057"/>
      <c r="AV69" s="1057"/>
    </row>
    <row r="70" spans="1:50">
      <c r="A70" s="1065"/>
      <c r="B70" s="1065"/>
      <c r="C70" s="1065"/>
      <c r="D70" s="1065"/>
      <c r="E70" s="1065"/>
      <c r="F70" s="1065"/>
      <c r="G70" s="1065"/>
      <c r="H70" s="1065"/>
      <c r="I70" s="1065"/>
      <c r="J70" s="1065"/>
      <c r="K70" s="1065"/>
      <c r="L70" s="1065"/>
      <c r="M70" s="1065"/>
      <c r="N70" s="1065"/>
      <c r="O70" s="1065"/>
      <c r="P70" s="1065"/>
      <c r="Q70" s="1065"/>
      <c r="R70" s="1065"/>
      <c r="S70" s="1065"/>
      <c r="T70" s="1065"/>
      <c r="U70" s="1065"/>
      <c r="V70" s="1065"/>
      <c r="W70" s="1065"/>
      <c r="X70" s="1065"/>
      <c r="Y70" s="1065"/>
      <c r="Z70" s="1065"/>
      <c r="AA70" s="1065"/>
      <c r="AB70" s="1065"/>
      <c r="AC70" s="1065"/>
      <c r="AD70" s="1065"/>
      <c r="AE70" s="1065"/>
      <c r="AF70" s="1065"/>
      <c r="AG70" s="1065"/>
      <c r="AH70" s="1065"/>
      <c r="AI70" s="1065"/>
      <c r="AJ70" s="1065"/>
      <c r="AK70" s="1065"/>
      <c r="AL70" s="1065"/>
      <c r="AM70" s="1065"/>
      <c r="AN70" s="1065"/>
      <c r="AO70" s="1065"/>
      <c r="AU70" s="1057"/>
      <c r="AV70" s="1057"/>
    </row>
    <row r="71" spans="1:50">
      <c r="A71" s="1065"/>
      <c r="B71" s="1065"/>
      <c r="C71" s="1065"/>
      <c r="D71" s="1065"/>
      <c r="E71" s="1065"/>
      <c r="F71" s="1065"/>
      <c r="G71" s="1065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5"/>
      <c r="AD71" s="1065"/>
      <c r="AE71" s="1065"/>
      <c r="AF71" s="1065"/>
      <c r="AG71" s="1065"/>
      <c r="AH71" s="1065"/>
      <c r="AI71" s="1065"/>
      <c r="AJ71" s="1065"/>
      <c r="AK71" s="1065"/>
      <c r="AL71" s="1065"/>
      <c r="AM71" s="1065"/>
      <c r="AN71" s="1065"/>
      <c r="AO71" s="1065"/>
      <c r="AU71" s="1057"/>
      <c r="AV71" s="1057"/>
    </row>
    <row r="72" spans="1:50" ht="15.6">
      <c r="A72" s="1081" t="s">
        <v>1821</v>
      </c>
      <c r="B72" s="1081"/>
      <c r="C72" s="1081"/>
      <c r="D72" s="1081"/>
      <c r="E72" s="1081"/>
      <c r="F72" s="1081"/>
      <c r="G72" s="1081"/>
      <c r="H72" s="1081"/>
      <c r="I72" s="1081"/>
      <c r="J72" s="1081"/>
      <c r="K72" s="1081"/>
      <c r="L72" s="1081"/>
      <c r="M72" s="1081"/>
      <c r="N72" s="1081"/>
      <c r="O72" s="1081"/>
      <c r="P72" s="1081"/>
      <c r="Q72" s="1081">
        <f>SUM(B67:Q67)</f>
        <v>64701.74117647059</v>
      </c>
      <c r="R72" s="1081">
        <f>R67</f>
        <v>8169.411764705882</v>
      </c>
      <c r="S72" s="1081">
        <f>S67</f>
        <v>4901.6470588235297</v>
      </c>
      <c r="T72" s="1081">
        <f>T66*T64*T65</f>
        <v>8986.3529411764703</v>
      </c>
      <c r="U72" s="1081">
        <f>U66*U64*U65</f>
        <v>11437.176470588234</v>
      </c>
      <c r="V72" s="1081">
        <f>V66*V64*V65</f>
        <v>15521.882352941175</v>
      </c>
      <c r="W72" s="1081">
        <f>W67</f>
        <v>4525.1499999999996</v>
      </c>
      <c r="X72" s="1081"/>
      <c r="Y72" s="1081">
        <f>Y68</f>
        <v>0</v>
      </c>
      <c r="Z72" s="1081"/>
      <c r="AA72" s="1081"/>
      <c r="AB72" s="1081"/>
      <c r="AC72" s="1081">
        <f>AC68</f>
        <v>54512.5</v>
      </c>
      <c r="AD72" s="1081"/>
      <c r="AE72" s="1081">
        <f>AE68</f>
        <v>46855.199999999997</v>
      </c>
      <c r="AF72" s="1081"/>
      <c r="AG72" s="1081">
        <f>AG68</f>
        <v>57474.200000000004</v>
      </c>
      <c r="AH72" s="1081"/>
      <c r="AI72" s="1081"/>
      <c r="AJ72" s="1081">
        <f>AJ68</f>
        <v>97955.9</v>
      </c>
      <c r="AK72" s="1081"/>
      <c r="AL72" s="1081"/>
      <c r="AM72" s="1081"/>
      <c r="AN72" s="1081">
        <f>AN68</f>
        <v>152890.5</v>
      </c>
      <c r="AO72" s="1081">
        <f>SUM(B72:AN72)</f>
        <v>527931.6617647059</v>
      </c>
      <c r="AP72" s="1068"/>
      <c r="AQ72" s="1068"/>
      <c r="AR72" s="1068"/>
      <c r="AS72" s="1068"/>
      <c r="AT72" s="1068"/>
      <c r="AU72" s="1068"/>
      <c r="AV72" s="1068"/>
      <c r="AW72" s="1068"/>
      <c r="AX72" s="1068"/>
    </row>
    <row r="73" spans="1:50" ht="15.6">
      <c r="A73" s="1081" t="s">
        <v>1822</v>
      </c>
      <c r="B73" s="1081"/>
      <c r="C73" s="1081"/>
      <c r="D73" s="1081"/>
      <c r="E73" s="1081"/>
      <c r="F73" s="1081"/>
      <c r="G73" s="1081"/>
      <c r="H73" s="1081"/>
      <c r="I73" s="1081"/>
      <c r="J73" s="1081"/>
      <c r="K73" s="1081"/>
      <c r="L73" s="1081"/>
      <c r="M73" s="1081"/>
      <c r="N73" s="1081"/>
      <c r="O73" s="1081"/>
      <c r="P73" s="1081"/>
      <c r="Q73" s="1081">
        <f>'[4]Feed Costing &amp; Appotionment '!K122+'[4]Feed Costing &amp; Appotionment '!O122</f>
        <v>273392.90000000002</v>
      </c>
      <c r="R73" s="1081">
        <f>'[4]Feed Costing &amp; Appotionment '!T122</f>
        <v>47127.5</v>
      </c>
      <c r="S73" s="1081">
        <f>'[4]Feed Costing &amp; Appotionment '!N122</f>
        <v>17559.5</v>
      </c>
      <c r="T73" s="1081"/>
      <c r="U73" s="1081"/>
      <c r="V73" s="1081">
        <f>'[4]Feed Costing &amp; Appotionment '!L122+'[4]Feed Costing &amp; Appotionment '!M122</f>
        <v>117633</v>
      </c>
      <c r="W73" s="1081">
        <f>'[4]Feed Costing &amp; Appotionment '!B122</f>
        <v>29254.2</v>
      </c>
      <c r="X73" s="1081"/>
      <c r="Y73" s="1081">
        <f>'[4]Feed Costing &amp; Appotionment '!C122</f>
        <v>126974</v>
      </c>
      <c r="Z73" s="1081"/>
      <c r="AA73" s="1081"/>
      <c r="AB73" s="1081"/>
      <c r="AC73" s="1081">
        <f>'[4]Feed Costing &amp; Appotionment '!D122+'[4]Feed Costing &amp; Appotionment '!E122</f>
        <v>243037.40000000002</v>
      </c>
      <c r="AD73" s="1081"/>
      <c r="AE73" s="1081">
        <f>'[4]Feed Costing &amp; Appotionment '!F122</f>
        <v>176588.4</v>
      </c>
      <c r="AF73" s="1081"/>
      <c r="AG73" s="1081">
        <f>'[4]Feed Costing &amp; Appotionment '!G122</f>
        <v>59290</v>
      </c>
      <c r="AH73" s="1081"/>
      <c r="AI73" s="1081"/>
      <c r="AJ73" s="1081">
        <f>'[4]Feed Costing &amp; Appotionment '!H122</f>
        <v>949048.7</v>
      </c>
      <c r="AK73" s="1081"/>
      <c r="AL73" s="1081"/>
      <c r="AM73" s="1081"/>
      <c r="AN73" s="1081">
        <f>'[4]Feed Costing &amp; Appotionment '!J122</f>
        <v>710118.55</v>
      </c>
      <c r="AO73" s="1081">
        <f>SUM(B73:AN73)</f>
        <v>2750024.1500000004</v>
      </c>
      <c r="AP73" s="1068">
        <f>AO73-'[4]Feed Costing &amp; Appotionment '!U122+'[4]Feed Costing &amp; Appotionment '!P122+'[4]Feed Costing &amp; Appotionment '!Q122+'[4]Feed Costing &amp; Appotionment '!R122</f>
        <v>1.8917489796876907E-10</v>
      </c>
      <c r="AQ73" s="1068"/>
      <c r="AR73" s="1068"/>
      <c r="AS73" s="1068"/>
      <c r="AT73" s="1068"/>
      <c r="AU73" s="1068"/>
      <c r="AV73" s="1068"/>
      <c r="AW73" s="1068"/>
      <c r="AX73" s="1068"/>
    </row>
    <row r="74" spans="1:50" ht="15.6">
      <c r="A74" s="1081" t="s">
        <v>1823</v>
      </c>
      <c r="B74" s="1081"/>
      <c r="C74" s="1081"/>
      <c r="D74" s="1081"/>
      <c r="E74" s="1081"/>
      <c r="F74" s="1081"/>
      <c r="G74" s="1081"/>
      <c r="H74" s="1081"/>
      <c r="I74" s="1081"/>
      <c r="J74" s="1081"/>
      <c r="K74" s="1081"/>
      <c r="L74" s="1081"/>
      <c r="M74" s="1081"/>
      <c r="N74" s="1081"/>
      <c r="O74" s="1081"/>
      <c r="P74" s="1081"/>
      <c r="Q74" s="1081">
        <f>Q72-Q73</f>
        <v>-208691.15882352943</v>
      </c>
      <c r="R74" s="1081">
        <f>R72-R73</f>
        <v>-38958.088235294119</v>
      </c>
      <c r="S74" s="1081">
        <f>S72-S73</f>
        <v>-12657.85294117647</v>
      </c>
      <c r="T74" s="1081"/>
      <c r="U74" s="1081"/>
      <c r="V74" s="1081">
        <f>SUM(T72:V72)-V73</f>
        <v>-81687.588235294126</v>
      </c>
      <c r="W74" s="1081">
        <f>W72-W73</f>
        <v>-24729.050000000003</v>
      </c>
      <c r="X74" s="1081">
        <f>X72-X73</f>
        <v>0</v>
      </c>
      <c r="Y74" s="1081">
        <f>Y72-Y73</f>
        <v>-126974</v>
      </c>
      <c r="Z74" s="1081"/>
      <c r="AA74" s="1081"/>
      <c r="AB74" s="1081"/>
      <c r="AC74" s="1081">
        <f>AC72-AC73</f>
        <v>-188524.90000000002</v>
      </c>
      <c r="AD74" s="1081"/>
      <c r="AE74" s="1081">
        <f>AE72-AE73</f>
        <v>-129733.2</v>
      </c>
      <c r="AF74" s="1081"/>
      <c r="AG74" s="1081">
        <f>AG72-AG73</f>
        <v>-1815.7999999999956</v>
      </c>
      <c r="AH74" s="1081"/>
      <c r="AI74" s="1081"/>
      <c r="AJ74" s="1081">
        <f>AJ72-AJ73</f>
        <v>-851092.79999999993</v>
      </c>
      <c r="AK74" s="1081"/>
      <c r="AL74" s="1081"/>
      <c r="AM74" s="1081"/>
      <c r="AN74" s="1081">
        <f>AN72-AN73</f>
        <v>-557228.05000000005</v>
      </c>
      <c r="AO74" s="1081">
        <f>SUM(B74:AN74)</f>
        <v>-2222092.4882352939</v>
      </c>
      <c r="AP74" s="1068">
        <f>AO73-'[4]Feed Costing &amp; Appotionment '!U122</f>
        <v>-86697.799999999814</v>
      </c>
      <c r="AQ74" s="1068"/>
      <c r="AR74" s="1068"/>
      <c r="AS74" s="1068"/>
      <c r="AT74" s="1068"/>
      <c r="AU74" s="1068"/>
      <c r="AV74" s="1068"/>
      <c r="AW74" s="1068"/>
      <c r="AX74" s="1068"/>
    </row>
    <row r="75" spans="1:50" ht="15.6">
      <c r="A75" s="1081" t="s">
        <v>1824</v>
      </c>
      <c r="B75" s="1077"/>
      <c r="C75" s="1077"/>
      <c r="D75" s="1077"/>
      <c r="E75" s="1077"/>
      <c r="F75" s="1077"/>
      <c r="G75" s="1077"/>
      <c r="H75" s="1077"/>
      <c r="I75" s="1077"/>
      <c r="J75" s="1077"/>
      <c r="K75" s="1077"/>
      <c r="L75" s="1077"/>
      <c r="M75" s="1077"/>
      <c r="N75" s="1077"/>
      <c r="O75" s="1077"/>
      <c r="P75" s="1077"/>
      <c r="Q75" s="1083">
        <f>('[4]Feed Costing &amp; Appotionment '!K123+'[4]Feed Costing &amp; Appotionment '!O123)/('[4]Feed Costing &amp; Appotionment '!K122+'[4]Feed Costing &amp; Appotionment '!O122)</f>
        <v>0.33022565021567968</v>
      </c>
      <c r="R75" s="1080">
        <f>'[4]Feed Costing &amp; Appotionment '!T124</f>
        <v>0.37880590011098036</v>
      </c>
      <c r="S75" s="1080">
        <f>'[4]Feed Costing &amp; Appotionment '!N124</f>
        <v>0.36773334194341661</v>
      </c>
      <c r="T75" s="1077"/>
      <c r="U75" s="1077"/>
      <c r="V75" s="1080">
        <f>('[4]Feed Costing &amp; Appotionment '!M123+'[4]Feed Costing &amp; Appotionment '!L123)/('[4]Feed Costing &amp; Appotionment '!L122+'[4]Feed Costing &amp; Appotionment '!M122)</f>
        <v>0.38986305594770371</v>
      </c>
      <c r="W75" s="1080">
        <f>'[4]Feed Costing &amp; Appotionment '!B124</f>
        <v>0.70516028376225237</v>
      </c>
      <c r="X75" s="1077"/>
      <c r="Y75" s="1080">
        <f>'[4]Feed Costing &amp; Appotionment '!C124</f>
        <v>0.553048745740369</v>
      </c>
      <c r="Z75" s="1077"/>
      <c r="AA75" s="1080"/>
      <c r="AB75" s="1077"/>
      <c r="AC75" s="1080">
        <f>'[4]Feed Costing &amp; Appotionment '!D124</f>
        <v>0.45761789674138609</v>
      </c>
      <c r="AD75" s="1077"/>
      <c r="AE75" s="1080">
        <f>'[4]Feed Costing &amp; Appotionment '!F124</f>
        <v>0.36072118784213153</v>
      </c>
      <c r="AF75" s="1077"/>
      <c r="AG75" s="1080">
        <f>'[4]Feed Costing &amp; Appotionment '!G124</f>
        <v>0.35277419368699731</v>
      </c>
      <c r="AH75" s="1077"/>
      <c r="AI75" s="1077"/>
      <c r="AJ75" s="1080">
        <f>'[4]Feed Costing &amp; Appotionment '!H124</f>
        <v>0.32545898419719504</v>
      </c>
      <c r="AK75" s="1077"/>
      <c r="AL75" s="1077"/>
      <c r="AM75" s="1077"/>
      <c r="AN75" s="1080">
        <f>'[4]Feed Costing &amp; Appotionment '!J124</f>
        <v>0.34727367194923103</v>
      </c>
      <c r="AO75" s="1083">
        <f>AO76/AO74</f>
        <v>0.36544475672852794</v>
      </c>
      <c r="AP75" s="1068">
        <f>'[4]Feed Costing &amp; Appotionment '!P122+'[4]Feed Costing &amp; Appotionment '!Q122+'[4]Feed Costing &amp; Appotionment '!R122</f>
        <v>86697.8</v>
      </c>
      <c r="AQ75" s="1066"/>
      <c r="AR75" s="1066"/>
      <c r="AS75" s="1066"/>
      <c r="AT75" s="1066"/>
      <c r="AU75" s="1068"/>
      <c r="AV75" s="1068"/>
      <c r="AW75" s="1066"/>
      <c r="AX75" s="1066"/>
    </row>
    <row r="76" spans="1:50" ht="15.6">
      <c r="A76" s="1081" t="s">
        <v>1825</v>
      </c>
      <c r="B76" s="1077"/>
      <c r="C76" s="1077"/>
      <c r="D76" s="1077"/>
      <c r="E76" s="1077"/>
      <c r="F76" s="1077"/>
      <c r="G76" s="1077"/>
      <c r="H76" s="1077"/>
      <c r="I76" s="1077"/>
      <c r="J76" s="1077"/>
      <c r="K76" s="1077"/>
      <c r="L76" s="1077"/>
      <c r="M76" s="1077"/>
      <c r="N76" s="1077"/>
      <c r="O76" s="1077"/>
      <c r="P76" s="1077"/>
      <c r="Q76" s="1083">
        <f>Q74*Q75</f>
        <v>-68915.173616763685</v>
      </c>
      <c r="R76" s="1083">
        <f>R74*R75</f>
        <v>-14757.553680573583</v>
      </c>
      <c r="S76" s="1083">
        <f>S74*S75</f>
        <v>-4654.7145638871289</v>
      </c>
      <c r="T76" s="1077"/>
      <c r="U76" s="1077"/>
      <c r="V76" s="1083">
        <f>V74*V75</f>
        <v>-31846.972782409459</v>
      </c>
      <c r="W76" s="1083">
        <f>W74*W75</f>
        <v>-17437.94391517093</v>
      </c>
      <c r="X76" s="1077"/>
      <c r="Y76" s="1083">
        <f>Y74*Y75</f>
        <v>-70222.811441637619</v>
      </c>
      <c r="Z76" s="1077"/>
      <c r="AA76" s="1083"/>
      <c r="AB76" s="1077"/>
      <c r="AC76" s="1083">
        <f>AC74*AC75</f>
        <v>-86272.368221380151</v>
      </c>
      <c r="AD76" s="1077"/>
      <c r="AE76" s="1083">
        <f>AE74*AE75</f>
        <v>-46797.514006560814</v>
      </c>
      <c r="AF76" s="1077"/>
      <c r="AG76" s="1083">
        <f>AG74*AG75</f>
        <v>-640.56738089684814</v>
      </c>
      <c r="AH76" s="1077"/>
      <c r="AI76" s="1077"/>
      <c r="AJ76" s="1083">
        <f>AJ74*AJ75</f>
        <v>-276995.79814554646</v>
      </c>
      <c r="AK76" s="1077"/>
      <c r="AL76" s="1077"/>
      <c r="AM76" s="1077"/>
      <c r="AN76" s="1083">
        <f>AN74*AN75</f>
        <v>-193510.63103660973</v>
      </c>
      <c r="AO76" s="1081">
        <f>SUM(B76:AN76)</f>
        <v>-812052.04879143636</v>
      </c>
      <c r="AP76" s="1084">
        <f>SUM(AP74:AP75)</f>
        <v>1.8917489796876907E-10</v>
      </c>
      <c r="AQ76" s="1066"/>
      <c r="AR76" s="1066"/>
      <c r="AS76" s="1066"/>
      <c r="AT76" s="1066"/>
      <c r="AU76" s="1068"/>
      <c r="AV76" s="1068"/>
      <c r="AW76" s="1066"/>
      <c r="AX76" s="1066"/>
    </row>
    <row r="77" spans="1:50">
      <c r="AU77" s="1057"/>
      <c r="AV77" s="1057"/>
    </row>
    <row r="79" spans="1:50" ht="15.6">
      <c r="A79" s="131" t="s">
        <v>1816</v>
      </c>
      <c r="B79" s="1716">
        <v>7</v>
      </c>
      <c r="C79" s="1716">
        <v>7</v>
      </c>
      <c r="D79" s="1716">
        <v>7</v>
      </c>
      <c r="E79" s="1716">
        <v>7</v>
      </c>
      <c r="F79" s="1716">
        <v>7</v>
      </c>
      <c r="G79" s="1716">
        <v>7</v>
      </c>
      <c r="H79" s="1716">
        <v>7</v>
      </c>
      <c r="I79" s="1716">
        <v>7</v>
      </c>
      <c r="J79" s="1716">
        <v>7</v>
      </c>
      <c r="K79" s="1716">
        <v>7</v>
      </c>
      <c r="L79" s="1716">
        <v>7</v>
      </c>
      <c r="M79" s="1716">
        <v>7</v>
      </c>
      <c r="N79" s="1716">
        <v>7</v>
      </c>
      <c r="O79" s="1716">
        <v>7</v>
      </c>
      <c r="P79" s="1716">
        <v>7</v>
      </c>
      <c r="Q79" s="1717">
        <v>7</v>
      </c>
      <c r="R79" s="1717">
        <v>7</v>
      </c>
      <c r="S79" s="1709">
        <v>3</v>
      </c>
      <c r="T79" s="1710">
        <v>7</v>
      </c>
      <c r="U79" s="1710">
        <v>7</v>
      </c>
      <c r="V79" s="1709">
        <v>7</v>
      </c>
      <c r="W79" s="1709">
        <v>4</v>
      </c>
      <c r="X79" s="1710">
        <v>7</v>
      </c>
      <c r="Y79" s="1709">
        <v>7</v>
      </c>
      <c r="Z79" s="1710">
        <v>7</v>
      </c>
      <c r="AA79" s="1709">
        <v>7</v>
      </c>
      <c r="AB79" s="1710">
        <v>7</v>
      </c>
      <c r="AC79" s="1709">
        <v>7</v>
      </c>
      <c r="AD79" s="1710">
        <v>7</v>
      </c>
      <c r="AE79" s="1709">
        <v>7</v>
      </c>
      <c r="AF79" s="1710">
        <v>7</v>
      </c>
      <c r="AG79" s="1709">
        <v>7</v>
      </c>
      <c r="AH79" s="1710">
        <v>7</v>
      </c>
      <c r="AI79" s="1710">
        <v>3</v>
      </c>
      <c r="AJ79" s="1709">
        <v>4</v>
      </c>
      <c r="AK79" s="1710">
        <v>7</v>
      </c>
      <c r="AL79" s="1710">
        <v>7</v>
      </c>
      <c r="AM79" s="1710">
        <v>7</v>
      </c>
      <c r="AN79" s="1726">
        <v>3</v>
      </c>
      <c r="AO79" s="1695"/>
    </row>
    <row r="80" spans="1:50" ht="15.6">
      <c r="A80" s="131" t="s">
        <v>1815</v>
      </c>
      <c r="B80" s="1711" t="s">
        <v>1773</v>
      </c>
      <c r="C80" s="1711" t="s">
        <v>1773</v>
      </c>
      <c r="D80" s="1711" t="s">
        <v>1773</v>
      </c>
      <c r="E80" s="1711" t="s">
        <v>1773</v>
      </c>
      <c r="F80" s="1711" t="s">
        <v>1773</v>
      </c>
      <c r="G80" s="1711" t="s">
        <v>1773</v>
      </c>
      <c r="H80" s="1711" t="s">
        <v>1773</v>
      </c>
      <c r="I80" s="1711" t="s">
        <v>1773</v>
      </c>
      <c r="J80" s="1711" t="s">
        <v>1773</v>
      </c>
      <c r="K80" s="1711" t="s">
        <v>1773</v>
      </c>
      <c r="L80" s="1711" t="s">
        <v>1773</v>
      </c>
      <c r="M80" s="1711" t="s">
        <v>1773</v>
      </c>
      <c r="N80" s="1711" t="s">
        <v>1773</v>
      </c>
      <c r="O80" s="1711" t="s">
        <v>1773</v>
      </c>
      <c r="P80" s="1711" t="s">
        <v>1773</v>
      </c>
      <c r="Q80" s="1711" t="s">
        <v>1773</v>
      </c>
      <c r="R80" s="1711" t="s">
        <v>1826</v>
      </c>
      <c r="S80" s="1711" t="s">
        <v>1775</v>
      </c>
      <c r="T80" s="1711" t="s">
        <v>1775</v>
      </c>
      <c r="U80" s="1711" t="s">
        <v>1775</v>
      </c>
      <c r="V80" s="1711" t="s">
        <v>1775</v>
      </c>
      <c r="W80" s="1711" t="s">
        <v>1775</v>
      </c>
      <c r="X80" s="1711" t="s">
        <v>1776</v>
      </c>
      <c r="Y80" s="1711" t="s">
        <v>1777</v>
      </c>
      <c r="Z80" s="1711" t="s">
        <v>1777</v>
      </c>
      <c r="AA80" s="1711" t="s">
        <v>108</v>
      </c>
      <c r="AB80" s="1711" t="s">
        <v>108</v>
      </c>
      <c r="AC80" s="1711" t="s">
        <v>108</v>
      </c>
      <c r="AD80" s="1711" t="s">
        <v>1778</v>
      </c>
      <c r="AE80" s="1711" t="s">
        <v>1778</v>
      </c>
      <c r="AF80" s="1711" t="s">
        <v>1779</v>
      </c>
      <c r="AG80" s="1711" t="s">
        <v>1779</v>
      </c>
      <c r="AH80" s="1711" t="s">
        <v>1780</v>
      </c>
      <c r="AI80" s="1711" t="s">
        <v>1780</v>
      </c>
      <c r="AJ80" s="1711" t="s">
        <v>1781</v>
      </c>
      <c r="AK80" s="1711" t="s">
        <v>1781</v>
      </c>
      <c r="AL80" s="1711" t="s">
        <v>1781</v>
      </c>
      <c r="AM80" s="1711" t="s">
        <v>1781</v>
      </c>
      <c r="AN80" s="1727" t="s">
        <v>1781</v>
      </c>
    </row>
    <row r="81" spans="1:41" ht="15.6">
      <c r="A81" s="131" t="s">
        <v>323</v>
      </c>
      <c r="B81" s="1711">
        <v>-16</v>
      </c>
      <c r="C81" s="1711">
        <v>-15</v>
      </c>
      <c r="D81" s="1711">
        <v>-14</v>
      </c>
      <c r="E81" s="1711">
        <v>-13</v>
      </c>
      <c r="F81" s="1711">
        <v>-12</v>
      </c>
      <c r="G81" s="1711">
        <v>-11</v>
      </c>
      <c r="H81" s="1711">
        <v>-10</v>
      </c>
      <c r="I81" s="1711">
        <v>-9</v>
      </c>
      <c r="J81" s="1711">
        <v>-8</v>
      </c>
      <c r="K81" s="1711">
        <v>-7</v>
      </c>
      <c r="L81" s="1711">
        <v>-6</v>
      </c>
      <c r="M81" s="1711">
        <v>-5</v>
      </c>
      <c r="N81" s="1711">
        <v>-4</v>
      </c>
      <c r="O81" s="1711">
        <v>-3</v>
      </c>
      <c r="P81" s="1711">
        <v>-2</v>
      </c>
      <c r="Q81" s="1711">
        <v>-1</v>
      </c>
      <c r="R81" s="1711">
        <v>0</v>
      </c>
      <c r="S81" s="276">
        <v>1</v>
      </c>
      <c r="T81" s="276">
        <v>2</v>
      </c>
      <c r="U81" s="276">
        <v>3</v>
      </c>
      <c r="V81" s="276">
        <v>4</v>
      </c>
      <c r="W81" s="276">
        <v>5</v>
      </c>
      <c r="X81" s="276">
        <v>6</v>
      </c>
      <c r="Y81" s="276">
        <v>7</v>
      </c>
      <c r="Z81" s="276">
        <v>8</v>
      </c>
      <c r="AA81" s="276">
        <v>9</v>
      </c>
      <c r="AB81" s="276">
        <v>10</v>
      </c>
      <c r="AC81" s="276">
        <v>11</v>
      </c>
      <c r="AD81" s="276">
        <v>12</v>
      </c>
      <c r="AE81" s="276">
        <v>13</v>
      </c>
      <c r="AF81" s="276">
        <v>14</v>
      </c>
      <c r="AG81" s="276">
        <v>15</v>
      </c>
      <c r="AH81" s="276">
        <v>16</v>
      </c>
      <c r="AI81" s="276">
        <v>17</v>
      </c>
      <c r="AJ81" s="276">
        <v>17</v>
      </c>
      <c r="AK81" s="276">
        <v>18</v>
      </c>
      <c r="AL81" s="276">
        <v>19</v>
      </c>
      <c r="AM81" s="276">
        <v>20</v>
      </c>
      <c r="AN81" s="1728">
        <v>21</v>
      </c>
      <c r="AO81"/>
    </row>
    <row r="82" spans="1:41" ht="16.149999999999999" thickBot="1">
      <c r="A82" s="131"/>
      <c r="B82" s="1718">
        <f>+B83*B79</f>
        <v>17.5</v>
      </c>
      <c r="C82" s="1718">
        <f t="shared" ref="C82:R82" si="41">+C83*C79</f>
        <v>17.5</v>
      </c>
      <c r="D82" s="1718">
        <f t="shared" si="41"/>
        <v>17.5</v>
      </c>
      <c r="E82" s="1718">
        <f t="shared" si="41"/>
        <v>17.5</v>
      </c>
      <c r="F82" s="1718">
        <f t="shared" si="41"/>
        <v>16.099999999999998</v>
      </c>
      <c r="G82" s="1718">
        <f t="shared" si="41"/>
        <v>16.099999999999998</v>
      </c>
      <c r="H82" s="1718">
        <f t="shared" si="41"/>
        <v>16.099999999999998</v>
      </c>
      <c r="I82" s="1718">
        <f t="shared" si="41"/>
        <v>16.099999999999998</v>
      </c>
      <c r="J82" s="1718">
        <f t="shared" si="41"/>
        <v>16.099999999999998</v>
      </c>
      <c r="K82" s="1718">
        <f t="shared" si="41"/>
        <v>16.099999999999998</v>
      </c>
      <c r="L82" s="1718">
        <f t="shared" si="41"/>
        <v>16.099999999999998</v>
      </c>
      <c r="M82" s="1718">
        <f t="shared" si="41"/>
        <v>16.099999999999998</v>
      </c>
      <c r="N82" s="1718">
        <f t="shared" si="41"/>
        <v>19.599999999999998</v>
      </c>
      <c r="O82" s="1718">
        <f t="shared" si="41"/>
        <v>19.599999999999998</v>
      </c>
      <c r="P82" s="1718">
        <f t="shared" si="41"/>
        <v>19.599999999999998</v>
      </c>
      <c r="Q82" s="1718">
        <f t="shared" si="41"/>
        <v>19.599999999999998</v>
      </c>
      <c r="R82" s="1718">
        <f t="shared" si="41"/>
        <v>35</v>
      </c>
      <c r="S82" s="1698">
        <v>0.3</v>
      </c>
      <c r="T82" s="1699">
        <v>1.8</v>
      </c>
      <c r="U82" s="1699">
        <v>2.5</v>
      </c>
      <c r="V82" s="1699">
        <v>3.5</v>
      </c>
      <c r="W82" s="1700">
        <v>2</v>
      </c>
      <c r="X82" s="1701">
        <v>4.5</v>
      </c>
      <c r="Y82" s="1702">
        <v>6</v>
      </c>
      <c r="Z82" s="1702">
        <v>7</v>
      </c>
      <c r="AA82" s="1703">
        <v>10.5</v>
      </c>
      <c r="AB82" s="1703">
        <v>11.9</v>
      </c>
      <c r="AC82" s="1703">
        <v>13.3</v>
      </c>
      <c r="AD82" s="1704">
        <v>15.4</v>
      </c>
      <c r="AE82" s="1704">
        <v>17.5</v>
      </c>
      <c r="AF82" s="1705">
        <v>18.2</v>
      </c>
      <c r="AG82" s="1705">
        <v>18.899999999999999</v>
      </c>
      <c r="AH82" s="1706">
        <v>20.3</v>
      </c>
      <c r="AI82" s="1706">
        <v>9</v>
      </c>
      <c r="AJ82" s="1707">
        <v>12.4</v>
      </c>
      <c r="AK82" s="1707">
        <v>21.7</v>
      </c>
      <c r="AL82" s="1707">
        <v>21.7</v>
      </c>
      <c r="AM82" s="1707">
        <v>21.7</v>
      </c>
      <c r="AN82" s="1729">
        <v>21.7</v>
      </c>
      <c r="AO82" s="818"/>
    </row>
    <row r="83" spans="1:41" ht="15.6">
      <c r="A83" s="131" t="s">
        <v>1817</v>
      </c>
      <c r="B83" s="142">
        <v>2.5</v>
      </c>
      <c r="C83" s="142">
        <v>2.5</v>
      </c>
      <c r="D83" s="142">
        <v>2.5</v>
      </c>
      <c r="E83" s="142">
        <v>2.5</v>
      </c>
      <c r="F83" s="142">
        <v>2.2999999999999998</v>
      </c>
      <c r="G83" s="142">
        <v>2.2999999999999998</v>
      </c>
      <c r="H83" s="142">
        <v>2.2999999999999998</v>
      </c>
      <c r="I83" s="142">
        <v>2.2999999999999998</v>
      </c>
      <c r="J83" s="142">
        <v>2.2999999999999998</v>
      </c>
      <c r="K83" s="142">
        <v>2.2999999999999998</v>
      </c>
      <c r="L83" s="142">
        <v>2.2999999999999998</v>
      </c>
      <c r="M83" s="142">
        <v>2.2999999999999998</v>
      </c>
      <c r="N83" s="142">
        <v>2.8</v>
      </c>
      <c r="O83" s="142">
        <v>2.8</v>
      </c>
      <c r="P83" s="142">
        <v>2.8</v>
      </c>
      <c r="Q83" s="142">
        <v>2.8</v>
      </c>
      <c r="R83" s="142">
        <v>5</v>
      </c>
      <c r="S83" s="1712">
        <f>+S82/S79</f>
        <v>9.9999999999999992E-2</v>
      </c>
      <c r="T83" s="1712">
        <f t="shared" ref="T83:V83" si="42">+T82/T79</f>
        <v>0.25714285714285717</v>
      </c>
      <c r="U83" s="1712">
        <f t="shared" si="42"/>
        <v>0.35714285714285715</v>
      </c>
      <c r="V83" s="1712">
        <f t="shared" si="42"/>
        <v>0.5</v>
      </c>
      <c r="W83" s="1712">
        <f>+W82/W79</f>
        <v>0.5</v>
      </c>
      <c r="X83" s="1712">
        <f t="shared" ref="X83:AD83" si="43">+X82/X79</f>
        <v>0.6428571428571429</v>
      </c>
      <c r="Y83" s="1712">
        <f t="shared" si="43"/>
        <v>0.8571428571428571</v>
      </c>
      <c r="Z83" s="1712">
        <f t="shared" si="43"/>
        <v>1</v>
      </c>
      <c r="AA83" s="1712">
        <f t="shared" si="43"/>
        <v>1.5</v>
      </c>
      <c r="AB83" s="1712">
        <f t="shared" si="43"/>
        <v>1.7</v>
      </c>
      <c r="AC83" s="1712">
        <f t="shared" si="43"/>
        <v>1.9000000000000001</v>
      </c>
      <c r="AD83" s="1712">
        <f t="shared" si="43"/>
        <v>2.2000000000000002</v>
      </c>
      <c r="AE83" s="1712">
        <f>+AE82/AE79</f>
        <v>2.5</v>
      </c>
      <c r="AF83" s="1712">
        <f t="shared" ref="AF83:AN83" si="44">+AF82/AF79</f>
        <v>2.6</v>
      </c>
      <c r="AG83" s="1712">
        <f t="shared" si="44"/>
        <v>2.6999999999999997</v>
      </c>
      <c r="AH83" s="1712">
        <f t="shared" si="44"/>
        <v>2.9</v>
      </c>
      <c r="AI83" s="1712">
        <f t="shared" si="44"/>
        <v>3</v>
      </c>
      <c r="AJ83" s="1712">
        <f t="shared" si="44"/>
        <v>3.1</v>
      </c>
      <c r="AK83" s="1712">
        <f t="shared" si="44"/>
        <v>3.1</v>
      </c>
      <c r="AL83" s="1712">
        <f t="shared" si="44"/>
        <v>3.1</v>
      </c>
      <c r="AM83" s="1712">
        <f t="shared" si="44"/>
        <v>3.1</v>
      </c>
      <c r="AN83" s="1712">
        <f t="shared" si="44"/>
        <v>7.2333333333333334</v>
      </c>
      <c r="AO83" s="1712"/>
    </row>
    <row r="84" spans="1:41" ht="15.6">
      <c r="B84" s="1081">
        <f>'Summary Total Pigs'!AF112/17*4</f>
        <v>233.41176470588235</v>
      </c>
      <c r="C84" s="817">
        <f>+B84</f>
        <v>233.41176470588235</v>
      </c>
      <c r="D84" s="817">
        <f t="shared" ref="D84:R84" si="45">+C84</f>
        <v>233.41176470588235</v>
      </c>
      <c r="E84" s="817">
        <f t="shared" si="45"/>
        <v>233.41176470588235</v>
      </c>
      <c r="F84" s="817">
        <f t="shared" si="45"/>
        <v>233.41176470588235</v>
      </c>
      <c r="G84" s="817">
        <f t="shared" si="45"/>
        <v>233.41176470588235</v>
      </c>
      <c r="H84" s="817">
        <f t="shared" si="45"/>
        <v>233.41176470588235</v>
      </c>
      <c r="I84" s="817">
        <f t="shared" si="45"/>
        <v>233.41176470588235</v>
      </c>
      <c r="J84" s="817">
        <f t="shared" si="45"/>
        <v>233.41176470588235</v>
      </c>
      <c r="K84" s="817">
        <f t="shared" si="45"/>
        <v>233.41176470588235</v>
      </c>
      <c r="L84" s="817">
        <f t="shared" si="45"/>
        <v>233.41176470588235</v>
      </c>
      <c r="M84" s="817">
        <f t="shared" si="45"/>
        <v>233.41176470588235</v>
      </c>
      <c r="N84" s="817">
        <f t="shared" si="45"/>
        <v>233.41176470588235</v>
      </c>
      <c r="O84" s="817">
        <f t="shared" si="45"/>
        <v>233.41176470588235</v>
      </c>
      <c r="P84" s="817">
        <f t="shared" si="45"/>
        <v>233.41176470588235</v>
      </c>
      <c r="Q84" s="817">
        <f t="shared" si="45"/>
        <v>233.41176470588235</v>
      </c>
      <c r="R84" s="817">
        <f t="shared" si="45"/>
        <v>233.41176470588235</v>
      </c>
      <c r="S84" s="817">
        <f>+R84</f>
        <v>233.41176470588235</v>
      </c>
      <c r="T84" s="817">
        <f t="shared" ref="T84:V84" si="46">+S84</f>
        <v>233.41176470588235</v>
      </c>
      <c r="U84" s="817">
        <f t="shared" si="46"/>
        <v>233.41176470588235</v>
      </c>
      <c r="V84" s="817">
        <f t="shared" si="46"/>
        <v>233.41176470588235</v>
      </c>
      <c r="W84" s="1059">
        <f t="shared" ref="W84:AJ84" si="47">SUM(W7:Z7)</f>
        <v>1847</v>
      </c>
      <c r="X84" s="1059">
        <f t="shared" si="47"/>
        <v>2442</v>
      </c>
      <c r="Y84" s="1059">
        <f t="shared" si="47"/>
        <v>2470</v>
      </c>
      <c r="Z84" s="1059">
        <f t="shared" si="47"/>
        <v>2366</v>
      </c>
      <c r="AA84" s="1059">
        <f t="shared" si="47"/>
        <v>2237</v>
      </c>
      <c r="AB84" s="1059">
        <f t="shared" si="47"/>
        <v>2115</v>
      </c>
      <c r="AC84" s="1059">
        <f t="shared" si="47"/>
        <v>1992</v>
      </c>
      <c r="AD84" s="1059">
        <f t="shared" si="47"/>
        <v>1992</v>
      </c>
      <c r="AE84" s="1059">
        <f t="shared" si="47"/>
        <v>1948</v>
      </c>
      <c r="AF84" s="1059">
        <f t="shared" si="47"/>
        <v>1957</v>
      </c>
      <c r="AG84" s="1059">
        <f t="shared" si="47"/>
        <v>1953</v>
      </c>
      <c r="AH84" s="1059">
        <f t="shared" si="47"/>
        <v>1931</v>
      </c>
      <c r="AI84" s="1059">
        <f t="shared" si="47"/>
        <v>1951</v>
      </c>
      <c r="AJ84" s="1059">
        <f t="shared" si="47"/>
        <v>1948</v>
      </c>
      <c r="AK84" s="1059">
        <f>SUM(AJ7:AM7)</f>
        <v>1948</v>
      </c>
      <c r="AL84" s="1059">
        <f>SUM(AK7:AN7)</f>
        <v>1911</v>
      </c>
      <c r="AM84" s="1059">
        <f>SUM(AL7:AO7)</f>
        <v>1902</v>
      </c>
      <c r="AN84" s="1059">
        <f>SUM(AM7:AP7)</f>
        <v>1861</v>
      </c>
      <c r="AO84" s="1059"/>
    </row>
    <row r="85" spans="1:41">
      <c r="B85" s="1059">
        <f t="shared" ref="B85:R85" si="48">+B79*B83*B84</f>
        <v>4084.705882352941</v>
      </c>
      <c r="C85" s="1059">
        <f t="shared" si="48"/>
        <v>4084.705882352941</v>
      </c>
      <c r="D85" s="1059">
        <f t="shared" si="48"/>
        <v>4084.705882352941</v>
      </c>
      <c r="E85" s="1059">
        <f t="shared" si="48"/>
        <v>4084.705882352941</v>
      </c>
      <c r="F85" s="1059">
        <f t="shared" si="48"/>
        <v>3757.9294117647055</v>
      </c>
      <c r="G85" s="1059">
        <f t="shared" si="48"/>
        <v>3757.9294117647055</v>
      </c>
      <c r="H85" s="1059">
        <f t="shared" si="48"/>
        <v>3757.9294117647055</v>
      </c>
      <c r="I85" s="1059">
        <f t="shared" si="48"/>
        <v>3757.9294117647055</v>
      </c>
      <c r="J85" s="1059">
        <f t="shared" si="48"/>
        <v>3757.9294117647055</v>
      </c>
      <c r="K85" s="1059">
        <f t="shared" si="48"/>
        <v>3757.9294117647055</v>
      </c>
      <c r="L85" s="1059">
        <f t="shared" si="48"/>
        <v>3757.9294117647055</v>
      </c>
      <c r="M85" s="1059">
        <f t="shared" si="48"/>
        <v>3757.9294117647055</v>
      </c>
      <c r="N85" s="1059">
        <f t="shared" si="48"/>
        <v>4574.8705882352933</v>
      </c>
      <c r="O85" s="1059">
        <f t="shared" si="48"/>
        <v>4574.8705882352933</v>
      </c>
      <c r="P85" s="1059">
        <f t="shared" si="48"/>
        <v>4574.8705882352933</v>
      </c>
      <c r="Q85" s="1059">
        <f t="shared" si="48"/>
        <v>4574.8705882352933</v>
      </c>
      <c r="R85" s="1059">
        <f t="shared" si="48"/>
        <v>8169.411764705882</v>
      </c>
      <c r="S85" s="1059">
        <f>+S79*S83*S84</f>
        <v>70.023529411764699</v>
      </c>
      <c r="T85" s="1059">
        <f>+T79*T83*T84</f>
        <v>420.14117647058828</v>
      </c>
      <c r="U85" s="1059">
        <f>+U79*U83*U84</f>
        <v>583.52941176470586</v>
      </c>
      <c r="V85" s="1059">
        <f>+V79*V83*V84</f>
        <v>816.94117647058818</v>
      </c>
      <c r="W85" s="1059">
        <f t="shared" ref="W85:X85" si="49">+W79*W83*W84</f>
        <v>3694</v>
      </c>
      <c r="X85" s="1059">
        <f t="shared" si="49"/>
        <v>10989</v>
      </c>
      <c r="Y85" s="1059">
        <f>+Y79*Y83*Y84</f>
        <v>14820</v>
      </c>
      <c r="Z85" s="1059">
        <f>+Z79*Z83*Z84</f>
        <v>16562</v>
      </c>
      <c r="AA85" s="1059">
        <f t="shared" ref="AA85:AC85" si="50">+AA79*AA83*AA84</f>
        <v>23488.5</v>
      </c>
      <c r="AB85" s="1059">
        <f t="shared" si="50"/>
        <v>25168.5</v>
      </c>
      <c r="AC85" s="1059">
        <f t="shared" si="50"/>
        <v>26493.600000000002</v>
      </c>
      <c r="AD85" s="1059">
        <f>+AD79*AD83*AD84</f>
        <v>30676.800000000003</v>
      </c>
      <c r="AE85" s="1059">
        <f>+AE79*AE83*AE84</f>
        <v>34090</v>
      </c>
      <c r="AF85" s="1059">
        <f t="shared" ref="AF85:AI85" si="51">+AF79*AF83*AF84</f>
        <v>35617.4</v>
      </c>
      <c r="AG85" s="1059">
        <f t="shared" si="51"/>
        <v>36911.699999999997</v>
      </c>
      <c r="AH85" s="1059">
        <f>+AH79*AH83*AH84</f>
        <v>39199.300000000003</v>
      </c>
      <c r="AI85" s="1059">
        <f t="shared" si="51"/>
        <v>17559</v>
      </c>
      <c r="AJ85" s="1059">
        <f>+AJ79*AJ83*AJ84</f>
        <v>24155.200000000001</v>
      </c>
      <c r="AK85" s="1059">
        <f t="shared" ref="AK85:AN85" si="52">+AK79*AK83*AK84</f>
        <v>42271.6</v>
      </c>
      <c r="AL85" s="1059">
        <f t="shared" si="52"/>
        <v>41468.699999999997</v>
      </c>
      <c r="AM85" s="1059">
        <f t="shared" si="52"/>
        <v>41273.4</v>
      </c>
      <c r="AN85" s="1059">
        <f t="shared" si="52"/>
        <v>40383.699999999997</v>
      </c>
      <c r="AO85" s="1059"/>
    </row>
    <row r="86" spans="1:41">
      <c r="R86" s="818">
        <f>SUM(B85:R85)</f>
        <v>72871.152941176479</v>
      </c>
      <c r="W86" s="818">
        <f>SUM(S85:W85)</f>
        <v>5584.6352941176465</v>
      </c>
      <c r="X86" s="818">
        <f>SUM(X85)</f>
        <v>10989</v>
      </c>
      <c r="Z86" s="818">
        <f>SUM(Y85:Z85)</f>
        <v>31382</v>
      </c>
      <c r="AC86" s="818">
        <f>SUM(AA85:AC85)</f>
        <v>75150.600000000006</v>
      </c>
      <c r="AE86" s="818">
        <f>SUM(AD85:AE85)</f>
        <v>64766.8</v>
      </c>
      <c r="AG86" s="818">
        <f>SUM(AF85:AG85)</f>
        <v>72529.100000000006</v>
      </c>
      <c r="AI86" s="818">
        <f>SUM(AH85:AI85)</f>
        <v>56758.3</v>
      </c>
      <c r="AJ86" s="818"/>
      <c r="AN86" s="818">
        <f>SUM(AJ85:AN85)</f>
        <v>189552.59999999998</v>
      </c>
      <c r="AO86" s="818"/>
    </row>
    <row r="87" spans="1:41" ht="15.6">
      <c r="B87" s="1715">
        <f>+B85/$R$86</f>
        <v>5.6053811659192813E-2</v>
      </c>
      <c r="C87" s="1715">
        <f t="shared" ref="C87:R87" si="53">+C85/$R$86</f>
        <v>5.6053811659192813E-2</v>
      </c>
      <c r="D87" s="1715">
        <f t="shared" si="53"/>
        <v>5.6053811659192813E-2</v>
      </c>
      <c r="E87" s="1715">
        <f t="shared" si="53"/>
        <v>5.6053811659192813E-2</v>
      </c>
      <c r="F87" s="1715">
        <f t="shared" si="53"/>
        <v>5.1569506726457388E-2</v>
      </c>
      <c r="G87" s="1715">
        <f t="shared" si="53"/>
        <v>5.1569506726457388E-2</v>
      </c>
      <c r="H87" s="1715">
        <f t="shared" si="53"/>
        <v>5.1569506726457388E-2</v>
      </c>
      <c r="I87" s="1715">
        <f t="shared" si="53"/>
        <v>5.1569506726457388E-2</v>
      </c>
      <c r="J87" s="1715">
        <f t="shared" si="53"/>
        <v>5.1569506726457388E-2</v>
      </c>
      <c r="K87" s="1715">
        <f t="shared" si="53"/>
        <v>5.1569506726457388E-2</v>
      </c>
      <c r="L87" s="1715">
        <f t="shared" si="53"/>
        <v>5.1569506726457388E-2</v>
      </c>
      <c r="M87" s="1715">
        <f t="shared" si="53"/>
        <v>5.1569506726457388E-2</v>
      </c>
      <c r="N87" s="1715">
        <f t="shared" si="53"/>
        <v>6.2780269058295951E-2</v>
      </c>
      <c r="O87" s="1715">
        <f t="shared" si="53"/>
        <v>6.2780269058295951E-2</v>
      </c>
      <c r="P87" s="1715">
        <f t="shared" si="53"/>
        <v>6.2780269058295951E-2</v>
      </c>
      <c r="Q87" s="1715">
        <f t="shared" si="53"/>
        <v>6.2780269058295951E-2</v>
      </c>
      <c r="R87" s="1715">
        <f t="shared" si="53"/>
        <v>0.11210762331838563</v>
      </c>
      <c r="S87" s="1715">
        <f>+S85/W86</f>
        <v>1.2538603816353272E-2</v>
      </c>
      <c r="T87" s="1715">
        <f>+T85/W86</f>
        <v>7.5231622898119646E-2</v>
      </c>
      <c r="U87" s="1715">
        <f>+U85/W86</f>
        <v>0.10448836513627727</v>
      </c>
      <c r="V87" s="1715">
        <f>+V85/W86</f>
        <v>0.14628371119078817</v>
      </c>
      <c r="W87" s="1715">
        <f>+W85/W86</f>
        <v>0.66145769695846168</v>
      </c>
      <c r="X87" s="1715">
        <f>+X85/X86</f>
        <v>1</v>
      </c>
      <c r="Y87" s="1715">
        <f>+Y85/Z86</f>
        <v>0.47224523612261804</v>
      </c>
      <c r="Z87" s="1715">
        <f>+Z85/Z86</f>
        <v>0.52775476387738196</v>
      </c>
      <c r="AA87" s="1715">
        <f>+AA85/AC86</f>
        <v>0.31255239479125912</v>
      </c>
      <c r="AB87" s="1715">
        <f>+AB85/AC86</f>
        <v>0.33490750572849715</v>
      </c>
      <c r="AC87" s="1715">
        <f>+AC85/AC86</f>
        <v>0.35254009948024367</v>
      </c>
      <c r="AD87" s="1715">
        <f>+AD85/AE86</f>
        <v>0.47365007997924863</v>
      </c>
      <c r="AE87" s="1715">
        <f>+AE85/AE86</f>
        <v>0.52634992002075132</v>
      </c>
      <c r="AF87" s="1715">
        <f>+AF85/AG86</f>
        <v>0.49107737446073368</v>
      </c>
      <c r="AG87" s="1715">
        <f>+AG85/AG86</f>
        <v>0.50892262553926626</v>
      </c>
      <c r="AH87" s="1715">
        <f>+AH85/AI86</f>
        <v>0.69063555462372905</v>
      </c>
      <c r="AI87" s="1715">
        <f>+AI85/AI86</f>
        <v>0.30936444537627095</v>
      </c>
      <c r="AJ87" s="1715">
        <f>+AJ85/AN86</f>
        <v>0.12743270205737089</v>
      </c>
      <c r="AK87" s="1715">
        <f>+AK85/AN86</f>
        <v>0.22300722860039907</v>
      </c>
      <c r="AL87" s="1715">
        <f>+AL85/AN86</f>
        <v>0.21877146501815328</v>
      </c>
      <c r="AM87" s="1715">
        <f>+AM85/AN86</f>
        <v>0.21774114414679624</v>
      </c>
      <c r="AN87" s="1715">
        <f>+AN85/AN86</f>
        <v>0.21304746017728063</v>
      </c>
      <c r="AO87" s="1715"/>
    </row>
  </sheetData>
  <pageMargins left="0.7" right="0.7" top="0.75" bottom="0.75" header="0.3" footer="0.3"/>
  <pageSetup paperSize="9" scale="10" orientation="portrait" r:id="rId1"/>
  <colBreaks count="1" manualBreakCount="1">
    <brk id="42" max="8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0248-EA03-41FF-8C35-82C4B35B01B7}">
  <sheetPr codeName="Sheet59">
    <tabColor theme="6" tint="-0.249977111117893"/>
    <pageSetUpPr fitToPage="1"/>
  </sheetPr>
  <dimension ref="A1:AZ97"/>
  <sheetViews>
    <sheetView view="pageBreakPreview" topLeftCell="A2" zoomScale="60" zoomScaleNormal="100" workbookViewId="0">
      <pane xSplit="1" ySplit="2" topLeftCell="B42" activePane="bottomRight" state="frozen"/>
      <selection pane="bottomRight" activeCell="AP25" sqref="AP25"/>
      <selection pane="bottomLeft" activeCell="A4" sqref="A4"/>
      <selection pane="topRight" activeCell="B2" sqref="B2"/>
    </sheetView>
  </sheetViews>
  <sheetFormatPr defaultColWidth="9.140625" defaultRowHeight="15"/>
  <cols>
    <col min="1" max="1" width="37.85546875" style="142" bestFit="1" customWidth="1"/>
    <col min="2" max="2" width="23.42578125" style="142" bestFit="1" customWidth="1"/>
    <col min="3" max="3" width="19" style="142" bestFit="1" customWidth="1"/>
    <col min="4" max="4" width="23.42578125" style="142" bestFit="1" customWidth="1"/>
    <col min="5" max="5" width="19" style="142" bestFit="1" customWidth="1"/>
    <col min="6" max="6" width="21.85546875" style="142" bestFit="1" customWidth="1"/>
    <col min="7" max="11" width="21.28515625" style="142" bestFit="1" customWidth="1"/>
    <col min="12" max="13" width="20.5703125" style="142" bestFit="1" customWidth="1"/>
    <col min="14" max="17" width="21.28515625" style="142" bestFit="1" customWidth="1"/>
    <col min="18" max="18" width="21.85546875" style="142" bestFit="1" customWidth="1"/>
    <col min="19" max="20" width="21.28515625" style="142" bestFit="1" customWidth="1"/>
    <col min="21" max="21" width="21.85546875" style="142" bestFit="1" customWidth="1"/>
    <col min="22" max="22" width="21.28515625" style="142" bestFit="1" customWidth="1"/>
    <col min="23" max="23" width="26.85546875" style="142" bestFit="1" customWidth="1"/>
    <col min="24" max="25" width="21.85546875" style="142" bestFit="1" customWidth="1"/>
    <col min="26" max="30" width="23.42578125" style="142" bestFit="1" customWidth="1"/>
    <col min="31" max="31" width="23" style="142" bestFit="1" customWidth="1"/>
    <col min="32" max="32" width="22.5703125" style="142" bestFit="1" customWidth="1"/>
    <col min="33" max="33" width="24" style="142" bestFit="1" customWidth="1"/>
    <col min="34" max="34" width="22.28515625" style="142" bestFit="1" customWidth="1"/>
    <col min="35" max="38" width="24" style="142" bestFit="1" customWidth="1"/>
    <col min="39" max="39" width="23.42578125" style="142" bestFit="1" customWidth="1"/>
    <col min="40" max="40" width="21.85546875" style="142" bestFit="1" customWidth="1"/>
    <col min="41" max="42" width="23.42578125" style="142" bestFit="1" customWidth="1"/>
    <col min="43" max="43" width="22.28515625" style="142" bestFit="1" customWidth="1"/>
    <col min="44" max="44" width="23.42578125" style="142" bestFit="1" customWidth="1"/>
    <col min="45" max="45" width="21.85546875" style="142" bestFit="1" customWidth="1"/>
    <col min="46" max="46" width="21.85546875" style="142" customWidth="1"/>
    <col min="47" max="47" width="21.85546875" style="142" bestFit="1" customWidth="1"/>
    <col min="48" max="48" width="28.42578125" style="142" bestFit="1" customWidth="1"/>
    <col min="49" max="49" width="23.7109375" style="142" customWidth="1"/>
    <col min="50" max="50" width="17.7109375" style="142" bestFit="1" customWidth="1"/>
    <col min="51" max="51" width="14.140625" style="142" bestFit="1" customWidth="1"/>
    <col min="52" max="52" width="12.28515625" style="142" bestFit="1" customWidth="1"/>
    <col min="53" max="16384" width="9.140625" style="142"/>
  </cols>
  <sheetData>
    <row r="1" spans="1:52">
      <c r="AU1" s="1057"/>
      <c r="AV1" s="1057"/>
    </row>
    <row r="2" spans="1:52" ht="15.6">
      <c r="A2" s="1066" t="s">
        <v>1772</v>
      </c>
      <c r="B2" s="1079">
        <f>[1]Grasmere!B2</f>
        <v>1</v>
      </c>
      <c r="C2" s="1079">
        <f>[1]Grasmere!C2</f>
        <v>2</v>
      </c>
      <c r="D2" s="1079">
        <f>[1]Grasmere!D2</f>
        <v>3</v>
      </c>
      <c r="E2" s="1079">
        <f>[1]Grasmere!E2</f>
        <v>4</v>
      </c>
      <c r="F2" s="1079">
        <f>[1]Grasmere!F2</f>
        <v>5</v>
      </c>
      <c r="G2" s="1079">
        <f>[1]Grasmere!G2</f>
        <v>6</v>
      </c>
      <c r="H2" s="1079">
        <f>[1]Grasmere!H2</f>
        <v>7</v>
      </c>
      <c r="I2" s="1079">
        <f>[1]Grasmere!I2</f>
        <v>8</v>
      </c>
      <c r="J2" s="1079">
        <f>[1]Grasmere!J2</f>
        <v>9</v>
      </c>
      <c r="K2" s="1079">
        <f>[1]Grasmere!K2</f>
        <v>10</v>
      </c>
      <c r="L2" s="1079">
        <f>[1]Grasmere!L2</f>
        <v>11</v>
      </c>
      <c r="M2" s="1079">
        <f>[1]Grasmere!M2</f>
        <v>12</v>
      </c>
      <c r="N2" s="1079">
        <f>[1]Grasmere!N2</f>
        <v>13</v>
      </c>
      <c r="O2" s="1079">
        <f>[1]Grasmere!O2</f>
        <v>14</v>
      </c>
      <c r="P2" s="1079">
        <f>[1]Grasmere!P2</f>
        <v>15</v>
      </c>
      <c r="Q2" s="1079">
        <f>[1]Grasmere!Q2</f>
        <v>16</v>
      </c>
      <c r="R2" s="1079">
        <f>[1]Grasmere!R2</f>
        <v>17</v>
      </c>
      <c r="S2" s="1079">
        <f>[1]Grasmere!S2</f>
        <v>18</v>
      </c>
      <c r="T2" s="1079">
        <f>[1]Grasmere!T2</f>
        <v>19</v>
      </c>
      <c r="U2" s="1079">
        <f>[1]Grasmere!U2</f>
        <v>20</v>
      </c>
      <c r="V2" s="1079">
        <f>[1]Grasmere!V2</f>
        <v>21</v>
      </c>
      <c r="W2" s="1079">
        <f>[1]Grasmere!W2</f>
        <v>22</v>
      </c>
      <c r="X2" s="1079">
        <f>[1]Grasmere!X2</f>
        <v>23</v>
      </c>
      <c r="Y2" s="1079">
        <f>[1]Grasmere!Y2</f>
        <v>24</v>
      </c>
      <c r="Z2" s="1079">
        <f>[1]Grasmere!Z2</f>
        <v>25</v>
      </c>
      <c r="AA2" s="1079">
        <f>[1]Grasmere!AA2</f>
        <v>26</v>
      </c>
      <c r="AB2" s="1079">
        <f>[1]Grasmere!AB2</f>
        <v>27</v>
      </c>
      <c r="AC2" s="1079">
        <f>[1]Grasmere!AC2</f>
        <v>28</v>
      </c>
      <c r="AD2" s="1079">
        <f>[1]Grasmere!AD2</f>
        <v>29</v>
      </c>
      <c r="AE2" s="1079">
        <f>[1]Grasmere!AE2</f>
        <v>30</v>
      </c>
      <c r="AF2" s="1079">
        <f>[1]Grasmere!AF2</f>
        <v>31</v>
      </c>
      <c r="AG2" s="1079">
        <f>[1]Grasmere!AG2</f>
        <v>32</v>
      </c>
      <c r="AH2" s="1079">
        <f>[1]Grasmere!AH2</f>
        <v>33</v>
      </c>
      <c r="AI2" s="1079">
        <f>[1]Grasmere!AI2</f>
        <v>34</v>
      </c>
      <c r="AJ2" s="1079">
        <f>[1]Grasmere!AJ2</f>
        <v>35</v>
      </c>
      <c r="AK2" s="1079">
        <f>[1]Grasmere!AK2</f>
        <v>36</v>
      </c>
      <c r="AL2" s="1079">
        <f>[1]Grasmere!AL2</f>
        <v>37</v>
      </c>
      <c r="AM2" s="1079">
        <f>[1]Grasmere!AM2</f>
        <v>38</v>
      </c>
      <c r="AN2" s="1079"/>
      <c r="AO2" s="1079"/>
      <c r="AP2" s="1079"/>
      <c r="AQ2" s="1079"/>
      <c r="AR2" s="1079"/>
      <c r="AS2" s="1079"/>
      <c r="AT2" s="1079"/>
      <c r="AU2" s="1057"/>
      <c r="AV2" s="1057"/>
    </row>
    <row r="3" spans="1:52" ht="15.6">
      <c r="B3" s="1730" t="s">
        <v>1773</v>
      </c>
      <c r="C3" s="1730" t="s">
        <v>1773</v>
      </c>
      <c r="D3" s="1730" t="s">
        <v>1773</v>
      </c>
      <c r="E3" s="1730" t="s">
        <v>1773</v>
      </c>
      <c r="F3" s="1730" t="s">
        <v>1773</v>
      </c>
      <c r="G3" s="1730" t="s">
        <v>1773</v>
      </c>
      <c r="H3" s="1730" t="s">
        <v>1773</v>
      </c>
      <c r="I3" s="1730" t="s">
        <v>1773</v>
      </c>
      <c r="J3" s="1730" t="s">
        <v>1773</v>
      </c>
      <c r="K3" s="1730" t="s">
        <v>1773</v>
      </c>
      <c r="L3" s="1730" t="s">
        <v>1773</v>
      </c>
      <c r="M3" s="1730" t="s">
        <v>1773</v>
      </c>
      <c r="N3" s="1730" t="s">
        <v>1773</v>
      </c>
      <c r="O3" s="1730" t="s">
        <v>1773</v>
      </c>
      <c r="P3" s="1730" t="s">
        <v>1773</v>
      </c>
      <c r="Q3" s="1730" t="s">
        <v>1773</v>
      </c>
      <c r="R3" s="1730" t="s">
        <v>1774</v>
      </c>
      <c r="S3" s="1730" t="s">
        <v>1775</v>
      </c>
      <c r="T3" s="1730" t="s">
        <v>1775</v>
      </c>
      <c r="U3" s="1730" t="s">
        <v>1775</v>
      </c>
      <c r="V3" s="1730" t="s">
        <v>1776</v>
      </c>
      <c r="W3" s="1730" t="s">
        <v>1776</v>
      </c>
      <c r="X3" s="1730" t="s">
        <v>1777</v>
      </c>
      <c r="Y3" s="1730" t="s">
        <v>1777</v>
      </c>
      <c r="Z3" s="1730" t="s">
        <v>1777</v>
      </c>
      <c r="AA3" s="1730" t="s">
        <v>108</v>
      </c>
      <c r="AB3" s="1730" t="s">
        <v>108</v>
      </c>
      <c r="AC3" s="1730" t="s">
        <v>108</v>
      </c>
      <c r="AD3" s="1730" t="s">
        <v>1778</v>
      </c>
      <c r="AE3" s="1730" t="s">
        <v>1778</v>
      </c>
      <c r="AF3" s="1730" t="s">
        <v>1779</v>
      </c>
      <c r="AG3" s="1730" t="s">
        <v>1779</v>
      </c>
      <c r="AH3" s="1730" t="s">
        <v>1780</v>
      </c>
      <c r="AI3" s="1730" t="s">
        <v>1781</v>
      </c>
      <c r="AJ3" s="1730" t="s">
        <v>1781</v>
      </c>
      <c r="AK3" s="1730" t="s">
        <v>1781</v>
      </c>
      <c r="AL3" s="1730" t="s">
        <v>1781</v>
      </c>
      <c r="AM3" s="1731" t="s">
        <v>1781</v>
      </c>
      <c r="AN3" s="131"/>
      <c r="AO3" s="1079"/>
      <c r="AP3" s="1079"/>
      <c r="AQ3" s="1079"/>
      <c r="AR3" s="1079"/>
      <c r="AS3" s="1079"/>
      <c r="AT3" s="1079"/>
      <c r="AU3" s="1057"/>
      <c r="AV3" s="1057"/>
    </row>
    <row r="4" spans="1:52" ht="15.6">
      <c r="A4" s="1066" t="s">
        <v>1782</v>
      </c>
      <c r="B4" s="1079">
        <f>[1]Grasmere!B4</f>
        <v>23</v>
      </c>
      <c r="C4" s="1079">
        <f>[1]Grasmere!C4</f>
        <v>24</v>
      </c>
      <c r="D4" s="1079">
        <f>[1]Grasmere!D4</f>
        <v>25</v>
      </c>
      <c r="E4" s="1079">
        <f>[1]Grasmere!E4</f>
        <v>26</v>
      </c>
      <c r="F4" s="1079">
        <f>[1]Grasmere!F4</f>
        <v>27</v>
      </c>
      <c r="G4" s="1079">
        <f>[1]Grasmere!G4</f>
        <v>28</v>
      </c>
      <c r="H4" s="1079">
        <f>[1]Grasmere!H4</f>
        <v>29</v>
      </c>
      <c r="I4" s="1079">
        <f>[1]Grasmere!I4</f>
        <v>30</v>
      </c>
      <c r="J4" s="1079">
        <f>[1]Grasmere!J4</f>
        <v>31</v>
      </c>
      <c r="K4" s="1079">
        <f>[1]Grasmere!K4</f>
        <v>32</v>
      </c>
      <c r="L4" s="1079">
        <f>[1]Grasmere!L4</f>
        <v>33</v>
      </c>
      <c r="M4" s="1079">
        <f>[1]Grasmere!M4</f>
        <v>34</v>
      </c>
      <c r="N4" s="1079">
        <f>[1]Grasmere!N4</f>
        <v>35</v>
      </c>
      <c r="O4" s="1079">
        <f>[1]Grasmere!O4</f>
        <v>36</v>
      </c>
      <c r="P4" s="1079">
        <f>[1]Grasmere!P4</f>
        <v>37</v>
      </c>
      <c r="Q4" s="1079">
        <f>[1]Grasmere!Q4</f>
        <v>38</v>
      </c>
      <c r="R4" s="1079">
        <f>[1]Grasmere!R4</f>
        <v>39</v>
      </c>
      <c r="S4" s="1067">
        <f>[1]Grasmere!S4</f>
        <v>40</v>
      </c>
      <c r="T4" s="1079">
        <f>[1]Grasmere!T4</f>
        <v>41</v>
      </c>
      <c r="U4" s="1079">
        <f>[1]Grasmere!U4</f>
        <v>42</v>
      </c>
      <c r="V4" s="1079">
        <f>[1]Grasmere!V4</f>
        <v>43</v>
      </c>
      <c r="W4" s="1079">
        <f>[1]Grasmere!W4</f>
        <v>44</v>
      </c>
      <c r="X4" s="1079">
        <f>[1]Grasmere!X4</f>
        <v>45</v>
      </c>
      <c r="Y4" s="1079">
        <f>[1]Grasmere!Y4</f>
        <v>46</v>
      </c>
      <c r="Z4" s="1079">
        <f>[1]Grasmere!Z4</f>
        <v>47</v>
      </c>
      <c r="AA4" s="1079">
        <f>[1]Grasmere!AA4</f>
        <v>48</v>
      </c>
      <c r="AB4" s="1079">
        <f>[1]Grasmere!AB4</f>
        <v>49</v>
      </c>
      <c r="AC4" s="1079">
        <f>[1]Grasmere!AC4</f>
        <v>50</v>
      </c>
      <c r="AD4" s="1079">
        <f>[1]Grasmere!AD4</f>
        <v>51</v>
      </c>
      <c r="AE4" s="1079">
        <f>[1]Grasmere!AE4</f>
        <v>52</v>
      </c>
      <c r="AF4" s="1079">
        <f>[1]Grasmere!AF4</f>
        <v>1</v>
      </c>
      <c r="AG4" s="1079">
        <f>[1]Grasmere!AG4</f>
        <v>2</v>
      </c>
      <c r="AH4" s="1079">
        <f>[1]Grasmere!AH4</f>
        <v>3</v>
      </c>
      <c r="AI4" s="1079">
        <f>[1]Grasmere!AI4</f>
        <v>4</v>
      </c>
      <c r="AJ4" s="1079">
        <f>[1]Grasmere!AJ4</f>
        <v>5</v>
      </c>
      <c r="AK4" s="1079">
        <f>[1]Grasmere!AK4</f>
        <v>6</v>
      </c>
      <c r="AL4" s="1079">
        <f>[1]Grasmere!AL4</f>
        <v>7</v>
      </c>
      <c r="AM4" s="1079">
        <f>[1]Grasmere!AM4</f>
        <v>8</v>
      </c>
      <c r="AN4" s="1079"/>
      <c r="AO4" s="1079"/>
      <c r="AP4" s="1079"/>
      <c r="AQ4" s="1079"/>
      <c r="AR4" s="1079"/>
      <c r="AS4" s="1079"/>
      <c r="AT4" s="1079"/>
      <c r="AU4" s="1068"/>
      <c r="AV4" s="1068"/>
      <c r="AW4" s="1066"/>
      <c r="AX4" s="1066"/>
    </row>
    <row r="5" spans="1:52" ht="15.6">
      <c r="A5" s="1066" t="s">
        <v>1783</v>
      </c>
      <c r="B5" s="1079">
        <f>[1]Grasmere!B5</f>
        <v>-16</v>
      </c>
      <c r="C5" s="1079">
        <f>[1]Grasmere!C5</f>
        <v>-15</v>
      </c>
      <c r="D5" s="1079">
        <f>[1]Grasmere!D5</f>
        <v>-14</v>
      </c>
      <c r="E5" s="1079">
        <f>[1]Grasmere!E5</f>
        <v>-13</v>
      </c>
      <c r="F5" s="1079">
        <f>[1]Grasmere!F5</f>
        <v>-12</v>
      </c>
      <c r="G5" s="1079">
        <f>[1]Grasmere!G5</f>
        <v>-11</v>
      </c>
      <c r="H5" s="1079">
        <f>[1]Grasmere!H5</f>
        <v>-10</v>
      </c>
      <c r="I5" s="1079">
        <f>[1]Grasmere!I5</f>
        <v>-9</v>
      </c>
      <c r="J5" s="1079">
        <f>[1]Grasmere!J5</f>
        <v>-8</v>
      </c>
      <c r="K5" s="1079">
        <f>[1]Grasmere!K5</f>
        <v>-7</v>
      </c>
      <c r="L5" s="1079">
        <f>[1]Grasmere!L5</f>
        <v>-6</v>
      </c>
      <c r="M5" s="1079">
        <f>[1]Grasmere!M5</f>
        <v>-5</v>
      </c>
      <c r="N5" s="1079">
        <f>[1]Grasmere!N5</f>
        <v>-4</v>
      </c>
      <c r="O5" s="1079">
        <f>[1]Grasmere!O5</f>
        <v>-3</v>
      </c>
      <c r="P5" s="1079">
        <f>[1]Grasmere!P5</f>
        <v>-2</v>
      </c>
      <c r="Q5" s="1079">
        <f>[1]Grasmere!Q5</f>
        <v>-1</v>
      </c>
      <c r="R5" s="1079">
        <f>[1]Grasmere!R5</f>
        <v>0</v>
      </c>
      <c r="S5" s="1079">
        <f>[1]Grasmere!S5</f>
        <v>1</v>
      </c>
      <c r="T5" s="1079">
        <f>[1]Grasmere!T5</f>
        <v>2</v>
      </c>
      <c r="U5" s="1079">
        <f>[1]Grasmere!U5</f>
        <v>3</v>
      </c>
      <c r="V5" s="1079">
        <f>[1]Grasmere!V5</f>
        <v>4</v>
      </c>
      <c r="W5" s="1079">
        <f>[1]Grasmere!W5</f>
        <v>5</v>
      </c>
      <c r="X5" s="1079">
        <f>[1]Grasmere!X5</f>
        <v>6</v>
      </c>
      <c r="Y5" s="1079">
        <f>[1]Grasmere!Y5</f>
        <v>7</v>
      </c>
      <c r="Z5" s="1079">
        <f>[1]Grasmere!Z5</f>
        <v>8</v>
      </c>
      <c r="AA5" s="1079">
        <f>[1]Grasmere!AA5</f>
        <v>9</v>
      </c>
      <c r="AB5" s="1079">
        <f>[1]Grasmere!AB5</f>
        <v>10</v>
      </c>
      <c r="AC5" s="1079">
        <f>[1]Grasmere!AC5</f>
        <v>11</v>
      </c>
      <c r="AD5" s="1079">
        <f>[1]Grasmere!AD5</f>
        <v>12</v>
      </c>
      <c r="AE5" s="1079">
        <f>[1]Grasmere!AE5</f>
        <v>13</v>
      </c>
      <c r="AF5" s="1079">
        <f>[1]Grasmere!AF5</f>
        <v>14</v>
      </c>
      <c r="AG5" s="1079">
        <f>[1]Grasmere!AG5</f>
        <v>15</v>
      </c>
      <c r="AH5" s="1079">
        <f>[1]Grasmere!AH5</f>
        <v>16</v>
      </c>
      <c r="AI5" s="1079">
        <f>[1]Grasmere!AI5</f>
        <v>17</v>
      </c>
      <c r="AJ5" s="1079">
        <f>[1]Grasmere!AJ5</f>
        <v>18</v>
      </c>
      <c r="AK5" s="1079">
        <f>[1]Grasmere!AK5</f>
        <v>19</v>
      </c>
      <c r="AL5" s="1079">
        <f>[1]Grasmere!AL5</f>
        <v>20</v>
      </c>
      <c r="AM5" s="1079">
        <f>[1]Grasmere!AM5</f>
        <v>21</v>
      </c>
      <c r="AN5" s="1079" t="s">
        <v>1784</v>
      </c>
      <c r="AO5" s="1079" t="str">
        <f>[1]Grasmere!AO5</f>
        <v>Sold</v>
      </c>
      <c r="AP5" s="1079" t="str">
        <f>[1]Grasmere!AP5</f>
        <v>Sold</v>
      </c>
      <c r="AQ5" s="1079" t="str">
        <f>[1]Grasmere!AQ5</f>
        <v>Sold</v>
      </c>
      <c r="AR5" s="1079" t="str">
        <f>[1]Grasmere!AR5</f>
        <v>Sold</v>
      </c>
      <c r="AS5" s="1079" t="str">
        <f>[1]Grasmere!AS5</f>
        <v>Sold</v>
      </c>
      <c r="AT5" s="1079" t="s">
        <v>1784</v>
      </c>
      <c r="AU5" s="1069" t="s">
        <v>71</v>
      </c>
      <c r="AV5" s="1601" t="s">
        <v>1827</v>
      </c>
    </row>
    <row r="6" spans="1:52" ht="14.45" customHeight="1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U6" s="1057"/>
      <c r="AV6" s="1057"/>
    </row>
    <row r="7" spans="1:52" ht="15.6">
      <c r="A7" s="1066" t="s">
        <v>1786</v>
      </c>
      <c r="B7" s="1057"/>
      <c r="C7" s="1057"/>
      <c r="D7" s="1057"/>
      <c r="E7" s="1057"/>
      <c r="F7" s="1057"/>
      <c r="G7" s="1057"/>
      <c r="H7" s="1057"/>
      <c r="I7" s="1057"/>
      <c r="J7" s="1057"/>
      <c r="K7" s="1057"/>
      <c r="L7" s="1057"/>
      <c r="M7" s="1057"/>
      <c r="N7" s="1057"/>
      <c r="O7" s="1057"/>
      <c r="P7" s="1057"/>
      <c r="Q7" s="1057"/>
      <c r="R7" s="1057"/>
      <c r="S7" s="1057"/>
      <c r="T7" s="1057"/>
      <c r="U7" s="1057"/>
      <c r="V7" s="1057"/>
      <c r="W7" s="1057">
        <f>'[2]Porta Pig Cost'!S29</f>
        <v>544</v>
      </c>
      <c r="X7" s="1057">
        <f>'[2]Porta Pig Cost'!T29</f>
        <v>704</v>
      </c>
      <c r="Y7" s="1057">
        <f>'[2]Porta Pig Cost'!U29</f>
        <v>764</v>
      </c>
      <c r="Z7" s="1057">
        <f>'[2]Porta Pig Cost'!V29</f>
        <v>737</v>
      </c>
      <c r="AA7" s="1057">
        <f>'[2]Porta Pig Cost'!W29</f>
        <v>619</v>
      </c>
      <c r="AB7" s="1057">
        <f>'[2]Porta Pig Cost'!X29</f>
        <v>649</v>
      </c>
      <c r="AC7" s="1057">
        <f>'[2]Porta Pig Cost'!Y29</f>
        <v>663</v>
      </c>
      <c r="AD7" s="1057">
        <f>'[2]Porta Pig Cost'!Z29</f>
        <v>666</v>
      </c>
      <c r="AE7" s="1057">
        <f>'[2]Porta Pig Cost'!AA29</f>
        <v>622</v>
      </c>
      <c r="AF7" s="1057">
        <f>'[2]Porta Pig Cost'!AB29</f>
        <v>642</v>
      </c>
      <c r="AG7" s="1057">
        <f>'[2]Porta Pig Cost'!AC29</f>
        <v>670</v>
      </c>
      <c r="AH7" s="1057">
        <f>'[2]Porta Pig Cost'!AD29</f>
        <v>608</v>
      </c>
      <c r="AI7" s="1057">
        <f>'[2]Porta Pig Cost'!AE29</f>
        <v>636</v>
      </c>
      <c r="AJ7" s="1057">
        <f>'[2]Porta Pig Cost'!AF29</f>
        <v>656</v>
      </c>
      <c r="AK7" s="1057">
        <f>'[2]Porta Pig Cost'!AG29</f>
        <v>640</v>
      </c>
      <c r="AL7" s="1057">
        <f>'[2]Porta Pig Cost'!AH29</f>
        <v>653</v>
      </c>
      <c r="AM7" s="1057">
        <f>'[2]Porta Pig Cost'!AI29</f>
        <v>658</v>
      </c>
      <c r="AN7" s="1057">
        <f>'[2]Porta Pig Cost'!AJ29</f>
        <v>610</v>
      </c>
      <c r="AO7" s="1057">
        <f>'[2]Porta Pig Cost'!AK29</f>
        <v>630</v>
      </c>
      <c r="AP7" s="1057">
        <f>'[2]Porta Pig Cost'!AL29</f>
        <v>668</v>
      </c>
      <c r="AQ7" s="1057">
        <f>'[2]Porta Pig Cost'!AM29</f>
        <v>677</v>
      </c>
      <c r="AR7" s="1057">
        <f>'[2]Porta Pig Cost'!AN29</f>
        <v>641</v>
      </c>
      <c r="AS7" s="1057">
        <f>'[2]Porta Pig Cost'!AO29</f>
        <v>670</v>
      </c>
      <c r="AT7" s="1057">
        <f>'[2]Porta Pig Cost'!AP29</f>
        <v>0</v>
      </c>
      <c r="AU7" s="1057">
        <f>SUM(W7:AT7)</f>
        <v>15027</v>
      </c>
      <c r="AV7" s="1057">
        <f>'[2]Porta Pig Cost'!AU29</f>
        <v>15027</v>
      </c>
      <c r="AW7" s="1170">
        <f t="shared" ref="AW7:AW29" si="0">AU7-AV7</f>
        <v>0</v>
      </c>
      <c r="AX7" s="818"/>
      <c r="AZ7" s="817"/>
    </row>
    <row r="8" spans="1:52" ht="15.6">
      <c r="A8" s="1066" t="s">
        <v>1787</v>
      </c>
      <c r="B8" s="1057">
        <v>0</v>
      </c>
      <c r="C8" s="1057"/>
      <c r="D8" s="1057"/>
      <c r="E8" s="1057"/>
      <c r="F8" s="1057"/>
      <c r="G8" s="1057"/>
      <c r="H8" s="1057"/>
      <c r="I8" s="1057"/>
      <c r="J8" s="1057"/>
      <c r="K8" s="1057"/>
      <c r="L8" s="1057"/>
      <c r="M8" s="1057"/>
      <c r="N8" s="1057"/>
      <c r="O8" s="1057"/>
      <c r="P8" s="1057"/>
      <c r="Q8" s="1057"/>
      <c r="R8" s="1057"/>
      <c r="S8" s="807">
        <f>39-0+18-1+52-3+55-5+141-13+228-15</f>
        <v>496</v>
      </c>
      <c r="T8" s="807">
        <f>42-2+100-11+230-16+167-4+184-17+80-7+18-3</f>
        <v>761</v>
      </c>
      <c r="U8" s="807">
        <f>30-2+71-4+178-10+157-9+197-14+92-4+32-4+29-3</f>
        <v>736</v>
      </c>
      <c r="V8" s="807">
        <f>150-7+186-17+286-15+98-7+37-5+17-1+20</f>
        <v>742</v>
      </c>
      <c r="W8" s="807">
        <f>168-10+30+49-2</f>
        <v>235</v>
      </c>
      <c r="X8" s="807"/>
      <c r="Y8" s="807"/>
      <c r="Z8" s="807"/>
      <c r="AA8" s="807"/>
      <c r="AB8" s="807"/>
      <c r="AC8" s="807"/>
      <c r="AD8" s="807"/>
      <c r="AE8" s="807"/>
      <c r="AF8" s="807"/>
      <c r="AG8" s="807"/>
      <c r="AH8" s="807"/>
      <c r="AI8" s="807"/>
      <c r="AJ8" s="807"/>
      <c r="AK8" s="807"/>
      <c r="AL8" s="807"/>
      <c r="AM8" s="807"/>
      <c r="AN8" s="807"/>
      <c r="AO8" s="807"/>
      <c r="AP8" s="807"/>
      <c r="AQ8" s="807"/>
      <c r="AR8" s="807"/>
      <c r="AS8" s="807"/>
      <c r="AT8" s="807"/>
      <c r="AU8" s="1057">
        <f>SUM(S8:AT8)</f>
        <v>2970</v>
      </c>
      <c r="AV8" s="1057">
        <f>SUM('Summary Total Pigs'!J146)</f>
        <v>2970</v>
      </c>
      <c r="AW8" s="1170">
        <f t="shared" si="0"/>
        <v>0</v>
      </c>
      <c r="AX8" s="818"/>
    </row>
    <row r="9" spans="1:52" ht="15.6">
      <c r="A9" s="1066" t="s">
        <v>212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807">
        <v>6</v>
      </c>
      <c r="T9" s="807"/>
      <c r="U9" s="807"/>
      <c r="V9" s="807"/>
      <c r="W9" s="1887"/>
      <c r="X9" s="1888"/>
      <c r="Y9" s="1877"/>
      <c r="Z9" s="1889"/>
      <c r="AA9" s="807"/>
      <c r="AB9" s="807"/>
      <c r="AC9" s="807"/>
      <c r="AD9" s="807"/>
      <c r="AE9" s="807"/>
      <c r="AF9" s="807"/>
      <c r="AG9" s="807"/>
      <c r="AH9" s="807"/>
      <c r="AI9" s="807"/>
      <c r="AJ9" s="807"/>
      <c r="AK9" s="807"/>
      <c r="AL9" s="807"/>
      <c r="AM9" s="807"/>
      <c r="AN9" s="807"/>
      <c r="AO9" s="807"/>
      <c r="AP9" s="807">
        <v>6</v>
      </c>
      <c r="AQ9" s="807"/>
      <c r="AR9" s="807"/>
      <c r="AU9" s="1057">
        <f>SUM(S9:AT9)</f>
        <v>12</v>
      </c>
      <c r="AV9" s="807">
        <f>SUM('Summary Total Pigs'!D146:D148)</f>
        <v>5255</v>
      </c>
      <c r="AW9" s="1170"/>
      <c r="AX9" s="818"/>
    </row>
    <row r="10" spans="1:52" ht="15.6">
      <c r="A10" s="1066" t="s">
        <v>1832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807"/>
      <c r="T10" s="807">
        <v>-6</v>
      </c>
      <c r="U10" s="807"/>
      <c r="V10" s="1887"/>
      <c r="W10" s="1888"/>
      <c r="X10" s="1283"/>
      <c r="Y10" s="1888"/>
      <c r="Z10" s="1739"/>
      <c r="AA10" s="1889"/>
      <c r="AB10" s="1661"/>
      <c r="AC10" s="807"/>
      <c r="AD10" s="807"/>
      <c r="AE10" s="807"/>
      <c r="AF10" s="807"/>
      <c r="AG10" s="807"/>
      <c r="AH10" s="807"/>
      <c r="AI10" s="807"/>
      <c r="AJ10" s="807"/>
      <c r="AK10" s="807"/>
      <c r="AL10" s="807"/>
      <c r="AM10" s="1283"/>
      <c r="AN10" s="807"/>
      <c r="AO10" s="807"/>
      <c r="AP10" s="807"/>
      <c r="AQ10" s="807">
        <v>-6</v>
      </c>
      <c r="AR10" s="807"/>
      <c r="AS10" s="807"/>
      <c r="AT10" s="807"/>
      <c r="AU10" s="1057">
        <f t="shared" ref="AU10" si="1">SUM(S10:AT10)</f>
        <v>-12</v>
      </c>
      <c r="AV10" s="807">
        <f>SUM('Summary Total Pigs'!N146:N148)</f>
        <v>-5255</v>
      </c>
      <c r="AW10" s="1170"/>
      <c r="AX10" s="818"/>
    </row>
    <row r="11" spans="1:52" ht="15.6">
      <c r="A11" s="1066" t="s">
        <v>1789</v>
      </c>
      <c r="B11" s="1068">
        <f t="shared" ref="B11:R11" si="2">SUM(B7:B9)</f>
        <v>0</v>
      </c>
      <c r="C11" s="1068">
        <f t="shared" si="2"/>
        <v>0</v>
      </c>
      <c r="D11" s="1068">
        <f t="shared" si="2"/>
        <v>0</v>
      </c>
      <c r="E11" s="1068">
        <f t="shared" si="2"/>
        <v>0</v>
      </c>
      <c r="F11" s="1068">
        <f t="shared" si="2"/>
        <v>0</v>
      </c>
      <c r="G11" s="1068">
        <f t="shared" si="2"/>
        <v>0</v>
      </c>
      <c r="H11" s="1068">
        <f t="shared" si="2"/>
        <v>0</v>
      </c>
      <c r="I11" s="1068">
        <f t="shared" si="2"/>
        <v>0</v>
      </c>
      <c r="J11" s="1068">
        <f t="shared" si="2"/>
        <v>0</v>
      </c>
      <c r="K11" s="1068">
        <f t="shared" si="2"/>
        <v>0</v>
      </c>
      <c r="L11" s="1068">
        <f t="shared" si="2"/>
        <v>0</v>
      </c>
      <c r="M11" s="1068">
        <f t="shared" si="2"/>
        <v>0</v>
      </c>
      <c r="N11" s="1068">
        <f t="shared" si="2"/>
        <v>0</v>
      </c>
      <c r="O11" s="1068">
        <f t="shared" si="2"/>
        <v>0</v>
      </c>
      <c r="P11" s="1068">
        <f t="shared" si="2"/>
        <v>0</v>
      </c>
      <c r="Q11" s="1068">
        <f t="shared" si="2"/>
        <v>0</v>
      </c>
      <c r="R11" s="1068">
        <f t="shared" si="2"/>
        <v>0</v>
      </c>
      <c r="S11" s="1068">
        <f t="shared" ref="S11:AU11" si="3">SUM(S7:S10)</f>
        <v>502</v>
      </c>
      <c r="T11" s="1068">
        <f t="shared" si="3"/>
        <v>755</v>
      </c>
      <c r="U11" s="1068">
        <f t="shared" si="3"/>
        <v>736</v>
      </c>
      <c r="V11" s="1068">
        <f t="shared" si="3"/>
        <v>742</v>
      </c>
      <c r="W11" s="1068">
        <f t="shared" si="3"/>
        <v>779</v>
      </c>
      <c r="X11" s="1068">
        <f t="shared" si="3"/>
        <v>704</v>
      </c>
      <c r="Y11" s="1068">
        <f t="shared" si="3"/>
        <v>764</v>
      </c>
      <c r="Z11" s="1068">
        <f t="shared" si="3"/>
        <v>737</v>
      </c>
      <c r="AA11" s="1068">
        <f t="shared" si="3"/>
        <v>619</v>
      </c>
      <c r="AB11" s="1068">
        <f t="shared" si="3"/>
        <v>649</v>
      </c>
      <c r="AC11" s="1068">
        <f t="shared" si="3"/>
        <v>663</v>
      </c>
      <c r="AD11" s="1068">
        <f t="shared" si="3"/>
        <v>666</v>
      </c>
      <c r="AE11" s="1068">
        <f t="shared" si="3"/>
        <v>622</v>
      </c>
      <c r="AF11" s="1068">
        <f t="shared" si="3"/>
        <v>642</v>
      </c>
      <c r="AG11" s="1068">
        <f t="shared" si="3"/>
        <v>670</v>
      </c>
      <c r="AH11" s="1068">
        <f t="shared" si="3"/>
        <v>608</v>
      </c>
      <c r="AI11" s="1068">
        <f t="shared" si="3"/>
        <v>636</v>
      </c>
      <c r="AJ11" s="1068">
        <f t="shared" si="3"/>
        <v>656</v>
      </c>
      <c r="AK11" s="1068">
        <f t="shared" si="3"/>
        <v>640</v>
      </c>
      <c r="AL11" s="1068">
        <f t="shared" si="3"/>
        <v>653</v>
      </c>
      <c r="AM11" s="1068">
        <f t="shared" si="3"/>
        <v>658</v>
      </c>
      <c r="AN11" s="1068">
        <f t="shared" si="3"/>
        <v>610</v>
      </c>
      <c r="AO11" s="1068">
        <f t="shared" si="3"/>
        <v>630</v>
      </c>
      <c r="AP11" s="1068">
        <f t="shared" si="3"/>
        <v>674</v>
      </c>
      <c r="AQ11" s="1068">
        <f>SUM(AQ7:AQ10)</f>
        <v>671</v>
      </c>
      <c r="AR11" s="1068">
        <f t="shared" si="3"/>
        <v>641</v>
      </c>
      <c r="AS11" s="1068">
        <f t="shared" si="3"/>
        <v>670</v>
      </c>
      <c r="AT11" s="1068">
        <f t="shared" si="3"/>
        <v>0</v>
      </c>
      <c r="AU11" s="1068">
        <f t="shared" si="3"/>
        <v>17997</v>
      </c>
      <c r="AV11" s="1068">
        <f>SUM(AV7:AV10)</f>
        <v>17997</v>
      </c>
      <c r="AW11" s="1170">
        <f t="shared" si="0"/>
        <v>0</v>
      </c>
      <c r="AX11" s="1066"/>
    </row>
    <row r="12" spans="1:52" ht="13.5" customHeight="1">
      <c r="A12" s="142" t="str">
        <f>+'Grasmere Pig Cost'!A12</f>
        <v>Transfers Lionshead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Y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807"/>
      <c r="AL12" s="807"/>
      <c r="AM12" s="807"/>
      <c r="AN12" s="807"/>
      <c r="AO12" s="807"/>
      <c r="AP12" s="807"/>
      <c r="AQ12" s="807"/>
      <c r="AR12" s="807"/>
      <c r="AS12" s="807"/>
      <c r="AT12" s="807"/>
      <c r="AU12" s="807">
        <f>SUM(B12:AT12)</f>
        <v>0</v>
      </c>
      <c r="AV12" s="807">
        <f>SUM('Summary Total Pigs'!P146:P148,'Summary Total Pigs'!F146:F148)</f>
        <v>0</v>
      </c>
      <c r="AW12" s="1170">
        <f t="shared" si="0"/>
        <v>0</v>
      </c>
    </row>
    <row r="13" spans="1:52">
      <c r="A13" s="142" t="str">
        <f>+'Grasmere Pig Cost'!A13</f>
        <v>Transfers Lionshead Ext.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>
        <v>-80</v>
      </c>
      <c r="X13" s="807">
        <v>-60</v>
      </c>
      <c r="Y13" s="807"/>
      <c r="Z13" s="807"/>
      <c r="AA13" s="807"/>
      <c r="AB13" s="807"/>
      <c r="AC13" s="807"/>
      <c r="AD13" s="807"/>
      <c r="AE13" s="807"/>
      <c r="AF13" s="807"/>
      <c r="AG13" s="807"/>
      <c r="AH13" s="807"/>
      <c r="AI13" s="807"/>
      <c r="AJ13" s="807"/>
      <c r="AK13" s="807"/>
      <c r="AL13" s="807"/>
      <c r="AM13" s="807"/>
      <c r="AN13" s="807"/>
      <c r="AO13" s="807"/>
      <c r="AP13" s="807"/>
      <c r="AQ13" s="807"/>
      <c r="AR13" s="807"/>
      <c r="AS13" s="807"/>
      <c r="AT13" s="807"/>
      <c r="AU13" s="807">
        <f t="shared" ref="AU13:AU26" si="4">SUM(B13:AT13)</f>
        <v>-140</v>
      </c>
      <c r="AV13" s="807">
        <f>SUM('Summary Total Pigs'!G146:G148,'Summary Total Pigs'!Q146:Q148)</f>
        <v>-140</v>
      </c>
      <c r="AW13" s="1170">
        <f t="shared" si="0"/>
        <v>0</v>
      </c>
    </row>
    <row r="14" spans="1:52" ht="13.5" customHeight="1">
      <c r="A14" s="142" t="s">
        <v>1833</v>
      </c>
      <c r="B14" s="807"/>
      <c r="C14" s="807"/>
      <c r="D14" s="807"/>
      <c r="E14" s="807"/>
      <c r="F14" s="807"/>
      <c r="G14" s="807"/>
      <c r="H14" s="807"/>
      <c r="I14" s="807"/>
      <c r="J14" s="807"/>
      <c r="K14" s="807"/>
      <c r="L14" s="807"/>
      <c r="M14" s="807"/>
      <c r="N14" s="807"/>
      <c r="O14" s="807"/>
      <c r="P14" s="807"/>
      <c r="Q14" s="807"/>
      <c r="R14" s="807"/>
      <c r="S14" s="807"/>
      <c r="T14" s="807"/>
      <c r="U14" s="807"/>
      <c r="V14" s="807"/>
      <c r="W14" s="807"/>
      <c r="X14" s="807"/>
      <c r="Y14" s="807"/>
      <c r="Z14" s="807"/>
      <c r="AA14" s="807"/>
      <c r="AB14" s="807"/>
      <c r="AC14" s="807"/>
      <c r="AD14" s="807"/>
      <c r="AE14" s="807"/>
      <c r="AF14" s="807"/>
      <c r="AG14" s="807"/>
      <c r="AH14" s="807"/>
      <c r="AI14" s="807"/>
      <c r="AJ14" s="807"/>
      <c r="AK14" s="807"/>
      <c r="AL14" s="807"/>
      <c r="AM14" s="807"/>
      <c r="AN14" s="807"/>
      <c r="AO14" s="807"/>
      <c r="AP14" s="807"/>
      <c r="AQ14" s="807"/>
      <c r="AR14" s="807"/>
      <c r="AS14" s="807"/>
      <c r="AT14" s="807"/>
      <c r="AU14" s="807">
        <f t="shared" si="4"/>
        <v>0</v>
      </c>
      <c r="AV14" s="807">
        <f>-SUM('Summary Total Pigs'!U12:U14)</f>
        <v>0</v>
      </c>
      <c r="AW14" s="1170">
        <f t="shared" si="0"/>
        <v>0</v>
      </c>
    </row>
    <row r="15" spans="1:52">
      <c r="A15" s="142" t="str">
        <f>+'Grasmere Pig Cost'!A15</f>
        <v>Transfers Learig</v>
      </c>
      <c r="B15" s="807"/>
      <c r="C15" s="807"/>
      <c r="D15" s="807"/>
      <c r="E15" s="807"/>
      <c r="F15" s="807"/>
      <c r="G15" s="807"/>
      <c r="H15" s="807"/>
      <c r="I15" s="807"/>
      <c r="J15" s="807"/>
      <c r="K15" s="807"/>
      <c r="L15" s="807"/>
      <c r="M15" s="807"/>
      <c r="N15" s="807"/>
      <c r="O15" s="807"/>
      <c r="P15" s="807"/>
      <c r="Q15" s="807"/>
      <c r="R15" s="807"/>
      <c r="S15" s="807"/>
      <c r="T15" s="807"/>
      <c r="U15" s="807"/>
      <c r="V15" s="807"/>
      <c r="W15" s="807"/>
      <c r="X15" s="807"/>
      <c r="Y15" s="807">
        <v>-48</v>
      </c>
      <c r="Z15" s="807">
        <v>-60</v>
      </c>
      <c r="AA15" s="807"/>
      <c r="AB15" s="807"/>
      <c r="AC15" s="807"/>
      <c r="AD15" s="807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807"/>
      <c r="AP15" s="807"/>
      <c r="AQ15" s="807"/>
      <c r="AR15" s="807"/>
      <c r="AS15" s="807"/>
      <c r="AT15" s="807"/>
      <c r="AU15" s="807">
        <f t="shared" si="4"/>
        <v>-108</v>
      </c>
      <c r="AV15" s="807">
        <f>SUM('Summary Total Pigs'!H146:H148,'Summary Total Pigs'!R146:R148)</f>
        <v>-108</v>
      </c>
      <c r="AW15" s="1170">
        <f t="shared" si="0"/>
        <v>0</v>
      </c>
    </row>
    <row r="16" spans="1:52">
      <c r="A16" s="142" t="str">
        <f>+'Grasmere Pig Cost'!A16</f>
        <v>Transfers Villa</v>
      </c>
      <c r="B16" s="807"/>
      <c r="C16" s="807"/>
      <c r="D16" s="807"/>
      <c r="E16" s="807"/>
      <c r="F16" s="807"/>
      <c r="G16" s="807"/>
      <c r="H16" s="807"/>
      <c r="I16" s="807"/>
      <c r="J16" s="807"/>
      <c r="K16" s="807"/>
      <c r="L16" s="807"/>
      <c r="M16" s="807"/>
      <c r="N16" s="807"/>
      <c r="O16" s="807"/>
      <c r="P16" s="807"/>
      <c r="Q16" s="807"/>
      <c r="R16" s="807"/>
      <c r="S16" s="807"/>
      <c r="T16" s="807"/>
      <c r="U16" s="807"/>
      <c r="V16" s="807"/>
      <c r="W16" s="807"/>
      <c r="X16" s="807"/>
      <c r="Y16" s="807"/>
      <c r="Z16" s="807"/>
      <c r="AA16" s="807"/>
      <c r="AB16" s="807"/>
      <c r="AC16" s="807"/>
      <c r="AD16" s="807"/>
      <c r="AE16" s="807"/>
      <c r="AF16" s="807"/>
      <c r="AG16" s="807"/>
      <c r="AH16" s="807"/>
      <c r="AI16" s="807"/>
      <c r="AJ16" s="807"/>
      <c r="AK16" s="807"/>
      <c r="AL16" s="807"/>
      <c r="AM16" s="807"/>
      <c r="AN16" s="807"/>
      <c r="AO16" s="807"/>
      <c r="AP16" s="807"/>
      <c r="AQ16" s="807"/>
      <c r="AR16" s="807"/>
      <c r="AS16" s="807"/>
      <c r="AT16" s="807"/>
      <c r="AU16" s="807">
        <f t="shared" si="4"/>
        <v>0</v>
      </c>
      <c r="AV16" s="807">
        <f>SUM('Summary Total Pigs'!I146:I148,'Summary Total Pigs'!S146:S148)</f>
        <v>0</v>
      </c>
      <c r="AW16" s="1170">
        <f t="shared" si="0"/>
        <v>0</v>
      </c>
    </row>
    <row r="17" spans="1:50">
      <c r="A17" s="142" t="s">
        <v>1834</v>
      </c>
      <c r="B17" s="807"/>
      <c r="C17" s="807"/>
      <c r="D17" s="807"/>
      <c r="E17" s="807"/>
      <c r="F17" s="807"/>
      <c r="G17" s="807"/>
      <c r="H17" s="807"/>
      <c r="I17" s="807"/>
      <c r="J17" s="807"/>
      <c r="K17" s="807"/>
      <c r="L17" s="807"/>
      <c r="M17" s="807"/>
      <c r="N17" s="807"/>
      <c r="O17" s="807"/>
      <c r="P17" s="807"/>
      <c r="Q17" s="807"/>
      <c r="R17" s="807"/>
      <c r="S17" s="807"/>
      <c r="T17" s="807"/>
      <c r="U17" s="807"/>
      <c r="V17" s="807"/>
      <c r="W17" s="807"/>
      <c r="X17" s="807"/>
      <c r="Y17" s="807"/>
      <c r="Z17" s="807"/>
      <c r="AA17" s="807"/>
      <c r="AB17" s="807"/>
      <c r="AC17" s="807"/>
      <c r="AD17" s="807"/>
      <c r="AE17" s="807"/>
      <c r="AF17" s="807"/>
      <c r="AG17" s="807"/>
      <c r="AH17" s="807"/>
      <c r="AI17" s="807"/>
      <c r="AJ17" s="807"/>
      <c r="AK17" s="807"/>
      <c r="AL17" s="807"/>
      <c r="AM17" s="807"/>
      <c r="AN17" s="807"/>
      <c r="AO17" s="807"/>
      <c r="AP17" s="807"/>
      <c r="AQ17" s="807"/>
      <c r="AR17" s="807"/>
      <c r="AS17" s="807"/>
      <c r="AT17" s="807"/>
      <c r="AU17" s="807"/>
      <c r="AV17" s="807"/>
      <c r="AW17" s="1170"/>
    </row>
    <row r="18" spans="1:50">
      <c r="A18" s="142" t="s">
        <v>1796</v>
      </c>
      <c r="B18" s="807"/>
      <c r="C18" s="807"/>
      <c r="D18" s="807"/>
      <c r="E18" s="807"/>
      <c r="F18" s="807"/>
      <c r="G18" s="807"/>
      <c r="H18" s="807"/>
      <c r="I18" s="807"/>
      <c r="J18" s="807"/>
      <c r="K18" s="807"/>
      <c r="L18" s="807"/>
      <c r="M18" s="807"/>
      <c r="N18" s="807"/>
      <c r="O18" s="807"/>
      <c r="P18" s="807"/>
      <c r="Q18" s="807"/>
      <c r="R18" s="807"/>
      <c r="S18" s="807"/>
      <c r="T18" s="807"/>
      <c r="U18" s="807"/>
      <c r="V18" s="807"/>
      <c r="W18" s="807"/>
      <c r="X18" s="807"/>
      <c r="Y18" s="807"/>
      <c r="Z18" s="807"/>
      <c r="AA18" s="807"/>
      <c r="AB18" s="807"/>
      <c r="AC18" s="807"/>
      <c r="AD18" s="807"/>
      <c r="AE18" s="807"/>
      <c r="AF18" s="807"/>
      <c r="AG18" s="807"/>
      <c r="AH18" s="807"/>
      <c r="AI18" s="807"/>
      <c r="AJ18" s="807"/>
      <c r="AK18" s="807"/>
      <c r="AL18" s="807"/>
      <c r="AM18" s="807"/>
      <c r="AN18" s="807"/>
      <c r="AO18" s="807"/>
      <c r="AP18" s="807"/>
      <c r="AQ18" s="807"/>
      <c r="AR18" s="807"/>
      <c r="AS18" s="807"/>
      <c r="AT18" s="807"/>
      <c r="AU18" s="807"/>
      <c r="AV18" s="807"/>
      <c r="AW18" s="1170"/>
    </row>
    <row r="19" spans="1:50">
      <c r="B19" s="807"/>
      <c r="C19" s="807"/>
      <c r="D19" s="807"/>
      <c r="E19" s="807"/>
      <c r="F19" s="807"/>
      <c r="G19" s="807"/>
      <c r="H19" s="807"/>
      <c r="I19" s="807"/>
      <c r="J19" s="807"/>
      <c r="K19" s="807"/>
      <c r="L19" s="807"/>
      <c r="M19" s="807"/>
      <c r="N19" s="807"/>
      <c r="O19" s="807"/>
      <c r="P19" s="807"/>
      <c r="Q19" s="807"/>
      <c r="R19" s="807"/>
      <c r="S19" s="807"/>
      <c r="T19" s="807"/>
      <c r="U19" s="807"/>
      <c r="V19" s="807"/>
      <c r="W19" s="807"/>
      <c r="X19" s="807"/>
      <c r="Y19" s="807"/>
      <c r="Z19" s="807"/>
      <c r="AA19" s="807"/>
      <c r="AB19" s="807"/>
      <c r="AC19" s="807"/>
      <c r="AD19" s="807"/>
      <c r="AE19" s="807"/>
      <c r="AF19" s="807"/>
      <c r="AG19" s="807"/>
      <c r="AH19" s="807"/>
      <c r="AI19" s="807"/>
      <c r="AJ19" s="807"/>
      <c r="AK19" s="807"/>
      <c r="AL19" s="807"/>
      <c r="AM19" s="807"/>
      <c r="AN19" s="807"/>
      <c r="AO19" s="807"/>
      <c r="AP19" s="807"/>
      <c r="AQ19" s="807"/>
      <c r="AR19" s="807"/>
      <c r="AS19" s="807"/>
      <c r="AT19" s="807"/>
      <c r="AU19" s="807"/>
      <c r="AV19" s="807"/>
      <c r="AW19" s="1170"/>
    </row>
    <row r="20" spans="1:50">
      <c r="A20" s="142" t="str">
        <f>+'Grasmere Pig Cost'!A20</f>
        <v>Transfers  Boars</v>
      </c>
      <c r="B20" s="807"/>
      <c r="C20" s="807"/>
      <c r="D20" s="807"/>
      <c r="E20" s="807"/>
      <c r="F20" s="807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  <c r="V20" s="807"/>
      <c r="W20" s="807"/>
      <c r="X20" s="807"/>
      <c r="Y20" s="807"/>
      <c r="Z20" s="807"/>
      <c r="AA20" s="807"/>
      <c r="AB20" s="807"/>
      <c r="AC20" s="807"/>
      <c r="AD20" s="807"/>
      <c r="AE20" s="807"/>
      <c r="AF20" s="807"/>
      <c r="AG20" s="807"/>
      <c r="AH20" s="807"/>
      <c r="AI20" s="807"/>
      <c r="AJ20" s="807"/>
      <c r="AK20" s="807"/>
      <c r="AL20" s="807"/>
      <c r="AM20" s="807"/>
      <c r="AN20" s="807"/>
      <c r="AO20" s="807"/>
      <c r="AP20" s="807"/>
      <c r="AQ20" s="807"/>
      <c r="AR20" s="807"/>
      <c r="AS20" s="807"/>
      <c r="AT20" s="807"/>
      <c r="AU20" s="807">
        <f t="shared" si="4"/>
        <v>0</v>
      </c>
      <c r="AV20" s="807">
        <v>0</v>
      </c>
      <c r="AW20" s="1170">
        <f t="shared" si="0"/>
        <v>0</v>
      </c>
    </row>
    <row r="21" spans="1:50">
      <c r="A21" s="142" t="str">
        <f>+'Grasmere Pig Cost'!A21</f>
        <v>Transfers Grower</v>
      </c>
      <c r="B21" s="807"/>
      <c r="C21" s="807"/>
      <c r="D21" s="807"/>
      <c r="E21" s="807"/>
      <c r="F21" s="807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/>
      <c r="T21" s="807"/>
      <c r="U21" s="807"/>
      <c r="V21" s="807"/>
      <c r="W21" s="807"/>
      <c r="X21" s="807"/>
      <c r="Y21" s="807"/>
      <c r="Z21" s="807"/>
      <c r="AA21" s="807"/>
      <c r="AB21" s="807"/>
      <c r="AC21" s="807"/>
      <c r="AD21" s="807"/>
      <c r="AE21" s="807"/>
      <c r="AF21" s="807"/>
      <c r="AG21" s="807"/>
      <c r="AH21" s="807"/>
      <c r="AI21" s="807"/>
      <c r="AJ21" s="807"/>
      <c r="AK21" s="807"/>
      <c r="AL21" s="807"/>
      <c r="AM21" s="807"/>
      <c r="AN21" s="807"/>
      <c r="AO21" s="807"/>
      <c r="AP21" s="807"/>
      <c r="AQ21" s="807"/>
      <c r="AR21" s="807"/>
      <c r="AS21" s="807"/>
      <c r="AT21" s="807"/>
      <c r="AU21" s="807">
        <f>SUM(B21:AT21)</f>
        <v>0</v>
      </c>
      <c r="AV21" s="807">
        <f>'Summary Total Pigs'!E149</f>
        <v>0</v>
      </c>
      <c r="AW21" s="1170">
        <f>AU21-AV21</f>
        <v>0</v>
      </c>
    </row>
    <row r="22" spans="1:50">
      <c r="A22" s="142" t="str">
        <f>+'Grasmere Pig Cost'!A22</f>
        <v>Transfer to Sick Block</v>
      </c>
      <c r="B22" s="807"/>
      <c r="C22" s="807"/>
      <c r="D22" s="807"/>
      <c r="E22" s="807"/>
      <c r="F22" s="807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7"/>
      <c r="AB22" s="807"/>
      <c r="AC22" s="807"/>
      <c r="AD22" s="807"/>
      <c r="AE22" s="807"/>
      <c r="AF22" s="807"/>
      <c r="AG22" s="807"/>
      <c r="AH22" s="807"/>
      <c r="AI22" s="807"/>
      <c r="AJ22" s="807"/>
      <c r="AK22" s="807"/>
      <c r="AL22" s="807"/>
      <c r="AM22" s="807"/>
      <c r="AN22" s="807"/>
      <c r="AO22" s="807"/>
      <c r="AP22" s="807"/>
      <c r="AQ22" s="807"/>
      <c r="AR22" s="807"/>
      <c r="AS22" s="807"/>
      <c r="AT22" s="807"/>
      <c r="AU22" s="807">
        <f t="shared" si="4"/>
        <v>0</v>
      </c>
      <c r="AV22" s="807"/>
      <c r="AW22" s="1170"/>
    </row>
    <row r="23" spans="1:50" ht="15.6">
      <c r="A23" s="142" t="str">
        <f>+'Grasmere Pig Cost'!A23</f>
        <v>Transfers Gilts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/>
      <c r="AD23" s="807"/>
      <c r="AE23" s="807"/>
      <c r="AF23" s="807"/>
      <c r="AG23" s="807"/>
      <c r="AH23" s="807"/>
      <c r="AI23" s="807"/>
      <c r="AJ23" s="807"/>
      <c r="AK23" s="807"/>
      <c r="AL23" s="807"/>
      <c r="AM23" s="1282"/>
      <c r="AN23" s="807"/>
      <c r="AO23" s="1796"/>
      <c r="AP23" s="1661"/>
      <c r="AQ23" s="807"/>
      <c r="AR23" s="807"/>
      <c r="AS23" s="807"/>
      <c r="AT23" s="807"/>
      <c r="AU23" s="807">
        <f t="shared" si="4"/>
        <v>0</v>
      </c>
      <c r="AV23" s="807">
        <f>+AU23</f>
        <v>0</v>
      </c>
      <c r="AW23" s="1170">
        <f t="shared" si="0"/>
        <v>0</v>
      </c>
      <c r="AX23" s="818"/>
    </row>
    <row r="24" spans="1:50">
      <c r="A24" s="142" t="str">
        <f>+'Grasmere Pig Cost'!A24</f>
        <v>Mortality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>
        <f>-1-1-1-5</f>
        <v>-8</v>
      </c>
      <c r="T24" s="807">
        <f>-3-4-3-4-2-7-1-1-2-1-1</f>
        <v>-29</v>
      </c>
      <c r="U24" s="807">
        <f>-3-8-2-4-3-6-4-1-2-4-1-2-2-1</f>
        <v>-43</v>
      </c>
      <c r="V24" s="807">
        <v>-33</v>
      </c>
      <c r="W24" s="807">
        <v>-37</v>
      </c>
      <c r="X24" s="807">
        <f>-1-4-1-2-1-1-2-3-1</f>
        <v>-16</v>
      </c>
      <c r="Y24" s="807">
        <f>-2-1-3-1-8-1</f>
        <v>-16</v>
      </c>
      <c r="Z24" s="807">
        <f>-5-1-1-1</f>
        <v>-8</v>
      </c>
      <c r="AA24" s="807">
        <v>-1</v>
      </c>
      <c r="AB24" s="807">
        <f>-1-1</f>
        <v>-2</v>
      </c>
      <c r="AC24" s="807">
        <v>-1</v>
      </c>
      <c r="AD24" s="807">
        <v>-1</v>
      </c>
      <c r="AE24" s="807">
        <f>-1-1</f>
        <v>-2</v>
      </c>
      <c r="AF24" s="807">
        <f>-1-1-1</f>
        <v>-3</v>
      </c>
      <c r="AG24" s="1661">
        <f>-1-2-1</f>
        <v>-4</v>
      </c>
      <c r="AH24" s="807">
        <f>-1-1-1-1-1</f>
        <v>-5</v>
      </c>
      <c r="AI24" s="807">
        <f>-2-1</f>
        <v>-3</v>
      </c>
      <c r="AJ24" s="807">
        <f>-1-1-2</f>
        <v>-4</v>
      </c>
      <c r="AK24" s="807">
        <f>-2-1</f>
        <v>-3</v>
      </c>
      <c r="AL24" s="807">
        <v>-1</v>
      </c>
      <c r="AM24" s="807"/>
      <c r="AN24" s="807">
        <v>-1</v>
      </c>
      <c r="AO24" s="807">
        <f>-2-1-2-1</f>
        <v>-6</v>
      </c>
      <c r="AP24" s="807">
        <f>-1-1-1-1-1-1-2-2-1-1-'[3]Sales USD'!$BB$10</f>
        <v>-14</v>
      </c>
      <c r="AQ24" s="807">
        <f>-3-2</f>
        <v>-5</v>
      </c>
      <c r="AR24" s="807">
        <f>-2-2-1-2-'[3]Sales USD'!$AZ$10</f>
        <v>-11</v>
      </c>
      <c r="AS24" s="807">
        <v>0</v>
      </c>
      <c r="AT24" s="807"/>
      <c r="AU24" s="807">
        <f>SUM(B24:AT24)</f>
        <v>-257</v>
      </c>
      <c r="AV24" s="807">
        <f>SUM('Summary Total Pigs'!W146:W148,'Summary Total Pigs'!Y146:Y148)-AV20-AV23</f>
        <v>-257</v>
      </c>
      <c r="AW24" s="1170">
        <f>AU24-AV24</f>
        <v>0</v>
      </c>
      <c r="AX24" s="818"/>
    </row>
    <row r="25" spans="1:50">
      <c r="A25" s="142" t="str">
        <f>+'Grasmere Pig Cost'!A25</f>
        <v>Rations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M25" s="142">
        <v>-2</v>
      </c>
      <c r="AN25" s="142">
        <v>-1</v>
      </c>
      <c r="AP25" s="807">
        <f>-2-3</f>
        <v>-5</v>
      </c>
      <c r="AQ25" s="807">
        <f>-1-2-2-2-2-2</f>
        <v>-11</v>
      </c>
      <c r="AR25" s="807"/>
      <c r="AS25" s="807">
        <f>-2-2</f>
        <v>-4</v>
      </c>
      <c r="AT25" s="807"/>
      <c r="AU25" s="807">
        <f t="shared" si="4"/>
        <v>-23</v>
      </c>
      <c r="AV25" s="807">
        <f>SUM('Summary Total Pigs'!Z146:Z148)</f>
        <v>-23</v>
      </c>
      <c r="AW25" s="1170">
        <f t="shared" si="0"/>
        <v>0</v>
      </c>
      <c r="AX25" s="818"/>
    </row>
    <row r="26" spans="1:50">
      <c r="A26" s="142" t="str">
        <f>+'Grasmere Pig Cost'!A26</f>
        <v>Pet Food</v>
      </c>
      <c r="B26" s="807"/>
      <c r="C26" s="807"/>
      <c r="D26" s="807"/>
      <c r="E26" s="807"/>
      <c r="F26" s="807"/>
      <c r="G26" s="807"/>
      <c r="H26" s="807"/>
      <c r="I26" s="807"/>
      <c r="J26" s="807"/>
      <c r="K26" s="807"/>
      <c r="L26" s="807"/>
      <c r="M26" s="807"/>
      <c r="N26" s="807"/>
      <c r="O26" s="807"/>
      <c r="P26" s="807"/>
      <c r="Q26" s="807"/>
      <c r="R26" s="807"/>
      <c r="S26" s="807"/>
      <c r="T26" s="807"/>
      <c r="U26" s="807"/>
      <c r="V26" s="807"/>
      <c r="W26" s="807"/>
      <c r="X26" s="807"/>
      <c r="Y26" s="807"/>
      <c r="Z26" s="807"/>
      <c r="AA26" s="807"/>
      <c r="AB26" s="807"/>
      <c r="AC26" s="807"/>
      <c r="AD26" s="807"/>
      <c r="AE26" s="807"/>
      <c r="AF26" s="807"/>
      <c r="AG26" s="807"/>
      <c r="AH26" s="807"/>
      <c r="AI26" s="807"/>
      <c r="AJ26" s="807"/>
      <c r="AK26" s="807"/>
      <c r="AL26" s="807"/>
      <c r="AM26" s="807"/>
      <c r="AN26" s="807"/>
      <c r="AO26" s="807"/>
      <c r="AP26" s="807"/>
      <c r="AQ26" s="807"/>
      <c r="AR26" s="807"/>
      <c r="AS26" s="807"/>
      <c r="AT26" s="807"/>
      <c r="AU26" s="807">
        <f t="shared" si="4"/>
        <v>0</v>
      </c>
      <c r="AV26" s="807">
        <f>SUM('Summary Total Pigs'!AB146:AB148)</f>
        <v>0</v>
      </c>
      <c r="AW26" s="1170">
        <f t="shared" si="0"/>
        <v>0</v>
      </c>
      <c r="AX26" s="818"/>
    </row>
    <row r="27" spans="1:50">
      <c r="A27" s="142" t="str">
        <f>+'Grasmere Pig Cost'!A27</f>
        <v>Farm Sales</v>
      </c>
      <c r="B27" s="807"/>
      <c r="C27" s="807"/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07"/>
      <c r="V27" s="807"/>
      <c r="W27" s="807"/>
      <c r="X27" s="807"/>
      <c r="Y27" s="807"/>
      <c r="Z27" s="807"/>
      <c r="AA27" s="807"/>
      <c r="AB27" s="807"/>
      <c r="AC27" s="807"/>
      <c r="AD27" s="807"/>
      <c r="AE27" s="807"/>
      <c r="AF27" s="807"/>
      <c r="AG27" s="807"/>
      <c r="AH27" s="807"/>
      <c r="AI27" s="807"/>
      <c r="AJ27" s="807"/>
      <c r="AK27" s="807"/>
      <c r="AL27" s="807"/>
      <c r="AM27" s="807"/>
      <c r="AN27" s="807"/>
      <c r="AO27" s="807"/>
      <c r="AP27" s="807"/>
      <c r="AQ27" s="807"/>
      <c r="AR27" s="807"/>
      <c r="AS27" s="807"/>
      <c r="AT27" s="807"/>
      <c r="AU27" s="807">
        <f>SUM(B27:AT27)</f>
        <v>0</v>
      </c>
      <c r="AV27" s="807">
        <f>SUM('Summary Total Pigs'!AC146:AC148)</f>
        <v>0</v>
      </c>
      <c r="AW27" s="1170">
        <f t="shared" si="0"/>
        <v>0</v>
      </c>
      <c r="AX27" s="818"/>
    </row>
    <row r="28" spans="1:50" ht="15.6" thickBot="1">
      <c r="A28" s="142" t="str">
        <f>+'Grasmere Pig Cost'!A28</f>
        <v xml:space="preserve"> Colcom Sales</v>
      </c>
      <c r="B28" s="807"/>
      <c r="C28" s="807"/>
      <c r="D28" s="807"/>
      <c r="E28" s="807"/>
      <c r="F28" s="807"/>
      <c r="G28" s="807"/>
      <c r="H28" s="807"/>
      <c r="I28" s="807"/>
      <c r="J28" s="807"/>
      <c r="K28" s="807"/>
      <c r="L28" s="807"/>
      <c r="M28" s="807"/>
      <c r="N28" s="807"/>
      <c r="O28" s="807"/>
      <c r="P28" s="807"/>
      <c r="Q28" s="807"/>
      <c r="R28" s="807"/>
      <c r="S28" s="807"/>
      <c r="T28" s="807"/>
      <c r="U28" s="807"/>
      <c r="V28" s="807"/>
      <c r="W28" s="807"/>
      <c r="X28" s="807"/>
      <c r="Y28" s="807"/>
      <c r="Z28" s="807"/>
      <c r="AA28" s="807"/>
      <c r="AB28" s="807"/>
      <c r="AC28" s="807"/>
      <c r="AD28" s="807"/>
      <c r="AE28" s="807"/>
      <c r="AF28" s="807"/>
      <c r="AG28" s="807"/>
      <c r="AH28" s="807"/>
      <c r="AI28" s="807"/>
      <c r="AJ28" s="807"/>
      <c r="AK28" s="807"/>
      <c r="AL28" s="807"/>
      <c r="AM28" s="807"/>
      <c r="AN28" s="807"/>
      <c r="AO28" s="807">
        <v>-624</v>
      </c>
      <c r="AP28" s="1283">
        <f>-657+'[3]Sales USD'!$BB$10</f>
        <v>-655</v>
      </c>
      <c r="AQ28" s="807">
        <f>-14-641</f>
        <v>-655</v>
      </c>
      <c r="AR28" s="807">
        <f>-134-500+'[3]Sales USD'!$AZ$10</f>
        <v>-630</v>
      </c>
      <c r="AS28" s="807">
        <f>-186-480</f>
        <v>-666</v>
      </c>
      <c r="AT28" s="807"/>
      <c r="AU28" s="807">
        <f>SUM(B28:AT28)</f>
        <v>-3230</v>
      </c>
      <c r="AV28" s="807">
        <f>SUM('Summary Total Pigs'!X146:X148)</f>
        <v>-3230</v>
      </c>
      <c r="AW28" s="1170">
        <f t="shared" si="0"/>
        <v>0</v>
      </c>
      <c r="AX28" s="818"/>
    </row>
    <row r="29" spans="1:50" ht="16.149999999999999" thickBot="1">
      <c r="A29" s="1070" t="s">
        <v>1802</v>
      </c>
      <c r="B29" s="1071">
        <f t="shared" ref="B29:Q29" si="5">SUM(B11:B24)</f>
        <v>0</v>
      </c>
      <c r="C29" s="1071">
        <f t="shared" si="5"/>
        <v>0</v>
      </c>
      <c r="D29" s="1071">
        <f t="shared" si="5"/>
        <v>0</v>
      </c>
      <c r="E29" s="1071">
        <f t="shared" si="5"/>
        <v>0</v>
      </c>
      <c r="F29" s="1071">
        <f t="shared" si="5"/>
        <v>0</v>
      </c>
      <c r="G29" s="1071">
        <f t="shared" si="5"/>
        <v>0</v>
      </c>
      <c r="H29" s="1071">
        <f t="shared" si="5"/>
        <v>0</v>
      </c>
      <c r="I29" s="1071">
        <f t="shared" si="5"/>
        <v>0</v>
      </c>
      <c r="J29" s="1071">
        <f t="shared" si="5"/>
        <v>0</v>
      </c>
      <c r="K29" s="1071">
        <f t="shared" si="5"/>
        <v>0</v>
      </c>
      <c r="L29" s="1071">
        <f t="shared" si="5"/>
        <v>0</v>
      </c>
      <c r="M29" s="1071">
        <f t="shared" si="5"/>
        <v>0</v>
      </c>
      <c r="N29" s="1071">
        <f t="shared" si="5"/>
        <v>0</v>
      </c>
      <c r="O29" s="1071">
        <f t="shared" si="5"/>
        <v>0</v>
      </c>
      <c r="P29" s="1071">
        <f t="shared" si="5"/>
        <v>0</v>
      </c>
      <c r="Q29" s="1071">
        <f t="shared" si="5"/>
        <v>0</v>
      </c>
      <c r="R29" s="1071">
        <f>SUM(R11:R28)</f>
        <v>0</v>
      </c>
      <c r="S29" s="1071">
        <f t="shared" ref="S29:T29" si="6">SUM(S11:S28)</f>
        <v>494</v>
      </c>
      <c r="T29" s="1071">
        <f t="shared" si="6"/>
        <v>726</v>
      </c>
      <c r="U29" s="1071">
        <f>SUM(U11:U28)</f>
        <v>693</v>
      </c>
      <c r="V29" s="1071">
        <f t="shared" ref="V29:AT29" si="7">SUM(V11:V28)</f>
        <v>709</v>
      </c>
      <c r="W29" s="1071">
        <f t="shared" si="7"/>
        <v>662</v>
      </c>
      <c r="X29" s="1071">
        <f t="shared" si="7"/>
        <v>628</v>
      </c>
      <c r="Y29" s="1071">
        <f t="shared" si="7"/>
        <v>700</v>
      </c>
      <c r="Z29" s="1071">
        <f t="shared" si="7"/>
        <v>669</v>
      </c>
      <c r="AA29" s="1071">
        <f t="shared" si="7"/>
        <v>618</v>
      </c>
      <c r="AB29" s="1071">
        <f t="shared" si="7"/>
        <v>647</v>
      </c>
      <c r="AC29" s="1071">
        <f t="shared" si="7"/>
        <v>662</v>
      </c>
      <c r="AD29" s="1071">
        <f t="shared" si="7"/>
        <v>665</v>
      </c>
      <c r="AE29" s="1071">
        <f t="shared" si="7"/>
        <v>620</v>
      </c>
      <c r="AF29" s="1071">
        <f t="shared" si="7"/>
        <v>639</v>
      </c>
      <c r="AG29" s="1071">
        <f t="shared" si="7"/>
        <v>666</v>
      </c>
      <c r="AH29" s="1071">
        <f t="shared" si="7"/>
        <v>603</v>
      </c>
      <c r="AI29" s="1071">
        <f t="shared" si="7"/>
        <v>633</v>
      </c>
      <c r="AJ29" s="1071">
        <f t="shared" si="7"/>
        <v>652</v>
      </c>
      <c r="AK29" s="1071">
        <f t="shared" si="7"/>
        <v>637</v>
      </c>
      <c r="AL29" s="1071">
        <f t="shared" si="7"/>
        <v>652</v>
      </c>
      <c r="AM29" s="1071">
        <f t="shared" si="7"/>
        <v>656</v>
      </c>
      <c r="AN29" s="1071">
        <f t="shared" si="7"/>
        <v>608</v>
      </c>
      <c r="AO29" s="1071">
        <f t="shared" si="7"/>
        <v>0</v>
      </c>
      <c r="AP29" s="1071">
        <f t="shared" si="7"/>
        <v>0</v>
      </c>
      <c r="AQ29" s="1071">
        <f t="shared" si="7"/>
        <v>0</v>
      </c>
      <c r="AR29" s="1071">
        <f t="shared" si="7"/>
        <v>0</v>
      </c>
      <c r="AS29" s="1071">
        <f t="shared" si="7"/>
        <v>0</v>
      </c>
      <c r="AT29" s="1071">
        <f t="shared" si="7"/>
        <v>0</v>
      </c>
      <c r="AU29" s="1071">
        <f>SUM(AU11:AU28)</f>
        <v>14239</v>
      </c>
      <c r="AV29" s="1072">
        <f>SUM(AV11:AV28)</f>
        <v>14239</v>
      </c>
      <c r="AW29" s="1170">
        <f t="shared" si="0"/>
        <v>0</v>
      </c>
    </row>
    <row r="30" spans="1:50">
      <c r="S30" s="1058">
        <f>'Porta Valuation'!$E$10</f>
        <v>494</v>
      </c>
      <c r="T30" s="1058">
        <f>'Porta Valuation'!$E$11</f>
        <v>726</v>
      </c>
      <c r="U30" s="1058">
        <f>'Porta Valuation'!$E$12</f>
        <v>693</v>
      </c>
      <c r="V30" s="1058">
        <f>'Porta Valuation'!$E$13</f>
        <v>709</v>
      </c>
      <c r="W30" s="1058">
        <f>'Porta Valuation'!$E$14</f>
        <v>662</v>
      </c>
      <c r="X30" s="1058">
        <f>'Porta Valuation'!$E$15</f>
        <v>628</v>
      </c>
      <c r="Y30" s="1058">
        <f>'Porta Valuation'!$E$16</f>
        <v>700</v>
      </c>
      <c r="Z30" s="1058">
        <f>'Porta Valuation'!$E$17</f>
        <v>669</v>
      </c>
      <c r="AA30" s="1058">
        <f>'Porta Valuation'!$E$18</f>
        <v>618</v>
      </c>
      <c r="AB30" s="1058">
        <f>'Porta Valuation'!$E$19</f>
        <v>647</v>
      </c>
      <c r="AC30" s="1058">
        <f>'Porta Valuation'!$E$20</f>
        <v>662</v>
      </c>
      <c r="AD30" s="1058">
        <f>'Porta Valuation'!$E$21</f>
        <v>665</v>
      </c>
      <c r="AE30" s="1058">
        <f>'Porta Valuation'!$E$22</f>
        <v>620</v>
      </c>
      <c r="AF30" s="1058">
        <f>'Porta Valuation'!$E$23</f>
        <v>639</v>
      </c>
      <c r="AG30" s="1058">
        <f>'Porta Valuation'!$E$24</f>
        <v>666</v>
      </c>
      <c r="AH30" s="1058">
        <f>'Porta Valuation'!$E$25</f>
        <v>603</v>
      </c>
      <c r="AI30" s="1058">
        <f>'Porta Valuation'!$E$26</f>
        <v>633</v>
      </c>
      <c r="AJ30" s="1058">
        <f>'Porta Valuation'!$E$27</f>
        <v>652</v>
      </c>
      <c r="AK30" s="1058">
        <f>'Porta Valuation'!$E$28</f>
        <v>637</v>
      </c>
      <c r="AL30" s="1058">
        <f>'Porta Valuation'!$E$29</f>
        <v>652</v>
      </c>
      <c r="AM30" s="1058">
        <f>'Porta Valuation'!$E$30</f>
        <v>656</v>
      </c>
      <c r="AN30" s="1058">
        <f>'Porta Valuation'!$E$31</f>
        <v>608</v>
      </c>
      <c r="AO30" s="1058">
        <f>'Porta Valuation'!$E$32</f>
        <v>0</v>
      </c>
      <c r="AP30" s="1058">
        <f>'Porta Valuation'!$E$33</f>
        <v>0</v>
      </c>
      <c r="AQ30" s="1058">
        <f>'Porta Valuation'!$E$34</f>
        <v>0</v>
      </c>
      <c r="AR30" s="1058">
        <f>'Porta Valuation'!$E$35</f>
        <v>0</v>
      </c>
      <c r="AS30" s="1058">
        <f>'Porta Valuation'!$E$36</f>
        <v>0</v>
      </c>
      <c r="AT30" s="1058">
        <f>'Porta Valuation'!$E$37</f>
        <v>0</v>
      </c>
      <c r="AU30" s="1057">
        <f>SUM(S30:AT30)</f>
        <v>14239</v>
      </c>
      <c r="AV30" s="1057">
        <f>SUM('Porta Valuation'!E10:E41)</f>
        <v>14239</v>
      </c>
      <c r="AW30" s="1170">
        <f>AU30-AV30</f>
        <v>0</v>
      </c>
    </row>
    <row r="31" spans="1:50">
      <c r="S31" s="1058">
        <f>+S29-S30</f>
        <v>0</v>
      </c>
      <c r="T31" s="1058">
        <f t="shared" ref="T31:AT31" si="8">+T29-T30</f>
        <v>0</v>
      </c>
      <c r="U31" s="1058">
        <f t="shared" si="8"/>
        <v>0</v>
      </c>
      <c r="V31" s="1058">
        <f t="shared" si="8"/>
        <v>0</v>
      </c>
      <c r="W31" s="1058">
        <f>+W29-W30</f>
        <v>0</v>
      </c>
      <c r="X31" s="1058">
        <f t="shared" si="8"/>
        <v>0</v>
      </c>
      <c r="Y31" s="1886">
        <f t="shared" si="8"/>
        <v>0</v>
      </c>
      <c r="Z31" s="1058">
        <f t="shared" si="8"/>
        <v>0</v>
      </c>
      <c r="AA31" s="1058">
        <f t="shared" si="8"/>
        <v>0</v>
      </c>
      <c r="AB31" s="1058">
        <f t="shared" si="8"/>
        <v>0</v>
      </c>
      <c r="AC31" s="1058">
        <f t="shared" si="8"/>
        <v>0</v>
      </c>
      <c r="AD31" s="1058">
        <f t="shared" si="8"/>
        <v>0</v>
      </c>
      <c r="AE31" s="1058">
        <f t="shared" si="8"/>
        <v>0</v>
      </c>
      <c r="AF31" s="1058">
        <f t="shared" si="8"/>
        <v>0</v>
      </c>
      <c r="AG31" s="1058">
        <f t="shared" si="8"/>
        <v>0</v>
      </c>
      <c r="AH31" s="1058">
        <f>+AH29-AH30</f>
        <v>0</v>
      </c>
      <c r="AI31" s="1058">
        <f>+AI29-AI30</f>
        <v>0</v>
      </c>
      <c r="AJ31" s="1058">
        <f t="shared" si="8"/>
        <v>0</v>
      </c>
      <c r="AK31" s="1058">
        <f t="shared" si="8"/>
        <v>0</v>
      </c>
      <c r="AL31" s="1058">
        <f t="shared" si="8"/>
        <v>0</v>
      </c>
      <c r="AM31" s="1058">
        <f t="shared" si="8"/>
        <v>0</v>
      </c>
      <c r="AN31" s="1058">
        <f t="shared" si="8"/>
        <v>0</v>
      </c>
      <c r="AO31" s="1058">
        <f t="shared" si="8"/>
        <v>0</v>
      </c>
      <c r="AP31" s="1749">
        <f t="shared" si="8"/>
        <v>0</v>
      </c>
      <c r="AQ31" s="1058">
        <f t="shared" si="8"/>
        <v>0</v>
      </c>
      <c r="AR31" s="1058">
        <f t="shared" si="8"/>
        <v>0</v>
      </c>
      <c r="AS31" s="1058">
        <f t="shared" si="8"/>
        <v>0</v>
      </c>
      <c r="AT31" s="1058">
        <f t="shared" si="8"/>
        <v>0</v>
      </c>
      <c r="AU31" s="807">
        <f>SUM(S31:AT31)</f>
        <v>0</v>
      </c>
      <c r="AV31" s="807">
        <f>SUM('Summary Total Pigs'!AF146:AF148)</f>
        <v>14239</v>
      </c>
      <c r="AW31" s="818"/>
    </row>
    <row r="32" spans="1:50" ht="15.6">
      <c r="A32" s="1066" t="s">
        <v>199</v>
      </c>
      <c r="I32" s="1769"/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817"/>
      <c r="AG32" s="817"/>
      <c r="AH32" s="817"/>
      <c r="AI32" s="817"/>
      <c r="AJ32" s="817"/>
      <c r="AK32" s="817"/>
      <c r="AL32" s="817"/>
      <c r="AM32" s="817"/>
      <c r="AN32" s="817"/>
      <c r="AO32" s="817"/>
      <c r="AP32" s="817"/>
      <c r="AQ32" s="817"/>
      <c r="AR32" s="817"/>
      <c r="AS32" s="817"/>
      <c r="AT32" s="817"/>
      <c r="AU32" s="817"/>
      <c r="AV32" s="1057"/>
      <c r="AW32" s="818"/>
      <c r="AX32" s="817"/>
    </row>
    <row r="33" spans="1:52" ht="15.6">
      <c r="A33" s="142" t="s">
        <v>1803</v>
      </c>
      <c r="B33" s="818"/>
      <c r="C33" s="818"/>
      <c r="D33" s="1088"/>
      <c r="E33" s="1088"/>
      <c r="F33" s="818">
        <f>'[2]Porta Pig Cost'!B62</f>
        <v>4583.5762331838569</v>
      </c>
      <c r="G33" s="818">
        <f>'[2]Porta Pig Cost'!C62</f>
        <v>4583.5762331838569</v>
      </c>
      <c r="H33" s="818">
        <f>'[2]Porta Pig Cost'!D62</f>
        <v>4583.5762331838569</v>
      </c>
      <c r="I33" s="818">
        <f>'[2]Porta Pig Cost'!E62</f>
        <v>4583.5762331838569</v>
      </c>
      <c r="J33" s="818">
        <f>'[2]Porta Pig Cost'!F62</f>
        <v>4216.8901345291479</v>
      </c>
      <c r="K33" s="818">
        <f>'[2]Porta Pig Cost'!G62</f>
        <v>8393.9080717488796</v>
      </c>
      <c r="L33" s="818">
        <f>'[2]Porta Pig Cost'!H62</f>
        <v>8393.9080717488796</v>
      </c>
      <c r="M33" s="818">
        <f>'[2]Porta Pig Cost'!I62</f>
        <v>8393.9080717488796</v>
      </c>
      <c r="N33" s="818">
        <f>'[2]Porta Pig Cost'!J62</f>
        <v>8393.9080717488796</v>
      </c>
      <c r="O33" s="818">
        <f>'[2]Porta Pig Cost'!K62</f>
        <v>12568.670403587446</v>
      </c>
      <c r="P33" s="818">
        <f>'[2]Porta Pig Cost'!L62</f>
        <v>12568.670403587446</v>
      </c>
      <c r="Q33" s="818">
        <f>'[2]Porta Pig Cost'!M62</f>
        <v>12568.670403587446</v>
      </c>
      <c r="R33" s="818">
        <f>'[2]Porta Pig Cost'!N62</f>
        <v>13485.385650224216</v>
      </c>
      <c r="S33" s="818">
        <f>'[2]Porta Pig Cost'!O62</f>
        <v>18492.49686098655</v>
      </c>
      <c r="T33" s="818">
        <f>'[2]Porta Pig Cost'!P62</f>
        <v>18492.49686098655</v>
      </c>
      <c r="U33" s="818">
        <f>'[2]Porta Pig Cost'!Q62</f>
        <v>18492.49686098655</v>
      </c>
      <c r="V33" s="818">
        <f>'[2]Porta Pig Cost'!R62</f>
        <v>22526.043946188343</v>
      </c>
      <c r="W33" s="818">
        <f>'[2]Porta Pig Cost'!S62</f>
        <v>25056.325144293325</v>
      </c>
      <c r="X33" s="818">
        <f>'[2]Porta Pig Cost'!T62</f>
        <v>31689.089088700253</v>
      </c>
      <c r="Y33" s="818">
        <f>'[2]Porta Pig Cost'!U62</f>
        <v>32962.654748013272</v>
      </c>
      <c r="Z33" s="818">
        <f>'[2]Porta Pig Cost'!V62</f>
        <v>43565.685707057237</v>
      </c>
      <c r="AA33" s="818">
        <f>'[2]Porta Pig Cost'!W62</f>
        <v>43871.640820978275</v>
      </c>
      <c r="AB33" s="818">
        <f>'[2]Porta Pig Cost'!X62</f>
        <v>27811.930165754944</v>
      </c>
      <c r="AC33" s="818">
        <f>'[2]Porta Pig Cost'!Y62</f>
        <v>36001.14949636026</v>
      </c>
      <c r="AD33" s="818">
        <f>'[2]Porta Pig Cost'!Z62</f>
        <v>38061.62191314192</v>
      </c>
      <c r="AE33" s="818">
        <f>'[2]Porta Pig Cost'!AA62</f>
        <v>69585.040958110592</v>
      </c>
      <c r="AF33" s="818">
        <f>'[2]Porta Pig Cost'!AB62</f>
        <v>79918.628715572675</v>
      </c>
      <c r="AG33" s="818">
        <f>'[2]Porta Pig Cost'!AC62</f>
        <v>81144.207289872298</v>
      </c>
      <c r="AH33" s="818">
        <f>'[2]Porta Pig Cost'!AD62</f>
        <v>85031.12870573267</v>
      </c>
      <c r="AI33" s="818">
        <f>'[2]Porta Pig Cost'!AE62</f>
        <v>92807.403801830165</v>
      </c>
      <c r="AJ33" s="818">
        <f>'[2]Porta Pig Cost'!AF62</f>
        <v>129874.08757022703</v>
      </c>
      <c r="AK33" s="818">
        <f>'[2]Porta Pig Cost'!AG62</f>
        <v>124138.86834935205</v>
      </c>
      <c r="AL33" s="818">
        <f>'[2]Porta Pig Cost'!AH62</f>
        <v>148563.36459074172</v>
      </c>
      <c r="AM33" s="818">
        <f>'[2]Porta Pig Cost'!AI62</f>
        <v>156812.50200992342</v>
      </c>
      <c r="AN33" s="818">
        <f>'[2]Porta Pig Cost'!AJ62</f>
        <v>182174.50179897141</v>
      </c>
      <c r="AO33" s="818">
        <f>'[2]Porta Pig Cost'!AK62</f>
        <v>177863.29335979198</v>
      </c>
      <c r="AP33" s="818">
        <f>'[2]Porta Pig Cost'!AL62</f>
        <v>194265.10692258007</v>
      </c>
      <c r="AQ33" s="818">
        <f>'[2]Porta Pig Cost'!AM62</f>
        <v>217550.21562349188</v>
      </c>
      <c r="AR33" s="818">
        <f>'[2]Porta Pig Cost'!AN62</f>
        <v>170792.49801598492</v>
      </c>
      <c r="AS33" s="818">
        <f>'[2]Porta Pig Cost'!AO62</f>
        <v>182934.31273425921</v>
      </c>
      <c r="AT33" s="818">
        <f>'[2]Porta Pig Cost'!AP62</f>
        <v>2.9103830456733704E-11</v>
      </c>
      <c r="AU33" s="1057">
        <f>SUM(B33:AT33)</f>
        <v>2557797.0162751358</v>
      </c>
      <c r="AV33" s="818">
        <f>'[2]Porta Pig Cost'!AU62</f>
        <v>2557797.0162751358</v>
      </c>
      <c r="AW33" s="1170">
        <f>+AU33-AV33</f>
        <v>0</v>
      </c>
    </row>
    <row r="34" spans="1:52" s="805" customFormat="1" ht="15.6">
      <c r="A34" s="1066" t="s">
        <v>212</v>
      </c>
      <c r="S34" s="1101">
        <f t="shared" ref="S34:AL34" si="9">-T35</f>
        <v>145.80155212341563</v>
      </c>
      <c r="T34" s="1101">
        <f t="shared" si="9"/>
        <v>0</v>
      </c>
      <c r="U34" s="1101">
        <f>-V35</f>
        <v>0</v>
      </c>
      <c r="V34" s="1101"/>
      <c r="W34" s="1101">
        <f>-X35</f>
        <v>0</v>
      </c>
      <c r="X34" s="1101">
        <f>-W35</f>
        <v>0</v>
      </c>
      <c r="Y34" s="1101"/>
      <c r="Z34" s="1101">
        <f>-Y35</f>
        <v>0</v>
      </c>
      <c r="AA34" s="1101">
        <f t="shared" ref="AA34:AB34" si="10">-AB35</f>
        <v>0</v>
      </c>
      <c r="AB34" s="1101">
        <f t="shared" si="10"/>
        <v>0</v>
      </c>
      <c r="AC34" s="1101">
        <f t="shared" si="9"/>
        <v>0</v>
      </c>
      <c r="AD34" s="1101">
        <f t="shared" si="9"/>
        <v>0</v>
      </c>
      <c r="AE34" s="1101">
        <f t="shared" si="9"/>
        <v>0</v>
      </c>
      <c r="AF34" s="1101">
        <f>-AG35</f>
        <v>0</v>
      </c>
      <c r="AG34" s="1101">
        <f t="shared" si="9"/>
        <v>0</v>
      </c>
      <c r="AH34" s="1101">
        <f t="shared" si="9"/>
        <v>0</v>
      </c>
      <c r="AI34" s="1101">
        <f t="shared" si="9"/>
        <v>0</v>
      </c>
      <c r="AJ34" s="1101">
        <f t="shared" si="9"/>
        <v>0</v>
      </c>
      <c r="AK34" s="1101">
        <f t="shared" si="9"/>
        <v>0</v>
      </c>
      <c r="AL34" s="1101">
        <f t="shared" si="9"/>
        <v>0</v>
      </c>
      <c r="AM34" s="1101"/>
      <c r="AN34" s="1101">
        <f t="shared" ref="AN34:AS34" si="11">-AO35</f>
        <v>0</v>
      </c>
      <c r="AO34" s="1101">
        <f t="shared" si="11"/>
        <v>0</v>
      </c>
      <c r="AP34" s="1101">
        <f t="shared" si="11"/>
        <v>1928.066903605541</v>
      </c>
      <c r="AQ34" s="1101">
        <f t="shared" si="11"/>
        <v>0</v>
      </c>
      <c r="AR34" s="1101">
        <f t="shared" si="11"/>
        <v>0</v>
      </c>
      <c r="AS34" s="1101">
        <f t="shared" si="11"/>
        <v>0</v>
      </c>
      <c r="AT34" s="1101"/>
      <c r="AU34" s="807">
        <f>SUM(B34:AT34)</f>
        <v>2073.8684557289566</v>
      </c>
    </row>
    <row r="35" spans="1:52" s="805" customFormat="1" ht="15.6">
      <c r="A35" s="1066" t="s">
        <v>1832</v>
      </c>
      <c r="S35" s="1101"/>
      <c r="T35" s="1101">
        <f>+IFERROR(T33/T8*T10,0)</f>
        <v>-145.80155212341563</v>
      </c>
      <c r="U35" s="1101">
        <f>+IFERROR(U33/U8*U10,0)</f>
        <v>0</v>
      </c>
      <c r="V35" s="1101">
        <f>+IFERROR(V33/V8*V10,0)</f>
        <v>0</v>
      </c>
      <c r="W35" s="1101">
        <f>+IFERROR(W33/(W8+W7)*W10,0)</f>
        <v>0</v>
      </c>
      <c r="X35" s="1101">
        <f>+IFERROR(X33/X7*X10,0)</f>
        <v>0</v>
      </c>
      <c r="Y35" s="1101">
        <f>+IFERROR(Y33/Y7*Y10,0)</f>
        <v>0</v>
      </c>
      <c r="Z35" s="1101">
        <f>+IFERROR(Z33/Z7*Z10,0)</f>
        <v>0</v>
      </c>
      <c r="AA35" s="1101">
        <f>+IFERROR(AA33/AA7*AA10,0)</f>
        <v>0</v>
      </c>
      <c r="AB35" s="1101">
        <f t="shared" ref="AB35" si="12">+IFERROR(AB33/AB7*AB10,0)</f>
        <v>0</v>
      </c>
      <c r="AC35" s="1101">
        <f>+IFERROR(AC33/AC7*AC10,0)</f>
        <v>0</v>
      </c>
      <c r="AD35" s="1101">
        <f>+IFERROR(AD33/AD7*AD10,0)</f>
        <v>0</v>
      </c>
      <c r="AE35" s="1101">
        <f>+IFERROR(AE33/AE7*AE10,0)</f>
        <v>0</v>
      </c>
      <c r="AF35" s="1101">
        <f>+IFERROR(AF33/AF7*AF10,0)</f>
        <v>0</v>
      </c>
      <c r="AG35" s="1101">
        <f>+IFERROR(AG33/AG7*AG10,0)</f>
        <v>0</v>
      </c>
      <c r="AH35" s="1101">
        <f t="shared" ref="AH35:AN35" si="13">+IFERROR(AH33/AH7*AH10,0)</f>
        <v>0</v>
      </c>
      <c r="AI35" s="1101">
        <f t="shared" si="13"/>
        <v>0</v>
      </c>
      <c r="AJ35" s="1101">
        <f t="shared" si="13"/>
        <v>0</v>
      </c>
      <c r="AK35" s="1101">
        <f t="shared" si="13"/>
        <v>0</v>
      </c>
      <c r="AL35" s="1101">
        <f t="shared" si="13"/>
        <v>0</v>
      </c>
      <c r="AM35" s="1101">
        <f t="shared" si="13"/>
        <v>0</v>
      </c>
      <c r="AN35" s="1101">
        <f t="shared" si="13"/>
        <v>0</v>
      </c>
      <c r="AO35" s="1101">
        <f t="shared" ref="AO35:AT35" si="14">+IFERROR(AO33/AO7*AO10,0)</f>
        <v>0</v>
      </c>
      <c r="AP35" s="1101">
        <f t="shared" si="14"/>
        <v>0</v>
      </c>
      <c r="AQ35" s="1101">
        <f t="shared" si="14"/>
        <v>-1928.066903605541</v>
      </c>
      <c r="AR35" s="1101">
        <f t="shared" si="14"/>
        <v>0</v>
      </c>
      <c r="AS35" s="1101">
        <f t="shared" si="14"/>
        <v>0</v>
      </c>
      <c r="AT35" s="1101">
        <f t="shared" si="14"/>
        <v>0</v>
      </c>
      <c r="AU35" s="807">
        <f>SUM(B35:AT35)</f>
        <v>-2073.8684557289566</v>
      </c>
      <c r="AX35" s="2075">
        <f>AU33/AU7</f>
        <v>170.21341693452692</v>
      </c>
    </row>
    <row r="36" spans="1:52">
      <c r="A36" s="1059" t="s">
        <v>1804</v>
      </c>
      <c r="B36" s="818">
        <f>IFERROR(SUM(B33:B35),0)</f>
        <v>0</v>
      </c>
      <c r="C36" s="818">
        <f t="shared" ref="C36:AU36" si="15">IFERROR(SUM(C33:C35),0)</f>
        <v>0</v>
      </c>
      <c r="D36" s="818">
        <f t="shared" si="15"/>
        <v>0</v>
      </c>
      <c r="E36" s="818">
        <f t="shared" si="15"/>
        <v>0</v>
      </c>
      <c r="F36" s="818">
        <f t="shared" si="15"/>
        <v>4583.5762331838569</v>
      </c>
      <c r="G36" s="818">
        <f t="shared" si="15"/>
        <v>4583.5762331838569</v>
      </c>
      <c r="H36" s="818">
        <f t="shared" si="15"/>
        <v>4583.5762331838569</v>
      </c>
      <c r="I36" s="818">
        <f t="shared" si="15"/>
        <v>4583.5762331838569</v>
      </c>
      <c r="J36" s="818">
        <f t="shared" si="15"/>
        <v>4216.8901345291479</v>
      </c>
      <c r="K36" s="818">
        <f t="shared" si="15"/>
        <v>8393.9080717488796</v>
      </c>
      <c r="L36" s="818">
        <f t="shared" si="15"/>
        <v>8393.9080717488796</v>
      </c>
      <c r="M36" s="818">
        <f t="shared" si="15"/>
        <v>8393.9080717488796</v>
      </c>
      <c r="N36" s="818">
        <f t="shared" si="15"/>
        <v>8393.9080717488796</v>
      </c>
      <c r="O36" s="818">
        <f t="shared" si="15"/>
        <v>12568.670403587446</v>
      </c>
      <c r="P36" s="818">
        <f t="shared" si="15"/>
        <v>12568.670403587446</v>
      </c>
      <c r="Q36" s="818">
        <f t="shared" si="15"/>
        <v>12568.670403587446</v>
      </c>
      <c r="R36" s="818">
        <f t="shared" si="15"/>
        <v>13485.385650224216</v>
      </c>
      <c r="S36" s="818">
        <f t="shared" si="15"/>
        <v>18638.298413109966</v>
      </c>
      <c r="T36" s="818">
        <f t="shared" si="15"/>
        <v>18346.695308863134</v>
      </c>
      <c r="U36" s="818">
        <f t="shared" si="15"/>
        <v>18492.49686098655</v>
      </c>
      <c r="V36" s="818">
        <f t="shared" si="15"/>
        <v>22526.043946188343</v>
      </c>
      <c r="W36" s="818">
        <f t="shared" si="15"/>
        <v>25056.325144293325</v>
      </c>
      <c r="X36" s="818">
        <f t="shared" si="15"/>
        <v>31689.089088700253</v>
      </c>
      <c r="Y36" s="818">
        <f t="shared" si="15"/>
        <v>32962.654748013272</v>
      </c>
      <c r="Z36" s="818">
        <f t="shared" si="15"/>
        <v>43565.685707057237</v>
      </c>
      <c r="AA36" s="818">
        <f t="shared" si="15"/>
        <v>43871.640820978275</v>
      </c>
      <c r="AB36" s="818">
        <f t="shared" si="15"/>
        <v>27811.930165754944</v>
      </c>
      <c r="AC36" s="818">
        <f t="shared" si="15"/>
        <v>36001.14949636026</v>
      </c>
      <c r="AD36" s="818">
        <f t="shared" si="15"/>
        <v>38061.62191314192</v>
      </c>
      <c r="AE36" s="818">
        <f t="shared" si="15"/>
        <v>69585.040958110592</v>
      </c>
      <c r="AF36" s="818">
        <f t="shared" si="15"/>
        <v>79918.628715572675</v>
      </c>
      <c r="AG36" s="818">
        <f t="shared" si="15"/>
        <v>81144.207289872298</v>
      </c>
      <c r="AH36" s="818">
        <f t="shared" si="15"/>
        <v>85031.12870573267</v>
      </c>
      <c r="AI36" s="818">
        <f t="shared" si="15"/>
        <v>92807.403801830165</v>
      </c>
      <c r="AJ36" s="818">
        <f t="shared" si="15"/>
        <v>129874.08757022703</v>
      </c>
      <c r="AK36" s="818">
        <f t="shared" si="15"/>
        <v>124138.86834935205</v>
      </c>
      <c r="AL36" s="818">
        <f t="shared" si="15"/>
        <v>148563.36459074172</v>
      </c>
      <c r="AM36" s="818">
        <f t="shared" si="15"/>
        <v>156812.50200992342</v>
      </c>
      <c r="AN36" s="818">
        <f t="shared" si="15"/>
        <v>182174.50179897141</v>
      </c>
      <c r="AO36" s="818">
        <f t="shared" si="15"/>
        <v>177863.29335979198</v>
      </c>
      <c r="AP36" s="818">
        <f t="shared" si="15"/>
        <v>196193.17382618561</v>
      </c>
      <c r="AQ36" s="818">
        <f t="shared" si="15"/>
        <v>215622.14871988635</v>
      </c>
      <c r="AR36" s="818">
        <f t="shared" si="15"/>
        <v>170792.49801598492</v>
      </c>
      <c r="AS36" s="818">
        <f t="shared" si="15"/>
        <v>182934.31273425921</v>
      </c>
      <c r="AT36" s="818">
        <f>IFERROR(SUM(AT33:AT35),0)</f>
        <v>2.9103830456733704E-11</v>
      </c>
      <c r="AU36" s="818">
        <f t="shared" si="15"/>
        <v>2557797.0162751358</v>
      </c>
      <c r="AV36" s="1057"/>
      <c r="AW36" s="1170"/>
      <c r="AX36" s="2076">
        <f>AU62/AU30</f>
        <v>167.92659076893389</v>
      </c>
    </row>
    <row r="37" spans="1:52">
      <c r="A37" s="1059" t="s">
        <v>1805</v>
      </c>
      <c r="B37" s="818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>
        <f>IFERROR(S36/S11,0)</f>
        <v>37.128084488266865</v>
      </c>
      <c r="T37" s="818">
        <f t="shared" ref="T37:AU37" si="16">IFERROR(T36/T11,0)</f>
        <v>24.300258687235939</v>
      </c>
      <c r="U37" s="818">
        <f t="shared" si="16"/>
        <v>25.125675082862159</v>
      </c>
      <c r="V37" s="818">
        <f t="shared" si="16"/>
        <v>30.358549792706661</v>
      </c>
      <c r="W37" s="818">
        <f t="shared" si="16"/>
        <v>32.164730608848942</v>
      </c>
      <c r="X37" s="818">
        <f t="shared" si="16"/>
        <v>45.012910637358317</v>
      </c>
      <c r="Y37" s="818">
        <f>IFERROR(Y36/Y11,0)</f>
        <v>43.144836057608998</v>
      </c>
      <c r="Z37" s="818">
        <f t="shared" si="16"/>
        <v>59.112192275518638</v>
      </c>
      <c r="AA37" s="818">
        <f t="shared" si="16"/>
        <v>70.875025558930972</v>
      </c>
      <c r="AB37" s="818">
        <f t="shared" si="16"/>
        <v>42.853513352472952</v>
      </c>
      <c r="AC37" s="818">
        <f t="shared" si="16"/>
        <v>54.300376314268867</v>
      </c>
      <c r="AD37" s="818">
        <f t="shared" si="16"/>
        <v>57.149582452165042</v>
      </c>
      <c r="AE37" s="818">
        <f t="shared" si="16"/>
        <v>111.87305620275015</v>
      </c>
      <c r="AF37" s="818">
        <f t="shared" si="16"/>
        <v>124.48384535135931</v>
      </c>
      <c r="AG37" s="818">
        <f t="shared" si="16"/>
        <v>121.11075714906313</v>
      </c>
      <c r="AH37" s="818">
        <f t="shared" si="16"/>
        <v>139.85383010811293</v>
      </c>
      <c r="AI37" s="818">
        <f t="shared" si="16"/>
        <v>145.92359088338077</v>
      </c>
      <c r="AJ37" s="818">
        <f t="shared" si="16"/>
        <v>197.97879202778509</v>
      </c>
      <c r="AK37" s="818">
        <f t="shared" si="16"/>
        <v>193.96698179586258</v>
      </c>
      <c r="AL37" s="818">
        <f t="shared" si="16"/>
        <v>227.50898099654168</v>
      </c>
      <c r="AM37" s="818">
        <f t="shared" si="16"/>
        <v>238.31687235550672</v>
      </c>
      <c r="AN37" s="818">
        <f t="shared" si="16"/>
        <v>298.64672426060889</v>
      </c>
      <c r="AO37" s="818">
        <f>IFERROR(AO36/AO11,0)</f>
        <v>282.32268787268566</v>
      </c>
      <c r="AP37" s="818">
        <f t="shared" si="16"/>
        <v>291.08779499434064</v>
      </c>
      <c r="AQ37" s="818">
        <f t="shared" si="16"/>
        <v>321.34448393425686</v>
      </c>
      <c r="AR37" s="818">
        <f t="shared" si="16"/>
        <v>266.44695478312781</v>
      </c>
      <c r="AS37" s="818">
        <f t="shared" si="16"/>
        <v>273.03628766307344</v>
      </c>
      <c r="AT37" s="818">
        <f t="shared" si="16"/>
        <v>0</v>
      </c>
      <c r="AU37" s="818">
        <f t="shared" si="16"/>
        <v>142.12352149108941</v>
      </c>
      <c r="AV37" s="1057"/>
      <c r="AW37" s="1170"/>
    </row>
    <row r="38" spans="1:52">
      <c r="B38" s="818"/>
      <c r="C38" s="818"/>
      <c r="D38" s="818"/>
      <c r="E38" s="818"/>
      <c r="F38" s="818"/>
      <c r="G38" s="818"/>
      <c r="H38" s="818"/>
      <c r="I38" s="818"/>
      <c r="J38" s="818"/>
      <c r="K38" s="818"/>
      <c r="L38" s="818"/>
      <c r="M38" s="818"/>
      <c r="N38" s="818"/>
      <c r="O38" s="818"/>
      <c r="P38" s="818"/>
      <c r="Q38" s="818"/>
      <c r="R38" s="818"/>
      <c r="S38" s="818"/>
      <c r="T38" s="818"/>
      <c r="U38" s="818"/>
      <c r="V38" s="818"/>
      <c r="W38" s="818"/>
      <c r="X38" s="818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  <c r="AI38" s="818"/>
      <c r="AJ38" s="818"/>
      <c r="AK38" s="818"/>
      <c r="AL38" s="818"/>
      <c r="AM38" s="818"/>
      <c r="AN38" s="818"/>
      <c r="AO38" s="818"/>
      <c r="AP38" s="818"/>
      <c r="AQ38" s="818"/>
      <c r="AR38" s="818"/>
      <c r="AS38" s="818"/>
      <c r="AT38" s="818"/>
      <c r="AU38" s="1057"/>
      <c r="AV38" s="1057"/>
      <c r="AW38" s="1170"/>
      <c r="AX38" s="1992">
        <f>AX36/AX35-1</f>
        <v>-1.3435052340631026E-2</v>
      </c>
    </row>
    <row r="39" spans="1:52" ht="15.6">
      <c r="A39" s="1687" t="s">
        <v>1806</v>
      </c>
      <c r="B39" s="818">
        <f t="shared" ref="B39:AU39" si="17">IFERROR(B36+SUM(B45:B56),0)</f>
        <v>0</v>
      </c>
      <c r="C39" s="818">
        <f t="shared" si="17"/>
        <v>0</v>
      </c>
      <c r="D39" s="818">
        <f t="shared" si="17"/>
        <v>0</v>
      </c>
      <c r="E39" s="818">
        <f t="shared" si="17"/>
        <v>0</v>
      </c>
      <c r="F39" s="818">
        <f t="shared" si="17"/>
        <v>4583.5762331838569</v>
      </c>
      <c r="G39" s="818">
        <f t="shared" si="17"/>
        <v>4583.5762331838569</v>
      </c>
      <c r="H39" s="818">
        <f t="shared" si="17"/>
        <v>4583.5762331838569</v>
      </c>
      <c r="I39" s="818">
        <f t="shared" si="17"/>
        <v>4583.5762331838569</v>
      </c>
      <c r="J39" s="818">
        <f t="shared" si="17"/>
        <v>4216.8901345291479</v>
      </c>
      <c r="K39" s="818">
        <f t="shared" si="17"/>
        <v>8393.9080717488796</v>
      </c>
      <c r="L39" s="818">
        <f t="shared" si="17"/>
        <v>8393.9080717488796</v>
      </c>
      <c r="M39" s="818">
        <f t="shared" si="17"/>
        <v>8393.9080717488796</v>
      </c>
      <c r="N39" s="818">
        <f t="shared" si="17"/>
        <v>8393.9080717488796</v>
      </c>
      <c r="O39" s="818">
        <f t="shared" si="17"/>
        <v>12568.670403587446</v>
      </c>
      <c r="P39" s="818">
        <f t="shared" si="17"/>
        <v>12568.670403587446</v>
      </c>
      <c r="Q39" s="818">
        <f t="shared" si="17"/>
        <v>12568.670403587446</v>
      </c>
      <c r="R39" s="818">
        <f t="shared" si="17"/>
        <v>13485.385650224216</v>
      </c>
      <c r="S39" s="818">
        <f t="shared" si="17"/>
        <v>18638.298413109966</v>
      </c>
      <c r="T39" s="818">
        <f t="shared" si="17"/>
        <v>18346.695308863134</v>
      </c>
      <c r="U39" s="818">
        <f t="shared" si="17"/>
        <v>18492.49686098655</v>
      </c>
      <c r="V39" s="818">
        <f t="shared" si="17"/>
        <v>22526.043946188343</v>
      </c>
      <c r="W39" s="818">
        <f t="shared" si="17"/>
        <v>22483.146695585408</v>
      </c>
      <c r="X39" s="818">
        <f t="shared" si="17"/>
        <v>28988.314450458754</v>
      </c>
      <c r="Y39" s="818">
        <f t="shared" si="17"/>
        <v>30891.70261724804</v>
      </c>
      <c r="Z39" s="818">
        <f t="shared" si="17"/>
        <v>40018.954170526122</v>
      </c>
      <c r="AA39" s="818">
        <f t="shared" si="17"/>
        <v>43871.640820978275</v>
      </c>
      <c r="AB39" s="818">
        <f t="shared" si="17"/>
        <v>27811.930165754944</v>
      </c>
      <c r="AC39" s="818">
        <f t="shared" si="17"/>
        <v>36001.14949636026</v>
      </c>
      <c r="AD39" s="818">
        <f t="shared" si="17"/>
        <v>38061.62191314192</v>
      </c>
      <c r="AE39" s="818">
        <f t="shared" si="17"/>
        <v>69585.040958110592</v>
      </c>
      <c r="AF39" s="818">
        <f t="shared" si="17"/>
        <v>79918.628715572675</v>
      </c>
      <c r="AG39" s="818">
        <f t="shared" si="17"/>
        <v>81144.207289872298</v>
      </c>
      <c r="AH39" s="818">
        <f t="shared" si="17"/>
        <v>85031.12870573267</v>
      </c>
      <c r="AI39" s="818">
        <f t="shared" si="17"/>
        <v>92807.403801830165</v>
      </c>
      <c r="AJ39" s="818">
        <f t="shared" si="17"/>
        <v>129874.08757022703</v>
      </c>
      <c r="AK39" s="818">
        <f t="shared" si="17"/>
        <v>124138.86834935205</v>
      </c>
      <c r="AL39" s="818">
        <f t="shared" si="17"/>
        <v>148563.36459074172</v>
      </c>
      <c r="AM39" s="818">
        <f>IFERROR(AM36+SUM(AM45:AM56),0)</f>
        <v>156812.50200992342</v>
      </c>
      <c r="AN39" s="818">
        <f t="shared" si="17"/>
        <v>182174.50179897141</v>
      </c>
      <c r="AO39" s="818">
        <f t="shared" si="17"/>
        <v>177863.29335979198</v>
      </c>
      <c r="AP39" s="818">
        <f t="shared" si="17"/>
        <v>196193.17382618561</v>
      </c>
      <c r="AQ39" s="818">
        <f t="shared" si="17"/>
        <v>215622.14871988635</v>
      </c>
      <c r="AR39" s="818">
        <f t="shared" si="17"/>
        <v>170792.49801598492</v>
      </c>
      <c r="AS39" s="818">
        <f t="shared" si="17"/>
        <v>182934.31273425921</v>
      </c>
      <c r="AT39" s="818">
        <f t="shared" si="17"/>
        <v>2.9103830456733704E-11</v>
      </c>
      <c r="AU39" s="818">
        <f t="shared" si="17"/>
        <v>2546905.3795208898</v>
      </c>
      <c r="AV39" s="1057"/>
      <c r="AW39" s="1170"/>
      <c r="AX39" s="818"/>
      <c r="AY39" s="818"/>
    </row>
    <row r="40" spans="1:52" ht="15.6">
      <c r="A40" s="1066" t="s">
        <v>1807</v>
      </c>
      <c r="B40" s="1318">
        <f>B76*$B$68</f>
        <v>4330.6053811659212</v>
      </c>
      <c r="C40" s="1318">
        <f t="shared" ref="C40:R40" si="18">C76*$B$68</f>
        <v>4330.6053811659212</v>
      </c>
      <c r="D40" s="1318">
        <f t="shared" si="18"/>
        <v>4330.6053811659212</v>
      </c>
      <c r="E40" s="1318">
        <f t="shared" si="18"/>
        <v>4330.6053811659212</v>
      </c>
      <c r="F40" s="1318">
        <f t="shared" si="18"/>
        <v>3984.156950672646</v>
      </c>
      <c r="G40" s="1318">
        <f t="shared" si="18"/>
        <v>3984.156950672646</v>
      </c>
      <c r="H40" s="1318">
        <f t="shared" si="18"/>
        <v>3984.156950672646</v>
      </c>
      <c r="I40" s="1318">
        <f t="shared" si="18"/>
        <v>3984.156950672646</v>
      </c>
      <c r="J40" s="1318">
        <f t="shared" si="18"/>
        <v>3984.156950672646</v>
      </c>
      <c r="K40" s="1318">
        <f t="shared" si="18"/>
        <v>3984.156950672646</v>
      </c>
      <c r="L40" s="1318">
        <f t="shared" si="18"/>
        <v>3984.156950672646</v>
      </c>
      <c r="M40" s="1318">
        <f t="shared" si="18"/>
        <v>3984.156950672646</v>
      </c>
      <c r="N40" s="1318">
        <f t="shared" si="18"/>
        <v>4850.2780269058303</v>
      </c>
      <c r="O40" s="1318">
        <f t="shared" si="18"/>
        <v>4850.2780269058303</v>
      </c>
      <c r="P40" s="1318">
        <f t="shared" si="18"/>
        <v>4850.2780269058303</v>
      </c>
      <c r="Q40" s="1318">
        <f t="shared" si="18"/>
        <v>4850.2780269058303</v>
      </c>
      <c r="R40" s="1318">
        <f t="shared" si="18"/>
        <v>8661.2107623318425</v>
      </c>
      <c r="S40" s="1317">
        <f>S29/(S29+T29+U29)*D68</f>
        <v>12118.106638787243</v>
      </c>
      <c r="T40" s="1317">
        <f>T29/(S29+T29+U29)*D68</f>
        <v>17809.201254573967</v>
      </c>
      <c r="U40" s="1317">
        <f>U29/(U29+T29+S29)*D68</f>
        <v>16999.692106638788</v>
      </c>
      <c r="V40" s="1319">
        <f>V11/(V11+W11)*'Feed Cost &amp; Allocation'!C80</f>
        <v>19350.052596975675</v>
      </c>
      <c r="W40" s="1319">
        <f>W11/(V11+W11)*'Feed Cost &amp; Allocation'!C80</f>
        <v>20314.947403024325</v>
      </c>
      <c r="X40" s="1060">
        <f>IFERROR(X76*$F$68,0)</f>
        <v>4502.896321303032</v>
      </c>
      <c r="Y40" s="1060">
        <f>IFERROR(Y76*$F$68,0)</f>
        <v>4442.4655274423139</v>
      </c>
      <c r="Z40" s="1060">
        <f>IFERROR(Z76*$F$68,0)</f>
        <v>6420.6381512546541</v>
      </c>
      <c r="AA40" s="1551">
        <f>AA29/(AA29+AB29+AC29)*('Feed Cost &amp; Allocation'!D80+'Feed Cost &amp; Allocation'!E80)</f>
        <v>34151.314997405294</v>
      </c>
      <c r="AB40" s="1551">
        <f>AB29/(AA29+AB29+AC29)*('Feed Cost &amp; Allocation'!D80+'Feed Cost &amp; Allocation'!E80)</f>
        <v>35753.884795018166</v>
      </c>
      <c r="AC40" s="1551">
        <f>AC29/(AC29+AB29+AA29)*('Feed Cost &amp; Allocation'!D80+'Feed Cost &amp; Allocation'!E80)</f>
        <v>36582.80020757654</v>
      </c>
      <c r="AD40" s="1320">
        <f>IFERROR((AD7/(AD7+AE7))*'Feed Cost &amp; Allocation'!F80,0)</f>
        <v>44233.155279503102</v>
      </c>
      <c r="AE40" s="1320">
        <f>IFERROR((AE7/(AE7+AD7))*'Feed Cost &amp; Allocation'!F80,0)</f>
        <v>41310.844720496891</v>
      </c>
      <c r="AF40" s="1553">
        <f>IFERROR(AF7/(AF7+AG7)*'Feed Cost &amp; Allocation'!G80,0)</f>
        <v>35966.190548780491</v>
      </c>
      <c r="AG40" s="1553">
        <f>IFERROR(AG7/(AF7+AG7)*'Feed Cost &amp; Allocation'!G80,0)</f>
        <v>37534.809451219509</v>
      </c>
      <c r="AH40" s="1554">
        <f>AH29/SUM($AH$29:$AM$29)*('Feed Cost &amp; Allocation'!$H$80+'Feed Cost &amp; Allocation'!$AF$80+'Feed Cost &amp; Allocation'!J80+'Feed Cost &amp; Allocation'!AQ80)</f>
        <v>56968.664909992178</v>
      </c>
      <c r="AI40" s="1552">
        <f>AI29/SUM($AH$29:$AM$29)*('Feed Cost &amp; Allocation'!$H$80+'Feed Cost &amp; Allocation'!$AF$80+'Feed Cost &amp; Allocation'!J80+'Feed Cost &amp; Allocation'!AQ80)</f>
        <v>59802.926845812683</v>
      </c>
      <c r="AJ40" s="1552">
        <f>AJ29/SUM($AH$29:$AM$29)*('Feed Cost &amp; Allocation'!$H$80+'Feed Cost &amp; Allocation'!$AF$80+'Feed Cost &amp; Allocation'!J80+'Feed Cost &amp; Allocation'!AQ80)</f>
        <v>61597.959405165668</v>
      </c>
      <c r="AK40" s="1552">
        <f>AK29/SUM($AH$29:$AM$29)*('Feed Cost &amp; Allocation'!$H$80+'Feed Cost &amp; Allocation'!$AF$80+'Feed Cost &amp; Allocation'!J80+'Feed Cost &amp; Allocation'!AQ80)</f>
        <v>60180.828437255412</v>
      </c>
      <c r="AL40" s="1552">
        <f>AL29/SUM($AH$29:$AM$29)*('Feed Cost &amp; Allocation'!$H$80+'Feed Cost &amp; Allocation'!$AF$80+'Feed Cost &amp; Allocation'!J80+'Feed Cost &amp; Allocation'!AQ80)</f>
        <v>61597.959405165668</v>
      </c>
      <c r="AM40" s="1552">
        <f>AM29/SUM($AH$29:$AM$29)*('Feed Cost &amp; Allocation'!$H$80+'Feed Cost &amp; Allocation'!$AF$80+'Feed Cost &amp; Allocation'!J80+'Feed Cost &amp; Allocation'!AQ80)</f>
        <v>61975.860996608404</v>
      </c>
      <c r="AN40" s="818"/>
      <c r="AO40" s="818"/>
      <c r="AP40" s="818"/>
      <c r="AQ40" s="818"/>
      <c r="AR40" s="818"/>
      <c r="AS40" s="818"/>
      <c r="AT40" s="818"/>
      <c r="AU40" s="807">
        <f>SUM(B40:AT40)</f>
        <v>806873.2</v>
      </c>
      <c r="AV40" s="1199">
        <f>AU40-'Feed Cost &amp; Allocation'!AY80+'Feed Cost &amp; Allocation'!P80+'Feed Cost &amp; Allocation'!Q80+'Feed Cost &amp; Allocation'!R80+'Feed Cost &amp; Allocation'!W80+'Feed Cost &amp; Allocation'!X80+'Feed Cost &amp; Allocation'!AB80-F67</f>
        <v>0</v>
      </c>
      <c r="AW40" s="1088">
        <f>'Feed Cost &amp; Allocation'!P80+'Feed Cost &amp; Allocation'!Q80+'Feed Cost &amp; Allocation'!R80+'Feed Cost &amp; Allocation'!W80+'Feed Cost &amp; Allocation'!X80+'Feed Cost &amp; Allocation'!AB80-F67</f>
        <v>21574</v>
      </c>
    </row>
    <row r="41" spans="1:52" ht="15.6">
      <c r="A41" s="1790" t="s">
        <v>1808</v>
      </c>
      <c r="B41" s="1318">
        <f>IFERROR(SUM(B39:B40),0)</f>
        <v>4330.6053811659212</v>
      </c>
      <c r="C41" s="1318">
        <f t="shared" ref="C41:AT41" si="19">IFERROR(SUM(C39:C40),0)</f>
        <v>4330.6053811659212</v>
      </c>
      <c r="D41" s="1318">
        <f t="shared" si="19"/>
        <v>4330.6053811659212</v>
      </c>
      <c r="E41" s="1318">
        <f t="shared" si="19"/>
        <v>4330.6053811659212</v>
      </c>
      <c r="F41" s="1318">
        <f t="shared" si="19"/>
        <v>8567.7331838565024</v>
      </c>
      <c r="G41" s="1318">
        <f t="shared" si="19"/>
        <v>8567.7331838565024</v>
      </c>
      <c r="H41" s="1318">
        <f t="shared" si="19"/>
        <v>8567.7331838565024</v>
      </c>
      <c r="I41" s="1318">
        <f t="shared" si="19"/>
        <v>8567.7331838565024</v>
      </c>
      <c r="J41" s="1318">
        <f t="shared" si="19"/>
        <v>8201.0470852017934</v>
      </c>
      <c r="K41" s="1318">
        <f t="shared" si="19"/>
        <v>12378.065022421526</v>
      </c>
      <c r="L41" s="1318">
        <f t="shared" si="19"/>
        <v>12378.065022421526</v>
      </c>
      <c r="M41" s="1318">
        <f t="shared" si="19"/>
        <v>12378.065022421526</v>
      </c>
      <c r="N41" s="1318">
        <f t="shared" si="19"/>
        <v>13244.186098654711</v>
      </c>
      <c r="O41" s="1318">
        <f t="shared" si="19"/>
        <v>17418.948430493278</v>
      </c>
      <c r="P41" s="1318">
        <f t="shared" si="19"/>
        <v>17418.948430493278</v>
      </c>
      <c r="Q41" s="1318">
        <f t="shared" si="19"/>
        <v>17418.948430493278</v>
      </c>
      <c r="R41" s="1318">
        <f t="shared" si="19"/>
        <v>22146.596412556057</v>
      </c>
      <c r="S41" s="1318">
        <f t="shared" si="19"/>
        <v>30756.405051897207</v>
      </c>
      <c r="T41" s="1318">
        <f t="shared" si="19"/>
        <v>36155.896563437098</v>
      </c>
      <c r="U41" s="1318">
        <f t="shared" si="19"/>
        <v>35492.188967625334</v>
      </c>
      <c r="V41" s="1318">
        <f t="shared" si="19"/>
        <v>41876.096543164022</v>
      </c>
      <c r="W41" s="1318">
        <f t="shared" si="19"/>
        <v>42798.094098609734</v>
      </c>
      <c r="X41" s="1318">
        <f t="shared" si="19"/>
        <v>33491.210771761784</v>
      </c>
      <c r="Y41" s="1318">
        <f t="shared" si="19"/>
        <v>35334.168144690353</v>
      </c>
      <c r="Z41" s="1318">
        <f t="shared" si="19"/>
        <v>46439.592321780772</v>
      </c>
      <c r="AA41" s="1318">
        <f t="shared" si="19"/>
        <v>78022.955818383576</v>
      </c>
      <c r="AB41" s="1318">
        <f t="shared" si="19"/>
        <v>63565.81496077311</v>
      </c>
      <c r="AC41" s="1318">
        <f t="shared" si="19"/>
        <v>72583.9497039368</v>
      </c>
      <c r="AD41" s="1318">
        <f t="shared" si="19"/>
        <v>82294.777192645022</v>
      </c>
      <c r="AE41" s="1318">
        <f>IFERROR(SUM(AE39:AE40),0)</f>
        <v>110895.88567860748</v>
      </c>
      <c r="AF41" s="1318">
        <f t="shared" si="19"/>
        <v>115884.81926435317</v>
      </c>
      <c r="AG41" s="1318">
        <f t="shared" si="19"/>
        <v>118679.01674109181</v>
      </c>
      <c r="AH41" s="1318">
        <f t="shared" si="19"/>
        <v>141999.79361572483</v>
      </c>
      <c r="AI41" s="1318">
        <f t="shared" si="19"/>
        <v>152610.33064764284</v>
      </c>
      <c r="AJ41" s="1318">
        <f t="shared" si="19"/>
        <v>191472.0469753927</v>
      </c>
      <c r="AK41" s="1318">
        <f t="shared" si="19"/>
        <v>184319.69678660747</v>
      </c>
      <c r="AL41" s="1318">
        <f t="shared" si="19"/>
        <v>210161.32399590738</v>
      </c>
      <c r="AM41" s="1318">
        <f>IFERROR(SUM(AM39:AM40),0)</f>
        <v>218788.36300653184</v>
      </c>
      <c r="AN41" s="1318">
        <f t="shared" si="19"/>
        <v>182174.50179897141</v>
      </c>
      <c r="AO41" s="1318">
        <f t="shared" si="19"/>
        <v>177863.29335979198</v>
      </c>
      <c r="AP41" s="1318">
        <f t="shared" si="19"/>
        <v>196193.17382618561</v>
      </c>
      <c r="AQ41" s="1318">
        <f t="shared" si="19"/>
        <v>215622.14871988635</v>
      </c>
      <c r="AR41" s="1318">
        <f t="shared" si="19"/>
        <v>170792.49801598492</v>
      </c>
      <c r="AS41" s="1318">
        <f t="shared" si="19"/>
        <v>182934.31273425921</v>
      </c>
      <c r="AT41" s="1318">
        <f t="shared" si="19"/>
        <v>2.9103830456733704E-11</v>
      </c>
      <c r="AU41" s="1779">
        <f>IFERROR(SUM(AU39:AU40),0)</f>
        <v>3353778.5795208896</v>
      </c>
      <c r="AV41" s="1057">
        <f>SUM(B41:AT41)</f>
        <v>3353778.57952089</v>
      </c>
      <c r="AX41" s="818"/>
      <c r="AY41" s="1091"/>
      <c r="AZ41" s="817"/>
    </row>
    <row r="42" spans="1:52">
      <c r="AU42" s="1057"/>
      <c r="AV42" s="1057"/>
      <c r="AY42" s="818"/>
      <c r="AZ42" s="818"/>
    </row>
    <row r="43" spans="1:52" ht="15.6">
      <c r="A43" s="1790" t="s">
        <v>1809</v>
      </c>
      <c r="S43" s="1074">
        <f>IFERROR(S41/SUM(S11:S23),0)</f>
        <v>61.267739147205589</v>
      </c>
      <c r="T43" s="1074">
        <f t="shared" ref="T43:AT43" si="20">IFERROR(T41/SUM(T11:T23),0)</f>
        <v>47.888604719784233</v>
      </c>
      <c r="U43" s="1074">
        <f t="shared" si="20"/>
        <v>48.223082836447468</v>
      </c>
      <c r="V43" s="1074">
        <f t="shared" si="20"/>
        <v>56.436787794021591</v>
      </c>
      <c r="W43" s="1074">
        <f t="shared" si="20"/>
        <v>61.227602430056841</v>
      </c>
      <c r="X43" s="1074">
        <f>IFERROR(X41/SUM(X11:X23),0)</f>
        <v>52.004985670437556</v>
      </c>
      <c r="Y43" s="1074">
        <f t="shared" si="20"/>
        <v>49.34939685012619</v>
      </c>
      <c r="Z43" s="1074">
        <f t="shared" si="20"/>
        <v>68.596148185791392</v>
      </c>
      <c r="AA43" s="1074">
        <f t="shared" si="20"/>
        <v>126.04677838187976</v>
      </c>
      <c r="AB43" s="1074">
        <f t="shared" si="20"/>
        <v>97.944244931853788</v>
      </c>
      <c r="AC43" s="1074">
        <f t="shared" si="20"/>
        <v>109.4780538520917</v>
      </c>
      <c r="AD43" s="1074">
        <f t="shared" si="20"/>
        <v>123.56573152048801</v>
      </c>
      <c r="AE43" s="1074">
        <f t="shared" si="20"/>
        <v>178.28920527107312</v>
      </c>
      <c r="AF43" s="1074">
        <f t="shared" si="20"/>
        <v>180.50594900989589</v>
      </c>
      <c r="AG43" s="1074">
        <f t="shared" si="20"/>
        <v>177.13286080759971</v>
      </c>
      <c r="AH43" s="1074">
        <f t="shared" si="20"/>
        <v>233.55229213112636</v>
      </c>
      <c r="AI43" s="1074">
        <f t="shared" si="20"/>
        <v>239.95335007491013</v>
      </c>
      <c r="AJ43" s="1074">
        <f t="shared" si="20"/>
        <v>291.87812038931816</v>
      </c>
      <c r="AK43" s="1074">
        <f t="shared" si="20"/>
        <v>287.99952622907415</v>
      </c>
      <c r="AL43" s="1074">
        <f t="shared" si="20"/>
        <v>321.83969984059325</v>
      </c>
      <c r="AM43" s="1074">
        <f>IFERROR(AM41/SUM(AM11:AM23),0)</f>
        <v>332.50511095217604</v>
      </c>
      <c r="AN43" s="1074">
        <f t="shared" si="20"/>
        <v>298.64672426060889</v>
      </c>
      <c r="AO43" s="1074">
        <f t="shared" si="20"/>
        <v>282.32268787268566</v>
      </c>
      <c r="AP43" s="1074">
        <f t="shared" si="20"/>
        <v>291.08779499434064</v>
      </c>
      <c r="AQ43" s="1074">
        <f t="shared" si="20"/>
        <v>321.34448393425686</v>
      </c>
      <c r="AR43" s="1074">
        <f t="shared" si="20"/>
        <v>266.44695478312781</v>
      </c>
      <c r="AS43" s="1074">
        <f t="shared" si="20"/>
        <v>273.03628766307344</v>
      </c>
      <c r="AT43" s="1074">
        <f t="shared" si="20"/>
        <v>0</v>
      </c>
      <c r="AU43" s="1074">
        <f>IFERROR(AU41/SUM(AU11:AU23),0)</f>
        <v>188.95591748948615</v>
      </c>
      <c r="AV43" s="1057"/>
      <c r="AY43" s="818"/>
    </row>
    <row r="44" spans="1:52" ht="15.6"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74"/>
      <c r="AJ44" s="1074"/>
      <c r="AK44" s="1074"/>
      <c r="AL44" s="1074"/>
      <c r="AM44" s="1074"/>
      <c r="AN44" s="1074"/>
      <c r="AO44" s="1074"/>
      <c r="AP44" s="1074"/>
      <c r="AQ44" s="1074"/>
      <c r="AR44" s="1074"/>
      <c r="AS44" s="1074"/>
      <c r="AT44" s="1074"/>
      <c r="AU44" s="1074"/>
      <c r="AV44" s="1057">
        <f>'Feed Cost &amp; Allocation'!AY80</f>
        <v>828447.2</v>
      </c>
    </row>
    <row r="45" spans="1:52" ht="15.6">
      <c r="A45" s="142" t="str">
        <f t="shared" ref="A45:A50" si="21">+A12</f>
        <v>Transfers Lionshead</v>
      </c>
      <c r="S45" s="1059">
        <f t="shared" ref="S45:AT45" si="22">S12*$S$37</f>
        <v>0</v>
      </c>
      <c r="T45" s="1059">
        <f t="shared" si="22"/>
        <v>0</v>
      </c>
      <c r="U45" s="1059">
        <f t="shared" si="22"/>
        <v>0</v>
      </c>
      <c r="V45" s="1059">
        <f t="shared" si="22"/>
        <v>0</v>
      </c>
      <c r="W45" s="1059">
        <f t="shared" si="22"/>
        <v>0</v>
      </c>
      <c r="X45" s="1059">
        <f t="shared" si="22"/>
        <v>0</v>
      </c>
      <c r="Y45" s="1059">
        <f t="shared" si="22"/>
        <v>0</v>
      </c>
      <c r="Z45" s="1059">
        <f t="shared" si="22"/>
        <v>0</v>
      </c>
      <c r="AA45" s="1059">
        <f t="shared" si="22"/>
        <v>0</v>
      </c>
      <c r="AB45" s="1059">
        <f t="shared" si="22"/>
        <v>0</v>
      </c>
      <c r="AC45" s="1059">
        <f t="shared" si="22"/>
        <v>0</v>
      </c>
      <c r="AD45" s="1059">
        <f t="shared" si="22"/>
        <v>0</v>
      </c>
      <c r="AE45" s="1059">
        <f t="shared" si="22"/>
        <v>0</v>
      </c>
      <c r="AF45" s="1059">
        <f t="shared" si="22"/>
        <v>0</v>
      </c>
      <c r="AG45" s="1059">
        <f>AG12*$S$37</f>
        <v>0</v>
      </c>
      <c r="AH45" s="1059">
        <f t="shared" si="22"/>
        <v>0</v>
      </c>
      <c r="AI45" s="1059">
        <f t="shared" si="22"/>
        <v>0</v>
      </c>
      <c r="AJ45" s="1059">
        <f t="shared" si="22"/>
        <v>0</v>
      </c>
      <c r="AK45" s="1059">
        <f t="shared" si="22"/>
        <v>0</v>
      </c>
      <c r="AL45" s="1059">
        <f t="shared" si="22"/>
        <v>0</v>
      </c>
      <c r="AM45" s="1059">
        <f t="shared" si="22"/>
        <v>0</v>
      </c>
      <c r="AN45" s="1059">
        <f t="shared" si="22"/>
        <v>0</v>
      </c>
      <c r="AO45" s="1059">
        <f t="shared" si="22"/>
        <v>0</v>
      </c>
      <c r="AP45" s="1059">
        <f t="shared" si="22"/>
        <v>0</v>
      </c>
      <c r="AQ45" s="1059">
        <f t="shared" si="22"/>
        <v>0</v>
      </c>
      <c r="AR45" s="1059">
        <f t="shared" si="22"/>
        <v>0</v>
      </c>
      <c r="AS45" s="1059">
        <f t="shared" si="22"/>
        <v>0</v>
      </c>
      <c r="AT45" s="1059">
        <f t="shared" si="22"/>
        <v>0</v>
      </c>
      <c r="AU45" s="1068">
        <f>SUM(B45:AT45)</f>
        <v>0</v>
      </c>
      <c r="AV45" s="1057">
        <f>'Total Pigs'!D333</f>
        <v>1446.4693151411743</v>
      </c>
      <c r="AX45" s="818"/>
      <c r="AY45" s="1059"/>
    </row>
    <row r="46" spans="1:52" ht="15.6">
      <c r="A46" s="142" t="str">
        <f t="shared" si="21"/>
        <v>Transfers Lionshead Ext.</v>
      </c>
      <c r="S46" s="1059">
        <f>S13*S37</f>
        <v>0</v>
      </c>
      <c r="T46" s="1059">
        <f t="shared" ref="T46:AT46" si="23">T13*T37</f>
        <v>0</v>
      </c>
      <c r="U46" s="1059">
        <f t="shared" si="23"/>
        <v>0</v>
      </c>
      <c r="V46" s="1059">
        <f t="shared" si="23"/>
        <v>0</v>
      </c>
      <c r="W46" s="1059">
        <f t="shared" si="23"/>
        <v>-2573.1784487079153</v>
      </c>
      <c r="X46" s="1059">
        <f t="shared" si="23"/>
        <v>-2700.7746382414989</v>
      </c>
      <c r="Y46" s="1059">
        <f t="shared" si="23"/>
        <v>0</v>
      </c>
      <c r="Z46" s="1059">
        <f t="shared" si="23"/>
        <v>0</v>
      </c>
      <c r="AA46" s="1059">
        <f t="shared" si="23"/>
        <v>0</v>
      </c>
      <c r="AB46" s="1059">
        <f t="shared" si="23"/>
        <v>0</v>
      </c>
      <c r="AC46" s="1059">
        <f t="shared" si="23"/>
        <v>0</v>
      </c>
      <c r="AD46" s="1059">
        <f t="shared" si="23"/>
        <v>0</v>
      </c>
      <c r="AE46" s="1059">
        <f t="shared" si="23"/>
        <v>0</v>
      </c>
      <c r="AF46" s="1059">
        <f t="shared" si="23"/>
        <v>0</v>
      </c>
      <c r="AG46" s="1059">
        <f t="shared" si="23"/>
        <v>0</v>
      </c>
      <c r="AH46" s="1059">
        <f t="shared" si="23"/>
        <v>0</v>
      </c>
      <c r="AI46" s="1059">
        <f t="shared" si="23"/>
        <v>0</v>
      </c>
      <c r="AJ46" s="1059">
        <f t="shared" si="23"/>
        <v>0</v>
      </c>
      <c r="AK46" s="1059">
        <f t="shared" si="23"/>
        <v>0</v>
      </c>
      <c r="AL46" s="1059">
        <f t="shared" si="23"/>
        <v>0</v>
      </c>
      <c r="AM46" s="1059">
        <f t="shared" si="23"/>
        <v>0</v>
      </c>
      <c r="AN46" s="1059">
        <f t="shared" si="23"/>
        <v>0</v>
      </c>
      <c r="AO46" s="1059">
        <f t="shared" si="23"/>
        <v>0</v>
      </c>
      <c r="AP46" s="1059">
        <f t="shared" si="23"/>
        <v>0</v>
      </c>
      <c r="AQ46" s="1059">
        <f t="shared" si="23"/>
        <v>0</v>
      </c>
      <c r="AR46" s="1059">
        <f t="shared" si="23"/>
        <v>0</v>
      </c>
      <c r="AS46" s="1059">
        <f t="shared" si="23"/>
        <v>0</v>
      </c>
      <c r="AT46" s="1059">
        <f t="shared" si="23"/>
        <v>0</v>
      </c>
      <c r="AU46" s="1068">
        <f>SUM(B46:AT46)</f>
        <v>-5273.9530869494138</v>
      </c>
      <c r="AV46" s="1057">
        <f>AV45+AU40</f>
        <v>808319.66931514116</v>
      </c>
      <c r="AX46" s="818"/>
      <c r="AY46" s="1059"/>
    </row>
    <row r="47" spans="1:52" ht="15.6">
      <c r="A47" s="142" t="str">
        <f t="shared" si="21"/>
        <v>Transfer Grasmere</v>
      </c>
      <c r="S47" s="1059">
        <f>-'Grasmere Pig Cost'!S50</f>
        <v>0</v>
      </c>
      <c r="T47" s="1059">
        <f>-'Grasmere Pig Cost'!T50</f>
        <v>0</v>
      </c>
      <c r="U47" s="1059">
        <f>-'Grasmere Pig Cost'!U50</f>
        <v>0</v>
      </c>
      <c r="V47" s="1059">
        <f>-'Grasmere Pig Cost'!V50</f>
        <v>0</v>
      </c>
      <c r="W47" s="1059">
        <f>-'Grasmere Pig Cost'!W50</f>
        <v>0</v>
      </c>
      <c r="X47" s="1059">
        <f>-'Grasmere Pig Cost'!X50</f>
        <v>0</v>
      </c>
      <c r="Y47" s="1059">
        <f>-'Grasmere Pig Cost'!Y50</f>
        <v>0</v>
      </c>
      <c r="Z47" s="1059">
        <f>-'Grasmere Pig Cost'!Z50</f>
        <v>0</v>
      </c>
      <c r="AA47" s="1059">
        <f>-'Grasmere Pig Cost'!AA50</f>
        <v>0</v>
      </c>
      <c r="AB47" s="1059">
        <f>-'Grasmere Pig Cost'!AB50</f>
        <v>0</v>
      </c>
      <c r="AC47" s="1059">
        <f>-'Grasmere Pig Cost'!AC50</f>
        <v>0</v>
      </c>
      <c r="AD47" s="1059">
        <f>-'Grasmere Pig Cost'!AD50</f>
        <v>0</v>
      </c>
      <c r="AE47" s="1059">
        <f>-'Grasmere Pig Cost'!AE50</f>
        <v>0</v>
      </c>
      <c r="AF47" s="1059">
        <f>-'Grasmere Pig Cost'!AF50</f>
        <v>0</v>
      </c>
      <c r="AG47" s="1059">
        <f>-'Grasmere Pig Cost'!AG50</f>
        <v>0</v>
      </c>
      <c r="AH47" s="1059">
        <f>-'Grasmere Pig Cost'!AH50</f>
        <v>0</v>
      </c>
      <c r="AI47" s="1059">
        <f>-'Grasmere Pig Cost'!AI50</f>
        <v>0</v>
      </c>
      <c r="AJ47" s="1059">
        <f>-'Grasmere Pig Cost'!AJ50</f>
        <v>0</v>
      </c>
      <c r="AK47" s="1059">
        <f>-'Grasmere Pig Cost'!AK50</f>
        <v>0</v>
      </c>
      <c r="AL47" s="1059">
        <f>-'Grasmere Pig Cost'!AL50</f>
        <v>0</v>
      </c>
      <c r="AM47" s="1059">
        <f>-'Grasmere Pig Cost'!AM50</f>
        <v>0</v>
      </c>
      <c r="AN47" s="1059">
        <f>-'Grasmere Pig Cost'!AN50</f>
        <v>0</v>
      </c>
      <c r="AO47" s="1059">
        <f>-'Grasmere Pig Cost'!AO50</f>
        <v>0</v>
      </c>
      <c r="AP47" s="1059">
        <f>-'Grasmere Pig Cost'!AP50</f>
        <v>0</v>
      </c>
      <c r="AQ47" s="1059">
        <f>-'Grasmere Pig Cost'!AQ50</f>
        <v>0</v>
      </c>
      <c r="AR47" s="1059">
        <f>-'Grasmere Pig Cost'!AR50</f>
        <v>0</v>
      </c>
      <c r="AS47" s="1059">
        <f>-'Grasmere Pig Cost'!AS50</f>
        <v>0</v>
      </c>
      <c r="AT47" s="1059">
        <f>-'Grasmere Pig Cost'!AT50</f>
        <v>0</v>
      </c>
      <c r="AU47" s="1068">
        <f t="shared" ref="AU47:AU60" si="24">SUM(B47:AT47)</f>
        <v>0</v>
      </c>
      <c r="AV47" s="1057">
        <f>AV44-AV46</f>
        <v>20127.530684858793</v>
      </c>
      <c r="AY47" s="1059"/>
    </row>
    <row r="48" spans="1:52" ht="20.25" customHeight="1">
      <c r="A48" s="142" t="str">
        <f t="shared" si="21"/>
        <v>Transfers Learig</v>
      </c>
      <c r="S48" s="1059">
        <f t="shared" ref="S48:AT48" si="25">S15*S37</f>
        <v>0</v>
      </c>
      <c r="T48" s="1059">
        <f t="shared" si="25"/>
        <v>0</v>
      </c>
      <c r="U48" s="1059">
        <f t="shared" si="25"/>
        <v>0</v>
      </c>
      <c r="V48" s="1059">
        <f t="shared" si="25"/>
        <v>0</v>
      </c>
      <c r="W48" s="1059">
        <f t="shared" si="25"/>
        <v>0</v>
      </c>
      <c r="X48" s="1059">
        <f t="shared" si="25"/>
        <v>0</v>
      </c>
      <c r="Y48" s="1059">
        <f>Y15*Y37</f>
        <v>-2070.9521307652321</v>
      </c>
      <c r="Z48" s="1059">
        <f t="shared" si="25"/>
        <v>-3546.7315365311183</v>
      </c>
      <c r="AA48" s="1059">
        <f t="shared" si="25"/>
        <v>0</v>
      </c>
      <c r="AB48" s="1059">
        <f t="shared" si="25"/>
        <v>0</v>
      </c>
      <c r="AC48" s="1059">
        <f t="shared" si="25"/>
        <v>0</v>
      </c>
      <c r="AD48" s="1059">
        <f t="shared" si="25"/>
        <v>0</v>
      </c>
      <c r="AE48" s="1059">
        <f t="shared" si="25"/>
        <v>0</v>
      </c>
      <c r="AF48" s="1059">
        <f t="shared" si="25"/>
        <v>0</v>
      </c>
      <c r="AG48" s="1059">
        <f t="shared" si="25"/>
        <v>0</v>
      </c>
      <c r="AH48" s="1059">
        <f t="shared" si="25"/>
        <v>0</v>
      </c>
      <c r="AI48" s="1059">
        <f t="shared" si="25"/>
        <v>0</v>
      </c>
      <c r="AJ48" s="1059">
        <f t="shared" si="25"/>
        <v>0</v>
      </c>
      <c r="AK48" s="1059">
        <f t="shared" si="25"/>
        <v>0</v>
      </c>
      <c r="AL48" s="1059">
        <f t="shared" si="25"/>
        <v>0</v>
      </c>
      <c r="AM48" s="1059">
        <f t="shared" si="25"/>
        <v>0</v>
      </c>
      <c r="AN48" s="1059">
        <f t="shared" si="25"/>
        <v>0</v>
      </c>
      <c r="AO48" s="1059">
        <f t="shared" si="25"/>
        <v>0</v>
      </c>
      <c r="AP48" s="1059">
        <f t="shared" si="25"/>
        <v>0</v>
      </c>
      <c r="AQ48" s="1059">
        <f t="shared" si="25"/>
        <v>0</v>
      </c>
      <c r="AR48" s="1059">
        <f t="shared" si="25"/>
        <v>0</v>
      </c>
      <c r="AS48" s="1059">
        <f t="shared" si="25"/>
        <v>0</v>
      </c>
      <c r="AT48" s="1059">
        <f t="shared" si="25"/>
        <v>0</v>
      </c>
      <c r="AU48" s="1068">
        <f>SUM(B48:AT48)</f>
        <v>-5617.6836672963509</v>
      </c>
      <c r="AV48" s="1057">
        <f>AV47+AW40</f>
        <v>41701.530684858793</v>
      </c>
      <c r="AX48" s="818"/>
    </row>
    <row r="49" spans="1:52" ht="15.6">
      <c r="A49" s="142" t="str">
        <f t="shared" si="21"/>
        <v>Transfers Villa</v>
      </c>
      <c r="S49" s="1059">
        <f>S16*S37</f>
        <v>0</v>
      </c>
      <c r="T49" s="1059">
        <f t="shared" ref="T49:AT49" si="26">T16*T37</f>
        <v>0</v>
      </c>
      <c r="U49" s="1059">
        <f t="shared" si="26"/>
        <v>0</v>
      </c>
      <c r="V49" s="1059">
        <f t="shared" si="26"/>
        <v>0</v>
      </c>
      <c r="W49" s="1059">
        <f t="shared" si="26"/>
        <v>0</v>
      </c>
      <c r="X49" s="1059">
        <f t="shared" si="26"/>
        <v>0</v>
      </c>
      <c r="Y49" s="1059">
        <f t="shared" si="26"/>
        <v>0</v>
      </c>
      <c r="Z49" s="1059">
        <f t="shared" si="26"/>
        <v>0</v>
      </c>
      <c r="AA49" s="1059">
        <f t="shared" si="26"/>
        <v>0</v>
      </c>
      <c r="AB49" s="1059">
        <f t="shared" si="26"/>
        <v>0</v>
      </c>
      <c r="AC49" s="1059">
        <f t="shared" si="26"/>
        <v>0</v>
      </c>
      <c r="AD49" s="1059">
        <f t="shared" si="26"/>
        <v>0</v>
      </c>
      <c r="AE49" s="1059">
        <f t="shared" si="26"/>
        <v>0</v>
      </c>
      <c r="AF49" s="1059">
        <f t="shared" si="26"/>
        <v>0</v>
      </c>
      <c r="AG49" s="1059">
        <f t="shared" si="26"/>
        <v>0</v>
      </c>
      <c r="AH49" s="1059">
        <f t="shared" si="26"/>
        <v>0</v>
      </c>
      <c r="AI49" s="1059">
        <f t="shared" si="26"/>
        <v>0</v>
      </c>
      <c r="AJ49" s="1059">
        <f t="shared" si="26"/>
        <v>0</v>
      </c>
      <c r="AK49" s="1059">
        <f t="shared" si="26"/>
        <v>0</v>
      </c>
      <c r="AL49" s="1059">
        <f t="shared" si="26"/>
        <v>0</v>
      </c>
      <c r="AM49" s="1059">
        <f t="shared" si="26"/>
        <v>0</v>
      </c>
      <c r="AN49" s="1059">
        <f t="shared" si="26"/>
        <v>0</v>
      </c>
      <c r="AO49" s="1059">
        <f>AO16*AO37</f>
        <v>0</v>
      </c>
      <c r="AP49" s="1059">
        <f t="shared" si="26"/>
        <v>0</v>
      </c>
      <c r="AQ49" s="1059">
        <f t="shared" si="26"/>
        <v>0</v>
      </c>
      <c r="AR49" s="1059">
        <f t="shared" si="26"/>
        <v>0</v>
      </c>
      <c r="AS49" s="1059">
        <f t="shared" si="26"/>
        <v>0</v>
      </c>
      <c r="AT49" s="1059">
        <f t="shared" si="26"/>
        <v>0</v>
      </c>
      <c r="AU49" s="1068">
        <f t="shared" si="24"/>
        <v>0</v>
      </c>
      <c r="AV49" s="1057"/>
      <c r="AX49" s="818"/>
    </row>
    <row r="50" spans="1:52" ht="15.6">
      <c r="A50" s="142" t="str">
        <f t="shared" si="21"/>
        <v>Transfers Richlands</v>
      </c>
      <c r="S50" s="1059">
        <f>S17*S37</f>
        <v>0</v>
      </c>
      <c r="T50" s="1059">
        <f t="shared" ref="T50:AT50" si="27">T17*T37</f>
        <v>0</v>
      </c>
      <c r="U50" s="1059">
        <f t="shared" si="27"/>
        <v>0</v>
      </c>
      <c r="V50" s="1059">
        <f t="shared" si="27"/>
        <v>0</v>
      </c>
      <c r="W50" s="1059">
        <f t="shared" si="27"/>
        <v>0</v>
      </c>
      <c r="X50" s="1059">
        <f t="shared" si="27"/>
        <v>0</v>
      </c>
      <c r="Y50" s="1059">
        <f t="shared" si="27"/>
        <v>0</v>
      </c>
      <c r="Z50" s="1059">
        <f t="shared" si="27"/>
        <v>0</v>
      </c>
      <c r="AA50" s="1059">
        <f t="shared" si="27"/>
        <v>0</v>
      </c>
      <c r="AB50" s="1059">
        <f t="shared" si="27"/>
        <v>0</v>
      </c>
      <c r="AC50" s="1059">
        <f t="shared" si="27"/>
        <v>0</v>
      </c>
      <c r="AD50" s="1059">
        <f t="shared" si="27"/>
        <v>0</v>
      </c>
      <c r="AE50" s="1059">
        <f t="shared" si="27"/>
        <v>0</v>
      </c>
      <c r="AF50" s="1059">
        <f t="shared" si="27"/>
        <v>0</v>
      </c>
      <c r="AG50" s="1059">
        <f t="shared" si="27"/>
        <v>0</v>
      </c>
      <c r="AH50" s="1059">
        <f t="shared" si="27"/>
        <v>0</v>
      </c>
      <c r="AI50" s="1059">
        <f t="shared" si="27"/>
        <v>0</v>
      </c>
      <c r="AJ50" s="1059">
        <f t="shared" si="27"/>
        <v>0</v>
      </c>
      <c r="AK50" s="1059">
        <f t="shared" si="27"/>
        <v>0</v>
      </c>
      <c r="AL50" s="1059">
        <f t="shared" si="27"/>
        <v>0</v>
      </c>
      <c r="AM50" s="1059">
        <f t="shared" si="27"/>
        <v>0</v>
      </c>
      <c r="AN50" s="1059">
        <f t="shared" si="27"/>
        <v>0</v>
      </c>
      <c r="AO50" s="1059">
        <f t="shared" si="27"/>
        <v>0</v>
      </c>
      <c r="AP50" s="1059">
        <f t="shared" si="27"/>
        <v>0</v>
      </c>
      <c r="AQ50" s="1059">
        <f t="shared" si="27"/>
        <v>0</v>
      </c>
      <c r="AR50" s="1059">
        <f t="shared" si="27"/>
        <v>0</v>
      </c>
      <c r="AS50" s="1059">
        <f t="shared" si="27"/>
        <v>0</v>
      </c>
      <c r="AT50" s="1059">
        <f t="shared" si="27"/>
        <v>0</v>
      </c>
      <c r="AU50" s="1068">
        <f t="shared" si="24"/>
        <v>0</v>
      </c>
      <c r="AV50" s="1057"/>
    </row>
    <row r="51" spans="1:52" ht="15.6">
      <c r="A51" s="142" t="str">
        <f t="shared" ref="A51:A52" si="28">+A18</f>
        <v>Transfers Multiplier</v>
      </c>
      <c r="S51" s="1059"/>
      <c r="T51" s="1059"/>
      <c r="U51" s="1059"/>
      <c r="V51" s="1059"/>
      <c r="W51" s="1059"/>
      <c r="X51" s="1059"/>
      <c r="Y51" s="1059"/>
      <c r="Z51" s="1059"/>
      <c r="AA51" s="1059"/>
      <c r="AB51" s="1059"/>
      <c r="AC51" s="1059"/>
      <c r="AD51" s="1059"/>
      <c r="AE51" s="1059"/>
      <c r="AF51" s="1059"/>
      <c r="AG51" s="1059"/>
      <c r="AH51" s="1059"/>
      <c r="AI51" s="1059"/>
      <c r="AJ51" s="1059"/>
      <c r="AK51" s="1059"/>
      <c r="AL51" s="1059"/>
      <c r="AM51" s="1059"/>
      <c r="AN51" s="1059"/>
      <c r="AO51" s="1059"/>
      <c r="AP51" s="1059"/>
      <c r="AQ51" s="1059"/>
      <c r="AR51" s="1059"/>
      <c r="AS51" s="1059"/>
      <c r="AT51" s="1059"/>
      <c r="AU51" s="1068"/>
      <c r="AV51" s="1057"/>
    </row>
    <row r="52" spans="1:52" ht="15.6">
      <c r="A52" s="142">
        <f t="shared" si="28"/>
        <v>0</v>
      </c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59"/>
      <c r="AJ52" s="1059"/>
      <c r="AK52" s="1059"/>
      <c r="AL52" s="1059"/>
      <c r="AM52" s="1059"/>
      <c r="AN52" s="1059"/>
      <c r="AO52" s="1059"/>
      <c r="AP52" s="1059"/>
      <c r="AQ52" s="1059"/>
      <c r="AR52" s="1059"/>
      <c r="AS52" s="1059"/>
      <c r="AT52" s="1059"/>
      <c r="AU52" s="1068"/>
      <c r="AV52" s="1057"/>
    </row>
    <row r="53" spans="1:52" ht="15.6">
      <c r="A53" s="142" t="str">
        <f t="shared" ref="A53:A61" si="29">+A20</f>
        <v>Transfers  Boars</v>
      </c>
      <c r="S53" s="1059">
        <f t="shared" ref="S53:AT53" si="30">S20*S37</f>
        <v>0</v>
      </c>
      <c r="T53" s="1059">
        <f t="shared" si="30"/>
        <v>0</v>
      </c>
      <c r="U53" s="1059">
        <f t="shared" si="30"/>
        <v>0</v>
      </c>
      <c r="V53" s="1059">
        <f t="shared" si="30"/>
        <v>0</v>
      </c>
      <c r="W53" s="1059">
        <f t="shared" si="30"/>
        <v>0</v>
      </c>
      <c r="X53" s="1059">
        <f t="shared" si="30"/>
        <v>0</v>
      </c>
      <c r="Y53" s="1059">
        <f t="shared" si="30"/>
        <v>0</v>
      </c>
      <c r="Z53" s="1059">
        <f t="shared" si="30"/>
        <v>0</v>
      </c>
      <c r="AA53" s="1059">
        <f t="shared" si="30"/>
        <v>0</v>
      </c>
      <c r="AB53" s="1059">
        <f t="shared" si="30"/>
        <v>0</v>
      </c>
      <c r="AC53" s="1059">
        <f t="shared" si="30"/>
        <v>0</v>
      </c>
      <c r="AD53" s="1059">
        <f t="shared" si="30"/>
        <v>0</v>
      </c>
      <c r="AE53" s="1059">
        <f t="shared" si="30"/>
        <v>0</v>
      </c>
      <c r="AF53" s="1059">
        <f t="shared" si="30"/>
        <v>0</v>
      </c>
      <c r="AG53" s="1059">
        <f t="shared" si="30"/>
        <v>0</v>
      </c>
      <c r="AH53" s="1059">
        <f t="shared" si="30"/>
        <v>0</v>
      </c>
      <c r="AI53" s="1059">
        <f t="shared" si="30"/>
        <v>0</v>
      </c>
      <c r="AJ53" s="1059">
        <f t="shared" si="30"/>
        <v>0</v>
      </c>
      <c r="AK53" s="1059">
        <f t="shared" si="30"/>
        <v>0</v>
      </c>
      <c r="AL53" s="1059">
        <f t="shared" si="30"/>
        <v>0</v>
      </c>
      <c r="AM53" s="1059">
        <f t="shared" si="30"/>
        <v>0</v>
      </c>
      <c r="AN53" s="1059">
        <f t="shared" si="30"/>
        <v>0</v>
      </c>
      <c r="AO53" s="1059">
        <f t="shared" si="30"/>
        <v>0</v>
      </c>
      <c r="AP53" s="1059">
        <f t="shared" si="30"/>
        <v>0</v>
      </c>
      <c r="AQ53" s="1059">
        <f t="shared" si="30"/>
        <v>0</v>
      </c>
      <c r="AR53" s="1059">
        <f t="shared" si="30"/>
        <v>0</v>
      </c>
      <c r="AS53" s="1059">
        <f t="shared" si="30"/>
        <v>0</v>
      </c>
      <c r="AT53" s="1059">
        <f t="shared" si="30"/>
        <v>0</v>
      </c>
      <c r="AU53" s="1068">
        <f t="shared" si="24"/>
        <v>0</v>
      </c>
      <c r="AV53" s="1057"/>
    </row>
    <row r="54" spans="1:52" ht="15.6">
      <c r="A54" s="142" t="str">
        <f t="shared" si="29"/>
        <v>Transfers Grower</v>
      </c>
      <c r="S54" s="1059">
        <f t="shared" ref="S54:AT54" si="31">S21*S37</f>
        <v>0</v>
      </c>
      <c r="T54" s="1059">
        <f t="shared" si="31"/>
        <v>0</v>
      </c>
      <c r="U54" s="1059">
        <f t="shared" si="31"/>
        <v>0</v>
      </c>
      <c r="V54" s="1059">
        <f t="shared" si="31"/>
        <v>0</v>
      </c>
      <c r="W54" s="1059">
        <f>+'Non Current'!$L$30*W21</f>
        <v>0</v>
      </c>
      <c r="X54" s="1605">
        <f>+'Non Current'!$L$30*X21</f>
        <v>0</v>
      </c>
      <c r="Y54" s="1605">
        <f>+'Non Current'!$L$30*Y21</f>
        <v>0</v>
      </c>
      <c r="Z54" s="1605">
        <f>+'Non Current'!$L$30*Z21</f>
        <v>0</v>
      </c>
      <c r="AA54" s="1605">
        <f>+'Non Current'!$L$30*AA21</f>
        <v>0</v>
      </c>
      <c r="AB54" s="1605">
        <f>+'Non Current'!$L$30*AB21</f>
        <v>0</v>
      </c>
      <c r="AC54" s="1059">
        <f t="shared" si="31"/>
        <v>0</v>
      </c>
      <c r="AD54" s="1059">
        <f t="shared" si="31"/>
        <v>0</v>
      </c>
      <c r="AE54" s="1059">
        <f t="shared" si="31"/>
        <v>0</v>
      </c>
      <c r="AF54" s="1059">
        <f t="shared" si="31"/>
        <v>0</v>
      </c>
      <c r="AG54" s="1059">
        <f t="shared" si="31"/>
        <v>0</v>
      </c>
      <c r="AH54" s="1059">
        <f t="shared" si="31"/>
        <v>0</v>
      </c>
      <c r="AI54" s="1059">
        <f t="shared" si="31"/>
        <v>0</v>
      </c>
      <c r="AJ54" s="1059">
        <f t="shared" si="31"/>
        <v>0</v>
      </c>
      <c r="AK54" s="1059">
        <f t="shared" si="31"/>
        <v>0</v>
      </c>
      <c r="AL54" s="1059">
        <f t="shared" si="31"/>
        <v>0</v>
      </c>
      <c r="AM54" s="1059">
        <f t="shared" si="31"/>
        <v>0</v>
      </c>
      <c r="AN54" s="1059">
        <f t="shared" si="31"/>
        <v>0</v>
      </c>
      <c r="AO54" s="1059">
        <f t="shared" si="31"/>
        <v>0</v>
      </c>
      <c r="AP54" s="1059">
        <f t="shared" si="31"/>
        <v>0</v>
      </c>
      <c r="AQ54" s="1059">
        <f t="shared" si="31"/>
        <v>0</v>
      </c>
      <c r="AR54" s="1059">
        <f t="shared" si="31"/>
        <v>0</v>
      </c>
      <c r="AS54" s="1059">
        <f t="shared" si="31"/>
        <v>0</v>
      </c>
      <c r="AT54" s="1059">
        <f t="shared" si="31"/>
        <v>0</v>
      </c>
      <c r="AU54" s="1068">
        <f t="shared" si="24"/>
        <v>0</v>
      </c>
      <c r="AV54" s="1057"/>
      <c r="AZ54" s="817">
        <f>+AU54+'Villa Pig Cost'!AU54</f>
        <v>0</v>
      </c>
    </row>
    <row r="55" spans="1:52" ht="15.6">
      <c r="A55" s="142" t="str">
        <f t="shared" si="29"/>
        <v>Transfer to Sick Block</v>
      </c>
      <c r="S55" s="1059">
        <f t="shared" ref="S55:AT55" si="32">S22*S37</f>
        <v>0</v>
      </c>
      <c r="T55" s="1059">
        <f t="shared" si="32"/>
        <v>0</v>
      </c>
      <c r="U55" s="1059">
        <f t="shared" si="32"/>
        <v>0</v>
      </c>
      <c r="V55" s="1059">
        <f t="shared" si="32"/>
        <v>0</v>
      </c>
      <c r="W55" s="1059">
        <f t="shared" si="32"/>
        <v>0</v>
      </c>
      <c r="X55" s="1059">
        <f t="shared" si="32"/>
        <v>0</v>
      </c>
      <c r="Y55" s="1059">
        <f t="shared" si="32"/>
        <v>0</v>
      </c>
      <c r="Z55" s="1059">
        <f t="shared" si="32"/>
        <v>0</v>
      </c>
      <c r="AA55" s="1059">
        <f t="shared" si="32"/>
        <v>0</v>
      </c>
      <c r="AB55" s="1059">
        <f t="shared" si="32"/>
        <v>0</v>
      </c>
      <c r="AC55" s="1059">
        <f t="shared" si="32"/>
        <v>0</v>
      </c>
      <c r="AD55" s="1059">
        <f t="shared" si="32"/>
        <v>0</v>
      </c>
      <c r="AE55" s="1059">
        <f t="shared" si="32"/>
        <v>0</v>
      </c>
      <c r="AF55" s="1059">
        <f t="shared" si="32"/>
        <v>0</v>
      </c>
      <c r="AG55" s="1059">
        <f t="shared" si="32"/>
        <v>0</v>
      </c>
      <c r="AH55" s="1059">
        <f t="shared" si="32"/>
        <v>0</v>
      </c>
      <c r="AI55" s="1059">
        <f t="shared" si="32"/>
        <v>0</v>
      </c>
      <c r="AJ55" s="1059">
        <f t="shared" si="32"/>
        <v>0</v>
      </c>
      <c r="AK55" s="1059">
        <f t="shared" si="32"/>
        <v>0</v>
      </c>
      <c r="AL55" s="1059">
        <f t="shared" si="32"/>
        <v>0</v>
      </c>
      <c r="AM55" s="1059">
        <f t="shared" si="32"/>
        <v>0</v>
      </c>
      <c r="AN55" s="1059">
        <f t="shared" si="32"/>
        <v>0</v>
      </c>
      <c r="AO55" s="1059">
        <f t="shared" si="32"/>
        <v>0</v>
      </c>
      <c r="AP55" s="1059">
        <f t="shared" si="32"/>
        <v>0</v>
      </c>
      <c r="AQ55" s="1059">
        <f t="shared" si="32"/>
        <v>0</v>
      </c>
      <c r="AR55" s="1059">
        <f t="shared" si="32"/>
        <v>0</v>
      </c>
      <c r="AS55" s="1059">
        <f t="shared" si="32"/>
        <v>0</v>
      </c>
      <c r="AT55" s="1059">
        <f t="shared" si="32"/>
        <v>0</v>
      </c>
      <c r="AU55" s="1068">
        <f t="shared" si="24"/>
        <v>0</v>
      </c>
      <c r="AV55" s="1057"/>
      <c r="AZ55" s="817"/>
    </row>
    <row r="56" spans="1:52" ht="15.6">
      <c r="A56" s="142" t="str">
        <f t="shared" si="29"/>
        <v>Transfers Gilts</v>
      </c>
      <c r="S56" s="1059">
        <f t="shared" ref="S56:AT56" si="33">S23*S37</f>
        <v>0</v>
      </c>
      <c r="T56" s="1059">
        <f t="shared" si="33"/>
        <v>0</v>
      </c>
      <c r="U56" s="1059">
        <f t="shared" si="33"/>
        <v>0</v>
      </c>
      <c r="V56" s="1059">
        <f t="shared" si="33"/>
        <v>0</v>
      </c>
      <c r="W56" s="1059">
        <f t="shared" si="33"/>
        <v>0</v>
      </c>
      <c r="X56" s="1059">
        <f>X23*X37</f>
        <v>0</v>
      </c>
      <c r="Y56" s="1059">
        <f>-Y47</f>
        <v>0</v>
      </c>
      <c r="Z56" s="1059">
        <f t="shared" ref="Z56:AD56" si="34">-Z47</f>
        <v>0</v>
      </c>
      <c r="AA56" s="1059">
        <f t="shared" si="34"/>
        <v>0</v>
      </c>
      <c r="AB56" s="1059">
        <f t="shared" si="34"/>
        <v>0</v>
      </c>
      <c r="AC56" s="1059">
        <f t="shared" si="34"/>
        <v>0</v>
      </c>
      <c r="AD56" s="1059">
        <f t="shared" si="34"/>
        <v>0</v>
      </c>
      <c r="AE56" s="1059">
        <f t="shared" si="33"/>
        <v>0</v>
      </c>
      <c r="AF56" s="1059">
        <f t="shared" si="33"/>
        <v>0</v>
      </c>
      <c r="AG56" s="1059">
        <f>AG23*AG37</f>
        <v>0</v>
      </c>
      <c r="AH56" s="1059">
        <f t="shared" si="33"/>
        <v>0</v>
      </c>
      <c r="AI56" s="1059">
        <f t="shared" si="33"/>
        <v>0</v>
      </c>
      <c r="AJ56" s="1059">
        <f t="shared" si="33"/>
        <v>0</v>
      </c>
      <c r="AK56" s="1059">
        <f t="shared" si="33"/>
        <v>0</v>
      </c>
      <c r="AL56" s="1059">
        <f t="shared" si="33"/>
        <v>0</v>
      </c>
      <c r="AM56" s="1059">
        <f t="shared" si="33"/>
        <v>0</v>
      </c>
      <c r="AN56" s="1059">
        <f t="shared" si="33"/>
        <v>0</v>
      </c>
      <c r="AO56" s="1059">
        <f t="shared" si="33"/>
        <v>0</v>
      </c>
      <c r="AP56" s="1059">
        <f>AP23*AP37</f>
        <v>0</v>
      </c>
      <c r="AQ56" s="1059">
        <f t="shared" si="33"/>
        <v>0</v>
      </c>
      <c r="AR56" s="1059">
        <f t="shared" si="33"/>
        <v>0</v>
      </c>
      <c r="AS56" s="1059">
        <f t="shared" si="33"/>
        <v>0</v>
      </c>
      <c r="AT56" s="1059">
        <f t="shared" si="33"/>
        <v>0</v>
      </c>
      <c r="AU56" s="1068">
        <f t="shared" si="24"/>
        <v>0</v>
      </c>
      <c r="AV56" s="1057"/>
    </row>
    <row r="57" spans="1:52" ht="15.6">
      <c r="A57" s="142" t="str">
        <f t="shared" si="29"/>
        <v>Mortality</v>
      </c>
      <c r="S57" s="1059">
        <f t="shared" ref="S57:AT57" si="35">S24*S43</f>
        <v>-490.14191317764471</v>
      </c>
      <c r="T57" s="1059">
        <f t="shared" si="35"/>
        <v>-1388.7695368737427</v>
      </c>
      <c r="U57" s="1059">
        <f t="shared" si="35"/>
        <v>-2073.5925619672412</v>
      </c>
      <c r="V57" s="1059">
        <f t="shared" si="35"/>
        <v>-1862.4139972027124</v>
      </c>
      <c r="W57" s="1059">
        <f t="shared" si="35"/>
        <v>-2265.421289912103</v>
      </c>
      <c r="X57" s="1059">
        <f>X24*X43</f>
        <v>-832.07977072700089</v>
      </c>
      <c r="Y57" s="1059">
        <f t="shared" si="35"/>
        <v>-789.59034960201905</v>
      </c>
      <c r="Z57" s="1059">
        <f t="shared" si="35"/>
        <v>-548.76918548633114</v>
      </c>
      <c r="AA57" s="1059">
        <f t="shared" si="35"/>
        <v>-126.04677838187976</v>
      </c>
      <c r="AB57" s="1059">
        <f t="shared" si="35"/>
        <v>-195.88848986370758</v>
      </c>
      <c r="AC57" s="1059">
        <f t="shared" si="35"/>
        <v>-109.4780538520917</v>
      </c>
      <c r="AD57" s="1059">
        <f t="shared" si="35"/>
        <v>-123.56573152048801</v>
      </c>
      <c r="AE57" s="1059">
        <f t="shared" si="35"/>
        <v>-356.57841054214623</v>
      </c>
      <c r="AF57" s="1059">
        <f t="shared" si="35"/>
        <v>-541.51784702968769</v>
      </c>
      <c r="AG57" s="1059">
        <f t="shared" si="35"/>
        <v>-708.53144323039885</v>
      </c>
      <c r="AH57" s="1059">
        <f t="shared" si="35"/>
        <v>-1167.7614606556317</v>
      </c>
      <c r="AI57" s="1059">
        <f t="shared" si="35"/>
        <v>-719.86005022473046</v>
      </c>
      <c r="AJ57" s="1059">
        <f t="shared" si="35"/>
        <v>-1167.5124815572726</v>
      </c>
      <c r="AK57" s="1059">
        <f t="shared" si="35"/>
        <v>-863.99857868722245</v>
      </c>
      <c r="AL57" s="1059">
        <f t="shared" si="35"/>
        <v>-321.83969984059325</v>
      </c>
      <c r="AM57" s="1059">
        <f t="shared" si="35"/>
        <v>0</v>
      </c>
      <c r="AN57" s="1059">
        <f t="shared" si="35"/>
        <v>-298.64672426060889</v>
      </c>
      <c r="AO57" s="1059">
        <f t="shared" si="35"/>
        <v>-1693.9361272361139</v>
      </c>
      <c r="AP57" s="1059">
        <f>AP24*AP43</f>
        <v>-4075.2291299207691</v>
      </c>
      <c r="AQ57" s="1059">
        <f t="shared" si="35"/>
        <v>-1606.7224196712843</v>
      </c>
      <c r="AR57" s="1059">
        <f t="shared" si="35"/>
        <v>-2930.916502614406</v>
      </c>
      <c r="AS57" s="1059">
        <f t="shared" si="35"/>
        <v>0</v>
      </c>
      <c r="AT57" s="1059">
        <f t="shared" si="35"/>
        <v>0</v>
      </c>
      <c r="AU57" s="1068">
        <f>SUM(B57:AT57)</f>
        <v>-27258.808534037827</v>
      </c>
      <c r="AV57" s="1057"/>
    </row>
    <row r="58" spans="1:52" ht="15.6">
      <c r="A58" s="142" t="str">
        <f t="shared" si="29"/>
        <v>Rations</v>
      </c>
      <c r="S58" s="1059">
        <f t="shared" ref="S58:AT58" si="36">S25*S43</f>
        <v>0</v>
      </c>
      <c r="T58" s="1059">
        <f t="shared" si="36"/>
        <v>0</v>
      </c>
      <c r="U58" s="1059">
        <f t="shared" si="36"/>
        <v>0</v>
      </c>
      <c r="V58" s="1059">
        <f t="shared" si="36"/>
        <v>0</v>
      </c>
      <c r="W58" s="1059">
        <f t="shared" si="36"/>
        <v>0</v>
      </c>
      <c r="X58" s="1059">
        <f t="shared" si="36"/>
        <v>0</v>
      </c>
      <c r="Y58" s="1059">
        <f t="shared" si="36"/>
        <v>0</v>
      </c>
      <c r="Z58" s="1059">
        <f t="shared" si="36"/>
        <v>0</v>
      </c>
      <c r="AA58" s="1059">
        <f t="shared" si="36"/>
        <v>0</v>
      </c>
      <c r="AB58" s="1059">
        <f t="shared" si="36"/>
        <v>0</v>
      </c>
      <c r="AC58" s="1059">
        <f t="shared" si="36"/>
        <v>0</v>
      </c>
      <c r="AD58" s="1059">
        <f t="shared" si="36"/>
        <v>0</v>
      </c>
      <c r="AE58" s="1059">
        <f t="shared" si="36"/>
        <v>0</v>
      </c>
      <c r="AF58" s="1059">
        <f t="shared" si="36"/>
        <v>0</v>
      </c>
      <c r="AG58" s="1059">
        <f t="shared" si="36"/>
        <v>0</v>
      </c>
      <c r="AH58" s="1059">
        <f t="shared" si="36"/>
        <v>0</v>
      </c>
      <c r="AI58" s="1059">
        <f t="shared" si="36"/>
        <v>0</v>
      </c>
      <c r="AJ58" s="1059">
        <f t="shared" si="36"/>
        <v>0</v>
      </c>
      <c r="AK58" s="1059">
        <f t="shared" si="36"/>
        <v>0</v>
      </c>
      <c r="AL58" s="1059">
        <f>AL24*AL43</f>
        <v>-321.83969984059325</v>
      </c>
      <c r="AM58" s="1059">
        <f>AM24*AM43</f>
        <v>0</v>
      </c>
      <c r="AN58" s="1059">
        <f>AN24*AN43</f>
        <v>-298.64672426060889</v>
      </c>
      <c r="AO58" s="1059">
        <f>AO24*AO43</f>
        <v>-1693.9361272361139</v>
      </c>
      <c r="AP58" s="1059">
        <f t="shared" si="36"/>
        <v>-1455.4389749717031</v>
      </c>
      <c r="AQ58" s="1059">
        <f t="shared" si="36"/>
        <v>-3534.7893232768256</v>
      </c>
      <c r="AR58" s="1059">
        <f t="shared" si="36"/>
        <v>0</v>
      </c>
      <c r="AS58" s="1059">
        <f t="shared" si="36"/>
        <v>-1092.1451506522938</v>
      </c>
      <c r="AT58" s="1059">
        <f t="shared" si="36"/>
        <v>0</v>
      </c>
      <c r="AU58" s="1068">
        <f>SUM(B58:AT58)</f>
        <v>-8396.7960002381387</v>
      </c>
      <c r="AV58" s="1057"/>
    </row>
    <row r="59" spans="1:52" ht="15.6">
      <c r="A59" s="142" t="str">
        <f t="shared" si="29"/>
        <v>Pet Food</v>
      </c>
      <c r="S59" s="1059">
        <f t="shared" ref="S59:AT59" si="37">S26*S43</f>
        <v>0</v>
      </c>
      <c r="T59" s="1059">
        <f t="shared" si="37"/>
        <v>0</v>
      </c>
      <c r="U59" s="1059">
        <f t="shared" si="37"/>
        <v>0</v>
      </c>
      <c r="V59" s="1059">
        <f t="shared" si="37"/>
        <v>0</v>
      </c>
      <c r="W59" s="1059">
        <f t="shared" si="37"/>
        <v>0</v>
      </c>
      <c r="X59" s="1059">
        <f t="shared" si="37"/>
        <v>0</v>
      </c>
      <c r="Y59" s="1059">
        <f t="shared" si="37"/>
        <v>0</v>
      </c>
      <c r="Z59" s="1059">
        <f t="shared" si="37"/>
        <v>0</v>
      </c>
      <c r="AA59" s="1059">
        <f t="shared" si="37"/>
        <v>0</v>
      </c>
      <c r="AB59" s="1059">
        <f t="shared" si="37"/>
        <v>0</v>
      </c>
      <c r="AC59" s="1059">
        <f t="shared" si="37"/>
        <v>0</v>
      </c>
      <c r="AD59" s="1059">
        <f t="shared" si="37"/>
        <v>0</v>
      </c>
      <c r="AE59" s="1059">
        <f t="shared" si="37"/>
        <v>0</v>
      </c>
      <c r="AF59" s="1059">
        <f t="shared" si="37"/>
        <v>0</v>
      </c>
      <c r="AG59" s="1059">
        <f t="shared" si="37"/>
        <v>0</v>
      </c>
      <c r="AH59" s="1059">
        <f t="shared" si="37"/>
        <v>0</v>
      </c>
      <c r="AI59" s="1059">
        <f t="shared" si="37"/>
        <v>0</v>
      </c>
      <c r="AJ59" s="1059">
        <f t="shared" si="37"/>
        <v>0</v>
      </c>
      <c r="AK59" s="1059">
        <f t="shared" si="37"/>
        <v>0</v>
      </c>
      <c r="AL59" s="1059">
        <f t="shared" si="37"/>
        <v>0</v>
      </c>
      <c r="AM59" s="1059">
        <f t="shared" si="37"/>
        <v>0</v>
      </c>
      <c r="AN59" s="1059">
        <f t="shared" si="37"/>
        <v>0</v>
      </c>
      <c r="AO59" s="1059">
        <f t="shared" si="37"/>
        <v>0</v>
      </c>
      <c r="AP59" s="1059">
        <f t="shared" si="37"/>
        <v>0</v>
      </c>
      <c r="AQ59" s="1059">
        <f t="shared" si="37"/>
        <v>0</v>
      </c>
      <c r="AR59" s="1059">
        <f t="shared" si="37"/>
        <v>0</v>
      </c>
      <c r="AS59" s="1059">
        <f t="shared" si="37"/>
        <v>0</v>
      </c>
      <c r="AT59" s="1059">
        <f t="shared" si="37"/>
        <v>0</v>
      </c>
      <c r="AU59" s="1068">
        <f t="shared" si="24"/>
        <v>0</v>
      </c>
      <c r="AV59" s="1057"/>
    </row>
    <row r="60" spans="1:52" ht="15.6">
      <c r="A60" s="142" t="str">
        <f t="shared" si="29"/>
        <v>Farm Sales</v>
      </c>
      <c r="S60" s="1059">
        <f t="shared" ref="S60:AT60" si="38">S27*S43</f>
        <v>0</v>
      </c>
      <c r="T60" s="1059">
        <f t="shared" si="38"/>
        <v>0</v>
      </c>
      <c r="U60" s="1059">
        <f t="shared" si="38"/>
        <v>0</v>
      </c>
      <c r="V60" s="1059">
        <f t="shared" si="38"/>
        <v>0</v>
      </c>
      <c r="W60" s="1059">
        <f t="shared" si="38"/>
        <v>0</v>
      </c>
      <c r="X60" s="1059">
        <f t="shared" si="38"/>
        <v>0</v>
      </c>
      <c r="Y60" s="1059">
        <f t="shared" si="38"/>
        <v>0</v>
      </c>
      <c r="Z60" s="1059">
        <f t="shared" si="38"/>
        <v>0</v>
      </c>
      <c r="AA60" s="1059">
        <f t="shared" si="38"/>
        <v>0</v>
      </c>
      <c r="AB60" s="1059">
        <f t="shared" si="38"/>
        <v>0</v>
      </c>
      <c r="AC60" s="1059">
        <f t="shared" si="38"/>
        <v>0</v>
      </c>
      <c r="AD60" s="1059">
        <f t="shared" si="38"/>
        <v>0</v>
      </c>
      <c r="AE60" s="1059">
        <f t="shared" si="38"/>
        <v>0</v>
      </c>
      <c r="AF60" s="1059">
        <f t="shared" si="38"/>
        <v>0</v>
      </c>
      <c r="AG60" s="1059">
        <f t="shared" si="38"/>
        <v>0</v>
      </c>
      <c r="AH60" s="1059">
        <f t="shared" si="38"/>
        <v>0</v>
      </c>
      <c r="AI60" s="1059">
        <f t="shared" si="38"/>
        <v>0</v>
      </c>
      <c r="AJ60" s="1059">
        <f t="shared" si="38"/>
        <v>0</v>
      </c>
      <c r="AK60" s="1059">
        <f t="shared" si="38"/>
        <v>0</v>
      </c>
      <c r="AL60" s="1059">
        <f t="shared" si="38"/>
        <v>0</v>
      </c>
      <c r="AM60" s="1059">
        <f t="shared" si="38"/>
        <v>0</v>
      </c>
      <c r="AN60" s="1059">
        <f t="shared" si="38"/>
        <v>0</v>
      </c>
      <c r="AO60" s="1059">
        <f t="shared" si="38"/>
        <v>0</v>
      </c>
      <c r="AP60" s="1059">
        <f t="shared" si="38"/>
        <v>0</v>
      </c>
      <c r="AQ60" s="1059">
        <f t="shared" si="38"/>
        <v>0</v>
      </c>
      <c r="AR60" s="1059">
        <f t="shared" si="38"/>
        <v>0</v>
      </c>
      <c r="AS60" s="1059">
        <f t="shared" si="38"/>
        <v>0</v>
      </c>
      <c r="AT60" s="1059">
        <f t="shared" si="38"/>
        <v>0</v>
      </c>
      <c r="AU60" s="1068">
        <f t="shared" si="24"/>
        <v>0</v>
      </c>
      <c r="AV60" s="1057"/>
    </row>
    <row r="61" spans="1:52" ht="16.149999999999999" thickBot="1">
      <c r="A61" s="142" t="str">
        <f t="shared" si="29"/>
        <v xml:space="preserve"> Colcom Sales</v>
      </c>
      <c r="S61" s="1059">
        <f t="shared" ref="S61:AS61" si="39">S28*S43</f>
        <v>0</v>
      </c>
      <c r="T61" s="1059">
        <f t="shared" si="39"/>
        <v>0</v>
      </c>
      <c r="U61" s="1059">
        <f t="shared" si="39"/>
        <v>0</v>
      </c>
      <c r="V61" s="1059">
        <f t="shared" si="39"/>
        <v>0</v>
      </c>
      <c r="W61" s="1059">
        <f t="shared" si="39"/>
        <v>0</v>
      </c>
      <c r="X61" s="1059">
        <f t="shared" si="39"/>
        <v>0</v>
      </c>
      <c r="Y61" s="1059">
        <f t="shared" si="39"/>
        <v>0</v>
      </c>
      <c r="Z61" s="1059">
        <f t="shared" si="39"/>
        <v>0</v>
      </c>
      <c r="AA61" s="1059">
        <f t="shared" si="39"/>
        <v>0</v>
      </c>
      <c r="AB61" s="1059">
        <f t="shared" si="39"/>
        <v>0</v>
      </c>
      <c r="AC61" s="1059">
        <f t="shared" si="39"/>
        <v>0</v>
      </c>
      <c r="AD61" s="1059">
        <f t="shared" si="39"/>
        <v>0</v>
      </c>
      <c r="AE61" s="1059">
        <f t="shared" si="39"/>
        <v>0</v>
      </c>
      <c r="AF61" s="1059">
        <f t="shared" si="39"/>
        <v>0</v>
      </c>
      <c r="AG61" s="1059">
        <f t="shared" si="39"/>
        <v>0</v>
      </c>
      <c r="AH61" s="1059">
        <f t="shared" si="39"/>
        <v>0</v>
      </c>
      <c r="AI61" s="1059">
        <f t="shared" si="39"/>
        <v>0</v>
      </c>
      <c r="AJ61" s="1059">
        <f t="shared" si="39"/>
        <v>0</v>
      </c>
      <c r="AK61" s="1059">
        <f t="shared" si="39"/>
        <v>0</v>
      </c>
      <c r="AL61" s="1059">
        <f t="shared" si="39"/>
        <v>0</v>
      </c>
      <c r="AM61" s="1059">
        <f t="shared" si="39"/>
        <v>0</v>
      </c>
      <c r="AN61" s="1059">
        <f t="shared" si="39"/>
        <v>0</v>
      </c>
      <c r="AO61" s="1059">
        <f t="shared" si="39"/>
        <v>-176169.35723255586</v>
      </c>
      <c r="AP61" s="1059">
        <f t="shared" si="39"/>
        <v>-190662.50572129313</v>
      </c>
      <c r="AQ61" s="1059">
        <f t="shared" si="39"/>
        <v>-210480.63697693823</v>
      </c>
      <c r="AR61" s="1059">
        <f t="shared" si="39"/>
        <v>-167861.58151337053</v>
      </c>
      <c r="AS61" s="1059">
        <f t="shared" si="39"/>
        <v>-181842.1675836069</v>
      </c>
      <c r="AT61" s="1059">
        <f>AT28*AT43</f>
        <v>0</v>
      </c>
      <c r="AU61" s="1068">
        <f>SUM(B61:AT61)</f>
        <v>-927016.24902776466</v>
      </c>
      <c r="AV61" s="1057"/>
    </row>
    <row r="62" spans="1:52" ht="16.149999999999999" thickBot="1">
      <c r="A62" s="1070" t="s">
        <v>1810</v>
      </c>
      <c r="B62" s="1555">
        <f>IFERROR(SUM(B57:B61)+B41,0)</f>
        <v>4330.6053811659212</v>
      </c>
      <c r="C62" s="1555">
        <f t="shared" ref="C62:AS62" si="40">IFERROR(SUM(C57:C61)+C41,0)</f>
        <v>4330.6053811659212</v>
      </c>
      <c r="D62" s="1555">
        <f t="shared" si="40"/>
        <v>4330.6053811659212</v>
      </c>
      <c r="E62" s="1555">
        <f t="shared" si="40"/>
        <v>4330.6053811659212</v>
      </c>
      <c r="F62" s="1555">
        <f t="shared" si="40"/>
        <v>8567.7331838565024</v>
      </c>
      <c r="G62" s="1555">
        <f t="shared" si="40"/>
        <v>8567.7331838565024</v>
      </c>
      <c r="H62" s="1555">
        <f t="shared" si="40"/>
        <v>8567.7331838565024</v>
      </c>
      <c r="I62" s="1555">
        <f t="shared" si="40"/>
        <v>8567.7331838565024</v>
      </c>
      <c r="J62" s="1555">
        <f t="shared" si="40"/>
        <v>8201.0470852017934</v>
      </c>
      <c r="K62" s="1555">
        <f t="shared" si="40"/>
        <v>12378.065022421526</v>
      </c>
      <c r="L62" s="1555">
        <f t="shared" si="40"/>
        <v>12378.065022421526</v>
      </c>
      <c r="M62" s="1555">
        <f t="shared" si="40"/>
        <v>12378.065022421526</v>
      </c>
      <c r="N62" s="1555">
        <f t="shared" si="40"/>
        <v>13244.186098654711</v>
      </c>
      <c r="O62" s="1555">
        <f t="shared" si="40"/>
        <v>17418.948430493278</v>
      </c>
      <c r="P62" s="1555">
        <f t="shared" si="40"/>
        <v>17418.948430493278</v>
      </c>
      <c r="Q62" s="1555">
        <f t="shared" si="40"/>
        <v>17418.948430493278</v>
      </c>
      <c r="R62" s="1555">
        <f t="shared" si="40"/>
        <v>22146.596412556057</v>
      </c>
      <c r="S62" s="1555">
        <f t="shared" si="40"/>
        <v>30266.263138719562</v>
      </c>
      <c r="T62" s="1555">
        <f t="shared" si="40"/>
        <v>34767.127026563358</v>
      </c>
      <c r="U62" s="1555">
        <f t="shared" si="40"/>
        <v>33418.596405658092</v>
      </c>
      <c r="V62" s="1555">
        <f t="shared" si="40"/>
        <v>40013.68254596131</v>
      </c>
      <c r="W62" s="1555">
        <f t="shared" si="40"/>
        <v>40532.672808697629</v>
      </c>
      <c r="X62" s="1555">
        <f t="shared" si="40"/>
        <v>32659.131001034784</v>
      </c>
      <c r="Y62" s="1555">
        <f t="shared" si="40"/>
        <v>34544.577795088335</v>
      </c>
      <c r="Z62" s="1555">
        <f t="shared" si="40"/>
        <v>45890.823136294443</v>
      </c>
      <c r="AA62" s="1555">
        <f t="shared" si="40"/>
        <v>77896.909040001701</v>
      </c>
      <c r="AB62" s="1555">
        <f t="shared" si="40"/>
        <v>63369.926470909406</v>
      </c>
      <c r="AC62" s="1555">
        <f t="shared" si="40"/>
        <v>72474.471650084713</v>
      </c>
      <c r="AD62" s="1555">
        <f t="shared" si="40"/>
        <v>82171.211461124534</v>
      </c>
      <c r="AE62" s="1555">
        <f t="shared" si="40"/>
        <v>110539.30726806533</v>
      </c>
      <c r="AF62" s="1555">
        <f t="shared" si="40"/>
        <v>115343.30141732348</v>
      </c>
      <c r="AG62" s="1555">
        <f t="shared" si="40"/>
        <v>117970.48529786141</v>
      </c>
      <c r="AH62" s="1555">
        <f t="shared" si="40"/>
        <v>140832.0321550692</v>
      </c>
      <c r="AI62" s="1555">
        <f t="shared" si="40"/>
        <v>151890.47059741811</v>
      </c>
      <c r="AJ62" s="1555">
        <f t="shared" si="40"/>
        <v>190304.53449383544</v>
      </c>
      <c r="AK62" s="1555">
        <f t="shared" si="40"/>
        <v>183455.69820792024</v>
      </c>
      <c r="AL62" s="1555">
        <f t="shared" si="40"/>
        <v>209517.64459622619</v>
      </c>
      <c r="AM62" s="1555">
        <f>IFERROR(SUM(AM57:AM61)+AM41,0)</f>
        <v>218788.36300653184</v>
      </c>
      <c r="AN62" s="1555">
        <f t="shared" si="40"/>
        <v>181577.20835045018</v>
      </c>
      <c r="AO62" s="1555">
        <f t="shared" si="40"/>
        <v>-1693.936127236113</v>
      </c>
      <c r="AP62" s="1555">
        <f t="shared" si="40"/>
        <v>0</v>
      </c>
      <c r="AQ62" s="1555">
        <f t="shared" si="40"/>
        <v>0</v>
      </c>
      <c r="AR62" s="1555">
        <f t="shared" si="40"/>
        <v>-2.9103830456733704E-11</v>
      </c>
      <c r="AS62" s="1555">
        <f t="shared" si="40"/>
        <v>0</v>
      </c>
      <c r="AT62" s="1555">
        <f>IFERROR(SUM(AT57:AT61)+AT41,0)</f>
        <v>2.9103830456733704E-11</v>
      </c>
      <c r="AU62" s="1072">
        <f>SUM(B62:AT62)</f>
        <v>2391106.7259588498</v>
      </c>
      <c r="AV62" s="1068"/>
      <c r="AW62" s="1066"/>
      <c r="AX62" s="1066"/>
    </row>
    <row r="63" spans="1:52" ht="15.6">
      <c r="A63" s="1075"/>
      <c r="B63" s="1061"/>
      <c r="C63" s="1061"/>
      <c r="D63" s="1075"/>
      <c r="E63" s="1061"/>
      <c r="F63" s="1075"/>
      <c r="G63" s="1061"/>
      <c r="H63" s="1061"/>
      <c r="I63" s="1061"/>
      <c r="J63" s="1061"/>
      <c r="K63" s="1061"/>
      <c r="L63" s="1061"/>
      <c r="M63" s="1061"/>
      <c r="N63" s="1061"/>
      <c r="O63" s="1061"/>
      <c r="P63" s="1061"/>
      <c r="Q63" s="1061"/>
      <c r="R63" s="1061"/>
      <c r="S63" s="1061"/>
      <c r="T63" s="1061"/>
      <c r="U63" s="1061"/>
      <c r="V63" s="1061"/>
      <c r="W63" s="1061"/>
      <c r="X63" s="1061"/>
      <c r="Y63" s="1061"/>
      <c r="Z63" s="1061"/>
      <c r="AA63" s="1061"/>
      <c r="AB63" s="1061"/>
      <c r="AC63" s="1061"/>
      <c r="AD63" s="1061"/>
      <c r="AE63" s="1061"/>
      <c r="AF63" s="1061"/>
      <c r="AG63" s="1061"/>
      <c r="AH63" s="1061"/>
      <c r="AI63" s="1061"/>
      <c r="AJ63" s="1061"/>
      <c r="AK63" s="1061"/>
      <c r="AL63" s="1061"/>
      <c r="AM63" s="1061"/>
      <c r="AN63" s="1061"/>
      <c r="AO63" s="1061"/>
      <c r="AP63" s="1061"/>
      <c r="AQ63" s="1061"/>
      <c r="AR63" s="1061"/>
      <c r="AS63" s="1061"/>
      <c r="AT63" s="1061"/>
      <c r="AU63" s="1062"/>
      <c r="AV63" s="1062"/>
      <c r="AW63" s="1061"/>
      <c r="AX63" s="1061"/>
    </row>
    <row r="64" spans="1:52" ht="15.6">
      <c r="A64" s="1075" t="s">
        <v>1811</v>
      </c>
      <c r="B64" s="1061"/>
      <c r="C64" s="1061"/>
      <c r="D64" s="1075" t="s">
        <v>1812</v>
      </c>
      <c r="E64" s="1061"/>
      <c r="F64" s="1075" t="s">
        <v>62</v>
      </c>
      <c r="G64" s="1061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1"/>
      <c r="X64" s="1061"/>
      <c r="Y64" s="1061"/>
      <c r="Z64" s="1061"/>
      <c r="AA64" s="1061"/>
      <c r="AB64" s="1061"/>
      <c r="AC64" s="1061"/>
      <c r="AD64" s="1061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061"/>
      <c r="AP64" s="1061"/>
      <c r="AQ64" s="1061"/>
      <c r="AR64" s="1061"/>
      <c r="AS64" s="1061"/>
      <c r="AT64" s="1061"/>
      <c r="AU64" s="1062"/>
      <c r="AV64" s="1062"/>
      <c r="AW64" s="1061"/>
      <c r="AX64" s="1061"/>
    </row>
    <row r="65" spans="1:50">
      <c r="A65" s="1061" t="s">
        <v>1813</v>
      </c>
      <c r="B65" s="1064">
        <f>+'Feed Cost &amp; Allocation'!T80+'Feed Cost &amp; Allocation'!I80</f>
        <v>10067</v>
      </c>
      <c r="C65" s="1061"/>
      <c r="D65" s="1061"/>
      <c r="E65" s="1061"/>
      <c r="F65" s="1061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  <c r="AR65" s="1061"/>
      <c r="AS65" s="1061"/>
      <c r="AT65" s="1061"/>
      <c r="AU65" s="1062"/>
      <c r="AV65" s="1062"/>
      <c r="AW65" s="1061"/>
      <c r="AX65" s="1061"/>
    </row>
    <row r="66" spans="1:50">
      <c r="A66" s="1061" t="s">
        <v>60</v>
      </c>
      <c r="B66" s="1064">
        <f>+'Feed Cost &amp; Allocation'!K80+'Feed Cost &amp; Allocation'!N80</f>
        <v>52130</v>
      </c>
      <c r="C66" s="1061"/>
      <c r="D66" s="1064">
        <f>+'Feed Cost &amp; Allocation'!L80</f>
        <v>0</v>
      </c>
      <c r="E66" s="1061"/>
      <c r="F66" s="1064">
        <f>'Feed Cost &amp; Allocation'!Y80+'Feed Cost &amp; Allocation'!Z80+'Feed Cost &amp; Allocation'!AG80</f>
        <v>15366</v>
      </c>
      <c r="G66" s="1061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061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2"/>
      <c r="AW66" s="1061"/>
      <c r="AX66" s="1061"/>
    </row>
    <row r="67" spans="1:50">
      <c r="A67" s="1061" t="s">
        <v>1829</v>
      </c>
      <c r="B67" s="1064">
        <f>+'Feed Cost &amp; Allocation'!O80</f>
        <v>15061</v>
      </c>
      <c r="C67" s="1061"/>
      <c r="D67" s="1064">
        <f>'Feed Cost &amp; Allocation'!M80</f>
        <v>46927</v>
      </c>
      <c r="E67" s="1061"/>
      <c r="F67" s="1064">
        <f>IFERROR(SUM(W23:Z23)/(SUM(W29:Z29)-SUM(W23:Z23))*F66,0)</f>
        <v>0</v>
      </c>
      <c r="G67" s="1061"/>
      <c r="H67" s="1061"/>
      <c r="I67" s="1061"/>
      <c r="J67" s="1061"/>
      <c r="K67" s="1061"/>
      <c r="L67" s="1061"/>
      <c r="M67" s="1061"/>
      <c r="N67" s="1061"/>
      <c r="O67" s="1061"/>
      <c r="P67" s="1061"/>
      <c r="Q67" s="1061"/>
      <c r="R67" s="1061"/>
      <c r="S67" s="1061"/>
      <c r="T67" s="1061"/>
      <c r="U67" s="1061"/>
      <c r="V67" s="1061"/>
      <c r="W67" s="1061"/>
      <c r="X67" s="1061"/>
      <c r="Y67" s="1061"/>
      <c r="Z67" s="1061"/>
      <c r="AA67" s="1061"/>
      <c r="AB67" s="1061"/>
      <c r="AC67" s="1061"/>
      <c r="AD67" s="1061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  <c r="AR67" s="1061"/>
      <c r="AS67" s="1061"/>
      <c r="AT67" s="1061"/>
      <c r="AU67" s="1062"/>
      <c r="AV67" s="1062"/>
      <c r="AW67" s="1061"/>
      <c r="AX67" s="1061"/>
    </row>
    <row r="68" spans="1:50" ht="15.6">
      <c r="A68" s="1075" t="s">
        <v>71</v>
      </c>
      <c r="B68" s="1076">
        <f>SUM(B65:B67)</f>
        <v>77258</v>
      </c>
      <c r="C68" s="1061"/>
      <c r="D68" s="1076">
        <f>SUM(D65:D67)</f>
        <v>46927</v>
      </c>
      <c r="E68" s="1061"/>
      <c r="F68" s="1064">
        <f>SUM(F66:F67)</f>
        <v>15366</v>
      </c>
      <c r="G68" s="1061"/>
      <c r="H68" s="1061"/>
      <c r="I68" s="1061"/>
      <c r="J68" s="1061"/>
      <c r="K68" s="1061"/>
      <c r="L68" s="1061"/>
      <c r="M68" s="1061"/>
      <c r="N68" s="1061"/>
      <c r="O68" s="1061"/>
      <c r="P68" s="1061"/>
      <c r="Q68" s="1061"/>
      <c r="R68" s="1061"/>
      <c r="S68" s="1061"/>
      <c r="T68" s="1061"/>
      <c r="U68" s="1061"/>
      <c r="V68" s="1061"/>
      <c r="W68" s="1061"/>
      <c r="X68" s="1061"/>
      <c r="Y68" s="1061"/>
      <c r="Z68" s="1061"/>
      <c r="AA68" s="1061"/>
      <c r="AB68" s="1061"/>
      <c r="AC68" s="1061"/>
      <c r="AD68" s="1061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  <c r="AR68" s="1061"/>
      <c r="AS68" s="1061"/>
      <c r="AT68" s="1061"/>
      <c r="AU68" s="1062"/>
      <c r="AV68" s="1062"/>
      <c r="AW68" s="1061"/>
      <c r="AX68" s="1061"/>
    </row>
    <row r="69" spans="1:50">
      <c r="A69" s="1061"/>
      <c r="B69" s="1061"/>
      <c r="C69" s="1061"/>
      <c r="D69" s="1061"/>
      <c r="E69" s="1061"/>
      <c r="F69" s="1061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2"/>
      <c r="AW69" s="1061"/>
      <c r="AX69" s="1061"/>
    </row>
    <row r="70" spans="1:50" ht="15.6">
      <c r="A70" s="1077" t="s">
        <v>1815</v>
      </c>
      <c r="B70" s="1077" t="str">
        <f t="shared" ref="B70:AA70" si="41">B3</f>
        <v>DRY SOW</v>
      </c>
      <c r="C70" s="1077" t="str">
        <f t="shared" si="41"/>
        <v>DRY SOW</v>
      </c>
      <c r="D70" s="1077" t="str">
        <f t="shared" si="41"/>
        <v>DRY SOW</v>
      </c>
      <c r="E70" s="1078" t="str">
        <f t="shared" si="41"/>
        <v>DRY SOW</v>
      </c>
      <c r="F70" s="1078" t="str">
        <f t="shared" si="41"/>
        <v>DRY SOW</v>
      </c>
      <c r="G70" s="1078" t="str">
        <f t="shared" si="41"/>
        <v>DRY SOW</v>
      </c>
      <c r="H70" s="1078" t="str">
        <f t="shared" si="41"/>
        <v>DRY SOW</v>
      </c>
      <c r="I70" s="1078" t="str">
        <f t="shared" si="41"/>
        <v>DRY SOW</v>
      </c>
      <c r="J70" s="1078" t="str">
        <f t="shared" si="41"/>
        <v>DRY SOW</v>
      </c>
      <c r="K70" s="1078" t="str">
        <f t="shared" si="41"/>
        <v>DRY SOW</v>
      </c>
      <c r="L70" s="1078" t="str">
        <f t="shared" si="41"/>
        <v>DRY SOW</v>
      </c>
      <c r="M70" s="1078" t="str">
        <f t="shared" si="41"/>
        <v>DRY SOW</v>
      </c>
      <c r="N70" s="1078" t="str">
        <f t="shared" si="41"/>
        <v>DRY SOW</v>
      </c>
      <c r="O70" s="1078" t="str">
        <f t="shared" si="41"/>
        <v>DRY SOW</v>
      </c>
      <c r="P70" s="1078" t="str">
        <f t="shared" si="41"/>
        <v>DRY SOW</v>
      </c>
      <c r="Q70" s="1078" t="str">
        <f t="shared" si="41"/>
        <v>DRY SOW</v>
      </c>
      <c r="R70" s="1078" t="str">
        <f t="shared" si="41"/>
        <v>Flush</v>
      </c>
      <c r="S70" s="1078" t="str">
        <f t="shared" si="41"/>
        <v>LACTATE</v>
      </c>
      <c r="T70" s="1078" t="str">
        <f t="shared" si="41"/>
        <v>LACTATE</v>
      </c>
      <c r="U70" s="1078" t="str">
        <f t="shared" si="41"/>
        <v>LACTATE</v>
      </c>
      <c r="V70" s="1078" t="str">
        <f t="shared" si="41"/>
        <v>Early Wean</v>
      </c>
      <c r="W70" s="1078" t="str">
        <f t="shared" si="41"/>
        <v>Early Wean</v>
      </c>
      <c r="X70" s="1078" t="str">
        <f t="shared" si="41"/>
        <v>CREEP</v>
      </c>
      <c r="Y70" s="1078" t="str">
        <f t="shared" si="41"/>
        <v>CREEP</v>
      </c>
      <c r="Z70" s="1078" t="str">
        <f t="shared" si="41"/>
        <v>CREEP</v>
      </c>
      <c r="AA70" s="1078" t="str">
        <f t="shared" si="41"/>
        <v>WEANER</v>
      </c>
      <c r="AB70" s="1078" t="str">
        <f>AA70</f>
        <v>WEANER</v>
      </c>
      <c r="AC70" s="1078" t="str">
        <f>AB70</f>
        <v>WEANER</v>
      </c>
      <c r="AD70" s="1078" t="str">
        <f t="shared" ref="AD70:AN70" si="42">AD3</f>
        <v>GROWER 1</v>
      </c>
      <c r="AE70" s="1078" t="str">
        <f t="shared" si="42"/>
        <v>GROWER 1</v>
      </c>
      <c r="AF70" s="1078" t="str">
        <f t="shared" si="42"/>
        <v>GROWER 2</v>
      </c>
      <c r="AG70" s="1078" t="str">
        <f t="shared" si="42"/>
        <v>GROWER 2</v>
      </c>
      <c r="AH70" s="1078" t="str">
        <f t="shared" si="42"/>
        <v>GROWER 3</v>
      </c>
      <c r="AI70" s="1078" t="str">
        <f t="shared" si="42"/>
        <v>FINISHER</v>
      </c>
      <c r="AJ70" s="1078" t="str">
        <f t="shared" si="42"/>
        <v>FINISHER</v>
      </c>
      <c r="AK70" s="1078" t="str">
        <f t="shared" si="42"/>
        <v>FINISHER</v>
      </c>
      <c r="AL70" s="1078" t="str">
        <f t="shared" si="42"/>
        <v>FINISHER</v>
      </c>
      <c r="AM70" s="1078" t="str">
        <f t="shared" si="42"/>
        <v>FINISHER</v>
      </c>
      <c r="AN70" s="1078">
        <f t="shared" si="42"/>
        <v>0</v>
      </c>
      <c r="AO70" s="1078" t="s">
        <v>71</v>
      </c>
      <c r="AP70" s="1079"/>
      <c r="AQ70" s="1079"/>
      <c r="AR70" s="1079"/>
      <c r="AS70" s="1066"/>
      <c r="AT70" s="1066"/>
      <c r="AU70" s="1068"/>
      <c r="AV70" s="1068"/>
      <c r="AW70" s="1066"/>
      <c r="AX70" s="1066"/>
    </row>
    <row r="71" spans="1:50" ht="15.6">
      <c r="A71" s="1077" t="s">
        <v>1816</v>
      </c>
      <c r="B71" s="1077">
        <v>7</v>
      </c>
      <c r="C71" s="1077">
        <v>7</v>
      </c>
      <c r="D71" s="1077">
        <v>7</v>
      </c>
      <c r="E71" s="1077">
        <v>7</v>
      </c>
      <c r="F71" s="1077">
        <v>7</v>
      </c>
      <c r="G71" s="1077">
        <v>7</v>
      </c>
      <c r="H71" s="1077">
        <v>7</v>
      </c>
      <c r="I71" s="1077">
        <v>7</v>
      </c>
      <c r="J71" s="1077">
        <v>7</v>
      </c>
      <c r="K71" s="1077">
        <v>7</v>
      </c>
      <c r="L71" s="1077">
        <v>7</v>
      </c>
      <c r="M71" s="1077">
        <v>7</v>
      </c>
      <c r="N71" s="1077">
        <v>7</v>
      </c>
      <c r="O71" s="1077">
        <v>7</v>
      </c>
      <c r="P71" s="1077">
        <v>7</v>
      </c>
      <c r="Q71" s="1077">
        <v>7</v>
      </c>
      <c r="R71" s="1077">
        <v>7</v>
      </c>
      <c r="S71" s="1077">
        <v>7</v>
      </c>
      <c r="T71" s="1077">
        <v>7</v>
      </c>
      <c r="U71" s="1077">
        <v>7</v>
      </c>
      <c r="V71" s="1077">
        <v>7</v>
      </c>
      <c r="W71" s="1077">
        <v>7</v>
      </c>
      <c r="X71" s="1077">
        <v>7</v>
      </c>
      <c r="Y71" s="1077">
        <v>7</v>
      </c>
      <c r="Z71" s="1077">
        <v>7</v>
      </c>
      <c r="AA71" s="1077">
        <v>7</v>
      </c>
      <c r="AB71" s="1077">
        <v>7</v>
      </c>
      <c r="AC71" s="1077">
        <v>7</v>
      </c>
      <c r="AD71" s="1077">
        <v>7</v>
      </c>
      <c r="AE71" s="1077">
        <v>7</v>
      </c>
      <c r="AF71" s="1077">
        <v>7</v>
      </c>
      <c r="AG71" s="1077">
        <v>7</v>
      </c>
      <c r="AH71" s="1077">
        <v>7</v>
      </c>
      <c r="AI71" s="1077">
        <v>7</v>
      </c>
      <c r="AJ71" s="1077">
        <v>7</v>
      </c>
      <c r="AK71" s="1077">
        <v>7</v>
      </c>
      <c r="AL71" s="1077">
        <v>7</v>
      </c>
      <c r="AM71" s="1077">
        <v>7</v>
      </c>
      <c r="AN71" s="1077">
        <v>7</v>
      </c>
      <c r="AO71" s="1077"/>
      <c r="AP71" s="1066"/>
      <c r="AQ71" s="1066"/>
      <c r="AR71" s="1066"/>
      <c r="AS71" s="1066"/>
      <c r="AT71" s="1066"/>
      <c r="AU71" s="1068"/>
      <c r="AV71" s="1068"/>
      <c r="AW71" s="1066"/>
      <c r="AX71" s="1066"/>
    </row>
    <row r="72" spans="1:50" ht="15.6">
      <c r="A72" s="1077" t="s">
        <v>1817</v>
      </c>
      <c r="B72" s="1077">
        <v>2.5</v>
      </c>
      <c r="C72" s="1077">
        <v>2.5</v>
      </c>
      <c r="D72" s="1077">
        <v>2.5</v>
      </c>
      <c r="E72" s="1077">
        <v>2.5</v>
      </c>
      <c r="F72" s="1077">
        <v>2.2999999999999998</v>
      </c>
      <c r="G72" s="1077">
        <v>2.2999999999999998</v>
      </c>
      <c r="H72" s="1077">
        <v>2.2999999999999998</v>
      </c>
      <c r="I72" s="1077">
        <v>2.2999999999999998</v>
      </c>
      <c r="J72" s="1077">
        <v>2.2999999999999998</v>
      </c>
      <c r="K72" s="1077">
        <v>2.2999999999999998</v>
      </c>
      <c r="L72" s="1077">
        <v>2.2999999999999998</v>
      </c>
      <c r="M72" s="1077">
        <v>2.2999999999999998</v>
      </c>
      <c r="N72" s="1077">
        <v>2.8</v>
      </c>
      <c r="O72" s="1077">
        <v>2.8</v>
      </c>
      <c r="P72" s="1077">
        <v>2.8</v>
      </c>
      <c r="Q72" s="1077">
        <v>2.8</v>
      </c>
      <c r="R72" s="1077">
        <v>5</v>
      </c>
      <c r="S72" s="1080">
        <v>3</v>
      </c>
      <c r="T72" s="1080">
        <v>5.5</v>
      </c>
      <c r="U72" s="1080">
        <v>7</v>
      </c>
      <c r="V72" s="1080">
        <v>9.5</v>
      </c>
      <c r="W72" s="1077">
        <v>0.35</v>
      </c>
      <c r="X72" s="1077">
        <v>0.5</v>
      </c>
      <c r="Y72" s="1077">
        <v>0.6</v>
      </c>
      <c r="Z72" s="1077">
        <v>0.9</v>
      </c>
      <c r="AA72" s="1077">
        <v>1.1000000000000001</v>
      </c>
      <c r="AB72" s="1077">
        <v>1.2</v>
      </c>
      <c r="AC72" s="1080">
        <v>1.4</v>
      </c>
      <c r="AD72" s="1080">
        <v>1.6</v>
      </c>
      <c r="AE72" s="1080">
        <v>1.8</v>
      </c>
      <c r="AF72" s="1080">
        <v>2</v>
      </c>
      <c r="AG72" s="1080">
        <v>2.2000000000000002</v>
      </c>
      <c r="AH72" s="1080">
        <v>2.2999999999999998</v>
      </c>
      <c r="AI72" s="1080">
        <v>2.4</v>
      </c>
      <c r="AJ72" s="1080">
        <v>2.5</v>
      </c>
      <c r="AK72" s="1080">
        <v>2.7</v>
      </c>
      <c r="AL72" s="1080">
        <v>2.9</v>
      </c>
      <c r="AM72" s="1080">
        <v>3</v>
      </c>
      <c r="AN72" s="1080">
        <v>3</v>
      </c>
      <c r="AO72" s="1080"/>
      <c r="AP72" s="1073"/>
      <c r="AQ72" s="1073"/>
      <c r="AR72" s="1073"/>
      <c r="AS72" s="1066"/>
      <c r="AT72" s="1066"/>
      <c r="AU72" s="1068"/>
      <c r="AV72" s="1068"/>
      <c r="AW72" s="1066"/>
      <c r="AX72" s="1066"/>
    </row>
    <row r="73" spans="1:50" ht="15.6">
      <c r="A73" s="1077" t="s">
        <v>1818</v>
      </c>
      <c r="B73" s="1081">
        <f>'Summary Total Pigs'!AF112/17*5</f>
        <v>291.76470588235293</v>
      </c>
      <c r="C73" s="1081">
        <f>B73</f>
        <v>291.76470588235293</v>
      </c>
      <c r="D73" s="1081">
        <f t="shared" ref="D73:R73" si="43">C73</f>
        <v>291.76470588235293</v>
      </c>
      <c r="E73" s="1081">
        <f t="shared" si="43"/>
        <v>291.76470588235293</v>
      </c>
      <c r="F73" s="1081">
        <f t="shared" si="43"/>
        <v>291.76470588235293</v>
      </c>
      <c r="G73" s="1081">
        <f t="shared" si="43"/>
        <v>291.76470588235293</v>
      </c>
      <c r="H73" s="1081">
        <f t="shared" si="43"/>
        <v>291.76470588235293</v>
      </c>
      <c r="I73" s="1081">
        <f t="shared" si="43"/>
        <v>291.76470588235293</v>
      </c>
      <c r="J73" s="1081">
        <f t="shared" si="43"/>
        <v>291.76470588235293</v>
      </c>
      <c r="K73" s="1081">
        <f t="shared" si="43"/>
        <v>291.76470588235293</v>
      </c>
      <c r="L73" s="1081">
        <f t="shared" si="43"/>
        <v>291.76470588235293</v>
      </c>
      <c r="M73" s="1081">
        <f t="shared" si="43"/>
        <v>291.76470588235293</v>
      </c>
      <c r="N73" s="1081">
        <f t="shared" si="43"/>
        <v>291.76470588235293</v>
      </c>
      <c r="O73" s="1081">
        <f t="shared" si="43"/>
        <v>291.76470588235293</v>
      </c>
      <c r="P73" s="1081">
        <f t="shared" si="43"/>
        <v>291.76470588235293</v>
      </c>
      <c r="Q73" s="1081">
        <f t="shared" si="43"/>
        <v>291.76470588235293</v>
      </c>
      <c r="R73" s="1081">
        <f t="shared" si="43"/>
        <v>291.76470588235293</v>
      </c>
      <c r="S73" s="1081">
        <f>R73</f>
        <v>291.76470588235293</v>
      </c>
      <c r="T73" s="1081">
        <f>S73</f>
        <v>291.76470588235293</v>
      </c>
      <c r="U73" s="1081">
        <f>T73</f>
        <v>291.76470588235293</v>
      </c>
      <c r="V73" s="1081">
        <f>U73</f>
        <v>291.76470588235293</v>
      </c>
      <c r="W73" s="1081">
        <f>SUM(W7:Z7)</f>
        <v>2749</v>
      </c>
      <c r="X73" s="1081">
        <f>SUM(W7:AA7)</f>
        <v>3368</v>
      </c>
      <c r="Y73" s="1081">
        <f t="shared" ref="Y73:AN73" si="44">SUM(Y7:AB7)</f>
        <v>2769</v>
      </c>
      <c r="Z73" s="1081">
        <f t="shared" si="44"/>
        <v>2668</v>
      </c>
      <c r="AA73" s="1081">
        <f t="shared" si="44"/>
        <v>2597</v>
      </c>
      <c r="AB73" s="1081">
        <f t="shared" si="44"/>
        <v>2600</v>
      </c>
      <c r="AC73" s="1081">
        <f t="shared" si="44"/>
        <v>2593</v>
      </c>
      <c r="AD73" s="1081">
        <f t="shared" si="44"/>
        <v>2600</v>
      </c>
      <c r="AE73" s="1081">
        <f t="shared" si="44"/>
        <v>2542</v>
      </c>
      <c r="AF73" s="1081">
        <f t="shared" si="44"/>
        <v>2556</v>
      </c>
      <c r="AG73" s="1081">
        <f t="shared" si="44"/>
        <v>2570</v>
      </c>
      <c r="AH73" s="1081">
        <f t="shared" si="44"/>
        <v>2540</v>
      </c>
      <c r="AI73" s="1081">
        <f t="shared" si="44"/>
        <v>2585</v>
      </c>
      <c r="AJ73" s="1081">
        <f t="shared" si="44"/>
        <v>2607</v>
      </c>
      <c r="AK73" s="1081">
        <f t="shared" si="44"/>
        <v>2561</v>
      </c>
      <c r="AL73" s="1081">
        <f t="shared" si="44"/>
        <v>2551</v>
      </c>
      <c r="AM73" s="1081">
        <f t="shared" si="44"/>
        <v>2566</v>
      </c>
      <c r="AN73" s="1081">
        <f t="shared" si="44"/>
        <v>2585</v>
      </c>
      <c r="AO73" s="1077"/>
      <c r="AP73" s="1066"/>
      <c r="AQ73" s="1066"/>
      <c r="AR73" s="1066"/>
      <c r="AS73" s="1066"/>
      <c r="AT73" s="1066"/>
      <c r="AU73" s="1068"/>
      <c r="AV73" s="1068"/>
      <c r="AW73" s="1066"/>
      <c r="AX73" s="1066"/>
    </row>
    <row r="74" spans="1:50" ht="15.6">
      <c r="A74" s="1077" t="s">
        <v>1819</v>
      </c>
      <c r="B74" s="1081">
        <f>B71*B72*B73</f>
        <v>5105.8823529411766</v>
      </c>
      <c r="C74" s="1081">
        <f t="shared" ref="C74:Q74" si="45">C71*C72*C73</f>
        <v>5105.8823529411766</v>
      </c>
      <c r="D74" s="1081">
        <f t="shared" si="45"/>
        <v>5105.8823529411766</v>
      </c>
      <c r="E74" s="1081">
        <f t="shared" si="45"/>
        <v>5105.8823529411766</v>
      </c>
      <c r="F74" s="1081">
        <f t="shared" si="45"/>
        <v>4697.4117647058811</v>
      </c>
      <c r="G74" s="1081">
        <f t="shared" si="45"/>
        <v>4697.4117647058811</v>
      </c>
      <c r="H74" s="1081">
        <f t="shared" si="45"/>
        <v>4697.4117647058811</v>
      </c>
      <c r="I74" s="1081">
        <f t="shared" si="45"/>
        <v>4697.4117647058811</v>
      </c>
      <c r="J74" s="1081">
        <f t="shared" si="45"/>
        <v>4697.4117647058811</v>
      </c>
      <c r="K74" s="1081">
        <f t="shared" si="45"/>
        <v>4697.4117647058811</v>
      </c>
      <c r="L74" s="1081">
        <f t="shared" si="45"/>
        <v>4697.4117647058811</v>
      </c>
      <c r="M74" s="1081">
        <f t="shared" si="45"/>
        <v>4697.4117647058811</v>
      </c>
      <c r="N74" s="1081">
        <f t="shared" si="45"/>
        <v>5718.5882352941171</v>
      </c>
      <c r="O74" s="1081">
        <f t="shared" si="45"/>
        <v>5718.5882352941171</v>
      </c>
      <c r="P74" s="1081">
        <f t="shared" si="45"/>
        <v>5718.5882352941171</v>
      </c>
      <c r="Q74" s="1081">
        <f t="shared" si="45"/>
        <v>5718.5882352941171</v>
      </c>
      <c r="R74" s="1081">
        <f>R71*R72*R73</f>
        <v>10211.764705882353</v>
      </c>
      <c r="S74" s="1081">
        <f>S71*S72*S73</f>
        <v>6127.0588235294117</v>
      </c>
      <c r="T74" s="1081">
        <f t="shared" ref="T74:AN74" si="46">T71*T72*T73</f>
        <v>11232.941176470587</v>
      </c>
      <c r="U74" s="1081">
        <f t="shared" si="46"/>
        <v>14296.470588235294</v>
      </c>
      <c r="V74" s="1081">
        <f t="shared" si="46"/>
        <v>19402.352941176468</v>
      </c>
      <c r="W74" s="1081">
        <f t="shared" si="46"/>
        <v>6735.0499999999993</v>
      </c>
      <c r="X74" s="1081">
        <f t="shared" si="46"/>
        <v>11788</v>
      </c>
      <c r="Y74" s="1081">
        <f t="shared" si="46"/>
        <v>11629.800000000001</v>
      </c>
      <c r="Z74" s="1081">
        <f t="shared" si="46"/>
        <v>16808.399999999998</v>
      </c>
      <c r="AA74" s="1081">
        <f t="shared" si="46"/>
        <v>19996.900000000001</v>
      </c>
      <c r="AB74" s="1081">
        <f t="shared" si="46"/>
        <v>21840</v>
      </c>
      <c r="AC74" s="1081">
        <f t="shared" si="46"/>
        <v>25411.399999999998</v>
      </c>
      <c r="AD74" s="1081">
        <f t="shared" si="46"/>
        <v>29120.000000000004</v>
      </c>
      <c r="AE74" s="1081">
        <f t="shared" si="46"/>
        <v>32029.200000000001</v>
      </c>
      <c r="AF74" s="1081">
        <f t="shared" si="46"/>
        <v>35784</v>
      </c>
      <c r="AG74" s="1081">
        <f t="shared" si="46"/>
        <v>39578.000000000007</v>
      </c>
      <c r="AH74" s="1081">
        <f t="shared" si="46"/>
        <v>40893.999999999993</v>
      </c>
      <c r="AI74" s="1081">
        <f t="shared" si="46"/>
        <v>43428</v>
      </c>
      <c r="AJ74" s="1081">
        <f t="shared" si="46"/>
        <v>45622.5</v>
      </c>
      <c r="AK74" s="1081">
        <f t="shared" si="46"/>
        <v>48402.900000000009</v>
      </c>
      <c r="AL74" s="1081">
        <f t="shared" si="46"/>
        <v>51785.3</v>
      </c>
      <c r="AM74" s="1081">
        <f t="shared" si="46"/>
        <v>53886</v>
      </c>
      <c r="AN74" s="1081">
        <f t="shared" si="46"/>
        <v>54285</v>
      </c>
      <c r="AO74" s="1081">
        <f>SUM(B74:AN74)</f>
        <v>731172.21470588236</v>
      </c>
      <c r="AP74" s="1066"/>
      <c r="AQ74" s="1066"/>
      <c r="AR74" s="1066"/>
      <c r="AS74" s="1066"/>
      <c r="AT74" s="1066"/>
      <c r="AU74" s="1068"/>
      <c r="AV74" s="1068"/>
      <c r="AW74" s="1066"/>
      <c r="AX74" s="1066"/>
    </row>
    <row r="75" spans="1:50" ht="15.6">
      <c r="A75" s="1077"/>
      <c r="B75" s="1081"/>
      <c r="C75" s="1081"/>
      <c r="D75" s="1081"/>
      <c r="E75" s="1081"/>
      <c r="F75" s="1081"/>
      <c r="G75" s="1081"/>
      <c r="H75" s="1081"/>
      <c r="I75" s="1081"/>
      <c r="J75" s="1081"/>
      <c r="K75" s="1081"/>
      <c r="L75" s="1081"/>
      <c r="M75" s="1081"/>
      <c r="N75" s="1081"/>
      <c r="O75" s="1081"/>
      <c r="P75" s="1081"/>
      <c r="Q75" s="1081"/>
      <c r="R75" s="1081">
        <f>SUM(B74:R74)</f>
        <v>91088.941176470558</v>
      </c>
      <c r="S75" s="1081"/>
      <c r="T75" s="1081"/>
      <c r="U75" s="1081">
        <f>SUM(S74:U74)</f>
        <v>31656.470588235294</v>
      </c>
      <c r="V75" s="1081"/>
      <c r="W75" s="1081">
        <f>SUM(V74:W74)</f>
        <v>26137.402941176468</v>
      </c>
      <c r="X75" s="1081"/>
      <c r="Y75" s="1081"/>
      <c r="Z75" s="1081">
        <f>SUM(X74:Z74)</f>
        <v>40226.199999999997</v>
      </c>
      <c r="AA75" s="1081">
        <v>0</v>
      </c>
      <c r="AB75" s="1081"/>
      <c r="AC75" s="1081">
        <f>SUM(AA74:AC74)</f>
        <v>67248.3</v>
      </c>
      <c r="AD75" s="1081"/>
      <c r="AE75" s="1081">
        <f>SUM(AD74:AE74)</f>
        <v>61149.200000000004</v>
      </c>
      <c r="AF75" s="1081"/>
      <c r="AG75" s="1081">
        <f>SUM(AF74:AG74)</f>
        <v>75362</v>
      </c>
      <c r="AH75" s="1081"/>
      <c r="AI75" s="1081"/>
      <c r="AJ75" s="1081">
        <f>SUM(AH74:AJ74)</f>
        <v>129944.5</v>
      </c>
      <c r="AK75" s="1081"/>
      <c r="AL75" s="1081"/>
      <c r="AM75" s="1081"/>
      <c r="AN75" s="1081">
        <f>SUM(AK74:AN74)</f>
        <v>208359.2</v>
      </c>
      <c r="AO75" s="1081">
        <f>SUM(B75:AN75)</f>
        <v>731172.21470588236</v>
      </c>
      <c r="AP75" s="1066"/>
      <c r="AQ75" s="1066"/>
      <c r="AR75" s="1066"/>
      <c r="AS75" s="1066"/>
      <c r="AT75" s="1066"/>
      <c r="AU75" s="1068"/>
      <c r="AV75" s="1068"/>
      <c r="AW75" s="1066"/>
      <c r="AX75" s="1066"/>
    </row>
    <row r="76" spans="1:50" ht="15.6">
      <c r="A76" s="1077" t="s">
        <v>1820</v>
      </c>
      <c r="B76" s="1082">
        <f>B74/$R$75</f>
        <v>5.6053811659192848E-2</v>
      </c>
      <c r="C76" s="1082">
        <f t="shared" ref="C76:R76" si="47">C74/$R$75</f>
        <v>5.6053811659192848E-2</v>
      </c>
      <c r="D76" s="1082">
        <f t="shared" si="47"/>
        <v>5.6053811659192848E-2</v>
      </c>
      <c r="E76" s="1082">
        <f t="shared" si="47"/>
        <v>5.6053811659192848E-2</v>
      </c>
      <c r="F76" s="1082">
        <f t="shared" si="47"/>
        <v>5.1569506726457402E-2</v>
      </c>
      <c r="G76" s="1082">
        <f t="shared" si="47"/>
        <v>5.1569506726457402E-2</v>
      </c>
      <c r="H76" s="1082">
        <f t="shared" si="47"/>
        <v>5.1569506726457402E-2</v>
      </c>
      <c r="I76" s="1082">
        <f t="shared" si="47"/>
        <v>5.1569506726457402E-2</v>
      </c>
      <c r="J76" s="1082">
        <f t="shared" si="47"/>
        <v>5.1569506726457402E-2</v>
      </c>
      <c r="K76" s="1082">
        <f t="shared" si="47"/>
        <v>5.1569506726457402E-2</v>
      </c>
      <c r="L76" s="1082">
        <f t="shared" si="47"/>
        <v>5.1569506726457402E-2</v>
      </c>
      <c r="M76" s="1082">
        <f t="shared" si="47"/>
        <v>5.1569506726457402E-2</v>
      </c>
      <c r="N76" s="1082">
        <f t="shared" si="47"/>
        <v>6.2780269058295979E-2</v>
      </c>
      <c r="O76" s="1082">
        <f t="shared" si="47"/>
        <v>6.2780269058295979E-2</v>
      </c>
      <c r="P76" s="1082">
        <f t="shared" si="47"/>
        <v>6.2780269058295979E-2</v>
      </c>
      <c r="Q76" s="1082">
        <f t="shared" si="47"/>
        <v>6.2780269058295979E-2</v>
      </c>
      <c r="R76" s="1082">
        <f t="shared" si="47"/>
        <v>0.1121076233183857</v>
      </c>
      <c r="S76" s="1082">
        <f>S74/$U$75</f>
        <v>0.19354838709677419</v>
      </c>
      <c r="T76" s="1082">
        <f>T74/$U$75</f>
        <v>0.35483870967741932</v>
      </c>
      <c r="U76" s="1082">
        <f>U74/$U$75</f>
        <v>0.45161290322580644</v>
      </c>
      <c r="V76" s="1082">
        <f>V74/$W$75</f>
        <v>0.74232137694944034</v>
      </c>
      <c r="W76" s="1082">
        <f>W74/$W$75</f>
        <v>0.25767862305055961</v>
      </c>
      <c r="X76" s="1082">
        <f>X74/$Z$75</f>
        <v>0.29304284272439357</v>
      </c>
      <c r="Y76" s="1082">
        <f>Y74/$Z$75</f>
        <v>0.28911008248355552</v>
      </c>
      <c r="Z76" s="1082">
        <f>Z74/$Z$75</f>
        <v>0.41784707479205091</v>
      </c>
      <c r="AA76" s="1082">
        <f>AA74/$AC$75</f>
        <v>0.29735918974903458</v>
      </c>
      <c r="AB76" s="1082">
        <f>AB74/$AC$75</f>
        <v>0.3247665740249196</v>
      </c>
      <c r="AC76" s="1082">
        <f>AC74/$AC$75</f>
        <v>0.37787423622604582</v>
      </c>
      <c r="AD76" s="1082">
        <f>AD74/$AE$75</f>
        <v>0.47621228078208711</v>
      </c>
      <c r="AE76" s="1082">
        <f>AE74/$AE$75</f>
        <v>0.52378771921791289</v>
      </c>
      <c r="AF76" s="1082">
        <f>AF74/$AG$75</f>
        <v>0.47482816273453465</v>
      </c>
      <c r="AG76" s="1082">
        <f>AG74/$AG$75</f>
        <v>0.52517183726546546</v>
      </c>
      <c r="AH76" s="1082">
        <f>AH74/$AJ$75</f>
        <v>0.31470358499205425</v>
      </c>
      <c r="AI76" s="1082">
        <f>AI74/$AJ$75</f>
        <v>0.33420421795458832</v>
      </c>
      <c r="AJ76" s="1082">
        <f>AJ74/$AJ$75</f>
        <v>0.35109219705335737</v>
      </c>
      <c r="AK76" s="1082">
        <f>AK74/$AN$75</f>
        <v>0.23230507700163949</v>
      </c>
      <c r="AL76" s="1082">
        <f>AL74/$AN$75</f>
        <v>0.24853858144972721</v>
      </c>
      <c r="AM76" s="1082">
        <f>AM74/$AN$75</f>
        <v>0.25862068965517238</v>
      </c>
      <c r="AN76" s="1082">
        <f>AN74/$AN$75</f>
        <v>0.2605356518934609</v>
      </c>
      <c r="AO76" s="1065"/>
      <c r="AU76" s="1057"/>
      <c r="AV76" s="1057"/>
    </row>
    <row r="77" spans="1:50">
      <c r="A77" s="1065"/>
      <c r="B77" s="1065"/>
      <c r="C77" s="1065"/>
      <c r="D77" s="1065"/>
      <c r="E77" s="1065"/>
      <c r="F77" s="1065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5"/>
      <c r="AD77" s="1065"/>
      <c r="AE77" s="1065"/>
      <c r="AF77" s="1065"/>
      <c r="AG77" s="1065"/>
      <c r="AH77" s="1065"/>
      <c r="AI77" s="1065"/>
      <c r="AJ77" s="1065"/>
      <c r="AK77" s="1065"/>
      <c r="AL77" s="1065"/>
      <c r="AM77" s="1065"/>
      <c r="AN77" s="1065"/>
      <c r="AO77" s="1065"/>
      <c r="AU77" s="1057"/>
      <c r="AV77" s="1057"/>
    </row>
    <row r="78" spans="1:50">
      <c r="A78" s="1065"/>
      <c r="B78" s="1065"/>
      <c r="C78" s="1065"/>
      <c r="D78" s="1065"/>
      <c r="E78" s="1065"/>
      <c r="F78" s="1065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5"/>
      <c r="AD78" s="1065"/>
      <c r="AE78" s="1065"/>
      <c r="AF78" s="1065"/>
      <c r="AG78" s="1065"/>
      <c r="AH78" s="1065"/>
      <c r="AI78" s="1065"/>
      <c r="AJ78" s="1065"/>
      <c r="AK78" s="1065"/>
      <c r="AL78" s="1065"/>
      <c r="AM78" s="1065"/>
      <c r="AN78" s="1065"/>
      <c r="AO78" s="1065"/>
      <c r="AU78" s="1057"/>
      <c r="AV78" s="1057"/>
    </row>
    <row r="79" spans="1:50" ht="15.6">
      <c r="A79" s="1081" t="s">
        <v>1821</v>
      </c>
      <c r="B79" s="1081"/>
      <c r="C79" s="1081"/>
      <c r="D79" s="1081"/>
      <c r="E79" s="1081"/>
      <c r="F79" s="1081"/>
      <c r="G79" s="1081"/>
      <c r="H79" s="1081"/>
      <c r="I79" s="1081"/>
      <c r="J79" s="1081"/>
      <c r="K79" s="1081"/>
      <c r="L79" s="1081"/>
      <c r="M79" s="1081"/>
      <c r="N79" s="1081"/>
      <c r="O79" s="1081"/>
      <c r="P79" s="1081"/>
      <c r="Q79" s="1081">
        <f>SUM(B74:Q74)</f>
        <v>80877.176470588209</v>
      </c>
      <c r="R79" s="1081">
        <f>R74</f>
        <v>10211.764705882353</v>
      </c>
      <c r="S79" s="1081">
        <f>S74</f>
        <v>6127.0588235294117</v>
      </c>
      <c r="T79" s="1081">
        <f>T73*T71*T72</f>
        <v>11232.941176470587</v>
      </c>
      <c r="U79" s="1081">
        <f>U73*U71*U72</f>
        <v>14296.470588235294</v>
      </c>
      <c r="V79" s="1081">
        <f>V73*V71*V72</f>
        <v>19402.352941176468</v>
      </c>
      <c r="W79" s="1081">
        <f>W74</f>
        <v>6735.0499999999993</v>
      </c>
      <c r="X79" s="1081"/>
      <c r="Y79" s="1081">
        <f>Y75</f>
        <v>0</v>
      </c>
      <c r="Z79" s="1081"/>
      <c r="AA79" s="1081"/>
      <c r="AB79" s="1081"/>
      <c r="AC79" s="1081">
        <f>AC75</f>
        <v>67248.3</v>
      </c>
      <c r="AD79" s="1081"/>
      <c r="AE79" s="1081">
        <f>AE75</f>
        <v>61149.200000000004</v>
      </c>
      <c r="AF79" s="1081"/>
      <c r="AG79" s="1081">
        <f>AG75</f>
        <v>75362</v>
      </c>
      <c r="AH79" s="1081"/>
      <c r="AI79" s="1081"/>
      <c r="AJ79" s="1081">
        <f>AJ75</f>
        <v>129944.5</v>
      </c>
      <c r="AK79" s="1081"/>
      <c r="AL79" s="1081"/>
      <c r="AM79" s="1081"/>
      <c r="AN79" s="1081">
        <f>AN75</f>
        <v>208359.2</v>
      </c>
      <c r="AO79" s="1081">
        <f>SUM(B79:AN79)</f>
        <v>690946.01470588241</v>
      </c>
      <c r="AP79" s="1068"/>
      <c r="AQ79" s="1068"/>
      <c r="AR79" s="1068"/>
      <c r="AS79" s="1068"/>
      <c r="AT79" s="1068"/>
      <c r="AU79" s="1068"/>
      <c r="AV79" s="1068"/>
      <c r="AW79" s="1068"/>
      <c r="AX79" s="1068"/>
    </row>
    <row r="80" spans="1:50" ht="15.6">
      <c r="A80" s="1081" t="s">
        <v>1822</v>
      </c>
      <c r="B80" s="1081"/>
      <c r="C80" s="1081"/>
      <c r="D80" s="1081"/>
      <c r="E80" s="1081"/>
      <c r="F80" s="1081"/>
      <c r="G80" s="1081"/>
      <c r="H80" s="1081"/>
      <c r="I80" s="1081"/>
      <c r="J80" s="1081"/>
      <c r="K80" s="1081"/>
      <c r="L80" s="1081"/>
      <c r="M80" s="1081"/>
      <c r="N80" s="1081"/>
      <c r="O80" s="1081"/>
      <c r="P80" s="1081"/>
      <c r="Q80" s="1081">
        <f>'[4]Feed Costing &amp; Appotionment '!K122+'[4]Feed Costing &amp; Appotionment '!O122</f>
        <v>273392.90000000002</v>
      </c>
      <c r="R80" s="1081">
        <f>'[4]Feed Costing &amp; Appotionment '!T122</f>
        <v>47127.5</v>
      </c>
      <c r="S80" s="1081">
        <f>'[4]Feed Costing &amp; Appotionment '!N122</f>
        <v>17559.5</v>
      </c>
      <c r="T80" s="1081"/>
      <c r="U80" s="1081"/>
      <c r="V80" s="1081">
        <f>'[4]Feed Costing &amp; Appotionment '!L122+'[4]Feed Costing &amp; Appotionment '!M122</f>
        <v>117633</v>
      </c>
      <c r="W80" s="1081">
        <f>'[4]Feed Costing &amp; Appotionment '!B122</f>
        <v>29254.2</v>
      </c>
      <c r="X80" s="1081"/>
      <c r="Y80" s="1081">
        <f>'[4]Feed Costing &amp; Appotionment '!C122</f>
        <v>126974</v>
      </c>
      <c r="Z80" s="1081"/>
      <c r="AA80" s="1081"/>
      <c r="AB80" s="1081"/>
      <c r="AC80" s="1081">
        <f>'[4]Feed Costing &amp; Appotionment '!D122+'[4]Feed Costing &amp; Appotionment '!E122</f>
        <v>243037.40000000002</v>
      </c>
      <c r="AD80" s="1081"/>
      <c r="AE80" s="1081">
        <f>'[4]Feed Costing &amp; Appotionment '!F122</f>
        <v>176588.4</v>
      </c>
      <c r="AF80" s="1081"/>
      <c r="AG80" s="1081">
        <f>'[4]Feed Costing &amp; Appotionment '!G122</f>
        <v>59290</v>
      </c>
      <c r="AH80" s="1081"/>
      <c r="AI80" s="1081"/>
      <c r="AJ80" s="1081">
        <f>'[4]Feed Costing &amp; Appotionment '!H122</f>
        <v>949048.7</v>
      </c>
      <c r="AK80" s="1081"/>
      <c r="AL80" s="1081"/>
      <c r="AM80" s="1081"/>
      <c r="AN80" s="1081">
        <f>'[4]Feed Costing &amp; Appotionment '!J122</f>
        <v>710118.55</v>
      </c>
      <c r="AO80" s="1081">
        <f>SUM(B80:AN80)</f>
        <v>2750024.1500000004</v>
      </c>
      <c r="AP80" s="1068">
        <f>AO80-'[4]Feed Costing &amp; Appotionment '!U122+'[4]Feed Costing &amp; Appotionment '!P122+'[4]Feed Costing &amp; Appotionment '!Q122+'[4]Feed Costing &amp; Appotionment '!R122</f>
        <v>1.8917489796876907E-10</v>
      </c>
      <c r="AQ80" s="1068"/>
      <c r="AR80" s="1068"/>
      <c r="AS80" s="1068"/>
      <c r="AT80" s="1068"/>
      <c r="AU80" s="1068"/>
      <c r="AV80" s="1068"/>
      <c r="AW80" s="1068"/>
      <c r="AX80" s="1068"/>
    </row>
    <row r="81" spans="1:50" ht="15.6">
      <c r="A81" s="1081" t="s">
        <v>1823</v>
      </c>
      <c r="B81" s="1081"/>
      <c r="C81" s="1081"/>
      <c r="D81" s="1081"/>
      <c r="E81" s="1081"/>
      <c r="F81" s="1081"/>
      <c r="G81" s="1081"/>
      <c r="H81" s="1081"/>
      <c r="I81" s="1081"/>
      <c r="J81" s="1081"/>
      <c r="K81" s="1081"/>
      <c r="L81" s="1081"/>
      <c r="M81" s="1081"/>
      <c r="N81" s="1081"/>
      <c r="O81" s="1081"/>
      <c r="P81" s="1081"/>
      <c r="Q81" s="1081">
        <f>Q79-Q80</f>
        <v>-192515.72352941183</v>
      </c>
      <c r="R81" s="1081">
        <f>R79-R80</f>
        <v>-36915.73529411765</v>
      </c>
      <c r="S81" s="1081">
        <f>S79-S80</f>
        <v>-11432.441176470587</v>
      </c>
      <c r="T81" s="1081"/>
      <c r="U81" s="1081"/>
      <c r="V81" s="1081">
        <f>SUM(T79:V79)-V80</f>
        <v>-72701.23529411765</v>
      </c>
      <c r="W81" s="1081">
        <f>W79-W80</f>
        <v>-22519.15</v>
      </c>
      <c r="X81" s="1081">
        <f>X79-X80</f>
        <v>0</v>
      </c>
      <c r="Y81" s="1081">
        <f>Y79-Y80</f>
        <v>-126974</v>
      </c>
      <c r="Z81" s="1081"/>
      <c r="AA81" s="1081"/>
      <c r="AB81" s="1081"/>
      <c r="AC81" s="1081">
        <f>AC79-AC80</f>
        <v>-175789.10000000003</v>
      </c>
      <c r="AD81" s="1081"/>
      <c r="AE81" s="1081">
        <f>AE79-AE80</f>
        <v>-115439.19999999998</v>
      </c>
      <c r="AF81" s="1081"/>
      <c r="AG81" s="1081">
        <f>AG79-AG80</f>
        <v>16072</v>
      </c>
      <c r="AH81" s="1081"/>
      <c r="AI81" s="1081"/>
      <c r="AJ81" s="1081">
        <f>AJ79-AJ80</f>
        <v>-819104.2</v>
      </c>
      <c r="AK81" s="1081"/>
      <c r="AL81" s="1081"/>
      <c r="AM81" s="1081"/>
      <c r="AN81" s="1081">
        <f>AN79-AN80</f>
        <v>-501759.35000000003</v>
      </c>
      <c r="AO81" s="1081">
        <f>SUM(B81:AN81)</f>
        <v>-2059078.1352941177</v>
      </c>
      <c r="AP81" s="1068">
        <f>AO80-'[4]Feed Costing &amp; Appotionment '!U122</f>
        <v>-86697.799999999814</v>
      </c>
      <c r="AQ81" s="1068"/>
      <c r="AR81" s="1068"/>
      <c r="AS81" s="1068"/>
      <c r="AT81" s="1068"/>
      <c r="AU81" s="1068"/>
      <c r="AV81" s="1068"/>
      <c r="AW81" s="1068"/>
      <c r="AX81" s="1068"/>
    </row>
    <row r="82" spans="1:50" ht="15.6">
      <c r="A82" s="1081" t="s">
        <v>1824</v>
      </c>
      <c r="B82" s="1077"/>
      <c r="C82" s="1077"/>
      <c r="D82" s="1077"/>
      <c r="E82" s="1077"/>
      <c r="F82" s="1077"/>
      <c r="G82" s="1077"/>
      <c r="H82" s="1077"/>
      <c r="I82" s="1077"/>
      <c r="J82" s="1077"/>
      <c r="K82" s="1077"/>
      <c r="L82" s="1077"/>
      <c r="M82" s="1077"/>
      <c r="N82" s="1077"/>
      <c r="O82" s="1077"/>
      <c r="P82" s="1077"/>
      <c r="Q82" s="1083">
        <f>('[4]Feed Costing &amp; Appotionment '!K123+'[4]Feed Costing &amp; Appotionment '!O123)/('[4]Feed Costing &amp; Appotionment '!K122+'[4]Feed Costing &amp; Appotionment '!O122)</f>
        <v>0.33022565021567968</v>
      </c>
      <c r="R82" s="1080">
        <f>'[4]Feed Costing &amp; Appotionment '!T124</f>
        <v>0.37880590011098036</v>
      </c>
      <c r="S82" s="1080">
        <f>'[4]Feed Costing &amp; Appotionment '!N124</f>
        <v>0.36773334194341661</v>
      </c>
      <c r="T82" s="1077"/>
      <c r="U82" s="1077"/>
      <c r="V82" s="1080">
        <f>('[4]Feed Costing &amp; Appotionment '!M123+'[4]Feed Costing &amp; Appotionment '!L123)/('[4]Feed Costing &amp; Appotionment '!L122+'[4]Feed Costing &amp; Appotionment '!M122)</f>
        <v>0.38986305594770371</v>
      </c>
      <c r="W82" s="1080">
        <f>'[4]Feed Costing &amp; Appotionment '!B124</f>
        <v>0.70516028376225237</v>
      </c>
      <c r="X82" s="1077"/>
      <c r="Y82" s="1080">
        <f>'[4]Feed Costing &amp; Appotionment '!C124</f>
        <v>0.553048745740369</v>
      </c>
      <c r="Z82" s="1077"/>
      <c r="AA82" s="1080"/>
      <c r="AB82" s="1077"/>
      <c r="AC82" s="1080">
        <f>'[4]Feed Costing &amp; Appotionment '!D124</f>
        <v>0.45761789674138609</v>
      </c>
      <c r="AD82" s="1077"/>
      <c r="AE82" s="1080">
        <f>'[4]Feed Costing &amp; Appotionment '!F124</f>
        <v>0.36072118784213153</v>
      </c>
      <c r="AF82" s="1077"/>
      <c r="AG82" s="1080">
        <f>'[4]Feed Costing &amp; Appotionment '!G124</f>
        <v>0.35277419368699731</v>
      </c>
      <c r="AH82" s="1077"/>
      <c r="AI82" s="1077"/>
      <c r="AJ82" s="1080">
        <f>'[4]Feed Costing &amp; Appotionment '!H124</f>
        <v>0.32545898419719504</v>
      </c>
      <c r="AK82" s="1077"/>
      <c r="AL82" s="1077"/>
      <c r="AM82" s="1077"/>
      <c r="AN82" s="1080">
        <f>'[4]Feed Costing &amp; Appotionment '!J124</f>
        <v>0.34727367194923103</v>
      </c>
      <c r="AO82" s="1083">
        <f>AO83/AO81</f>
        <v>0.36591909851381399</v>
      </c>
      <c r="AP82" s="1068">
        <f>'[4]Feed Costing &amp; Appotionment '!P122+'[4]Feed Costing &amp; Appotionment '!Q122+'[4]Feed Costing &amp; Appotionment '!R122</f>
        <v>86697.8</v>
      </c>
      <c r="AQ82" s="1066"/>
      <c r="AR82" s="1066"/>
      <c r="AS82" s="1066"/>
      <c r="AT82" s="1066"/>
      <c r="AU82" s="1068"/>
      <c r="AV82" s="1068"/>
      <c r="AW82" s="1066"/>
      <c r="AX82" s="1066"/>
    </row>
    <row r="83" spans="1:50" ht="15.6">
      <c r="A83" s="1081" t="s">
        <v>1825</v>
      </c>
      <c r="B83" s="1077"/>
      <c r="C83" s="1077"/>
      <c r="D83" s="1077"/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83">
        <f>Q81*Q82</f>
        <v>-63573.629979242047</v>
      </c>
      <c r="R83" s="1083">
        <f>R81*R82</f>
        <v>-13983.898336346923</v>
      </c>
      <c r="S83" s="1083">
        <f>S81*S82</f>
        <v>-4204.0898003950542</v>
      </c>
      <c r="T83" s="1077"/>
      <c r="U83" s="1077"/>
      <c r="V83" s="1083">
        <f>V81*V82</f>
        <v>-28343.525762937759</v>
      </c>
      <c r="W83" s="1083">
        <f>W81*W82</f>
        <v>-15879.610204084727</v>
      </c>
      <c r="X83" s="1077"/>
      <c r="Y83" s="1083">
        <f>Y81*Y82</f>
        <v>-70222.811441637619</v>
      </c>
      <c r="Z83" s="1077"/>
      <c r="AA83" s="1083"/>
      <c r="AB83" s="1077"/>
      <c r="AC83" s="1083">
        <f>AC81*AC82</f>
        <v>-80444.238212061202</v>
      </c>
      <c r="AD83" s="1077"/>
      <c r="AE83" s="1083">
        <f>AE81*AE82</f>
        <v>-41641.365347545383</v>
      </c>
      <c r="AF83" s="1077"/>
      <c r="AG83" s="1083">
        <f>AG81*AG82</f>
        <v>5669.7868409374205</v>
      </c>
      <c r="AH83" s="1077"/>
      <c r="AI83" s="1077"/>
      <c r="AJ83" s="1083">
        <f>AJ81*AJ82</f>
        <v>-266584.8208836561</v>
      </c>
      <c r="AK83" s="1077"/>
      <c r="AL83" s="1077"/>
      <c r="AM83" s="1077"/>
      <c r="AN83" s="1083">
        <f>AN81*AN82</f>
        <v>-174247.81190935941</v>
      </c>
      <c r="AO83" s="1081">
        <f>SUM(B83:AN83)</f>
        <v>-753456.0150363287</v>
      </c>
      <c r="AP83" s="1084">
        <f>SUM(AP81:AP82)</f>
        <v>1.8917489796876907E-10</v>
      </c>
      <c r="AQ83" s="1066"/>
      <c r="AR83" s="1066"/>
      <c r="AS83" s="1066"/>
      <c r="AT83" s="1066"/>
      <c r="AU83" s="1068"/>
      <c r="AV83" s="1068"/>
      <c r="AW83" s="1066"/>
      <c r="AX83" s="1066"/>
    </row>
    <row r="84" spans="1:50">
      <c r="AU84" s="1057"/>
      <c r="AV84" s="1057"/>
    </row>
    <row r="86" spans="1:50" ht="15.6">
      <c r="A86" s="131" t="s">
        <v>1816</v>
      </c>
      <c r="B86" s="1716">
        <v>7</v>
      </c>
      <c r="C86" s="1716">
        <v>7</v>
      </c>
      <c r="D86" s="1716">
        <v>7</v>
      </c>
      <c r="E86" s="1716">
        <v>7</v>
      </c>
      <c r="F86" s="1716">
        <v>7</v>
      </c>
      <c r="G86" s="1716">
        <v>7</v>
      </c>
      <c r="H86" s="1716">
        <v>7</v>
      </c>
      <c r="I86" s="1716">
        <v>7</v>
      </c>
      <c r="J86" s="1716">
        <v>7</v>
      </c>
      <c r="K86" s="1716">
        <v>7</v>
      </c>
      <c r="L86" s="1716">
        <v>7</v>
      </c>
      <c r="M86" s="1716">
        <v>7</v>
      </c>
      <c r="N86" s="1716">
        <v>7</v>
      </c>
      <c r="O86" s="1716">
        <v>7</v>
      </c>
      <c r="P86" s="1716">
        <v>7</v>
      </c>
      <c r="Q86" s="1717">
        <v>7</v>
      </c>
      <c r="R86" s="1717">
        <v>7</v>
      </c>
      <c r="S86" s="1709">
        <v>3</v>
      </c>
      <c r="T86" s="1710">
        <v>7</v>
      </c>
      <c r="U86" s="1710">
        <v>7</v>
      </c>
      <c r="V86" s="1709">
        <v>7</v>
      </c>
      <c r="W86" s="1709">
        <v>4</v>
      </c>
      <c r="X86" s="1710">
        <v>7</v>
      </c>
      <c r="Y86" s="1709">
        <v>7</v>
      </c>
      <c r="Z86" s="1710">
        <v>7</v>
      </c>
      <c r="AA86" s="1709">
        <v>7</v>
      </c>
      <c r="AB86" s="1710">
        <v>7</v>
      </c>
      <c r="AC86" s="1709">
        <v>7</v>
      </c>
      <c r="AD86" s="1710">
        <v>7</v>
      </c>
      <c r="AE86" s="1709">
        <v>7</v>
      </c>
      <c r="AF86" s="1710">
        <v>7</v>
      </c>
      <c r="AG86" s="1709">
        <v>7</v>
      </c>
      <c r="AH86" s="1710">
        <v>7</v>
      </c>
      <c r="AI86" s="1710">
        <v>3</v>
      </c>
      <c r="AJ86" s="1709">
        <v>4</v>
      </c>
      <c r="AK86" s="1710">
        <v>7</v>
      </c>
      <c r="AL86" s="1710">
        <v>7</v>
      </c>
      <c r="AM86" s="1710">
        <v>7</v>
      </c>
      <c r="AN86" s="1726">
        <v>3</v>
      </c>
      <c r="AO86" s="1695"/>
    </row>
    <row r="87" spans="1:50" ht="15.6">
      <c r="A87" s="131" t="s">
        <v>1815</v>
      </c>
      <c r="B87" s="1711" t="s">
        <v>1773</v>
      </c>
      <c r="C87" s="1711" t="s">
        <v>1773</v>
      </c>
      <c r="D87" s="1711" t="s">
        <v>1773</v>
      </c>
      <c r="E87" s="1711" t="s">
        <v>1773</v>
      </c>
      <c r="F87" s="1711" t="s">
        <v>1773</v>
      </c>
      <c r="G87" s="1711" t="s">
        <v>1773</v>
      </c>
      <c r="H87" s="1711" t="s">
        <v>1773</v>
      </c>
      <c r="I87" s="1711" t="s">
        <v>1773</v>
      </c>
      <c r="J87" s="1711" t="s">
        <v>1773</v>
      </c>
      <c r="K87" s="1711" t="s">
        <v>1773</v>
      </c>
      <c r="L87" s="1711" t="s">
        <v>1773</v>
      </c>
      <c r="M87" s="1711" t="s">
        <v>1773</v>
      </c>
      <c r="N87" s="1711" t="s">
        <v>1773</v>
      </c>
      <c r="O87" s="1711" t="s">
        <v>1773</v>
      </c>
      <c r="P87" s="1711" t="s">
        <v>1773</v>
      </c>
      <c r="Q87" s="1711" t="s">
        <v>1773</v>
      </c>
      <c r="R87" s="1711" t="s">
        <v>1826</v>
      </c>
      <c r="S87" s="1711" t="s">
        <v>1775</v>
      </c>
      <c r="T87" s="1711" t="s">
        <v>1775</v>
      </c>
      <c r="U87" s="1711" t="s">
        <v>1775</v>
      </c>
      <c r="V87" s="1711" t="s">
        <v>1775</v>
      </c>
      <c r="W87" s="1711" t="s">
        <v>1775</v>
      </c>
      <c r="X87" s="1711" t="s">
        <v>1776</v>
      </c>
      <c r="Y87" s="1711" t="s">
        <v>1777</v>
      </c>
      <c r="Z87" s="1711" t="s">
        <v>1777</v>
      </c>
      <c r="AA87" s="1711" t="s">
        <v>108</v>
      </c>
      <c r="AB87" s="1711" t="s">
        <v>108</v>
      </c>
      <c r="AC87" s="1711" t="s">
        <v>108</v>
      </c>
      <c r="AD87" s="1711" t="s">
        <v>1778</v>
      </c>
      <c r="AE87" s="1711" t="s">
        <v>1778</v>
      </c>
      <c r="AF87" s="1711" t="s">
        <v>1779</v>
      </c>
      <c r="AG87" s="1711" t="s">
        <v>1779</v>
      </c>
      <c r="AH87" s="1711" t="s">
        <v>1780</v>
      </c>
      <c r="AI87" s="1711" t="s">
        <v>1780</v>
      </c>
      <c r="AJ87" s="1711" t="s">
        <v>1781</v>
      </c>
      <c r="AK87" s="1711" t="s">
        <v>1781</v>
      </c>
      <c r="AL87" s="1711" t="s">
        <v>1781</v>
      </c>
      <c r="AM87" s="1711" t="s">
        <v>1781</v>
      </c>
      <c r="AN87" s="1727" t="s">
        <v>1781</v>
      </c>
    </row>
    <row r="88" spans="1:50" ht="15.6">
      <c r="A88" s="131" t="s">
        <v>323</v>
      </c>
      <c r="B88" s="1711">
        <v>-16</v>
      </c>
      <c r="C88" s="1711">
        <v>-15</v>
      </c>
      <c r="D88" s="1711">
        <v>-14</v>
      </c>
      <c r="E88" s="1711">
        <v>-13</v>
      </c>
      <c r="F88" s="1711">
        <v>-12</v>
      </c>
      <c r="G88" s="1711">
        <v>-11</v>
      </c>
      <c r="H88" s="1711">
        <v>-10</v>
      </c>
      <c r="I88" s="1711">
        <v>-9</v>
      </c>
      <c r="J88" s="1711">
        <v>-8</v>
      </c>
      <c r="K88" s="1711">
        <v>-7</v>
      </c>
      <c r="L88" s="1711">
        <v>-6</v>
      </c>
      <c r="M88" s="1711">
        <v>-5</v>
      </c>
      <c r="N88" s="1711">
        <v>-4</v>
      </c>
      <c r="O88" s="1711">
        <v>-3</v>
      </c>
      <c r="P88" s="1711">
        <v>-2</v>
      </c>
      <c r="Q88" s="1711">
        <v>-1</v>
      </c>
      <c r="R88" s="1711">
        <v>0</v>
      </c>
      <c r="S88" s="276">
        <v>1</v>
      </c>
      <c r="T88" s="276">
        <v>2</v>
      </c>
      <c r="U88" s="276">
        <v>3</v>
      </c>
      <c r="V88" s="276">
        <v>4</v>
      </c>
      <c r="W88" s="276">
        <v>5</v>
      </c>
      <c r="X88" s="276">
        <v>6</v>
      </c>
      <c r="Y88" s="276">
        <v>7</v>
      </c>
      <c r="Z88" s="276">
        <v>8</v>
      </c>
      <c r="AA88" s="276">
        <v>9</v>
      </c>
      <c r="AB88" s="276">
        <v>10</v>
      </c>
      <c r="AC88" s="276">
        <v>11</v>
      </c>
      <c r="AD88" s="276">
        <v>12</v>
      </c>
      <c r="AE88" s="276">
        <v>13</v>
      </c>
      <c r="AF88" s="276">
        <v>14</v>
      </c>
      <c r="AG88" s="276">
        <v>15</v>
      </c>
      <c r="AH88" s="276">
        <v>16</v>
      </c>
      <c r="AI88" s="276">
        <v>17</v>
      </c>
      <c r="AJ88" s="276">
        <v>17</v>
      </c>
      <c r="AK88" s="276">
        <v>18</v>
      </c>
      <c r="AL88" s="276">
        <v>19</v>
      </c>
      <c r="AM88" s="276">
        <v>20</v>
      </c>
      <c r="AN88" s="1728">
        <v>21</v>
      </c>
      <c r="AO88"/>
    </row>
    <row r="89" spans="1:50" ht="16.149999999999999" thickBot="1">
      <c r="A89" s="131"/>
      <c r="B89" s="1718">
        <f>+B90*B86</f>
        <v>17.5</v>
      </c>
      <c r="C89" s="1718">
        <f t="shared" ref="C89:R89" si="48">+C90*C86</f>
        <v>17.5</v>
      </c>
      <c r="D89" s="1718">
        <f t="shared" si="48"/>
        <v>17.5</v>
      </c>
      <c r="E89" s="1718">
        <f t="shared" si="48"/>
        <v>17.5</v>
      </c>
      <c r="F89" s="1718">
        <f t="shared" si="48"/>
        <v>16.099999999999998</v>
      </c>
      <c r="G89" s="1718">
        <f t="shared" si="48"/>
        <v>16.099999999999998</v>
      </c>
      <c r="H89" s="1718">
        <f t="shared" si="48"/>
        <v>16.099999999999998</v>
      </c>
      <c r="I89" s="1718">
        <f t="shared" si="48"/>
        <v>16.099999999999998</v>
      </c>
      <c r="J89" s="1718">
        <f t="shared" si="48"/>
        <v>16.099999999999998</v>
      </c>
      <c r="K89" s="1718">
        <f t="shared" si="48"/>
        <v>16.099999999999998</v>
      </c>
      <c r="L89" s="1718">
        <f t="shared" si="48"/>
        <v>16.099999999999998</v>
      </c>
      <c r="M89" s="1718">
        <f t="shared" si="48"/>
        <v>16.099999999999998</v>
      </c>
      <c r="N89" s="1718">
        <f t="shared" si="48"/>
        <v>19.599999999999998</v>
      </c>
      <c r="O89" s="1718">
        <f t="shared" si="48"/>
        <v>19.599999999999998</v>
      </c>
      <c r="P89" s="1718">
        <f t="shared" si="48"/>
        <v>19.599999999999998</v>
      </c>
      <c r="Q89" s="1718">
        <f t="shared" si="48"/>
        <v>19.599999999999998</v>
      </c>
      <c r="R89" s="1718">
        <f t="shared" si="48"/>
        <v>35</v>
      </c>
      <c r="S89" s="1698">
        <v>0.3</v>
      </c>
      <c r="T89" s="1699">
        <v>1.8</v>
      </c>
      <c r="U89" s="1699">
        <v>2.5</v>
      </c>
      <c r="V89" s="1699">
        <v>3.5</v>
      </c>
      <c r="W89" s="1700">
        <v>2</v>
      </c>
      <c r="X89" s="1701">
        <v>4.5</v>
      </c>
      <c r="Y89" s="1702">
        <v>6</v>
      </c>
      <c r="Z89" s="1702">
        <v>7</v>
      </c>
      <c r="AA89" s="1703">
        <v>10.5</v>
      </c>
      <c r="AB89" s="1703">
        <v>11.9</v>
      </c>
      <c r="AC89" s="1703">
        <v>13.3</v>
      </c>
      <c r="AD89" s="1704">
        <v>15.4</v>
      </c>
      <c r="AE89" s="1704">
        <v>17.5</v>
      </c>
      <c r="AF89" s="1705">
        <v>18.2</v>
      </c>
      <c r="AG89" s="1705">
        <v>18.899999999999999</v>
      </c>
      <c r="AH89" s="1706">
        <v>20.3</v>
      </c>
      <c r="AI89" s="1706">
        <v>9</v>
      </c>
      <c r="AJ89" s="1707">
        <v>12.4</v>
      </c>
      <c r="AK89" s="1707">
        <v>21.7</v>
      </c>
      <c r="AL89" s="1707">
        <v>21.7</v>
      </c>
      <c r="AM89" s="1707">
        <v>21.7</v>
      </c>
      <c r="AN89" s="1729">
        <v>21.7</v>
      </c>
      <c r="AO89" s="818"/>
    </row>
    <row r="90" spans="1:50" ht="15.6">
      <c r="A90" s="131" t="s">
        <v>1817</v>
      </c>
      <c r="B90" s="142">
        <v>2.5</v>
      </c>
      <c r="C90" s="142">
        <v>2.5</v>
      </c>
      <c r="D90" s="142">
        <v>2.5</v>
      </c>
      <c r="E90" s="142">
        <v>2.5</v>
      </c>
      <c r="F90" s="142">
        <v>2.2999999999999998</v>
      </c>
      <c r="G90" s="142">
        <v>2.2999999999999998</v>
      </c>
      <c r="H90" s="142">
        <v>2.2999999999999998</v>
      </c>
      <c r="I90" s="142">
        <v>2.2999999999999998</v>
      </c>
      <c r="J90" s="142">
        <v>2.2999999999999998</v>
      </c>
      <c r="K90" s="142">
        <v>2.2999999999999998</v>
      </c>
      <c r="L90" s="142">
        <v>2.2999999999999998</v>
      </c>
      <c r="M90" s="142">
        <v>2.2999999999999998</v>
      </c>
      <c r="N90" s="142">
        <v>2.8</v>
      </c>
      <c r="O90" s="142">
        <v>2.8</v>
      </c>
      <c r="P90" s="142">
        <v>2.8</v>
      </c>
      <c r="Q90" s="142">
        <v>2.8</v>
      </c>
      <c r="R90" s="142">
        <v>5</v>
      </c>
      <c r="S90" s="1712">
        <f>+S89/S86</f>
        <v>9.9999999999999992E-2</v>
      </c>
      <c r="T90" s="1712">
        <f t="shared" ref="T90:V90" si="49">+T89/T86</f>
        <v>0.25714285714285717</v>
      </c>
      <c r="U90" s="1712">
        <f t="shared" si="49"/>
        <v>0.35714285714285715</v>
      </c>
      <c r="V90" s="1712">
        <f t="shared" si="49"/>
        <v>0.5</v>
      </c>
      <c r="W90" s="1712">
        <f>+W89/W86</f>
        <v>0.5</v>
      </c>
      <c r="X90" s="1712">
        <f t="shared" ref="X90:AD90" si="50">+X89/X86</f>
        <v>0.6428571428571429</v>
      </c>
      <c r="Y90" s="1712">
        <f t="shared" si="50"/>
        <v>0.8571428571428571</v>
      </c>
      <c r="Z90" s="1712">
        <f t="shared" si="50"/>
        <v>1</v>
      </c>
      <c r="AA90" s="1712">
        <f t="shared" si="50"/>
        <v>1.5</v>
      </c>
      <c r="AB90" s="1712">
        <f t="shared" si="50"/>
        <v>1.7</v>
      </c>
      <c r="AC90" s="1712">
        <f t="shared" si="50"/>
        <v>1.9000000000000001</v>
      </c>
      <c r="AD90" s="1712">
        <f t="shared" si="50"/>
        <v>2.2000000000000002</v>
      </c>
      <c r="AE90" s="1712">
        <f>+AE89/AE86</f>
        <v>2.5</v>
      </c>
      <c r="AF90" s="1712">
        <f t="shared" ref="AF90:AN90" si="51">+AF89/AF86</f>
        <v>2.6</v>
      </c>
      <c r="AG90" s="1712">
        <f t="shared" si="51"/>
        <v>2.6999999999999997</v>
      </c>
      <c r="AH90" s="1712">
        <f t="shared" si="51"/>
        <v>2.9</v>
      </c>
      <c r="AI90" s="1712">
        <f t="shared" si="51"/>
        <v>3</v>
      </c>
      <c r="AJ90" s="1712">
        <f t="shared" si="51"/>
        <v>3.1</v>
      </c>
      <c r="AK90" s="1712">
        <f t="shared" si="51"/>
        <v>3.1</v>
      </c>
      <c r="AL90" s="1712">
        <f t="shared" si="51"/>
        <v>3.1</v>
      </c>
      <c r="AM90" s="1712">
        <f t="shared" si="51"/>
        <v>3.1</v>
      </c>
      <c r="AN90" s="1712">
        <f t="shared" si="51"/>
        <v>7.2333333333333334</v>
      </c>
      <c r="AO90" s="1712"/>
    </row>
    <row r="91" spans="1:50" ht="15.6">
      <c r="B91" s="1081">
        <f>'Summary Total Pigs'!AF112/17*4</f>
        <v>233.41176470588235</v>
      </c>
      <c r="C91" s="817">
        <f>+B91</f>
        <v>233.41176470588235</v>
      </c>
      <c r="D91" s="817">
        <f t="shared" ref="D91:R91" si="52">+C91</f>
        <v>233.41176470588235</v>
      </c>
      <c r="E91" s="817">
        <f t="shared" si="52"/>
        <v>233.41176470588235</v>
      </c>
      <c r="F91" s="817">
        <f t="shared" si="52"/>
        <v>233.41176470588235</v>
      </c>
      <c r="G91" s="817">
        <f t="shared" si="52"/>
        <v>233.41176470588235</v>
      </c>
      <c r="H91" s="817">
        <f t="shared" si="52"/>
        <v>233.41176470588235</v>
      </c>
      <c r="I91" s="817">
        <f t="shared" si="52"/>
        <v>233.41176470588235</v>
      </c>
      <c r="J91" s="817">
        <f t="shared" si="52"/>
        <v>233.41176470588235</v>
      </c>
      <c r="K91" s="817">
        <f t="shared" si="52"/>
        <v>233.41176470588235</v>
      </c>
      <c r="L91" s="817">
        <f t="shared" si="52"/>
        <v>233.41176470588235</v>
      </c>
      <c r="M91" s="817">
        <f t="shared" si="52"/>
        <v>233.41176470588235</v>
      </c>
      <c r="N91" s="817">
        <f t="shared" si="52"/>
        <v>233.41176470588235</v>
      </c>
      <c r="O91" s="817">
        <f t="shared" si="52"/>
        <v>233.41176470588235</v>
      </c>
      <c r="P91" s="817">
        <f t="shared" si="52"/>
        <v>233.41176470588235</v>
      </c>
      <c r="Q91" s="817">
        <f t="shared" si="52"/>
        <v>233.41176470588235</v>
      </c>
      <c r="R91" s="817">
        <f t="shared" si="52"/>
        <v>233.41176470588235</v>
      </c>
      <c r="S91" s="817">
        <f>+R91</f>
        <v>233.41176470588235</v>
      </c>
      <c r="T91" s="817">
        <f t="shared" ref="T91:V91" si="53">+S91</f>
        <v>233.41176470588235</v>
      </c>
      <c r="U91" s="817">
        <f t="shared" si="53"/>
        <v>233.41176470588235</v>
      </c>
      <c r="V91" s="817">
        <f t="shared" si="53"/>
        <v>233.41176470588235</v>
      </c>
      <c r="W91" s="1059">
        <f t="shared" ref="W91:AJ91" si="54">SUM(W7:Z7)</f>
        <v>2749</v>
      </c>
      <c r="X91" s="1059">
        <f t="shared" si="54"/>
        <v>2824</v>
      </c>
      <c r="Y91" s="1059">
        <f t="shared" si="54"/>
        <v>2769</v>
      </c>
      <c r="Z91" s="1059">
        <f t="shared" si="54"/>
        <v>2668</v>
      </c>
      <c r="AA91" s="1059">
        <f t="shared" si="54"/>
        <v>2597</v>
      </c>
      <c r="AB91" s="1059">
        <f t="shared" si="54"/>
        <v>2600</v>
      </c>
      <c r="AC91" s="1059">
        <f t="shared" si="54"/>
        <v>2593</v>
      </c>
      <c r="AD91" s="1059">
        <f t="shared" si="54"/>
        <v>2600</v>
      </c>
      <c r="AE91" s="1059">
        <f t="shared" si="54"/>
        <v>2542</v>
      </c>
      <c r="AF91" s="1059">
        <f t="shared" si="54"/>
        <v>2556</v>
      </c>
      <c r="AG91" s="1059">
        <f t="shared" si="54"/>
        <v>2570</v>
      </c>
      <c r="AH91" s="1059">
        <f t="shared" si="54"/>
        <v>2540</v>
      </c>
      <c r="AI91" s="1059">
        <f t="shared" si="54"/>
        <v>2585</v>
      </c>
      <c r="AJ91" s="1059">
        <f t="shared" si="54"/>
        <v>2607</v>
      </c>
      <c r="AK91" s="1059">
        <f>SUM(AJ7:AM7)</f>
        <v>2607</v>
      </c>
      <c r="AL91" s="1059">
        <f>SUM(AK7:AN7)</f>
        <v>2561</v>
      </c>
      <c r="AM91" s="1059">
        <f>SUM(AL7:AO7)</f>
        <v>2551</v>
      </c>
      <c r="AN91" s="1059">
        <f>SUM(AM7:AP7)</f>
        <v>2566</v>
      </c>
      <c r="AO91" s="1059"/>
    </row>
    <row r="92" spans="1:50">
      <c r="B92" s="1059">
        <f t="shared" ref="B92:R92" si="55">+B86*B90*B91</f>
        <v>4084.705882352941</v>
      </c>
      <c r="C92" s="1059">
        <f t="shared" si="55"/>
        <v>4084.705882352941</v>
      </c>
      <c r="D92" s="1059">
        <f t="shared" si="55"/>
        <v>4084.705882352941</v>
      </c>
      <c r="E92" s="1059">
        <f t="shared" si="55"/>
        <v>4084.705882352941</v>
      </c>
      <c r="F92" s="1059">
        <f t="shared" si="55"/>
        <v>3757.9294117647055</v>
      </c>
      <c r="G92" s="1059">
        <f t="shared" si="55"/>
        <v>3757.9294117647055</v>
      </c>
      <c r="H92" s="1059">
        <f t="shared" si="55"/>
        <v>3757.9294117647055</v>
      </c>
      <c r="I92" s="1059">
        <f t="shared" si="55"/>
        <v>3757.9294117647055</v>
      </c>
      <c r="J92" s="1059">
        <f t="shared" si="55"/>
        <v>3757.9294117647055</v>
      </c>
      <c r="K92" s="1059">
        <f t="shared" si="55"/>
        <v>3757.9294117647055</v>
      </c>
      <c r="L92" s="1059">
        <f t="shared" si="55"/>
        <v>3757.9294117647055</v>
      </c>
      <c r="M92" s="1059">
        <f t="shared" si="55"/>
        <v>3757.9294117647055</v>
      </c>
      <c r="N92" s="1059">
        <f t="shared" si="55"/>
        <v>4574.8705882352933</v>
      </c>
      <c r="O92" s="1059">
        <f t="shared" si="55"/>
        <v>4574.8705882352933</v>
      </c>
      <c r="P92" s="1059">
        <f t="shared" si="55"/>
        <v>4574.8705882352933</v>
      </c>
      <c r="Q92" s="1059">
        <f t="shared" si="55"/>
        <v>4574.8705882352933</v>
      </c>
      <c r="R92" s="1059">
        <f t="shared" si="55"/>
        <v>8169.411764705882</v>
      </c>
      <c r="S92" s="1059">
        <f>+S86*S90*S91</f>
        <v>70.023529411764699</v>
      </c>
      <c r="T92" s="1059">
        <f>+T86*T90*T91</f>
        <v>420.14117647058828</v>
      </c>
      <c r="U92" s="1059">
        <f>+U86*U90*U91</f>
        <v>583.52941176470586</v>
      </c>
      <c r="V92" s="1059">
        <f>+V86*V90*V91</f>
        <v>816.94117647058818</v>
      </c>
      <c r="W92" s="1059">
        <f t="shared" ref="W92:X92" si="56">+W86*W90*W91</f>
        <v>5498</v>
      </c>
      <c r="X92" s="1059">
        <f t="shared" si="56"/>
        <v>12708</v>
      </c>
      <c r="Y92" s="1059">
        <f>+Y86*Y90*Y91</f>
        <v>16614</v>
      </c>
      <c r="Z92" s="1059">
        <f>+Z86*Z90*Z91</f>
        <v>18676</v>
      </c>
      <c r="AA92" s="1059">
        <f t="shared" ref="AA92:AC92" si="57">+AA86*AA90*AA91</f>
        <v>27268.5</v>
      </c>
      <c r="AB92" s="1059">
        <f t="shared" si="57"/>
        <v>30940</v>
      </c>
      <c r="AC92" s="1059">
        <f t="shared" si="57"/>
        <v>34486.9</v>
      </c>
      <c r="AD92" s="1059">
        <f>+AD86*AD90*AD91</f>
        <v>40040.000000000007</v>
      </c>
      <c r="AE92" s="1059">
        <f>+AE86*AE90*AE91</f>
        <v>44485</v>
      </c>
      <c r="AF92" s="1059">
        <f t="shared" ref="AF92:AI92" si="58">+AF86*AF90*AF91</f>
        <v>46519.199999999997</v>
      </c>
      <c r="AG92" s="1059">
        <f t="shared" si="58"/>
        <v>48572.999999999993</v>
      </c>
      <c r="AH92" s="1059">
        <f>+AH86*AH90*AH91</f>
        <v>51562</v>
      </c>
      <c r="AI92" s="1059">
        <f t="shared" si="58"/>
        <v>23265</v>
      </c>
      <c r="AJ92" s="1059">
        <f>+AJ86*AJ90*AJ91</f>
        <v>32326.799999999999</v>
      </c>
      <c r="AK92" s="1059">
        <f t="shared" ref="AK92:AN92" si="59">+AK86*AK90*AK91</f>
        <v>56571.9</v>
      </c>
      <c r="AL92" s="1059">
        <f t="shared" si="59"/>
        <v>55573.7</v>
      </c>
      <c r="AM92" s="1059">
        <f t="shared" si="59"/>
        <v>55356.7</v>
      </c>
      <c r="AN92" s="1059">
        <f t="shared" si="59"/>
        <v>55682.2</v>
      </c>
      <c r="AO92" s="1059"/>
    </row>
    <row r="93" spans="1:50">
      <c r="R93" s="818">
        <f>SUM(B92:R92)</f>
        <v>72871.152941176479</v>
      </c>
      <c r="W93" s="818">
        <f>SUM(S92:W92)</f>
        <v>7388.6352941176465</v>
      </c>
      <c r="X93" s="818">
        <f>SUM(X92)</f>
        <v>12708</v>
      </c>
      <c r="Z93" s="818">
        <f>SUM(Y92:Z92)</f>
        <v>35290</v>
      </c>
      <c r="AC93" s="818">
        <f>SUM(AA92:AC92)</f>
        <v>92695.4</v>
      </c>
      <c r="AE93" s="818">
        <f>SUM(AD92:AE92)</f>
        <v>84525</v>
      </c>
      <c r="AG93" s="818">
        <f>SUM(AF92:AG92)</f>
        <v>95092.199999999983</v>
      </c>
      <c r="AI93" s="818">
        <f>SUM(AH92:AI92)</f>
        <v>74827</v>
      </c>
      <c r="AJ93" s="818"/>
      <c r="AN93" s="818">
        <f>SUM(AJ92:AN92)</f>
        <v>255511.3</v>
      </c>
      <c r="AO93" s="818"/>
    </row>
    <row r="94" spans="1:50" ht="15.6">
      <c r="B94" s="1715">
        <f>+B92/$R$93</f>
        <v>5.6053811659192813E-2</v>
      </c>
      <c r="C94" s="1715">
        <f t="shared" ref="C94:R94" si="60">+C92/$R$93</f>
        <v>5.6053811659192813E-2</v>
      </c>
      <c r="D94" s="1715">
        <f t="shared" si="60"/>
        <v>5.6053811659192813E-2</v>
      </c>
      <c r="E94" s="1715">
        <f t="shared" si="60"/>
        <v>5.6053811659192813E-2</v>
      </c>
      <c r="F94" s="1715">
        <f t="shared" si="60"/>
        <v>5.1569506726457388E-2</v>
      </c>
      <c r="G94" s="1715">
        <f t="shared" si="60"/>
        <v>5.1569506726457388E-2</v>
      </c>
      <c r="H94" s="1715">
        <f t="shared" si="60"/>
        <v>5.1569506726457388E-2</v>
      </c>
      <c r="I94" s="1715">
        <f t="shared" si="60"/>
        <v>5.1569506726457388E-2</v>
      </c>
      <c r="J94" s="1715">
        <f t="shared" si="60"/>
        <v>5.1569506726457388E-2</v>
      </c>
      <c r="K94" s="1715">
        <f t="shared" si="60"/>
        <v>5.1569506726457388E-2</v>
      </c>
      <c r="L94" s="1715">
        <f t="shared" si="60"/>
        <v>5.1569506726457388E-2</v>
      </c>
      <c r="M94" s="1715">
        <f t="shared" si="60"/>
        <v>5.1569506726457388E-2</v>
      </c>
      <c r="N94" s="1715">
        <f t="shared" si="60"/>
        <v>6.2780269058295951E-2</v>
      </c>
      <c r="O94" s="1715">
        <f t="shared" si="60"/>
        <v>6.2780269058295951E-2</v>
      </c>
      <c r="P94" s="1715">
        <f t="shared" si="60"/>
        <v>6.2780269058295951E-2</v>
      </c>
      <c r="Q94" s="1715">
        <f t="shared" si="60"/>
        <v>6.2780269058295951E-2</v>
      </c>
      <c r="R94" s="1715">
        <f t="shared" si="60"/>
        <v>0.11210762331838563</v>
      </c>
      <c r="S94" s="1715">
        <f>+S92/W93</f>
        <v>9.4771939098838593E-3</v>
      </c>
      <c r="T94" s="1715">
        <f>+T92/W93</f>
        <v>5.6863163459303166E-2</v>
      </c>
      <c r="U94" s="1715">
        <f>+U92/W93</f>
        <v>7.8976615915698836E-2</v>
      </c>
      <c r="V94" s="1715">
        <f>+V92/W93</f>
        <v>0.11056726228197837</v>
      </c>
      <c r="W94" s="1715">
        <f>+W92/W93</f>
        <v>0.74411576443313587</v>
      </c>
      <c r="X94" s="1715">
        <f>+X92/X93</f>
        <v>1</v>
      </c>
      <c r="Y94" s="1715">
        <f>+Y92/Z93</f>
        <v>0.47078492490790591</v>
      </c>
      <c r="Z94" s="1715">
        <f>+Z92/Z93</f>
        <v>0.52921507509209409</v>
      </c>
      <c r="AA94" s="1715">
        <f>+AA92/AC93</f>
        <v>0.29417317364184203</v>
      </c>
      <c r="AB94" s="1715">
        <f>+AB92/AC93</f>
        <v>0.33378139584057032</v>
      </c>
      <c r="AC94" s="1715">
        <f>+AC92/AC93</f>
        <v>0.37204543051758776</v>
      </c>
      <c r="AD94" s="1715">
        <f>+AD92/AE93</f>
        <v>0.47370600414078684</v>
      </c>
      <c r="AE94" s="1715">
        <f>+AE92/AE93</f>
        <v>0.52629399585921322</v>
      </c>
      <c r="AF94" s="1715">
        <f>+AF92/AG93</f>
        <v>0.48920100702265806</v>
      </c>
      <c r="AG94" s="1715">
        <f>+AG92/AG93</f>
        <v>0.51079899297734199</v>
      </c>
      <c r="AH94" s="1715">
        <f>+AH92/AI93</f>
        <v>0.68908281769949353</v>
      </c>
      <c r="AI94" s="1715">
        <f>+AI92/AI93</f>
        <v>0.31091718230050652</v>
      </c>
      <c r="AJ94" s="1715">
        <f>+AJ92/AN93</f>
        <v>0.12651808354464167</v>
      </c>
      <c r="AK94" s="1715">
        <f>+AK92/AN93</f>
        <v>0.22140664620312292</v>
      </c>
      <c r="AL94" s="1715">
        <f>+AL92/AN93</f>
        <v>0.21749996966866045</v>
      </c>
      <c r="AM94" s="1715">
        <f>+AM92/AN93</f>
        <v>0.21665069216116861</v>
      </c>
      <c r="AN94" s="1715">
        <f>+AN92/AN93</f>
        <v>0.21792460842240638</v>
      </c>
      <c r="AO94" s="1715"/>
    </row>
    <row r="97" spans="2:2">
      <c r="B97" s="2001">
        <f>SUM(B94:O94)</f>
        <v>0.76233183856502229</v>
      </c>
    </row>
  </sheetData>
  <pageMargins left="0.70866141732283472" right="0.70866141732283472" top="0.74803149606299213" bottom="0.74803149606299213" header="0.31496062992125984" footer="0.31496062992125984"/>
  <pageSetup paperSize="9" scale="11" orientation="landscape" r:id="rId1"/>
  <colBreaks count="1" manualBreakCount="1">
    <brk id="42" max="85" man="1"/>
  </colBreaks>
  <legacy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AA4A-9CAB-4FF8-804E-82A37076ECC1}">
  <sheetPr>
    <tabColor theme="6" tint="-0.249977111117893"/>
  </sheetPr>
  <dimension ref="A1:BD94"/>
  <sheetViews>
    <sheetView view="pageBreakPreview" zoomScale="60" zoomScaleNormal="100" workbookViewId="0">
      <pane xSplit="1" ySplit="3" topLeftCell="AH29" activePane="bottomRight" state="frozen"/>
      <selection pane="bottomRight" activeCell="AO61" sqref="AO61:AR61"/>
      <selection pane="bottomLeft" activeCell="A4" sqref="A4"/>
      <selection pane="topRight" activeCell="B1" sqref="B1"/>
    </sheetView>
  </sheetViews>
  <sheetFormatPr defaultColWidth="9.140625" defaultRowHeight="15"/>
  <cols>
    <col min="1" max="1" width="36.28515625" style="142" bestFit="1" customWidth="1"/>
    <col min="2" max="2" width="21.28515625" style="142" bestFit="1" customWidth="1"/>
    <col min="3" max="3" width="19.42578125" style="142" bestFit="1" customWidth="1"/>
    <col min="4" max="4" width="21.85546875" style="142" bestFit="1" customWidth="1"/>
    <col min="5" max="5" width="19.42578125" style="142" bestFit="1" customWidth="1"/>
    <col min="6" max="6" width="19" style="142" bestFit="1" customWidth="1"/>
    <col min="7" max="9" width="19.42578125" style="142" bestFit="1" customWidth="1"/>
    <col min="10" max="10" width="19" style="142" bestFit="1" customWidth="1"/>
    <col min="11" max="13" width="21.85546875" style="142" bestFit="1" customWidth="1"/>
    <col min="14" max="14" width="21.28515625" style="142" bestFit="1" customWidth="1"/>
    <col min="15" max="15" width="20.5703125" style="142" bestFit="1" customWidth="1"/>
    <col min="16" max="17" width="21.28515625" style="142" bestFit="1" customWidth="1"/>
    <col min="18" max="18" width="20.140625" style="142" bestFit="1" customWidth="1"/>
    <col min="19" max="20" width="21.85546875" style="142" bestFit="1" customWidth="1"/>
    <col min="21" max="21" width="22.28515625" style="142" bestFit="1" customWidth="1"/>
    <col min="22" max="24" width="21.85546875" style="142" bestFit="1" customWidth="1"/>
    <col min="25" max="25" width="21.28515625" style="142" bestFit="1" customWidth="1"/>
    <col min="26" max="30" width="21.85546875" style="142" bestFit="1" customWidth="1"/>
    <col min="31" max="31" width="21.28515625" style="142" bestFit="1" customWidth="1"/>
    <col min="32" max="34" width="21.85546875" style="142" bestFit="1" customWidth="1"/>
    <col min="35" max="35" width="21.28515625" style="142" bestFit="1" customWidth="1"/>
    <col min="36" max="36" width="21.85546875" style="142" bestFit="1" customWidth="1"/>
    <col min="37" max="37" width="21.28515625" style="142" bestFit="1" customWidth="1"/>
    <col min="38" max="40" width="21.85546875" style="142" bestFit="1" customWidth="1"/>
    <col min="41" max="41" width="21.85546875" style="142" customWidth="1"/>
    <col min="42" max="42" width="21.28515625" style="142" bestFit="1" customWidth="1"/>
    <col min="43" max="43" width="23.28515625" style="142" bestFit="1" customWidth="1"/>
    <col min="44" max="46" width="21.85546875" style="142" bestFit="1" customWidth="1"/>
    <col min="47" max="47" width="20.42578125" style="142" bestFit="1" customWidth="1"/>
    <col min="48" max="48" width="26.28515625" style="142" customWidth="1"/>
    <col min="49" max="49" width="21.85546875" style="142" bestFit="1" customWidth="1"/>
    <col min="50" max="50" width="16.5703125" style="142" customWidth="1"/>
    <col min="51" max="51" width="23.140625" style="142" customWidth="1"/>
    <col min="52" max="53" width="9.140625" style="142"/>
    <col min="54" max="54" width="19.85546875" style="142" bestFit="1" customWidth="1"/>
    <col min="55" max="16384" width="9.140625" style="142"/>
  </cols>
  <sheetData>
    <row r="1" spans="1:56">
      <c r="AU1" s="1057"/>
    </row>
    <row r="2" spans="1:56" ht="15.6">
      <c r="A2" s="1066" t="s">
        <v>1772</v>
      </c>
      <c r="B2" s="142">
        <f>[1]Grasmere!B2</f>
        <v>1</v>
      </c>
      <c r="C2" s="142">
        <f>[1]Grasmere!C2</f>
        <v>2</v>
      </c>
      <c r="D2" s="142">
        <f>[1]Grasmere!D2</f>
        <v>3</v>
      </c>
      <c r="E2" s="142">
        <f>[1]Grasmere!E2</f>
        <v>4</v>
      </c>
      <c r="F2" s="142">
        <f>[1]Grasmere!F2</f>
        <v>5</v>
      </c>
      <c r="G2" s="142">
        <f>[1]Grasmere!G2</f>
        <v>6</v>
      </c>
      <c r="H2" s="142">
        <f>[1]Grasmere!H2</f>
        <v>7</v>
      </c>
      <c r="I2" s="142">
        <f>[1]Grasmere!I2</f>
        <v>8</v>
      </c>
      <c r="J2" s="142">
        <f>[1]Grasmere!J2</f>
        <v>9</v>
      </c>
      <c r="K2" s="142">
        <f>[1]Grasmere!K2</f>
        <v>10</v>
      </c>
      <c r="L2" s="142">
        <f>[1]Grasmere!L2</f>
        <v>11</v>
      </c>
      <c r="M2" s="142">
        <f>[1]Grasmere!M2</f>
        <v>12</v>
      </c>
      <c r="N2" s="142">
        <f>[1]Grasmere!N2</f>
        <v>13</v>
      </c>
      <c r="O2" s="142">
        <f>[1]Grasmere!O2</f>
        <v>14</v>
      </c>
      <c r="P2" s="142">
        <f>[1]Grasmere!P2</f>
        <v>15</v>
      </c>
      <c r="Q2" s="142">
        <f>[1]Grasmere!Q2</f>
        <v>16</v>
      </c>
      <c r="R2" s="142">
        <f>[1]Grasmere!R2</f>
        <v>17</v>
      </c>
      <c r="S2" s="142">
        <f>[1]Grasmere!S2</f>
        <v>18</v>
      </c>
      <c r="T2" s="142">
        <f>[1]Grasmere!T2</f>
        <v>19</v>
      </c>
      <c r="U2" s="142">
        <f>[1]Grasmere!U2</f>
        <v>20</v>
      </c>
      <c r="V2" s="142">
        <f>[1]Grasmere!V2</f>
        <v>21</v>
      </c>
      <c r="W2" s="142">
        <f>[1]Grasmere!W2</f>
        <v>22</v>
      </c>
      <c r="X2" s="142">
        <f>[1]Grasmere!X2</f>
        <v>23</v>
      </c>
      <c r="Y2" s="142">
        <f>[1]Grasmere!Y2</f>
        <v>24</v>
      </c>
      <c r="Z2" s="142">
        <f>[1]Grasmere!Z2</f>
        <v>25</v>
      </c>
      <c r="AA2" s="142">
        <f>[1]Grasmere!AA2</f>
        <v>26</v>
      </c>
      <c r="AB2" s="142">
        <f>[1]Grasmere!AB2</f>
        <v>27</v>
      </c>
      <c r="AC2" s="142">
        <f>[1]Grasmere!AC2</f>
        <v>28</v>
      </c>
      <c r="AD2" s="142">
        <f>[1]Grasmere!AD2</f>
        <v>29</v>
      </c>
      <c r="AE2" s="142">
        <f>[1]Grasmere!AE2</f>
        <v>30</v>
      </c>
      <c r="AF2" s="142">
        <f>[1]Grasmere!AF2</f>
        <v>31</v>
      </c>
      <c r="AG2" s="142">
        <f>[1]Grasmere!AG2</f>
        <v>32</v>
      </c>
      <c r="AH2" s="142">
        <f>[1]Grasmere!AH2</f>
        <v>33</v>
      </c>
      <c r="AI2" s="142">
        <f>[1]Grasmere!AI2</f>
        <v>34</v>
      </c>
      <c r="AJ2" s="142">
        <f>[1]Grasmere!AJ2</f>
        <v>35</v>
      </c>
      <c r="AK2" s="142">
        <f>[1]Grasmere!AK2</f>
        <v>36</v>
      </c>
      <c r="AL2" s="142">
        <f>[1]Grasmere!AL2</f>
        <v>37</v>
      </c>
      <c r="AM2" s="142">
        <f>[1]Grasmere!AM2</f>
        <v>38</v>
      </c>
      <c r="AN2" s="142">
        <f>[1]Grasmere!AN2</f>
        <v>39</v>
      </c>
      <c r="AU2" s="1057"/>
    </row>
    <row r="3" spans="1:56" s="131" customFormat="1" ht="15.6">
      <c r="B3" s="130" t="s">
        <v>1773</v>
      </c>
      <c r="C3" s="130" t="s">
        <v>1773</v>
      </c>
      <c r="D3" s="130" t="s">
        <v>1773</v>
      </c>
      <c r="E3" s="130" t="s">
        <v>1773</v>
      </c>
      <c r="F3" s="130" t="s">
        <v>1773</v>
      </c>
      <c r="G3" s="130" t="s">
        <v>1773</v>
      </c>
      <c r="H3" s="130" t="s">
        <v>1773</v>
      </c>
      <c r="I3" s="130" t="s">
        <v>1773</v>
      </c>
      <c r="J3" s="130" t="s">
        <v>1773</v>
      </c>
      <c r="K3" s="130" t="s">
        <v>1773</v>
      </c>
      <c r="L3" s="130" t="s">
        <v>1773</v>
      </c>
      <c r="M3" s="130" t="s">
        <v>1773</v>
      </c>
      <c r="N3" s="130" t="s">
        <v>1773</v>
      </c>
      <c r="O3" s="130" t="s">
        <v>1773</v>
      </c>
      <c r="P3" s="130" t="s">
        <v>1773</v>
      </c>
      <c r="Q3" s="130" t="s">
        <v>1773</v>
      </c>
      <c r="R3" s="130" t="s">
        <v>1774</v>
      </c>
      <c r="S3" s="130" t="s">
        <v>1775</v>
      </c>
      <c r="T3" s="130" t="s">
        <v>1775</v>
      </c>
      <c r="U3" s="130" t="s">
        <v>1775</v>
      </c>
      <c r="V3" s="130" t="s">
        <v>1776</v>
      </c>
      <c r="W3" s="130" t="s">
        <v>1776</v>
      </c>
      <c r="X3" s="130" t="s">
        <v>1777</v>
      </c>
      <c r="Y3" s="130" t="s">
        <v>1777</v>
      </c>
      <c r="Z3" s="130" t="s">
        <v>108</v>
      </c>
      <c r="AA3" s="130" t="s">
        <v>108</v>
      </c>
      <c r="AB3" s="130" t="s">
        <v>108</v>
      </c>
      <c r="AC3" s="130" t="s">
        <v>108</v>
      </c>
      <c r="AD3" s="130" t="s">
        <v>1778</v>
      </c>
      <c r="AE3" s="130" t="s">
        <v>1778</v>
      </c>
      <c r="AF3" s="130" t="s">
        <v>1779</v>
      </c>
      <c r="AG3" s="130" t="s">
        <v>1779</v>
      </c>
      <c r="AH3" s="130" t="s">
        <v>1780</v>
      </c>
      <c r="AI3" s="130" t="s">
        <v>1780</v>
      </c>
      <c r="AJ3" s="130" t="s">
        <v>1780</v>
      </c>
      <c r="AK3" s="130" t="s">
        <v>1781</v>
      </c>
      <c r="AL3" s="130" t="s">
        <v>1781</v>
      </c>
      <c r="AM3" s="130" t="s">
        <v>1781</v>
      </c>
      <c r="AN3" s="130" t="s">
        <v>1781</v>
      </c>
      <c r="AO3" s="130"/>
      <c r="AP3" s="130"/>
      <c r="AQ3" s="130"/>
      <c r="AR3" s="130"/>
      <c r="AS3" s="130"/>
      <c r="AT3" s="130"/>
      <c r="AU3" s="1086"/>
    </row>
    <row r="4" spans="1:56" ht="15.6">
      <c r="A4" s="1066" t="s">
        <v>1782</v>
      </c>
      <c r="B4" s="1079">
        <f>[1]Grasmere!B4</f>
        <v>23</v>
      </c>
      <c r="C4" s="1079">
        <f>[1]Grasmere!C4</f>
        <v>24</v>
      </c>
      <c r="D4" s="1079">
        <f>[1]Grasmere!D4</f>
        <v>25</v>
      </c>
      <c r="E4" s="1079">
        <f>[1]Grasmere!E4</f>
        <v>26</v>
      </c>
      <c r="F4" s="1079">
        <f>[1]Grasmere!F4</f>
        <v>27</v>
      </c>
      <c r="G4" s="1079">
        <f>[1]Grasmere!G4</f>
        <v>28</v>
      </c>
      <c r="H4" s="1079">
        <f>[1]Grasmere!H4</f>
        <v>29</v>
      </c>
      <c r="I4" s="1079">
        <f>[1]Grasmere!I4</f>
        <v>30</v>
      </c>
      <c r="J4" s="1079">
        <f>[1]Grasmere!J4</f>
        <v>31</v>
      </c>
      <c r="K4" s="1079">
        <f>[1]Grasmere!K4</f>
        <v>32</v>
      </c>
      <c r="L4" s="1079">
        <f>[1]Grasmere!L4</f>
        <v>33</v>
      </c>
      <c r="M4" s="1079">
        <f>[1]Grasmere!M4</f>
        <v>34</v>
      </c>
      <c r="N4" s="1079">
        <f>[1]Grasmere!N4</f>
        <v>35</v>
      </c>
      <c r="O4" s="1079">
        <f>[1]Grasmere!O4</f>
        <v>36</v>
      </c>
      <c r="P4" s="1079">
        <f>[1]Grasmere!P4</f>
        <v>37</v>
      </c>
      <c r="Q4" s="1079">
        <f>[1]Grasmere!Q4</f>
        <v>38</v>
      </c>
      <c r="R4" s="1079">
        <f>[1]Grasmere!R4</f>
        <v>39</v>
      </c>
      <c r="S4" s="1067">
        <f>[1]Grasmere!S4</f>
        <v>40</v>
      </c>
      <c r="T4" s="1079">
        <f>[1]Grasmere!T4</f>
        <v>41</v>
      </c>
      <c r="U4" s="1079">
        <f>[1]Grasmere!U4</f>
        <v>42</v>
      </c>
      <c r="V4" s="1079">
        <f>[1]Grasmere!V4</f>
        <v>43</v>
      </c>
      <c r="W4" s="1079">
        <f>[1]Grasmere!W4</f>
        <v>44</v>
      </c>
      <c r="X4" s="1079">
        <f>[1]Grasmere!X4</f>
        <v>45</v>
      </c>
      <c r="Y4" s="1079">
        <f>[1]Grasmere!Y4</f>
        <v>46</v>
      </c>
      <c r="Z4" s="1079">
        <f>[1]Grasmere!Z4</f>
        <v>47</v>
      </c>
      <c r="AA4" s="1079">
        <f>[1]Grasmere!AA4</f>
        <v>48</v>
      </c>
      <c r="AB4" s="1079">
        <f>[1]Grasmere!AB4</f>
        <v>49</v>
      </c>
      <c r="AC4" s="1079">
        <f>[1]Grasmere!AC4</f>
        <v>50</v>
      </c>
      <c r="AD4" s="1079">
        <f>[1]Grasmere!AD4</f>
        <v>51</v>
      </c>
      <c r="AE4" s="1079">
        <f>[1]Grasmere!AE4</f>
        <v>52</v>
      </c>
      <c r="AF4" s="1079">
        <f>[1]Grasmere!AF4</f>
        <v>1</v>
      </c>
      <c r="AG4" s="1079">
        <f>[1]Grasmere!AG4</f>
        <v>2</v>
      </c>
      <c r="AH4" s="1079">
        <f>[1]Grasmere!AH4</f>
        <v>3</v>
      </c>
      <c r="AI4" s="1079">
        <f>[1]Grasmere!AI4</f>
        <v>4</v>
      </c>
      <c r="AJ4" s="1079">
        <f>[1]Grasmere!AJ4</f>
        <v>5</v>
      </c>
      <c r="AK4" s="1079">
        <f>[1]Grasmere!AK4</f>
        <v>6</v>
      </c>
      <c r="AL4" s="1079">
        <f>[1]Grasmere!AL4</f>
        <v>7</v>
      </c>
      <c r="AM4" s="1079">
        <f>[1]Grasmere!AM4</f>
        <v>8</v>
      </c>
      <c r="AN4" s="1079">
        <f>[1]Grasmere!AN4</f>
        <v>9</v>
      </c>
      <c r="AO4" s="1079"/>
      <c r="AP4" s="1079"/>
      <c r="AQ4" s="1079"/>
      <c r="AR4" s="1079"/>
      <c r="AS4" s="1079"/>
      <c r="AT4" s="1079"/>
      <c r="AU4" s="1068"/>
      <c r="AV4" s="1066"/>
      <c r="AW4" s="1066"/>
      <c r="AX4" s="1066"/>
    </row>
    <row r="5" spans="1:56" ht="15.6">
      <c r="A5" s="1066" t="s">
        <v>1783</v>
      </c>
      <c r="B5" s="1079">
        <f>[1]Grasmere!B5</f>
        <v>-16</v>
      </c>
      <c r="C5" s="1079">
        <f>[1]Grasmere!C5</f>
        <v>-15</v>
      </c>
      <c r="D5" s="1079">
        <f>[1]Grasmere!D5</f>
        <v>-14</v>
      </c>
      <c r="E5" s="1079">
        <f>[1]Grasmere!E5</f>
        <v>-13</v>
      </c>
      <c r="F5" s="1079">
        <f>[1]Grasmere!F5</f>
        <v>-12</v>
      </c>
      <c r="G5" s="1079">
        <f>[1]Grasmere!G5</f>
        <v>-11</v>
      </c>
      <c r="H5" s="1079">
        <f>[1]Grasmere!H5</f>
        <v>-10</v>
      </c>
      <c r="I5" s="1079">
        <f>[1]Grasmere!I5</f>
        <v>-9</v>
      </c>
      <c r="J5" s="1079">
        <f>[1]Grasmere!J5</f>
        <v>-8</v>
      </c>
      <c r="K5" s="1079">
        <f>[1]Grasmere!K5</f>
        <v>-7</v>
      </c>
      <c r="L5" s="1079">
        <f>[1]Grasmere!L5</f>
        <v>-6</v>
      </c>
      <c r="M5" s="1079">
        <f>[1]Grasmere!M5</f>
        <v>-5</v>
      </c>
      <c r="N5" s="1079">
        <f>[1]Grasmere!N5</f>
        <v>-4</v>
      </c>
      <c r="O5" s="1079">
        <f>[1]Grasmere!O5</f>
        <v>-3</v>
      </c>
      <c r="P5" s="1079">
        <f>[1]Grasmere!P5</f>
        <v>-2</v>
      </c>
      <c r="Q5" s="1079">
        <f>[1]Grasmere!Q5</f>
        <v>-1</v>
      </c>
      <c r="R5" s="1079">
        <f>[1]Grasmere!R5</f>
        <v>0</v>
      </c>
      <c r="S5" s="1079">
        <f>[1]Grasmere!S5</f>
        <v>1</v>
      </c>
      <c r="T5" s="1079">
        <f>[1]Grasmere!T5</f>
        <v>2</v>
      </c>
      <c r="U5" s="1079">
        <f>[1]Grasmere!U5</f>
        <v>3</v>
      </c>
      <c r="V5" s="1079">
        <f>[1]Grasmere!V5</f>
        <v>4</v>
      </c>
      <c r="W5" s="1079">
        <f>[1]Grasmere!W5</f>
        <v>5</v>
      </c>
      <c r="X5" s="1079">
        <f>[1]Grasmere!X5</f>
        <v>6</v>
      </c>
      <c r="Y5" s="1079">
        <f>[1]Grasmere!Y5</f>
        <v>7</v>
      </c>
      <c r="Z5" s="1079">
        <f>[1]Grasmere!Z5</f>
        <v>8</v>
      </c>
      <c r="AA5" s="1079">
        <f>[1]Grasmere!AA5</f>
        <v>9</v>
      </c>
      <c r="AB5" s="1079">
        <f>[1]Grasmere!AB5</f>
        <v>10</v>
      </c>
      <c r="AC5" s="1079">
        <f>[1]Grasmere!AC5</f>
        <v>11</v>
      </c>
      <c r="AD5" s="1079">
        <f>[1]Grasmere!AD5</f>
        <v>12</v>
      </c>
      <c r="AE5" s="1079">
        <f>[1]Grasmere!AE5</f>
        <v>13</v>
      </c>
      <c r="AF5" s="1079">
        <f>[1]Grasmere!AF5</f>
        <v>14</v>
      </c>
      <c r="AG5" s="1079">
        <f>[1]Grasmere!AG5</f>
        <v>15</v>
      </c>
      <c r="AH5" s="1079">
        <f>[1]Grasmere!AH5</f>
        <v>16</v>
      </c>
      <c r="AI5" s="1079">
        <f>[1]Grasmere!AI5</f>
        <v>17</v>
      </c>
      <c r="AJ5" s="1079">
        <f>[1]Grasmere!AJ5</f>
        <v>18</v>
      </c>
      <c r="AK5" s="1079">
        <f>[1]Grasmere!AK5</f>
        <v>19</v>
      </c>
      <c r="AL5" s="1079">
        <f>[1]Grasmere!AL5</f>
        <v>20</v>
      </c>
      <c r="AM5" s="1079">
        <f>[1]Grasmere!AM5</f>
        <v>21</v>
      </c>
      <c r="AN5" s="1079">
        <f>[1]Grasmere!AN5</f>
        <v>22</v>
      </c>
      <c r="AO5" s="1079" t="s">
        <v>1784</v>
      </c>
      <c r="AP5" s="1079" t="str">
        <f>[1]Grasmere!AO5</f>
        <v>Sold</v>
      </c>
      <c r="AQ5" s="1079" t="str">
        <f>[1]Grasmere!AP5</f>
        <v>Sold</v>
      </c>
      <c r="AR5" s="1079" t="str">
        <f>[1]Grasmere!AQ5</f>
        <v>Sold</v>
      </c>
      <c r="AS5" s="1079" t="str">
        <f>[1]Grasmere!AR5</f>
        <v>Sold</v>
      </c>
      <c r="AT5" s="1079" t="str">
        <f>[1]Grasmere!AS5</f>
        <v>Sold</v>
      </c>
      <c r="AU5" s="1069" t="s">
        <v>71</v>
      </c>
      <c r="AV5" s="1601" t="s">
        <v>1827</v>
      </c>
      <c r="BD5" s="142" t="s">
        <v>1784</v>
      </c>
    </row>
    <row r="6" spans="1:56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O6" s="1066"/>
      <c r="AU6" s="1057"/>
    </row>
    <row r="7" spans="1:56" ht="15.6">
      <c r="A7" s="1066" t="s">
        <v>1786</v>
      </c>
      <c r="B7" s="1057"/>
      <c r="C7" s="1057"/>
      <c r="D7" s="1057"/>
      <c r="E7" s="1057"/>
      <c r="F7" s="1057"/>
      <c r="G7" s="1057"/>
      <c r="H7" s="1057"/>
      <c r="I7" s="1057"/>
      <c r="J7" s="1057"/>
      <c r="K7" s="1057"/>
      <c r="L7" s="1057"/>
      <c r="M7" s="1057"/>
      <c r="N7" s="1057"/>
      <c r="O7" s="1057"/>
      <c r="P7" s="1057"/>
      <c r="Q7" s="1057"/>
      <c r="R7" s="1057"/>
      <c r="S7" s="1057"/>
      <c r="T7" s="1057"/>
      <c r="U7" s="1057"/>
      <c r="V7" s="1057">
        <v>19</v>
      </c>
      <c r="W7" s="1057">
        <f>'[2]Multiplier Pig Cost '!S29-19</f>
        <v>245</v>
      </c>
      <c r="X7" s="1057">
        <f>'[2]Multiplier Pig Cost '!T29</f>
        <v>261</v>
      </c>
      <c r="Y7" s="1057">
        <f>'[2]Multiplier Pig Cost '!U29</f>
        <v>215</v>
      </c>
      <c r="Z7" s="1057">
        <f>'[2]Multiplier Pig Cost '!V29</f>
        <v>288</v>
      </c>
      <c r="AA7" s="1057">
        <f>'[2]Multiplier Pig Cost '!W29</f>
        <v>195</v>
      </c>
      <c r="AB7" s="1057">
        <f>'[2]Multiplier Pig Cost '!X29</f>
        <v>173</v>
      </c>
      <c r="AC7" s="1057">
        <f>'[2]Multiplier Pig Cost '!Y29</f>
        <v>206</v>
      </c>
      <c r="AD7" s="1057">
        <f>'[2]Multiplier Pig Cost '!Z29</f>
        <v>201</v>
      </c>
      <c r="AE7" s="1057">
        <f>'[2]Multiplier Pig Cost '!AA29</f>
        <v>188</v>
      </c>
      <c r="AF7" s="1057">
        <f>'[2]Multiplier Pig Cost '!AB29</f>
        <v>225</v>
      </c>
      <c r="AG7" s="1057">
        <f>'[2]Multiplier Pig Cost '!AC29</f>
        <v>232</v>
      </c>
      <c r="AH7" s="1057">
        <f>'[2]Multiplier Pig Cost '!AD29</f>
        <v>227</v>
      </c>
      <c r="AI7" s="1057">
        <f>'[2]Multiplier Pig Cost '!AE29</f>
        <v>226</v>
      </c>
      <c r="AJ7" s="1057">
        <f>'[2]Multiplier Pig Cost '!AF29</f>
        <v>234</v>
      </c>
      <c r="AK7" s="1057">
        <f>'[2]Multiplier Pig Cost '!AG29</f>
        <v>237</v>
      </c>
      <c r="AL7" s="1057">
        <f>'[2]Multiplier Pig Cost '!AH29</f>
        <v>199</v>
      </c>
      <c r="AM7" s="1057">
        <f>'[2]Multiplier Pig Cost '!AI29</f>
        <v>207</v>
      </c>
      <c r="AN7" s="1057">
        <f>'[2]Multiplier Pig Cost '!AJ29</f>
        <v>234</v>
      </c>
      <c r="AO7" s="1057">
        <f>'[2]Multiplier Pig Cost '!AK29</f>
        <v>222</v>
      </c>
      <c r="AP7" s="1057">
        <f>'[2]Multiplier Pig Cost '!AL29</f>
        <v>226</v>
      </c>
      <c r="AQ7" s="1057">
        <f>'[2]Multiplier Pig Cost '!AM29</f>
        <v>235</v>
      </c>
      <c r="AR7" s="1057">
        <f>'[2]Multiplier Pig Cost '!AN29</f>
        <v>238</v>
      </c>
      <c r="AS7" s="1057">
        <f>'[2]Multiplier Pig Cost '!AO29</f>
        <v>0</v>
      </c>
      <c r="AT7" s="1057">
        <f>'[2]Multiplier Pig Cost '!AP29</f>
        <v>0</v>
      </c>
      <c r="AU7" s="1057">
        <f>SUM(V7:AT7)</f>
        <v>4933</v>
      </c>
      <c r="AV7" s="1057">
        <f>'[2]Multiplier Pig Cost '!AU29</f>
        <v>4933</v>
      </c>
      <c r="AW7" s="1772">
        <f t="shared" ref="AW7:AW28" si="0">AU7-AV7</f>
        <v>0</v>
      </c>
      <c r="AX7" s="818"/>
      <c r="BD7" s="1790">
        <v>7</v>
      </c>
    </row>
    <row r="8" spans="1:56" ht="15.6">
      <c r="A8" s="1066" t="s">
        <v>1787</v>
      </c>
      <c r="B8" s="1057">
        <v>0</v>
      </c>
      <c r="C8" s="807"/>
      <c r="D8" s="807"/>
      <c r="E8" s="807"/>
      <c r="F8" s="807"/>
      <c r="G8" s="807"/>
      <c r="H8" s="807"/>
      <c r="I8" s="807"/>
      <c r="J8" s="807"/>
      <c r="K8" s="807"/>
      <c r="L8" s="807"/>
      <c r="M8" s="807"/>
      <c r="N8" s="807"/>
      <c r="O8" s="807"/>
      <c r="P8" s="807"/>
      <c r="Q8" s="807"/>
      <c r="R8" s="807"/>
      <c r="S8" s="807">
        <f>11-1+17-1+48-8+34-5+63-4+99-13</f>
        <v>240</v>
      </c>
      <c r="T8" s="807">
        <f>57-3+19-2+32-3+85-2+86-3+89-6</f>
        <v>349</v>
      </c>
      <c r="U8" s="807">
        <f>18-2+42-5+74-7+60-6+100-8+77-26+19</f>
        <v>336</v>
      </c>
      <c r="V8" s="807">
        <f>82-9+99-7+82-4+68-3+11</f>
        <v>319</v>
      </c>
      <c r="W8" s="807">
        <f>60-8</f>
        <v>52</v>
      </c>
      <c r="X8" s="807"/>
      <c r="Y8" s="807"/>
      <c r="Z8" s="807"/>
      <c r="AA8" s="807"/>
      <c r="AB8" s="807"/>
      <c r="AC8" s="807"/>
      <c r="AD8" s="807"/>
      <c r="AE8" s="807"/>
      <c r="AF8" s="807"/>
      <c r="AG8" s="807"/>
      <c r="AH8" s="807"/>
      <c r="AI8" s="807"/>
      <c r="AJ8" s="807"/>
      <c r="AK8" s="807"/>
      <c r="AL8" s="807"/>
      <c r="AM8" s="807"/>
      <c r="AN8" s="807"/>
      <c r="AO8" s="807"/>
      <c r="AP8" s="1693"/>
      <c r="AQ8" s="1693"/>
      <c r="AR8" s="1693"/>
      <c r="AS8" s="1693"/>
      <c r="AT8" s="1693"/>
      <c r="AU8" s="1057">
        <f>SUM(S8:AT8)</f>
        <v>1296</v>
      </c>
      <c r="AV8" s="817">
        <f>'Summary Total Pigs'!J165</f>
        <v>1296</v>
      </c>
      <c r="AW8" s="1170">
        <f>AU8-AV8</f>
        <v>0</v>
      </c>
      <c r="AX8" s="818"/>
    </row>
    <row r="9" spans="1:56" ht="15.6">
      <c r="A9" s="1066" t="s">
        <v>212</v>
      </c>
      <c r="B9" s="1057"/>
      <c r="C9" s="807"/>
      <c r="D9" s="807"/>
      <c r="E9" s="807"/>
      <c r="F9" s="807"/>
      <c r="G9" s="807"/>
      <c r="H9" s="807"/>
      <c r="I9" s="807"/>
      <c r="J9" s="807"/>
      <c r="K9" s="807"/>
      <c r="L9" s="807"/>
      <c r="M9" s="807"/>
      <c r="N9" s="807"/>
      <c r="O9" s="807"/>
      <c r="P9" s="807"/>
      <c r="Q9" s="807"/>
      <c r="R9" s="807"/>
      <c r="S9" s="807"/>
      <c r="T9" s="807"/>
      <c r="U9" s="807"/>
      <c r="V9" s="807"/>
      <c r="W9" s="807"/>
      <c r="X9" s="807"/>
      <c r="Y9" s="807"/>
      <c r="Z9" s="807"/>
      <c r="AA9" s="807"/>
      <c r="AB9" s="807"/>
      <c r="AC9" s="807"/>
      <c r="AD9" s="807"/>
      <c r="AE9" s="807"/>
      <c r="AF9" s="807"/>
      <c r="AG9" s="807"/>
      <c r="AH9" s="807"/>
      <c r="AI9" s="807"/>
      <c r="AJ9" s="807"/>
      <c r="AK9" s="807"/>
      <c r="AL9" s="807"/>
      <c r="AM9" s="807"/>
      <c r="AN9" s="807"/>
      <c r="AO9" s="807"/>
      <c r="AP9" s="1693"/>
      <c r="AQ9" s="1693"/>
      <c r="AR9" s="1693"/>
      <c r="AS9" s="1693"/>
      <c r="AT9" s="1693"/>
      <c r="AU9" s="1057">
        <f>SUM(S9:AT9)</f>
        <v>0</v>
      </c>
      <c r="AV9" s="817"/>
      <c r="AW9" s="818"/>
      <c r="AX9" s="818"/>
    </row>
    <row r="10" spans="1:56" ht="15.6">
      <c r="A10" s="1066" t="s">
        <v>1788</v>
      </c>
      <c r="B10" s="1057"/>
      <c r="C10" s="807"/>
      <c r="D10" s="807"/>
      <c r="E10" s="807"/>
      <c r="F10" s="807"/>
      <c r="G10" s="807"/>
      <c r="H10" s="807"/>
      <c r="I10" s="807"/>
      <c r="J10" s="807"/>
      <c r="K10" s="807"/>
      <c r="L10" s="807"/>
      <c r="M10" s="807"/>
      <c r="N10" s="807"/>
      <c r="O10" s="807"/>
      <c r="P10" s="807"/>
      <c r="Q10" s="807"/>
      <c r="R10" s="807"/>
      <c r="S10" s="807"/>
      <c r="T10" s="807"/>
      <c r="U10" s="807"/>
      <c r="V10" s="807"/>
      <c r="W10" s="807"/>
      <c r="X10" s="807"/>
      <c r="Y10" s="807"/>
      <c r="Z10" s="807"/>
      <c r="AA10" s="807"/>
      <c r="AB10" s="807"/>
      <c r="AC10" s="807"/>
      <c r="AD10" s="807"/>
      <c r="AE10" s="807"/>
      <c r="AF10" s="807"/>
      <c r="AG10" s="807"/>
      <c r="AH10" s="807"/>
      <c r="AI10" s="807"/>
      <c r="AJ10" s="807"/>
      <c r="AK10" s="807"/>
      <c r="AL10" s="807"/>
      <c r="AM10" s="807"/>
      <c r="AN10" s="807"/>
      <c r="AO10" s="807"/>
      <c r="AP10" s="1693"/>
      <c r="AQ10" s="1693"/>
      <c r="AR10" s="1693"/>
      <c r="AS10" s="1693"/>
      <c r="AT10" s="1693"/>
      <c r="AU10" s="1057">
        <f>SUM(S10:AT10)</f>
        <v>0</v>
      </c>
      <c r="AV10" s="817"/>
      <c r="AW10" s="818"/>
      <c r="AX10" s="818"/>
    </row>
    <row r="11" spans="1:56" s="131" customFormat="1" ht="15.6">
      <c r="A11" s="1066" t="s">
        <v>1789</v>
      </c>
      <c r="B11" s="1068">
        <f t="shared" ref="B11:R11" si="1">SUM(B7:B9)</f>
        <v>0</v>
      </c>
      <c r="C11" s="1068">
        <f t="shared" si="1"/>
        <v>0</v>
      </c>
      <c r="D11" s="1068">
        <f t="shared" si="1"/>
        <v>0</v>
      </c>
      <c r="E11" s="1068">
        <f t="shared" si="1"/>
        <v>0</v>
      </c>
      <c r="F11" s="1068">
        <f t="shared" si="1"/>
        <v>0</v>
      </c>
      <c r="G11" s="1068">
        <f t="shared" si="1"/>
        <v>0</v>
      </c>
      <c r="H11" s="1068">
        <f t="shared" si="1"/>
        <v>0</v>
      </c>
      <c r="I11" s="1068">
        <f t="shared" si="1"/>
        <v>0</v>
      </c>
      <c r="J11" s="1068">
        <f t="shared" si="1"/>
        <v>0</v>
      </c>
      <c r="K11" s="1068">
        <f t="shared" si="1"/>
        <v>0</v>
      </c>
      <c r="L11" s="1068">
        <f t="shared" si="1"/>
        <v>0</v>
      </c>
      <c r="M11" s="1068">
        <f t="shared" si="1"/>
        <v>0</v>
      </c>
      <c r="N11" s="1068">
        <f t="shared" si="1"/>
        <v>0</v>
      </c>
      <c r="O11" s="1068">
        <f t="shared" si="1"/>
        <v>0</v>
      </c>
      <c r="P11" s="1068">
        <f t="shared" si="1"/>
        <v>0</v>
      </c>
      <c r="Q11" s="1068">
        <f t="shared" si="1"/>
        <v>0</v>
      </c>
      <c r="R11" s="1068">
        <f t="shared" si="1"/>
        <v>0</v>
      </c>
      <c r="S11" s="1068">
        <f t="shared" ref="S11:AM11" si="2">SUM(S7:S10)</f>
        <v>240</v>
      </c>
      <c r="T11" s="1068">
        <f t="shared" si="2"/>
        <v>349</v>
      </c>
      <c r="U11" s="1068">
        <f t="shared" si="2"/>
        <v>336</v>
      </c>
      <c r="V11" s="1068">
        <f t="shared" si="2"/>
        <v>338</v>
      </c>
      <c r="W11" s="1068">
        <f>SUM(W7:W10)</f>
        <v>297</v>
      </c>
      <c r="X11" s="1068">
        <f>SUM(X7:X10)</f>
        <v>261</v>
      </c>
      <c r="Y11" s="1068">
        <f t="shared" si="2"/>
        <v>215</v>
      </c>
      <c r="Z11" s="1068">
        <f t="shared" si="2"/>
        <v>288</v>
      </c>
      <c r="AA11" s="1068">
        <f t="shared" si="2"/>
        <v>195</v>
      </c>
      <c r="AB11" s="1068">
        <f t="shared" si="2"/>
        <v>173</v>
      </c>
      <c r="AC11" s="1068">
        <f t="shared" si="2"/>
        <v>206</v>
      </c>
      <c r="AD11" s="1068">
        <f t="shared" si="2"/>
        <v>201</v>
      </c>
      <c r="AE11" s="1068">
        <f t="shared" si="2"/>
        <v>188</v>
      </c>
      <c r="AF11" s="1068">
        <f t="shared" si="2"/>
        <v>225</v>
      </c>
      <c r="AG11" s="1068">
        <f t="shared" si="2"/>
        <v>232</v>
      </c>
      <c r="AH11" s="1068">
        <f t="shared" si="2"/>
        <v>227</v>
      </c>
      <c r="AI11" s="1068">
        <f t="shared" si="2"/>
        <v>226</v>
      </c>
      <c r="AJ11" s="1068">
        <f t="shared" si="2"/>
        <v>234</v>
      </c>
      <c r="AK11" s="1068">
        <f t="shared" si="2"/>
        <v>237</v>
      </c>
      <c r="AL11" s="1068">
        <f t="shared" si="2"/>
        <v>199</v>
      </c>
      <c r="AM11" s="1068">
        <f t="shared" si="2"/>
        <v>207</v>
      </c>
      <c r="AN11" s="1068">
        <f>SUM(AN7:AN10)</f>
        <v>234</v>
      </c>
      <c r="AO11" s="1068">
        <f>SUM(AO7:AO10)</f>
        <v>222</v>
      </c>
      <c r="AP11" s="1695">
        <f t="shared" ref="AP11:AT11" si="3">SUM(AP7:AP10)</f>
        <v>226</v>
      </c>
      <c r="AQ11" s="1695">
        <f t="shared" si="3"/>
        <v>235</v>
      </c>
      <c r="AR11" s="1695">
        <f t="shared" si="3"/>
        <v>238</v>
      </c>
      <c r="AS11" s="1695">
        <f t="shared" si="3"/>
        <v>0</v>
      </c>
      <c r="AT11" s="1695">
        <f t="shared" si="3"/>
        <v>0</v>
      </c>
      <c r="AU11" s="1086">
        <f>SUM(B11:AT11)</f>
        <v>6229</v>
      </c>
      <c r="AV11" s="1068">
        <f>SUM(AV7:AV10)</f>
        <v>6229</v>
      </c>
      <c r="AW11" s="1576">
        <f>AU11-AV11</f>
        <v>0</v>
      </c>
      <c r="AX11" s="1066"/>
      <c r="BD11" s="131">
        <v>7</v>
      </c>
    </row>
    <row r="12" spans="1:56" ht="15.6">
      <c r="A12" s="1100" t="str">
        <f>+'Grasmere Pig Cost'!A12</f>
        <v>Transfers Lionshead</v>
      </c>
      <c r="B12" s="1282"/>
      <c r="C12" s="1282"/>
      <c r="D12" s="1282"/>
      <c r="E12" s="1282"/>
      <c r="F12" s="1282"/>
      <c r="G12" s="1282"/>
      <c r="H12" s="1282"/>
      <c r="I12" s="1282"/>
      <c r="J12" s="1282"/>
      <c r="K12" s="1282"/>
      <c r="L12" s="1282"/>
      <c r="M12" s="1282"/>
      <c r="N12" s="1282"/>
      <c r="O12" s="1282"/>
      <c r="P12" s="1282"/>
      <c r="Q12" s="1282"/>
      <c r="R12" s="1282"/>
      <c r="S12" s="817"/>
      <c r="T12" s="817"/>
      <c r="U12" s="817"/>
      <c r="V12" s="817"/>
      <c r="W12" s="817"/>
      <c r="X12" s="817"/>
      <c r="Y12" s="817"/>
      <c r="Z12" s="817"/>
      <c r="AA12" s="817"/>
      <c r="AB12" s="817"/>
      <c r="AC12" s="817"/>
      <c r="AD12" s="817"/>
      <c r="AE12" s="817"/>
      <c r="AF12" s="817"/>
      <c r="AG12" s="817"/>
      <c r="AH12" s="817"/>
      <c r="AI12" s="817"/>
      <c r="AJ12" s="817"/>
      <c r="AK12" s="817"/>
      <c r="AL12" s="817"/>
      <c r="AM12" s="817"/>
      <c r="AN12" s="817"/>
      <c r="AO12" s="817"/>
      <c r="AP12" s="817"/>
      <c r="AQ12" s="817"/>
      <c r="AR12" s="817"/>
      <c r="AS12" s="817"/>
      <c r="AT12" s="817"/>
      <c r="AU12" s="807">
        <f t="shared" ref="AU12:AU26" si="4">SUM(S12:AT12)</f>
        <v>0</v>
      </c>
      <c r="AV12" s="817"/>
      <c r="AW12" s="1170">
        <f>AU12-AV12</f>
        <v>0</v>
      </c>
      <c r="AX12" s="1066"/>
    </row>
    <row r="13" spans="1:56" ht="15.6">
      <c r="A13" s="1100" t="str">
        <f>+'Grasmere Pig Cost'!A13</f>
        <v>Transfers Lionshead Ext.</v>
      </c>
      <c r="B13" s="1282"/>
      <c r="C13" s="1282"/>
      <c r="D13" s="1282"/>
      <c r="E13" s="1282"/>
      <c r="F13" s="1282"/>
      <c r="G13" s="1282"/>
      <c r="H13" s="1282"/>
      <c r="I13" s="1282"/>
      <c r="J13" s="1282"/>
      <c r="K13" s="1282"/>
      <c r="L13" s="1282"/>
      <c r="M13" s="1282"/>
      <c r="N13" s="1282"/>
      <c r="O13" s="1282"/>
      <c r="P13" s="1282"/>
      <c r="Q13" s="1282"/>
      <c r="R13" s="1282"/>
      <c r="S13" s="817"/>
      <c r="T13" s="817"/>
      <c r="U13" s="817"/>
      <c r="V13" s="817"/>
      <c r="W13" s="817"/>
      <c r="X13" s="817"/>
      <c r="Y13" s="817"/>
      <c r="Z13" s="817"/>
      <c r="AA13" s="817"/>
      <c r="AB13" s="817"/>
      <c r="AC13" s="817"/>
      <c r="AD13" s="817"/>
      <c r="AE13" s="817"/>
      <c r="AF13" s="817"/>
      <c r="AG13" s="817"/>
      <c r="AH13" s="817"/>
      <c r="AI13" s="817"/>
      <c r="AJ13" s="817"/>
      <c r="AK13" s="817"/>
      <c r="AL13" s="817"/>
      <c r="AM13" s="817"/>
      <c r="AN13" s="817"/>
      <c r="AO13" s="817"/>
      <c r="AP13" s="817"/>
      <c r="AQ13" s="817"/>
      <c r="AR13" s="817"/>
      <c r="AS13" s="817"/>
      <c r="AT13" s="817"/>
      <c r="AU13" s="807">
        <f t="shared" si="4"/>
        <v>0</v>
      </c>
      <c r="AV13" s="817">
        <f>+'Summary Total Pigs'!Q165</f>
        <v>0</v>
      </c>
      <c r="AW13" s="1170">
        <f>AU13-AV13</f>
        <v>0</v>
      </c>
      <c r="AX13" s="1066"/>
    </row>
    <row r="14" spans="1:56" ht="15.6">
      <c r="A14" s="1100" t="str">
        <f>+'Grasmere Pig Cost'!A14</f>
        <v>Transfers  Richlands</v>
      </c>
      <c r="B14" s="1282"/>
      <c r="C14" s="1282"/>
      <c r="D14" s="1282"/>
      <c r="E14" s="1282"/>
      <c r="F14" s="1282"/>
      <c r="G14" s="1282"/>
      <c r="H14" s="1282"/>
      <c r="I14" s="1282"/>
      <c r="J14" s="1282"/>
      <c r="K14" s="1282"/>
      <c r="L14" s="1282"/>
      <c r="M14" s="1282"/>
      <c r="N14" s="1282"/>
      <c r="O14" s="1282"/>
      <c r="P14" s="1282"/>
      <c r="Q14" s="1282"/>
      <c r="R14" s="1282"/>
      <c r="S14" s="1282"/>
      <c r="T14" s="1282"/>
      <c r="U14" s="1282"/>
      <c r="V14" s="1283"/>
      <c r="W14" s="1283"/>
      <c r="X14" s="1283"/>
      <c r="Y14" s="807"/>
      <c r="Z14" s="807"/>
      <c r="AA14" s="807"/>
      <c r="AB14" s="807"/>
      <c r="AC14" s="807"/>
      <c r="AD14" s="1283"/>
      <c r="AE14" s="1283"/>
      <c r="AF14" s="1283"/>
      <c r="AG14" s="1282"/>
      <c r="AH14" s="1282"/>
      <c r="AI14" s="1282"/>
      <c r="AJ14" s="1282"/>
      <c r="AK14" s="1282"/>
      <c r="AL14" s="1283"/>
      <c r="AM14" s="1283"/>
      <c r="AN14" s="1283"/>
      <c r="AO14" s="1283"/>
      <c r="AP14" s="1695"/>
      <c r="AQ14" s="1695"/>
      <c r="AR14" s="1695"/>
      <c r="AS14" s="1695"/>
      <c r="AT14" s="1695"/>
      <c r="AU14" s="807">
        <f t="shared" si="4"/>
        <v>0</v>
      </c>
      <c r="AV14" s="817">
        <v>0</v>
      </c>
      <c r="AW14" s="1170">
        <f t="shared" si="0"/>
        <v>0</v>
      </c>
      <c r="AX14" s="1066"/>
    </row>
    <row r="15" spans="1:56" ht="15.6">
      <c r="A15" s="1100" t="str">
        <f>+'Grasmere Pig Cost'!A15</f>
        <v>Transfers Learig</v>
      </c>
      <c r="B15" s="1282"/>
      <c r="C15" s="1282"/>
      <c r="D15" s="1282"/>
      <c r="E15" s="1282"/>
      <c r="F15" s="1282"/>
      <c r="G15" s="1282"/>
      <c r="H15" s="1282"/>
      <c r="I15" s="1282"/>
      <c r="J15" s="1282"/>
      <c r="K15" s="1282"/>
      <c r="L15" s="1282"/>
      <c r="M15" s="1282"/>
      <c r="N15" s="1282"/>
      <c r="O15" s="1282"/>
      <c r="P15" s="1282"/>
      <c r="Q15" s="1282"/>
      <c r="R15" s="1282"/>
      <c r="S15" s="1282"/>
      <c r="T15" s="1282"/>
      <c r="U15" s="1283"/>
      <c r="V15" s="1283"/>
      <c r="W15" s="1283"/>
      <c r="X15" s="1283"/>
      <c r="Y15" s="1283"/>
      <c r="Z15" s="1283"/>
      <c r="AA15" s="1283"/>
      <c r="AB15" s="1283"/>
      <c r="AC15" s="1283"/>
      <c r="AD15" s="807"/>
      <c r="AF15" s="1283"/>
      <c r="AG15" s="807"/>
      <c r="AH15" s="1282"/>
      <c r="AI15" s="1282"/>
      <c r="AJ15" s="1282"/>
      <c r="AK15" s="1282"/>
      <c r="AL15" s="1282"/>
      <c r="AM15" s="1282"/>
      <c r="AN15" s="1282"/>
      <c r="AO15" s="1282"/>
      <c r="AP15" s="1695"/>
      <c r="AQ15" s="1695"/>
      <c r="AR15" s="1695"/>
      <c r="AS15" s="1695"/>
      <c r="AT15" s="1695"/>
      <c r="AU15" s="807">
        <f t="shared" si="4"/>
        <v>0</v>
      </c>
      <c r="AV15" s="817">
        <f>SUM('Summary Total Pigs'!H165:H167,'Summary Total Pigs'!R165:R167)</f>
        <v>0</v>
      </c>
      <c r="AW15" s="1170">
        <f t="shared" si="0"/>
        <v>0</v>
      </c>
      <c r="AX15" s="1066"/>
      <c r="AY15" s="142">
        <f>238+236+224</f>
        <v>698</v>
      </c>
    </row>
    <row r="16" spans="1:56" ht="15.6">
      <c r="A16" s="1100" t="s">
        <v>1830</v>
      </c>
      <c r="B16" s="1282"/>
      <c r="C16" s="1282"/>
      <c r="D16" s="1282"/>
      <c r="E16" s="1282"/>
      <c r="F16" s="1282"/>
      <c r="G16" s="1282"/>
      <c r="H16" s="1282"/>
      <c r="I16" s="1282"/>
      <c r="J16" s="1282"/>
      <c r="K16" s="1282"/>
      <c r="L16" s="1282"/>
      <c r="M16" s="1282"/>
      <c r="N16" s="1282"/>
      <c r="O16" s="1282"/>
      <c r="P16" s="1282"/>
      <c r="Q16" s="1282"/>
      <c r="R16" s="1282"/>
      <c r="S16" s="1282"/>
      <c r="T16" s="1282"/>
      <c r="U16" s="1282"/>
      <c r="V16" s="1282"/>
      <c r="W16" s="1282"/>
      <c r="X16" s="1283"/>
      <c r="Y16" s="1283"/>
      <c r="Z16" s="1283">
        <v>-1</v>
      </c>
      <c r="AA16" s="1283">
        <v>-1</v>
      </c>
      <c r="AB16" s="1282">
        <v>-1</v>
      </c>
      <c r="AC16" s="1282">
        <v>-1</v>
      </c>
      <c r="AD16" s="1282">
        <v>-1</v>
      </c>
      <c r="AE16" s="1282"/>
      <c r="AF16" s="1282">
        <v>-1</v>
      </c>
      <c r="AG16" s="1282"/>
      <c r="AH16" s="1282">
        <v>-1</v>
      </c>
      <c r="AI16" s="1282"/>
      <c r="AJ16" s="1282">
        <v>-1</v>
      </c>
      <c r="AK16" s="1282"/>
      <c r="AL16" s="1282">
        <v>-1</v>
      </c>
      <c r="AM16" s="1282"/>
      <c r="AN16" s="1282">
        <v>-1</v>
      </c>
      <c r="AO16" s="1282"/>
      <c r="AP16" s="1695">
        <v>-1</v>
      </c>
      <c r="AQ16" s="1695"/>
      <c r="AR16" s="1695"/>
      <c r="AS16" s="1695"/>
      <c r="AT16" s="1695"/>
      <c r="AU16" s="807">
        <f t="shared" si="4"/>
        <v>-11</v>
      </c>
      <c r="AV16" s="817">
        <f>+'Summary Total Pigs'!V171</f>
        <v>-11</v>
      </c>
      <c r="AW16" s="1170">
        <f t="shared" si="0"/>
        <v>0</v>
      </c>
      <c r="AX16" s="1066"/>
    </row>
    <row r="17" spans="1:56" ht="15.6">
      <c r="A17" s="1100" t="str">
        <f>+'Grasmere Pig Cost'!A17</f>
        <v>Transfers Porta</v>
      </c>
      <c r="B17" s="1282"/>
      <c r="C17" s="1282"/>
      <c r="D17" s="1282"/>
      <c r="E17" s="1282"/>
      <c r="F17" s="1282"/>
      <c r="G17" s="1282"/>
      <c r="H17" s="1282"/>
      <c r="I17" s="1282"/>
      <c r="J17" s="1282"/>
      <c r="K17" s="1282"/>
      <c r="L17" s="1282"/>
      <c r="M17" s="1282"/>
      <c r="N17" s="1282"/>
      <c r="O17" s="1282"/>
      <c r="P17" s="1282"/>
      <c r="Q17" s="1282"/>
      <c r="R17" s="1282"/>
      <c r="S17" s="1282"/>
      <c r="T17" s="1282"/>
      <c r="U17" s="1282"/>
      <c r="V17" s="1282"/>
      <c r="W17" s="1282">
        <v>0</v>
      </c>
      <c r="X17" s="1283"/>
      <c r="Y17" s="1283"/>
      <c r="Z17" s="1283"/>
      <c r="AA17" s="1283"/>
      <c r="AB17" s="1282"/>
      <c r="AC17" s="1282"/>
      <c r="AD17" s="1282"/>
      <c r="AE17" s="1282"/>
      <c r="AF17" s="1282"/>
      <c r="AG17" s="1282"/>
      <c r="AH17" s="1282"/>
      <c r="AI17" s="1282"/>
      <c r="AJ17" s="1282"/>
      <c r="AK17" s="1282"/>
      <c r="AL17" s="1282"/>
      <c r="AM17" s="1282"/>
      <c r="AN17" s="1282"/>
      <c r="AO17" s="1282"/>
      <c r="AP17" s="1695"/>
      <c r="AQ17" s="1695"/>
      <c r="AR17" s="1695"/>
      <c r="AS17" s="1695"/>
      <c r="AT17" s="1695"/>
      <c r="AU17" s="807">
        <f t="shared" si="4"/>
        <v>0</v>
      </c>
      <c r="AV17" s="817"/>
      <c r="AW17" s="1170">
        <f t="shared" si="0"/>
        <v>0</v>
      </c>
      <c r="AX17" s="1066"/>
    </row>
    <row r="18" spans="1:56" ht="15.6">
      <c r="A18" s="1100" t="s">
        <v>1794</v>
      </c>
      <c r="B18" s="1282"/>
      <c r="C18" s="1282"/>
      <c r="D18" s="1282"/>
      <c r="E18" s="1282"/>
      <c r="F18" s="1282"/>
      <c r="G18" s="1282"/>
      <c r="H18" s="1282"/>
      <c r="I18" s="1282"/>
      <c r="J18" s="1282"/>
      <c r="K18" s="1282"/>
      <c r="L18" s="1282"/>
      <c r="M18" s="1282"/>
      <c r="N18" s="1282"/>
      <c r="O18" s="1282"/>
      <c r="P18" s="1282"/>
      <c r="Q18" s="1282"/>
      <c r="R18" s="1282"/>
      <c r="S18" s="1282"/>
      <c r="T18" s="1282"/>
      <c r="U18" s="1282"/>
      <c r="V18" s="1282"/>
      <c r="W18" s="1282"/>
      <c r="X18" s="1283"/>
      <c r="Y18" s="1283"/>
      <c r="Z18" s="1283"/>
      <c r="AA18" s="1283"/>
      <c r="AB18" s="1282"/>
      <c r="AC18" s="1282"/>
      <c r="AD18" s="1282"/>
      <c r="AE18" s="1282"/>
      <c r="AF18" s="1282"/>
      <c r="AG18" s="1282"/>
      <c r="AH18" s="1282"/>
      <c r="AI18" s="1282"/>
      <c r="AJ18" s="1282"/>
      <c r="AK18" s="1282"/>
      <c r="AL18" s="1282"/>
      <c r="AM18" s="1282"/>
      <c r="AN18" s="1282"/>
      <c r="AO18" s="1282"/>
      <c r="AP18" s="1695"/>
      <c r="AQ18" s="1695"/>
      <c r="AR18" s="1695"/>
      <c r="AS18" s="1695"/>
      <c r="AT18" s="1695"/>
      <c r="AU18" s="807">
        <f t="shared" si="4"/>
        <v>0</v>
      </c>
      <c r="AV18" s="817"/>
      <c r="AW18" s="1170">
        <f t="shared" si="0"/>
        <v>0</v>
      </c>
      <c r="AX18" s="1066"/>
    </row>
    <row r="19" spans="1:56" ht="15.6">
      <c r="A19" s="1100"/>
      <c r="B19" s="1282"/>
      <c r="C19" s="1282"/>
      <c r="D19" s="1282"/>
      <c r="E19" s="1282"/>
      <c r="F19" s="1282"/>
      <c r="G19" s="1282"/>
      <c r="H19" s="1282"/>
      <c r="I19" s="1282"/>
      <c r="J19" s="1282"/>
      <c r="K19" s="1282"/>
      <c r="L19" s="1282"/>
      <c r="M19" s="1282"/>
      <c r="N19" s="1282"/>
      <c r="O19" s="1282"/>
      <c r="P19" s="1282"/>
      <c r="Q19" s="1282"/>
      <c r="R19" s="1282"/>
      <c r="S19" s="1282"/>
      <c r="T19" s="1282"/>
      <c r="U19" s="1282"/>
      <c r="V19" s="1282"/>
      <c r="W19" s="1282"/>
      <c r="X19" s="1283"/>
      <c r="Y19" s="1283"/>
      <c r="Z19" s="1283"/>
      <c r="AA19" s="1283"/>
      <c r="AB19" s="1282"/>
      <c r="AC19" s="1282"/>
      <c r="AD19" s="1282"/>
      <c r="AE19" s="1282"/>
      <c r="AF19" s="1282"/>
      <c r="AG19" s="1282"/>
      <c r="AH19" s="1282"/>
      <c r="AI19" s="1282"/>
      <c r="AJ19" s="1282"/>
      <c r="AK19" s="1282"/>
      <c r="AL19" s="1282"/>
      <c r="AM19" s="1282"/>
      <c r="AN19" s="1282"/>
      <c r="AO19" s="1282"/>
      <c r="AP19" s="1695"/>
      <c r="AQ19" s="1695"/>
      <c r="AR19" s="1695"/>
      <c r="AS19" s="1695"/>
      <c r="AT19" s="1695"/>
      <c r="AU19" s="807"/>
      <c r="AV19" s="817"/>
      <c r="AW19" s="1170"/>
      <c r="AX19" s="1066"/>
    </row>
    <row r="20" spans="1:56" ht="15.6">
      <c r="A20" s="1100" t="str">
        <f>+'Grasmere Pig Cost'!A20</f>
        <v>Transfers  Boars</v>
      </c>
      <c r="B20" s="1282"/>
      <c r="C20" s="1282"/>
      <c r="D20" s="1282"/>
      <c r="E20" s="1282"/>
      <c r="F20" s="1282"/>
      <c r="G20" s="1282"/>
      <c r="H20" s="1282"/>
      <c r="I20" s="1282"/>
      <c r="J20" s="1282"/>
      <c r="K20" s="1282"/>
      <c r="L20" s="1282"/>
      <c r="M20" s="1282"/>
      <c r="N20" s="1282"/>
      <c r="O20" s="1282"/>
      <c r="P20" s="1282"/>
      <c r="Q20" s="1282"/>
      <c r="R20" s="1282"/>
      <c r="S20" s="1282"/>
      <c r="T20" s="1282"/>
      <c r="U20" s="1282"/>
      <c r="V20" s="1282"/>
      <c r="W20" s="1282"/>
      <c r="X20" s="1282"/>
      <c r="Y20" s="1282"/>
      <c r="Z20" s="1282"/>
      <c r="AA20" s="1282"/>
      <c r="AB20" s="1282"/>
      <c r="AC20" s="1282"/>
      <c r="AD20" s="1282"/>
      <c r="AE20" s="1282"/>
      <c r="AF20" s="1282"/>
      <c r="AG20" s="1282"/>
      <c r="AH20" s="1282"/>
      <c r="AI20" s="1283"/>
      <c r="AJ20" s="1282"/>
      <c r="AK20" s="1282"/>
      <c r="AL20" s="1282"/>
      <c r="AM20" s="1282"/>
      <c r="AN20" s="1282"/>
      <c r="AO20" s="1282"/>
      <c r="AP20" s="1695"/>
      <c r="AQ20" s="1695"/>
      <c r="AR20" s="1695"/>
      <c r="AS20" s="1600"/>
      <c r="AT20" s="1695"/>
      <c r="AU20" s="807">
        <f t="shared" si="4"/>
        <v>0</v>
      </c>
      <c r="AV20" s="817">
        <v>0</v>
      </c>
      <c r="AW20" s="1170">
        <f t="shared" si="0"/>
        <v>0</v>
      </c>
      <c r="AX20" s="1066"/>
      <c r="BB20" s="1091"/>
    </row>
    <row r="21" spans="1:56" ht="15.6">
      <c r="A21" s="1100" t="str">
        <f>+'Grasmere Pig Cost'!A21</f>
        <v>Transfers Grower</v>
      </c>
      <c r="B21" s="1283"/>
      <c r="C21" s="1283"/>
      <c r="D21" s="1283"/>
      <c r="E21" s="1283"/>
      <c r="F21" s="1283"/>
      <c r="G21" s="1283"/>
      <c r="H21" s="1283"/>
      <c r="I21" s="1283"/>
      <c r="J21" s="1283"/>
      <c r="K21" s="1283"/>
      <c r="L21" s="1283"/>
      <c r="M21" s="1283"/>
      <c r="N21" s="1283"/>
      <c r="O21" s="1283"/>
      <c r="P21" s="1283"/>
      <c r="Q21" s="1283"/>
      <c r="R21" s="1283"/>
      <c r="S21" s="1283"/>
      <c r="T21" s="1283"/>
      <c r="U21" s="1283"/>
      <c r="V21" s="1283"/>
      <c r="W21" s="1283"/>
      <c r="X21" s="1283"/>
      <c r="Y21" s="1283"/>
      <c r="Z21" s="1283"/>
      <c r="AA21" s="1283"/>
      <c r="AB21" s="1283"/>
      <c r="AC21" s="142">
        <v>8</v>
      </c>
      <c r="AD21" s="142">
        <v>8</v>
      </c>
      <c r="AE21" s="142">
        <v>8</v>
      </c>
      <c r="AF21" s="142">
        <v>8</v>
      </c>
      <c r="AH21" s="1283"/>
      <c r="AI21" s="1283"/>
      <c r="AJ21" s="1283"/>
      <c r="AK21" s="1283"/>
      <c r="AL21" s="1283"/>
      <c r="AM21" s="1283"/>
      <c r="AN21" s="1283"/>
      <c r="AO21" s="1282"/>
      <c r="AP21" s="1600"/>
      <c r="AQ21" s="1600"/>
      <c r="AR21" s="1600"/>
      <c r="AS21" s="1600"/>
      <c r="AT21" s="1600"/>
      <c r="AU21" s="807">
        <f>SUM(S21:AT21)</f>
        <v>32</v>
      </c>
      <c r="AV21" s="817">
        <f>+AU21</f>
        <v>32</v>
      </c>
      <c r="AW21" s="1170">
        <f t="shared" si="0"/>
        <v>0</v>
      </c>
      <c r="AX21" s="1100"/>
    </row>
    <row r="22" spans="1:56">
      <c r="A22" s="1100" t="str">
        <f>+'Grasmere Pig Cost'!A22</f>
        <v>Transfer to Sick Block</v>
      </c>
      <c r="B22" s="1283"/>
      <c r="C22" s="1283"/>
      <c r="D22" s="1283"/>
      <c r="E22" s="1283"/>
      <c r="F22" s="1283"/>
      <c r="G22" s="1283"/>
      <c r="H22" s="1283"/>
      <c r="I22" s="1283"/>
      <c r="J22" s="1283"/>
      <c r="K22" s="1283"/>
      <c r="L22" s="1283"/>
      <c r="M22" s="1283"/>
      <c r="N22" s="1283"/>
      <c r="O22" s="1283"/>
      <c r="P22" s="1283"/>
      <c r="Q22" s="1283"/>
      <c r="R22" s="1283"/>
      <c r="S22" s="1283"/>
      <c r="T22" s="1283"/>
      <c r="U22" s="1283"/>
      <c r="V22" s="1283"/>
      <c r="W22" s="1283"/>
      <c r="X22" s="1283"/>
      <c r="Y22" s="1283"/>
      <c r="Z22" s="1283"/>
      <c r="AA22" s="1283"/>
      <c r="AB22" s="1283"/>
      <c r="AG22" s="1283"/>
      <c r="AH22" s="1283"/>
      <c r="AI22" s="1283"/>
      <c r="AJ22" s="1283"/>
      <c r="AK22" s="1283"/>
      <c r="AL22" s="1283"/>
      <c r="AM22" s="1283"/>
      <c r="AN22" s="1283"/>
      <c r="AO22" s="1283"/>
      <c r="AP22" s="1600"/>
      <c r="AQ22" s="1600"/>
      <c r="AR22" s="1600"/>
      <c r="AS22" s="1600"/>
      <c r="AT22" s="1600"/>
      <c r="AU22" s="807">
        <f t="shared" si="4"/>
        <v>0</v>
      </c>
      <c r="AV22" s="817"/>
      <c r="AW22" s="1170"/>
      <c r="AX22" s="1100"/>
    </row>
    <row r="23" spans="1:56">
      <c r="A23" s="1100" t="str">
        <f>+'Grasmere Pig Cost'!A23</f>
        <v>Transfers Gilts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>
        <f>-36-12-12-4-10-15</f>
        <v>-89</v>
      </c>
      <c r="X23" s="807">
        <f>-10-14-9-11-20-5</f>
        <v>-69</v>
      </c>
      <c r="Y23" s="807">
        <f>-10-8-13-6-3-10</f>
        <v>-50</v>
      </c>
      <c r="Z23" s="807">
        <f>-26-12-14-12-5-10</f>
        <v>-79</v>
      </c>
      <c r="AA23" s="807"/>
      <c r="AB23" s="807"/>
      <c r="AH23" s="807"/>
      <c r="AI23" s="807"/>
      <c r="AJ23" s="807"/>
      <c r="AK23" s="807"/>
      <c r="AL23" s="807"/>
      <c r="AM23" s="807"/>
      <c r="AN23" s="1661"/>
      <c r="AO23" s="1661"/>
      <c r="AP23" s="1693"/>
      <c r="AQ23" s="1693"/>
      <c r="AR23" s="1693"/>
      <c r="AS23" s="1693"/>
      <c r="AT23" s="1693"/>
      <c r="AU23" s="807">
        <f>SUM(S23:AT23)</f>
        <v>-287</v>
      </c>
      <c r="AV23" s="817">
        <f>SUM('Summary Total Pigs'!O165:U167,-40)</f>
        <v>-287</v>
      </c>
      <c r="AW23" s="1170">
        <f t="shared" si="0"/>
        <v>0</v>
      </c>
      <c r="AX23" s="818"/>
    </row>
    <row r="24" spans="1:56" ht="15.6">
      <c r="A24" s="1100" t="str">
        <f>+'Grasmere Pig Cost'!A24</f>
        <v>Mortality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1891">
        <f>-1-1-2-5</f>
        <v>-9</v>
      </c>
      <c r="T24" s="1661">
        <f>-1-3-3-4-1-2-1</f>
        <v>-15</v>
      </c>
      <c r="U24" s="807">
        <f>-4-2-2-2-4-2-1-1-2-1-1-1-1</f>
        <v>-24</v>
      </c>
      <c r="V24" s="807">
        <f>-2-1-2-3-2-8-4-5-1-2-1-1-1-1</f>
        <v>-34</v>
      </c>
      <c r="W24" s="807">
        <f>-4-1-1-3-3-2-1-2-2-1-1-1</f>
        <v>-22</v>
      </c>
      <c r="X24" s="807">
        <v>-3</v>
      </c>
      <c r="Y24" s="807"/>
      <c r="Z24" s="807">
        <f>-1-1</f>
        <v>-2</v>
      </c>
      <c r="AA24" s="807"/>
      <c r="AB24" s="807">
        <v>-3</v>
      </c>
      <c r="AC24" s="807">
        <f>-1-1</f>
        <v>-2</v>
      </c>
      <c r="AD24" s="1283">
        <v>-1</v>
      </c>
      <c r="AE24" s="1283"/>
      <c r="AF24" s="807">
        <v>1</v>
      </c>
      <c r="AG24" s="807"/>
      <c r="AH24" s="807">
        <f>-1-1</f>
        <v>-2</v>
      </c>
      <c r="AI24" s="807"/>
      <c r="AJ24" s="807">
        <f>-1-1</f>
        <v>-2</v>
      </c>
      <c r="AK24" s="807"/>
      <c r="AL24" s="807">
        <f>-1-1-1</f>
        <v>-3</v>
      </c>
      <c r="AM24" s="807"/>
      <c r="AN24" s="807"/>
      <c r="AO24" s="807">
        <v>-1</v>
      </c>
      <c r="AP24" s="1693">
        <v>-1</v>
      </c>
      <c r="AQ24" s="1693">
        <f>-1+1</f>
        <v>0</v>
      </c>
      <c r="AR24" s="1693">
        <f>-'[3]Sales USD'!$AY$11</f>
        <v>-1</v>
      </c>
      <c r="AS24" s="1693"/>
      <c r="AT24" s="1693"/>
      <c r="AU24" s="807">
        <f>SUM(S24:AT24)</f>
        <v>-124</v>
      </c>
      <c r="AV24" s="817">
        <f>SUM('Summary Total Pigs'!W165:W167)+SUM('Summary Total Pigs'!Y165:Y167)</f>
        <v>-124</v>
      </c>
      <c r="AW24" s="1170">
        <f>AU24-AV24</f>
        <v>0</v>
      </c>
      <c r="AX24" s="818"/>
      <c r="AY24" s="1066"/>
    </row>
    <row r="25" spans="1:56" ht="15.6">
      <c r="A25" s="1100" t="str">
        <f>+'Grasmere Pig Cost'!A25</f>
        <v>Rations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/>
      <c r="AO25" s="807"/>
      <c r="AP25" s="1693"/>
      <c r="AQ25" s="1693"/>
      <c r="AR25" s="1693"/>
      <c r="AS25" s="1693"/>
      <c r="AT25" s="1693"/>
      <c r="AU25" s="807">
        <f t="shared" si="4"/>
        <v>0</v>
      </c>
      <c r="AV25" s="817">
        <f>SUM('Summary Total Pigs'!Z165:Z170)</f>
        <v>0</v>
      </c>
      <c r="AW25" s="1170">
        <f>AU25-AV25</f>
        <v>0</v>
      </c>
      <c r="AX25" s="818"/>
      <c r="AY25" s="1066"/>
    </row>
    <row r="26" spans="1:56" ht="15.6">
      <c r="A26" s="1100" t="str">
        <f>+'Grasmere Pig Cost'!A26</f>
        <v>Pet Food</v>
      </c>
      <c r="B26" s="807"/>
      <c r="C26" s="807"/>
      <c r="D26" s="807"/>
      <c r="E26" s="807"/>
      <c r="F26" s="807"/>
      <c r="G26" s="807"/>
      <c r="H26" s="807"/>
      <c r="I26" s="807"/>
      <c r="J26" s="807"/>
      <c r="K26" s="807"/>
      <c r="L26" s="807"/>
      <c r="M26" s="807"/>
      <c r="N26" s="807"/>
      <c r="O26" s="807"/>
      <c r="P26" s="807"/>
      <c r="Q26" s="807"/>
      <c r="R26" s="807"/>
      <c r="S26" s="807"/>
      <c r="T26" s="807"/>
      <c r="U26" s="807"/>
      <c r="V26" s="807"/>
      <c r="W26" s="807"/>
      <c r="X26" s="807"/>
      <c r="Y26" s="807"/>
      <c r="Z26" s="807"/>
      <c r="AA26" s="807"/>
      <c r="AB26" s="807"/>
      <c r="AC26" s="807"/>
      <c r="AD26" s="807"/>
      <c r="AE26" s="807"/>
      <c r="AF26" s="807"/>
      <c r="AG26" s="807"/>
      <c r="AH26" s="807"/>
      <c r="AI26" s="807"/>
      <c r="AJ26" s="807"/>
      <c r="AK26" s="807"/>
      <c r="AL26" s="807"/>
      <c r="AM26" s="807"/>
      <c r="AN26" s="807"/>
      <c r="AO26" s="807"/>
      <c r="AP26" s="1693"/>
      <c r="AQ26" s="1693"/>
      <c r="AR26" s="1693"/>
      <c r="AS26" s="1693"/>
      <c r="AT26" s="1693"/>
      <c r="AU26" s="807">
        <f t="shared" si="4"/>
        <v>0</v>
      </c>
      <c r="AV26" s="817"/>
      <c r="AW26" s="1170">
        <f t="shared" si="0"/>
        <v>0</v>
      </c>
      <c r="AX26" s="818"/>
      <c r="AY26" s="1066"/>
    </row>
    <row r="27" spans="1:56" ht="15.6">
      <c r="A27" s="1100" t="str">
        <f>+'Grasmere Pig Cost'!A27</f>
        <v>Farm Sales</v>
      </c>
      <c r="B27" s="807"/>
      <c r="C27" s="807"/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07"/>
      <c r="V27" s="807"/>
      <c r="W27" s="807"/>
      <c r="X27" s="807"/>
      <c r="Y27" s="807"/>
      <c r="Z27" s="807"/>
      <c r="AA27" s="807"/>
      <c r="AB27" s="807"/>
      <c r="AC27" s="807"/>
      <c r="AD27" s="807"/>
      <c r="AE27" s="807"/>
      <c r="AF27" s="807"/>
      <c r="AG27" s="807"/>
      <c r="AH27" s="807"/>
      <c r="AI27" s="807"/>
      <c r="AJ27" s="807"/>
      <c r="AK27" s="807"/>
      <c r="AL27" s="807"/>
      <c r="AM27" s="807"/>
      <c r="AN27" s="807"/>
      <c r="AO27" s="807"/>
      <c r="AP27" s="1693"/>
      <c r="AQ27" s="1693"/>
      <c r="AR27" s="1693"/>
      <c r="AS27" s="1693"/>
      <c r="AT27" s="1693"/>
      <c r="AU27" s="807">
        <f>SUM(S27:AT27)</f>
        <v>0</v>
      </c>
      <c r="AV27" s="817"/>
      <c r="AW27" s="1170">
        <f t="shared" si="0"/>
        <v>0</v>
      </c>
      <c r="AX27" s="818"/>
      <c r="AY27" s="1066"/>
    </row>
    <row r="28" spans="1:56" ht="15.6" thickBot="1">
      <c r="A28" s="1100" t="str">
        <f>+'Grasmere Pig Cost'!A28</f>
        <v xml:space="preserve"> Colcom Sales</v>
      </c>
      <c r="B28" s="807"/>
      <c r="C28" s="807"/>
      <c r="D28" s="807"/>
      <c r="E28" s="807"/>
      <c r="F28" s="807"/>
      <c r="G28" s="807"/>
      <c r="H28" s="807"/>
      <c r="I28" s="807"/>
      <c r="J28" s="807"/>
      <c r="K28" s="807"/>
      <c r="L28" s="807"/>
      <c r="M28" s="807"/>
      <c r="N28" s="807"/>
      <c r="O28" s="807"/>
      <c r="P28" s="807"/>
      <c r="Q28" s="807"/>
      <c r="R28" s="807"/>
      <c r="S28" s="807"/>
      <c r="T28" s="807"/>
      <c r="U28" s="807"/>
      <c r="V28" s="807"/>
      <c r="W28" s="807"/>
      <c r="X28" s="807"/>
      <c r="Y28" s="807"/>
      <c r="Z28" s="807"/>
      <c r="AA28" s="807"/>
      <c r="AB28" s="807"/>
      <c r="AC28" s="807"/>
      <c r="AD28" s="807"/>
      <c r="AE28" s="807"/>
      <c r="AF28" s="807"/>
      <c r="AG28" s="807"/>
      <c r="AH28" s="807"/>
      <c r="AI28" s="807"/>
      <c r="AJ28" s="807"/>
      <c r="AK28" s="807"/>
      <c r="AL28" s="807"/>
      <c r="AM28" s="807"/>
      <c r="AN28" s="807"/>
      <c r="AO28" s="807">
        <v>-2</v>
      </c>
      <c r="AP28" s="1693">
        <v>-224</v>
      </c>
      <c r="AQ28" s="1693">
        <v>-235</v>
      </c>
      <c r="AR28" s="1693">
        <f>-238+'[3]Sales USD'!$AY$11</f>
        <v>-237</v>
      </c>
      <c r="AS28" s="1693"/>
      <c r="AT28" s="1693"/>
      <c r="AU28" s="807">
        <f>SUM(S28:AT28)</f>
        <v>-698</v>
      </c>
      <c r="AV28" s="817">
        <f>+'Summary Total Pigs'!X167</f>
        <v>-698</v>
      </c>
      <c r="AW28" s="1170">
        <f t="shared" si="0"/>
        <v>0</v>
      </c>
      <c r="AX28" s="818"/>
      <c r="AY28" s="817">
        <f>SUM(X7:AT7)</f>
        <v>4669</v>
      </c>
      <c r="BD28" s="142">
        <v>-7</v>
      </c>
    </row>
    <row r="29" spans="1:56" ht="16.149999999999999" thickBot="1">
      <c r="A29" s="1070" t="s">
        <v>1802</v>
      </c>
      <c r="B29" s="1071">
        <f t="shared" ref="B29:R29" si="5">SUM(B11:B24)</f>
        <v>0</v>
      </c>
      <c r="C29" s="1071">
        <f t="shared" si="5"/>
        <v>0</v>
      </c>
      <c r="D29" s="1071">
        <f t="shared" si="5"/>
        <v>0</v>
      </c>
      <c r="E29" s="1071">
        <f t="shared" si="5"/>
        <v>0</v>
      </c>
      <c r="F29" s="1071">
        <f t="shared" si="5"/>
        <v>0</v>
      </c>
      <c r="G29" s="1071">
        <f t="shared" si="5"/>
        <v>0</v>
      </c>
      <c r="H29" s="1071">
        <f t="shared" si="5"/>
        <v>0</v>
      </c>
      <c r="I29" s="1071">
        <f t="shared" si="5"/>
        <v>0</v>
      </c>
      <c r="J29" s="1071">
        <f t="shared" si="5"/>
        <v>0</v>
      </c>
      <c r="K29" s="1071">
        <f t="shared" si="5"/>
        <v>0</v>
      </c>
      <c r="L29" s="1071">
        <f t="shared" si="5"/>
        <v>0</v>
      </c>
      <c r="M29" s="1071">
        <f t="shared" si="5"/>
        <v>0</v>
      </c>
      <c r="N29" s="1071">
        <f t="shared" si="5"/>
        <v>0</v>
      </c>
      <c r="O29" s="1071">
        <f t="shared" si="5"/>
        <v>0</v>
      </c>
      <c r="P29" s="1071">
        <f t="shared" si="5"/>
        <v>0</v>
      </c>
      <c r="Q29" s="1071">
        <f t="shared" si="5"/>
        <v>0</v>
      </c>
      <c r="R29" s="1071">
        <f t="shared" si="5"/>
        <v>0</v>
      </c>
      <c r="S29" s="1071">
        <f>SUM(S11:S28)</f>
        <v>231</v>
      </c>
      <c r="T29" s="1071">
        <f t="shared" ref="T29:AM29" si="6">SUM(T11:T28)</f>
        <v>334</v>
      </c>
      <c r="U29" s="1071">
        <f t="shared" si="6"/>
        <v>312</v>
      </c>
      <c r="V29" s="1071">
        <f t="shared" si="6"/>
        <v>304</v>
      </c>
      <c r="W29" s="1071">
        <f t="shared" si="6"/>
        <v>186</v>
      </c>
      <c r="X29" s="1071">
        <f t="shared" si="6"/>
        <v>189</v>
      </c>
      <c r="Y29" s="1071">
        <f t="shared" si="6"/>
        <v>165</v>
      </c>
      <c r="Z29" s="1071">
        <f t="shared" si="6"/>
        <v>206</v>
      </c>
      <c r="AA29" s="1071">
        <f t="shared" si="6"/>
        <v>194</v>
      </c>
      <c r="AB29" s="1071">
        <f t="shared" si="6"/>
        <v>169</v>
      </c>
      <c r="AC29" s="1071">
        <f t="shared" si="6"/>
        <v>211</v>
      </c>
      <c r="AD29" s="1071">
        <f t="shared" si="6"/>
        <v>207</v>
      </c>
      <c r="AE29" s="1071">
        <f t="shared" si="6"/>
        <v>196</v>
      </c>
      <c r="AF29" s="1071">
        <f t="shared" si="6"/>
        <v>233</v>
      </c>
      <c r="AG29" s="1071">
        <f t="shared" si="6"/>
        <v>232</v>
      </c>
      <c r="AH29" s="1071">
        <f t="shared" si="6"/>
        <v>224</v>
      </c>
      <c r="AI29" s="1071">
        <f t="shared" si="6"/>
        <v>226</v>
      </c>
      <c r="AJ29" s="1071">
        <f t="shared" si="6"/>
        <v>231</v>
      </c>
      <c r="AK29" s="1071">
        <f t="shared" si="6"/>
        <v>237</v>
      </c>
      <c r="AL29" s="1071">
        <f t="shared" si="6"/>
        <v>195</v>
      </c>
      <c r="AM29" s="1071">
        <f t="shared" si="6"/>
        <v>207</v>
      </c>
      <c r="AN29" s="1071">
        <f>SUM(AN11:AN28)</f>
        <v>233</v>
      </c>
      <c r="AO29" s="1792">
        <f t="shared" ref="AO29:AT29" si="7">SUM(AO11:AO28)</f>
        <v>219</v>
      </c>
      <c r="AP29" s="1695">
        <f t="shared" si="7"/>
        <v>0</v>
      </c>
      <c r="AQ29" s="1695">
        <f t="shared" si="7"/>
        <v>0</v>
      </c>
      <c r="AR29" s="1695">
        <f t="shared" si="7"/>
        <v>0</v>
      </c>
      <c r="AS29" s="1695">
        <f t="shared" si="7"/>
        <v>0</v>
      </c>
      <c r="AT29" s="1695">
        <f t="shared" si="7"/>
        <v>0</v>
      </c>
      <c r="AU29" s="1071">
        <f>SUM(AU11:AU28)</f>
        <v>5141</v>
      </c>
      <c r="AV29" s="1071">
        <f>SUM(AV11:AV28)</f>
        <v>5141</v>
      </c>
      <c r="AW29" s="1170">
        <f>AU29-AV29</f>
        <v>0</v>
      </c>
      <c r="AY29" s="817">
        <f>SUM(X33:AT33)</f>
        <v>732703.92678543448</v>
      </c>
      <c r="BD29" s="142">
        <v>0</v>
      </c>
    </row>
    <row r="30" spans="1:56">
      <c r="S30" s="1058" cm="1">
        <f t="array" ref="S30:AT30">TRANSPOSE('Multiplier Valuation'!$E$10:$E$37)</f>
        <v>231</v>
      </c>
      <c r="T30" s="1058">
        <v>334</v>
      </c>
      <c r="U30" s="1058">
        <v>312</v>
      </c>
      <c r="V30" s="1058">
        <v>304</v>
      </c>
      <c r="W30" s="1058">
        <v>186</v>
      </c>
      <c r="X30" s="1058">
        <v>189</v>
      </c>
      <c r="Y30" s="1058">
        <v>165</v>
      </c>
      <c r="Z30" s="1058">
        <v>206</v>
      </c>
      <c r="AA30" s="1058">
        <v>194</v>
      </c>
      <c r="AB30" s="1058">
        <v>169</v>
      </c>
      <c r="AC30" s="1058">
        <v>211</v>
      </c>
      <c r="AD30" s="1058">
        <v>207</v>
      </c>
      <c r="AE30" s="1058">
        <v>196</v>
      </c>
      <c r="AF30" s="1058">
        <v>233</v>
      </c>
      <c r="AG30" s="1058">
        <v>232</v>
      </c>
      <c r="AH30" s="1058">
        <v>224</v>
      </c>
      <c r="AI30" s="1058">
        <v>226</v>
      </c>
      <c r="AJ30" s="1058">
        <v>231</v>
      </c>
      <c r="AK30" s="1058">
        <v>237</v>
      </c>
      <c r="AL30" s="1058">
        <v>195</v>
      </c>
      <c r="AM30" s="1058">
        <v>207</v>
      </c>
      <c r="AN30" s="1058">
        <v>233</v>
      </c>
      <c r="AO30" s="1058">
        <v>219</v>
      </c>
      <c r="AP30" s="1058">
        <v>0</v>
      </c>
      <c r="AQ30" s="1058">
        <v>0</v>
      </c>
      <c r="AR30" s="1058">
        <v>0</v>
      </c>
      <c r="AS30" s="1058">
        <v>0</v>
      </c>
      <c r="AT30" s="1058">
        <v>0</v>
      </c>
      <c r="AU30" s="1057">
        <f>SUM(S30:AT30)</f>
        <v>5141</v>
      </c>
      <c r="AV30" s="817">
        <f>SUM('Summary Total Pigs'!AE165:AE167)</f>
        <v>5141</v>
      </c>
      <c r="AW30" s="1170">
        <f>AU30-AV30</f>
        <v>0</v>
      </c>
      <c r="AY30" s="817">
        <f>AY29/AY28</f>
        <v>156.92951955138884</v>
      </c>
      <c r="BD30" s="142">
        <v>0</v>
      </c>
    </row>
    <row r="31" spans="1:56">
      <c r="S31" s="1058">
        <f>+S29-S30</f>
        <v>0</v>
      </c>
      <c r="T31" s="1058">
        <f t="shared" ref="T31:AT31" si="8">+T29-T30</f>
        <v>0</v>
      </c>
      <c r="U31" s="1058">
        <f t="shared" si="8"/>
        <v>0</v>
      </c>
      <c r="V31" s="1058">
        <f t="shared" si="8"/>
        <v>0</v>
      </c>
      <c r="W31" s="1058">
        <f t="shared" si="8"/>
        <v>0</v>
      </c>
      <c r="X31" s="1058">
        <f t="shared" si="8"/>
        <v>0</v>
      </c>
      <c r="Y31" s="1058">
        <f t="shared" si="8"/>
        <v>0</v>
      </c>
      <c r="Z31" s="1058">
        <f t="shared" si="8"/>
        <v>0</v>
      </c>
      <c r="AA31" s="1058">
        <f t="shared" si="8"/>
        <v>0</v>
      </c>
      <c r="AB31" s="1058">
        <f t="shared" si="8"/>
        <v>0</v>
      </c>
      <c r="AC31" s="1058">
        <f t="shared" si="8"/>
        <v>0</v>
      </c>
      <c r="AD31" s="1058">
        <f t="shared" si="8"/>
        <v>0</v>
      </c>
      <c r="AE31" s="1058">
        <f t="shared" si="8"/>
        <v>0</v>
      </c>
      <c r="AF31" s="1058">
        <f t="shared" si="8"/>
        <v>0</v>
      </c>
      <c r="AG31" s="1058">
        <f t="shared" si="8"/>
        <v>0</v>
      </c>
      <c r="AH31" s="1058">
        <f t="shared" si="8"/>
        <v>0</v>
      </c>
      <c r="AI31" s="1058">
        <f t="shared" si="8"/>
        <v>0</v>
      </c>
      <c r="AJ31" s="1058">
        <f t="shared" si="8"/>
        <v>0</v>
      </c>
      <c r="AK31" s="1058">
        <f t="shared" si="8"/>
        <v>0</v>
      </c>
      <c r="AL31" s="1058">
        <f t="shared" si="8"/>
        <v>0</v>
      </c>
      <c r="AM31" s="1058">
        <f t="shared" si="8"/>
        <v>0</v>
      </c>
      <c r="AN31" s="1058">
        <f>+AN29-AN30</f>
        <v>0</v>
      </c>
      <c r="AO31" s="1058">
        <f>+AO29-AO30</f>
        <v>0</v>
      </c>
      <c r="AP31" s="1058">
        <f t="shared" si="8"/>
        <v>0</v>
      </c>
      <c r="AQ31" s="1749">
        <f t="shared" si="8"/>
        <v>0</v>
      </c>
      <c r="AR31" s="1058">
        <f t="shared" si="8"/>
        <v>0</v>
      </c>
      <c r="AS31" s="1058">
        <f t="shared" si="8"/>
        <v>0</v>
      </c>
      <c r="AT31" s="1058">
        <f t="shared" si="8"/>
        <v>0</v>
      </c>
      <c r="AU31" s="1057">
        <f>SUM(S31:AT31)</f>
        <v>0</v>
      </c>
      <c r="AV31" s="817"/>
      <c r="AW31" s="1170"/>
      <c r="AX31" s="142">
        <f>SUM('Summary Total Pigs'!AF165:AF167)</f>
        <v>5141</v>
      </c>
      <c r="BD31" s="142">
        <v>0</v>
      </c>
    </row>
    <row r="32" spans="1:56" ht="15.6">
      <c r="A32" s="1066" t="s">
        <v>199</v>
      </c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817"/>
      <c r="AG32" s="817"/>
      <c r="AH32" s="817"/>
      <c r="AI32" s="817"/>
      <c r="AJ32" s="817"/>
      <c r="AK32" s="817"/>
      <c r="AL32" s="817"/>
      <c r="AM32" s="817"/>
      <c r="AN32" s="817"/>
      <c r="AO32" s="817"/>
      <c r="AP32" s="817"/>
      <c r="AQ32" s="817"/>
      <c r="AR32" s="817"/>
      <c r="AS32" s="817"/>
      <c r="AT32" s="817"/>
      <c r="AU32" s="817"/>
      <c r="AV32" s="817"/>
      <c r="AW32" s="818"/>
      <c r="AX32" s="817"/>
      <c r="AY32" s="817"/>
    </row>
    <row r="33" spans="1:56" ht="15.6">
      <c r="A33" s="142" t="s">
        <v>1803</v>
      </c>
      <c r="B33" s="818"/>
      <c r="C33" s="818"/>
      <c r="D33" s="818"/>
      <c r="E33" s="818"/>
      <c r="F33" s="818">
        <f>'[2]Multiplier Pig Cost '!B62</f>
        <v>2339.6860986547085</v>
      </c>
      <c r="G33" s="818">
        <f>'[2]Multiplier Pig Cost '!C62</f>
        <v>2339.6860986547085</v>
      </c>
      <c r="H33" s="818">
        <f>'[2]Multiplier Pig Cost '!D62</f>
        <v>2339.6860986547085</v>
      </c>
      <c r="I33" s="818">
        <f>'[2]Multiplier Pig Cost '!E62</f>
        <v>2339.6860986547085</v>
      </c>
      <c r="J33" s="818">
        <f>'[2]Multiplier Pig Cost '!F62</f>
        <v>2152.5112107623313</v>
      </c>
      <c r="K33" s="818">
        <f>'[2]Multiplier Pig Cost '!G62</f>
        <v>4064.8991031390128</v>
      </c>
      <c r="L33" s="818">
        <f>'[2]Multiplier Pig Cost '!H62</f>
        <v>4064.8991031390128</v>
      </c>
      <c r="M33" s="818">
        <f>'[2]Multiplier Pig Cost '!I62</f>
        <v>4064.8991031390128</v>
      </c>
      <c r="N33" s="818">
        <f>'[2]Multiplier Pig Cost '!J62</f>
        <v>4064.8991031390128</v>
      </c>
      <c r="O33" s="818">
        <f>'[2]Multiplier Pig Cost '!K62</f>
        <v>6467.961883408072</v>
      </c>
      <c r="P33" s="818">
        <f>'[2]Multiplier Pig Cost '!L62</f>
        <v>6467.961883408072</v>
      </c>
      <c r="Q33" s="818">
        <f>'[2]Multiplier Pig Cost '!M62</f>
        <v>6467.961883408072</v>
      </c>
      <c r="R33" s="818">
        <f>'[2]Multiplier Pig Cost '!N62</f>
        <v>6935.8991031390133</v>
      </c>
      <c r="S33" s="818">
        <f>'[2]Multiplier Pig Cost '!O62</f>
        <v>8710.3946188340815</v>
      </c>
      <c r="T33" s="818">
        <f>'[2]Multiplier Pig Cost '!P62</f>
        <v>8710.3946188340815</v>
      </c>
      <c r="U33" s="818">
        <f>'[2]Multiplier Pig Cost '!Q62</f>
        <v>8710.3946188340815</v>
      </c>
      <c r="V33" s="818">
        <f>'[2]Multiplier Pig Cost '!R62</f>
        <v>10769.318385650226</v>
      </c>
      <c r="W33" s="818">
        <f>'[2]Multiplier Pig Cost '!S62</f>
        <v>9762.6085132610879</v>
      </c>
      <c r="X33" s="818">
        <f>'[2]Multiplier Pig Cost '!T62</f>
        <v>13789.962057932104</v>
      </c>
      <c r="Y33" s="818">
        <f>'[2]Multiplier Pig Cost '!U62</f>
        <v>15943.681266562227</v>
      </c>
      <c r="Z33" s="818">
        <f>'[2]Multiplier Pig Cost '!V62</f>
        <v>11006.298515322034</v>
      </c>
      <c r="AA33" s="818">
        <f>'[2]Multiplier Pig Cost '!W62</f>
        <v>8062.079150163976</v>
      </c>
      <c r="AB33" s="818">
        <f>'[2]Multiplier Pig Cost '!X62</f>
        <v>13630.735807204252</v>
      </c>
      <c r="AC33" s="818">
        <f>'[2]Multiplier Pig Cost '!Y62</f>
        <v>18339.083238815798</v>
      </c>
      <c r="AD33" s="818">
        <f>'[2]Multiplier Pig Cost '!Z62</f>
        <v>26601.620602548832</v>
      </c>
      <c r="AE33" s="818">
        <f>'[2]Multiplier Pig Cost '!AA62</f>
        <v>24718.02980194864</v>
      </c>
      <c r="AF33" s="818">
        <f>'[2]Multiplier Pig Cost '!AB62</f>
        <v>21741.118703304306</v>
      </c>
      <c r="AG33" s="818">
        <f>'[2]Multiplier Pig Cost '!AC62</f>
        <v>28594.114276911863</v>
      </c>
      <c r="AH33" s="818">
        <f>'[2]Multiplier Pig Cost '!AD62</f>
        <v>32290.418149810386</v>
      </c>
      <c r="AI33" s="818">
        <f>'[2]Multiplier Pig Cost '!AE62</f>
        <v>36319.727362421159</v>
      </c>
      <c r="AJ33" s="818">
        <f>'[2]Multiplier Pig Cost '!AF62</f>
        <v>33557.98028701458</v>
      </c>
      <c r="AK33" s="818">
        <f>'[2]Multiplier Pig Cost '!AG62</f>
        <v>39672.605716493177</v>
      </c>
      <c r="AL33" s="818">
        <f>'[2]Multiplier Pig Cost '!AH62</f>
        <v>36696.877789643702</v>
      </c>
      <c r="AM33" s="818">
        <f>'[2]Multiplier Pig Cost '!AI62</f>
        <v>49439.204861527003</v>
      </c>
      <c r="AN33" s="818">
        <f>'[2]Multiplier Pig Cost '!AJ62</f>
        <v>51093.861443200374</v>
      </c>
      <c r="AO33" s="818">
        <f>'[2]Multiplier Pig Cost '!AK62</f>
        <v>58347.795051657209</v>
      </c>
      <c r="AP33" s="818">
        <f>'[2]Multiplier Pig Cost '!AL62</f>
        <v>62862.166779361491</v>
      </c>
      <c r="AQ33" s="818">
        <f>'[2]Multiplier Pig Cost '!AM62</f>
        <v>75509.589519880174</v>
      </c>
      <c r="AR33" s="818">
        <f>'[2]Multiplier Pig Cost '!AN62</f>
        <v>74486.976403711218</v>
      </c>
      <c r="AS33" s="818">
        <f>'[2]Multiplier Pig Cost '!AO62</f>
        <v>0</v>
      </c>
      <c r="AT33" s="818">
        <f>'[2]Multiplier Pig Cost '!AP62</f>
        <v>0</v>
      </c>
      <c r="AU33" s="1057">
        <f>SUM(B33:AT33)</f>
        <v>833477.67431214848</v>
      </c>
      <c r="AV33" s="818">
        <f>'[2]Multiplier Pig Cost '!AU62</f>
        <v>833477.67431214848</v>
      </c>
      <c r="AW33" s="1772">
        <f>+AU33-AV33</f>
        <v>0</v>
      </c>
      <c r="AY33" s="142">
        <f>AV33/AV7</f>
        <v>168.95959341417969</v>
      </c>
      <c r="BD33" s="1797">
        <v>379257.11445347406</v>
      </c>
    </row>
    <row r="34" spans="1:56" ht="15.6">
      <c r="A34" s="1066" t="s">
        <v>212</v>
      </c>
      <c r="S34" s="817"/>
      <c r="T34" s="817"/>
      <c r="U34" s="817"/>
      <c r="V34" s="817"/>
      <c r="W34" s="817"/>
      <c r="X34" s="817"/>
      <c r="Y34" s="817"/>
      <c r="Z34" s="817"/>
      <c r="AA34" s="817"/>
      <c r="AB34" s="817"/>
      <c r="AC34" s="817"/>
      <c r="AD34" s="817"/>
      <c r="AE34" s="817"/>
      <c r="AF34" s="817"/>
      <c r="AG34" s="817"/>
      <c r="AH34" s="817"/>
      <c r="AI34" s="817"/>
      <c r="AJ34" s="817"/>
      <c r="AK34" s="817"/>
      <c r="AL34" s="817"/>
      <c r="AM34" s="817"/>
      <c r="AN34" s="817"/>
      <c r="AO34" s="817"/>
      <c r="AP34" s="817">
        <f>-IFERROR(AT35,0)</f>
        <v>0</v>
      </c>
      <c r="AQ34" s="817"/>
      <c r="AR34" s="817"/>
      <c r="AS34" s="817"/>
      <c r="AT34" s="817"/>
      <c r="AU34" s="807">
        <f>IFERROR(SUM(B34:AT34),0)</f>
        <v>0</v>
      </c>
      <c r="AW34" s="818"/>
      <c r="AY34" s="142">
        <f>AU62/AU30</f>
        <v>170.47934701857403</v>
      </c>
    </row>
    <row r="35" spans="1:56" ht="15.6">
      <c r="A35" s="1066" t="s">
        <v>1788</v>
      </c>
      <c r="S35" s="817"/>
      <c r="T35" s="817"/>
      <c r="U35" s="817"/>
      <c r="V35" s="817"/>
      <c r="W35" s="817"/>
      <c r="X35" s="817"/>
      <c r="Y35" s="817"/>
      <c r="Z35" s="817"/>
      <c r="AA35" s="817"/>
      <c r="AB35" s="817"/>
      <c r="AC35" s="817"/>
      <c r="AD35" s="817"/>
      <c r="AE35" s="817"/>
      <c r="AF35" s="817"/>
      <c r="AG35" s="817"/>
      <c r="AH35" s="817"/>
      <c r="AI35" s="817"/>
      <c r="AJ35" s="817"/>
      <c r="AK35" s="817"/>
      <c r="AL35" s="817"/>
      <c r="AM35" s="817"/>
      <c r="AN35" s="817"/>
      <c r="AO35" s="817"/>
      <c r="AP35" s="817"/>
      <c r="AQ35" s="817"/>
      <c r="AR35" s="817"/>
      <c r="AS35" s="817"/>
      <c r="AT35" s="817">
        <f>IFERROR(AT33/AT7*AT10,0)</f>
        <v>0</v>
      </c>
      <c r="AU35" s="807">
        <f>IFERROR(SUM(B35:AT35),0)</f>
        <v>0</v>
      </c>
      <c r="AW35" s="818"/>
      <c r="AY35" s="1992">
        <f>AY34/AY33-1</f>
        <v>8.9947754589398965E-3</v>
      </c>
    </row>
    <row r="36" spans="1:56" ht="15.6">
      <c r="A36" s="1059" t="s">
        <v>1804</v>
      </c>
      <c r="B36" s="818">
        <f>IFERROR(SUM(B33:B35),0)</f>
        <v>0</v>
      </c>
      <c r="C36" s="818">
        <f t="shared" ref="C36:AT36" si="9">IFERROR(SUM(C33:C35),0)</f>
        <v>0</v>
      </c>
      <c r="D36" s="818">
        <f t="shared" si="9"/>
        <v>0</v>
      </c>
      <c r="E36" s="818">
        <f t="shared" si="9"/>
        <v>0</v>
      </c>
      <c r="F36" s="818">
        <f t="shared" si="9"/>
        <v>2339.6860986547085</v>
      </c>
      <c r="G36" s="818">
        <f t="shared" si="9"/>
        <v>2339.6860986547085</v>
      </c>
      <c r="H36" s="818">
        <f t="shared" si="9"/>
        <v>2339.6860986547085</v>
      </c>
      <c r="I36" s="818">
        <f t="shared" si="9"/>
        <v>2339.6860986547085</v>
      </c>
      <c r="J36" s="818">
        <f t="shared" si="9"/>
        <v>2152.5112107623313</v>
      </c>
      <c r="K36" s="818">
        <f t="shared" si="9"/>
        <v>4064.8991031390128</v>
      </c>
      <c r="L36" s="818">
        <f t="shared" si="9"/>
        <v>4064.8991031390128</v>
      </c>
      <c r="M36" s="818">
        <f t="shared" si="9"/>
        <v>4064.8991031390128</v>
      </c>
      <c r="N36" s="818">
        <f t="shared" si="9"/>
        <v>4064.8991031390128</v>
      </c>
      <c r="O36" s="818">
        <f t="shared" si="9"/>
        <v>6467.961883408072</v>
      </c>
      <c r="P36" s="818">
        <f t="shared" si="9"/>
        <v>6467.961883408072</v>
      </c>
      <c r="Q36" s="818">
        <f t="shared" si="9"/>
        <v>6467.961883408072</v>
      </c>
      <c r="R36" s="818">
        <f t="shared" si="9"/>
        <v>6935.8991031390133</v>
      </c>
      <c r="S36" s="818">
        <f t="shared" si="9"/>
        <v>8710.3946188340815</v>
      </c>
      <c r="T36" s="818">
        <f t="shared" si="9"/>
        <v>8710.3946188340815</v>
      </c>
      <c r="U36" s="818">
        <f t="shared" si="9"/>
        <v>8710.3946188340815</v>
      </c>
      <c r="V36" s="818">
        <f t="shared" si="9"/>
        <v>10769.318385650226</v>
      </c>
      <c r="W36" s="818">
        <f t="shared" si="9"/>
        <v>9762.6085132610879</v>
      </c>
      <c r="X36" s="818">
        <f t="shared" si="9"/>
        <v>13789.962057932104</v>
      </c>
      <c r="Y36" s="818">
        <f t="shared" si="9"/>
        <v>15943.681266562227</v>
      </c>
      <c r="Z36" s="818">
        <f t="shared" si="9"/>
        <v>11006.298515322034</v>
      </c>
      <c r="AA36" s="818">
        <f t="shared" si="9"/>
        <v>8062.079150163976</v>
      </c>
      <c r="AB36" s="818">
        <f t="shared" si="9"/>
        <v>13630.735807204252</v>
      </c>
      <c r="AC36" s="818">
        <f t="shared" si="9"/>
        <v>18339.083238815798</v>
      </c>
      <c r="AD36" s="818">
        <f t="shared" si="9"/>
        <v>26601.620602548832</v>
      </c>
      <c r="AE36" s="818">
        <f t="shared" si="9"/>
        <v>24718.02980194864</v>
      </c>
      <c r="AF36" s="818">
        <f t="shared" si="9"/>
        <v>21741.118703304306</v>
      </c>
      <c r="AG36" s="818">
        <f t="shared" si="9"/>
        <v>28594.114276911863</v>
      </c>
      <c r="AH36" s="818">
        <f t="shared" si="9"/>
        <v>32290.418149810386</v>
      </c>
      <c r="AI36" s="818">
        <f t="shared" si="9"/>
        <v>36319.727362421159</v>
      </c>
      <c r="AJ36" s="818">
        <f t="shared" si="9"/>
        <v>33557.98028701458</v>
      </c>
      <c r="AK36" s="818">
        <f t="shared" si="9"/>
        <v>39672.605716493177</v>
      </c>
      <c r="AL36" s="818">
        <f t="shared" si="9"/>
        <v>36696.877789643702</v>
      </c>
      <c r="AM36" s="818">
        <f t="shared" si="9"/>
        <v>49439.204861527003</v>
      </c>
      <c r="AN36" s="818">
        <f t="shared" si="9"/>
        <v>51093.861443200374</v>
      </c>
      <c r="AO36" s="818">
        <f>IFERROR(SUM(AO33:AO35),0)</f>
        <v>58347.795051657209</v>
      </c>
      <c r="AP36" s="818">
        <f>IFERROR(SUM(AP33:AP35),0)</f>
        <v>62862.166779361491</v>
      </c>
      <c r="AQ36" s="818">
        <f t="shared" si="9"/>
        <v>75509.589519880174</v>
      </c>
      <c r="AR36" s="818">
        <f t="shared" si="9"/>
        <v>74486.976403711218</v>
      </c>
      <c r="AS36" s="818">
        <f t="shared" si="9"/>
        <v>0</v>
      </c>
      <c r="AT36" s="818">
        <f t="shared" si="9"/>
        <v>0</v>
      </c>
      <c r="AU36" s="818">
        <f>IFERROR(SUM(AU33:AU35),0)</f>
        <v>833477.67431214848</v>
      </c>
      <c r="AV36" s="817"/>
      <c r="AW36" s="1772"/>
      <c r="AY36" s="1992">
        <f>AY35/AY34</f>
        <v>5.2761672403402033E-5</v>
      </c>
      <c r="BD36" s="142">
        <v>379257.11445347406</v>
      </c>
    </row>
    <row r="37" spans="1:56" ht="15.6">
      <c r="A37" s="1059" t="s">
        <v>1805</v>
      </c>
      <c r="B37" s="818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>
        <f>IFERROR(S36/S11,0)</f>
        <v>36.293310911808675</v>
      </c>
      <c r="T37" s="818">
        <f t="shared" ref="T37:AU37" si="10">IFERROR(T36/T11,0)</f>
        <v>24.958150770298229</v>
      </c>
      <c r="U37" s="818">
        <f t="shared" si="10"/>
        <v>25.923793508434766</v>
      </c>
      <c r="V37" s="818">
        <f t="shared" si="10"/>
        <v>31.861888714941497</v>
      </c>
      <c r="W37" s="818">
        <f t="shared" si="10"/>
        <v>32.87073573488582</v>
      </c>
      <c r="X37" s="818">
        <f t="shared" si="10"/>
        <v>52.835103670237942</v>
      </c>
      <c r="Y37" s="818">
        <f t="shared" si="10"/>
        <v>74.156657053777806</v>
      </c>
      <c r="Z37" s="818">
        <f t="shared" si="10"/>
        <v>38.216314289312621</v>
      </c>
      <c r="AA37" s="818">
        <f t="shared" si="10"/>
        <v>41.343995641866542</v>
      </c>
      <c r="AB37" s="818">
        <f t="shared" si="10"/>
        <v>78.790380388463888</v>
      </c>
      <c r="AC37" s="818">
        <f t="shared" si="10"/>
        <v>89.024675916581543</v>
      </c>
      <c r="AD37" s="818">
        <f t="shared" si="10"/>
        <v>132.34637115695935</v>
      </c>
      <c r="AE37" s="818">
        <f t="shared" si="10"/>
        <v>131.47888192525872</v>
      </c>
      <c r="AF37" s="818">
        <f t="shared" si="10"/>
        <v>96.627194236908025</v>
      </c>
      <c r="AG37" s="818">
        <f t="shared" si="10"/>
        <v>123.25049257289596</v>
      </c>
      <c r="AH37" s="818">
        <f t="shared" si="10"/>
        <v>142.24853810489157</v>
      </c>
      <c r="AI37" s="818">
        <f t="shared" si="10"/>
        <v>160.70675824080158</v>
      </c>
      <c r="AJ37" s="818">
        <f t="shared" si="10"/>
        <v>143.41017216672898</v>
      </c>
      <c r="AK37" s="818">
        <f t="shared" si="10"/>
        <v>167.39496082908514</v>
      </c>
      <c r="AL37" s="818">
        <f t="shared" si="10"/>
        <v>184.40642105348593</v>
      </c>
      <c r="AM37" s="818">
        <f t="shared" si="10"/>
        <v>238.83673846148309</v>
      </c>
      <c r="AN37" s="818">
        <f t="shared" si="10"/>
        <v>218.34983522735203</v>
      </c>
      <c r="AO37" s="818">
        <f t="shared" si="10"/>
        <v>262.82790563809556</v>
      </c>
      <c r="AP37" s="818">
        <f t="shared" si="10"/>
        <v>278.15118043965259</v>
      </c>
      <c r="AQ37" s="818">
        <f t="shared" si="10"/>
        <v>321.31740221225607</v>
      </c>
      <c r="AR37" s="818">
        <f t="shared" si="10"/>
        <v>312.97048909122361</v>
      </c>
      <c r="AS37" s="818">
        <f t="shared" si="10"/>
        <v>0</v>
      </c>
      <c r="AT37" s="818">
        <f t="shared" si="10"/>
        <v>0</v>
      </c>
      <c r="AU37" s="818">
        <f t="shared" si="10"/>
        <v>133.80601610405338</v>
      </c>
      <c r="AV37" s="817"/>
      <c r="AW37" s="1772"/>
      <c r="BD37" s="142">
        <v>54179.587779067726</v>
      </c>
    </row>
    <row r="38" spans="1:56" ht="15.6">
      <c r="B38" s="818"/>
      <c r="C38" s="818"/>
      <c r="D38" s="818"/>
      <c r="E38" s="818"/>
      <c r="F38" s="818"/>
      <c r="G38" s="818"/>
      <c r="H38" s="818"/>
      <c r="I38" s="818"/>
      <c r="J38" s="818"/>
      <c r="K38" s="818"/>
      <c r="L38" s="818"/>
      <c r="M38" s="818"/>
      <c r="N38" s="818"/>
      <c r="O38" s="818"/>
      <c r="P38" s="818"/>
      <c r="Q38" s="818"/>
      <c r="R38" s="818"/>
      <c r="S38" s="818"/>
      <c r="T38" s="818"/>
      <c r="U38" s="818"/>
      <c r="V38" s="818"/>
      <c r="W38" s="818"/>
      <c r="X38" s="818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  <c r="AI38" s="818"/>
      <c r="AJ38" s="818"/>
      <c r="AK38" s="818"/>
      <c r="AL38" s="818"/>
      <c r="AM38" s="818"/>
      <c r="AN38" s="818"/>
      <c r="AO38" s="818"/>
      <c r="AP38" s="818"/>
      <c r="AQ38" s="818"/>
      <c r="AR38" s="818"/>
      <c r="AS38" s="818"/>
      <c r="AT38" s="818"/>
      <c r="AU38" s="1057"/>
      <c r="AV38" s="817"/>
      <c r="AW38" s="1772"/>
    </row>
    <row r="39" spans="1:56" ht="15.6">
      <c r="A39" s="1687" t="s">
        <v>1806</v>
      </c>
      <c r="B39" s="1318">
        <f t="shared" ref="B39:AT39" si="11">IFERROR(B36+SUM(B45:B56),0)</f>
        <v>0</v>
      </c>
      <c r="C39" s="1318">
        <f t="shared" si="11"/>
        <v>0</v>
      </c>
      <c r="D39" s="1318">
        <f t="shared" si="11"/>
        <v>0</v>
      </c>
      <c r="E39" s="1318">
        <f t="shared" si="11"/>
        <v>0</v>
      </c>
      <c r="F39" s="1318">
        <f>IFERROR(F36+SUM(F45:F56),0)</f>
        <v>2339.6860986547085</v>
      </c>
      <c r="G39" s="1318">
        <f>IFERROR(G36+SUM(G45:G56),0)</f>
        <v>2339.6860986547085</v>
      </c>
      <c r="H39" s="1318">
        <f t="shared" si="11"/>
        <v>2339.6860986547085</v>
      </c>
      <c r="I39" s="1318">
        <f t="shared" si="11"/>
        <v>2339.6860986547085</v>
      </c>
      <c r="J39" s="1318">
        <f t="shared" si="11"/>
        <v>2152.5112107623313</v>
      </c>
      <c r="K39" s="1318">
        <f t="shared" si="11"/>
        <v>4064.8991031390128</v>
      </c>
      <c r="L39" s="1318">
        <f t="shared" si="11"/>
        <v>4064.8991031390128</v>
      </c>
      <c r="M39" s="1318">
        <f t="shared" si="11"/>
        <v>4064.8991031390128</v>
      </c>
      <c r="N39" s="1318">
        <f t="shared" si="11"/>
        <v>4064.8991031390128</v>
      </c>
      <c r="O39" s="1318">
        <f t="shared" si="11"/>
        <v>6467.961883408072</v>
      </c>
      <c r="P39" s="1318">
        <f t="shared" si="11"/>
        <v>6467.961883408072</v>
      </c>
      <c r="Q39" s="1318">
        <f t="shared" si="11"/>
        <v>6467.961883408072</v>
      </c>
      <c r="R39" s="1318">
        <f t="shared" si="11"/>
        <v>6935.8991031390133</v>
      </c>
      <c r="S39" s="1317">
        <f t="shared" si="11"/>
        <v>8710.3946188340815</v>
      </c>
      <c r="T39" s="1317">
        <f t="shared" si="11"/>
        <v>8710.3946188340815</v>
      </c>
      <c r="U39" s="1317">
        <f t="shared" si="11"/>
        <v>8710.3946188340815</v>
      </c>
      <c r="V39" s="1319">
        <f t="shared" si="11"/>
        <v>10769.318385650226</v>
      </c>
      <c r="W39" s="1319">
        <f t="shared" si="11"/>
        <v>6837.1130328562504</v>
      </c>
      <c r="X39" s="1060">
        <f t="shared" si="11"/>
        <v>10144.339904685687</v>
      </c>
      <c r="Y39" s="1060">
        <f t="shared" si="11"/>
        <v>12235.848413873337</v>
      </c>
      <c r="Z39" s="1551">
        <f t="shared" si="11"/>
        <v>7987.2096864663372</v>
      </c>
      <c r="AA39" s="1551">
        <f t="shared" si="11"/>
        <v>8062.079150163976</v>
      </c>
      <c r="AB39" s="1551">
        <f t="shared" si="11"/>
        <v>13630.735807204252</v>
      </c>
      <c r="AC39" s="1551">
        <f t="shared" si="11"/>
        <v>19763.478053481103</v>
      </c>
      <c r="AD39" s="1320">
        <f t="shared" si="11"/>
        <v>28719.162541060181</v>
      </c>
      <c r="AE39" s="1320">
        <f t="shared" si="11"/>
        <v>26821.69191275278</v>
      </c>
      <c r="AF39" s="1553">
        <f t="shared" si="11"/>
        <v>23287.153811094835</v>
      </c>
      <c r="AG39" s="1553">
        <f t="shared" si="11"/>
        <v>28594.114276911863</v>
      </c>
      <c r="AH39" s="1554">
        <f t="shared" si="11"/>
        <v>32290.418149810386</v>
      </c>
      <c r="AI39" s="1554">
        <f t="shared" si="11"/>
        <v>36319.727362421159</v>
      </c>
      <c r="AJ39" s="1554">
        <f>IFERROR(AJ36+SUM(AJ45:AJ56),0)</f>
        <v>33557.98028701458</v>
      </c>
      <c r="AK39" s="1552">
        <f t="shared" si="11"/>
        <v>39672.605716493177</v>
      </c>
      <c r="AL39" s="1552">
        <f t="shared" si="11"/>
        <v>36696.877789643702</v>
      </c>
      <c r="AM39" s="1552">
        <f t="shared" si="11"/>
        <v>49439.204861527003</v>
      </c>
      <c r="AN39" s="1552">
        <f t="shared" si="11"/>
        <v>51093.861443200374</v>
      </c>
      <c r="AO39" s="1799">
        <f>IFERROR(AO36+SUM(AO45:AO56),0)</f>
        <v>58347.795051657209</v>
      </c>
      <c r="AP39" s="818">
        <f>IFERROR(AP36+SUM(AP45:AP56),0)</f>
        <v>62862.166779361491</v>
      </c>
      <c r="AQ39" s="818">
        <f t="shared" si="11"/>
        <v>75509.589519880174</v>
      </c>
      <c r="AR39" s="818">
        <f t="shared" si="11"/>
        <v>74486.976403711218</v>
      </c>
      <c r="AS39" s="818">
        <f t="shared" si="11"/>
        <v>0</v>
      </c>
      <c r="AT39" s="818">
        <f t="shared" si="11"/>
        <v>0</v>
      </c>
      <c r="AU39" s="807">
        <f>IFERROR(AU36+SUM(AU45:AU56),0)</f>
        <v>827371.26896872395</v>
      </c>
      <c r="AV39" s="817"/>
      <c r="AW39" s="1772"/>
      <c r="AY39" s="817">
        <f>SUM(S29:AO29)</f>
        <v>5141</v>
      </c>
      <c r="BD39" s="142">
        <v>379257.11445347406</v>
      </c>
    </row>
    <row r="40" spans="1:56" ht="15.6">
      <c r="A40" s="1066" t="s">
        <v>1807</v>
      </c>
      <c r="B40" s="1318">
        <f>B76*$B$68</f>
        <v>2024.2713004484306</v>
      </c>
      <c r="C40" s="1318">
        <f t="shared" ref="C40:R40" si="12">C76*$B$68</f>
        <v>2024.2713004484306</v>
      </c>
      <c r="D40" s="1318">
        <f t="shared" si="12"/>
        <v>2024.2713004484306</v>
      </c>
      <c r="E40" s="1318">
        <f t="shared" si="12"/>
        <v>2024.2713004484306</v>
      </c>
      <c r="F40" s="1318">
        <f>F76*$B$68</f>
        <v>1862.3295964125559</v>
      </c>
      <c r="G40" s="1318">
        <f t="shared" si="12"/>
        <v>1862.3295964125559</v>
      </c>
      <c r="H40" s="1318">
        <f t="shared" si="12"/>
        <v>1862.3295964125559</v>
      </c>
      <c r="I40" s="1318">
        <f t="shared" si="12"/>
        <v>1862.3295964125559</v>
      </c>
      <c r="J40" s="1318">
        <f t="shared" si="12"/>
        <v>1862.3295964125559</v>
      </c>
      <c r="K40" s="1318">
        <f t="shared" si="12"/>
        <v>1862.3295964125559</v>
      </c>
      <c r="L40" s="1318">
        <f t="shared" si="12"/>
        <v>1862.3295964125559</v>
      </c>
      <c r="M40" s="1318">
        <f t="shared" si="12"/>
        <v>1862.3295964125559</v>
      </c>
      <c r="N40" s="1318">
        <f t="shared" si="12"/>
        <v>2267.1838565022422</v>
      </c>
      <c r="O40" s="1318">
        <f t="shared" si="12"/>
        <v>2267.1838565022422</v>
      </c>
      <c r="P40" s="1318">
        <f t="shared" si="12"/>
        <v>2267.1838565022422</v>
      </c>
      <c r="Q40" s="1318">
        <f t="shared" si="12"/>
        <v>2267.1838565022422</v>
      </c>
      <c r="R40" s="1318">
        <f t="shared" si="12"/>
        <v>4048.5426008968611</v>
      </c>
      <c r="S40" s="1317">
        <f>S76*$D$68</f>
        <v>2771.6129032258063</v>
      </c>
      <c r="T40" s="1317">
        <f>T76*$D$68</f>
        <v>5081.2903225806449</v>
      </c>
      <c r="U40" s="1317">
        <f>U76*$D$68</f>
        <v>6467.0967741935483</v>
      </c>
      <c r="V40" s="1319">
        <f>V76*'Feed Cost &amp; Allocation'!B81+V76*SUM('Feed Cost &amp; Allocation'!Y81:Z81)</f>
        <v>3014.2092970960766</v>
      </c>
      <c r="W40" s="1319">
        <f>W76*'Feed Cost &amp; Allocation'!B81+W76*SUM('Feed Cost &amp; Allocation'!Y81:Z81)</f>
        <v>1099.7907029039231</v>
      </c>
      <c r="X40" s="1060">
        <f>IFERROR(X76*$F$68,0)</f>
        <v>3993.9991018860392</v>
      </c>
      <c r="Y40" s="1060">
        <f>IFERROR(Y76*$F$68,0)</f>
        <v>4353.0008981139608</v>
      </c>
      <c r="Z40" s="1551">
        <f>IFERROR(Z7/(Z7+AA7+AB7+AC7)*('Feed Cost &amp; Allocation'!D81+'Feed Cost &amp; Allocation'!E81),0)</f>
        <v>14770.858468677494</v>
      </c>
      <c r="AA40" s="1551">
        <f>IFERROR(AA7/(Z7+AA7+AB7+AC7)*('Feed Cost &amp; Allocation'!D81+'Feed Cost &amp; Allocation'!E81),0)</f>
        <v>10001.102088167054</v>
      </c>
      <c r="AB40" s="1551">
        <f>IFERROR(AB7/(AA7+AB7+AC7+Z7)*('Feed Cost &amp; Allocation'!D81+'Feed Cost &amp; Allocation'!E81),0)</f>
        <v>8872.772621809745</v>
      </c>
      <c r="AC40" s="1551">
        <f>IFERROR(AC7/(AB7+AC7+AA7+Z7)*('Feed Cost &amp; Allocation'!D81+'Feed Cost &amp; Allocation'!E81),0)-'Feed Cost &amp; Allocation'!C111</f>
        <v>10565.266821345707</v>
      </c>
      <c r="AD40" s="1320">
        <f>IFERROR((AD7/(AD7+AE7))*'Feed Cost &amp; Allocation'!F81,0)-'Feed Cost &amp; Allocation'!C111</f>
        <v>13973.892030848328</v>
      </c>
      <c r="AE40" s="1320">
        <f>'Feed Cost &amp; Allocation'!F81-AD40-'Feed Cost &amp; Allocation'!C111</f>
        <v>13070.107969151672</v>
      </c>
      <c r="AF40" s="1553">
        <f>+AF29/(AF29+AG29)*'Feed Cost &amp; Allocation'!G81</f>
        <v>14620.374193548389</v>
      </c>
      <c r="AG40" s="1553">
        <f>+AG29/(AG29+AF29)*'Feed Cost &amp; Allocation'!G81</f>
        <v>14557.625806451611</v>
      </c>
      <c r="AH40" s="1554">
        <f>IFERROR(AH7/(AH7+AI7+AJ7)*'Feed Cost &amp; Allocation'!H81,0)</f>
        <v>12282.120815138283</v>
      </c>
      <c r="AI40" s="1554">
        <f>IFERROR(AI7/(AH7+AJ7+AI7)*'Feed Cost &amp; Allocation'!H81,0)</f>
        <v>12228.014556040758</v>
      </c>
      <c r="AJ40" s="1554">
        <f>IFERROR(AJ7/(AH7+AJ7+AI7)*'Feed Cost &amp; Allocation'!H81,0)</f>
        <v>12660.864628820962</v>
      </c>
      <c r="AK40" s="1552">
        <f>+(AK7/($AK7+$AL7+$AM7+$AN7)*('Feed Cost &amp; Allocation'!$J81+'Feed Cost &amp; Allocation'!$AF81))</f>
        <v>18725.161915621436</v>
      </c>
      <c r="AL40" s="1552">
        <f>+(AL7/($AK7+$AL7+$AM7+$AN7)*('Feed Cost &amp; Allocation'!$J81+'Feed Cost &amp; Allocation'!$AF81))</f>
        <v>15722.815279361459</v>
      </c>
      <c r="AM40" s="1552">
        <f>+(AM7/($AK7+$AL7+$AM7+$AN7)*('Feed Cost &amp; Allocation'!$J81+'Feed Cost &amp; Allocation'!$AF81))</f>
        <v>16354.888255416192</v>
      </c>
      <c r="AN40" s="1552">
        <f>+(AN7/($AK7+$AL7+$AM7+$AN7)*('Feed Cost &amp; Allocation'!$J81+'Feed Cost &amp; Allocation'!$AF81))</f>
        <v>18488.134549600913</v>
      </c>
      <c r="AO40" s="1799">
        <f>+'Feed Cost &amp; Allocation'!AA139</f>
        <v>0</v>
      </c>
      <c r="AP40" s="818">
        <f>+'Feed Cost &amp; Allocation'!AB139</f>
        <v>0</v>
      </c>
      <c r="AQ40" s="818">
        <f>+'Feed Cost &amp; Allocation'!AC139</f>
        <v>0</v>
      </c>
      <c r="AR40" s="818">
        <v>0</v>
      </c>
      <c r="AS40" s="818">
        <v>0</v>
      </c>
      <c r="AT40" s="818">
        <v>0</v>
      </c>
      <c r="AU40" s="807">
        <f>IFERROR(SUM(B40:AT40),0)</f>
        <v>269787.99999999994</v>
      </c>
      <c r="AV40" s="1199">
        <f>+AU40-'Feed Cost &amp; Allocation'!AY81+'Feed Cost &amp; Allocation'!R81+'Feed Cost &amp; Allocation'!Q81+'Feed Cost &amp; Allocation'!P81+'Feed Cost &amp; Allocation'!W81+'Feed Cost &amp; Allocation'!X81+'Feed Cost &amp; Allocation'!AB81-F67</f>
        <v>-8.1513462646398693E-11</v>
      </c>
      <c r="AW40" s="1088">
        <f>+'Feed Cost &amp; Allocation'!P81+'Feed Cost &amp; Allocation'!Q81+'Feed Cost &amp; Allocation'!R81+'Feed Cost &amp; Allocation'!W81+'Feed Cost &amp; Allocation'!X81+'Feed Cost &amp; Allocation'!AB81-F67</f>
        <v>10866.9</v>
      </c>
      <c r="AX40" s="818">
        <f>'Feed Cost &amp; Allocation'!AY74-'Multiplier Pig Cost '!AU40</f>
        <v>-29004.999999999942</v>
      </c>
      <c r="AY40" s="817">
        <f>SUM(S62:AO62)</f>
        <v>786210.68625118874</v>
      </c>
    </row>
    <row r="41" spans="1:56" ht="15.6">
      <c r="A41" s="1790" t="s">
        <v>1808</v>
      </c>
      <c r="B41" s="1318">
        <f>IFERROR(SUM(B39:B40),0)</f>
        <v>2024.2713004484306</v>
      </c>
      <c r="C41" s="1318">
        <f t="shared" ref="C41:AU41" si="13">IFERROR(SUM(C39:C40),0)</f>
        <v>2024.2713004484306</v>
      </c>
      <c r="D41" s="1318">
        <f t="shared" si="13"/>
        <v>2024.2713004484306</v>
      </c>
      <c r="E41" s="1318">
        <f t="shared" si="13"/>
        <v>2024.2713004484306</v>
      </c>
      <c r="F41" s="1318">
        <f t="shared" si="13"/>
        <v>4202.0156950672645</v>
      </c>
      <c r="G41" s="1318">
        <f t="shared" si="13"/>
        <v>4202.0156950672645</v>
      </c>
      <c r="H41" s="1318">
        <f t="shared" si="13"/>
        <v>4202.0156950672645</v>
      </c>
      <c r="I41" s="1318">
        <f t="shared" si="13"/>
        <v>4202.0156950672645</v>
      </c>
      <c r="J41" s="1318">
        <f t="shared" si="13"/>
        <v>4014.8408071748872</v>
      </c>
      <c r="K41" s="1318">
        <f t="shared" si="13"/>
        <v>5927.2286995515688</v>
      </c>
      <c r="L41" s="1318">
        <f t="shared" si="13"/>
        <v>5927.2286995515688</v>
      </c>
      <c r="M41" s="1318">
        <f t="shared" si="13"/>
        <v>5927.2286995515688</v>
      </c>
      <c r="N41" s="1318">
        <f t="shared" si="13"/>
        <v>6332.082959641255</v>
      </c>
      <c r="O41" s="1318">
        <f t="shared" si="13"/>
        <v>8735.1457399103147</v>
      </c>
      <c r="P41" s="1318">
        <f t="shared" si="13"/>
        <v>8735.1457399103147</v>
      </c>
      <c r="Q41" s="1318">
        <f t="shared" si="13"/>
        <v>8735.1457399103147</v>
      </c>
      <c r="R41" s="1318">
        <f t="shared" si="13"/>
        <v>10984.441704035875</v>
      </c>
      <c r="S41" s="1317">
        <f t="shared" si="13"/>
        <v>11482.007522059888</v>
      </c>
      <c r="T41" s="1317">
        <f t="shared" si="13"/>
        <v>13791.684941414725</v>
      </c>
      <c r="U41" s="1317">
        <f t="shared" si="13"/>
        <v>15177.491393027631</v>
      </c>
      <c r="V41" s="1319">
        <f t="shared" si="13"/>
        <v>13783.527682746302</v>
      </c>
      <c r="W41" s="1319">
        <f t="shared" si="13"/>
        <v>7936.9037357601737</v>
      </c>
      <c r="X41" s="1060">
        <f t="shared" si="13"/>
        <v>14138.339006571725</v>
      </c>
      <c r="Y41" s="1060">
        <f t="shared" si="13"/>
        <v>16588.849311987298</v>
      </c>
      <c r="Z41" s="1551">
        <f t="shared" si="13"/>
        <v>22758.068155143832</v>
      </c>
      <c r="AA41" s="1551">
        <f>IFERROR(SUM(AA39:AA40),0)</f>
        <v>18063.181238331032</v>
      </c>
      <c r="AB41" s="1551">
        <f t="shared" si="13"/>
        <v>22503.508429013997</v>
      </c>
      <c r="AC41" s="1551">
        <f t="shared" si="13"/>
        <v>30328.744874826811</v>
      </c>
      <c r="AD41" s="1320">
        <f t="shared" si="13"/>
        <v>42693.054571908506</v>
      </c>
      <c r="AE41" s="1320">
        <f t="shared" si="13"/>
        <v>39891.799881904451</v>
      </c>
      <c r="AF41" s="1553">
        <f t="shared" si="13"/>
        <v>37907.528004643224</v>
      </c>
      <c r="AG41" s="1553">
        <f t="shared" si="13"/>
        <v>43151.740083363475</v>
      </c>
      <c r="AH41" s="1554">
        <f t="shared" si="13"/>
        <v>44572.538964948668</v>
      </c>
      <c r="AI41" s="1554">
        <f t="shared" si="13"/>
        <v>48547.741918461921</v>
      </c>
      <c r="AJ41" s="1554">
        <f t="shared" si="13"/>
        <v>46218.844915835543</v>
      </c>
      <c r="AK41" s="1552">
        <f t="shared" si="13"/>
        <v>58397.767632114614</v>
      </c>
      <c r="AL41" s="1552">
        <f t="shared" si="13"/>
        <v>52419.693069005159</v>
      </c>
      <c r="AM41" s="1552">
        <f t="shared" si="13"/>
        <v>65794.093116943201</v>
      </c>
      <c r="AN41" s="1552">
        <f>IFERROR(SUM(AN39:AN40),0)</f>
        <v>69581.995992801283</v>
      </c>
      <c r="AO41" s="1799">
        <f>IFERROR(SUM(AO39:AO40),0)</f>
        <v>58347.795051657209</v>
      </c>
      <c r="AP41" s="818">
        <f>IFERROR(SUM(AP39:AP40),0)</f>
        <v>62862.166779361491</v>
      </c>
      <c r="AQ41" s="818">
        <f t="shared" si="13"/>
        <v>75509.589519880174</v>
      </c>
      <c r="AR41" s="818">
        <f t="shared" si="13"/>
        <v>74486.976403711218</v>
      </c>
      <c r="AS41" s="818">
        <f t="shared" si="13"/>
        <v>0</v>
      </c>
      <c r="AT41" s="818">
        <f t="shared" si="13"/>
        <v>0</v>
      </c>
      <c r="AU41" s="807">
        <f t="shared" si="13"/>
        <v>1097159.2689687239</v>
      </c>
      <c r="AW41" s="818"/>
      <c r="AY41" s="817">
        <f>AY40/AY39</f>
        <v>152.92952465496765</v>
      </c>
      <c r="BD41" s="142">
        <v>379257.11445347406</v>
      </c>
    </row>
    <row r="42" spans="1:56" ht="15.6">
      <c r="AU42" s="1086"/>
      <c r="AY42" s="817"/>
    </row>
    <row r="43" spans="1:56" ht="15.6">
      <c r="A43" s="1790" t="s">
        <v>1809</v>
      </c>
      <c r="S43" s="1074">
        <f>IFERROR(S41/SUM(S11:S23),0)</f>
        <v>47.841698008582867</v>
      </c>
      <c r="T43" s="1074">
        <f t="shared" ref="T43:AU43" si="14">IFERROR(T41/SUM(T11:T23),0)</f>
        <v>39.517721895171135</v>
      </c>
      <c r="U43" s="1074">
        <f t="shared" si="14"/>
        <v>45.171105336391761</v>
      </c>
      <c r="V43" s="1074">
        <f t="shared" si="14"/>
        <v>40.779667700432846</v>
      </c>
      <c r="W43" s="1074">
        <f t="shared" si="14"/>
        <v>38.158191037308526</v>
      </c>
      <c r="X43" s="1074">
        <f t="shared" si="14"/>
        <v>73.6371823258944</v>
      </c>
      <c r="Y43" s="1074">
        <f t="shared" si="14"/>
        <v>100.5384806787109</v>
      </c>
      <c r="Z43" s="1074">
        <f t="shared" si="14"/>
        <v>109.41378920742227</v>
      </c>
      <c r="AA43" s="1074">
        <f t="shared" si="14"/>
        <v>93.109181640881602</v>
      </c>
      <c r="AB43" s="1074">
        <f t="shared" si="14"/>
        <v>130.83435133147671</v>
      </c>
      <c r="AC43" s="1074">
        <f>IFERROR(AC41/SUM(AC11:AC22),0)</f>
        <v>142.3884735907362</v>
      </c>
      <c r="AD43" s="1074">
        <f>IFERROR(AD41/SUM(AD11:AD22),0)</f>
        <v>205.25507005725242</v>
      </c>
      <c r="AE43" s="1074">
        <f>IFERROR(AE41/SUM(AE11:AE22),0)</f>
        <v>203.52959123420638</v>
      </c>
      <c r="AF43" s="1074">
        <f>IFERROR(AF41/SUM(AF11:AF22),0)</f>
        <v>163.39451726139322</v>
      </c>
      <c r="AG43" s="1074">
        <f>IFERROR(AG41/SUM(AG11:AG22),0)</f>
        <v>185.99887966967015</v>
      </c>
      <c r="AH43" s="1074">
        <f t="shared" si="14"/>
        <v>197.22362373871093</v>
      </c>
      <c r="AI43" s="1074">
        <f t="shared" si="14"/>
        <v>214.81301733832709</v>
      </c>
      <c r="AJ43" s="1074">
        <f t="shared" si="14"/>
        <v>198.36414126968043</v>
      </c>
      <c r="AK43" s="1074">
        <f>IFERROR(AK41/SUM(AK11:AK23),0)</f>
        <v>246.40408283592663</v>
      </c>
      <c r="AL43" s="1074">
        <f t="shared" si="14"/>
        <v>264.74592459093515</v>
      </c>
      <c r="AM43" s="1074">
        <f t="shared" si="14"/>
        <v>317.84586046832464</v>
      </c>
      <c r="AN43" s="1074">
        <f>IFERROR(AN41/SUM(AN11:AN23),0)</f>
        <v>298.63517593476945</v>
      </c>
      <c r="AO43" s="1074">
        <f>IFERROR(AO41/SUM(AO11:AO23),0)</f>
        <v>262.82790563809556</v>
      </c>
      <c r="AP43" s="1074">
        <f>IFERROR(AP41/SUM(AP11:AP23),0)</f>
        <v>279.3874079082733</v>
      </c>
      <c r="AQ43" s="1074">
        <f>IFERROR(AQ41/SUM(AQ11:AQ23),0)</f>
        <v>321.31740221225607</v>
      </c>
      <c r="AR43" s="1074">
        <f>IFERROR(AR41/SUM(AR11:AR23),0)</f>
        <v>312.97048909122361</v>
      </c>
      <c r="AS43" s="1074">
        <f t="shared" si="14"/>
        <v>0</v>
      </c>
      <c r="AT43" s="1074">
        <f t="shared" si="14"/>
        <v>0</v>
      </c>
      <c r="AU43" s="1074">
        <f t="shared" si="14"/>
        <v>183.9945109791588</v>
      </c>
      <c r="BD43" s="142">
        <v>54179.587779067726</v>
      </c>
    </row>
    <row r="44" spans="1:56" ht="15.6"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74"/>
      <c r="AJ44" s="1074"/>
      <c r="AK44" s="1074"/>
      <c r="AL44" s="1074"/>
      <c r="AM44" s="1074"/>
      <c r="AN44" s="1074"/>
      <c r="AO44" s="1074"/>
      <c r="AP44" s="1074"/>
      <c r="AQ44" s="1074"/>
      <c r="AR44" s="1074"/>
      <c r="AS44" s="1074"/>
      <c r="AT44" s="1074"/>
      <c r="AU44" s="1074"/>
    </row>
    <row r="45" spans="1:56" ht="15.6">
      <c r="A45" s="142" t="str">
        <f t="shared" ref="A45:A50" si="15">+A12</f>
        <v>Transfers Lionshead</v>
      </c>
      <c r="S45" s="1059">
        <f>S12*S37</f>
        <v>0</v>
      </c>
      <c r="T45" s="1059">
        <f t="shared" ref="T45:AS45" si="16">T12*T37</f>
        <v>0</v>
      </c>
      <c r="U45" s="1059">
        <f t="shared" si="16"/>
        <v>0</v>
      </c>
      <c r="V45" s="1059">
        <f t="shared" si="16"/>
        <v>0</v>
      </c>
      <c r="W45" s="1059">
        <f t="shared" si="16"/>
        <v>0</v>
      </c>
      <c r="X45" s="1059">
        <f t="shared" si="16"/>
        <v>0</v>
      </c>
      <c r="Y45" s="1059">
        <f t="shared" si="16"/>
        <v>0</v>
      </c>
      <c r="Z45" s="1059">
        <f t="shared" si="16"/>
        <v>0</v>
      </c>
      <c r="AA45" s="1059">
        <f t="shared" si="16"/>
        <v>0</v>
      </c>
      <c r="AB45" s="1059">
        <f t="shared" si="16"/>
        <v>0</v>
      </c>
      <c r="AC45" s="1059">
        <f t="shared" si="16"/>
        <v>0</v>
      </c>
      <c r="AD45" s="1059">
        <f t="shared" si="16"/>
        <v>0</v>
      </c>
      <c r="AE45" s="1059">
        <f t="shared" si="16"/>
        <v>0</v>
      </c>
      <c r="AF45" s="1059">
        <f t="shared" si="16"/>
        <v>0</v>
      </c>
      <c r="AG45" s="1059">
        <f t="shared" si="16"/>
        <v>0</v>
      </c>
      <c r="AH45" s="1059">
        <f t="shared" si="16"/>
        <v>0</v>
      </c>
      <c r="AI45" s="1059">
        <f t="shared" si="16"/>
        <v>0</v>
      </c>
      <c r="AJ45" s="1059">
        <f t="shared" si="16"/>
        <v>0</v>
      </c>
      <c r="AK45" s="1059">
        <f t="shared" si="16"/>
        <v>0</v>
      </c>
      <c r="AL45" s="1059">
        <f t="shared" si="16"/>
        <v>0</v>
      </c>
      <c r="AM45" s="1059">
        <f t="shared" si="16"/>
        <v>0</v>
      </c>
      <c r="AN45" s="1059">
        <f t="shared" si="16"/>
        <v>0</v>
      </c>
      <c r="AO45" s="1059">
        <f t="shared" si="16"/>
        <v>0</v>
      </c>
      <c r="AP45" s="1059">
        <f t="shared" si="16"/>
        <v>0</v>
      </c>
      <c r="AQ45" s="1059">
        <f t="shared" si="16"/>
        <v>0</v>
      </c>
      <c r="AR45" s="1059">
        <f t="shared" si="16"/>
        <v>0</v>
      </c>
      <c r="AS45" s="1059">
        <f t="shared" si="16"/>
        <v>0</v>
      </c>
      <c r="AT45" s="1059">
        <f>AT12*AT37</f>
        <v>0</v>
      </c>
      <c r="AU45" s="1282">
        <f t="shared" ref="AU45:AU62" si="17">SUM(B45:AT45)</f>
        <v>0</v>
      </c>
      <c r="BD45" s="142">
        <v>0</v>
      </c>
    </row>
    <row r="46" spans="1:56" ht="15.6">
      <c r="A46" s="142" t="str">
        <f t="shared" si="15"/>
        <v>Transfers Lionshead Ext.</v>
      </c>
      <c r="S46" s="1059">
        <f>S13*S37</f>
        <v>0</v>
      </c>
      <c r="T46" s="1059">
        <f t="shared" ref="T46:AS46" si="18">T13*T37</f>
        <v>0</v>
      </c>
      <c r="U46" s="1059">
        <f t="shared" si="18"/>
        <v>0</v>
      </c>
      <c r="V46" s="1059">
        <f t="shared" si="18"/>
        <v>0</v>
      </c>
      <c r="W46" s="1059">
        <f t="shared" si="18"/>
        <v>0</v>
      </c>
      <c r="X46" s="1059">
        <f t="shared" si="18"/>
        <v>0</v>
      </c>
      <c r="Y46" s="1059">
        <f t="shared" si="18"/>
        <v>0</v>
      </c>
      <c r="Z46" s="1059">
        <f t="shared" si="18"/>
        <v>0</v>
      </c>
      <c r="AA46" s="1059">
        <f t="shared" si="18"/>
        <v>0</v>
      </c>
      <c r="AB46" s="1059">
        <f t="shared" si="18"/>
        <v>0</v>
      </c>
      <c r="AC46" s="1059">
        <f t="shared" si="18"/>
        <v>0</v>
      </c>
      <c r="AD46" s="1059">
        <f t="shared" si="18"/>
        <v>0</v>
      </c>
      <c r="AE46" s="1059">
        <f t="shared" si="18"/>
        <v>0</v>
      </c>
      <c r="AF46" s="1059">
        <f t="shared" si="18"/>
        <v>0</v>
      </c>
      <c r="AG46" s="1059">
        <f t="shared" si="18"/>
        <v>0</v>
      </c>
      <c r="AH46" s="1059">
        <f t="shared" si="18"/>
        <v>0</v>
      </c>
      <c r="AI46" s="1059">
        <f t="shared" si="18"/>
        <v>0</v>
      </c>
      <c r="AJ46" s="1059">
        <f t="shared" si="18"/>
        <v>0</v>
      </c>
      <c r="AK46" s="1059">
        <f t="shared" si="18"/>
        <v>0</v>
      </c>
      <c r="AL46" s="1059">
        <f t="shared" si="18"/>
        <v>0</v>
      </c>
      <c r="AM46" s="1059">
        <f t="shared" si="18"/>
        <v>0</v>
      </c>
      <c r="AN46" s="1059">
        <f t="shared" si="18"/>
        <v>0</v>
      </c>
      <c r="AO46" s="1059">
        <f t="shared" si="18"/>
        <v>0</v>
      </c>
      <c r="AP46" s="1059">
        <f t="shared" si="18"/>
        <v>0</v>
      </c>
      <c r="AQ46" s="1059">
        <f t="shared" si="18"/>
        <v>0</v>
      </c>
      <c r="AR46" s="1059">
        <f t="shared" si="18"/>
        <v>0</v>
      </c>
      <c r="AS46" s="1059">
        <f t="shared" si="18"/>
        <v>0</v>
      </c>
      <c r="AT46" s="1059">
        <f>AT13*AT37</f>
        <v>0</v>
      </c>
      <c r="AU46" s="1282">
        <f t="shared" si="17"/>
        <v>0</v>
      </c>
      <c r="BD46" s="142">
        <v>0</v>
      </c>
    </row>
    <row r="47" spans="1:56" ht="15.6">
      <c r="A47" s="142" t="str">
        <f t="shared" si="15"/>
        <v>Transfers  Richlands</v>
      </c>
      <c r="S47" s="1059">
        <f>S14*S37</f>
        <v>0</v>
      </c>
      <c r="T47" s="1059">
        <f t="shared" ref="T47:AS47" si="19">T14*T37</f>
        <v>0</v>
      </c>
      <c r="U47" s="1059">
        <f t="shared" si="19"/>
        <v>0</v>
      </c>
      <c r="V47" s="1059">
        <f t="shared" si="19"/>
        <v>0</v>
      </c>
      <c r="W47" s="1059">
        <f t="shared" si="19"/>
        <v>0</v>
      </c>
      <c r="X47" s="1059">
        <f t="shared" si="19"/>
        <v>0</v>
      </c>
      <c r="Y47" s="1059">
        <f t="shared" si="19"/>
        <v>0</v>
      </c>
      <c r="Z47" s="1059">
        <f t="shared" si="19"/>
        <v>0</v>
      </c>
      <c r="AA47" s="1059">
        <f t="shared" si="19"/>
        <v>0</v>
      </c>
      <c r="AB47" s="1059">
        <f t="shared" si="19"/>
        <v>0</v>
      </c>
      <c r="AC47" s="1059">
        <f t="shared" si="19"/>
        <v>0</v>
      </c>
      <c r="AD47" s="1059">
        <f t="shared" si="19"/>
        <v>0</v>
      </c>
      <c r="AE47" s="1059">
        <f t="shared" si="19"/>
        <v>0</v>
      </c>
      <c r="AF47" s="1059">
        <f t="shared" si="19"/>
        <v>0</v>
      </c>
      <c r="AG47" s="1059">
        <f t="shared" si="19"/>
        <v>0</v>
      </c>
      <c r="AH47" s="1059">
        <f t="shared" si="19"/>
        <v>0</v>
      </c>
      <c r="AI47" s="1059">
        <f t="shared" si="19"/>
        <v>0</v>
      </c>
      <c r="AJ47" s="1059">
        <f t="shared" si="19"/>
        <v>0</v>
      </c>
      <c r="AK47" s="1059">
        <f t="shared" si="19"/>
        <v>0</v>
      </c>
      <c r="AL47" s="1059">
        <f t="shared" si="19"/>
        <v>0</v>
      </c>
      <c r="AM47" s="1059">
        <f t="shared" si="19"/>
        <v>0</v>
      </c>
      <c r="AN47" s="1059">
        <f t="shared" si="19"/>
        <v>0</v>
      </c>
      <c r="AO47" s="1059">
        <f t="shared" si="19"/>
        <v>0</v>
      </c>
      <c r="AP47" s="1059">
        <f t="shared" si="19"/>
        <v>0</v>
      </c>
      <c r="AQ47" s="1059">
        <f t="shared" si="19"/>
        <v>0</v>
      </c>
      <c r="AR47" s="1059">
        <f t="shared" si="19"/>
        <v>0</v>
      </c>
      <c r="AS47" s="1059">
        <f t="shared" si="19"/>
        <v>0</v>
      </c>
      <c r="AT47" s="1059">
        <f>AT14*AT37</f>
        <v>0</v>
      </c>
      <c r="AU47" s="1282">
        <f t="shared" si="17"/>
        <v>0</v>
      </c>
      <c r="BD47" s="142">
        <v>0</v>
      </c>
    </row>
    <row r="48" spans="1:56" ht="15.6">
      <c r="A48" s="142" t="str">
        <f t="shared" si="15"/>
        <v>Transfers Learig</v>
      </c>
      <c r="S48" s="1059">
        <f>S15*S37</f>
        <v>0</v>
      </c>
      <c r="T48" s="1059">
        <f t="shared" ref="T48:AS48" si="20">T15*T37</f>
        <v>0</v>
      </c>
      <c r="U48" s="1059">
        <f t="shared" si="20"/>
        <v>0</v>
      </c>
      <c r="V48" s="1059">
        <f t="shared" si="20"/>
        <v>0</v>
      </c>
      <c r="W48" s="1059">
        <f t="shared" si="20"/>
        <v>0</v>
      </c>
      <c r="X48" s="1059">
        <f t="shared" si="20"/>
        <v>0</v>
      </c>
      <c r="Y48" s="1059">
        <f t="shared" si="20"/>
        <v>0</v>
      </c>
      <c r="Z48" s="1059">
        <f t="shared" si="20"/>
        <v>0</v>
      </c>
      <c r="AA48" s="1059">
        <f t="shared" si="20"/>
        <v>0</v>
      </c>
      <c r="AB48" s="1059">
        <f t="shared" si="20"/>
        <v>0</v>
      </c>
      <c r="AC48" s="1059">
        <f t="shared" si="20"/>
        <v>0</v>
      </c>
      <c r="AD48" s="1059">
        <f t="shared" si="20"/>
        <v>0</v>
      </c>
      <c r="AE48" s="1059">
        <f t="shared" si="20"/>
        <v>0</v>
      </c>
      <c r="AF48" s="1059">
        <f t="shared" si="20"/>
        <v>0</v>
      </c>
      <c r="AG48" s="1059">
        <f t="shared" si="20"/>
        <v>0</v>
      </c>
      <c r="AH48" s="1059">
        <f t="shared" si="20"/>
        <v>0</v>
      </c>
      <c r="AI48" s="1059">
        <f t="shared" si="20"/>
        <v>0</v>
      </c>
      <c r="AJ48" s="1059">
        <f t="shared" si="20"/>
        <v>0</v>
      </c>
      <c r="AK48" s="1059">
        <f t="shared" si="20"/>
        <v>0</v>
      </c>
      <c r="AL48" s="1059">
        <f t="shared" si="20"/>
        <v>0</v>
      </c>
      <c r="AM48" s="1059">
        <f t="shared" si="20"/>
        <v>0</v>
      </c>
      <c r="AN48" s="1059">
        <f t="shared" si="20"/>
        <v>0</v>
      </c>
      <c r="AO48" s="1059">
        <f t="shared" si="20"/>
        <v>0</v>
      </c>
      <c r="AP48" s="1059">
        <f t="shared" si="20"/>
        <v>0</v>
      </c>
      <c r="AQ48" s="1059">
        <f t="shared" si="20"/>
        <v>0</v>
      </c>
      <c r="AR48" s="1059">
        <f t="shared" si="20"/>
        <v>0</v>
      </c>
      <c r="AS48" s="1059">
        <f t="shared" si="20"/>
        <v>0</v>
      </c>
      <c r="AT48" s="1059">
        <f>AT15*AT37</f>
        <v>0</v>
      </c>
      <c r="AU48" s="1282">
        <f>SUM(B48:AT48)</f>
        <v>0</v>
      </c>
      <c r="BD48" s="142">
        <v>0</v>
      </c>
    </row>
    <row r="49" spans="1:56" ht="15.6">
      <c r="A49" s="142" t="str">
        <f t="shared" si="15"/>
        <v>Transfers  Grasmere</v>
      </c>
      <c r="S49" s="1059">
        <f>-'Grasmere Pig Cost'!S51</f>
        <v>0</v>
      </c>
      <c r="T49" s="1059">
        <f>-'Grasmere Pig Cost'!T51</f>
        <v>0</v>
      </c>
      <c r="U49" s="1059">
        <f>-'Grasmere Pig Cost'!U51</f>
        <v>0</v>
      </c>
      <c r="V49" s="1059">
        <f>-'Grasmere Pig Cost'!V51</f>
        <v>0</v>
      </c>
      <c r="W49" s="1059">
        <f>-'Grasmere Pig Cost'!W51</f>
        <v>0</v>
      </c>
      <c r="X49" s="1059">
        <f>-'Grasmere Pig Cost'!X51</f>
        <v>0</v>
      </c>
      <c r="Y49" s="1059">
        <f>-'Grasmere Pig Cost'!Y51</f>
        <v>0</v>
      </c>
      <c r="Z49" s="1059">
        <f>-'Grasmere Pig Cost'!Z51</f>
        <v>0</v>
      </c>
      <c r="AA49" s="1059">
        <f>-'Grasmere Pig Cost'!AA51</f>
        <v>0</v>
      </c>
      <c r="AB49" s="1059">
        <f>-'Grasmere Pig Cost'!AB51</f>
        <v>0</v>
      </c>
      <c r="AC49" s="1059">
        <f>-'Grasmere Pig Cost'!AC51</f>
        <v>0</v>
      </c>
      <c r="AD49" s="1059">
        <f>-'Grasmere Pig Cost'!AD51</f>
        <v>0</v>
      </c>
      <c r="AE49" s="1059">
        <f>-'Grasmere Pig Cost'!AE51</f>
        <v>0</v>
      </c>
      <c r="AF49" s="1059">
        <f>-'Grasmere Pig Cost'!AF51</f>
        <v>0</v>
      </c>
      <c r="AG49" s="1059">
        <f>-'Grasmere Pig Cost'!AG51</f>
        <v>0</v>
      </c>
      <c r="AH49" s="1059">
        <f>-'Grasmere Pig Cost'!AH51</f>
        <v>0</v>
      </c>
      <c r="AI49" s="1059">
        <f>-'Grasmere Pig Cost'!AI51</f>
        <v>0</v>
      </c>
      <c r="AJ49" s="1059">
        <f>-'Grasmere Pig Cost'!AJ51</f>
        <v>0</v>
      </c>
      <c r="AK49" s="1059">
        <f>-'Grasmere Pig Cost'!AK51</f>
        <v>0</v>
      </c>
      <c r="AL49" s="1059">
        <f>-'Grasmere Pig Cost'!AL51</f>
        <v>0</v>
      </c>
      <c r="AM49" s="1059">
        <f>-'Grasmere Pig Cost'!AM51</f>
        <v>0</v>
      </c>
      <c r="AN49" s="1059">
        <f>-'Grasmere Pig Cost'!AN51</f>
        <v>0</v>
      </c>
      <c r="AO49" s="1059">
        <f>-'Grasmere Pig Cost'!AO51</f>
        <v>0</v>
      </c>
      <c r="AP49" s="1059">
        <f>-'Grasmere Pig Cost'!AP51</f>
        <v>0</v>
      </c>
      <c r="AQ49" s="1059">
        <f>-'Grasmere Pig Cost'!AQ51</f>
        <v>0</v>
      </c>
      <c r="AR49" s="1059">
        <f>-'Grasmere Pig Cost'!AR51</f>
        <v>0</v>
      </c>
      <c r="AS49" s="1059">
        <f>-'Grasmere Pig Cost'!AS51</f>
        <v>0</v>
      </c>
      <c r="AT49" s="1059">
        <f>-'Grasmere Pig Cost'!AT51</f>
        <v>0</v>
      </c>
      <c r="AU49" s="1097">
        <f>SUM(B49:AT49)</f>
        <v>0</v>
      </c>
      <c r="AY49" s="1091"/>
      <c r="BD49" s="142">
        <v>0</v>
      </c>
    </row>
    <row r="50" spans="1:56" ht="15.6">
      <c r="A50" s="142" t="str">
        <f t="shared" si="15"/>
        <v>Transfers Porta</v>
      </c>
      <c r="S50" s="1059">
        <f>S17*S37</f>
        <v>0</v>
      </c>
      <c r="T50" s="1059">
        <f t="shared" ref="T50:AS50" si="21">T17*T37</f>
        <v>0</v>
      </c>
      <c r="U50" s="1059">
        <f t="shared" si="21"/>
        <v>0</v>
      </c>
      <c r="V50" s="1059">
        <f t="shared" si="21"/>
        <v>0</v>
      </c>
      <c r="W50" s="1059">
        <f t="shared" si="21"/>
        <v>0</v>
      </c>
      <c r="X50" s="1059">
        <f t="shared" si="21"/>
        <v>0</v>
      </c>
      <c r="Y50" s="1059">
        <f t="shared" si="21"/>
        <v>0</v>
      </c>
      <c r="Z50" s="1059">
        <f t="shared" si="21"/>
        <v>0</v>
      </c>
      <c r="AA50" s="1059">
        <f t="shared" si="21"/>
        <v>0</v>
      </c>
      <c r="AB50" s="1059">
        <f t="shared" si="21"/>
        <v>0</v>
      </c>
      <c r="AC50" s="1059">
        <f t="shared" si="21"/>
        <v>0</v>
      </c>
      <c r="AD50" s="1059">
        <f t="shared" si="21"/>
        <v>0</v>
      </c>
      <c r="AE50" s="1059">
        <f t="shared" si="21"/>
        <v>0</v>
      </c>
      <c r="AF50" s="1059">
        <f t="shared" si="21"/>
        <v>0</v>
      </c>
      <c r="AG50" s="1059">
        <f t="shared" si="21"/>
        <v>0</v>
      </c>
      <c r="AH50" s="1059">
        <f t="shared" si="21"/>
        <v>0</v>
      </c>
      <c r="AI50" s="1059">
        <f t="shared" si="21"/>
        <v>0</v>
      </c>
      <c r="AJ50" s="1059">
        <f t="shared" si="21"/>
        <v>0</v>
      </c>
      <c r="AK50" s="1059">
        <f t="shared" si="21"/>
        <v>0</v>
      </c>
      <c r="AL50" s="1059">
        <f t="shared" si="21"/>
        <v>0</v>
      </c>
      <c r="AM50" s="1059">
        <f t="shared" si="21"/>
        <v>0</v>
      </c>
      <c r="AN50" s="1059">
        <f t="shared" si="21"/>
        <v>0</v>
      </c>
      <c r="AO50" s="1059">
        <f t="shared" si="21"/>
        <v>0</v>
      </c>
      <c r="AP50" s="1059">
        <f t="shared" si="21"/>
        <v>0</v>
      </c>
      <c r="AQ50" s="1059">
        <f t="shared" si="21"/>
        <v>0</v>
      </c>
      <c r="AR50" s="1059">
        <f t="shared" si="21"/>
        <v>0</v>
      </c>
      <c r="AS50" s="1059">
        <f t="shared" si="21"/>
        <v>0</v>
      </c>
      <c r="AT50" s="1059">
        <f>AT17*AT37</f>
        <v>0</v>
      </c>
      <c r="AU50" s="1097">
        <f t="shared" ref="AU50:AU51" si="22">SUM(B50:AT50)</f>
        <v>0</v>
      </c>
      <c r="AY50" s="1091"/>
    </row>
    <row r="51" spans="1:56" ht="15.6">
      <c r="A51" s="142" t="str">
        <f t="shared" ref="A51:A52" si="23">+A18</f>
        <v>Transfers Villa</v>
      </c>
      <c r="S51" s="1059">
        <f>S18*S38</f>
        <v>0</v>
      </c>
      <c r="T51" s="1059">
        <f t="shared" ref="T51:AS51" si="24">T18*T38</f>
        <v>0</v>
      </c>
      <c r="U51" s="1059">
        <f t="shared" si="24"/>
        <v>0</v>
      </c>
      <c r="V51" s="1059">
        <f t="shared" si="24"/>
        <v>0</v>
      </c>
      <c r="W51" s="1059">
        <f t="shared" si="24"/>
        <v>0</v>
      </c>
      <c r="X51" s="1059">
        <f t="shared" si="24"/>
        <v>0</v>
      </c>
      <c r="Y51" s="1059">
        <f t="shared" si="24"/>
        <v>0</v>
      </c>
      <c r="Z51" s="1059">
        <f t="shared" si="24"/>
        <v>0</v>
      </c>
      <c r="AA51" s="1059">
        <f t="shared" si="24"/>
        <v>0</v>
      </c>
      <c r="AB51" s="1059">
        <f t="shared" si="24"/>
        <v>0</v>
      </c>
      <c r="AC51" s="1059">
        <f t="shared" si="24"/>
        <v>0</v>
      </c>
      <c r="AD51" s="1059">
        <f t="shared" si="24"/>
        <v>0</v>
      </c>
      <c r="AE51" s="1059">
        <f t="shared" si="24"/>
        <v>0</v>
      </c>
      <c r="AF51" s="1059">
        <f t="shared" si="24"/>
        <v>0</v>
      </c>
      <c r="AG51" s="1059">
        <f t="shared" si="24"/>
        <v>0</v>
      </c>
      <c r="AH51" s="1059">
        <f t="shared" si="24"/>
        <v>0</v>
      </c>
      <c r="AI51" s="1059">
        <f t="shared" si="24"/>
        <v>0</v>
      </c>
      <c r="AJ51" s="1059">
        <f t="shared" si="24"/>
        <v>0</v>
      </c>
      <c r="AK51" s="1059">
        <f t="shared" si="24"/>
        <v>0</v>
      </c>
      <c r="AL51" s="1059">
        <f t="shared" si="24"/>
        <v>0</v>
      </c>
      <c r="AM51" s="1059">
        <f t="shared" si="24"/>
        <v>0</v>
      </c>
      <c r="AN51" s="1059">
        <f t="shared" si="24"/>
        <v>0</v>
      </c>
      <c r="AO51" s="1059">
        <f t="shared" si="24"/>
        <v>0</v>
      </c>
      <c r="AP51" s="1059">
        <f t="shared" si="24"/>
        <v>0</v>
      </c>
      <c r="AQ51" s="1059">
        <f t="shared" si="24"/>
        <v>0</v>
      </c>
      <c r="AR51" s="1059">
        <f t="shared" si="24"/>
        <v>0</v>
      </c>
      <c r="AS51" s="1059">
        <f t="shared" si="24"/>
        <v>0</v>
      </c>
      <c r="AT51" s="1059">
        <f>AT18*AT38</f>
        <v>0</v>
      </c>
      <c r="AU51" s="1097">
        <f t="shared" si="22"/>
        <v>0</v>
      </c>
      <c r="AY51" s="1091"/>
    </row>
    <row r="52" spans="1:56" ht="15.6">
      <c r="A52" s="142">
        <f t="shared" si="23"/>
        <v>0</v>
      </c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59"/>
      <c r="AJ52" s="1059"/>
      <c r="AK52" s="1059"/>
      <c r="AL52" s="1059"/>
      <c r="AM52" s="1059"/>
      <c r="AN52" s="1059"/>
      <c r="AO52" s="1059"/>
      <c r="AP52" s="1059"/>
      <c r="AQ52" s="1059"/>
      <c r="AR52" s="1059"/>
      <c r="AS52" s="1059"/>
      <c r="AT52" s="1059"/>
      <c r="AU52" s="1097"/>
      <c r="AY52" s="1091"/>
    </row>
    <row r="53" spans="1:56" ht="15.6">
      <c r="A53" s="142" t="str">
        <f t="shared" ref="A53:A61" si="25">+A20</f>
        <v>Transfers  Boars</v>
      </c>
      <c r="S53" s="1059">
        <f>S20*S37</f>
        <v>0</v>
      </c>
      <c r="T53" s="1059">
        <f t="shared" ref="T53:AT53" si="26">T20*T37</f>
        <v>0</v>
      </c>
      <c r="U53" s="1059">
        <f t="shared" si="26"/>
        <v>0</v>
      </c>
      <c r="V53" s="1059">
        <f t="shared" si="26"/>
        <v>0</v>
      </c>
      <c r="W53" s="1059">
        <f t="shared" si="26"/>
        <v>0</v>
      </c>
      <c r="X53" s="1059">
        <f t="shared" si="26"/>
        <v>0</v>
      </c>
      <c r="Y53" s="1059">
        <f t="shared" si="26"/>
        <v>0</v>
      </c>
      <c r="Z53" s="1059">
        <f t="shared" si="26"/>
        <v>0</v>
      </c>
      <c r="AA53" s="1059">
        <f t="shared" si="26"/>
        <v>0</v>
      </c>
      <c r="AB53" s="1059">
        <f t="shared" si="26"/>
        <v>0</v>
      </c>
      <c r="AC53" s="1059">
        <f t="shared" si="26"/>
        <v>0</v>
      </c>
      <c r="AD53" s="1059">
        <f t="shared" si="26"/>
        <v>0</v>
      </c>
      <c r="AE53" s="1059">
        <f t="shared" si="26"/>
        <v>0</v>
      </c>
      <c r="AF53" s="1059">
        <f t="shared" si="26"/>
        <v>0</v>
      </c>
      <c r="AG53" s="1059">
        <f t="shared" si="26"/>
        <v>0</v>
      </c>
      <c r="AH53" s="1059">
        <f t="shared" si="26"/>
        <v>0</v>
      </c>
      <c r="AI53" s="1059">
        <f t="shared" si="26"/>
        <v>0</v>
      </c>
      <c r="AJ53" s="1059">
        <f t="shared" si="26"/>
        <v>0</v>
      </c>
      <c r="AK53" s="1059">
        <f t="shared" si="26"/>
        <v>0</v>
      </c>
      <c r="AL53" s="1059">
        <f t="shared" si="26"/>
        <v>0</v>
      </c>
      <c r="AM53" s="1059">
        <f t="shared" si="26"/>
        <v>0</v>
      </c>
      <c r="AN53" s="1059">
        <f t="shared" si="26"/>
        <v>0</v>
      </c>
      <c r="AO53" s="1059">
        <f t="shared" si="26"/>
        <v>0</v>
      </c>
      <c r="AP53" s="1059">
        <f t="shared" si="26"/>
        <v>0</v>
      </c>
      <c r="AQ53" s="1059">
        <f t="shared" si="26"/>
        <v>0</v>
      </c>
      <c r="AR53" s="1059">
        <f t="shared" si="26"/>
        <v>0</v>
      </c>
      <c r="AS53" s="1059">
        <f t="shared" si="26"/>
        <v>0</v>
      </c>
      <c r="AT53" s="1059">
        <f t="shared" si="26"/>
        <v>0</v>
      </c>
      <c r="AU53" s="1282">
        <f t="shared" ref="AU53:AU58" si="27">SUM(B53:AT53)</f>
        <v>0</v>
      </c>
      <c r="BD53" s="142">
        <v>0</v>
      </c>
    </row>
    <row r="54" spans="1:56" ht="15.6">
      <c r="A54" s="142" t="str">
        <f t="shared" si="25"/>
        <v>Transfers Grower</v>
      </c>
      <c r="S54" s="1059">
        <f>S21*S37</f>
        <v>0</v>
      </c>
      <c r="T54" s="1059">
        <f t="shared" ref="T54:AT54" si="28">T21*T37</f>
        <v>0</v>
      </c>
      <c r="U54" s="1059">
        <f t="shared" si="28"/>
        <v>0</v>
      </c>
      <c r="V54" s="1059">
        <f t="shared" si="28"/>
        <v>0</v>
      </c>
      <c r="W54" s="1059">
        <f t="shared" si="28"/>
        <v>0</v>
      </c>
      <c r="X54" s="1059">
        <f t="shared" si="28"/>
        <v>0</v>
      </c>
      <c r="Y54" s="1059">
        <f t="shared" si="28"/>
        <v>0</v>
      </c>
      <c r="Z54" s="1059">
        <f t="shared" si="28"/>
        <v>0</v>
      </c>
      <c r="AA54" s="1059">
        <f t="shared" si="28"/>
        <v>0</v>
      </c>
      <c r="AB54" s="1059">
        <f t="shared" si="28"/>
        <v>0</v>
      </c>
      <c r="AC54" s="1059">
        <f t="shared" si="28"/>
        <v>712.19740733265235</v>
      </c>
      <c r="AD54" s="1059">
        <f t="shared" si="28"/>
        <v>1058.7709692556748</v>
      </c>
      <c r="AE54" s="1059">
        <f t="shared" si="28"/>
        <v>1051.8310554020698</v>
      </c>
      <c r="AF54" s="1059">
        <f t="shared" si="28"/>
        <v>773.0175538952642</v>
      </c>
      <c r="AG54" s="1059">
        <f>AG21*AG37</f>
        <v>0</v>
      </c>
      <c r="AH54" s="1059">
        <f t="shared" si="28"/>
        <v>0</v>
      </c>
      <c r="AI54" s="1059">
        <f t="shared" si="28"/>
        <v>0</v>
      </c>
      <c r="AJ54" s="1059">
        <f t="shared" si="28"/>
        <v>0</v>
      </c>
      <c r="AK54" s="1059">
        <f t="shared" si="28"/>
        <v>0</v>
      </c>
      <c r="AL54" s="1059">
        <f t="shared" si="28"/>
        <v>0</v>
      </c>
      <c r="AM54" s="1059">
        <f t="shared" si="28"/>
        <v>0</v>
      </c>
      <c r="AN54" s="1059">
        <f>AN21*AN37</f>
        <v>0</v>
      </c>
      <c r="AO54" s="1059">
        <f>AO21*AO37</f>
        <v>0</v>
      </c>
      <c r="AP54" s="1059">
        <f t="shared" si="28"/>
        <v>0</v>
      </c>
      <c r="AQ54" s="1059">
        <v>0</v>
      </c>
      <c r="AR54" s="1059">
        <f t="shared" si="28"/>
        <v>0</v>
      </c>
      <c r="AS54" s="1059">
        <f t="shared" si="28"/>
        <v>0</v>
      </c>
      <c r="AT54" s="1059">
        <f t="shared" si="28"/>
        <v>0</v>
      </c>
      <c r="AU54" s="1282">
        <f t="shared" si="27"/>
        <v>3595.8169858856609</v>
      </c>
      <c r="BD54" s="142">
        <v>0</v>
      </c>
    </row>
    <row r="55" spans="1:56" ht="15.6">
      <c r="A55" s="142" t="str">
        <f t="shared" si="25"/>
        <v>Transfer to Sick Block</v>
      </c>
      <c r="S55" s="1059">
        <f>S22*S37</f>
        <v>0</v>
      </c>
      <c r="T55" s="1059">
        <f t="shared" ref="T55:AT55" si="29">T22*T37</f>
        <v>0</v>
      </c>
      <c r="U55" s="1059">
        <f t="shared" si="29"/>
        <v>0</v>
      </c>
      <c r="V55" s="1059">
        <f t="shared" si="29"/>
        <v>0</v>
      </c>
      <c r="W55" s="1059">
        <f t="shared" si="29"/>
        <v>0</v>
      </c>
      <c r="X55" s="1059">
        <f t="shared" si="29"/>
        <v>0</v>
      </c>
      <c r="Y55" s="1059">
        <f t="shared" si="29"/>
        <v>0</v>
      </c>
      <c r="Z55" s="1059">
        <f t="shared" si="29"/>
        <v>0</v>
      </c>
      <c r="AA55" s="1059">
        <f t="shared" si="29"/>
        <v>0</v>
      </c>
      <c r="AB55" s="1059">
        <f t="shared" si="29"/>
        <v>0</v>
      </c>
      <c r="AC55" s="1059">
        <f t="shared" si="29"/>
        <v>0</v>
      </c>
      <c r="AD55" s="1059">
        <f t="shared" si="29"/>
        <v>0</v>
      </c>
      <c r="AE55" s="1059">
        <f t="shared" si="29"/>
        <v>0</v>
      </c>
      <c r="AF55" s="1059">
        <f t="shared" si="29"/>
        <v>0</v>
      </c>
      <c r="AG55" s="1059">
        <f t="shared" si="29"/>
        <v>0</v>
      </c>
      <c r="AH55" s="1059">
        <f t="shared" si="29"/>
        <v>0</v>
      </c>
      <c r="AI55" s="1059">
        <f t="shared" si="29"/>
        <v>0</v>
      </c>
      <c r="AJ55" s="1059">
        <f t="shared" si="29"/>
        <v>0</v>
      </c>
      <c r="AK55" s="1059">
        <f t="shared" si="29"/>
        <v>0</v>
      </c>
      <c r="AL55" s="1059">
        <f t="shared" si="29"/>
        <v>0</v>
      </c>
      <c r="AM55" s="1059">
        <f t="shared" si="29"/>
        <v>0</v>
      </c>
      <c r="AN55" s="1059">
        <f t="shared" si="29"/>
        <v>0</v>
      </c>
      <c r="AO55" s="1059">
        <f>AO22*AO37-AW55</f>
        <v>0</v>
      </c>
      <c r="AP55" s="1059">
        <f t="shared" si="29"/>
        <v>0</v>
      </c>
      <c r="AQ55" s="1059">
        <f t="shared" si="29"/>
        <v>0</v>
      </c>
      <c r="AR55" s="1059">
        <f t="shared" si="29"/>
        <v>0</v>
      </c>
      <c r="AS55" s="1059">
        <f t="shared" si="29"/>
        <v>0</v>
      </c>
      <c r="AT55" s="1059">
        <f t="shared" si="29"/>
        <v>0</v>
      </c>
      <c r="AU55" s="1097">
        <f t="shared" si="27"/>
        <v>0</v>
      </c>
      <c r="AW55" s="1059">
        <v>0</v>
      </c>
      <c r="AX55" s="142" t="s">
        <v>1831</v>
      </c>
      <c r="BD55" s="142">
        <v>0</v>
      </c>
    </row>
    <row r="56" spans="1:56" ht="15.6">
      <c r="A56" s="142" t="str">
        <f t="shared" si="25"/>
        <v>Transfers Gilts</v>
      </c>
      <c r="S56" s="1059">
        <f>S23*S37</f>
        <v>0</v>
      </c>
      <c r="T56" s="1059">
        <f t="shared" ref="T56:AT56" si="30">T23*T37</f>
        <v>0</v>
      </c>
      <c r="U56" s="1059">
        <f t="shared" si="30"/>
        <v>0</v>
      </c>
      <c r="V56" s="1059">
        <f t="shared" si="30"/>
        <v>0</v>
      </c>
      <c r="W56" s="1059">
        <f t="shared" si="30"/>
        <v>-2925.495480404838</v>
      </c>
      <c r="X56" s="1059">
        <f>X23*X37</f>
        <v>-3645.6221532464178</v>
      </c>
      <c r="Y56" s="1059">
        <f>Y23*Y37</f>
        <v>-3707.8328526888904</v>
      </c>
      <c r="Z56" s="1059">
        <f t="shared" si="30"/>
        <v>-3019.0888288556971</v>
      </c>
      <c r="AA56" s="1059">
        <f t="shared" si="30"/>
        <v>0</v>
      </c>
      <c r="AB56" s="1059">
        <f t="shared" si="30"/>
        <v>0</v>
      </c>
      <c r="AC56" s="1059">
        <f>AC21*AC37</f>
        <v>712.19740733265235</v>
      </c>
      <c r="AD56" s="1059">
        <f>AD21*AD37</f>
        <v>1058.7709692556748</v>
      </c>
      <c r="AE56" s="1059">
        <f>AE21*AE37</f>
        <v>1051.8310554020698</v>
      </c>
      <c r="AF56" s="1059">
        <f>AF21*AF37</f>
        <v>773.0175538952642</v>
      </c>
      <c r="AG56" s="1059">
        <f>AG21*AG37</f>
        <v>0</v>
      </c>
      <c r="AH56" s="1059">
        <f t="shared" si="30"/>
        <v>0</v>
      </c>
      <c r="AI56" s="1059">
        <f t="shared" si="30"/>
        <v>0</v>
      </c>
      <c r="AJ56" s="1059">
        <f t="shared" si="30"/>
        <v>0</v>
      </c>
      <c r="AK56" s="1059">
        <f t="shared" si="30"/>
        <v>0</v>
      </c>
      <c r="AL56" s="1059">
        <f t="shared" si="30"/>
        <v>0</v>
      </c>
      <c r="AM56" s="1059">
        <f t="shared" si="30"/>
        <v>0</v>
      </c>
      <c r="AN56" s="1059">
        <f t="shared" si="30"/>
        <v>0</v>
      </c>
      <c r="AO56" s="1059">
        <f>AO23*AO37</f>
        <v>0</v>
      </c>
      <c r="AP56" s="1059">
        <f>AP23*AP37</f>
        <v>0</v>
      </c>
      <c r="AQ56" s="1059">
        <f t="shared" si="30"/>
        <v>0</v>
      </c>
      <c r="AR56" s="1059">
        <f t="shared" si="30"/>
        <v>0</v>
      </c>
      <c r="AS56" s="1059">
        <f t="shared" si="30"/>
        <v>0</v>
      </c>
      <c r="AT56" s="1059">
        <f t="shared" si="30"/>
        <v>0</v>
      </c>
      <c r="AU56" s="1282">
        <f t="shared" si="27"/>
        <v>-9702.2223293101833</v>
      </c>
      <c r="BD56" s="142">
        <v>0</v>
      </c>
    </row>
    <row r="57" spans="1:56" ht="15.6">
      <c r="A57" s="142" t="str">
        <f t="shared" si="25"/>
        <v>Mortality</v>
      </c>
      <c r="S57" s="1059">
        <f>S24*S43</f>
        <v>-430.57528207724579</v>
      </c>
      <c r="T57" s="1059">
        <f t="shared" ref="T57:AT57" si="31">T24*T43</f>
        <v>-592.76582842756704</v>
      </c>
      <c r="U57" s="1059">
        <f t="shared" si="31"/>
        <v>-1084.1065280734024</v>
      </c>
      <c r="V57" s="1059">
        <f t="shared" si="31"/>
        <v>-1386.5087018147167</v>
      </c>
      <c r="W57" s="1059">
        <f t="shared" si="31"/>
        <v>-839.48020282078755</v>
      </c>
      <c r="X57" s="1059">
        <f t="shared" si="31"/>
        <v>-220.9115469776832</v>
      </c>
      <c r="Y57" s="1059">
        <f t="shared" si="31"/>
        <v>0</v>
      </c>
      <c r="Z57" s="1059">
        <f t="shared" si="31"/>
        <v>-218.82757841484454</v>
      </c>
      <c r="AA57" s="1059">
        <f t="shared" si="31"/>
        <v>0</v>
      </c>
      <c r="AB57" s="1059">
        <f t="shared" si="31"/>
        <v>-392.50305399443016</v>
      </c>
      <c r="AC57" s="1059">
        <f t="shared" si="31"/>
        <v>-284.77694718147239</v>
      </c>
      <c r="AD57" s="1059">
        <f t="shared" si="31"/>
        <v>-205.25507005725242</v>
      </c>
      <c r="AE57" s="1059">
        <f t="shared" si="31"/>
        <v>0</v>
      </c>
      <c r="AF57" s="1059">
        <f t="shared" si="31"/>
        <v>163.39451726139322</v>
      </c>
      <c r="AG57" s="1059">
        <f t="shared" si="31"/>
        <v>0</v>
      </c>
      <c r="AH57" s="1059">
        <f t="shared" si="31"/>
        <v>-394.44724747742185</v>
      </c>
      <c r="AI57" s="1059">
        <f t="shared" si="31"/>
        <v>0</v>
      </c>
      <c r="AJ57" s="1059">
        <f t="shared" si="31"/>
        <v>-396.72828253936086</v>
      </c>
      <c r="AK57" s="1059">
        <f t="shared" si="31"/>
        <v>0</v>
      </c>
      <c r="AL57" s="1059">
        <f t="shared" si="31"/>
        <v>-794.23777377280544</v>
      </c>
      <c r="AM57" s="1059">
        <f t="shared" si="31"/>
        <v>0</v>
      </c>
      <c r="AN57" s="1059">
        <f t="shared" si="31"/>
        <v>0</v>
      </c>
      <c r="AO57" s="1059">
        <f t="shared" si="31"/>
        <v>-262.82790563809556</v>
      </c>
      <c r="AP57" s="1059">
        <f>AP24*AP43</f>
        <v>-279.3874079082733</v>
      </c>
      <c r="AQ57" s="1059">
        <f t="shared" si="31"/>
        <v>0</v>
      </c>
      <c r="AR57" s="1059">
        <f t="shared" si="31"/>
        <v>-312.97048909122361</v>
      </c>
      <c r="AS57" s="1059">
        <f t="shared" si="31"/>
        <v>0</v>
      </c>
      <c r="AT57" s="1059">
        <f t="shared" si="31"/>
        <v>0</v>
      </c>
      <c r="AU57" s="1282">
        <f t="shared" si="27"/>
        <v>-7932.9153290051909</v>
      </c>
      <c r="BD57" s="142">
        <v>0</v>
      </c>
    </row>
    <row r="58" spans="1:56" ht="15.6">
      <c r="A58" s="142" t="str">
        <f t="shared" si="25"/>
        <v>Rations</v>
      </c>
      <c r="S58" s="1059">
        <f t="shared" ref="S58:AT58" si="32">S25*S43</f>
        <v>0</v>
      </c>
      <c r="T58" s="1059">
        <f t="shared" si="32"/>
        <v>0</v>
      </c>
      <c r="U58" s="1059">
        <f t="shared" si="32"/>
        <v>0</v>
      </c>
      <c r="V58" s="1059">
        <f t="shared" si="32"/>
        <v>0</v>
      </c>
      <c r="W58" s="1059">
        <f t="shared" si="32"/>
        <v>0</v>
      </c>
      <c r="X58" s="1059">
        <f t="shared" si="32"/>
        <v>0</v>
      </c>
      <c r="Y58" s="1059">
        <f t="shared" si="32"/>
        <v>0</v>
      </c>
      <c r="Z58" s="1059">
        <f t="shared" si="32"/>
        <v>0</v>
      </c>
      <c r="AA58" s="1059">
        <f t="shared" si="32"/>
        <v>0</v>
      </c>
      <c r="AB58" s="1059">
        <f t="shared" si="32"/>
        <v>0</v>
      </c>
      <c r="AC58" s="1059">
        <f t="shared" si="32"/>
        <v>0</v>
      </c>
      <c r="AD58" s="1059">
        <f t="shared" si="32"/>
        <v>0</v>
      </c>
      <c r="AE58" s="1059">
        <f t="shared" si="32"/>
        <v>0</v>
      </c>
      <c r="AF58" s="1059">
        <f t="shared" si="32"/>
        <v>0</v>
      </c>
      <c r="AG58" s="1059">
        <f t="shared" si="32"/>
        <v>0</v>
      </c>
      <c r="AH58" s="1059">
        <f t="shared" si="32"/>
        <v>0</v>
      </c>
      <c r="AI58" s="1059">
        <f t="shared" si="32"/>
        <v>0</v>
      </c>
      <c r="AJ58" s="1059">
        <f t="shared" si="32"/>
        <v>0</v>
      </c>
      <c r="AK58" s="1059">
        <f t="shared" si="32"/>
        <v>0</v>
      </c>
      <c r="AL58" s="1059">
        <f t="shared" si="32"/>
        <v>0</v>
      </c>
      <c r="AM58" s="1059">
        <f t="shared" si="32"/>
        <v>0</v>
      </c>
      <c r="AN58" s="1059">
        <f t="shared" si="32"/>
        <v>0</v>
      </c>
      <c r="AO58" s="1059">
        <f t="shared" si="32"/>
        <v>0</v>
      </c>
      <c r="AP58" s="1059">
        <f t="shared" si="32"/>
        <v>0</v>
      </c>
      <c r="AQ58" s="1059">
        <f t="shared" si="32"/>
        <v>0</v>
      </c>
      <c r="AR58" s="1059">
        <f t="shared" si="32"/>
        <v>0</v>
      </c>
      <c r="AS58" s="1059">
        <f t="shared" si="32"/>
        <v>0</v>
      </c>
      <c r="AT58" s="1059">
        <f t="shared" si="32"/>
        <v>0</v>
      </c>
      <c r="AU58" s="1282">
        <f t="shared" si="27"/>
        <v>0</v>
      </c>
      <c r="BD58" s="142">
        <v>0</v>
      </c>
    </row>
    <row r="59" spans="1:56" ht="15.6">
      <c r="A59" s="142" t="str">
        <f t="shared" si="25"/>
        <v>Pet Food</v>
      </c>
      <c r="S59" s="1059">
        <f t="shared" ref="S59:AT59" si="33">S26*S43</f>
        <v>0</v>
      </c>
      <c r="T59" s="1059">
        <f t="shared" si="33"/>
        <v>0</v>
      </c>
      <c r="U59" s="1059">
        <f t="shared" si="33"/>
        <v>0</v>
      </c>
      <c r="V59" s="1059">
        <f t="shared" si="33"/>
        <v>0</v>
      </c>
      <c r="W59" s="1059">
        <f t="shared" si="33"/>
        <v>0</v>
      </c>
      <c r="X59" s="1059">
        <f t="shared" si="33"/>
        <v>0</v>
      </c>
      <c r="Y59" s="1059">
        <f t="shared" si="33"/>
        <v>0</v>
      </c>
      <c r="Z59" s="1059">
        <f t="shared" si="33"/>
        <v>0</v>
      </c>
      <c r="AA59" s="1059">
        <f t="shared" si="33"/>
        <v>0</v>
      </c>
      <c r="AB59" s="1059">
        <f t="shared" si="33"/>
        <v>0</v>
      </c>
      <c r="AC59" s="1059">
        <f t="shared" si="33"/>
        <v>0</v>
      </c>
      <c r="AD59" s="1059">
        <f t="shared" si="33"/>
        <v>0</v>
      </c>
      <c r="AE59" s="1059">
        <f t="shared" si="33"/>
        <v>0</v>
      </c>
      <c r="AF59" s="1059">
        <f t="shared" si="33"/>
        <v>0</v>
      </c>
      <c r="AG59" s="1059">
        <f t="shared" si="33"/>
        <v>0</v>
      </c>
      <c r="AH59" s="1059">
        <f t="shared" si="33"/>
        <v>0</v>
      </c>
      <c r="AI59" s="1059">
        <f t="shared" si="33"/>
        <v>0</v>
      </c>
      <c r="AJ59" s="1059">
        <f t="shared" si="33"/>
        <v>0</v>
      </c>
      <c r="AK59" s="1059">
        <f t="shared" si="33"/>
        <v>0</v>
      </c>
      <c r="AL59" s="1059">
        <f t="shared" si="33"/>
        <v>0</v>
      </c>
      <c r="AM59" s="1059">
        <f t="shared" si="33"/>
        <v>0</v>
      </c>
      <c r="AN59" s="1059">
        <f t="shared" si="33"/>
        <v>0</v>
      </c>
      <c r="AO59" s="1059">
        <f t="shared" si="33"/>
        <v>0</v>
      </c>
      <c r="AP59" s="1059">
        <f t="shared" si="33"/>
        <v>0</v>
      </c>
      <c r="AQ59" s="1059">
        <f t="shared" si="33"/>
        <v>0</v>
      </c>
      <c r="AR59" s="1059">
        <f t="shared" si="33"/>
        <v>0</v>
      </c>
      <c r="AS59" s="1059">
        <f t="shared" si="33"/>
        <v>0</v>
      </c>
      <c r="AT59" s="1059">
        <f t="shared" si="33"/>
        <v>0</v>
      </c>
      <c r="AU59" s="1282">
        <f t="shared" si="17"/>
        <v>0</v>
      </c>
      <c r="BD59" s="142">
        <v>0</v>
      </c>
    </row>
    <row r="60" spans="1:56" ht="15.6">
      <c r="A60" s="142" t="str">
        <f t="shared" si="25"/>
        <v>Farm Sales</v>
      </c>
      <c r="S60" s="1059">
        <f t="shared" ref="S60:AT60" si="34">S27*S43</f>
        <v>0</v>
      </c>
      <c r="T60" s="1059">
        <f t="shared" si="34"/>
        <v>0</v>
      </c>
      <c r="U60" s="1059">
        <f t="shared" si="34"/>
        <v>0</v>
      </c>
      <c r="V60" s="1059">
        <f t="shared" si="34"/>
        <v>0</v>
      </c>
      <c r="W60" s="1059">
        <f t="shared" si="34"/>
        <v>0</v>
      </c>
      <c r="X60" s="1059">
        <f t="shared" si="34"/>
        <v>0</v>
      </c>
      <c r="Y60" s="1059">
        <f t="shared" si="34"/>
        <v>0</v>
      </c>
      <c r="Z60" s="1059">
        <f t="shared" si="34"/>
        <v>0</v>
      </c>
      <c r="AA60" s="1059">
        <f t="shared" si="34"/>
        <v>0</v>
      </c>
      <c r="AB60" s="1059">
        <f t="shared" si="34"/>
        <v>0</v>
      </c>
      <c r="AC60" s="1059">
        <f t="shared" si="34"/>
        <v>0</v>
      </c>
      <c r="AD60" s="1059">
        <f t="shared" si="34"/>
        <v>0</v>
      </c>
      <c r="AE60" s="1059">
        <f t="shared" si="34"/>
        <v>0</v>
      </c>
      <c r="AF60" s="1059">
        <f t="shared" si="34"/>
        <v>0</v>
      </c>
      <c r="AG60" s="1059">
        <f t="shared" si="34"/>
        <v>0</v>
      </c>
      <c r="AH60" s="1059">
        <f t="shared" si="34"/>
        <v>0</v>
      </c>
      <c r="AI60" s="1059">
        <f t="shared" si="34"/>
        <v>0</v>
      </c>
      <c r="AJ60" s="1059">
        <f t="shared" si="34"/>
        <v>0</v>
      </c>
      <c r="AK60" s="1059">
        <f t="shared" si="34"/>
        <v>0</v>
      </c>
      <c r="AL60" s="1059">
        <f t="shared" si="34"/>
        <v>0</v>
      </c>
      <c r="AM60" s="1059">
        <f t="shared" si="34"/>
        <v>0</v>
      </c>
      <c r="AN60" s="1059">
        <f t="shared" si="34"/>
        <v>0</v>
      </c>
      <c r="AO60" s="1059">
        <f t="shared" si="34"/>
        <v>0</v>
      </c>
      <c r="AP60" s="1059">
        <f t="shared" si="34"/>
        <v>0</v>
      </c>
      <c r="AQ60" s="1059">
        <f t="shared" si="34"/>
        <v>0</v>
      </c>
      <c r="AR60" s="1059">
        <f t="shared" si="34"/>
        <v>0</v>
      </c>
      <c r="AS60" s="1059">
        <f t="shared" si="34"/>
        <v>0</v>
      </c>
      <c r="AT60" s="1059">
        <f t="shared" si="34"/>
        <v>0</v>
      </c>
      <c r="AU60" s="1282">
        <f t="shared" si="17"/>
        <v>0</v>
      </c>
      <c r="BD60" s="142">
        <v>0</v>
      </c>
    </row>
    <row r="61" spans="1:56" ht="16.149999999999999" thickBot="1">
      <c r="A61" s="142" t="str">
        <f t="shared" si="25"/>
        <v xml:space="preserve"> Colcom Sales</v>
      </c>
      <c r="S61" s="1059">
        <f t="shared" ref="S61:AT61" si="35">S28*S43</f>
        <v>0</v>
      </c>
      <c r="T61" s="1059">
        <f t="shared" si="35"/>
        <v>0</v>
      </c>
      <c r="U61" s="1059">
        <f t="shared" si="35"/>
        <v>0</v>
      </c>
      <c r="V61" s="1059">
        <f t="shared" si="35"/>
        <v>0</v>
      </c>
      <c r="W61" s="1059">
        <f t="shared" si="35"/>
        <v>0</v>
      </c>
      <c r="X61" s="1059">
        <f t="shared" si="35"/>
        <v>0</v>
      </c>
      <c r="Y61" s="1059">
        <f t="shared" si="35"/>
        <v>0</v>
      </c>
      <c r="Z61" s="1059">
        <f t="shared" si="35"/>
        <v>0</v>
      </c>
      <c r="AA61" s="1059">
        <f t="shared" si="35"/>
        <v>0</v>
      </c>
      <c r="AB61" s="1059">
        <f t="shared" si="35"/>
        <v>0</v>
      </c>
      <c r="AC61" s="1059">
        <f t="shared" si="35"/>
        <v>0</v>
      </c>
      <c r="AD61" s="1059">
        <f t="shared" si="35"/>
        <v>0</v>
      </c>
      <c r="AE61" s="1059">
        <f t="shared" si="35"/>
        <v>0</v>
      </c>
      <c r="AF61" s="1059">
        <f t="shared" si="35"/>
        <v>0</v>
      </c>
      <c r="AG61" s="1059">
        <f t="shared" si="35"/>
        <v>0</v>
      </c>
      <c r="AH61" s="1059">
        <f t="shared" si="35"/>
        <v>0</v>
      </c>
      <c r="AI61" s="1059">
        <f t="shared" si="35"/>
        <v>0</v>
      </c>
      <c r="AJ61" s="1059">
        <f t="shared" si="35"/>
        <v>0</v>
      </c>
      <c r="AK61" s="1059">
        <f t="shared" si="35"/>
        <v>0</v>
      </c>
      <c r="AL61" s="1059">
        <f t="shared" si="35"/>
        <v>0</v>
      </c>
      <c r="AM61" s="1059">
        <f t="shared" si="35"/>
        <v>0</v>
      </c>
      <c r="AN61" s="1059">
        <f t="shared" si="35"/>
        <v>0</v>
      </c>
      <c r="AO61" s="1059">
        <f>AO28*AO43</f>
        <v>-525.65581127619112</v>
      </c>
      <c r="AP61" s="1059">
        <f t="shared" si="35"/>
        <v>-62582.779371453216</v>
      </c>
      <c r="AQ61" s="1059">
        <f t="shared" si="35"/>
        <v>-75509.589519880174</v>
      </c>
      <c r="AR61" s="1059">
        <f t="shared" si="35"/>
        <v>-74174.005914619993</v>
      </c>
      <c r="AS61" s="1059">
        <f t="shared" si="35"/>
        <v>0</v>
      </c>
      <c r="AT61" s="1059">
        <f t="shared" si="35"/>
        <v>0</v>
      </c>
      <c r="AU61" s="1282">
        <f>SUM(B61:AT61)</f>
        <v>-212792.03061722958</v>
      </c>
      <c r="BD61" s="142">
        <v>-379257.11445347406</v>
      </c>
    </row>
    <row r="62" spans="1:56" ht="16.149999999999999" thickBot="1">
      <c r="A62" s="1070" t="s">
        <v>1810</v>
      </c>
      <c r="B62" s="1318">
        <f t="shared" ref="B62:V62" si="36">SUM(B57:B61)+B41</f>
        <v>2024.2713004484306</v>
      </c>
      <c r="C62" s="1318">
        <f t="shared" si="36"/>
        <v>2024.2713004484306</v>
      </c>
      <c r="D62" s="1318">
        <f t="shared" si="36"/>
        <v>2024.2713004484306</v>
      </c>
      <c r="E62" s="1318">
        <f t="shared" si="36"/>
        <v>2024.2713004484306</v>
      </c>
      <c r="F62" s="1318">
        <f t="shared" si="36"/>
        <v>4202.0156950672645</v>
      </c>
      <c r="G62" s="1318">
        <f t="shared" si="36"/>
        <v>4202.0156950672645</v>
      </c>
      <c r="H62" s="1318">
        <f t="shared" si="36"/>
        <v>4202.0156950672645</v>
      </c>
      <c r="I62" s="1318">
        <f t="shared" si="36"/>
        <v>4202.0156950672645</v>
      </c>
      <c r="J62" s="1318">
        <f t="shared" si="36"/>
        <v>4014.8408071748872</v>
      </c>
      <c r="K62" s="1318">
        <f t="shared" si="36"/>
        <v>5927.2286995515688</v>
      </c>
      <c r="L62" s="1318">
        <f t="shared" si="36"/>
        <v>5927.2286995515688</v>
      </c>
      <c r="M62" s="1318">
        <f t="shared" si="36"/>
        <v>5927.2286995515688</v>
      </c>
      <c r="N62" s="1318">
        <f t="shared" si="36"/>
        <v>6332.082959641255</v>
      </c>
      <c r="O62" s="1318">
        <f t="shared" si="36"/>
        <v>8735.1457399103147</v>
      </c>
      <c r="P62" s="1318">
        <f t="shared" si="36"/>
        <v>8735.1457399103147</v>
      </c>
      <c r="Q62" s="1318">
        <f t="shared" si="36"/>
        <v>8735.1457399103147</v>
      </c>
      <c r="R62" s="1318">
        <f t="shared" si="36"/>
        <v>10984.441704035875</v>
      </c>
      <c r="S62" s="1317">
        <f t="shared" si="36"/>
        <v>11051.432239982643</v>
      </c>
      <c r="T62" s="1317">
        <f t="shared" si="36"/>
        <v>13198.919112987158</v>
      </c>
      <c r="U62" s="1317">
        <f t="shared" si="36"/>
        <v>14093.384864954229</v>
      </c>
      <c r="V62" s="1319">
        <f t="shared" si="36"/>
        <v>12397.018980931585</v>
      </c>
      <c r="W62" s="1319">
        <f t="shared" ref="W62:AR62" si="37">SUM(W57:W61)+W41</f>
        <v>7097.423532939386</v>
      </c>
      <c r="X62" s="1060">
        <f t="shared" si="37"/>
        <v>13917.427459594042</v>
      </c>
      <c r="Y62" s="1060">
        <f t="shared" si="37"/>
        <v>16588.849311987298</v>
      </c>
      <c r="Z62" s="1551">
        <f t="shared" si="37"/>
        <v>22539.240576728989</v>
      </c>
      <c r="AA62" s="1551">
        <f t="shared" si="37"/>
        <v>18063.181238331032</v>
      </c>
      <c r="AB62" s="1551">
        <f t="shared" si="37"/>
        <v>22111.005375019566</v>
      </c>
      <c r="AC62" s="1551">
        <f t="shared" si="37"/>
        <v>30043.967927645339</v>
      </c>
      <c r="AD62" s="1320">
        <f t="shared" si="37"/>
        <v>42487.799501851252</v>
      </c>
      <c r="AE62" s="1320">
        <f t="shared" si="37"/>
        <v>39891.799881904451</v>
      </c>
      <c r="AF62" s="1553">
        <f t="shared" si="37"/>
        <v>38070.92252190462</v>
      </c>
      <c r="AG62" s="1553">
        <f t="shared" si="37"/>
        <v>43151.740083363475</v>
      </c>
      <c r="AH62" s="1554">
        <f t="shared" si="37"/>
        <v>44178.091717471245</v>
      </c>
      <c r="AI62" s="1554">
        <f t="shared" si="37"/>
        <v>48547.741918461921</v>
      </c>
      <c r="AJ62" s="1554">
        <f t="shared" si="37"/>
        <v>45822.11663329618</v>
      </c>
      <c r="AK62" s="1552">
        <f t="shared" si="37"/>
        <v>58397.767632114614</v>
      </c>
      <c r="AL62" s="1552">
        <f>SUM(AL57:AL61)+AL41</f>
        <v>51625.455295232357</v>
      </c>
      <c r="AM62" s="1552">
        <f t="shared" si="37"/>
        <v>65794.093116943201</v>
      </c>
      <c r="AN62" s="1552">
        <f>SUM(AN57:AN61)+AN41</f>
        <v>69581.995992801283</v>
      </c>
      <c r="AO62" s="1552">
        <f>SUM(AO57:AO61)+AO41</f>
        <v>57559.311334742924</v>
      </c>
      <c r="AP62" s="818">
        <f>SUM(AP57:AP61)+AP41</f>
        <v>0</v>
      </c>
      <c r="AQ62" s="818">
        <f t="shared" si="37"/>
        <v>0</v>
      </c>
      <c r="AR62" s="818">
        <f t="shared" si="37"/>
        <v>0</v>
      </c>
      <c r="AS62" s="818">
        <f>SUM(AS57:AS61)+AS41</f>
        <v>0</v>
      </c>
      <c r="AT62" s="818">
        <f>SUM(AT57:AT61)+AT41</f>
        <v>0</v>
      </c>
      <c r="AU62" s="807">
        <f t="shared" si="17"/>
        <v>876434.32302248909</v>
      </c>
      <c r="AV62" s="1068">
        <v>0</v>
      </c>
      <c r="AW62" s="1066"/>
      <c r="AX62" s="1066"/>
      <c r="BD62" s="142">
        <v>0</v>
      </c>
    </row>
    <row r="63" spans="1:56" ht="15.6">
      <c r="A63" s="1075"/>
      <c r="B63" s="1061"/>
      <c r="C63" s="1061"/>
      <c r="D63" s="1075"/>
      <c r="E63" s="1061"/>
      <c r="F63" s="1075"/>
      <c r="G63" s="1061"/>
      <c r="H63" s="1061"/>
      <c r="I63" s="1061"/>
      <c r="J63" s="1061"/>
      <c r="K63" s="1061"/>
      <c r="L63" s="1061"/>
      <c r="M63" s="1061"/>
      <c r="N63" s="1061"/>
      <c r="O63" s="1061"/>
      <c r="P63" s="1061"/>
      <c r="Q63" s="1061"/>
      <c r="R63" s="1061"/>
      <c r="S63" s="1061"/>
      <c r="T63" s="1061"/>
      <c r="U63" s="1061"/>
      <c r="V63" s="1061"/>
      <c r="W63" s="1061"/>
      <c r="X63" s="1061"/>
      <c r="Y63" s="1061"/>
      <c r="Z63" s="1061"/>
      <c r="AA63" s="1061"/>
      <c r="AB63" s="1061"/>
      <c r="AC63" s="1061"/>
      <c r="AD63" s="1061"/>
      <c r="AE63" s="1061"/>
      <c r="AF63" s="1061"/>
      <c r="AG63" s="1061"/>
      <c r="AH63" s="1061"/>
      <c r="AI63" s="1061"/>
      <c r="AJ63" s="1061"/>
      <c r="AK63" s="1061"/>
      <c r="AL63" s="1061"/>
      <c r="AM63" s="1061"/>
      <c r="AN63" s="1061"/>
      <c r="AO63" s="1061"/>
      <c r="AP63" s="1061"/>
      <c r="AQ63" s="1061"/>
      <c r="AR63" s="1061"/>
      <c r="AS63" s="1061"/>
      <c r="AT63" s="1061"/>
      <c r="AU63" s="1062"/>
      <c r="AV63" s="1061"/>
      <c r="AW63" s="1061"/>
      <c r="AX63" s="1061"/>
    </row>
    <row r="64" spans="1:56" ht="15.6">
      <c r="A64" s="1075" t="s">
        <v>1811</v>
      </c>
      <c r="B64" s="1061"/>
      <c r="C64" s="1061"/>
      <c r="D64" s="1075" t="s">
        <v>1812</v>
      </c>
      <c r="E64" s="1061"/>
      <c r="F64" s="1075" t="s">
        <v>62</v>
      </c>
      <c r="G64" s="1061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1"/>
      <c r="X64" s="1061"/>
      <c r="Y64" s="1061"/>
      <c r="Z64" s="1061"/>
      <c r="AA64" s="1061"/>
      <c r="AB64" s="1061"/>
      <c r="AC64" s="1061"/>
      <c r="AD64" s="1061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061"/>
      <c r="AP64" s="1061"/>
      <c r="AQ64" s="1061"/>
      <c r="AR64" s="1061"/>
      <c r="AS64" s="1061"/>
      <c r="AT64" s="1061"/>
      <c r="AU64" s="1062"/>
      <c r="AV64" s="1061"/>
      <c r="AW64" s="1061"/>
      <c r="AX64" s="1061"/>
    </row>
    <row r="65" spans="1:53">
      <c r="A65" s="1061" t="s">
        <v>1813</v>
      </c>
      <c r="B65" s="1064">
        <f>+'Feed Cost &amp; Allocation'!T81+'Feed Cost &amp; Allocation'!I81</f>
        <v>6025</v>
      </c>
      <c r="C65" s="1061"/>
      <c r="D65" s="1061"/>
      <c r="E65" s="1061"/>
      <c r="F65" s="1061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  <c r="AR65" s="1061"/>
      <c r="AS65" s="1061"/>
      <c r="AT65" s="1061"/>
      <c r="AU65" s="1062"/>
      <c r="AV65" s="1061"/>
      <c r="AW65" s="1061"/>
      <c r="AX65" s="1061"/>
    </row>
    <row r="66" spans="1:53">
      <c r="A66" s="1061" t="s">
        <v>60</v>
      </c>
      <c r="B66" s="1064">
        <f>+'Feed Cost &amp; Allocation'!K81+'Feed Cost &amp; Allocation'!N81+'Feed Cost &amp; Allocation'!AE81</f>
        <v>2055</v>
      </c>
      <c r="C66" s="1061"/>
      <c r="D66" s="1064">
        <f>+'Feed Cost &amp; Allocation'!L81</f>
        <v>14320</v>
      </c>
      <c r="E66" s="1061"/>
      <c r="F66" s="1064">
        <f>+'Feed Cost &amp; Allocation'!C81+'Feed Cost &amp; Allocation'!AC81+'Feed Cost &amp; Allocation'!AG81</f>
        <v>8347</v>
      </c>
      <c r="G66" s="1061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061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1"/>
      <c r="AW66" s="1061"/>
      <c r="AX66" s="1061"/>
    </row>
    <row r="67" spans="1:53">
      <c r="A67" s="1061" t="s">
        <v>1829</v>
      </c>
      <c r="B67" s="1064">
        <f>+'Feed Cost &amp; Allocation'!O81</f>
        <v>28033</v>
      </c>
      <c r="C67" s="1061"/>
      <c r="D67" s="1064">
        <f>+'Feed Cost &amp; Allocation'!M81</f>
        <v>0</v>
      </c>
      <c r="E67" s="1061"/>
      <c r="F67" s="1064"/>
      <c r="G67" s="1061"/>
      <c r="H67" s="1061"/>
      <c r="I67" s="1061"/>
      <c r="J67" s="1061"/>
      <c r="K67" s="1061"/>
      <c r="L67" s="1061"/>
      <c r="M67" s="1061"/>
      <c r="N67" s="1061"/>
      <c r="O67" s="1061"/>
      <c r="P67" s="1061"/>
      <c r="Q67" s="1061"/>
      <c r="R67" s="1061"/>
      <c r="S67" s="1061"/>
      <c r="T67" s="1061"/>
      <c r="U67" s="1061"/>
      <c r="V67" s="1061"/>
      <c r="W67" s="1061"/>
      <c r="X67" s="1061"/>
      <c r="Y67" s="1061"/>
      <c r="Z67" s="1061"/>
      <c r="AA67" s="1061"/>
      <c r="AB67" s="1061"/>
      <c r="AC67" s="1061"/>
      <c r="AD67" s="1061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  <c r="AR67" s="1061"/>
      <c r="AS67" s="1061"/>
      <c r="AT67" s="1061"/>
      <c r="AU67" s="1062"/>
      <c r="AV67" s="1061"/>
      <c r="AW67" s="1061"/>
      <c r="AX67" s="1061"/>
    </row>
    <row r="68" spans="1:53" ht="15.6">
      <c r="A68" s="1075" t="s">
        <v>71</v>
      </c>
      <c r="B68" s="1076">
        <f>SUM(B65:B67)</f>
        <v>36113</v>
      </c>
      <c r="C68" s="1061"/>
      <c r="D68" s="1076">
        <f>SUM(D65:D67)</f>
        <v>14320</v>
      </c>
      <c r="E68" s="1061"/>
      <c r="F68" s="1064">
        <f>SUM(F66:F67)</f>
        <v>8347</v>
      </c>
      <c r="G68" s="1061"/>
      <c r="H68" s="1061"/>
      <c r="I68" s="1061"/>
      <c r="J68" s="1061"/>
      <c r="K68" s="1061"/>
      <c r="L68" s="1061"/>
      <c r="M68" s="1061"/>
      <c r="N68" s="1061"/>
      <c r="O68" s="1061"/>
      <c r="P68" s="1061"/>
      <c r="Q68" s="1061"/>
      <c r="R68" s="1061"/>
      <c r="S68" s="1061"/>
      <c r="T68" s="1061"/>
      <c r="U68" s="1061"/>
      <c r="V68" s="1061"/>
      <c r="W68" s="1061"/>
      <c r="X68" s="1061"/>
      <c r="Y68" s="1061"/>
      <c r="Z68" s="1061"/>
      <c r="AA68" s="1061"/>
      <c r="AB68" s="1061"/>
      <c r="AC68" s="1061"/>
      <c r="AD68" s="1061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  <c r="AR68" s="1061"/>
      <c r="AS68" s="1061"/>
      <c r="AT68" s="1061"/>
      <c r="AU68" s="1062"/>
      <c r="AV68" s="1061"/>
      <c r="AW68" s="1061"/>
      <c r="AX68" s="1061"/>
    </row>
    <row r="69" spans="1:53">
      <c r="A69" s="1061"/>
      <c r="B69" s="1061"/>
      <c r="C69" s="1061"/>
      <c r="D69" s="1061"/>
      <c r="E69" s="1061"/>
      <c r="F69" s="1061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1"/>
      <c r="AW69" s="1061"/>
      <c r="AX69" s="1061"/>
    </row>
    <row r="70" spans="1:53" ht="15.6">
      <c r="A70" s="1077" t="s">
        <v>1815</v>
      </c>
      <c r="B70" s="1077" t="str">
        <f t="shared" ref="B70:AA70" si="38">B3</f>
        <v>DRY SOW</v>
      </c>
      <c r="C70" s="1077" t="str">
        <f t="shared" si="38"/>
        <v>DRY SOW</v>
      </c>
      <c r="D70" s="1077" t="str">
        <f t="shared" si="38"/>
        <v>DRY SOW</v>
      </c>
      <c r="E70" s="1078" t="str">
        <f t="shared" si="38"/>
        <v>DRY SOW</v>
      </c>
      <c r="F70" s="1078" t="str">
        <f t="shared" si="38"/>
        <v>DRY SOW</v>
      </c>
      <c r="G70" s="1078" t="str">
        <f t="shared" si="38"/>
        <v>DRY SOW</v>
      </c>
      <c r="H70" s="1078" t="str">
        <f t="shared" si="38"/>
        <v>DRY SOW</v>
      </c>
      <c r="I70" s="1078" t="str">
        <f t="shared" si="38"/>
        <v>DRY SOW</v>
      </c>
      <c r="J70" s="1078" t="str">
        <f t="shared" si="38"/>
        <v>DRY SOW</v>
      </c>
      <c r="K70" s="1078" t="str">
        <f t="shared" si="38"/>
        <v>DRY SOW</v>
      </c>
      <c r="L70" s="1078" t="str">
        <f t="shared" si="38"/>
        <v>DRY SOW</v>
      </c>
      <c r="M70" s="1078" t="str">
        <f t="shared" si="38"/>
        <v>DRY SOW</v>
      </c>
      <c r="N70" s="1078" t="str">
        <f t="shared" si="38"/>
        <v>DRY SOW</v>
      </c>
      <c r="O70" s="1078" t="str">
        <f t="shared" si="38"/>
        <v>DRY SOW</v>
      </c>
      <c r="P70" s="1078" t="str">
        <f t="shared" si="38"/>
        <v>DRY SOW</v>
      </c>
      <c r="Q70" s="1078" t="str">
        <f t="shared" si="38"/>
        <v>DRY SOW</v>
      </c>
      <c r="R70" s="1078" t="str">
        <f t="shared" si="38"/>
        <v>Flush</v>
      </c>
      <c r="S70" s="1078" t="str">
        <f t="shared" si="38"/>
        <v>LACTATE</v>
      </c>
      <c r="T70" s="1078" t="str">
        <f t="shared" si="38"/>
        <v>LACTATE</v>
      </c>
      <c r="U70" s="1078" t="str">
        <f t="shared" si="38"/>
        <v>LACTATE</v>
      </c>
      <c r="V70" s="1078" t="str">
        <f t="shared" si="38"/>
        <v>Early Wean</v>
      </c>
      <c r="W70" s="1078" t="str">
        <f t="shared" si="38"/>
        <v>Early Wean</v>
      </c>
      <c r="X70" s="1078" t="str">
        <f t="shared" si="38"/>
        <v>CREEP</v>
      </c>
      <c r="Y70" s="1078" t="str">
        <f t="shared" si="38"/>
        <v>CREEP</v>
      </c>
      <c r="Z70" s="1078" t="str">
        <f t="shared" si="38"/>
        <v>WEANER</v>
      </c>
      <c r="AA70" s="1078" t="str">
        <f t="shared" si="38"/>
        <v>WEANER</v>
      </c>
      <c r="AB70" s="1078" t="str">
        <f>AA70</f>
        <v>WEANER</v>
      </c>
      <c r="AC70" s="1078" t="str">
        <f>AB70</f>
        <v>WEANER</v>
      </c>
      <c r="AD70" s="1078" t="str">
        <f t="shared" ref="AD70:AN70" si="39">AD3</f>
        <v>GROWER 1</v>
      </c>
      <c r="AE70" s="1078" t="str">
        <f t="shared" si="39"/>
        <v>GROWER 1</v>
      </c>
      <c r="AF70" s="1078" t="str">
        <f t="shared" si="39"/>
        <v>GROWER 2</v>
      </c>
      <c r="AG70" s="1078" t="str">
        <f t="shared" si="39"/>
        <v>GROWER 2</v>
      </c>
      <c r="AH70" s="1078" t="str">
        <f t="shared" si="39"/>
        <v>GROWER 3</v>
      </c>
      <c r="AI70" s="1078" t="str">
        <f t="shared" si="39"/>
        <v>GROWER 3</v>
      </c>
      <c r="AJ70" s="1078" t="str">
        <f t="shared" si="39"/>
        <v>GROWER 3</v>
      </c>
      <c r="AK70" s="1078" t="str">
        <f t="shared" si="39"/>
        <v>FINISHER</v>
      </c>
      <c r="AL70" s="1078" t="str">
        <f t="shared" si="39"/>
        <v>FINISHER</v>
      </c>
      <c r="AM70" s="1078" t="str">
        <f t="shared" si="39"/>
        <v>FINISHER</v>
      </c>
      <c r="AN70" s="1078" t="str">
        <f t="shared" si="39"/>
        <v>FINISHER</v>
      </c>
      <c r="AO70" s="1078" t="s">
        <v>71</v>
      </c>
      <c r="AP70" s="1079"/>
      <c r="AQ70" s="1079"/>
      <c r="AR70" s="1079"/>
      <c r="AS70" s="1066"/>
      <c r="AT70" s="1068"/>
      <c r="AU70" s="1066"/>
      <c r="AV70" s="1066"/>
      <c r="AW70" s="1066"/>
    </row>
    <row r="71" spans="1:53" ht="15.6">
      <c r="A71" s="1077" t="s">
        <v>1816</v>
      </c>
      <c r="B71" s="1077">
        <v>7</v>
      </c>
      <c r="C71" s="1077">
        <v>7</v>
      </c>
      <c r="D71" s="1077">
        <v>7</v>
      </c>
      <c r="E71" s="1077">
        <v>7</v>
      </c>
      <c r="F71" s="1077">
        <v>7</v>
      </c>
      <c r="G71" s="1077">
        <v>7</v>
      </c>
      <c r="H71" s="1077">
        <v>7</v>
      </c>
      <c r="I71" s="1077">
        <v>7</v>
      </c>
      <c r="J71" s="1077">
        <v>7</v>
      </c>
      <c r="K71" s="1077">
        <v>7</v>
      </c>
      <c r="L71" s="1077">
        <v>7</v>
      </c>
      <c r="M71" s="1077">
        <v>7</v>
      </c>
      <c r="N71" s="1077">
        <v>7</v>
      </c>
      <c r="O71" s="1077">
        <v>7</v>
      </c>
      <c r="P71" s="1077">
        <v>7</v>
      </c>
      <c r="Q71" s="1077">
        <v>7</v>
      </c>
      <c r="R71" s="1077">
        <v>7</v>
      </c>
      <c r="S71" s="1077">
        <v>7</v>
      </c>
      <c r="T71" s="1077">
        <v>7</v>
      </c>
      <c r="U71" s="1077">
        <v>7</v>
      </c>
      <c r="V71" s="1077">
        <v>7</v>
      </c>
      <c r="W71" s="1077">
        <v>7</v>
      </c>
      <c r="X71" s="1077">
        <v>7</v>
      </c>
      <c r="Y71" s="1077">
        <v>7</v>
      </c>
      <c r="Z71" s="1077">
        <v>7</v>
      </c>
      <c r="AA71" s="1077">
        <v>7</v>
      </c>
      <c r="AB71" s="1077">
        <v>7</v>
      </c>
      <c r="AC71" s="1077">
        <v>7</v>
      </c>
      <c r="AD71" s="1077">
        <v>7</v>
      </c>
      <c r="AE71" s="1077">
        <v>7</v>
      </c>
      <c r="AF71" s="1077">
        <v>7</v>
      </c>
      <c r="AG71" s="1077">
        <v>7</v>
      </c>
      <c r="AH71" s="1077">
        <v>7</v>
      </c>
      <c r="AI71" s="1077">
        <v>7</v>
      </c>
      <c r="AJ71" s="1077">
        <v>7</v>
      </c>
      <c r="AK71" s="1077">
        <v>7</v>
      </c>
      <c r="AL71" s="1077">
        <v>7</v>
      </c>
      <c r="AM71" s="1077">
        <v>7</v>
      </c>
      <c r="AN71" s="1077">
        <v>7</v>
      </c>
      <c r="AO71" s="1077"/>
      <c r="AP71" s="1066"/>
      <c r="AQ71" s="1066"/>
      <c r="AR71" s="1066"/>
      <c r="AS71" s="1066"/>
      <c r="AT71" s="1068"/>
      <c r="AU71" s="1066"/>
      <c r="AV71" s="1066"/>
      <c r="AW71" s="1066"/>
      <c r="BA71" s="818" t="e">
        <f>+#REF!+'Grasmere Pig Cost'!AT61</f>
        <v>#REF!</v>
      </c>
    </row>
    <row r="72" spans="1:53" ht="15.6">
      <c r="A72" s="1077" t="s">
        <v>1817</v>
      </c>
      <c r="B72" s="1077">
        <v>2.5</v>
      </c>
      <c r="C72" s="1077">
        <v>2.5</v>
      </c>
      <c r="D72" s="1077">
        <v>2.5</v>
      </c>
      <c r="E72" s="1077">
        <v>2.5</v>
      </c>
      <c r="F72" s="1077">
        <v>2.2999999999999998</v>
      </c>
      <c r="G72" s="1077">
        <v>2.2999999999999998</v>
      </c>
      <c r="H72" s="1077">
        <v>2.2999999999999998</v>
      </c>
      <c r="I72" s="1077">
        <v>2.2999999999999998</v>
      </c>
      <c r="J72" s="1077">
        <v>2.2999999999999998</v>
      </c>
      <c r="K72" s="1077">
        <v>2.2999999999999998</v>
      </c>
      <c r="L72" s="1077">
        <v>2.2999999999999998</v>
      </c>
      <c r="M72" s="1077">
        <v>2.2999999999999998</v>
      </c>
      <c r="N72" s="1077">
        <v>2.8</v>
      </c>
      <c r="O72" s="1077">
        <v>2.8</v>
      </c>
      <c r="P72" s="1077">
        <v>2.8</v>
      </c>
      <c r="Q72" s="1077">
        <v>2.8</v>
      </c>
      <c r="R72" s="1077">
        <v>5</v>
      </c>
      <c r="S72" s="1080">
        <v>3</v>
      </c>
      <c r="T72" s="1080">
        <v>5.5</v>
      </c>
      <c r="U72" s="1080">
        <v>7</v>
      </c>
      <c r="V72" s="1080">
        <v>9.5</v>
      </c>
      <c r="W72" s="1077">
        <v>0.35</v>
      </c>
      <c r="X72" s="1077">
        <v>0.5</v>
      </c>
      <c r="Y72" s="1077">
        <v>0.6</v>
      </c>
      <c r="Z72" s="1077">
        <v>0.9</v>
      </c>
      <c r="AA72" s="1077">
        <v>1.1000000000000001</v>
      </c>
      <c r="AB72" s="1077">
        <v>1.2</v>
      </c>
      <c r="AC72" s="1080">
        <v>1.4</v>
      </c>
      <c r="AD72" s="1080">
        <v>1.6</v>
      </c>
      <c r="AE72" s="1080">
        <v>1.8</v>
      </c>
      <c r="AF72" s="1080">
        <v>2</v>
      </c>
      <c r="AG72" s="1080">
        <v>2.2000000000000002</v>
      </c>
      <c r="AH72" s="1080">
        <v>2.2999999999999998</v>
      </c>
      <c r="AI72" s="1080">
        <v>2.4</v>
      </c>
      <c r="AJ72" s="1080">
        <v>2.5</v>
      </c>
      <c r="AK72" s="1080">
        <v>2.7</v>
      </c>
      <c r="AL72" s="1080">
        <v>2.9</v>
      </c>
      <c r="AM72" s="1080">
        <v>3</v>
      </c>
      <c r="AN72" s="1080">
        <v>3</v>
      </c>
      <c r="AO72" s="1080"/>
      <c r="AP72" s="1073"/>
      <c r="AQ72" s="1073"/>
      <c r="AR72" s="1073"/>
      <c r="AS72" s="1066"/>
      <c r="AT72" s="1068"/>
      <c r="AU72" s="1066"/>
      <c r="AV72" s="1066"/>
      <c r="AW72" s="1066"/>
    </row>
    <row r="73" spans="1:53" ht="15.6">
      <c r="A73" s="1077" t="s">
        <v>1818</v>
      </c>
      <c r="B73" s="1081">
        <f>'Summary Total Pigs'!AF93/17*4</f>
        <v>101.88235294117646</v>
      </c>
      <c r="C73" s="1081">
        <f>B73</f>
        <v>101.88235294117646</v>
      </c>
      <c r="D73" s="1081">
        <f t="shared" ref="D73:R73" si="40">C73</f>
        <v>101.88235294117646</v>
      </c>
      <c r="E73" s="1081">
        <f>D73</f>
        <v>101.88235294117646</v>
      </c>
      <c r="F73" s="1081">
        <f t="shared" si="40"/>
        <v>101.88235294117646</v>
      </c>
      <c r="G73" s="1081">
        <f t="shared" si="40"/>
        <v>101.88235294117646</v>
      </c>
      <c r="H73" s="1081">
        <f t="shared" si="40"/>
        <v>101.88235294117646</v>
      </c>
      <c r="I73" s="1081">
        <f t="shared" si="40"/>
        <v>101.88235294117646</v>
      </c>
      <c r="J73" s="1081">
        <f t="shared" si="40"/>
        <v>101.88235294117646</v>
      </c>
      <c r="K73" s="1081">
        <f t="shared" si="40"/>
        <v>101.88235294117646</v>
      </c>
      <c r="L73" s="1081">
        <f t="shared" si="40"/>
        <v>101.88235294117646</v>
      </c>
      <c r="M73" s="1081">
        <f t="shared" si="40"/>
        <v>101.88235294117646</v>
      </c>
      <c r="N73" s="1081">
        <f t="shared" si="40"/>
        <v>101.88235294117646</v>
      </c>
      <c r="O73" s="1081">
        <f t="shared" si="40"/>
        <v>101.88235294117646</v>
      </c>
      <c r="P73" s="1081">
        <f t="shared" si="40"/>
        <v>101.88235294117646</v>
      </c>
      <c r="Q73" s="1081">
        <f t="shared" si="40"/>
        <v>101.88235294117646</v>
      </c>
      <c r="R73" s="1081">
        <f t="shared" si="40"/>
        <v>101.88235294117646</v>
      </c>
      <c r="S73" s="1081">
        <f>R73</f>
        <v>101.88235294117646</v>
      </c>
      <c r="T73" s="1081">
        <f>S73</f>
        <v>101.88235294117646</v>
      </c>
      <c r="U73" s="1081">
        <f>T73</f>
        <v>101.88235294117646</v>
      </c>
      <c r="V73" s="1081">
        <f>U73</f>
        <v>101.88235294117646</v>
      </c>
      <c r="W73" s="1081">
        <f t="shared" ref="W73:AK73" si="41">SUM(W7:Z7)</f>
        <v>1009</v>
      </c>
      <c r="X73" s="1081">
        <f t="shared" si="41"/>
        <v>959</v>
      </c>
      <c r="Y73" s="1081">
        <f t="shared" si="41"/>
        <v>871</v>
      </c>
      <c r="Z73" s="1081">
        <f t="shared" si="41"/>
        <v>862</v>
      </c>
      <c r="AA73" s="1081">
        <f t="shared" si="41"/>
        <v>775</v>
      </c>
      <c r="AB73" s="1081">
        <f t="shared" si="41"/>
        <v>768</v>
      </c>
      <c r="AC73" s="1081">
        <f t="shared" si="41"/>
        <v>820</v>
      </c>
      <c r="AD73" s="1081">
        <f t="shared" si="41"/>
        <v>846</v>
      </c>
      <c r="AE73" s="1081">
        <f t="shared" si="41"/>
        <v>872</v>
      </c>
      <c r="AF73" s="1081">
        <f t="shared" si="41"/>
        <v>910</v>
      </c>
      <c r="AG73" s="1081">
        <f t="shared" si="41"/>
        <v>919</v>
      </c>
      <c r="AH73" s="1081">
        <f t="shared" si="41"/>
        <v>924</v>
      </c>
      <c r="AI73" s="1081">
        <f t="shared" si="41"/>
        <v>896</v>
      </c>
      <c r="AJ73" s="1081">
        <f t="shared" si="41"/>
        <v>877</v>
      </c>
      <c r="AK73" s="1081">
        <f t="shared" si="41"/>
        <v>877</v>
      </c>
      <c r="AL73" s="1081">
        <f>SUM(AL7:AP7)</f>
        <v>1088</v>
      </c>
      <c r="AM73" s="1081">
        <f>SUM(AM7:AQ7)</f>
        <v>1124</v>
      </c>
      <c r="AN73" s="1081">
        <f>SUM(AN7:AQ7)</f>
        <v>917</v>
      </c>
      <c r="AO73" s="1077"/>
      <c r="AP73" s="1066"/>
      <c r="AQ73" s="1066"/>
      <c r="AR73" s="1066"/>
      <c r="AS73" s="1066"/>
      <c r="AT73" s="1068"/>
      <c r="AU73" s="1066"/>
      <c r="AV73" s="1066"/>
      <c r="AW73" s="1066"/>
    </row>
    <row r="74" spans="1:53" ht="15.6">
      <c r="A74" s="1077" t="s">
        <v>1819</v>
      </c>
      <c r="B74" s="1081">
        <f>B71*B72*B73</f>
        <v>1782.9411764705881</v>
      </c>
      <c r="C74" s="1081">
        <f t="shared" ref="C74:Q74" si="42">C71*C72*C73</f>
        <v>1782.9411764705881</v>
      </c>
      <c r="D74" s="1081">
        <f t="shared" si="42"/>
        <v>1782.9411764705881</v>
      </c>
      <c r="E74" s="1081">
        <f t="shared" si="42"/>
        <v>1782.9411764705881</v>
      </c>
      <c r="F74" s="1081">
        <f t="shared" si="42"/>
        <v>1640.3058823529409</v>
      </c>
      <c r="G74" s="1081">
        <f>G71*G72*G73</f>
        <v>1640.3058823529409</v>
      </c>
      <c r="H74" s="1081">
        <f t="shared" si="42"/>
        <v>1640.3058823529409</v>
      </c>
      <c r="I74" s="1081">
        <f t="shared" si="42"/>
        <v>1640.3058823529409</v>
      </c>
      <c r="J74" s="1081">
        <f t="shared" si="42"/>
        <v>1640.3058823529409</v>
      </c>
      <c r="K74" s="1081">
        <f>K71*K72*K73</f>
        <v>1640.3058823529409</v>
      </c>
      <c r="L74" s="1081">
        <f t="shared" si="42"/>
        <v>1640.3058823529409</v>
      </c>
      <c r="M74" s="1081">
        <f t="shared" si="42"/>
        <v>1640.3058823529409</v>
      </c>
      <c r="N74" s="1081">
        <f t="shared" si="42"/>
        <v>1996.8941176470585</v>
      </c>
      <c r="O74" s="1081">
        <f t="shared" si="42"/>
        <v>1996.8941176470585</v>
      </c>
      <c r="P74" s="1081">
        <f t="shared" si="42"/>
        <v>1996.8941176470585</v>
      </c>
      <c r="Q74" s="1081">
        <f t="shared" si="42"/>
        <v>1996.8941176470585</v>
      </c>
      <c r="R74" s="1081">
        <f>R71*R72*R73</f>
        <v>3565.8823529411761</v>
      </c>
      <c r="S74" s="1081">
        <f>S71*S72*S73</f>
        <v>2139.5294117647059</v>
      </c>
      <c r="T74" s="1081">
        <f t="shared" ref="T74:AL74" si="43">T71*T72*T73</f>
        <v>3922.4705882352937</v>
      </c>
      <c r="U74" s="1081">
        <f t="shared" si="43"/>
        <v>4992.2352941176468</v>
      </c>
      <c r="V74" s="1081">
        <f>V71*V72*V73</f>
        <v>6775.1764705882351</v>
      </c>
      <c r="W74" s="1081">
        <f t="shared" si="43"/>
        <v>2472.0499999999997</v>
      </c>
      <c r="X74" s="1081">
        <f>X71*X72*X73</f>
        <v>3356.5</v>
      </c>
      <c r="Y74" s="1081">
        <f t="shared" si="43"/>
        <v>3658.2000000000003</v>
      </c>
      <c r="Z74" s="1081">
        <f t="shared" si="43"/>
        <v>5430.5999999999995</v>
      </c>
      <c r="AA74" s="1081">
        <f t="shared" si="43"/>
        <v>5967.5000000000009</v>
      </c>
      <c r="AB74" s="1081">
        <f t="shared" si="43"/>
        <v>6451.2000000000007</v>
      </c>
      <c r="AC74" s="1081">
        <f t="shared" si="43"/>
        <v>8035.9999999999991</v>
      </c>
      <c r="AD74" s="1081">
        <f t="shared" si="43"/>
        <v>9475.2000000000007</v>
      </c>
      <c r="AE74" s="1081">
        <f t="shared" si="43"/>
        <v>10987.199999999999</v>
      </c>
      <c r="AF74" s="1081">
        <f t="shared" si="43"/>
        <v>12740</v>
      </c>
      <c r="AG74" s="1081">
        <f t="shared" si="43"/>
        <v>14152.600000000002</v>
      </c>
      <c r="AH74" s="1081">
        <f t="shared" si="43"/>
        <v>14876.399999999998</v>
      </c>
      <c r="AI74" s="1081">
        <f t="shared" si="43"/>
        <v>15052.800000000001</v>
      </c>
      <c r="AJ74" s="1081">
        <f t="shared" si="43"/>
        <v>15347.5</v>
      </c>
      <c r="AK74" s="1081">
        <f t="shared" si="43"/>
        <v>16575.300000000003</v>
      </c>
      <c r="AL74" s="1081">
        <f t="shared" si="43"/>
        <v>22086.400000000001</v>
      </c>
      <c r="AM74" s="1081">
        <f>AM71*AM72*AM73</f>
        <v>23604</v>
      </c>
      <c r="AN74" s="1081">
        <f>AN71*AN72*AN73</f>
        <v>19257</v>
      </c>
      <c r="AO74" s="1081">
        <f>SUM(B73:AN73)</f>
        <v>18453.529411764706</v>
      </c>
      <c r="AP74" s="1066"/>
      <c r="AQ74" s="1066"/>
      <c r="AR74" s="1066"/>
      <c r="AS74" s="1066"/>
      <c r="AT74" s="1068"/>
      <c r="AU74" s="1066"/>
      <c r="AV74" s="1066"/>
      <c r="AW74" s="1066"/>
    </row>
    <row r="75" spans="1:53" ht="15.6">
      <c r="A75" s="1077"/>
      <c r="B75" s="1081"/>
      <c r="C75" s="1081"/>
      <c r="D75" s="1081"/>
      <c r="E75" s="1081"/>
      <c r="F75" s="1081"/>
      <c r="G75" s="1081"/>
      <c r="H75" s="1081"/>
      <c r="I75" s="1081"/>
      <c r="J75" s="1081"/>
      <c r="K75" s="1081"/>
      <c r="L75" s="1081"/>
      <c r="M75" s="1081"/>
      <c r="N75" s="1081"/>
      <c r="O75" s="1081"/>
      <c r="P75" s="1081"/>
      <c r="Q75" s="1081"/>
      <c r="R75" s="1081">
        <f>SUM(B74:R74)</f>
        <v>31807.670588235291</v>
      </c>
      <c r="S75" s="1081"/>
      <c r="T75" s="1081"/>
      <c r="U75" s="1081">
        <f>SUM(S74:U74)</f>
        <v>11054.235294117647</v>
      </c>
      <c r="V75" s="1081"/>
      <c r="W75" s="1081">
        <f>SUM(V74:W74)</f>
        <v>9247.2264705882353</v>
      </c>
      <c r="X75" s="1081"/>
      <c r="Y75" s="1081">
        <f>SUM(X74:Y74)</f>
        <v>7014.7000000000007</v>
      </c>
      <c r="Z75" s="1081"/>
      <c r="AA75" s="1081">
        <v>0</v>
      </c>
      <c r="AB75" s="1081"/>
      <c r="AC75" s="1081">
        <f>SUM(Z74:AC74)</f>
        <v>25885.300000000003</v>
      </c>
      <c r="AD75" s="1081"/>
      <c r="AE75" s="1081">
        <f>SUM(AD74:AE74)</f>
        <v>20462.400000000001</v>
      </c>
      <c r="AF75" s="1081"/>
      <c r="AG75" s="1081">
        <f>SUM(AF74:AG74)</f>
        <v>26892.600000000002</v>
      </c>
      <c r="AH75" s="1081"/>
      <c r="AI75" s="1081"/>
      <c r="AJ75" s="1081"/>
      <c r="AK75" s="1081"/>
      <c r="AL75" s="1081">
        <f>SUM(AH74:AL74)</f>
        <v>83938.4</v>
      </c>
      <c r="AM75" s="1081"/>
      <c r="AN75" s="1081">
        <f>SUM(AM74:AN74)</f>
        <v>42861</v>
      </c>
      <c r="AO75" s="1081">
        <f>SUM(B74:AN74)</f>
        <v>259163.53235294114</v>
      </c>
      <c r="AP75" s="1066"/>
      <c r="AQ75" s="1066"/>
      <c r="AR75" s="1066"/>
      <c r="AS75" s="1066"/>
      <c r="AT75" s="1068"/>
      <c r="AU75" s="1066"/>
      <c r="AV75" s="1066"/>
      <c r="AW75" s="1066"/>
    </row>
    <row r="76" spans="1:53" ht="15.6">
      <c r="A76" s="1077" t="s">
        <v>1820</v>
      </c>
      <c r="B76" s="1082">
        <f>B74/$R$75</f>
        <v>5.6053811659192827E-2</v>
      </c>
      <c r="C76" s="1082">
        <f t="shared" ref="C76:R76" si="44">C74/$R$75</f>
        <v>5.6053811659192827E-2</v>
      </c>
      <c r="D76" s="1082">
        <f t="shared" si="44"/>
        <v>5.6053811659192827E-2</v>
      </c>
      <c r="E76" s="1082">
        <f t="shared" si="44"/>
        <v>5.6053811659192827E-2</v>
      </c>
      <c r="F76" s="1082">
        <f t="shared" si="44"/>
        <v>5.1569506726457395E-2</v>
      </c>
      <c r="G76" s="1082">
        <f t="shared" si="44"/>
        <v>5.1569506726457395E-2</v>
      </c>
      <c r="H76" s="1082">
        <f>H74/$R$75</f>
        <v>5.1569506726457395E-2</v>
      </c>
      <c r="I76" s="1082">
        <f t="shared" si="44"/>
        <v>5.1569506726457395E-2</v>
      </c>
      <c r="J76" s="1082">
        <f t="shared" si="44"/>
        <v>5.1569506726457395E-2</v>
      </c>
      <c r="K76" s="1082">
        <f>K74/$R$75</f>
        <v>5.1569506726457395E-2</v>
      </c>
      <c r="L76" s="1082">
        <f t="shared" si="44"/>
        <v>5.1569506726457395E-2</v>
      </c>
      <c r="M76" s="1082">
        <f t="shared" si="44"/>
        <v>5.1569506726457395E-2</v>
      </c>
      <c r="N76" s="1082">
        <f t="shared" si="44"/>
        <v>6.2780269058295965E-2</v>
      </c>
      <c r="O76" s="1082">
        <f t="shared" si="44"/>
        <v>6.2780269058295965E-2</v>
      </c>
      <c r="P76" s="1082">
        <f t="shared" si="44"/>
        <v>6.2780269058295965E-2</v>
      </c>
      <c r="Q76" s="1082">
        <f t="shared" si="44"/>
        <v>6.2780269058295965E-2</v>
      </c>
      <c r="R76" s="1082">
        <f t="shared" si="44"/>
        <v>0.11210762331838565</v>
      </c>
      <c r="S76" s="1082">
        <f>S74/$U$75</f>
        <v>0.19354838709677419</v>
      </c>
      <c r="T76" s="1082">
        <f>T74/$U$75</f>
        <v>0.35483870967741932</v>
      </c>
      <c r="U76" s="1082">
        <f>U74/$U$75</f>
        <v>0.45161290322580644</v>
      </c>
      <c r="V76" s="1082">
        <f>V74/$W$75</f>
        <v>0.73267119521051938</v>
      </c>
      <c r="W76" s="1082">
        <f>W74/$W$75</f>
        <v>0.26732880478948057</v>
      </c>
      <c r="X76" s="1082">
        <f>X74/$Y$75</f>
        <v>0.47849516016365629</v>
      </c>
      <c r="Y76" s="1082">
        <f>Y74/$Y$75</f>
        <v>0.52150483983634366</v>
      </c>
      <c r="Z76" s="1082">
        <f>Z74/$AC$75</f>
        <v>0.20979474837069684</v>
      </c>
      <c r="AA76" s="1082">
        <f>AA74/$AC$75</f>
        <v>0.23053625030422673</v>
      </c>
      <c r="AB76" s="1082">
        <f>AB74/$AC$75</f>
        <v>0.24922253170718517</v>
      </c>
      <c r="AC76" s="1082">
        <f>AC74/$AC$75</f>
        <v>0.31044646961789119</v>
      </c>
      <c r="AD76" s="1082">
        <f>AD74/$AE$75</f>
        <v>0.46305418719211822</v>
      </c>
      <c r="AE76" s="1082">
        <f>AE74/$AE$75</f>
        <v>0.53694581280788167</v>
      </c>
      <c r="AF76" s="1082">
        <f>AF74/$AG$75</f>
        <v>0.47373626945702529</v>
      </c>
      <c r="AG76" s="1082">
        <f>AG74/$AG$75</f>
        <v>0.52626373054297471</v>
      </c>
      <c r="AH76" s="1082">
        <f>AH74/$AL$75</f>
        <v>0.17722996864367202</v>
      </c>
      <c r="AI76" s="1082">
        <f>AI74/$AL$75</f>
        <v>0.17933150977383416</v>
      </c>
      <c r="AJ76" s="1082">
        <f>AJ74/$AL$75</f>
        <v>0.18284241777303356</v>
      </c>
      <c r="AK76" s="1082">
        <f>AK74/$AL$75</f>
        <v>0.1974698111948763</v>
      </c>
      <c r="AL76" s="1082">
        <f>AL74/$AL$75</f>
        <v>0.26312629261458409</v>
      </c>
      <c r="AM76" s="1082">
        <f>AM74/$AN$75</f>
        <v>0.55071043606075454</v>
      </c>
      <c r="AN76" s="1082">
        <f>AN74/$AN$75</f>
        <v>0.44928956393924546</v>
      </c>
      <c r="AO76" s="1065"/>
      <c r="AT76" s="1057"/>
    </row>
    <row r="77" spans="1:53">
      <c r="A77" s="1065"/>
      <c r="B77" s="1065"/>
      <c r="C77" s="1065"/>
      <c r="D77" s="1065"/>
      <c r="E77" s="1065"/>
      <c r="F77" s="1065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5"/>
      <c r="AD77" s="1065"/>
      <c r="AE77" s="1065"/>
      <c r="AF77" s="1065"/>
      <c r="AG77" s="1065"/>
      <c r="AH77" s="1065"/>
      <c r="AI77" s="1065"/>
      <c r="AJ77" s="1065"/>
      <c r="AK77" s="1065"/>
      <c r="AL77" s="1065"/>
      <c r="AM77" s="1065"/>
      <c r="AN77" s="1065"/>
      <c r="AO77" s="1065"/>
      <c r="AT77" s="1057"/>
    </row>
    <row r="78" spans="1:53">
      <c r="A78" s="1065"/>
      <c r="B78" s="1065"/>
      <c r="C78" s="1065"/>
      <c r="D78" s="1065"/>
      <c r="E78" s="1065"/>
      <c r="F78" s="1065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5"/>
      <c r="AD78" s="1065"/>
      <c r="AE78" s="1065"/>
      <c r="AF78" s="1065"/>
      <c r="AG78" s="1065"/>
      <c r="AH78" s="1065"/>
      <c r="AI78" s="1065"/>
      <c r="AJ78" s="1065"/>
      <c r="AK78" s="1065"/>
      <c r="AL78" s="1065"/>
      <c r="AM78" s="1065"/>
      <c r="AN78" s="1065"/>
      <c r="AO78" s="1065"/>
      <c r="AT78" s="1057"/>
    </row>
    <row r="79" spans="1:53" ht="15.6">
      <c r="A79" s="1081" t="s">
        <v>1821</v>
      </c>
      <c r="B79" s="1081"/>
      <c r="C79" s="1081"/>
      <c r="D79" s="1081"/>
      <c r="E79" s="1081"/>
      <c r="F79" s="1081"/>
      <c r="G79" s="1081"/>
      <c r="H79" s="1081"/>
      <c r="I79" s="1081"/>
      <c r="J79" s="1081"/>
      <c r="K79" s="1081"/>
      <c r="L79" s="1081"/>
      <c r="M79" s="1081"/>
      <c r="N79" s="1081"/>
      <c r="O79" s="1081"/>
      <c r="P79" s="1081"/>
      <c r="Q79" s="1081">
        <f>SUM(B74:Q74)</f>
        <v>28241.788235294116</v>
      </c>
      <c r="R79" s="1081">
        <f>R74</f>
        <v>3565.8823529411761</v>
      </c>
      <c r="S79" s="1081">
        <f>S74</f>
        <v>2139.5294117647059</v>
      </c>
      <c r="T79" s="1081">
        <f>T73*T71*T72</f>
        <v>3922.4705882352937</v>
      </c>
      <c r="U79" s="1081">
        <f>U73*U71*U72</f>
        <v>4992.2352941176468</v>
      </c>
      <c r="V79" s="1081">
        <f>V73*V71*V72</f>
        <v>6775.1764705882351</v>
      </c>
      <c r="W79" s="1081">
        <f>W74</f>
        <v>2472.0499999999997</v>
      </c>
      <c r="X79" s="1081"/>
      <c r="Y79" s="1081">
        <f>Y75</f>
        <v>7014.7000000000007</v>
      </c>
      <c r="Z79" s="1081"/>
      <c r="AA79" s="1081"/>
      <c r="AB79" s="1081"/>
      <c r="AC79" s="1081">
        <f>AC75</f>
        <v>25885.300000000003</v>
      </c>
      <c r="AD79" s="1081"/>
      <c r="AE79" s="1081">
        <f>AE75</f>
        <v>20462.400000000001</v>
      </c>
      <c r="AF79" s="1081"/>
      <c r="AG79" s="1081">
        <f>AG75</f>
        <v>26892.600000000002</v>
      </c>
      <c r="AH79" s="1081"/>
      <c r="AI79" s="1081"/>
      <c r="AJ79" s="1081">
        <f>AJ75</f>
        <v>0</v>
      </c>
      <c r="AK79" s="1081"/>
      <c r="AL79" s="1081"/>
      <c r="AM79" s="1081"/>
      <c r="AN79" s="1081">
        <f>AN75</f>
        <v>42861</v>
      </c>
      <c r="AO79" s="1081">
        <f>SUM(B78:AN78)</f>
        <v>0</v>
      </c>
      <c r="AP79" s="1068"/>
      <c r="AQ79" s="1068"/>
      <c r="AR79" s="1068"/>
      <c r="AS79" s="1068"/>
      <c r="AT79" s="1068"/>
      <c r="AU79" s="1068"/>
      <c r="AV79" s="1068"/>
      <c r="AW79" s="1068"/>
    </row>
    <row r="80" spans="1:53" ht="15.6">
      <c r="A80" s="1081" t="s">
        <v>1822</v>
      </c>
      <c r="B80" s="1081"/>
      <c r="C80" s="1081"/>
      <c r="D80" s="1081"/>
      <c r="E80" s="1081"/>
      <c r="F80" s="1081"/>
      <c r="G80" s="1081"/>
      <c r="H80" s="1081"/>
      <c r="I80" s="1081"/>
      <c r="J80" s="1081"/>
      <c r="K80" s="1081"/>
      <c r="L80" s="1081"/>
      <c r="M80" s="1081"/>
      <c r="N80" s="1081"/>
      <c r="O80" s="1081"/>
      <c r="P80" s="1081"/>
      <c r="Q80" s="1081">
        <f>'[4]Feed Costing &amp; Appotionment '!K122+'[4]Feed Costing &amp; Appotionment '!O122</f>
        <v>273392.90000000002</v>
      </c>
      <c r="R80" s="1081">
        <f>'[4]Feed Costing &amp; Appotionment '!T122</f>
        <v>47127.5</v>
      </c>
      <c r="S80" s="1081">
        <f>'[4]Feed Costing &amp; Appotionment '!N122</f>
        <v>17559.5</v>
      </c>
      <c r="T80" s="1081"/>
      <c r="U80" s="1081"/>
      <c r="V80" s="1081">
        <f>'[4]Feed Costing &amp; Appotionment '!L122+'[4]Feed Costing &amp; Appotionment '!M122</f>
        <v>117633</v>
      </c>
      <c r="W80" s="1081">
        <f>'[4]Feed Costing &amp; Appotionment '!B122</f>
        <v>29254.2</v>
      </c>
      <c r="X80" s="1081"/>
      <c r="Y80" s="1081">
        <f>'[4]Feed Costing &amp; Appotionment '!C122</f>
        <v>126974</v>
      </c>
      <c r="Z80" s="1081"/>
      <c r="AA80" s="1081"/>
      <c r="AB80" s="1081"/>
      <c r="AC80" s="1081">
        <f>'[4]Feed Costing &amp; Appotionment '!D122+'[4]Feed Costing &amp; Appotionment '!E122</f>
        <v>243037.40000000002</v>
      </c>
      <c r="AD80" s="1081"/>
      <c r="AE80" s="1081">
        <f>'[4]Feed Costing &amp; Appotionment '!F122</f>
        <v>176588.4</v>
      </c>
      <c r="AF80" s="1081"/>
      <c r="AG80" s="1081">
        <f>'[4]Feed Costing &amp; Appotionment '!G122</f>
        <v>59290</v>
      </c>
      <c r="AH80" s="1081"/>
      <c r="AI80" s="1081"/>
      <c r="AJ80" s="1081">
        <f>'[4]Feed Costing &amp; Appotionment '!H122</f>
        <v>949048.7</v>
      </c>
      <c r="AK80" s="1081"/>
      <c r="AL80" s="1081"/>
      <c r="AM80" s="1081"/>
      <c r="AN80" s="1081">
        <f>'[4]Feed Costing &amp; Appotionment '!J122</f>
        <v>710118.55</v>
      </c>
      <c r="AO80" s="1081">
        <f>SUM(B80:AN80)</f>
        <v>2750024.1500000004</v>
      </c>
      <c r="AP80" s="1068">
        <f>AO80-'[4]Feed Costing &amp; Appotionment '!U122+'[4]Feed Costing &amp; Appotionment '!P122+'[4]Feed Costing &amp; Appotionment '!Q122+'[4]Feed Costing &amp; Appotionment '!R122</f>
        <v>1.8917489796876907E-10</v>
      </c>
      <c r="AQ80" s="1068"/>
      <c r="AR80" s="1068"/>
      <c r="AS80" s="1068"/>
      <c r="AT80" s="1068"/>
      <c r="AU80" s="1068"/>
      <c r="AV80" s="1068"/>
      <c r="AW80" s="1068"/>
    </row>
    <row r="81" spans="1:49" ht="15.6">
      <c r="A81" s="1081" t="s">
        <v>1823</v>
      </c>
      <c r="B81" s="1081"/>
      <c r="C81" s="1081"/>
      <c r="D81" s="1081"/>
      <c r="E81" s="1081"/>
      <c r="F81" s="1081"/>
      <c r="G81" s="1081"/>
      <c r="H81" s="1081"/>
      <c r="I81" s="1081"/>
      <c r="J81" s="1081"/>
      <c r="K81" s="1081"/>
      <c r="L81" s="1081"/>
      <c r="M81" s="1081"/>
      <c r="N81" s="1081"/>
      <c r="O81" s="1081"/>
      <c r="P81" s="1081"/>
      <c r="Q81" s="1081">
        <f>Q79-Q80</f>
        <v>-245151.11176470591</v>
      </c>
      <c r="R81" s="1081">
        <f>R79-R80</f>
        <v>-43561.617647058825</v>
      </c>
      <c r="S81" s="1081">
        <f>S79-S80</f>
        <v>-15419.970588235294</v>
      </c>
      <c r="T81" s="1081"/>
      <c r="U81" s="1081"/>
      <c r="V81" s="1081">
        <f>SUM(T79:V79)-V80</f>
        <v>-101943.11764705883</v>
      </c>
      <c r="W81" s="1081">
        <f>W79-W80</f>
        <v>-26782.15</v>
      </c>
      <c r="X81" s="1081">
        <f>X79-X80</f>
        <v>0</v>
      </c>
      <c r="Y81" s="1081">
        <f>Y79-Y80</f>
        <v>-119959.3</v>
      </c>
      <c r="Z81" s="1081"/>
      <c r="AA81" s="1081"/>
      <c r="AB81" s="1081"/>
      <c r="AC81" s="1081">
        <f>AC79-AC80</f>
        <v>-217152.10000000003</v>
      </c>
      <c r="AD81" s="1081"/>
      <c r="AE81" s="1081">
        <f>AE79-AE80</f>
        <v>-156126</v>
      </c>
      <c r="AF81" s="1081"/>
      <c r="AG81" s="1081">
        <f>AG79-AG80</f>
        <v>-32397.399999999998</v>
      </c>
      <c r="AH81" s="1081"/>
      <c r="AI81" s="1081"/>
      <c r="AJ81" s="1081">
        <f>AJ79-AJ80</f>
        <v>-949048.7</v>
      </c>
      <c r="AK81" s="1081"/>
      <c r="AL81" s="1081"/>
      <c r="AM81" s="1081"/>
      <c r="AN81" s="1081">
        <f>AN79-AN80</f>
        <v>-667257.55000000005</v>
      </c>
      <c r="AO81" s="1081">
        <f>SUM(B81:AN81)</f>
        <v>-2574799.0176470587</v>
      </c>
      <c r="AP81" s="1068">
        <f>AO80-'[4]Feed Costing &amp; Appotionment '!U122</f>
        <v>-86697.799999999814</v>
      </c>
      <c r="AQ81" s="1068"/>
      <c r="AR81" s="1068"/>
      <c r="AS81" s="1068"/>
      <c r="AT81" s="1068"/>
      <c r="AU81" s="1068"/>
      <c r="AV81" s="1068"/>
      <c r="AW81" s="1068"/>
    </row>
    <row r="82" spans="1:49" ht="15.6">
      <c r="A82" s="1081" t="s">
        <v>1824</v>
      </c>
      <c r="B82" s="1077"/>
      <c r="C82" s="1077"/>
      <c r="D82" s="1077"/>
      <c r="E82" s="1077"/>
      <c r="F82" s="1077"/>
      <c r="G82" s="1077"/>
      <c r="H82" s="1077"/>
      <c r="I82" s="1077"/>
      <c r="J82" s="1077"/>
      <c r="K82" s="1077"/>
      <c r="L82" s="1077"/>
      <c r="M82" s="1077"/>
      <c r="N82" s="1077"/>
      <c r="O82" s="1077"/>
      <c r="P82" s="1077"/>
      <c r="Q82" s="1083">
        <f>('[4]Feed Costing &amp; Appotionment '!K123+'[4]Feed Costing &amp; Appotionment '!O123)/('[4]Feed Costing &amp; Appotionment '!K122+'[4]Feed Costing &amp; Appotionment '!O122)</f>
        <v>0.33022565021567968</v>
      </c>
      <c r="R82" s="1080">
        <f>'[4]Feed Costing &amp; Appotionment '!T124</f>
        <v>0.37880590011098036</v>
      </c>
      <c r="S82" s="1080">
        <f>'[4]Feed Costing &amp; Appotionment '!N124</f>
        <v>0.36773334194341661</v>
      </c>
      <c r="T82" s="1077"/>
      <c r="U82" s="1077"/>
      <c r="V82" s="1080">
        <f>('[4]Feed Costing &amp; Appotionment '!M123+'[4]Feed Costing &amp; Appotionment '!L123)/('[4]Feed Costing &amp; Appotionment '!L122+'[4]Feed Costing &amp; Appotionment '!M122)</f>
        <v>0.38986305594770371</v>
      </c>
      <c r="W82" s="1080">
        <f>'[4]Feed Costing &amp; Appotionment '!B124</f>
        <v>0.70516028376225237</v>
      </c>
      <c r="X82" s="1077"/>
      <c r="Y82" s="1080">
        <f>'[4]Feed Costing &amp; Appotionment '!C124</f>
        <v>0.553048745740369</v>
      </c>
      <c r="Z82" s="1077"/>
      <c r="AA82" s="1080"/>
      <c r="AB82" s="1077"/>
      <c r="AC82" s="1080">
        <f>'[4]Feed Costing &amp; Appotionment '!D124</f>
        <v>0.45761789674138609</v>
      </c>
      <c r="AD82" s="1077"/>
      <c r="AE82" s="1080">
        <f>'[4]Feed Costing &amp; Appotionment '!F124</f>
        <v>0.36072118784213153</v>
      </c>
      <c r="AF82" s="1077"/>
      <c r="AG82" s="1080">
        <f>'[4]Feed Costing &amp; Appotionment '!G124</f>
        <v>0.35277419368699731</v>
      </c>
      <c r="AH82" s="1077"/>
      <c r="AI82" s="1077"/>
      <c r="AJ82" s="1080">
        <f>'[4]Feed Costing &amp; Appotionment '!H124</f>
        <v>0.32545898419719504</v>
      </c>
      <c r="AK82" s="1077"/>
      <c r="AL82" s="1077"/>
      <c r="AM82" s="1077"/>
      <c r="AN82" s="1080">
        <f>'[4]Feed Costing &amp; Appotionment '!J124</f>
        <v>0.34727367194923103</v>
      </c>
      <c r="AO82" s="1083">
        <f>AO83/AO81</f>
        <v>0.36345242239796488</v>
      </c>
      <c r="AP82" s="1068">
        <f>'[4]Feed Costing &amp; Appotionment '!P122+'[4]Feed Costing &amp; Appotionment '!Q122+'[4]Feed Costing &amp; Appotionment '!R122</f>
        <v>86697.8</v>
      </c>
      <c r="AQ82" s="1066"/>
      <c r="AR82" s="1066"/>
      <c r="AS82" s="1066"/>
      <c r="AT82" s="1068"/>
      <c r="AU82" s="1066"/>
      <c r="AV82" s="1066"/>
      <c r="AW82" s="1066"/>
    </row>
    <row r="83" spans="1:49" ht="15.6">
      <c r="A83" s="1081" t="s">
        <v>1825</v>
      </c>
      <c r="B83" s="1077"/>
      <c r="C83" s="1077"/>
      <c r="D83" s="1077"/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83">
        <f>Q81*Q82</f>
        <v>-80955.185283596773</v>
      </c>
      <c r="R83" s="1083">
        <f>R81*R82</f>
        <v>-16501.397783084485</v>
      </c>
      <c r="S83" s="1083">
        <f>S81*S82</f>
        <v>-5670.4373170809558</v>
      </c>
      <c r="T83" s="1077"/>
      <c r="U83" s="1077"/>
      <c r="V83" s="1083">
        <f>V81*V82</f>
        <v>-39743.855378718639</v>
      </c>
      <c r="W83" s="1083">
        <f>W81*W82</f>
        <v>-18885.70849376321</v>
      </c>
      <c r="X83" s="1077"/>
      <c r="Y83" s="1083">
        <f>Y81*Y82</f>
        <v>-66343.340404892646</v>
      </c>
      <c r="Z83" s="1077"/>
      <c r="AA83" s="1083"/>
      <c r="AB83" s="1077"/>
      <c r="AC83" s="1083">
        <f>AC81*AC82</f>
        <v>-99372.687274975164</v>
      </c>
      <c r="AD83" s="1077"/>
      <c r="AE83" s="1083">
        <f>AE81*AE82</f>
        <v>-56317.956173040628</v>
      </c>
      <c r="AF83" s="1077"/>
      <c r="AG83" s="1083">
        <f>AG81*AG82</f>
        <v>-11428.966662555125</v>
      </c>
      <c r="AH83" s="1077"/>
      <c r="AI83" s="1077"/>
      <c r="AJ83" s="1083">
        <f>AJ81*AJ82</f>
        <v>-308876.42585566849</v>
      </c>
      <c r="AK83" s="1077"/>
      <c r="AL83" s="1077"/>
      <c r="AM83" s="1077"/>
      <c r="AN83" s="1083">
        <f>AN81*AN82</f>
        <v>-231720.97952434764</v>
      </c>
      <c r="AO83" s="1081">
        <f>SUM(B83:AN83)</f>
        <v>-935816.9401517238</v>
      </c>
      <c r="AP83" s="1084">
        <f>SUM(AP81:AP82)</f>
        <v>1.8917489796876907E-10</v>
      </c>
      <c r="AQ83" s="1066"/>
      <c r="AR83" s="1066"/>
      <c r="AS83" s="1066"/>
      <c r="AT83" s="1068"/>
      <c r="AU83" s="1066"/>
      <c r="AV83" s="1066"/>
      <c r="AW83" s="1066"/>
    </row>
    <row r="84" spans="1:49">
      <c r="AT84" s="1057"/>
    </row>
    <row r="86" spans="1:49" ht="15.6">
      <c r="A86" s="131" t="s">
        <v>1816</v>
      </c>
      <c r="B86" s="1716">
        <v>7</v>
      </c>
      <c r="C86" s="1716">
        <v>7</v>
      </c>
      <c r="D86" s="1716">
        <v>7</v>
      </c>
      <c r="E86" s="1716">
        <v>7</v>
      </c>
      <c r="F86" s="1716">
        <v>7</v>
      </c>
      <c r="G86" s="1716">
        <v>7</v>
      </c>
      <c r="H86" s="1716">
        <v>7</v>
      </c>
      <c r="I86" s="1716">
        <v>7</v>
      </c>
      <c r="J86" s="1716">
        <v>7</v>
      </c>
      <c r="K86" s="1716">
        <v>7</v>
      </c>
      <c r="L86" s="1716">
        <v>7</v>
      </c>
      <c r="M86" s="1716">
        <v>7</v>
      </c>
      <c r="N86" s="1716">
        <v>7</v>
      </c>
      <c r="O86" s="1716">
        <v>7</v>
      </c>
      <c r="P86" s="1716">
        <v>7</v>
      </c>
      <c r="Q86" s="1717">
        <v>7</v>
      </c>
      <c r="R86" s="1717">
        <v>7</v>
      </c>
      <c r="S86" s="1710">
        <v>3</v>
      </c>
      <c r="T86" s="1710">
        <v>7</v>
      </c>
      <c r="U86" s="1709">
        <v>7</v>
      </c>
      <c r="V86" s="1709">
        <v>7</v>
      </c>
      <c r="W86" s="1710">
        <v>4</v>
      </c>
      <c r="X86" s="1709">
        <v>7</v>
      </c>
      <c r="Y86" s="1710">
        <v>7</v>
      </c>
      <c r="Z86" s="1709">
        <v>7</v>
      </c>
      <c r="AA86" s="1710">
        <v>7</v>
      </c>
      <c r="AB86" s="1709">
        <v>7</v>
      </c>
      <c r="AC86" s="1710">
        <v>7</v>
      </c>
      <c r="AD86" s="1709">
        <v>7</v>
      </c>
      <c r="AE86" s="1710">
        <v>7</v>
      </c>
      <c r="AF86" s="1709">
        <v>7</v>
      </c>
      <c r="AG86" s="1710">
        <v>7</v>
      </c>
      <c r="AH86" s="1710">
        <v>7</v>
      </c>
      <c r="AI86" s="1709">
        <v>7</v>
      </c>
      <c r="AJ86" s="1710">
        <v>7</v>
      </c>
      <c r="AK86" s="1710">
        <v>7</v>
      </c>
      <c r="AL86" s="1710">
        <v>7</v>
      </c>
      <c r="AM86" s="1709">
        <v>7</v>
      </c>
      <c r="AN86" s="1709">
        <v>7</v>
      </c>
      <c r="AO86" s="1695"/>
    </row>
    <row r="87" spans="1:49" ht="15.6">
      <c r="A87" s="131" t="s">
        <v>1815</v>
      </c>
      <c r="B87" s="1711" t="s">
        <v>1773</v>
      </c>
      <c r="C87" s="1711" t="s">
        <v>1773</v>
      </c>
      <c r="D87" s="1711" t="s">
        <v>1773</v>
      </c>
      <c r="E87" s="1711" t="s">
        <v>1773</v>
      </c>
      <c r="F87" s="1711" t="s">
        <v>1773</v>
      </c>
      <c r="G87" s="1711" t="s">
        <v>1773</v>
      </c>
      <c r="H87" s="1711" t="s">
        <v>1773</v>
      </c>
      <c r="I87" s="1711" t="s">
        <v>1773</v>
      </c>
      <c r="J87" s="1711" t="s">
        <v>1773</v>
      </c>
      <c r="K87" s="1711" t="s">
        <v>1773</v>
      </c>
      <c r="L87" s="1711" t="s">
        <v>1773</v>
      </c>
      <c r="M87" s="1711" t="s">
        <v>1773</v>
      </c>
      <c r="N87" s="1711" t="s">
        <v>1773</v>
      </c>
      <c r="O87" s="1711" t="s">
        <v>1773</v>
      </c>
      <c r="P87" s="1711" t="s">
        <v>1773</v>
      </c>
      <c r="Q87" s="1711" t="s">
        <v>1773</v>
      </c>
      <c r="R87" s="1711" t="s">
        <v>1826</v>
      </c>
      <c r="S87" s="1711" t="s">
        <v>1775</v>
      </c>
      <c r="T87" s="1711" t="s">
        <v>1775</v>
      </c>
      <c r="U87" s="1711" t="s">
        <v>1775</v>
      </c>
      <c r="V87" s="1711" t="s">
        <v>1775</v>
      </c>
      <c r="W87" s="1711" t="s">
        <v>1775</v>
      </c>
      <c r="X87" s="1711" t="s">
        <v>1776</v>
      </c>
      <c r="Y87" s="1711" t="s">
        <v>1777</v>
      </c>
      <c r="Z87" s="1711" t="s">
        <v>1777</v>
      </c>
      <c r="AA87" s="1711" t="s">
        <v>108</v>
      </c>
      <c r="AB87" s="1711" t="s">
        <v>108</v>
      </c>
      <c r="AC87" s="1711" t="s">
        <v>108</v>
      </c>
      <c r="AD87" s="1711" t="s">
        <v>1778</v>
      </c>
      <c r="AE87" s="1711" t="s">
        <v>1778</v>
      </c>
      <c r="AF87" s="1711" t="s">
        <v>1779</v>
      </c>
      <c r="AG87" s="1711" t="s">
        <v>1779</v>
      </c>
      <c r="AH87" s="1711" t="s">
        <v>1780</v>
      </c>
      <c r="AI87" s="1711" t="s">
        <v>1780</v>
      </c>
      <c r="AJ87" s="1711" t="s">
        <v>1780</v>
      </c>
      <c r="AK87" s="1711" t="s">
        <v>1781</v>
      </c>
      <c r="AL87" s="1711" t="s">
        <v>1781</v>
      </c>
      <c r="AM87" s="1711" t="s">
        <v>1781</v>
      </c>
      <c r="AN87" s="1711" t="s">
        <v>1781</v>
      </c>
    </row>
    <row r="88" spans="1:49" ht="15.6">
      <c r="A88" s="131" t="s">
        <v>323</v>
      </c>
      <c r="B88" s="1711">
        <v>-16</v>
      </c>
      <c r="C88" s="1711">
        <v>-15</v>
      </c>
      <c r="D88" s="1711">
        <v>-14</v>
      </c>
      <c r="E88" s="1711">
        <v>-13</v>
      </c>
      <c r="F88" s="1711">
        <v>-12</v>
      </c>
      <c r="G88" s="1711">
        <v>-11</v>
      </c>
      <c r="H88" s="1711">
        <v>-10</v>
      </c>
      <c r="I88" s="1711">
        <v>-9</v>
      </c>
      <c r="J88" s="1711">
        <v>-8</v>
      </c>
      <c r="K88" s="1711">
        <v>-7</v>
      </c>
      <c r="L88" s="1711">
        <v>-6</v>
      </c>
      <c r="M88" s="1711">
        <v>-5</v>
      </c>
      <c r="N88" s="1711">
        <v>-4</v>
      </c>
      <c r="O88" s="1711">
        <v>-3</v>
      </c>
      <c r="P88" s="1711">
        <v>-2</v>
      </c>
      <c r="Q88" s="1711">
        <v>-1</v>
      </c>
      <c r="R88" s="1711">
        <v>0</v>
      </c>
      <c r="S88" s="276">
        <v>1</v>
      </c>
      <c r="T88" s="276">
        <v>2</v>
      </c>
      <c r="U88" s="276">
        <v>3</v>
      </c>
      <c r="V88" s="276">
        <v>4</v>
      </c>
      <c r="W88" s="276">
        <v>5</v>
      </c>
      <c r="X88" s="276">
        <v>6</v>
      </c>
      <c r="Y88" s="276">
        <v>7</v>
      </c>
      <c r="Z88" s="276">
        <v>8</v>
      </c>
      <c r="AA88" s="276">
        <v>9</v>
      </c>
      <c r="AB88" s="276">
        <v>10</v>
      </c>
      <c r="AC88" s="276">
        <v>11</v>
      </c>
      <c r="AD88" s="276">
        <v>12</v>
      </c>
      <c r="AE88" s="276">
        <v>13</v>
      </c>
      <c r="AF88" s="276">
        <v>14</v>
      </c>
      <c r="AG88" s="276">
        <v>15</v>
      </c>
      <c r="AH88" s="276">
        <v>16</v>
      </c>
      <c r="AI88" s="276">
        <v>17</v>
      </c>
      <c r="AJ88" s="276">
        <v>18</v>
      </c>
      <c r="AK88" s="276">
        <v>19</v>
      </c>
      <c r="AL88" s="276">
        <v>20</v>
      </c>
      <c r="AM88" s="276">
        <v>21</v>
      </c>
      <c r="AN88" s="276">
        <v>22</v>
      </c>
      <c r="AO88"/>
    </row>
    <row r="89" spans="1:49" ht="16.149999999999999" thickBot="1">
      <c r="A89" s="131"/>
      <c r="B89" s="1718">
        <f>+B90*B86</f>
        <v>17.5</v>
      </c>
      <c r="C89" s="1718">
        <f t="shared" ref="C89:R89" si="45">+C90*C86</f>
        <v>17.5</v>
      </c>
      <c r="D89" s="1718">
        <f t="shared" si="45"/>
        <v>17.5</v>
      </c>
      <c r="E89" s="1718">
        <f t="shared" si="45"/>
        <v>17.5</v>
      </c>
      <c r="F89" s="1718">
        <f t="shared" si="45"/>
        <v>16.099999999999998</v>
      </c>
      <c r="G89" s="1718">
        <f t="shared" si="45"/>
        <v>16.099999999999998</v>
      </c>
      <c r="H89" s="1718">
        <f t="shared" si="45"/>
        <v>16.099999999999998</v>
      </c>
      <c r="I89" s="1718">
        <f t="shared" si="45"/>
        <v>16.099999999999998</v>
      </c>
      <c r="J89" s="1718">
        <f t="shared" si="45"/>
        <v>16.099999999999998</v>
      </c>
      <c r="K89" s="1718">
        <f t="shared" si="45"/>
        <v>16.099999999999998</v>
      </c>
      <c r="L89" s="1718">
        <f t="shared" si="45"/>
        <v>16.099999999999998</v>
      </c>
      <c r="M89" s="1718">
        <f t="shared" si="45"/>
        <v>16.099999999999998</v>
      </c>
      <c r="N89" s="1718">
        <f t="shared" si="45"/>
        <v>19.599999999999998</v>
      </c>
      <c r="O89" s="1718">
        <f t="shared" si="45"/>
        <v>19.599999999999998</v>
      </c>
      <c r="P89" s="1718">
        <f t="shared" si="45"/>
        <v>19.599999999999998</v>
      </c>
      <c r="Q89" s="1718">
        <f t="shared" si="45"/>
        <v>19.599999999999998</v>
      </c>
      <c r="R89" s="1718">
        <f t="shared" si="45"/>
        <v>35</v>
      </c>
      <c r="S89" s="1699">
        <v>0.3</v>
      </c>
      <c r="T89" s="1699">
        <v>1.8</v>
      </c>
      <c r="U89" s="1699">
        <v>2.5</v>
      </c>
      <c r="V89" s="1700">
        <v>3.5</v>
      </c>
      <c r="W89" s="1700">
        <v>2</v>
      </c>
      <c r="X89" s="1701">
        <v>4.5</v>
      </c>
      <c r="Y89" s="1702">
        <v>6</v>
      </c>
      <c r="Z89" s="1702">
        <v>7</v>
      </c>
      <c r="AA89" s="1703">
        <v>10.5</v>
      </c>
      <c r="AB89" s="1703">
        <v>11.9</v>
      </c>
      <c r="AC89" s="1703">
        <v>13.3</v>
      </c>
      <c r="AD89" s="1704">
        <v>15.4</v>
      </c>
      <c r="AE89" s="1704">
        <v>17.5</v>
      </c>
      <c r="AF89" s="1705">
        <v>18.2</v>
      </c>
      <c r="AG89" s="1705">
        <v>18.899999999999999</v>
      </c>
      <c r="AH89" s="1706">
        <v>20.3</v>
      </c>
      <c r="AI89" s="1706">
        <v>21.7</v>
      </c>
      <c r="AJ89" s="1706">
        <v>21.7</v>
      </c>
      <c r="AK89" s="1707">
        <v>21.7</v>
      </c>
      <c r="AL89" s="1707">
        <v>21.7</v>
      </c>
      <c r="AM89" s="1708">
        <v>21.7</v>
      </c>
      <c r="AN89" s="1708">
        <v>21.7</v>
      </c>
      <c r="AO89" s="1552"/>
    </row>
    <row r="90" spans="1:49" ht="15.6">
      <c r="A90" s="131" t="s">
        <v>1817</v>
      </c>
      <c r="B90" s="142">
        <v>2.5</v>
      </c>
      <c r="C90" s="142">
        <v>2.5</v>
      </c>
      <c r="D90" s="142">
        <v>2.5</v>
      </c>
      <c r="E90" s="142">
        <v>2.5</v>
      </c>
      <c r="F90" s="142">
        <v>2.2999999999999998</v>
      </c>
      <c r="G90" s="142">
        <v>2.2999999999999998</v>
      </c>
      <c r="H90" s="142">
        <v>2.2999999999999998</v>
      </c>
      <c r="I90" s="142">
        <v>2.2999999999999998</v>
      </c>
      <c r="J90" s="142">
        <v>2.2999999999999998</v>
      </c>
      <c r="K90" s="142">
        <v>2.2999999999999998</v>
      </c>
      <c r="L90" s="142">
        <v>2.2999999999999998</v>
      </c>
      <c r="M90" s="142">
        <v>2.2999999999999998</v>
      </c>
      <c r="N90" s="142">
        <v>2.8</v>
      </c>
      <c r="O90" s="142">
        <v>2.8</v>
      </c>
      <c r="P90" s="142">
        <v>2.8</v>
      </c>
      <c r="Q90" s="142">
        <v>2.8</v>
      </c>
      <c r="R90" s="142">
        <v>5</v>
      </c>
      <c r="S90" s="1712">
        <f>+S89/S86</f>
        <v>9.9999999999999992E-2</v>
      </c>
      <c r="T90" s="1712">
        <f t="shared" ref="T90:AN90" si="46">+T89/T86</f>
        <v>0.25714285714285717</v>
      </c>
      <c r="U90" s="1712">
        <f t="shared" si="46"/>
        <v>0.35714285714285715</v>
      </c>
      <c r="V90" s="1712">
        <f t="shared" si="46"/>
        <v>0.5</v>
      </c>
      <c r="W90" s="1712">
        <f t="shared" si="46"/>
        <v>0.5</v>
      </c>
      <c r="X90" s="1712">
        <f>+X89/X86</f>
        <v>0.6428571428571429</v>
      </c>
      <c r="Y90" s="1712">
        <f t="shared" si="46"/>
        <v>0.8571428571428571</v>
      </c>
      <c r="Z90" s="1712">
        <f t="shared" si="46"/>
        <v>1</v>
      </c>
      <c r="AA90" s="1712">
        <f t="shared" si="46"/>
        <v>1.5</v>
      </c>
      <c r="AB90" s="1712">
        <f t="shared" si="46"/>
        <v>1.7</v>
      </c>
      <c r="AC90" s="1712">
        <f t="shared" si="46"/>
        <v>1.9000000000000001</v>
      </c>
      <c r="AD90" s="1712">
        <f t="shared" si="46"/>
        <v>2.2000000000000002</v>
      </c>
      <c r="AE90" s="1712">
        <f t="shared" si="46"/>
        <v>2.5</v>
      </c>
      <c r="AF90" s="1712">
        <f t="shared" si="46"/>
        <v>2.6</v>
      </c>
      <c r="AG90" s="1712">
        <f t="shared" si="46"/>
        <v>2.6999999999999997</v>
      </c>
      <c r="AH90" s="1712">
        <f t="shared" si="46"/>
        <v>2.9</v>
      </c>
      <c r="AI90" s="1712">
        <f t="shared" si="46"/>
        <v>3.1</v>
      </c>
      <c r="AJ90" s="1712">
        <f t="shared" si="46"/>
        <v>3.1</v>
      </c>
      <c r="AK90" s="1712">
        <f t="shared" si="46"/>
        <v>3.1</v>
      </c>
      <c r="AL90" s="1712">
        <f t="shared" si="46"/>
        <v>3.1</v>
      </c>
      <c r="AM90" s="1712">
        <f t="shared" si="46"/>
        <v>3.1</v>
      </c>
      <c r="AN90" s="1712">
        <f t="shared" si="46"/>
        <v>3.1</v>
      </c>
      <c r="AO90" s="1712"/>
    </row>
    <row r="91" spans="1:49" ht="15.6">
      <c r="B91" s="1081">
        <f>'Summary Total Pigs'!AF93/17*5</f>
        <v>127.35294117647058</v>
      </c>
      <c r="C91" s="817">
        <f>+B91</f>
        <v>127.35294117647058</v>
      </c>
      <c r="D91" s="817">
        <f t="shared" ref="D91:R91" si="47">+C91</f>
        <v>127.35294117647058</v>
      </c>
      <c r="E91" s="817">
        <f t="shared" si="47"/>
        <v>127.35294117647058</v>
      </c>
      <c r="F91" s="817">
        <f t="shared" si="47"/>
        <v>127.35294117647058</v>
      </c>
      <c r="G91" s="817">
        <f t="shared" si="47"/>
        <v>127.35294117647058</v>
      </c>
      <c r="H91" s="817">
        <f t="shared" si="47"/>
        <v>127.35294117647058</v>
      </c>
      <c r="I91" s="817">
        <f t="shared" si="47"/>
        <v>127.35294117647058</v>
      </c>
      <c r="J91" s="817">
        <f t="shared" si="47"/>
        <v>127.35294117647058</v>
      </c>
      <c r="K91" s="817">
        <f t="shared" si="47"/>
        <v>127.35294117647058</v>
      </c>
      <c r="L91" s="817">
        <f t="shared" si="47"/>
        <v>127.35294117647058</v>
      </c>
      <c r="M91" s="817">
        <f t="shared" si="47"/>
        <v>127.35294117647058</v>
      </c>
      <c r="N91" s="817">
        <f t="shared" si="47"/>
        <v>127.35294117647058</v>
      </c>
      <c r="O91" s="817">
        <f t="shared" si="47"/>
        <v>127.35294117647058</v>
      </c>
      <c r="P91" s="817">
        <f t="shared" si="47"/>
        <v>127.35294117647058</v>
      </c>
      <c r="Q91" s="817">
        <f t="shared" si="47"/>
        <v>127.35294117647058</v>
      </c>
      <c r="R91" s="817">
        <f t="shared" si="47"/>
        <v>127.35294117647058</v>
      </c>
      <c r="S91" s="817">
        <f>+R91</f>
        <v>127.35294117647058</v>
      </c>
      <c r="T91" s="817">
        <f t="shared" ref="T91:V91" si="48">+S91</f>
        <v>127.35294117647058</v>
      </c>
      <c r="U91" s="817">
        <f t="shared" si="48"/>
        <v>127.35294117647058</v>
      </c>
      <c r="V91" s="817">
        <f t="shared" si="48"/>
        <v>127.35294117647058</v>
      </c>
      <c r="W91" s="1059">
        <f>SUM(W7:Z7)</f>
        <v>1009</v>
      </c>
      <c r="X91" s="1059">
        <f>SUM(X7:AA7)</f>
        <v>959</v>
      </c>
      <c r="Y91" s="1059">
        <f>SUM(X7:AA7)</f>
        <v>959</v>
      </c>
      <c r="Z91" s="1059">
        <f t="shared" ref="Z91:AK91" si="49">SUM(Z7:AC7)</f>
        <v>862</v>
      </c>
      <c r="AA91" s="1059">
        <f t="shared" si="49"/>
        <v>775</v>
      </c>
      <c r="AB91" s="1059">
        <f t="shared" si="49"/>
        <v>768</v>
      </c>
      <c r="AC91" s="1059">
        <f t="shared" si="49"/>
        <v>820</v>
      </c>
      <c r="AD91" s="1059">
        <f t="shared" si="49"/>
        <v>846</v>
      </c>
      <c r="AE91" s="1059">
        <f t="shared" si="49"/>
        <v>872</v>
      </c>
      <c r="AF91" s="1059">
        <f t="shared" si="49"/>
        <v>910</v>
      </c>
      <c r="AG91" s="1059">
        <f t="shared" si="49"/>
        <v>919</v>
      </c>
      <c r="AH91" s="1059">
        <f t="shared" si="49"/>
        <v>924</v>
      </c>
      <c r="AI91" s="1059">
        <f t="shared" si="49"/>
        <v>896</v>
      </c>
      <c r="AJ91" s="1059">
        <f t="shared" si="49"/>
        <v>877</v>
      </c>
      <c r="AK91" s="817">
        <f t="shared" si="49"/>
        <v>877</v>
      </c>
      <c r="AL91" s="817">
        <f>SUM(AL7:AP7)</f>
        <v>1088</v>
      </c>
      <c r="AM91" s="817">
        <f>SUM(AM7:AQ7)</f>
        <v>1124</v>
      </c>
      <c r="AN91" s="817">
        <f>SUM(AN7:AR7)</f>
        <v>1155</v>
      </c>
      <c r="AO91" s="817"/>
    </row>
    <row r="92" spans="1:49">
      <c r="B92" s="1059">
        <f t="shared" ref="B92:R92" si="50">+B86*B90*B91</f>
        <v>2228.6764705882351</v>
      </c>
      <c r="C92" s="1059">
        <f t="shared" si="50"/>
        <v>2228.6764705882351</v>
      </c>
      <c r="D92" s="1059">
        <f t="shared" si="50"/>
        <v>2228.6764705882351</v>
      </c>
      <c r="E92" s="1059">
        <f t="shared" si="50"/>
        <v>2228.6764705882351</v>
      </c>
      <c r="F92" s="1059">
        <f t="shared" si="50"/>
        <v>2050.3823529411761</v>
      </c>
      <c r="G92" s="1059">
        <f t="shared" si="50"/>
        <v>2050.3823529411761</v>
      </c>
      <c r="H92" s="1059">
        <f t="shared" si="50"/>
        <v>2050.3823529411761</v>
      </c>
      <c r="I92" s="1059">
        <f t="shared" si="50"/>
        <v>2050.3823529411761</v>
      </c>
      <c r="J92" s="1059">
        <f t="shared" si="50"/>
        <v>2050.3823529411761</v>
      </c>
      <c r="K92" s="1059">
        <f t="shared" si="50"/>
        <v>2050.3823529411761</v>
      </c>
      <c r="L92" s="1059">
        <f t="shared" si="50"/>
        <v>2050.3823529411761</v>
      </c>
      <c r="M92" s="1059">
        <f t="shared" si="50"/>
        <v>2050.3823529411761</v>
      </c>
      <c r="N92" s="1059">
        <f t="shared" si="50"/>
        <v>2496.117647058823</v>
      </c>
      <c r="O92" s="1059">
        <f t="shared" si="50"/>
        <v>2496.117647058823</v>
      </c>
      <c r="P92" s="1059">
        <f t="shared" si="50"/>
        <v>2496.117647058823</v>
      </c>
      <c r="Q92" s="1059">
        <f t="shared" si="50"/>
        <v>2496.117647058823</v>
      </c>
      <c r="R92" s="1059">
        <f t="shared" si="50"/>
        <v>4457.3529411764703</v>
      </c>
      <c r="S92" s="1059">
        <f>+S86*S90*S91</f>
        <v>38.205882352941174</v>
      </c>
      <c r="T92" s="1059">
        <f t="shared" ref="T92:AN92" si="51">+T86*T90*T91</f>
        <v>229.23529411764707</v>
      </c>
      <c r="U92" s="1059">
        <f t="shared" si="51"/>
        <v>318.38235294117646</v>
      </c>
      <c r="V92" s="1059">
        <f t="shared" si="51"/>
        <v>445.73529411764702</v>
      </c>
      <c r="W92" s="1059">
        <f t="shared" si="51"/>
        <v>2018</v>
      </c>
      <c r="X92" s="1059">
        <f>+X86*X90*X91</f>
        <v>4315.5</v>
      </c>
      <c r="Y92" s="1059">
        <f>+Y86*Y90*Y91</f>
        <v>5754</v>
      </c>
      <c r="Z92" s="1059">
        <f>+Z86*Z90*Z91</f>
        <v>6034</v>
      </c>
      <c r="AA92" s="1059">
        <f t="shared" ref="AA92:AC92" si="52">+AA86*AA90*AA91</f>
        <v>8137.5</v>
      </c>
      <c r="AB92" s="1059">
        <f t="shared" si="52"/>
        <v>9139.2000000000007</v>
      </c>
      <c r="AC92" s="1059">
        <f t="shared" si="52"/>
        <v>10906</v>
      </c>
      <c r="AD92" s="1059">
        <f>+AD86*AD90*AD91</f>
        <v>13028.400000000001</v>
      </c>
      <c r="AE92" s="1059">
        <f>+AE86*AE90*AE91</f>
        <v>15260</v>
      </c>
      <c r="AF92" s="1059">
        <f t="shared" ref="AF92:AJ92" si="53">+AF86*AF90*AF91</f>
        <v>16562</v>
      </c>
      <c r="AG92" s="1059">
        <f t="shared" si="53"/>
        <v>17369.099999999999</v>
      </c>
      <c r="AH92" s="1059">
        <f t="shared" si="53"/>
        <v>18757.2</v>
      </c>
      <c r="AI92" s="1059">
        <f t="shared" si="53"/>
        <v>19443.2</v>
      </c>
      <c r="AJ92" s="1059">
        <f t="shared" si="53"/>
        <v>19030.899999999998</v>
      </c>
      <c r="AK92" s="1059">
        <f t="shared" si="51"/>
        <v>19030.899999999998</v>
      </c>
      <c r="AL92" s="1059">
        <f t="shared" si="51"/>
        <v>23609.599999999999</v>
      </c>
      <c r="AM92" s="1059">
        <f t="shared" si="51"/>
        <v>24390.799999999999</v>
      </c>
      <c r="AN92" s="1059">
        <f t="shared" si="51"/>
        <v>25063.5</v>
      </c>
      <c r="AO92" s="1059"/>
    </row>
    <row r="93" spans="1:49">
      <c r="R93" s="818">
        <f>SUM(B92:R92)</f>
        <v>39759.588235294104</v>
      </c>
      <c r="V93" s="818"/>
      <c r="W93" s="818">
        <f>SUM(S92:W92)</f>
        <v>3049.5588235294117</v>
      </c>
      <c r="X93" s="818">
        <f>SUM(X92)</f>
        <v>4315.5</v>
      </c>
      <c r="Z93" s="818">
        <f>SUM(Y92:Z92)</f>
        <v>11788</v>
      </c>
      <c r="AC93" s="818">
        <f>SUM(AA92:AC92)</f>
        <v>28182.7</v>
      </c>
      <c r="AE93" s="818">
        <f>SUM(AD92:AE92)</f>
        <v>28288.400000000001</v>
      </c>
      <c r="AG93" s="818">
        <f>SUM(AF92:AG92)</f>
        <v>33931.1</v>
      </c>
      <c r="AJ93" s="818">
        <f>SUM(AH92:AJ92)</f>
        <v>57231.3</v>
      </c>
      <c r="AN93" s="818">
        <f>SUM(AK92:AN92)</f>
        <v>92094.8</v>
      </c>
      <c r="AO93" s="818"/>
    </row>
    <row r="94" spans="1:49" ht="15.6">
      <c r="B94" s="1715">
        <f>+B92/$R$93</f>
        <v>5.6053811659192841E-2</v>
      </c>
      <c r="C94" s="1715">
        <f t="shared" ref="C94:R94" si="54">+C92/$R$93</f>
        <v>5.6053811659192841E-2</v>
      </c>
      <c r="D94" s="1715">
        <f t="shared" si="54"/>
        <v>5.6053811659192841E-2</v>
      </c>
      <c r="E94" s="1715">
        <f t="shared" si="54"/>
        <v>5.6053811659192841E-2</v>
      </c>
      <c r="F94" s="1715">
        <f t="shared" si="54"/>
        <v>5.1569506726457409E-2</v>
      </c>
      <c r="G94" s="1715">
        <f t="shared" si="54"/>
        <v>5.1569506726457409E-2</v>
      </c>
      <c r="H94" s="1715">
        <f t="shared" si="54"/>
        <v>5.1569506726457409E-2</v>
      </c>
      <c r="I94" s="1715">
        <f t="shared" si="54"/>
        <v>5.1569506726457409E-2</v>
      </c>
      <c r="J94" s="1715">
        <f t="shared" si="54"/>
        <v>5.1569506726457409E-2</v>
      </c>
      <c r="K94" s="1715">
        <f t="shared" si="54"/>
        <v>5.1569506726457409E-2</v>
      </c>
      <c r="L94" s="1715">
        <f t="shared" si="54"/>
        <v>5.1569506726457409E-2</v>
      </c>
      <c r="M94" s="1715">
        <f t="shared" si="54"/>
        <v>5.1569506726457409E-2</v>
      </c>
      <c r="N94" s="1715">
        <f t="shared" si="54"/>
        <v>6.2780269058295965E-2</v>
      </c>
      <c r="O94" s="1715">
        <f t="shared" si="54"/>
        <v>6.2780269058295965E-2</v>
      </c>
      <c r="P94" s="1715">
        <f t="shared" si="54"/>
        <v>6.2780269058295965E-2</v>
      </c>
      <c r="Q94" s="1715">
        <f>+Q92/$R$93</f>
        <v>6.2780269058295965E-2</v>
      </c>
      <c r="R94" s="1715">
        <f t="shared" si="54"/>
        <v>0.11210762331838568</v>
      </c>
      <c r="S94" s="1715">
        <f>+S92/$W$93</f>
        <v>1.2528331002555817E-2</v>
      </c>
      <c r="T94" s="1715">
        <f t="shared" ref="T94:W94" si="55">+T92/$W$93</f>
        <v>7.5169986015334908E-2</v>
      </c>
      <c r="U94" s="1715">
        <f t="shared" si="55"/>
        <v>0.10440275835463182</v>
      </c>
      <c r="V94" s="1715">
        <f t="shared" si="55"/>
        <v>0.14616386169648454</v>
      </c>
      <c r="W94" s="1715">
        <f t="shared" si="55"/>
        <v>0.66173506293099293</v>
      </c>
      <c r="X94" s="1715">
        <f>+X92/X93</f>
        <v>1</v>
      </c>
      <c r="Y94" s="1715">
        <f>+Y92/Z93</f>
        <v>0.48812351543942994</v>
      </c>
      <c r="Z94" s="1715">
        <f>+Z92/Z93</f>
        <v>0.51187648456057011</v>
      </c>
      <c r="AA94" s="1715">
        <f>+AA92/AC93</f>
        <v>0.28874096520205655</v>
      </c>
      <c r="AB94" s="1715">
        <f>+AB92/AC93</f>
        <v>0.32428404659596138</v>
      </c>
      <c r="AC94" s="1715">
        <f>+AC92/AC93</f>
        <v>0.38697498820198206</v>
      </c>
      <c r="AD94" s="1715">
        <f>+AD92/AE93</f>
        <v>0.46055627041472835</v>
      </c>
      <c r="AE94" s="1715">
        <f>+AE92/AE93</f>
        <v>0.53944372958527165</v>
      </c>
      <c r="AF94" s="1715">
        <f>+AF92/AG93</f>
        <v>0.48810678109463002</v>
      </c>
      <c r="AG94" s="1715">
        <f>+AG92/AG93</f>
        <v>0.51189321890536998</v>
      </c>
      <c r="AH94" s="1715">
        <f>+AH92/AJ93</f>
        <v>0.32774373463471912</v>
      </c>
      <c r="AI94" s="1715">
        <f>+AI92/AJ93</f>
        <v>0.33973018260986559</v>
      </c>
      <c r="AJ94" s="1715">
        <f>+AJ92/AJ93</f>
        <v>0.33252608275541523</v>
      </c>
      <c r="AK94" s="1715">
        <f>+AK92/$AN$93</f>
        <v>0.20664467483506124</v>
      </c>
      <c r="AL94" s="1715">
        <f t="shared" ref="AL94:AN94" si="56">+AL92/$AN$93</f>
        <v>0.25636192271442032</v>
      </c>
      <c r="AM94" s="1715">
        <f t="shared" si="56"/>
        <v>0.26484448633364749</v>
      </c>
      <c r="AN94" s="1715">
        <f t="shared" si="56"/>
        <v>0.27214891611687086</v>
      </c>
      <c r="AO94" s="1715"/>
    </row>
  </sheetData>
  <pageMargins left="0.7" right="0.7" top="0.75" bottom="0.75" header="0.3" footer="0.3"/>
  <pageSetup paperSize="9" scale="10" orientation="portrait" r:id="rId1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61">
    <tabColor theme="6" tint="-0.249977111117893"/>
  </sheetPr>
  <dimension ref="A2:BB124"/>
  <sheetViews>
    <sheetView view="pageBreakPreview" zoomScale="60" zoomScaleNormal="84" workbookViewId="0">
      <pane xSplit="1" ySplit="3" topLeftCell="AO32" activePane="bottomRight" state="frozen"/>
      <selection pane="bottomRight" activeCell="AV57" sqref="AV57"/>
      <selection pane="bottomLeft" activeCell="A4" sqref="A4"/>
      <selection pane="topRight" activeCell="B1" sqref="B1"/>
    </sheetView>
  </sheetViews>
  <sheetFormatPr defaultColWidth="9.140625" defaultRowHeight="15"/>
  <cols>
    <col min="1" max="1" width="34" style="142" bestFit="1" customWidth="1"/>
    <col min="2" max="2" width="24" style="142" bestFit="1" customWidth="1"/>
    <col min="3" max="5" width="21.85546875" style="142" bestFit="1" customWidth="1"/>
    <col min="6" max="6" width="23.42578125" style="142" bestFit="1" customWidth="1"/>
    <col min="7" max="9" width="23" style="142" bestFit="1" customWidth="1"/>
    <col min="10" max="10" width="21.140625" style="142" bestFit="1" customWidth="1"/>
    <col min="11" max="14" width="22.5703125" style="142" bestFit="1" customWidth="1"/>
    <col min="15" max="15" width="23" style="142" bestFit="1" customWidth="1"/>
    <col min="16" max="17" width="22.5703125" style="142" bestFit="1" customWidth="1"/>
    <col min="18" max="19" width="23" style="142" bestFit="1" customWidth="1"/>
    <col min="20" max="20" width="23.42578125" style="142" bestFit="1" customWidth="1"/>
    <col min="21" max="21" width="23" style="142" bestFit="1" customWidth="1"/>
    <col min="22" max="23" width="23.42578125" style="142" bestFit="1" customWidth="1"/>
    <col min="24" max="24" width="23" style="142" bestFit="1" customWidth="1"/>
    <col min="25" max="25" width="24" style="142" bestFit="1" customWidth="1"/>
    <col min="26" max="28" width="23.42578125" style="142" bestFit="1" customWidth="1"/>
    <col min="29" max="29" width="25.140625" style="142" bestFit="1" customWidth="1"/>
    <col min="30" max="31" width="23.42578125" style="142" bestFit="1" customWidth="1"/>
    <col min="32" max="35" width="24" style="142" bestFit="1" customWidth="1"/>
    <col min="36" max="36" width="24.7109375" style="142" bestFit="1" customWidth="1"/>
    <col min="37" max="45" width="24" style="142" bestFit="1" customWidth="1"/>
    <col min="46" max="46" width="24" style="142" customWidth="1"/>
    <col min="47" max="47" width="25.140625" style="1057" bestFit="1" customWidth="1"/>
    <col min="48" max="48" width="29.140625" style="142" bestFit="1" customWidth="1"/>
    <col min="49" max="49" width="20.42578125" style="142" bestFit="1" customWidth="1"/>
    <col min="50" max="50" width="22.28515625" style="142" bestFit="1" customWidth="1"/>
    <col min="51" max="51" width="16.85546875" style="142" bestFit="1" customWidth="1"/>
    <col min="52" max="52" width="20.42578125" style="142" bestFit="1" customWidth="1"/>
    <col min="53" max="53" width="21.85546875" style="142" bestFit="1" customWidth="1"/>
    <col min="54" max="54" width="14.42578125" style="142" bestFit="1" customWidth="1"/>
    <col min="55" max="16384" width="9.140625" style="142"/>
  </cols>
  <sheetData>
    <row r="2" spans="1:50" ht="15.6">
      <c r="A2" s="1066" t="s">
        <v>1772</v>
      </c>
      <c r="B2" s="142">
        <v>1</v>
      </c>
      <c r="C2" s="142">
        <f>B2+1</f>
        <v>2</v>
      </c>
      <c r="D2" s="142">
        <f t="shared" ref="D2:AN2" si="0">C2+1</f>
        <v>3</v>
      </c>
      <c r="E2" s="142">
        <f t="shared" si="0"/>
        <v>4</v>
      </c>
      <c r="F2" s="142">
        <f t="shared" si="0"/>
        <v>5</v>
      </c>
      <c r="G2" s="142">
        <f t="shared" si="0"/>
        <v>6</v>
      </c>
      <c r="H2" s="142">
        <f t="shared" si="0"/>
        <v>7</v>
      </c>
      <c r="I2" s="142">
        <f t="shared" si="0"/>
        <v>8</v>
      </c>
      <c r="J2" s="142">
        <f t="shared" si="0"/>
        <v>9</v>
      </c>
      <c r="K2" s="142">
        <f t="shared" si="0"/>
        <v>10</v>
      </c>
      <c r="L2" s="142">
        <f t="shared" si="0"/>
        <v>11</v>
      </c>
      <c r="M2" s="142">
        <f t="shared" si="0"/>
        <v>12</v>
      </c>
      <c r="N2" s="142">
        <f t="shared" si="0"/>
        <v>13</v>
      </c>
      <c r="O2" s="142">
        <f t="shared" si="0"/>
        <v>14</v>
      </c>
      <c r="P2" s="142">
        <f t="shared" si="0"/>
        <v>15</v>
      </c>
      <c r="Q2" s="142">
        <f t="shared" si="0"/>
        <v>16</v>
      </c>
      <c r="R2" s="142">
        <f t="shared" si="0"/>
        <v>17</v>
      </c>
      <c r="S2" s="142">
        <f t="shared" si="0"/>
        <v>18</v>
      </c>
      <c r="T2" s="142">
        <f t="shared" si="0"/>
        <v>19</v>
      </c>
      <c r="U2" s="142">
        <f t="shared" si="0"/>
        <v>20</v>
      </c>
      <c r="V2" s="142">
        <f t="shared" si="0"/>
        <v>21</v>
      </c>
      <c r="W2" s="142">
        <f t="shared" si="0"/>
        <v>22</v>
      </c>
      <c r="X2" s="142">
        <f t="shared" si="0"/>
        <v>23</v>
      </c>
      <c r="Y2" s="142">
        <f t="shared" si="0"/>
        <v>24</v>
      </c>
      <c r="Z2" s="142">
        <f t="shared" si="0"/>
        <v>25</v>
      </c>
      <c r="AA2" s="142">
        <f t="shared" si="0"/>
        <v>26</v>
      </c>
      <c r="AB2" s="142">
        <f t="shared" si="0"/>
        <v>27</v>
      </c>
      <c r="AC2" s="142">
        <f t="shared" si="0"/>
        <v>28</v>
      </c>
      <c r="AD2" s="142">
        <f t="shared" si="0"/>
        <v>29</v>
      </c>
      <c r="AE2" s="142">
        <f t="shared" si="0"/>
        <v>30</v>
      </c>
      <c r="AF2" s="142">
        <f t="shared" si="0"/>
        <v>31</v>
      </c>
      <c r="AG2" s="142">
        <f t="shared" si="0"/>
        <v>32</v>
      </c>
      <c r="AH2" s="142">
        <f t="shared" si="0"/>
        <v>33</v>
      </c>
      <c r="AI2" s="142">
        <f t="shared" si="0"/>
        <v>34</v>
      </c>
      <c r="AJ2" s="142">
        <f t="shared" si="0"/>
        <v>35</v>
      </c>
      <c r="AK2" s="142">
        <f t="shared" si="0"/>
        <v>36</v>
      </c>
      <c r="AL2" s="142">
        <f t="shared" si="0"/>
        <v>37</v>
      </c>
      <c r="AM2" s="142">
        <f t="shared" si="0"/>
        <v>38</v>
      </c>
      <c r="AN2" s="142">
        <f t="shared" si="0"/>
        <v>39</v>
      </c>
    </row>
    <row r="3" spans="1:50" s="131" customFormat="1" ht="15.6">
      <c r="B3" s="130" t="str">
        <f>'[4]SOWS WK1-WK16'!E6</f>
        <v>DRY SOW</v>
      </c>
      <c r="C3" s="130" t="str">
        <f>B3</f>
        <v>DRY SOW</v>
      </c>
      <c r="D3" s="130" t="str">
        <f t="shared" ref="D3:Q3" si="1">C3</f>
        <v>DRY SOW</v>
      </c>
      <c r="E3" s="130" t="str">
        <f t="shared" si="1"/>
        <v>DRY SOW</v>
      </c>
      <c r="F3" s="130" t="str">
        <f t="shared" si="1"/>
        <v>DRY SOW</v>
      </c>
      <c r="G3" s="130" t="str">
        <f t="shared" si="1"/>
        <v>DRY SOW</v>
      </c>
      <c r="H3" s="130" t="str">
        <f t="shared" si="1"/>
        <v>DRY SOW</v>
      </c>
      <c r="I3" s="130" t="str">
        <f t="shared" si="1"/>
        <v>DRY SOW</v>
      </c>
      <c r="J3" s="130" t="str">
        <f t="shared" si="1"/>
        <v>DRY SOW</v>
      </c>
      <c r="K3" s="130" t="str">
        <f t="shared" si="1"/>
        <v>DRY SOW</v>
      </c>
      <c r="L3" s="130" t="str">
        <f t="shared" si="1"/>
        <v>DRY SOW</v>
      </c>
      <c r="M3" s="130" t="str">
        <f t="shared" si="1"/>
        <v>DRY SOW</v>
      </c>
      <c r="N3" s="130" t="str">
        <f t="shared" si="1"/>
        <v>DRY SOW</v>
      </c>
      <c r="O3" s="130" t="str">
        <f t="shared" si="1"/>
        <v>DRY SOW</v>
      </c>
      <c r="P3" s="130" t="str">
        <f t="shared" si="1"/>
        <v>DRY SOW</v>
      </c>
      <c r="Q3" s="130" t="str">
        <f t="shared" si="1"/>
        <v>DRY SOW</v>
      </c>
      <c r="R3" s="130" t="str">
        <f>'[4]SOWS WK1-WK16'!E5</f>
        <v>Flush</v>
      </c>
      <c r="S3" s="130" t="str">
        <f>'[4]SOWS FARROW WK1-WK4'!E4</f>
        <v>PRE-FARROW</v>
      </c>
      <c r="T3" s="130" t="str">
        <f>'[4]SOWS FARROW WK1-WK4'!E5</f>
        <v>LACTATE</v>
      </c>
      <c r="U3" s="130" t="str">
        <f>T3</f>
        <v>LACTATE</v>
      </c>
      <c r="V3" s="130" t="str">
        <f>U3</f>
        <v>LACTATE</v>
      </c>
      <c r="W3" s="130" t="str">
        <f>[4]WEANER!J4</f>
        <v>Early Wean</v>
      </c>
      <c r="X3" s="130" t="str">
        <f>[4]WEANER!E5</f>
        <v>CREEP</v>
      </c>
      <c r="Y3" s="130" t="str">
        <f>X3</f>
        <v>CREEP</v>
      </c>
      <c r="Z3" s="130" t="str">
        <f>[4]WEANER!E7</f>
        <v>WEAN 1</v>
      </c>
      <c r="AA3" s="130" t="str">
        <f>Z3</f>
        <v>WEAN 1</v>
      </c>
      <c r="AB3" s="130" t="str">
        <f>AA3</f>
        <v>WEAN 1</v>
      </c>
      <c r="AC3" s="130" t="str">
        <f>AB3</f>
        <v>WEAN 1</v>
      </c>
      <c r="AD3" s="130" t="str">
        <f>[4]GROWER!E5</f>
        <v>GROWER 1</v>
      </c>
      <c r="AE3" s="130" t="str">
        <f>AD3</f>
        <v>GROWER 1</v>
      </c>
      <c r="AF3" s="130" t="str">
        <f>[4]GROWER!E7</f>
        <v>GROWER 2</v>
      </c>
      <c r="AG3" s="130" t="str">
        <f>AF3</f>
        <v>GROWER 2</v>
      </c>
      <c r="AH3" s="130" t="str">
        <f>[4]GROWER!E9</f>
        <v>GROWER 3</v>
      </c>
      <c r="AI3" s="130" t="str">
        <f>AH3</f>
        <v>GROWER 3</v>
      </c>
      <c r="AJ3" s="130" t="str">
        <f>AI3</f>
        <v>GROWER 3</v>
      </c>
      <c r="AK3" s="130" t="str">
        <f>[4]GROWER!E12</f>
        <v>FINISHER</v>
      </c>
      <c r="AL3" s="130" t="str">
        <f>AK3</f>
        <v>FINISHER</v>
      </c>
      <c r="AM3" s="130" t="str">
        <f>AL3</f>
        <v>FINISHER</v>
      </c>
      <c r="AN3" s="130" t="str">
        <f>AM3</f>
        <v>FINISHER</v>
      </c>
      <c r="AR3" s="1085"/>
      <c r="AU3" s="1086"/>
    </row>
    <row r="4" spans="1:50" ht="15.6">
      <c r="A4" s="1066" t="s">
        <v>1782</v>
      </c>
      <c r="B4" s="1066">
        <f>C4-1</f>
        <v>23</v>
      </c>
      <c r="C4" s="1066">
        <f t="shared" ref="C4:P4" si="2">D4-1</f>
        <v>24</v>
      </c>
      <c r="D4" s="1066">
        <f t="shared" si="2"/>
        <v>25</v>
      </c>
      <c r="E4" s="1066">
        <f t="shared" si="2"/>
        <v>26</v>
      </c>
      <c r="F4" s="1066">
        <f t="shared" si="2"/>
        <v>27</v>
      </c>
      <c r="G4" s="1066">
        <f t="shared" si="2"/>
        <v>28</v>
      </c>
      <c r="H4" s="1066">
        <f t="shared" si="2"/>
        <v>29</v>
      </c>
      <c r="I4" s="1066">
        <f t="shared" si="2"/>
        <v>30</v>
      </c>
      <c r="J4" s="1066">
        <f t="shared" si="2"/>
        <v>31</v>
      </c>
      <c r="K4" s="1066">
        <f t="shared" si="2"/>
        <v>32</v>
      </c>
      <c r="L4" s="1066">
        <f t="shared" si="2"/>
        <v>33</v>
      </c>
      <c r="M4" s="1066">
        <f t="shared" si="2"/>
        <v>34</v>
      </c>
      <c r="N4" s="1066">
        <f t="shared" si="2"/>
        <v>35</v>
      </c>
      <c r="O4" s="1066">
        <f t="shared" si="2"/>
        <v>36</v>
      </c>
      <c r="P4" s="1066">
        <f t="shared" si="2"/>
        <v>37</v>
      </c>
      <c r="Q4" s="1066">
        <f>R4-1</f>
        <v>38</v>
      </c>
      <c r="R4" s="1066">
        <f>S4-1</f>
        <v>39</v>
      </c>
      <c r="S4" s="1067">
        <v>40</v>
      </c>
      <c r="T4" s="1066">
        <f t="shared" ref="T4:AN4" si="3">S4+1</f>
        <v>41</v>
      </c>
      <c r="U4" s="1066">
        <f t="shared" si="3"/>
        <v>42</v>
      </c>
      <c r="V4" s="1066">
        <f t="shared" si="3"/>
        <v>43</v>
      </c>
      <c r="W4" s="1066">
        <f t="shared" si="3"/>
        <v>44</v>
      </c>
      <c r="X4" s="1066">
        <f t="shared" si="3"/>
        <v>45</v>
      </c>
      <c r="Y4" s="1066">
        <f t="shared" si="3"/>
        <v>46</v>
      </c>
      <c r="Z4" s="1066">
        <f t="shared" si="3"/>
        <v>47</v>
      </c>
      <c r="AA4" s="1066">
        <f t="shared" si="3"/>
        <v>48</v>
      </c>
      <c r="AB4" s="1066">
        <f t="shared" si="3"/>
        <v>49</v>
      </c>
      <c r="AC4" s="1066">
        <f t="shared" si="3"/>
        <v>50</v>
      </c>
      <c r="AD4" s="1066">
        <f t="shared" si="3"/>
        <v>51</v>
      </c>
      <c r="AE4" s="1066">
        <f t="shared" si="3"/>
        <v>52</v>
      </c>
      <c r="AF4" s="1066">
        <v>1</v>
      </c>
      <c r="AG4" s="1066">
        <f t="shared" si="3"/>
        <v>2</v>
      </c>
      <c r="AH4" s="1066">
        <f t="shared" si="3"/>
        <v>3</v>
      </c>
      <c r="AI4" s="1066">
        <f t="shared" si="3"/>
        <v>4</v>
      </c>
      <c r="AJ4" s="1066">
        <f t="shared" si="3"/>
        <v>5</v>
      </c>
      <c r="AK4" s="1066">
        <f t="shared" si="3"/>
        <v>6</v>
      </c>
      <c r="AL4" s="1066">
        <f t="shared" si="3"/>
        <v>7</v>
      </c>
      <c r="AM4" s="1066">
        <f t="shared" si="3"/>
        <v>8</v>
      </c>
      <c r="AN4" s="1066">
        <f t="shared" si="3"/>
        <v>9</v>
      </c>
      <c r="AO4" s="1066"/>
      <c r="AP4" s="1066"/>
      <c r="AQ4" s="1066"/>
      <c r="AR4" s="1066"/>
      <c r="AS4" s="1066"/>
      <c r="AT4" s="1066"/>
      <c r="AU4" s="1068"/>
      <c r="AV4" s="1066"/>
      <c r="AW4" s="1066"/>
      <c r="AX4" s="1066"/>
    </row>
    <row r="5" spans="1:50" ht="15.6">
      <c r="A5" s="1066" t="s">
        <v>1783</v>
      </c>
      <c r="B5" s="1066">
        <v>-16</v>
      </c>
      <c r="C5" s="1066">
        <f>B5+1</f>
        <v>-15</v>
      </c>
      <c r="D5" s="1066">
        <f t="shared" ref="D5:AN5" si="4">C5+1</f>
        <v>-14</v>
      </c>
      <c r="E5" s="1066">
        <f t="shared" si="4"/>
        <v>-13</v>
      </c>
      <c r="F5" s="1066">
        <f t="shared" si="4"/>
        <v>-12</v>
      </c>
      <c r="G5" s="1066">
        <f t="shared" si="4"/>
        <v>-11</v>
      </c>
      <c r="H5" s="1066">
        <f t="shared" si="4"/>
        <v>-10</v>
      </c>
      <c r="I5" s="1066">
        <f t="shared" si="4"/>
        <v>-9</v>
      </c>
      <c r="J5" s="1066">
        <f t="shared" si="4"/>
        <v>-8</v>
      </c>
      <c r="K5" s="1066">
        <f t="shared" si="4"/>
        <v>-7</v>
      </c>
      <c r="L5" s="1066">
        <f t="shared" si="4"/>
        <v>-6</v>
      </c>
      <c r="M5" s="1066">
        <f t="shared" si="4"/>
        <v>-5</v>
      </c>
      <c r="N5" s="1066">
        <f t="shared" si="4"/>
        <v>-4</v>
      </c>
      <c r="O5" s="1066">
        <f t="shared" si="4"/>
        <v>-3</v>
      </c>
      <c r="P5" s="1066">
        <f t="shared" si="4"/>
        <v>-2</v>
      </c>
      <c r="Q5" s="1066">
        <f t="shared" si="4"/>
        <v>-1</v>
      </c>
      <c r="R5" s="1066">
        <f t="shared" si="4"/>
        <v>0</v>
      </c>
      <c r="S5" s="1066">
        <f t="shared" si="4"/>
        <v>1</v>
      </c>
      <c r="T5" s="1066">
        <f t="shared" si="4"/>
        <v>2</v>
      </c>
      <c r="U5" s="1066">
        <f t="shared" si="4"/>
        <v>3</v>
      </c>
      <c r="V5" s="1066">
        <f t="shared" si="4"/>
        <v>4</v>
      </c>
      <c r="W5" s="1066">
        <f t="shared" si="4"/>
        <v>5</v>
      </c>
      <c r="X5" s="1066">
        <f t="shared" si="4"/>
        <v>6</v>
      </c>
      <c r="Y5" s="1066">
        <f t="shared" si="4"/>
        <v>7</v>
      </c>
      <c r="Z5" s="1066">
        <f t="shared" si="4"/>
        <v>8</v>
      </c>
      <c r="AA5" s="1066">
        <f t="shared" si="4"/>
        <v>9</v>
      </c>
      <c r="AB5" s="1066">
        <f t="shared" si="4"/>
        <v>10</v>
      </c>
      <c r="AC5" s="1066">
        <f t="shared" si="4"/>
        <v>11</v>
      </c>
      <c r="AD5" s="1066">
        <f t="shared" si="4"/>
        <v>12</v>
      </c>
      <c r="AE5" s="1066">
        <f t="shared" si="4"/>
        <v>13</v>
      </c>
      <c r="AF5" s="1066">
        <f t="shared" si="4"/>
        <v>14</v>
      </c>
      <c r="AG5" s="1066">
        <f t="shared" si="4"/>
        <v>15</v>
      </c>
      <c r="AH5" s="1066">
        <f t="shared" si="4"/>
        <v>16</v>
      </c>
      <c r="AI5" s="1066">
        <f t="shared" si="4"/>
        <v>17</v>
      </c>
      <c r="AJ5" s="1066">
        <f t="shared" si="4"/>
        <v>18</v>
      </c>
      <c r="AK5" s="1066">
        <f t="shared" si="4"/>
        <v>19</v>
      </c>
      <c r="AL5" s="1066">
        <f t="shared" si="4"/>
        <v>20</v>
      </c>
      <c r="AM5" s="1066">
        <f t="shared" si="4"/>
        <v>21</v>
      </c>
      <c r="AN5" s="1066">
        <f t="shared" si="4"/>
        <v>22</v>
      </c>
      <c r="AO5" s="130" t="s">
        <v>1784</v>
      </c>
      <c r="AP5" s="130" t="s">
        <v>1784</v>
      </c>
      <c r="AQ5" s="130" t="s">
        <v>1784</v>
      </c>
      <c r="AR5" s="130" t="s">
        <v>1784</v>
      </c>
      <c r="AS5" s="130" t="s">
        <v>1784</v>
      </c>
      <c r="AT5" s="130" t="s">
        <v>1784</v>
      </c>
      <c r="AU5" s="1069" t="s">
        <v>71</v>
      </c>
      <c r="AV5" s="1602" t="s">
        <v>1827</v>
      </c>
    </row>
    <row r="6" spans="1:50" ht="15.6">
      <c r="A6" s="1559"/>
      <c r="B6" s="1559"/>
      <c r="C6" s="1559"/>
      <c r="D6" s="1559"/>
      <c r="E6" s="1559"/>
      <c r="F6" s="1559"/>
      <c r="G6" s="1559"/>
      <c r="H6" s="1559"/>
      <c r="I6" s="1559"/>
      <c r="J6" s="1559"/>
      <c r="K6" s="1559"/>
      <c r="L6" s="1559"/>
      <c r="M6" s="1559"/>
      <c r="N6" s="1559"/>
      <c r="O6" s="1559"/>
      <c r="P6" s="1559"/>
      <c r="Q6" s="1559"/>
      <c r="R6" s="1559"/>
      <c r="S6" s="1559"/>
      <c r="T6" s="1559"/>
      <c r="U6" s="1559"/>
      <c r="V6" s="1559"/>
      <c r="W6" s="1559"/>
      <c r="X6" s="1559"/>
      <c r="Y6" s="1559"/>
      <c r="Z6" s="1559"/>
      <c r="AA6" s="1559"/>
      <c r="AB6" s="1559"/>
      <c r="AC6" s="1559"/>
      <c r="AD6" s="1559"/>
      <c r="AE6" s="1559"/>
      <c r="AF6" s="1559"/>
      <c r="AG6" s="1559"/>
      <c r="AH6" s="1559"/>
      <c r="AI6" s="1559"/>
      <c r="AJ6" s="1559"/>
      <c r="AK6" s="1559"/>
      <c r="AL6" s="1559"/>
      <c r="AM6" s="1559"/>
      <c r="AN6" s="1559"/>
    </row>
    <row r="7" spans="1:50" ht="15.6">
      <c r="A7" s="1066" t="s">
        <v>1786</v>
      </c>
      <c r="B7" s="1057">
        <f>+'Grasmere Pig Cost'!B7+'Learig Pig Cost'!B7+'Lionhead Pig Cost'!B7+'Lionhead Ext. Pig Cost'!B7+'Villa Pig Cost'!B7+'Richlands Pig Cost'!B7</f>
        <v>0</v>
      </c>
      <c r="C7" s="1057">
        <f>+'Grasmere Pig Cost'!C7+'Learig Pig Cost'!C7+'Lionhead Pig Cost'!C7+'Lionhead Ext. Pig Cost'!C7+'Villa Pig Cost'!C7+'Richlands Pig Cost'!C7</f>
        <v>0</v>
      </c>
      <c r="D7" s="1057">
        <f>+'Grasmere Pig Cost'!D7+'Learig Pig Cost'!D7+'Lionhead Pig Cost'!D7+'Lionhead Ext. Pig Cost'!D7+'Villa Pig Cost'!D7+'Richlands Pig Cost'!D7</f>
        <v>0</v>
      </c>
      <c r="E7" s="1057">
        <f>+'Grasmere Pig Cost'!E7+'Learig Pig Cost'!E7+'Lionhead Pig Cost'!E7+'Lionhead Ext. Pig Cost'!E7+'Villa Pig Cost'!E7+'Richlands Pig Cost'!E7</f>
        <v>0</v>
      </c>
      <c r="F7" s="1057">
        <f>+'Grasmere Pig Cost'!F7+'Learig Pig Cost'!F7+'Lionhead Pig Cost'!F7+'Lionhead Ext. Pig Cost'!F7+'Villa Pig Cost'!F7+'Richlands Pig Cost'!F7</f>
        <v>0</v>
      </c>
      <c r="G7" s="1057">
        <f>+'Grasmere Pig Cost'!G7+'Learig Pig Cost'!G7+'Lionhead Pig Cost'!G7+'Lionhead Ext. Pig Cost'!G7+'Villa Pig Cost'!G7+'Richlands Pig Cost'!G7</f>
        <v>0</v>
      </c>
      <c r="H7" s="1057">
        <f>+'Grasmere Pig Cost'!H7+'Learig Pig Cost'!H7+'Lionhead Pig Cost'!H7+'Lionhead Ext. Pig Cost'!H7+'Villa Pig Cost'!H7+'Richlands Pig Cost'!H7</f>
        <v>0</v>
      </c>
      <c r="I7" s="1057">
        <f>+'Grasmere Pig Cost'!I7+'Learig Pig Cost'!I7+'Lionhead Pig Cost'!I7+'Lionhead Ext. Pig Cost'!I7+'Villa Pig Cost'!I7+'Richlands Pig Cost'!I7</f>
        <v>0</v>
      </c>
      <c r="J7" s="1057">
        <f>+'Grasmere Pig Cost'!J7+'Learig Pig Cost'!J7+'Lionhead Pig Cost'!J7+'Lionhead Ext. Pig Cost'!J7+'Villa Pig Cost'!J7+'Richlands Pig Cost'!J7</f>
        <v>0</v>
      </c>
      <c r="K7" s="1057">
        <f>+'Grasmere Pig Cost'!K7+'Learig Pig Cost'!K7+'Lionhead Pig Cost'!K7+'Lionhead Ext. Pig Cost'!K7+'Villa Pig Cost'!K7+'Richlands Pig Cost'!K7</f>
        <v>0</v>
      </c>
      <c r="L7" s="1057">
        <f>+'Grasmere Pig Cost'!L7+'Learig Pig Cost'!L7+'Lionhead Pig Cost'!L7+'Lionhead Ext. Pig Cost'!L7+'Villa Pig Cost'!L7+'Richlands Pig Cost'!L7</f>
        <v>0</v>
      </c>
      <c r="M7" s="1057">
        <f>+'Grasmere Pig Cost'!M7+'Learig Pig Cost'!M7+'Lionhead Pig Cost'!M7+'Lionhead Ext. Pig Cost'!M7+'Villa Pig Cost'!M7+'Richlands Pig Cost'!M7</f>
        <v>0</v>
      </c>
      <c r="N7" s="1057">
        <f>+'Grasmere Pig Cost'!N7+'Learig Pig Cost'!N7+'Lionhead Pig Cost'!N7+'Lionhead Ext. Pig Cost'!N7+'Villa Pig Cost'!N7+'Richlands Pig Cost'!N7</f>
        <v>0</v>
      </c>
      <c r="O7" s="1057">
        <f>+'Grasmere Pig Cost'!O7+'Learig Pig Cost'!O7+'Lionhead Pig Cost'!O7+'Lionhead Ext. Pig Cost'!O7+'Villa Pig Cost'!O7+'Richlands Pig Cost'!O7</f>
        <v>0</v>
      </c>
      <c r="P7" s="1057">
        <f>+'Grasmere Pig Cost'!P7+'Learig Pig Cost'!P7+'Lionhead Pig Cost'!P7+'Lionhead Ext. Pig Cost'!P7+'Villa Pig Cost'!P7+'Richlands Pig Cost'!P7</f>
        <v>0</v>
      </c>
      <c r="Q7" s="1057">
        <f>+'Grasmere Pig Cost'!Q7+'Learig Pig Cost'!Q7+'Lionhead Pig Cost'!Q7+'Lionhead Ext. Pig Cost'!Q7+'Villa Pig Cost'!Q7+'Richlands Pig Cost'!Q7</f>
        <v>0</v>
      </c>
      <c r="R7" s="1057">
        <f>+'Grasmere Pig Cost'!R7+'Learig Pig Cost'!R7+'Lionhead Pig Cost'!R7+'Lionhead Ext. Pig Cost'!R7+'Villa Pig Cost'!R7+'Richlands Pig Cost'!R7</f>
        <v>0</v>
      </c>
      <c r="S7" s="1057">
        <f>+'Grasmere Pig Cost'!S7+'Learig Pig Cost'!S7+'Lionhead Pig Cost'!S7+'Lionhead Ext. Pig Cost'!S7+'Villa Pig Cost'!S7+'Richlands Pig Cost'!S7</f>
        <v>0</v>
      </c>
      <c r="T7" s="1057">
        <f>+'Grasmere Pig Cost'!T7+'Learig Pig Cost'!T7+'Lionhead Pig Cost'!T7+'Lionhead Ext. Pig Cost'!T7+'Villa Pig Cost'!T7+'Richlands Pig Cost'!T7</f>
        <v>0</v>
      </c>
      <c r="U7" s="1057">
        <f>+'Grasmere Pig Cost'!U7+'Learig Pig Cost'!U7+'Lionhead Pig Cost'!U7+'Lionhead Ext. Pig Cost'!U7+'Villa Pig Cost'!U7+'Richlands Pig Cost'!U7</f>
        <v>0</v>
      </c>
      <c r="V7" s="1057">
        <f>+'Grasmere Pig Cost'!V7+'Learig Pig Cost'!V7+'Lionhead Pig Cost'!V7+'Lionhead Ext. Pig Cost'!V7+'Villa Pig Cost'!V7+'Richlands Pig Cost'!V7</f>
        <v>0</v>
      </c>
      <c r="W7" s="1057">
        <f>+'Grasmere Pig Cost'!W7+'Learig Pig Cost'!W7+'Lionhead Pig Cost'!W7+'Lionhead Ext. Pig Cost'!W7+'Villa Pig Cost'!W7+'Richlands Pig Cost'!W7</f>
        <v>1899</v>
      </c>
      <c r="X7" s="1057">
        <f>+'Grasmere Pig Cost'!X7+'Learig Pig Cost'!X7+'Lionhead Pig Cost'!X7+'Lionhead Ext. Pig Cost'!X7+'Villa Pig Cost'!X7+'Richlands Pig Cost'!X7</f>
        <v>3150</v>
      </c>
      <c r="Y7" s="1057">
        <f>+'Grasmere Pig Cost'!Y7+'Learig Pig Cost'!Y7+'Lionhead Pig Cost'!Y7+'Lionhead Ext. Pig Cost'!Y7+'Villa Pig Cost'!Y7+'Richlands Pig Cost'!Y7</f>
        <v>2924</v>
      </c>
      <c r="Z7" s="1057">
        <f>+'Grasmere Pig Cost'!Z7+'Learig Pig Cost'!Z7+'Lionhead Pig Cost'!Z7+'Lionhead Ext. Pig Cost'!Z7+'Villa Pig Cost'!Z7+'Richlands Pig Cost'!Z7</f>
        <v>2970</v>
      </c>
      <c r="AA7" s="1057">
        <f>+'Grasmere Pig Cost'!AA7+'Learig Pig Cost'!AA7+'Lionhead Pig Cost'!AA7+'Lionhead Ext. Pig Cost'!AA7+'Villa Pig Cost'!AA7+'Richlands Pig Cost'!AA7</f>
        <v>3117</v>
      </c>
      <c r="AB7" s="1057">
        <f>+'Grasmere Pig Cost'!AB7+'Learig Pig Cost'!AB7+'Lionhead Pig Cost'!AB7+'Lionhead Ext. Pig Cost'!AB7+'Villa Pig Cost'!AB7+'Richlands Pig Cost'!AB7</f>
        <v>3072</v>
      </c>
      <c r="AC7" s="1057">
        <f>+'Grasmere Pig Cost'!AC7+'Learig Pig Cost'!AC7+'Lionhead Pig Cost'!AC7+'Lionhead Ext. Pig Cost'!AC7+'Villa Pig Cost'!AC7+'Richlands Pig Cost'!AC7</f>
        <v>3074</v>
      </c>
      <c r="AD7" s="1057">
        <f>+'Grasmere Pig Cost'!AD7+'Learig Pig Cost'!AD7+'Lionhead Pig Cost'!AD7+'Lionhead Ext. Pig Cost'!AD7+'Villa Pig Cost'!AD7+'Richlands Pig Cost'!AD7</f>
        <v>3078</v>
      </c>
      <c r="AE7" s="1057">
        <f>+'Grasmere Pig Cost'!AE7+'Learig Pig Cost'!AE7+'Lionhead Pig Cost'!AE7+'Lionhead Ext. Pig Cost'!AE7+'Villa Pig Cost'!AE7+'Richlands Pig Cost'!AE7</f>
        <v>2942</v>
      </c>
      <c r="AF7" s="1057">
        <f>+'Grasmere Pig Cost'!AF7+'Learig Pig Cost'!AF7+'Lionhead Pig Cost'!AF7+'Lionhead Ext. Pig Cost'!AF7+'Villa Pig Cost'!AF7+'Richlands Pig Cost'!AF7</f>
        <v>2944</v>
      </c>
      <c r="AG7" s="1057">
        <f>+'Grasmere Pig Cost'!AG7+'Learig Pig Cost'!AG7+'Lionhead Pig Cost'!AG7+'Lionhead Ext. Pig Cost'!AG7+'Villa Pig Cost'!AG7+'Richlands Pig Cost'!AG7</f>
        <v>2922</v>
      </c>
      <c r="AH7" s="1057">
        <f>+'Grasmere Pig Cost'!AH7+'Learig Pig Cost'!AH7+'Lionhead Pig Cost'!AH7+'Lionhead Ext. Pig Cost'!AH7+'Villa Pig Cost'!AH7+'Richlands Pig Cost'!AH7</f>
        <v>2843</v>
      </c>
      <c r="AI7" s="1057">
        <f>+'Grasmere Pig Cost'!AI7+'Learig Pig Cost'!AI7+'Lionhead Pig Cost'!AI7+'Lionhead Ext. Pig Cost'!AI7+'Villa Pig Cost'!AI7+'Richlands Pig Cost'!AI7</f>
        <v>2879</v>
      </c>
      <c r="AJ7" s="1057">
        <f>+'Grasmere Pig Cost'!AJ7+'Learig Pig Cost'!AJ7+'Lionhead Pig Cost'!AJ7+'Lionhead Ext. Pig Cost'!AJ7+'Villa Pig Cost'!AJ7+'Richlands Pig Cost'!AJ7</f>
        <v>3012</v>
      </c>
      <c r="AK7" s="1057">
        <f>+'Grasmere Pig Cost'!AK7+'Learig Pig Cost'!AK7+'Lionhead Pig Cost'!AK7+'Lionhead Ext. Pig Cost'!AK7+'Villa Pig Cost'!AK7+'Richlands Pig Cost'!AK7</f>
        <v>2972</v>
      </c>
      <c r="AL7" s="1057">
        <f>+'Grasmere Pig Cost'!AL7+'Learig Pig Cost'!AL7+'Lionhead Pig Cost'!AL7+'Lionhead Ext. Pig Cost'!AL7+'Villa Pig Cost'!AL7+'Richlands Pig Cost'!AL7</f>
        <v>2882</v>
      </c>
      <c r="AM7" s="1057">
        <f>+'Grasmere Pig Cost'!AM7+'Learig Pig Cost'!AM7+'Lionhead Pig Cost'!AM7+'Lionhead Ext. Pig Cost'!AM7+'Villa Pig Cost'!AM7+'Richlands Pig Cost'!AM7</f>
        <v>2993</v>
      </c>
      <c r="AN7" s="1057">
        <f>+'Grasmere Pig Cost'!AN7+'Learig Pig Cost'!AN7+'Lionhead Pig Cost'!AN7+'Lionhead Ext. Pig Cost'!AN7+'Villa Pig Cost'!AN7+'Richlands Pig Cost'!AN7</f>
        <v>2916</v>
      </c>
      <c r="AO7" s="1057">
        <f>+'Grasmere Pig Cost'!AO7+'Learig Pig Cost'!AO7+'Lionhead Pig Cost'!AO7+'Lionhead Ext. Pig Cost'!AO7+'Villa Pig Cost'!AO7+'Richlands Pig Cost'!AO7</f>
        <v>2922</v>
      </c>
      <c r="AP7" s="1057">
        <f>+'Grasmere Pig Cost'!AP7+'Learig Pig Cost'!AP7+'Lionhead Pig Cost'!AP7+'Lionhead Ext. Pig Cost'!AP7+'Villa Pig Cost'!AP7+'Richlands Pig Cost'!AP7</f>
        <v>2910</v>
      </c>
      <c r="AQ7" s="1057">
        <f>+'Grasmere Pig Cost'!AQ7+'Learig Pig Cost'!AQ7+'Lionhead Pig Cost'!AQ7+'Lionhead Ext. Pig Cost'!AQ7+'Villa Pig Cost'!AQ7+'Richlands Pig Cost'!AQ7</f>
        <v>2997</v>
      </c>
      <c r="AR7" s="1057">
        <f>+'Grasmere Pig Cost'!AR7+'Learig Pig Cost'!AR7+'Lionhead Pig Cost'!AR7+'Lionhead Ext. Pig Cost'!AR7+'Villa Pig Cost'!AR7+'Richlands Pig Cost'!AR7</f>
        <v>2296</v>
      </c>
      <c r="AS7" s="1057">
        <f>+'Grasmere Pig Cost'!AS7+'Learig Pig Cost'!AS7+'Lionhead Pig Cost'!AS7+'Lionhead Ext. Pig Cost'!AS7+'Villa Pig Cost'!AS7+'Richlands Pig Cost'!AS7</f>
        <v>1552</v>
      </c>
      <c r="AT7" s="1057">
        <f>+'Grasmere Pig Cost'!AT7+'Learig Pig Cost'!AT7+'Lionhead Pig Cost'!AT7+'Lionhead Ext. Pig Cost'!AT7+'Villa Pig Cost'!AT7+'Richlands Pig Cost'!AT7</f>
        <v>15</v>
      </c>
      <c r="AU7" s="1057">
        <f>SUM(W7:AT7)</f>
        <v>65281</v>
      </c>
      <c r="AV7" s="818">
        <f>SUM('Summary Total Pigs'!C186:C188)</f>
        <v>85241</v>
      </c>
      <c r="AW7" s="818">
        <f>+AU7-AV7</f>
        <v>-19960</v>
      </c>
      <c r="AX7" s="818"/>
    </row>
    <row r="8" spans="1:50" ht="15.6">
      <c r="A8" s="1066" t="s">
        <v>1787</v>
      </c>
      <c r="B8" s="1057">
        <f>+'Grasmere Pig Cost'!B8+'Learig Pig Cost'!B8+'Lionhead Pig Cost'!B8+'Lionhead Ext. Pig Cost'!B8+'Villa Pig Cost'!B8+'Richlands Pig Cost'!B8</f>
        <v>0</v>
      </c>
      <c r="C8" s="1057">
        <f>+'Grasmere Pig Cost'!C8+'Learig Pig Cost'!C8+'Lionhead Pig Cost'!C8+'Lionhead Ext. Pig Cost'!C8+'Villa Pig Cost'!C8+'Richlands Pig Cost'!C8</f>
        <v>0</v>
      </c>
      <c r="D8" s="1057">
        <f>+'Grasmere Pig Cost'!D8+'Learig Pig Cost'!D8+'Lionhead Pig Cost'!D8+'Lionhead Ext. Pig Cost'!D8+'Villa Pig Cost'!D8+'Richlands Pig Cost'!D8</f>
        <v>0</v>
      </c>
      <c r="E8" s="1057">
        <f>+'Grasmere Pig Cost'!E8+'Learig Pig Cost'!E8+'Lionhead Pig Cost'!E8+'Lionhead Ext. Pig Cost'!E8+'Villa Pig Cost'!E8+'Richlands Pig Cost'!E8</f>
        <v>0</v>
      </c>
      <c r="F8" s="1057">
        <f>+'Grasmere Pig Cost'!F8+'Learig Pig Cost'!F8+'Lionhead Pig Cost'!F8+'Lionhead Ext. Pig Cost'!F8+'Villa Pig Cost'!F8+'Richlands Pig Cost'!F8</f>
        <v>0</v>
      </c>
      <c r="G8" s="1057">
        <f>+'Grasmere Pig Cost'!G8+'Learig Pig Cost'!G8+'Lionhead Pig Cost'!G8+'Lionhead Ext. Pig Cost'!G8+'Villa Pig Cost'!G8+'Richlands Pig Cost'!G8</f>
        <v>0</v>
      </c>
      <c r="H8" s="1057">
        <f>+'Grasmere Pig Cost'!H8+'Learig Pig Cost'!H8+'Lionhead Pig Cost'!H8+'Lionhead Ext. Pig Cost'!H8+'Villa Pig Cost'!H8+'Richlands Pig Cost'!H8</f>
        <v>0</v>
      </c>
      <c r="I8" s="1057">
        <f>+'Grasmere Pig Cost'!I8+'Learig Pig Cost'!I8+'Lionhead Pig Cost'!I8+'Lionhead Ext. Pig Cost'!I8+'Villa Pig Cost'!I8+'Richlands Pig Cost'!I8</f>
        <v>0</v>
      </c>
      <c r="J8" s="1057">
        <f>+'Grasmere Pig Cost'!J8+'Learig Pig Cost'!J8+'Lionhead Pig Cost'!J8+'Lionhead Ext. Pig Cost'!J8+'Villa Pig Cost'!J8+'Richlands Pig Cost'!J8</f>
        <v>0</v>
      </c>
      <c r="K8" s="1057">
        <f>+'Grasmere Pig Cost'!K8+'Learig Pig Cost'!K8+'Lionhead Pig Cost'!K8+'Lionhead Ext. Pig Cost'!K8+'Villa Pig Cost'!K8+'Richlands Pig Cost'!K8</f>
        <v>0</v>
      </c>
      <c r="L8" s="1057">
        <f>+'Grasmere Pig Cost'!L8+'Learig Pig Cost'!L8+'Lionhead Pig Cost'!L8+'Lionhead Ext. Pig Cost'!L8+'Villa Pig Cost'!L8+'Richlands Pig Cost'!L8</f>
        <v>0</v>
      </c>
      <c r="M8" s="1057">
        <f>+'Grasmere Pig Cost'!M8+'Learig Pig Cost'!M8+'Lionhead Pig Cost'!M8+'Lionhead Ext. Pig Cost'!M8+'Villa Pig Cost'!M8+'Richlands Pig Cost'!M8</f>
        <v>0</v>
      </c>
      <c r="N8" s="1057">
        <f>+'Grasmere Pig Cost'!N8+'Learig Pig Cost'!N8+'Lionhead Pig Cost'!N8+'Lionhead Ext. Pig Cost'!N8+'Villa Pig Cost'!N8+'Richlands Pig Cost'!N8</f>
        <v>0</v>
      </c>
      <c r="O8" s="1057">
        <f>+'Grasmere Pig Cost'!O8+'Learig Pig Cost'!O8+'Lionhead Pig Cost'!O8+'Lionhead Ext. Pig Cost'!O8+'Villa Pig Cost'!O8+'Richlands Pig Cost'!O8</f>
        <v>0</v>
      </c>
      <c r="P8" s="1057">
        <f>+'Grasmere Pig Cost'!P8+'Learig Pig Cost'!P8+'Lionhead Pig Cost'!P8+'Lionhead Ext. Pig Cost'!P8+'Villa Pig Cost'!P8+'Richlands Pig Cost'!P8</f>
        <v>0</v>
      </c>
      <c r="Q8" s="1057">
        <f>+'Grasmere Pig Cost'!Q8+'Learig Pig Cost'!Q8+'Lionhead Pig Cost'!Q8+'Lionhead Ext. Pig Cost'!Q8+'Villa Pig Cost'!Q8+'Richlands Pig Cost'!Q8</f>
        <v>0</v>
      </c>
      <c r="R8" s="1057">
        <f>+'Grasmere Pig Cost'!R8+'Learig Pig Cost'!R8+'Lionhead Pig Cost'!R8+'Lionhead Ext. Pig Cost'!R8+'Villa Pig Cost'!R8+'Richlands Pig Cost'!R8</f>
        <v>0</v>
      </c>
      <c r="S8" s="1057">
        <f>+'Grasmere Pig Cost'!S8+'Learig Pig Cost'!S8+'Lionhead Pig Cost'!S8+'Lionhead Ext. Pig Cost'!S8+'Villa Pig Cost'!S8+'Richlands Pig Cost'!S8</f>
        <v>1705</v>
      </c>
      <c r="T8" s="1057">
        <f>+'Grasmere Pig Cost'!T8+'Learig Pig Cost'!T8+'Lionhead Pig Cost'!T8+'Lionhead Ext. Pig Cost'!T8+'Villa Pig Cost'!T8+'Richlands Pig Cost'!T8</f>
        <v>3273</v>
      </c>
      <c r="U8" s="1057">
        <f>+'Grasmere Pig Cost'!U8+'Learig Pig Cost'!U8+'Lionhead Pig Cost'!U8+'Lionhead Ext. Pig Cost'!U8+'Villa Pig Cost'!U8+'Richlands Pig Cost'!U8</f>
        <v>3202</v>
      </c>
      <c r="V8" s="1057">
        <f>+'Grasmere Pig Cost'!V8+'Learig Pig Cost'!V8+'Lionhead Pig Cost'!V8+'Lionhead Ext. Pig Cost'!V8+'Villa Pig Cost'!V8+'Richlands Pig Cost'!V8</f>
        <v>3293</v>
      </c>
      <c r="W8" s="1057">
        <f>+'Grasmere Pig Cost'!W8+'Learig Pig Cost'!W8+'Lionhead Pig Cost'!W8+'Lionhead Ext. Pig Cost'!W8+'Villa Pig Cost'!W8+'Richlands Pig Cost'!W8</f>
        <v>1352</v>
      </c>
      <c r="X8" s="1057">
        <f>+'Grasmere Pig Cost'!X8+'Learig Pig Cost'!X8+'Lionhead Pig Cost'!X8+'Lionhead Ext. Pig Cost'!X8+'Villa Pig Cost'!X8+'Richlands Pig Cost'!X8</f>
        <v>0</v>
      </c>
      <c r="Y8" s="1057">
        <f>+'Grasmere Pig Cost'!Y8+'Learig Pig Cost'!Y8+'Lionhead Pig Cost'!Y8+'Lionhead Ext. Pig Cost'!Y8+'Villa Pig Cost'!Y8+'Richlands Pig Cost'!Y8</f>
        <v>0</v>
      </c>
      <c r="Z8" s="1057">
        <f>+'Grasmere Pig Cost'!Z8+'Learig Pig Cost'!Z8+'Lionhead Pig Cost'!Z8+'Lionhead Ext. Pig Cost'!Z8+'Villa Pig Cost'!Z8+'Richlands Pig Cost'!Z8</f>
        <v>0</v>
      </c>
      <c r="AA8" s="1057">
        <f>+'Grasmere Pig Cost'!AA8+'Learig Pig Cost'!AA8+'Lionhead Pig Cost'!AA8+'Lionhead Ext. Pig Cost'!AA8+'Villa Pig Cost'!AA8+'Richlands Pig Cost'!AA8</f>
        <v>0</v>
      </c>
      <c r="AB8" s="1057">
        <f>+'Grasmere Pig Cost'!AB8+'Learig Pig Cost'!AB8+'Lionhead Pig Cost'!AB8+'Lionhead Ext. Pig Cost'!AB8+'Villa Pig Cost'!AB8+'Richlands Pig Cost'!AB8</f>
        <v>0</v>
      </c>
      <c r="AC8" s="1057">
        <f>+'Grasmere Pig Cost'!AC8+'Learig Pig Cost'!AC8+'Lionhead Pig Cost'!AC8+'Lionhead Ext. Pig Cost'!AC8+'Villa Pig Cost'!AC8+'Richlands Pig Cost'!AC8</f>
        <v>0</v>
      </c>
      <c r="AD8" s="1057">
        <f>+'Grasmere Pig Cost'!AD8+'Learig Pig Cost'!AD8+'Lionhead Pig Cost'!AD8+'Lionhead Ext. Pig Cost'!AD8+'Villa Pig Cost'!AD8+'Richlands Pig Cost'!AD8</f>
        <v>0</v>
      </c>
      <c r="AE8" s="1057">
        <f>+'Grasmere Pig Cost'!AE8+'Learig Pig Cost'!AE8+'Lionhead Pig Cost'!AE8+'Lionhead Ext. Pig Cost'!AE8+'Villa Pig Cost'!AE8+'Richlands Pig Cost'!AE8</f>
        <v>0</v>
      </c>
      <c r="AF8" s="1057">
        <f>+'Grasmere Pig Cost'!AF8+'Learig Pig Cost'!AF8+'Lionhead Pig Cost'!AF8+'Lionhead Ext. Pig Cost'!AF8+'Villa Pig Cost'!AF8+'Richlands Pig Cost'!AF8</f>
        <v>0</v>
      </c>
      <c r="AG8" s="1057">
        <f>+'Grasmere Pig Cost'!AG8+'Learig Pig Cost'!AG8+'Lionhead Pig Cost'!AG8+'Lionhead Ext. Pig Cost'!AG8+'Villa Pig Cost'!AG8+'Richlands Pig Cost'!AG8</f>
        <v>0</v>
      </c>
      <c r="AH8" s="1057">
        <f>+'Grasmere Pig Cost'!AH8+'Learig Pig Cost'!AH8+'Lionhead Pig Cost'!AH8+'Lionhead Ext. Pig Cost'!AH8+'Villa Pig Cost'!AH8+'Richlands Pig Cost'!AH8</f>
        <v>0</v>
      </c>
      <c r="AI8" s="1057">
        <f>+'Grasmere Pig Cost'!AI8+'Learig Pig Cost'!AI8+'Lionhead Pig Cost'!AI8+'Lionhead Ext. Pig Cost'!AI8+'Villa Pig Cost'!AI8+'Richlands Pig Cost'!AI8</f>
        <v>0</v>
      </c>
      <c r="AJ8" s="1057">
        <f>+'Grasmere Pig Cost'!AJ8+'Learig Pig Cost'!AJ8+'Lionhead Pig Cost'!AJ8+'Lionhead Ext. Pig Cost'!AJ8+'Villa Pig Cost'!AJ8+'Richlands Pig Cost'!AJ8</f>
        <v>0</v>
      </c>
      <c r="AK8" s="1057">
        <f>+'Grasmere Pig Cost'!AK8+'Learig Pig Cost'!AK8+'Lionhead Pig Cost'!AK8+'Lionhead Ext. Pig Cost'!AK8+'Villa Pig Cost'!AK8+'Richlands Pig Cost'!AK8</f>
        <v>0</v>
      </c>
      <c r="AL8" s="1057">
        <f>+'Grasmere Pig Cost'!AL8+'Learig Pig Cost'!AL8+'Lionhead Pig Cost'!AL8+'Lionhead Ext. Pig Cost'!AL8+'Villa Pig Cost'!AL8+'Richlands Pig Cost'!AL8</f>
        <v>0</v>
      </c>
      <c r="AM8" s="1057">
        <f>+'Grasmere Pig Cost'!AM8+'Learig Pig Cost'!AM8+'Lionhead Pig Cost'!AM8+'Lionhead Ext. Pig Cost'!AM8+'Villa Pig Cost'!AM8+'Richlands Pig Cost'!AM8</f>
        <v>0</v>
      </c>
      <c r="AN8" s="1057">
        <f>+'Grasmere Pig Cost'!AN8+'Learig Pig Cost'!AN8+'Lionhead Pig Cost'!AN8+'Lionhead Ext. Pig Cost'!AN8+'Villa Pig Cost'!AN8+'Richlands Pig Cost'!AN8</f>
        <v>0</v>
      </c>
      <c r="AO8" s="1057">
        <f>+'Grasmere Pig Cost'!AO8+'Learig Pig Cost'!AO8+'Lionhead Pig Cost'!AO8+'Lionhead Ext. Pig Cost'!AO8+'Villa Pig Cost'!AO8+'Richlands Pig Cost'!AO8</f>
        <v>0</v>
      </c>
      <c r="AP8" s="1057">
        <f>+'Grasmere Pig Cost'!AP8+'Learig Pig Cost'!AP8+'Lionhead Pig Cost'!AP8+'Lionhead Ext. Pig Cost'!AP8+'Villa Pig Cost'!AP8+'Richlands Pig Cost'!AP8</f>
        <v>0</v>
      </c>
      <c r="AQ8" s="1057">
        <f>+'Grasmere Pig Cost'!AQ8+'Learig Pig Cost'!AQ8+'Lionhead Pig Cost'!AQ8+'Lionhead Ext. Pig Cost'!AQ8+'Villa Pig Cost'!AQ8+'Richlands Pig Cost'!AQ8</f>
        <v>0</v>
      </c>
      <c r="AR8" s="1057">
        <f>+'Grasmere Pig Cost'!AR8+'Learig Pig Cost'!AR8+'Lionhead Pig Cost'!AR8+'Lionhead Ext. Pig Cost'!AR8+'Villa Pig Cost'!AR8+'Richlands Pig Cost'!AR8</f>
        <v>0</v>
      </c>
      <c r="AS8" s="1057">
        <f>+'Grasmere Pig Cost'!AS8+'Learig Pig Cost'!AS8+'Lionhead Pig Cost'!AS8+'Lionhead Ext. Pig Cost'!AS8+'Villa Pig Cost'!AS8+'Richlands Pig Cost'!AS8</f>
        <v>0</v>
      </c>
      <c r="AT8" s="1057">
        <f>+'Grasmere Pig Cost'!AT8+'Learig Pig Cost'!AT8+'Lionhead Pig Cost'!AT8+'Lionhead Ext. Pig Cost'!AT8+'Villa Pig Cost'!AT8+'Richlands Pig Cost'!AT8</f>
        <v>0</v>
      </c>
      <c r="AU8" s="1057">
        <f>SUM(B8:AT8)</f>
        <v>12825</v>
      </c>
      <c r="AV8" s="1057">
        <f>SUM('Summary Total Pigs'!J186)</f>
        <v>17091</v>
      </c>
      <c r="AW8" s="818">
        <f>+AU8-AV8</f>
        <v>-4266</v>
      </c>
      <c r="AX8" s="818"/>
    </row>
    <row r="9" spans="1:50" ht="15.6">
      <c r="A9" s="1066" t="s">
        <v>212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1057">
        <f>+'Grasmere Pig Cost'!S9+'Learig Pig Cost'!S9+'Lionhead Pig Cost'!S9+'Lionhead Ext. Pig Cost'!S9+'Villa Pig Cost'!S9+'Richlands Pig Cost'!S9</f>
        <v>7</v>
      </c>
      <c r="T9" s="1057">
        <f>+'Grasmere Pig Cost'!T9+'Learig Pig Cost'!T9+'Lionhead Pig Cost'!T9+'Lionhead Ext. Pig Cost'!T9+'Villa Pig Cost'!T9+'Richlands Pig Cost'!T9</f>
        <v>9</v>
      </c>
      <c r="U9" s="1057">
        <f>+'Grasmere Pig Cost'!U9+'Learig Pig Cost'!U9+'Lionhead Pig Cost'!U9+'Lionhead Ext. Pig Cost'!U9+'Villa Pig Cost'!U9+'Richlands Pig Cost'!U9</f>
        <v>1</v>
      </c>
      <c r="V9" s="1057">
        <f>+'Grasmere Pig Cost'!V9+'Learig Pig Cost'!V9+'Lionhead Pig Cost'!V9+'Lionhead Ext. Pig Cost'!V9+'Villa Pig Cost'!V9+'Richlands Pig Cost'!V9</f>
        <v>19</v>
      </c>
      <c r="W9" s="1057">
        <f>+'Grasmere Pig Cost'!W9+'Learig Pig Cost'!W9+'Lionhead Pig Cost'!W9+'Lionhead Ext. Pig Cost'!W9+'Villa Pig Cost'!W9+'Richlands Pig Cost'!W9</f>
        <v>77</v>
      </c>
      <c r="X9" s="1057">
        <f>+'Grasmere Pig Cost'!X9+'Learig Pig Cost'!X9+'Lionhead Pig Cost'!X9+'Lionhead Ext. Pig Cost'!X9+'Villa Pig Cost'!X9+'Richlands Pig Cost'!X9</f>
        <v>81</v>
      </c>
      <c r="Y9" s="1057">
        <f>+'Grasmere Pig Cost'!Y9+'Learig Pig Cost'!Y9+'Lionhead Pig Cost'!Y9+'Lionhead Ext. Pig Cost'!Y9+'Villa Pig Cost'!Y9+'Richlands Pig Cost'!Y9</f>
        <v>56</v>
      </c>
      <c r="Z9" s="1057">
        <f>+'Grasmere Pig Cost'!Z9+'Learig Pig Cost'!Z9+'Lionhead Pig Cost'!Z9+'Lionhead Ext. Pig Cost'!Z9+'Villa Pig Cost'!Z9+'Richlands Pig Cost'!Z9</f>
        <v>77</v>
      </c>
      <c r="AA9" s="1057">
        <f>+'Grasmere Pig Cost'!AA9+'Learig Pig Cost'!AA9+'Lionhead Pig Cost'!AA9+'Lionhead Ext. Pig Cost'!AA9+'Villa Pig Cost'!AA9+'Richlands Pig Cost'!AA9</f>
        <v>0</v>
      </c>
      <c r="AB9" s="1057">
        <f>+'Grasmere Pig Cost'!AB9+'Learig Pig Cost'!AB9+'Lionhead Pig Cost'!AB9+'Lionhead Ext. Pig Cost'!AB9+'Villa Pig Cost'!AB9+'Richlands Pig Cost'!AB9</f>
        <v>0</v>
      </c>
      <c r="AC9" s="1057">
        <f>+'Grasmere Pig Cost'!AC9+'Learig Pig Cost'!AC9+'Lionhead Pig Cost'!AC9+'Lionhead Ext. Pig Cost'!AC9+'Villa Pig Cost'!AC9+'Richlands Pig Cost'!AC9</f>
        <v>0</v>
      </c>
      <c r="AD9" s="1057">
        <f>+'Grasmere Pig Cost'!AD9+'Learig Pig Cost'!AD9+'Lionhead Pig Cost'!AD9+'Lionhead Ext. Pig Cost'!AD9+'Villa Pig Cost'!AD9+'Richlands Pig Cost'!AD9</f>
        <v>0</v>
      </c>
      <c r="AE9" s="1057">
        <f>+'Grasmere Pig Cost'!AE9+'Learig Pig Cost'!AE9+'Lionhead Pig Cost'!AE9+'Lionhead Ext. Pig Cost'!AE9+'Villa Pig Cost'!AE9+'Richlands Pig Cost'!AE9</f>
        <v>0</v>
      </c>
      <c r="AF9" s="1057">
        <f>+'Grasmere Pig Cost'!AF9+'Learig Pig Cost'!AF9+'Lionhead Pig Cost'!AF9+'Lionhead Ext. Pig Cost'!AF9+'Villa Pig Cost'!AF9+'Richlands Pig Cost'!AF9</f>
        <v>0</v>
      </c>
      <c r="AG9" s="1057">
        <f>+'Grasmere Pig Cost'!AG9+'Learig Pig Cost'!AG9+'Lionhead Pig Cost'!AG9+'Lionhead Ext. Pig Cost'!AG9+'Villa Pig Cost'!AG9+'Richlands Pig Cost'!AG9</f>
        <v>0</v>
      </c>
      <c r="AH9" s="1057">
        <f>+'Grasmere Pig Cost'!AH9+'Learig Pig Cost'!AH9+'Lionhead Pig Cost'!AH9+'Lionhead Ext. Pig Cost'!AH9+'Villa Pig Cost'!AH9+'Richlands Pig Cost'!AH9</f>
        <v>0</v>
      </c>
      <c r="AI9" s="1057">
        <f>+'Grasmere Pig Cost'!AI9+'Learig Pig Cost'!AI9+'Lionhead Pig Cost'!AI9+'Lionhead Ext. Pig Cost'!AI9+'Villa Pig Cost'!AI9+'Richlands Pig Cost'!AI9</f>
        <v>0</v>
      </c>
      <c r="AJ9" s="1057">
        <f>+'Grasmere Pig Cost'!AJ9+'Learig Pig Cost'!AJ9+'Lionhead Pig Cost'!AJ9+'Lionhead Ext. Pig Cost'!AJ9+'Villa Pig Cost'!AJ9+'Richlands Pig Cost'!AJ9</f>
        <v>0</v>
      </c>
      <c r="AK9" s="1057">
        <f>+'Grasmere Pig Cost'!AK9+'Learig Pig Cost'!AK9+'Lionhead Pig Cost'!AK9+'Lionhead Ext. Pig Cost'!AK9+'Villa Pig Cost'!AK9+'Richlands Pig Cost'!AK9</f>
        <v>0</v>
      </c>
      <c r="AL9" s="1057">
        <f>+'Grasmere Pig Cost'!AL9+'Learig Pig Cost'!AL9+'Lionhead Pig Cost'!AL9+'Lionhead Ext. Pig Cost'!AL9+'Villa Pig Cost'!AL9+'Richlands Pig Cost'!AL9</f>
        <v>0</v>
      </c>
      <c r="AM9" s="1057">
        <f>+'Grasmere Pig Cost'!AM9+'Learig Pig Cost'!AM9+'Lionhead Pig Cost'!AM9+'Lionhead Ext. Pig Cost'!AM9+'Villa Pig Cost'!AM9+'Richlands Pig Cost'!AM9</f>
        <v>0</v>
      </c>
      <c r="AN9" s="1057">
        <f>+'Grasmere Pig Cost'!AN9+'Learig Pig Cost'!AN9+'Lionhead Pig Cost'!AN9+'Lionhead Ext. Pig Cost'!AN9+'Villa Pig Cost'!AN9+'Richlands Pig Cost'!AN9</f>
        <v>5</v>
      </c>
      <c r="AO9" s="1057">
        <f>+'Grasmere Pig Cost'!AO9+'Learig Pig Cost'!AO9+'Lionhead Pig Cost'!AO9+'Lionhead Ext. Pig Cost'!AO9+'Villa Pig Cost'!AO9+'Richlands Pig Cost'!AO9</f>
        <v>41</v>
      </c>
      <c r="AP9" s="1057">
        <f>+'Grasmere Pig Cost'!AP9+'Learig Pig Cost'!AP9+'Lionhead Pig Cost'!AP9+'Lionhead Ext. Pig Cost'!AP9+'Villa Pig Cost'!AP9+'Richlands Pig Cost'!AP9</f>
        <v>0</v>
      </c>
      <c r="AQ9" s="1057">
        <f>+'Grasmere Pig Cost'!AQ9+'Learig Pig Cost'!AQ9+'Lionhead Pig Cost'!AQ9+'Lionhead Ext. Pig Cost'!AQ9+'Villa Pig Cost'!AQ9+'Richlands Pig Cost'!AQ9</f>
        <v>0</v>
      </c>
      <c r="AR9" s="1057">
        <f>+'Grasmere Pig Cost'!AR9+'Learig Pig Cost'!AR9+'Lionhead Pig Cost'!AR9+'Lionhead Ext. Pig Cost'!AR9+'Villa Pig Cost'!AR9+'Richlands Pig Cost'!AR9</f>
        <v>0</v>
      </c>
      <c r="AS9" s="1057">
        <f>+'Grasmere Pig Cost'!AS9+'Learig Pig Cost'!AS9+'Lionhead Pig Cost'!AS9+'Lionhead Ext. Pig Cost'!AS9+'Villa Pig Cost'!AS9+'Richlands Pig Cost'!AS9</f>
        <v>0</v>
      </c>
      <c r="AT9" s="1057">
        <f>+'Grasmere Pig Cost'!AT9+'Learig Pig Cost'!AT9+'Lionhead Pig Cost'!AT9+'Lionhead Ext. Pig Cost'!AT9+'Villa Pig Cost'!AT9+'Richlands Pig Cost'!AT9</f>
        <v>0</v>
      </c>
      <c r="AU9" s="1057">
        <f t="shared" ref="AU9:AU10" si="5">SUM(B9:AT9)</f>
        <v>373</v>
      </c>
      <c r="AV9" s="1057">
        <f>+'Grasmere Pig Cost'!AV9+'Learig Pig Cost'!AV9+'Lionhead Pig Cost'!AV9+'Lionhead Ext. Pig Cost'!AV9+'Villa Pig Cost'!AV9+'Richlands Pig Cost'!AV9</f>
        <v>22164</v>
      </c>
      <c r="AW9" s="818"/>
      <c r="AX9" s="818"/>
    </row>
    <row r="10" spans="1:50" ht="15.6">
      <c r="A10" s="1066" t="s">
        <v>1788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1057">
        <f>+'Grasmere Pig Cost'!S10+'Learig Pig Cost'!S10+'Lionhead Pig Cost'!S10+'Lionhead Ext. Pig Cost'!S10+'Villa Pig Cost'!S10+'Richlands Pig Cost'!S10</f>
        <v>0</v>
      </c>
      <c r="T10" s="1057">
        <f>+'Grasmere Pig Cost'!T10+'Learig Pig Cost'!T10+'Lionhead Pig Cost'!T10+'Lionhead Ext. Pig Cost'!T10+'Villa Pig Cost'!T10+'Richlands Pig Cost'!T10</f>
        <v>-8</v>
      </c>
      <c r="U10" s="1057">
        <f>+'Grasmere Pig Cost'!U10+'Learig Pig Cost'!U10+'Lionhead Pig Cost'!U10+'Lionhead Ext. Pig Cost'!U10+'Villa Pig Cost'!U10+'Richlands Pig Cost'!U10</f>
        <v>-25</v>
      </c>
      <c r="V10" s="1057">
        <f>+'Grasmere Pig Cost'!V10+'Learig Pig Cost'!V10+'Lionhead Pig Cost'!V10+'Lionhead Ext. Pig Cost'!V10+'Villa Pig Cost'!V10+'Richlands Pig Cost'!V10</f>
        <v>-75</v>
      </c>
      <c r="W10" s="1057">
        <f>+'Grasmere Pig Cost'!W10+'Learig Pig Cost'!W10+'Lionhead Pig Cost'!W10+'Lionhead Ext. Pig Cost'!W10+'Villa Pig Cost'!W10+'Richlands Pig Cost'!W10</f>
        <v>-81</v>
      </c>
      <c r="X10" s="1057">
        <f>+'Grasmere Pig Cost'!X10+'Learig Pig Cost'!X10+'Lionhead Pig Cost'!X10+'Lionhead Ext. Pig Cost'!X10+'Villa Pig Cost'!X10+'Richlands Pig Cost'!X10</f>
        <v>-86</v>
      </c>
      <c r="Y10" s="1057">
        <f>+'Grasmere Pig Cost'!Y10+'Learig Pig Cost'!Y10+'Lionhead Pig Cost'!Y10+'Lionhead Ext. Pig Cost'!Y10+'Villa Pig Cost'!Y10+'Richlands Pig Cost'!Y10</f>
        <v>-20</v>
      </c>
      <c r="Z10" s="1057">
        <f>+'Grasmere Pig Cost'!Z10+'Learig Pig Cost'!Z10+'Lionhead Pig Cost'!Z10+'Lionhead Ext. Pig Cost'!Z10+'Villa Pig Cost'!Z10+'Richlands Pig Cost'!Z10</f>
        <v>-32</v>
      </c>
      <c r="AA10" s="1057">
        <f>+'Grasmere Pig Cost'!AA10+'Learig Pig Cost'!AA10+'Lionhead Pig Cost'!AA10+'Lionhead Ext. Pig Cost'!AA10+'Villa Pig Cost'!AA10+'Richlands Pig Cost'!AA10</f>
        <v>0</v>
      </c>
      <c r="AB10" s="1057">
        <f>+'Grasmere Pig Cost'!AB10+'Learig Pig Cost'!AB10+'Lionhead Pig Cost'!AB10+'Lionhead Ext. Pig Cost'!AB10+'Villa Pig Cost'!AB10+'Richlands Pig Cost'!AB10</f>
        <v>0</v>
      </c>
      <c r="AC10" s="1057">
        <f>+'Grasmere Pig Cost'!AC10+'Learig Pig Cost'!AC10+'Lionhead Pig Cost'!AC10+'Lionhead Ext. Pig Cost'!AC10+'Villa Pig Cost'!AC10+'Richlands Pig Cost'!AC10</f>
        <v>0</v>
      </c>
      <c r="AD10" s="1057">
        <f>+'Grasmere Pig Cost'!AD10+'Learig Pig Cost'!AD10+'Lionhead Pig Cost'!AD10+'Lionhead Ext. Pig Cost'!AD10+'Villa Pig Cost'!AD10+'Richlands Pig Cost'!AD10</f>
        <v>0</v>
      </c>
      <c r="AE10" s="1057">
        <f>+'Grasmere Pig Cost'!AE10+'Learig Pig Cost'!AE10+'Lionhead Pig Cost'!AE10+'Lionhead Ext. Pig Cost'!AE10+'Villa Pig Cost'!AE10+'Richlands Pig Cost'!AE10</f>
        <v>0</v>
      </c>
      <c r="AF10" s="1057">
        <f>+'Grasmere Pig Cost'!AF10+'Learig Pig Cost'!AF10+'Lionhead Pig Cost'!AF10+'Lionhead Ext. Pig Cost'!AF10+'Villa Pig Cost'!AF10+'Richlands Pig Cost'!AF10</f>
        <v>0</v>
      </c>
      <c r="AG10" s="1057">
        <f>+'Grasmere Pig Cost'!AG10+'Learig Pig Cost'!AG10+'Lionhead Pig Cost'!AG10+'Lionhead Ext. Pig Cost'!AG10+'Villa Pig Cost'!AG10+'Richlands Pig Cost'!AG10</f>
        <v>0</v>
      </c>
      <c r="AH10" s="1057">
        <f>+'Grasmere Pig Cost'!AH10+'Learig Pig Cost'!AH10+'Lionhead Pig Cost'!AH10+'Lionhead Ext. Pig Cost'!AH10+'Villa Pig Cost'!AH10+'Richlands Pig Cost'!AH10</f>
        <v>0</v>
      </c>
      <c r="AI10" s="1057">
        <f>+'Grasmere Pig Cost'!AI10+'Learig Pig Cost'!AI10+'Lionhead Pig Cost'!AI10+'Lionhead Ext. Pig Cost'!AI10+'Villa Pig Cost'!AI10+'Richlands Pig Cost'!AI10</f>
        <v>0</v>
      </c>
      <c r="AJ10" s="1057">
        <f>+'Grasmere Pig Cost'!AJ10+'Learig Pig Cost'!AJ10+'Lionhead Pig Cost'!AJ10+'Lionhead Ext. Pig Cost'!AJ10+'Villa Pig Cost'!AJ10+'Richlands Pig Cost'!AJ10</f>
        <v>0</v>
      </c>
      <c r="AK10" s="1057">
        <f>+'Grasmere Pig Cost'!AK10+'Learig Pig Cost'!AK10+'Lionhead Pig Cost'!AK10+'Lionhead Ext. Pig Cost'!AK10+'Villa Pig Cost'!AK10+'Richlands Pig Cost'!AK10</f>
        <v>0</v>
      </c>
      <c r="AL10" s="1057">
        <f>+'Grasmere Pig Cost'!AL10+'Learig Pig Cost'!AL10+'Lionhead Pig Cost'!AL10+'Lionhead Ext. Pig Cost'!AL10+'Villa Pig Cost'!AL10+'Richlands Pig Cost'!AL10</f>
        <v>0</v>
      </c>
      <c r="AM10" s="1057">
        <f>+'Grasmere Pig Cost'!AM10+'Learig Pig Cost'!AM10+'Lionhead Pig Cost'!AM10+'Lionhead Ext. Pig Cost'!AM10+'Villa Pig Cost'!AM10+'Richlands Pig Cost'!AM10</f>
        <v>0</v>
      </c>
      <c r="AN10" s="1057">
        <f>+'Grasmere Pig Cost'!AN10+'Learig Pig Cost'!AN10+'Lionhead Pig Cost'!AN10+'Lionhead Ext. Pig Cost'!AN10+'Villa Pig Cost'!AN10+'Richlands Pig Cost'!AN10</f>
        <v>0</v>
      </c>
      <c r="AO10" s="1057">
        <f>+'Grasmere Pig Cost'!AO10+'Learig Pig Cost'!AO10+'Lionhead Pig Cost'!AO10+'Lionhead Ext. Pig Cost'!AO10+'Villa Pig Cost'!AO10+'Richlands Pig Cost'!AO10</f>
        <v>-5</v>
      </c>
      <c r="AP10" s="1057">
        <f>+'Grasmere Pig Cost'!AP10+'Learig Pig Cost'!AP10+'Lionhead Pig Cost'!AP10+'Lionhead Ext. Pig Cost'!AP10+'Villa Pig Cost'!AP10+'Richlands Pig Cost'!AP10</f>
        <v>0</v>
      </c>
      <c r="AQ10" s="1057">
        <f>+'Grasmere Pig Cost'!AQ10+'Learig Pig Cost'!AQ10+'Lionhead Pig Cost'!AQ10+'Lionhead Ext. Pig Cost'!AQ10+'Villa Pig Cost'!AQ10+'Richlands Pig Cost'!AQ10</f>
        <v>0</v>
      </c>
      <c r="AR10" s="1057">
        <f>+'Grasmere Pig Cost'!AR10+'Learig Pig Cost'!AR10+'Lionhead Pig Cost'!AR10+'Lionhead Ext. Pig Cost'!AR10+'Villa Pig Cost'!AR10+'Richlands Pig Cost'!AR10</f>
        <v>0</v>
      </c>
      <c r="AS10" s="1057">
        <f>+'Grasmere Pig Cost'!AS10+'Learig Pig Cost'!AS10+'Lionhead Pig Cost'!AS10+'Lionhead Ext. Pig Cost'!AS10+'Villa Pig Cost'!AS10+'Richlands Pig Cost'!AS10</f>
        <v>-41</v>
      </c>
      <c r="AT10" s="1057">
        <f>+'Grasmere Pig Cost'!AT10+'Learig Pig Cost'!AT10+'Lionhead Pig Cost'!AT10+'Lionhead Ext. Pig Cost'!AT10+'Villa Pig Cost'!AT10+'Richlands Pig Cost'!AT10</f>
        <v>0</v>
      </c>
      <c r="AU10" s="1057">
        <f t="shared" si="5"/>
        <v>-373</v>
      </c>
      <c r="AV10" s="1057">
        <f>+'Grasmere Pig Cost'!AV10+'Learig Pig Cost'!AV10+'Lionhead Pig Cost'!AV10+'Lionhead Ext. Pig Cost'!AV10+'Villa Pig Cost'!AV10+'Richlands Pig Cost'!AV10</f>
        <v>-22164</v>
      </c>
      <c r="AW10" s="818"/>
      <c r="AX10" s="818"/>
    </row>
    <row r="11" spans="1:50" s="1559" customFormat="1" ht="15.6">
      <c r="A11" s="1066" t="s">
        <v>1789</v>
      </c>
      <c r="B11" s="1086">
        <f t="shared" ref="B11:AS11" si="6">SUM(B7:B10)</f>
        <v>0</v>
      </c>
      <c r="C11" s="1086">
        <f t="shared" si="6"/>
        <v>0</v>
      </c>
      <c r="D11" s="1086">
        <f t="shared" si="6"/>
        <v>0</v>
      </c>
      <c r="E11" s="1086">
        <f t="shared" si="6"/>
        <v>0</v>
      </c>
      <c r="F11" s="1086">
        <f t="shared" si="6"/>
        <v>0</v>
      </c>
      <c r="G11" s="1086">
        <f t="shared" si="6"/>
        <v>0</v>
      </c>
      <c r="H11" s="1086">
        <f t="shared" si="6"/>
        <v>0</v>
      </c>
      <c r="I11" s="1086">
        <f t="shared" si="6"/>
        <v>0</v>
      </c>
      <c r="J11" s="1086">
        <f t="shared" si="6"/>
        <v>0</v>
      </c>
      <c r="K11" s="1086">
        <f t="shared" si="6"/>
        <v>0</v>
      </c>
      <c r="L11" s="1086">
        <f t="shared" si="6"/>
        <v>0</v>
      </c>
      <c r="M11" s="1086">
        <f t="shared" si="6"/>
        <v>0</v>
      </c>
      <c r="N11" s="1086">
        <f t="shared" si="6"/>
        <v>0</v>
      </c>
      <c r="O11" s="1086">
        <f t="shared" si="6"/>
        <v>0</v>
      </c>
      <c r="P11" s="1086">
        <f t="shared" si="6"/>
        <v>0</v>
      </c>
      <c r="Q11" s="1086">
        <f t="shared" si="6"/>
        <v>0</v>
      </c>
      <c r="R11" s="1086">
        <f t="shared" si="6"/>
        <v>0</v>
      </c>
      <c r="S11" s="1086">
        <f t="shared" si="6"/>
        <v>1712</v>
      </c>
      <c r="T11" s="1086">
        <f t="shared" si="6"/>
        <v>3274</v>
      </c>
      <c r="U11" s="1086">
        <f t="shared" si="6"/>
        <v>3178</v>
      </c>
      <c r="V11" s="1086">
        <f t="shared" si="6"/>
        <v>3237</v>
      </c>
      <c r="W11" s="1086">
        <f t="shared" si="6"/>
        <v>3247</v>
      </c>
      <c r="X11" s="1086">
        <f t="shared" si="6"/>
        <v>3145</v>
      </c>
      <c r="Y11" s="1086">
        <f t="shared" si="6"/>
        <v>2960</v>
      </c>
      <c r="Z11" s="1086">
        <f t="shared" si="6"/>
        <v>3015</v>
      </c>
      <c r="AA11" s="1086">
        <f t="shared" si="6"/>
        <v>3117</v>
      </c>
      <c r="AB11" s="1086">
        <f t="shared" si="6"/>
        <v>3072</v>
      </c>
      <c r="AC11" s="1086">
        <f t="shared" si="6"/>
        <v>3074</v>
      </c>
      <c r="AD11" s="1086">
        <f t="shared" si="6"/>
        <v>3078</v>
      </c>
      <c r="AE11" s="1086">
        <f t="shared" si="6"/>
        <v>2942</v>
      </c>
      <c r="AF11" s="1086">
        <f t="shared" si="6"/>
        <v>2944</v>
      </c>
      <c r="AG11" s="1086">
        <f t="shared" si="6"/>
        <v>2922</v>
      </c>
      <c r="AH11" s="1086">
        <f t="shared" si="6"/>
        <v>2843</v>
      </c>
      <c r="AI11" s="1086">
        <f t="shared" si="6"/>
        <v>2879</v>
      </c>
      <c r="AJ11" s="1086">
        <f t="shared" si="6"/>
        <v>3012</v>
      </c>
      <c r="AK11" s="1086">
        <f t="shared" si="6"/>
        <v>2972</v>
      </c>
      <c r="AL11" s="1086">
        <f t="shared" si="6"/>
        <v>2882</v>
      </c>
      <c r="AM11" s="1086">
        <f t="shared" si="6"/>
        <v>2993</v>
      </c>
      <c r="AN11" s="1086">
        <f t="shared" si="6"/>
        <v>2921</v>
      </c>
      <c r="AO11" s="1086">
        <f t="shared" si="6"/>
        <v>2958</v>
      </c>
      <c r="AP11" s="1086">
        <f t="shared" si="6"/>
        <v>2910</v>
      </c>
      <c r="AQ11" s="1086">
        <f t="shared" si="6"/>
        <v>2997</v>
      </c>
      <c r="AR11" s="1086">
        <f t="shared" si="6"/>
        <v>2296</v>
      </c>
      <c r="AS11" s="1086">
        <f t="shared" si="6"/>
        <v>1511</v>
      </c>
      <c r="AT11" s="1086">
        <f t="shared" ref="AT11" si="7">SUM(AT7:AT10)</f>
        <v>15</v>
      </c>
      <c r="AU11" s="1086">
        <f>SUM(B11:AT11)</f>
        <v>78106</v>
      </c>
      <c r="AV11" s="1088">
        <f>SUM(AV7:AV10)</f>
        <v>102332</v>
      </c>
      <c r="AW11" s="1088">
        <f>+AU11-AV11</f>
        <v>-24226</v>
      </c>
    </row>
    <row r="12" spans="1:50" ht="20.25" customHeight="1">
      <c r="A12" s="142" t="s">
        <v>1828</v>
      </c>
      <c r="B12" s="807">
        <f>+'Learig Pig Cost'!B15+'Lionhead Pig Cost'!B12+'Lionhead Ext. Pig Cost'!B12+'Villa Pig Cost'!B16+'Richlands Pig Cost'!B14</f>
        <v>0</v>
      </c>
      <c r="C12" s="807">
        <f>+'Learig Pig Cost'!C15+'Lionhead Pig Cost'!C12+'Lionhead Ext. Pig Cost'!C12+'Villa Pig Cost'!C16+'Richlands Pig Cost'!C14</f>
        <v>0</v>
      </c>
      <c r="D12" s="807">
        <f>+'Learig Pig Cost'!D15+'Lionhead Pig Cost'!D12+'Lionhead Ext. Pig Cost'!D12+'Villa Pig Cost'!D16+'Richlands Pig Cost'!D14</f>
        <v>0</v>
      </c>
      <c r="E12" s="807">
        <f>+'Learig Pig Cost'!E15+'Lionhead Pig Cost'!E12+'Lionhead Ext. Pig Cost'!E12+'Villa Pig Cost'!E16+'Richlands Pig Cost'!E14</f>
        <v>0</v>
      </c>
      <c r="F12" s="807">
        <f>+'Learig Pig Cost'!F15+'Lionhead Pig Cost'!F12+'Lionhead Ext. Pig Cost'!F12+'Villa Pig Cost'!F16+'Richlands Pig Cost'!F14</f>
        <v>0</v>
      </c>
      <c r="G12" s="807">
        <f>+'Learig Pig Cost'!G15+'Lionhead Pig Cost'!G12+'Lionhead Ext. Pig Cost'!G12+'Villa Pig Cost'!G16+'Richlands Pig Cost'!G14</f>
        <v>0</v>
      </c>
      <c r="H12" s="807">
        <f>+'Learig Pig Cost'!H15+'Lionhead Pig Cost'!H12+'Lionhead Ext. Pig Cost'!H12+'Villa Pig Cost'!H16+'Richlands Pig Cost'!H14</f>
        <v>0</v>
      </c>
      <c r="I12" s="807">
        <f>+'Learig Pig Cost'!I15+'Lionhead Pig Cost'!I12+'Lionhead Ext. Pig Cost'!I12+'Villa Pig Cost'!I16+'Richlands Pig Cost'!I14</f>
        <v>0</v>
      </c>
      <c r="J12" s="807">
        <f>+'Learig Pig Cost'!J15+'Lionhead Pig Cost'!J12+'Lionhead Ext. Pig Cost'!J12+'Villa Pig Cost'!J16+'Richlands Pig Cost'!J14</f>
        <v>0</v>
      </c>
      <c r="K12" s="807">
        <f>+'Learig Pig Cost'!K15+'Lionhead Pig Cost'!K12+'Lionhead Ext. Pig Cost'!K12+'Villa Pig Cost'!K16+'Richlands Pig Cost'!K14</f>
        <v>0</v>
      </c>
      <c r="L12" s="807">
        <f>+'Learig Pig Cost'!L15+'Lionhead Pig Cost'!L12+'Lionhead Ext. Pig Cost'!L12+'Villa Pig Cost'!L16+'Richlands Pig Cost'!L14</f>
        <v>0</v>
      </c>
      <c r="M12" s="807">
        <f>+'Learig Pig Cost'!M15+'Lionhead Pig Cost'!M12+'Lionhead Ext. Pig Cost'!M12+'Villa Pig Cost'!M16+'Richlands Pig Cost'!M14</f>
        <v>0</v>
      </c>
      <c r="N12" s="807">
        <f>+'Learig Pig Cost'!N15+'Lionhead Pig Cost'!N12+'Lionhead Ext. Pig Cost'!N12+'Villa Pig Cost'!N16+'Richlands Pig Cost'!N14</f>
        <v>0</v>
      </c>
      <c r="O12" s="807">
        <f>+'Learig Pig Cost'!O15+'Lionhead Pig Cost'!O12+'Lionhead Ext. Pig Cost'!O12+'Villa Pig Cost'!O16+'Richlands Pig Cost'!O14</f>
        <v>0</v>
      </c>
      <c r="P12" s="807">
        <f>+'Learig Pig Cost'!P15+'Lionhead Pig Cost'!P12+'Lionhead Ext. Pig Cost'!P12+'Villa Pig Cost'!P16+'Richlands Pig Cost'!P14</f>
        <v>0</v>
      </c>
      <c r="Q12" s="807">
        <f>+'Learig Pig Cost'!Q15+'Lionhead Pig Cost'!Q12+'Lionhead Ext. Pig Cost'!Q12+'Villa Pig Cost'!Q16+'Richlands Pig Cost'!Q14</f>
        <v>0</v>
      </c>
      <c r="R12" s="807">
        <f>+'Learig Pig Cost'!R15+'Lionhead Pig Cost'!R12+'Lionhead Ext. Pig Cost'!R12+'Villa Pig Cost'!R16+'Richlands Pig Cost'!R14</f>
        <v>0</v>
      </c>
      <c r="S12" s="807">
        <f>+'Learig Pig Cost'!S15+'Lionhead Pig Cost'!S12+'Lionhead Ext. Pig Cost'!S12+'Villa Pig Cost'!S16+'Richlands Pig Cost'!S14</f>
        <v>0</v>
      </c>
      <c r="T12" s="807">
        <f>+'Learig Pig Cost'!T15+'Lionhead Pig Cost'!T12+'Lionhead Ext. Pig Cost'!T12+'Villa Pig Cost'!T16+'Richlands Pig Cost'!T14</f>
        <v>0</v>
      </c>
      <c r="U12" s="807">
        <f>+'Learig Pig Cost'!U15+'Lionhead Pig Cost'!U12+'Lionhead Ext. Pig Cost'!U12+'Villa Pig Cost'!U16+'Richlands Pig Cost'!U14</f>
        <v>0</v>
      </c>
      <c r="V12" s="807">
        <f>+'Learig Pig Cost'!V15+'Lionhead Pig Cost'!V12+'Lionhead Ext. Pig Cost'!V12+'Villa Pig Cost'!V16+'Richlands Pig Cost'!V14</f>
        <v>0</v>
      </c>
      <c r="W12" s="807">
        <f>+'Learig Pig Cost'!W15+'Lionhead Pig Cost'!W12+'Lionhead Ext. Pig Cost'!W12+'Villa Pig Cost'!W16+'Richlands Pig Cost'!W14</f>
        <v>311</v>
      </c>
      <c r="X12" s="807">
        <f>+'Learig Pig Cost'!X15+'Lionhead Pig Cost'!X12+'Lionhead Ext. Pig Cost'!X12+'Villa Pig Cost'!X16+'Richlands Pig Cost'!X14</f>
        <v>320</v>
      </c>
      <c r="Y12" s="807">
        <f>+'Learig Pig Cost'!Y15+'Lionhead Pig Cost'!Y12+'Lionhead Ext. Pig Cost'!Y12+'Villa Pig Cost'!Y16+'Richlands Pig Cost'!Y14</f>
        <v>292</v>
      </c>
      <c r="Z12" s="807">
        <f>+'Learig Pig Cost'!Z15+'Lionhead Pig Cost'!Z12+'Lionhead Ext. Pig Cost'!Z12+'Villa Pig Cost'!Z16+'Richlands Pig Cost'!Z14</f>
        <v>280</v>
      </c>
      <c r="AA12" s="807">
        <f>+'Learig Pig Cost'!AA15+'Lionhead Pig Cost'!AA12+'Lionhead Ext. Pig Cost'!AA12+'Villa Pig Cost'!AA16+'Richlands Pig Cost'!AA14</f>
        <v>0</v>
      </c>
      <c r="AB12" s="807">
        <f>+'Learig Pig Cost'!AB15+'Lionhead Pig Cost'!AB12+'Lionhead Ext. Pig Cost'!AB12+'Villa Pig Cost'!AB16+'Richlands Pig Cost'!AB14</f>
        <v>0</v>
      </c>
      <c r="AC12" s="807">
        <f>+'Learig Pig Cost'!AC15+'Lionhead Pig Cost'!AC12+'Lionhead Ext. Pig Cost'!AC12+'Villa Pig Cost'!AC16+'Richlands Pig Cost'!AC14</f>
        <v>0</v>
      </c>
      <c r="AD12" s="807">
        <f>+'Learig Pig Cost'!AD15+'Lionhead Pig Cost'!AD12+'Lionhead Ext. Pig Cost'!AD12+'Villa Pig Cost'!AD16+'Richlands Pig Cost'!AD14</f>
        <v>0</v>
      </c>
      <c r="AE12" s="807">
        <f>+'Learig Pig Cost'!AE15+'Lionhead Pig Cost'!AE12+'Lionhead Ext. Pig Cost'!AE12+'Villa Pig Cost'!AE16+'Richlands Pig Cost'!AE14</f>
        <v>0</v>
      </c>
      <c r="AF12" s="807">
        <f>+'Learig Pig Cost'!AF15+'Lionhead Pig Cost'!AF12+'Lionhead Ext. Pig Cost'!AF12+'Villa Pig Cost'!AF16+'Richlands Pig Cost'!AF14</f>
        <v>0</v>
      </c>
      <c r="AG12" s="807">
        <f>+'Learig Pig Cost'!AG15+'Lionhead Pig Cost'!AG12+'Lionhead Ext. Pig Cost'!AG12+'Villa Pig Cost'!AG16+'Richlands Pig Cost'!AG14</f>
        <v>0</v>
      </c>
      <c r="AH12" s="807">
        <f>+'Learig Pig Cost'!AH15+'Lionhead Pig Cost'!AH12+'Lionhead Ext. Pig Cost'!AH12+'Villa Pig Cost'!AH16+'Richlands Pig Cost'!AH14</f>
        <v>0</v>
      </c>
      <c r="AI12" s="807">
        <f>+'Learig Pig Cost'!AI15+'Lionhead Pig Cost'!AI12+'Lionhead Ext. Pig Cost'!AI12+'Villa Pig Cost'!AI16+'Richlands Pig Cost'!AI14</f>
        <v>0</v>
      </c>
      <c r="AJ12" s="807">
        <f>+'Learig Pig Cost'!AJ15+'Lionhead Pig Cost'!AJ12+'Lionhead Ext. Pig Cost'!AJ12+'Villa Pig Cost'!AJ16+'Richlands Pig Cost'!AJ14</f>
        <v>0</v>
      </c>
      <c r="AK12" s="807">
        <f>+'Learig Pig Cost'!AK15+'Lionhead Pig Cost'!AK12+'Lionhead Ext. Pig Cost'!AK12+'Villa Pig Cost'!AK16+'Richlands Pig Cost'!AK14</f>
        <v>0</v>
      </c>
      <c r="AL12" s="807">
        <f>+'Learig Pig Cost'!AL15+'Lionhead Pig Cost'!AL12+'Lionhead Ext. Pig Cost'!AL12+'Villa Pig Cost'!AL16+'Richlands Pig Cost'!AL14</f>
        <v>0</v>
      </c>
      <c r="AM12" s="807">
        <f>+'Learig Pig Cost'!AM15+'Lionhead Pig Cost'!AM12+'Lionhead Ext. Pig Cost'!AM12+'Villa Pig Cost'!AM16+'Richlands Pig Cost'!AM14</f>
        <v>0</v>
      </c>
      <c r="AN12" s="807">
        <f>+'Learig Pig Cost'!AN15+'Lionhead Pig Cost'!AN12+'Lionhead Ext. Pig Cost'!AN12+'Villa Pig Cost'!AN16+'Richlands Pig Cost'!AN14</f>
        <v>0</v>
      </c>
      <c r="AO12" s="807">
        <f>+'Learig Pig Cost'!AO15+'Lionhead Pig Cost'!AO12+'Lionhead Ext. Pig Cost'!AO12+'Villa Pig Cost'!AO16+'Richlands Pig Cost'!AO14</f>
        <v>0</v>
      </c>
      <c r="AP12" s="807">
        <f>+'Learig Pig Cost'!AP15+'Lionhead Pig Cost'!AP12+'Lionhead Ext. Pig Cost'!AP12+'Villa Pig Cost'!AP16+'Richlands Pig Cost'!AP14</f>
        <v>0</v>
      </c>
      <c r="AQ12" s="807">
        <f>+'Learig Pig Cost'!AQ15+'Lionhead Pig Cost'!AQ12+'Lionhead Ext. Pig Cost'!AQ12+'Villa Pig Cost'!AQ16+'Richlands Pig Cost'!AQ14</f>
        <v>0</v>
      </c>
      <c r="AR12" s="807">
        <f>+'Learig Pig Cost'!AR15+'Lionhead Pig Cost'!AR12+'Lionhead Ext. Pig Cost'!AR12+'Villa Pig Cost'!AR16+'Richlands Pig Cost'!AR14</f>
        <v>0</v>
      </c>
      <c r="AS12" s="807">
        <f>+'Learig Pig Cost'!AS15+'Lionhead Pig Cost'!AS12+'Lionhead Ext. Pig Cost'!AS12+'Villa Pig Cost'!AS16+'Richlands Pig Cost'!AS14</f>
        <v>0</v>
      </c>
      <c r="AT12" s="807">
        <f>+'Learig Pig Cost'!AT15+'Lionhead Pig Cost'!AT12+'Lionhead Ext. Pig Cost'!AT12+'Villa Pig Cost'!AT16+'Richlands Pig Cost'!AT14</f>
        <v>0</v>
      </c>
      <c r="AU12" s="1631">
        <f>SUM(B12:AT12)</f>
        <v>1203</v>
      </c>
      <c r="AV12" s="1631">
        <f>+'Learig Pig Cost'!AU15+'Lionhead Pig Cost'!AU12+'Lionhead Ext. Pig Cost'!AU12+'Villa Pig Cost'!AU16+'Richlands Pig Cost'!AU14</f>
        <v>1203</v>
      </c>
      <c r="AW12" s="818">
        <f>+AU12-AV12</f>
        <v>0</v>
      </c>
    </row>
    <row r="13" spans="1:50" ht="15.6">
      <c r="A13" s="142" t="s">
        <v>1835</v>
      </c>
      <c r="B13" s="807">
        <f>+'Grasmere Pig Cost'!B12+'Learig Pig Cost'!B12+'Lionhead Ext. Pig Cost'!B13+'Villa Pig Cost'!B12+'Richlands Pig Cost'!B12</f>
        <v>0</v>
      </c>
      <c r="C13" s="807">
        <f>+'Grasmere Pig Cost'!C12+'Learig Pig Cost'!C12+'Lionhead Ext. Pig Cost'!C13+'Villa Pig Cost'!C12+'Richlands Pig Cost'!C12</f>
        <v>0</v>
      </c>
      <c r="D13" s="807">
        <f>+'Grasmere Pig Cost'!D12+'Learig Pig Cost'!D12+'Lionhead Ext. Pig Cost'!D13+'Villa Pig Cost'!D12+'Richlands Pig Cost'!D12</f>
        <v>0</v>
      </c>
      <c r="E13" s="807">
        <f>+'Grasmere Pig Cost'!E12+'Learig Pig Cost'!E12+'Lionhead Ext. Pig Cost'!E13+'Villa Pig Cost'!E12+'Richlands Pig Cost'!E12</f>
        <v>0</v>
      </c>
      <c r="F13" s="807">
        <f>+'Grasmere Pig Cost'!F12+'Learig Pig Cost'!F12+'Lionhead Ext. Pig Cost'!F13+'Villa Pig Cost'!F12+'Richlands Pig Cost'!F12</f>
        <v>0</v>
      </c>
      <c r="G13" s="807">
        <f>+'Grasmere Pig Cost'!G12+'Learig Pig Cost'!G12+'Lionhead Ext. Pig Cost'!G13+'Villa Pig Cost'!G12+'Richlands Pig Cost'!G12</f>
        <v>0</v>
      </c>
      <c r="H13" s="807">
        <f>+'Grasmere Pig Cost'!H12+'Learig Pig Cost'!H12+'Lionhead Ext. Pig Cost'!H13+'Villa Pig Cost'!H12+'Richlands Pig Cost'!H12</f>
        <v>0</v>
      </c>
      <c r="I13" s="807">
        <f>+'Grasmere Pig Cost'!I12+'Learig Pig Cost'!I12+'Lionhead Ext. Pig Cost'!I13+'Villa Pig Cost'!I12+'Richlands Pig Cost'!I12</f>
        <v>0</v>
      </c>
      <c r="J13" s="807">
        <f>+'Grasmere Pig Cost'!J12+'Learig Pig Cost'!J12+'Lionhead Ext. Pig Cost'!J13+'Villa Pig Cost'!J12+'Richlands Pig Cost'!J12</f>
        <v>0</v>
      </c>
      <c r="K13" s="807">
        <f>+'Grasmere Pig Cost'!K12+'Learig Pig Cost'!K12+'Lionhead Ext. Pig Cost'!K13+'Villa Pig Cost'!K12+'Richlands Pig Cost'!K12</f>
        <v>0</v>
      </c>
      <c r="L13" s="807">
        <f>+'Grasmere Pig Cost'!L12+'Learig Pig Cost'!L12+'Lionhead Ext. Pig Cost'!L13+'Villa Pig Cost'!L12+'Richlands Pig Cost'!L12</f>
        <v>0</v>
      </c>
      <c r="M13" s="807">
        <f>+'Grasmere Pig Cost'!M12+'Learig Pig Cost'!M12+'Lionhead Ext. Pig Cost'!M13+'Villa Pig Cost'!M12+'Richlands Pig Cost'!M12</f>
        <v>0</v>
      </c>
      <c r="N13" s="807">
        <f>+'Grasmere Pig Cost'!N12+'Learig Pig Cost'!N12+'Lionhead Ext. Pig Cost'!N13+'Villa Pig Cost'!N12+'Richlands Pig Cost'!N12</f>
        <v>0</v>
      </c>
      <c r="O13" s="807">
        <f>+'Grasmere Pig Cost'!O12+'Learig Pig Cost'!O12+'Lionhead Ext. Pig Cost'!O13+'Villa Pig Cost'!O12+'Richlands Pig Cost'!O12</f>
        <v>0</v>
      </c>
      <c r="P13" s="807">
        <f>+'Grasmere Pig Cost'!P12+'Learig Pig Cost'!P12+'Lionhead Ext. Pig Cost'!P13+'Villa Pig Cost'!P12+'Richlands Pig Cost'!P12</f>
        <v>0</v>
      </c>
      <c r="Q13" s="807">
        <f>+'Grasmere Pig Cost'!Q12+'Learig Pig Cost'!Q12+'Lionhead Ext. Pig Cost'!Q13+'Villa Pig Cost'!Q12+'Richlands Pig Cost'!Q12</f>
        <v>0</v>
      </c>
      <c r="R13" s="807">
        <f>+'Grasmere Pig Cost'!R12+'Learig Pig Cost'!R12+'Lionhead Ext. Pig Cost'!R13+'Villa Pig Cost'!R12+'Richlands Pig Cost'!R12</f>
        <v>0</v>
      </c>
      <c r="S13" s="807">
        <f>+'Grasmere Pig Cost'!S12+'Learig Pig Cost'!S12+'Lionhead Ext. Pig Cost'!S13+'Villa Pig Cost'!S12+'Richlands Pig Cost'!S12</f>
        <v>0</v>
      </c>
      <c r="T13" s="807">
        <f>+'Grasmere Pig Cost'!T12+'Learig Pig Cost'!T12+'Lionhead Ext. Pig Cost'!T13+'Villa Pig Cost'!T12+'Richlands Pig Cost'!T12</f>
        <v>0</v>
      </c>
      <c r="U13" s="807">
        <f>+'Grasmere Pig Cost'!U12+'Learig Pig Cost'!U12+'Lionhead Ext. Pig Cost'!U13+'Villa Pig Cost'!U12+'Richlands Pig Cost'!U12</f>
        <v>0</v>
      </c>
      <c r="V13" s="807">
        <f>+'Grasmere Pig Cost'!V12+'Learig Pig Cost'!V12+'Lionhead Ext. Pig Cost'!V13+'Villa Pig Cost'!V12+'Richlands Pig Cost'!V12</f>
        <v>0</v>
      </c>
      <c r="W13" s="807">
        <f>+'Grasmere Pig Cost'!W12+'Learig Pig Cost'!W12+'Lionhead Ext. Pig Cost'!W13+'Villa Pig Cost'!W12+'Richlands Pig Cost'!W12</f>
        <v>24</v>
      </c>
      <c r="X13" s="807">
        <f>+'Grasmere Pig Cost'!X12+'Learig Pig Cost'!X12+'Lionhead Ext. Pig Cost'!X13+'Villa Pig Cost'!X12+'Richlands Pig Cost'!X12</f>
        <v>33</v>
      </c>
      <c r="Y13" s="807">
        <f>+'Grasmere Pig Cost'!Y12+'Learig Pig Cost'!Y13+'Lionhead Ext. Pig Cost'!Y13+'Villa Pig Cost'!Y12+'Richlands Pig Cost'!Y12</f>
        <v>27</v>
      </c>
      <c r="Z13" s="807">
        <f>+'Grasmere Pig Cost'!Z12+'Learig Pig Cost'!Z12+'Lionhead Ext. Pig Cost'!Z13+'Villa Pig Cost'!Z12+'Richlands Pig Cost'!Z12</f>
        <v>0</v>
      </c>
      <c r="AA13" s="807">
        <f>+'Grasmere Pig Cost'!AA12+'Learig Pig Cost'!AA12+'Lionhead Ext. Pig Cost'!AA13+'Villa Pig Cost'!AA12+'Richlands Pig Cost'!AA12</f>
        <v>0</v>
      </c>
      <c r="AB13" s="807">
        <f>+'Grasmere Pig Cost'!AB12+'Learig Pig Cost'!AB12+'Lionhead Ext. Pig Cost'!AB13+'Villa Pig Cost'!AB12+'Richlands Pig Cost'!AB12</f>
        <v>0</v>
      </c>
      <c r="AC13" s="807">
        <f>+'Grasmere Pig Cost'!AC12+'Learig Pig Cost'!AC12+'Lionhead Ext. Pig Cost'!AC13+'Villa Pig Cost'!AC12+'Richlands Pig Cost'!AC12</f>
        <v>5</v>
      </c>
      <c r="AD13" s="807">
        <f>+'Grasmere Pig Cost'!AD12+'Learig Pig Cost'!AD12+'Lionhead Ext. Pig Cost'!AD13+'Villa Pig Cost'!AD12+'Richlands Pig Cost'!AD12</f>
        <v>0</v>
      </c>
      <c r="AE13" s="807">
        <f>+'Grasmere Pig Cost'!AE12+'Learig Pig Cost'!AE12+'Lionhead Ext. Pig Cost'!AE13+'Villa Pig Cost'!AE12+'Richlands Pig Cost'!AE12</f>
        <v>30</v>
      </c>
      <c r="AF13" s="807">
        <f>+'Grasmere Pig Cost'!AF12+'Learig Pig Cost'!AF12+'Lionhead Ext. Pig Cost'!AF13+'Villa Pig Cost'!AF12+'Richlands Pig Cost'!AF12</f>
        <v>0</v>
      </c>
      <c r="AG13" s="807">
        <f>+'Grasmere Pig Cost'!AG12+'Learig Pig Cost'!AG12+'Lionhead Ext. Pig Cost'!AG13+'Villa Pig Cost'!AG12+'Richlands Pig Cost'!AG12</f>
        <v>0</v>
      </c>
      <c r="AH13" s="807">
        <f>+'Grasmere Pig Cost'!AH12+'Learig Pig Cost'!AH12+'Lionhead Ext. Pig Cost'!AH13+'Villa Pig Cost'!AH12+'Richlands Pig Cost'!AH12</f>
        <v>0</v>
      </c>
      <c r="AI13" s="807">
        <f>+'Grasmere Pig Cost'!AI12+'Learig Pig Cost'!AI12+'Lionhead Ext. Pig Cost'!AI13+'Villa Pig Cost'!AI12+'Richlands Pig Cost'!AI12</f>
        <v>0</v>
      </c>
      <c r="AJ13" s="807">
        <f>+'Grasmere Pig Cost'!AJ12+'Learig Pig Cost'!AJ12+'Lionhead Ext. Pig Cost'!AJ13+'Villa Pig Cost'!AJ12+'Richlands Pig Cost'!AJ12</f>
        <v>0</v>
      </c>
      <c r="AK13" s="807">
        <f>+'Grasmere Pig Cost'!AK12+'Learig Pig Cost'!AK12+'Lionhead Ext. Pig Cost'!AK13+'Villa Pig Cost'!AK12+'Richlands Pig Cost'!AK12</f>
        <v>0</v>
      </c>
      <c r="AL13" s="807">
        <f>+'Grasmere Pig Cost'!AL12+'Learig Pig Cost'!AL12+'Lionhead Ext. Pig Cost'!AL13+'Villa Pig Cost'!AL12+'Richlands Pig Cost'!AL12</f>
        <v>0</v>
      </c>
      <c r="AM13" s="807">
        <f>+'Grasmere Pig Cost'!AM12+'Learig Pig Cost'!AM12+'Lionhead Ext. Pig Cost'!AM13+'Villa Pig Cost'!AM12+'Richlands Pig Cost'!AM12</f>
        <v>0</v>
      </c>
      <c r="AN13" s="807">
        <f>+'Grasmere Pig Cost'!AN12+'Learig Pig Cost'!AN12+'Lionhead Ext. Pig Cost'!AN13+'Villa Pig Cost'!AN12+'Richlands Pig Cost'!AN12</f>
        <v>0</v>
      </c>
      <c r="AO13" s="807">
        <f>+'Grasmere Pig Cost'!AO12+'Learig Pig Cost'!AO12+'Lionhead Ext. Pig Cost'!AO13+'Villa Pig Cost'!AO12+'Richlands Pig Cost'!AO12</f>
        <v>0</v>
      </c>
      <c r="AP13" s="807">
        <f>+'Grasmere Pig Cost'!AP12+'Learig Pig Cost'!AP12+'Lionhead Ext. Pig Cost'!AP13+'Villa Pig Cost'!AP12+'Richlands Pig Cost'!AP12</f>
        <v>0</v>
      </c>
      <c r="AQ13" s="807">
        <f>+'Grasmere Pig Cost'!AQ12+'Learig Pig Cost'!AQ12+'Lionhead Ext. Pig Cost'!AQ13+'Villa Pig Cost'!AQ12+'Richlands Pig Cost'!AQ12</f>
        <v>0</v>
      </c>
      <c r="AR13" s="807">
        <f>+'Grasmere Pig Cost'!AR12+'Learig Pig Cost'!AR12+'Lionhead Ext. Pig Cost'!AR13+'Villa Pig Cost'!AR12+'Richlands Pig Cost'!AR12</f>
        <v>0</v>
      </c>
      <c r="AS13" s="807">
        <f>+'Grasmere Pig Cost'!AS12+'Learig Pig Cost'!AS12+'Lionhead Ext. Pig Cost'!AS13+'Villa Pig Cost'!AS12+'Richlands Pig Cost'!AS12</f>
        <v>0</v>
      </c>
      <c r="AT13" s="807">
        <f>+'Grasmere Pig Cost'!AT12+'Learig Pig Cost'!AT12+'Lionhead Ext. Pig Cost'!AT13+'Villa Pig Cost'!AT12+'Richlands Pig Cost'!AT12</f>
        <v>0</v>
      </c>
      <c r="AU13" s="1631">
        <f>SUM(B13:AT13)</f>
        <v>119</v>
      </c>
      <c r="AV13" s="1631">
        <f>+'Grasmere Pig Cost'!AU12+'Learig Pig Cost'!AU12+'Lionhead Ext. Pig Cost'!AU13+'Villa Pig Cost'!AU12+'Richlands Pig Cost'!AU12</f>
        <v>119</v>
      </c>
      <c r="AW13" s="818">
        <f t="shared" ref="AW13:AW26" si="8">+AU13-AV13</f>
        <v>0</v>
      </c>
    </row>
    <row r="14" spans="1:50" ht="15.6">
      <c r="A14" s="142" t="s">
        <v>1791</v>
      </c>
      <c r="B14" s="807">
        <f>+'Grasmere Pig Cost'!B13+'Learig Pig Cost'!B13+'Lionhead Pig Cost'!B13+'Villa Pig Cost'!B13+'Richlands Pig Cost'!B13</f>
        <v>0</v>
      </c>
      <c r="C14" s="807">
        <f>+'Grasmere Pig Cost'!C13+'Learig Pig Cost'!C13+'Lionhead Pig Cost'!C13+'Villa Pig Cost'!C13+'Richlands Pig Cost'!C13</f>
        <v>0</v>
      </c>
      <c r="D14" s="807">
        <f>+'Grasmere Pig Cost'!D13+'Learig Pig Cost'!D13+'Lionhead Pig Cost'!D13+'Villa Pig Cost'!D13+'Richlands Pig Cost'!D13</f>
        <v>0</v>
      </c>
      <c r="E14" s="807">
        <f>+'Grasmere Pig Cost'!E13+'Learig Pig Cost'!E13+'Lionhead Pig Cost'!E13+'Villa Pig Cost'!E13+'Richlands Pig Cost'!E13</f>
        <v>0</v>
      </c>
      <c r="F14" s="807">
        <f>+'Grasmere Pig Cost'!F13+'Learig Pig Cost'!F13+'Lionhead Pig Cost'!F13+'Villa Pig Cost'!F13+'Richlands Pig Cost'!F13</f>
        <v>0</v>
      </c>
      <c r="G14" s="807">
        <f>+'Grasmere Pig Cost'!G13+'Learig Pig Cost'!G13+'Lionhead Pig Cost'!G13+'Villa Pig Cost'!G13+'Richlands Pig Cost'!G13</f>
        <v>0</v>
      </c>
      <c r="H14" s="807">
        <f>+'Grasmere Pig Cost'!H13+'Learig Pig Cost'!H13+'Lionhead Pig Cost'!H13+'Villa Pig Cost'!H13+'Richlands Pig Cost'!H13</f>
        <v>0</v>
      </c>
      <c r="I14" s="807">
        <f>+'Grasmere Pig Cost'!I13+'Learig Pig Cost'!I13+'Lionhead Pig Cost'!I13+'Villa Pig Cost'!I13+'Richlands Pig Cost'!I13</f>
        <v>0</v>
      </c>
      <c r="J14" s="807">
        <f>+'Grasmere Pig Cost'!J13+'Learig Pig Cost'!J13+'Lionhead Pig Cost'!J13+'Villa Pig Cost'!J13+'Richlands Pig Cost'!J13</f>
        <v>0</v>
      </c>
      <c r="K14" s="807">
        <f>+'Grasmere Pig Cost'!K13+'Learig Pig Cost'!K13+'Lionhead Pig Cost'!K13+'Villa Pig Cost'!K13+'Richlands Pig Cost'!K13</f>
        <v>0</v>
      </c>
      <c r="L14" s="807">
        <f>+'Grasmere Pig Cost'!L13+'Learig Pig Cost'!L13+'Lionhead Pig Cost'!L13+'Villa Pig Cost'!L13+'Richlands Pig Cost'!L13</f>
        <v>0</v>
      </c>
      <c r="M14" s="807">
        <f>+'Grasmere Pig Cost'!M13+'Learig Pig Cost'!M13+'Lionhead Pig Cost'!M13+'Villa Pig Cost'!M13+'Richlands Pig Cost'!M13</f>
        <v>0</v>
      </c>
      <c r="N14" s="807">
        <f>+'Grasmere Pig Cost'!N13+'Learig Pig Cost'!N13+'Lionhead Pig Cost'!N13+'Villa Pig Cost'!N13+'Richlands Pig Cost'!N13</f>
        <v>0</v>
      </c>
      <c r="O14" s="807">
        <f>+'Grasmere Pig Cost'!O13+'Learig Pig Cost'!O13+'Lionhead Pig Cost'!O13+'Villa Pig Cost'!O13+'Richlands Pig Cost'!O13</f>
        <v>0</v>
      </c>
      <c r="P14" s="807">
        <f>+'Grasmere Pig Cost'!P13+'Learig Pig Cost'!P13+'Lionhead Pig Cost'!P13+'Villa Pig Cost'!P13+'Richlands Pig Cost'!P13</f>
        <v>0</v>
      </c>
      <c r="Q14" s="807">
        <f>+'Grasmere Pig Cost'!Q13+'Learig Pig Cost'!Q13+'Lionhead Pig Cost'!Q13+'Villa Pig Cost'!Q13+'Richlands Pig Cost'!Q13</f>
        <v>0</v>
      </c>
      <c r="R14" s="807">
        <f>+'Grasmere Pig Cost'!R13+'Learig Pig Cost'!R13+'Lionhead Pig Cost'!R13+'Villa Pig Cost'!R13+'Richlands Pig Cost'!R13</f>
        <v>0</v>
      </c>
      <c r="S14" s="807">
        <f>+'Grasmere Pig Cost'!S13+'Learig Pig Cost'!S13+'Lionhead Pig Cost'!S13+'Villa Pig Cost'!S13+'Richlands Pig Cost'!S13</f>
        <v>0</v>
      </c>
      <c r="T14" s="807">
        <f>+'Grasmere Pig Cost'!T13+'Learig Pig Cost'!T13+'Lionhead Pig Cost'!T13+'Villa Pig Cost'!T13+'Richlands Pig Cost'!T13</f>
        <v>0</v>
      </c>
      <c r="U14" s="807">
        <f>+'Grasmere Pig Cost'!U13+'Learig Pig Cost'!U13+'Lionhead Pig Cost'!U13+'Villa Pig Cost'!U13+'Richlands Pig Cost'!U13</f>
        <v>0</v>
      </c>
      <c r="V14" s="807">
        <f>+'Grasmere Pig Cost'!V13+'Learig Pig Cost'!V13+'Lionhead Pig Cost'!V13+'Villa Pig Cost'!V13+'Richlands Pig Cost'!V13</f>
        <v>0</v>
      </c>
      <c r="W14" s="807">
        <f>+'Grasmere Pig Cost'!W13+'Learig Pig Cost'!W13+'Lionhead Pig Cost'!W13+'Villa Pig Cost'!W13+'Richlands Pig Cost'!W13</f>
        <v>-24</v>
      </c>
      <c r="X14" s="807">
        <f>+'Grasmere Pig Cost'!X13+'Learig Pig Cost'!X13+'Lionhead Pig Cost'!X14+'Villa Pig Cost'!X13+'Richlands Pig Cost'!X13</f>
        <v>0</v>
      </c>
      <c r="Y14" s="807" t="e">
        <f>+'Grasmere Pig Cost'!Y13+'Learig Pig Cost'!#REF!+'Lionhead Pig Cost'!Y13+'Villa Pig Cost'!Y13+'Richlands Pig Cost'!Y13</f>
        <v>#REF!</v>
      </c>
      <c r="Z14" s="807">
        <f>+'Grasmere Pig Cost'!Z13+'Learig Pig Cost'!Z13+'Lionhead Pig Cost'!Z13+'Villa Pig Cost'!Z13+'Richlands Pig Cost'!Z13</f>
        <v>-140</v>
      </c>
      <c r="AA14" s="807">
        <f>+'Grasmere Pig Cost'!AA13+'Learig Pig Cost'!AA13+'Lionhead Pig Cost'!AA13+'Villa Pig Cost'!AA13+'Richlands Pig Cost'!AA13</f>
        <v>0</v>
      </c>
      <c r="AB14" s="807">
        <f>+'Grasmere Pig Cost'!AB13+'Learig Pig Cost'!AB13+'Lionhead Pig Cost'!AB13+'Villa Pig Cost'!AB13+'Richlands Pig Cost'!AB13</f>
        <v>-40</v>
      </c>
      <c r="AC14" s="807">
        <f>+'Grasmere Pig Cost'!AC13+'Learig Pig Cost'!AC13+'Lionhead Pig Cost'!AC13+'Villa Pig Cost'!AC13+'Richlands Pig Cost'!AC13</f>
        <v>-116</v>
      </c>
      <c r="AD14" s="807">
        <f>+'Grasmere Pig Cost'!AD13+'Learig Pig Cost'!AD13+'Lionhead Pig Cost'!AD13+'Villa Pig Cost'!AD13+'Richlands Pig Cost'!AD13</f>
        <v>-90</v>
      </c>
      <c r="AE14" s="807">
        <f>+'Grasmere Pig Cost'!AE13+'Learig Pig Cost'!AE13+'Lionhead Pig Cost'!AE13+'Villa Pig Cost'!AE13+'Richlands Pig Cost'!AE13</f>
        <v>-170</v>
      </c>
      <c r="AF14" s="807">
        <f>+'Grasmere Pig Cost'!AF13+'Learig Pig Cost'!AF13+'Lionhead Pig Cost'!AF13+'Villa Pig Cost'!AF13+'Richlands Pig Cost'!AF13</f>
        <v>0</v>
      </c>
      <c r="AG14" s="807">
        <f>+'Grasmere Pig Cost'!AG13+'Learig Pig Cost'!AG13+'Lionhead Pig Cost'!AG13+'Villa Pig Cost'!AG13+'Richlands Pig Cost'!AG13</f>
        <v>0</v>
      </c>
      <c r="AH14" s="807">
        <f>+'Grasmere Pig Cost'!AH13+'Learig Pig Cost'!AH13+'Lionhead Pig Cost'!AH13+'Villa Pig Cost'!AH13+'Richlands Pig Cost'!AH13</f>
        <v>0</v>
      </c>
      <c r="AI14" s="807">
        <f>+'Grasmere Pig Cost'!AI13+'Learig Pig Cost'!AI13+'Lionhead Pig Cost'!AI13+'Villa Pig Cost'!AI13+'Richlands Pig Cost'!AI13</f>
        <v>0</v>
      </c>
      <c r="AJ14" s="807">
        <f>+'Grasmere Pig Cost'!AJ13+'Learig Pig Cost'!AJ13+'Lionhead Pig Cost'!AJ13+'Villa Pig Cost'!AJ13+'Richlands Pig Cost'!AJ13</f>
        <v>0</v>
      </c>
      <c r="AK14" s="807">
        <f>+'Grasmere Pig Cost'!AK13+'Learig Pig Cost'!AK13+'Lionhead Pig Cost'!AK13+'Villa Pig Cost'!AK13+'Richlands Pig Cost'!AK13</f>
        <v>0</v>
      </c>
      <c r="AL14" s="807">
        <f>+'Grasmere Pig Cost'!AL13+'Learig Pig Cost'!AL13+'Lionhead Pig Cost'!AL13+'Villa Pig Cost'!AL13+'Richlands Pig Cost'!AL13</f>
        <v>0</v>
      </c>
      <c r="AM14" s="807">
        <f>+'Grasmere Pig Cost'!AM13+'Learig Pig Cost'!AM13+'Lionhead Pig Cost'!AM13+'Villa Pig Cost'!AM13+'Richlands Pig Cost'!AM13</f>
        <v>0</v>
      </c>
      <c r="AN14" s="807">
        <f>+'Grasmere Pig Cost'!AN13+'Learig Pig Cost'!AN13+'Lionhead Pig Cost'!AN13+'Villa Pig Cost'!AN13+'Richlands Pig Cost'!AN13</f>
        <v>0</v>
      </c>
      <c r="AO14" s="807">
        <f>+'Grasmere Pig Cost'!AO13+'Learig Pig Cost'!AO13+'Lionhead Pig Cost'!AO13+'Villa Pig Cost'!AO13+'Richlands Pig Cost'!AO13</f>
        <v>0</v>
      </c>
      <c r="AP14" s="807">
        <f>+'Grasmere Pig Cost'!AP13+'Learig Pig Cost'!AP13+'Lionhead Pig Cost'!AP13+'Villa Pig Cost'!AP13+'Richlands Pig Cost'!AP13</f>
        <v>0</v>
      </c>
      <c r="AQ14" s="807">
        <f>+'Grasmere Pig Cost'!AQ13+'Learig Pig Cost'!AQ13+'Lionhead Pig Cost'!AQ13+'Villa Pig Cost'!AQ13+'Richlands Pig Cost'!AQ13</f>
        <v>0</v>
      </c>
      <c r="AR14" s="807">
        <f>+'Grasmere Pig Cost'!AR13+'Learig Pig Cost'!AR13+'Lionhead Pig Cost'!AR13+'Villa Pig Cost'!AR13+'Richlands Pig Cost'!AR13</f>
        <v>0</v>
      </c>
      <c r="AS14" s="807">
        <f>+'Grasmere Pig Cost'!AS13+'Learig Pig Cost'!AS13+'Lionhead Pig Cost'!AS13+'Villa Pig Cost'!AS13+'Richlands Pig Cost'!AS13</f>
        <v>0</v>
      </c>
      <c r="AT14" s="807">
        <f>+'Grasmere Pig Cost'!AT13+'Learig Pig Cost'!AT13+'Lionhead Pig Cost'!AT13+'Villa Pig Cost'!AT13+'Richlands Pig Cost'!AT13</f>
        <v>0</v>
      </c>
      <c r="AU14" s="1631" t="e">
        <f t="shared" ref="AU14:AU17" si="9">SUM(B14:AT14)</f>
        <v>#REF!</v>
      </c>
      <c r="AV14" s="1631">
        <f>+'Grasmere Pig Cost'!AU13+'Learig Pig Cost'!AU13+'Lionhead Pig Cost'!AU13+'Villa Pig Cost'!AU13+'Richlands Pig Cost'!AU13</f>
        <v>-750</v>
      </c>
      <c r="AW14" s="818" t="e">
        <f t="shared" si="8"/>
        <v>#REF!</v>
      </c>
    </row>
    <row r="15" spans="1:50" ht="15.6">
      <c r="A15" s="142" t="s">
        <v>1792</v>
      </c>
      <c r="B15" s="807">
        <f>+'Grasmere Pig Cost'!B14+'Learig Pig Cost'!B14+'Lionhead Pig Cost'!B14+'Lionhead Ext. Pig Cost'!B14+'Villa Pig Cost'!B14</f>
        <v>0</v>
      </c>
      <c r="C15" s="807">
        <f>+'Grasmere Pig Cost'!C14+'Learig Pig Cost'!C14+'Lionhead Pig Cost'!C14+'Lionhead Ext. Pig Cost'!C14+'Villa Pig Cost'!C14</f>
        <v>0</v>
      </c>
      <c r="D15" s="807">
        <f>+'Grasmere Pig Cost'!D14+'Learig Pig Cost'!D14+'Lionhead Pig Cost'!D14+'Lionhead Ext. Pig Cost'!D14+'Villa Pig Cost'!D14</f>
        <v>0</v>
      </c>
      <c r="E15" s="807">
        <f>+'Grasmere Pig Cost'!E14+'Learig Pig Cost'!E14+'Lionhead Pig Cost'!E14+'Lionhead Ext. Pig Cost'!E14+'Villa Pig Cost'!E14</f>
        <v>0</v>
      </c>
      <c r="F15" s="807">
        <f>+'Grasmere Pig Cost'!F14+'Learig Pig Cost'!F14+'Lionhead Pig Cost'!F14+'Lionhead Ext. Pig Cost'!F14+'Villa Pig Cost'!F14</f>
        <v>0</v>
      </c>
      <c r="G15" s="807">
        <f>+'Grasmere Pig Cost'!G14+'Learig Pig Cost'!G14+'Lionhead Pig Cost'!G14+'Lionhead Ext. Pig Cost'!G14+'Villa Pig Cost'!G14</f>
        <v>0</v>
      </c>
      <c r="H15" s="807">
        <f>+'Grasmere Pig Cost'!H14+'Learig Pig Cost'!H14+'Lionhead Pig Cost'!H14+'Lionhead Ext. Pig Cost'!H14+'Villa Pig Cost'!H14</f>
        <v>0</v>
      </c>
      <c r="I15" s="807">
        <f>+'Grasmere Pig Cost'!I14+'Learig Pig Cost'!I14+'Lionhead Pig Cost'!I14+'Lionhead Ext. Pig Cost'!I14+'Villa Pig Cost'!I14</f>
        <v>0</v>
      </c>
      <c r="J15" s="807">
        <f>+'Grasmere Pig Cost'!J14+'Learig Pig Cost'!J14+'Lionhead Pig Cost'!J14+'Lionhead Ext. Pig Cost'!J14+'Villa Pig Cost'!J14</f>
        <v>0</v>
      </c>
      <c r="K15" s="807">
        <f>+'Grasmere Pig Cost'!K14+'Learig Pig Cost'!K14+'Lionhead Pig Cost'!K14+'Lionhead Ext. Pig Cost'!K14+'Villa Pig Cost'!K14</f>
        <v>0</v>
      </c>
      <c r="L15" s="807">
        <f>+'Grasmere Pig Cost'!L14+'Learig Pig Cost'!L14+'Lionhead Pig Cost'!L14+'Lionhead Ext. Pig Cost'!L14+'Villa Pig Cost'!L14</f>
        <v>0</v>
      </c>
      <c r="M15" s="807">
        <f>+'Grasmere Pig Cost'!M14+'Learig Pig Cost'!M14+'Lionhead Pig Cost'!M14+'Lionhead Ext. Pig Cost'!M14+'Villa Pig Cost'!M14</f>
        <v>0</v>
      </c>
      <c r="N15" s="807">
        <f>+'Grasmere Pig Cost'!N14+'Learig Pig Cost'!N14+'Lionhead Pig Cost'!N14+'Lionhead Ext. Pig Cost'!N14+'Villa Pig Cost'!N14</f>
        <v>0</v>
      </c>
      <c r="O15" s="807">
        <f>+'Grasmere Pig Cost'!O14+'Learig Pig Cost'!O14+'Lionhead Pig Cost'!O14+'Lionhead Ext. Pig Cost'!O14+'Villa Pig Cost'!O14</f>
        <v>0</v>
      </c>
      <c r="P15" s="807">
        <f>+'Grasmere Pig Cost'!P14+'Learig Pig Cost'!P14+'Lionhead Pig Cost'!P14+'Lionhead Ext. Pig Cost'!P14+'Villa Pig Cost'!P14</f>
        <v>0</v>
      </c>
      <c r="Q15" s="807">
        <f>+'Grasmere Pig Cost'!Q14+'Learig Pig Cost'!Q14+'Lionhead Pig Cost'!Q14+'Lionhead Ext. Pig Cost'!Q14+'Villa Pig Cost'!Q14</f>
        <v>0</v>
      </c>
      <c r="R15" s="807">
        <f>+'Grasmere Pig Cost'!R14+'Learig Pig Cost'!R14+'Lionhead Pig Cost'!R14+'Lionhead Ext. Pig Cost'!R14+'Villa Pig Cost'!R14</f>
        <v>0</v>
      </c>
      <c r="S15" s="807">
        <f>+'Grasmere Pig Cost'!S14+'Learig Pig Cost'!S14+'Lionhead Pig Cost'!S14+'Lionhead Ext. Pig Cost'!S14+'Villa Pig Cost'!S14</f>
        <v>0</v>
      </c>
      <c r="T15" s="807">
        <f>+'Grasmere Pig Cost'!T14+'Learig Pig Cost'!T14+'Lionhead Pig Cost'!T14+'Lionhead Ext. Pig Cost'!T14+'Villa Pig Cost'!T14</f>
        <v>0</v>
      </c>
      <c r="U15" s="807">
        <f>+'Grasmere Pig Cost'!U14+'Learig Pig Cost'!U14+'Lionhead Pig Cost'!U14+'Lionhead Ext. Pig Cost'!U14+'Villa Pig Cost'!U14</f>
        <v>0</v>
      </c>
      <c r="V15" s="807">
        <f>+'Grasmere Pig Cost'!V14+'Learig Pig Cost'!V14+'Lionhead Pig Cost'!V14+'Lionhead Ext. Pig Cost'!V14+'Villa Pig Cost'!V14</f>
        <v>0</v>
      </c>
      <c r="W15" s="807">
        <f>+'Grasmere Pig Cost'!W14+'Learig Pig Cost'!W14+'Lionhead Pig Cost'!W14+'Lionhead Ext. Pig Cost'!W14+'Villa Pig Cost'!W14</f>
        <v>0</v>
      </c>
      <c r="X15" s="807" t="e">
        <f>+'Grasmere Pig Cost'!X14+'Learig Pig Cost'!X14+'Lionhead Pig Cost'!#REF!+'Lionhead Ext. Pig Cost'!X14+'Villa Pig Cost'!X14</f>
        <v>#REF!</v>
      </c>
      <c r="Y15" s="807">
        <f>+'Grasmere Pig Cost'!Y14+'Learig Pig Cost'!Y14+'Lionhead Pig Cost'!Y14+'Lionhead Ext. Pig Cost'!Y14+'Villa Pig Cost'!Y14</f>
        <v>0</v>
      </c>
      <c r="Z15" s="807">
        <f>+'Grasmere Pig Cost'!Z14+'Learig Pig Cost'!Z14+'Lionhead Pig Cost'!Z14+'Lionhead Ext. Pig Cost'!Z14+'Villa Pig Cost'!Z14</f>
        <v>0</v>
      </c>
      <c r="AA15" s="807">
        <f>+'Grasmere Pig Cost'!AA14+'Learig Pig Cost'!AA14+'Lionhead Pig Cost'!AA14+'Lionhead Ext. Pig Cost'!AA14+'Villa Pig Cost'!AA14</f>
        <v>0</v>
      </c>
      <c r="AB15" s="807">
        <f>+'Grasmere Pig Cost'!AB14+'Learig Pig Cost'!AB14+'Lionhead Pig Cost'!AB14+'Lionhead Ext. Pig Cost'!AB14+'Villa Pig Cost'!AB14</f>
        <v>40</v>
      </c>
      <c r="AC15" s="807">
        <f>+'Grasmere Pig Cost'!AC14+'Learig Pig Cost'!AC14+'Lionhead Pig Cost'!AC14+'Lionhead Ext. Pig Cost'!AC14+'Villa Pig Cost'!AC14</f>
        <v>110</v>
      </c>
      <c r="AD15" s="807">
        <f>+'Grasmere Pig Cost'!AD14+'Learig Pig Cost'!AD14+'Lionhead Pig Cost'!AD14+'Lionhead Ext. Pig Cost'!AD14+'Villa Pig Cost'!AD14</f>
        <v>90</v>
      </c>
      <c r="AE15" s="807">
        <f>+'Grasmere Pig Cost'!AE14+'Learig Pig Cost'!AE14+'Lionhead Pig Cost'!AE14+'Lionhead Ext. Pig Cost'!AE14+'Villa Pig Cost'!AE14</f>
        <v>140</v>
      </c>
      <c r="AF15" s="807">
        <f>+'Grasmere Pig Cost'!AF14+'Learig Pig Cost'!AF14+'Lionhead Pig Cost'!AF14+'Lionhead Ext. Pig Cost'!AF14+'Villa Pig Cost'!AF14</f>
        <v>0</v>
      </c>
      <c r="AG15" s="807">
        <f>+'Grasmere Pig Cost'!AG14+'Learig Pig Cost'!AG14+'Lionhead Pig Cost'!AG14+'Lionhead Ext. Pig Cost'!AG14+'Villa Pig Cost'!AG14</f>
        <v>0</v>
      </c>
      <c r="AH15" s="807">
        <f>+'Grasmere Pig Cost'!AH14+'Learig Pig Cost'!AH14+'Lionhead Pig Cost'!AH14+'Lionhead Ext. Pig Cost'!AH14+'Villa Pig Cost'!AH14</f>
        <v>0</v>
      </c>
      <c r="AI15" s="807">
        <f>+'Grasmere Pig Cost'!AI14+'Learig Pig Cost'!AI14+'Lionhead Pig Cost'!AI14+'Lionhead Ext. Pig Cost'!AI14+'Villa Pig Cost'!AI14</f>
        <v>0</v>
      </c>
      <c r="AJ15" s="807">
        <f>+'Grasmere Pig Cost'!AJ14+'Learig Pig Cost'!AJ14+'Lionhead Pig Cost'!AJ14+'Lionhead Ext. Pig Cost'!AJ14+'Villa Pig Cost'!AJ14</f>
        <v>0</v>
      </c>
      <c r="AK15" s="807">
        <f>+'Grasmere Pig Cost'!AK14+'Learig Pig Cost'!AK14+'Lionhead Pig Cost'!AK14+'Lionhead Ext. Pig Cost'!AK14+'Villa Pig Cost'!AK14</f>
        <v>0</v>
      </c>
      <c r="AL15" s="807">
        <f>+'Grasmere Pig Cost'!AL14+'Learig Pig Cost'!AL14+'Lionhead Pig Cost'!AL14+'Lionhead Ext. Pig Cost'!AL14+'Villa Pig Cost'!AL14</f>
        <v>0</v>
      </c>
      <c r="AM15" s="807">
        <f>+'Grasmere Pig Cost'!AM14+'Learig Pig Cost'!AM14+'Lionhead Pig Cost'!AM14+'Lionhead Ext. Pig Cost'!AM14+'Villa Pig Cost'!AM14</f>
        <v>0</v>
      </c>
      <c r="AN15" s="807">
        <f>+'Grasmere Pig Cost'!AN14+'Learig Pig Cost'!AN14+'Lionhead Pig Cost'!AN14+'Lionhead Ext. Pig Cost'!AN14+'Villa Pig Cost'!AN14</f>
        <v>0</v>
      </c>
      <c r="AO15" s="807">
        <f>+'Grasmere Pig Cost'!AO14+'Learig Pig Cost'!AO14+'Lionhead Pig Cost'!AO14+'Lionhead Ext. Pig Cost'!AO14+'Villa Pig Cost'!AO14</f>
        <v>0</v>
      </c>
      <c r="AP15" s="807">
        <f>+'Grasmere Pig Cost'!AP14+'Learig Pig Cost'!AP14+'Lionhead Pig Cost'!AP14+'Lionhead Ext. Pig Cost'!AP14+'Villa Pig Cost'!AP14</f>
        <v>0</v>
      </c>
      <c r="AQ15" s="807">
        <f>+'Grasmere Pig Cost'!AQ14+'Learig Pig Cost'!AQ14+'Lionhead Pig Cost'!AQ14+'Lionhead Ext. Pig Cost'!AQ14+'Villa Pig Cost'!AQ14</f>
        <v>0</v>
      </c>
      <c r="AR15" s="807">
        <f>+'Grasmere Pig Cost'!AR14+'Learig Pig Cost'!AR14+'Lionhead Pig Cost'!AR14+'Lionhead Ext. Pig Cost'!AR14+'Villa Pig Cost'!AR14</f>
        <v>0</v>
      </c>
      <c r="AS15" s="807">
        <f>+'Grasmere Pig Cost'!AS14+'Learig Pig Cost'!AS14+'Lionhead Pig Cost'!AS14+'Lionhead Ext. Pig Cost'!AS14+'Villa Pig Cost'!AS14</f>
        <v>0</v>
      </c>
      <c r="AT15" s="807">
        <f>+'Grasmere Pig Cost'!AT14+'Learig Pig Cost'!AT14+'Lionhead Pig Cost'!AT14+'Lionhead Ext. Pig Cost'!AT14+'Villa Pig Cost'!AT14</f>
        <v>0</v>
      </c>
      <c r="AU15" s="1631" t="e">
        <f t="shared" si="9"/>
        <v>#REF!</v>
      </c>
      <c r="AV15" s="1631">
        <f>+'Grasmere Pig Cost'!AU14+'Learig Pig Cost'!AU14+'Lionhead Pig Cost'!AU14+'Lionhead Ext. Pig Cost'!AU14+'Villa Pig Cost'!AU14</f>
        <v>380</v>
      </c>
      <c r="AW15" s="818" t="e">
        <f t="shared" si="8"/>
        <v>#REF!</v>
      </c>
    </row>
    <row r="16" spans="1:50" ht="15.6">
      <c r="A16" s="142" t="s">
        <v>1793</v>
      </c>
      <c r="B16" s="807">
        <f>+'Grasmere Pig Cost'!B15+'Lionhead Pig Cost'!B15+'Lionhead Ext. Pig Cost'!B15+'Villa Pig Cost'!B15+'Richlands Pig Cost'!B15</f>
        <v>0</v>
      </c>
      <c r="C16" s="807">
        <f>+'Grasmere Pig Cost'!C15+'Lionhead Pig Cost'!C15+'Lionhead Ext. Pig Cost'!C15+'Villa Pig Cost'!C15+'Richlands Pig Cost'!C15</f>
        <v>0</v>
      </c>
      <c r="D16" s="807">
        <f>+'Grasmere Pig Cost'!D15+'Lionhead Pig Cost'!D15+'Lionhead Ext. Pig Cost'!D15+'Villa Pig Cost'!D15+'Richlands Pig Cost'!D15</f>
        <v>0</v>
      </c>
      <c r="E16" s="807">
        <f>+'Grasmere Pig Cost'!E15+'Lionhead Pig Cost'!E15+'Lionhead Ext. Pig Cost'!E15+'Villa Pig Cost'!E15+'Richlands Pig Cost'!E15</f>
        <v>0</v>
      </c>
      <c r="F16" s="807">
        <f>+'Grasmere Pig Cost'!F15+'Lionhead Pig Cost'!F15+'Lionhead Ext. Pig Cost'!F15+'Villa Pig Cost'!F15+'Richlands Pig Cost'!F15</f>
        <v>0</v>
      </c>
      <c r="G16" s="807">
        <f>+'Grasmere Pig Cost'!G15+'Lionhead Pig Cost'!G15+'Lionhead Ext. Pig Cost'!G15+'Villa Pig Cost'!G15+'Richlands Pig Cost'!G15</f>
        <v>0</v>
      </c>
      <c r="H16" s="807">
        <f>+'Grasmere Pig Cost'!H15+'Lionhead Pig Cost'!H15+'Lionhead Ext. Pig Cost'!H15+'Villa Pig Cost'!H15+'Richlands Pig Cost'!H15</f>
        <v>0</v>
      </c>
      <c r="I16" s="807">
        <f>+'Grasmere Pig Cost'!I15+'Lionhead Pig Cost'!I15+'Lionhead Ext. Pig Cost'!I15+'Villa Pig Cost'!I15+'Richlands Pig Cost'!I15</f>
        <v>0</v>
      </c>
      <c r="J16" s="807">
        <f>+'Grasmere Pig Cost'!J15+'Lionhead Pig Cost'!J15+'Lionhead Ext. Pig Cost'!J15+'Villa Pig Cost'!J15+'Richlands Pig Cost'!J15</f>
        <v>0</v>
      </c>
      <c r="K16" s="807">
        <f>+'Grasmere Pig Cost'!K15+'Lionhead Pig Cost'!K15+'Lionhead Ext. Pig Cost'!K15+'Villa Pig Cost'!K15+'Richlands Pig Cost'!K15</f>
        <v>0</v>
      </c>
      <c r="L16" s="807">
        <f>+'Grasmere Pig Cost'!L15+'Lionhead Pig Cost'!L15+'Lionhead Ext. Pig Cost'!L15+'Villa Pig Cost'!L15+'Richlands Pig Cost'!L15</f>
        <v>0</v>
      </c>
      <c r="M16" s="807">
        <f>+'Grasmere Pig Cost'!M15+'Lionhead Pig Cost'!M15+'Lionhead Ext. Pig Cost'!M15+'Villa Pig Cost'!M15+'Richlands Pig Cost'!M15</f>
        <v>0</v>
      </c>
      <c r="N16" s="807">
        <f>+'Grasmere Pig Cost'!N15+'Lionhead Pig Cost'!N15+'Lionhead Ext. Pig Cost'!N15+'Villa Pig Cost'!N15+'Richlands Pig Cost'!N15</f>
        <v>0</v>
      </c>
      <c r="O16" s="807">
        <f>+'Grasmere Pig Cost'!O15+'Lionhead Pig Cost'!O15+'Lionhead Ext. Pig Cost'!O15+'Villa Pig Cost'!O15+'Richlands Pig Cost'!O15</f>
        <v>0</v>
      </c>
      <c r="P16" s="807">
        <f>+'Grasmere Pig Cost'!P15+'Lionhead Pig Cost'!P15+'Lionhead Ext. Pig Cost'!P15+'Villa Pig Cost'!P15+'Richlands Pig Cost'!P15</f>
        <v>0</v>
      </c>
      <c r="Q16" s="807">
        <f>+'Grasmere Pig Cost'!Q15+'Lionhead Pig Cost'!Q15+'Lionhead Ext. Pig Cost'!Q15+'Villa Pig Cost'!Q15+'Richlands Pig Cost'!Q15</f>
        <v>0</v>
      </c>
      <c r="R16" s="807">
        <f>+'Grasmere Pig Cost'!R15+'Lionhead Pig Cost'!R15+'Lionhead Ext. Pig Cost'!R15+'Villa Pig Cost'!R15+'Richlands Pig Cost'!R15</f>
        <v>0</v>
      </c>
      <c r="S16" s="807">
        <f>+'Grasmere Pig Cost'!S15+'Lionhead Pig Cost'!S15+'Lionhead Ext. Pig Cost'!S15+'Villa Pig Cost'!S15+'Richlands Pig Cost'!S15</f>
        <v>0</v>
      </c>
      <c r="T16" s="807">
        <f>+'Grasmere Pig Cost'!T15+'Lionhead Pig Cost'!T15+'Lionhead Ext. Pig Cost'!T15+'Villa Pig Cost'!T15+'Richlands Pig Cost'!T15</f>
        <v>0</v>
      </c>
      <c r="U16" s="807">
        <f>+'Grasmere Pig Cost'!U15+'Lionhead Pig Cost'!U15+'Lionhead Ext. Pig Cost'!U15+'Villa Pig Cost'!U15+'Richlands Pig Cost'!U15</f>
        <v>0</v>
      </c>
      <c r="V16" s="807">
        <f>+'Grasmere Pig Cost'!V15+'Lionhead Pig Cost'!V15+'Lionhead Ext. Pig Cost'!V15+'Villa Pig Cost'!V15+'Richlands Pig Cost'!V15</f>
        <v>0</v>
      </c>
      <c r="W16" s="807">
        <f>+'Grasmere Pig Cost'!W15+'Lionhead Pig Cost'!W15+'Lionhead Ext. Pig Cost'!W15+'Villa Pig Cost'!W15+'Richlands Pig Cost'!W15</f>
        <v>-401</v>
      </c>
      <c r="X16" s="807">
        <f>+'Grasmere Pig Cost'!X15+'Lionhead Pig Cost'!X15+'Lionhead Ext. Pig Cost'!X15+'Villa Pig Cost'!X15+'Richlands Pig Cost'!X15</f>
        <v>-420</v>
      </c>
      <c r="Y16" s="807">
        <f>+'Grasmere Pig Cost'!Y15+'Lionhead Pig Cost'!Y15+'Lionhead Ext. Pig Cost'!Y15+'Villa Pig Cost'!Y15+'Richlands Pig Cost'!Y15</f>
        <v>-280</v>
      </c>
      <c r="Z16" s="807">
        <f>+'Grasmere Pig Cost'!Z15+'Lionhead Pig Cost'!Z15+'Lionhead Ext. Pig Cost'!Z15+'Villa Pig Cost'!Z15+'Richlands Pig Cost'!Z15</f>
        <v>-292</v>
      </c>
      <c r="AA16" s="807">
        <f>+'Grasmere Pig Cost'!AA15+'Lionhead Pig Cost'!AA15+'Lionhead Ext. Pig Cost'!AA15+'Villa Pig Cost'!AA15+'Richlands Pig Cost'!AA15</f>
        <v>0</v>
      </c>
      <c r="AB16" s="807">
        <f>+'Grasmere Pig Cost'!AB15+'Lionhead Pig Cost'!AB15+'Lionhead Ext. Pig Cost'!AB15+'Villa Pig Cost'!AB15+'Richlands Pig Cost'!AB15</f>
        <v>0</v>
      </c>
      <c r="AC16" s="807">
        <f>+'Grasmere Pig Cost'!AC15+'Lionhead Pig Cost'!AC15+'Lionhead Ext. Pig Cost'!AC15+'Villa Pig Cost'!AC15+'Richlands Pig Cost'!AC15</f>
        <v>0</v>
      </c>
      <c r="AD16" s="807">
        <f>+'Grasmere Pig Cost'!AD15+'Lionhead Pig Cost'!AD15+'Lionhead Ext. Pig Cost'!AD15+'Villa Pig Cost'!AD15+'Richlands Pig Cost'!AD15</f>
        <v>0</v>
      </c>
      <c r="AE16" s="807">
        <f>+'Grasmere Pig Cost'!AE15+'Lionhead Pig Cost'!AE15+'Lionhead Ext. Pig Cost'!AE15+'Villa Pig Cost'!AE15+'Richlands Pig Cost'!AE15</f>
        <v>0</v>
      </c>
      <c r="AF16" s="807">
        <f>+'Grasmere Pig Cost'!AF15+'Lionhead Pig Cost'!AF15+'Lionhead Ext. Pig Cost'!AF15+'Villa Pig Cost'!AF15+'Richlands Pig Cost'!AF15</f>
        <v>0</v>
      </c>
      <c r="AG16" s="807">
        <f>+'Grasmere Pig Cost'!AG15+'Lionhead Pig Cost'!AG15+'Lionhead Ext. Pig Cost'!AG15+'Villa Pig Cost'!AG15+'Richlands Pig Cost'!AG15</f>
        <v>0</v>
      </c>
      <c r="AH16" s="807">
        <f>+'Grasmere Pig Cost'!AH15+'Lionhead Pig Cost'!AH15+'Lionhead Ext. Pig Cost'!AH15+'Villa Pig Cost'!AH15+'Richlands Pig Cost'!AH15</f>
        <v>0</v>
      </c>
      <c r="AI16" s="807">
        <f>+'Grasmere Pig Cost'!AI15+'Lionhead Pig Cost'!AI15+'Lionhead Ext. Pig Cost'!AI15+'Villa Pig Cost'!AI15+'Richlands Pig Cost'!AI15</f>
        <v>0</v>
      </c>
      <c r="AJ16" s="807">
        <f>+'Grasmere Pig Cost'!AJ15+'Lionhead Pig Cost'!AJ15+'Lionhead Ext. Pig Cost'!AJ15+'Villa Pig Cost'!AJ15+'Richlands Pig Cost'!AJ15</f>
        <v>0</v>
      </c>
      <c r="AK16" s="807">
        <f>+'Grasmere Pig Cost'!AK15+'Lionhead Pig Cost'!AK15+'Lionhead Ext. Pig Cost'!AK15+'Villa Pig Cost'!AK15+'Richlands Pig Cost'!AK15</f>
        <v>0</v>
      </c>
      <c r="AL16" s="807">
        <f>+'Grasmere Pig Cost'!AL15+'Lionhead Pig Cost'!AL15+'Lionhead Ext. Pig Cost'!AL15+'Villa Pig Cost'!AL15+'Richlands Pig Cost'!AL15</f>
        <v>0</v>
      </c>
      <c r="AM16" s="807">
        <f>+'Grasmere Pig Cost'!AM15+'Lionhead Pig Cost'!AM15+'Lionhead Ext. Pig Cost'!AM15+'Villa Pig Cost'!AM15+'Richlands Pig Cost'!AM15</f>
        <v>0</v>
      </c>
      <c r="AN16" s="807">
        <f>+'Grasmere Pig Cost'!AN15+'Lionhead Pig Cost'!AN15+'Lionhead Ext. Pig Cost'!AN15+'Villa Pig Cost'!AN15+'Richlands Pig Cost'!AN15</f>
        <v>0</v>
      </c>
      <c r="AO16" s="807">
        <f>+'Grasmere Pig Cost'!AO15+'Lionhead Pig Cost'!AO15+'Lionhead Ext. Pig Cost'!AO15+'Villa Pig Cost'!AO15+'Richlands Pig Cost'!AO15</f>
        <v>0</v>
      </c>
      <c r="AP16" s="807">
        <f>+'Grasmere Pig Cost'!AP15+'Lionhead Pig Cost'!AP15+'Lionhead Ext. Pig Cost'!AP15+'Villa Pig Cost'!AP15+'Richlands Pig Cost'!AP15</f>
        <v>0</v>
      </c>
      <c r="AQ16" s="807">
        <f>+'Grasmere Pig Cost'!AQ15+'Lionhead Pig Cost'!AQ15+'Lionhead Ext. Pig Cost'!AQ15+'Villa Pig Cost'!AQ15+'Richlands Pig Cost'!AQ15</f>
        <v>0</v>
      </c>
      <c r="AR16" s="807">
        <f>+'Grasmere Pig Cost'!AR15+'Lionhead Pig Cost'!AR15+'Lionhead Ext. Pig Cost'!AR15+'Villa Pig Cost'!AR15+'Richlands Pig Cost'!AR15</f>
        <v>0</v>
      </c>
      <c r="AS16" s="807">
        <f>+'Grasmere Pig Cost'!AS15+'Lionhead Pig Cost'!AS15+'Lionhead Ext. Pig Cost'!AS15+'Villa Pig Cost'!AS15+'Richlands Pig Cost'!AS15</f>
        <v>0</v>
      </c>
      <c r="AT16" s="807">
        <f>+'Grasmere Pig Cost'!AT15+'Lionhead Pig Cost'!AT15+'Lionhead Ext. Pig Cost'!AT15+'Villa Pig Cost'!AT15+'Richlands Pig Cost'!AT15</f>
        <v>0</v>
      </c>
      <c r="AU16" s="1631">
        <f t="shared" si="9"/>
        <v>-1393</v>
      </c>
      <c r="AV16" s="1631">
        <f>+'Grasmere Pig Cost'!AU15+'Lionhead Pig Cost'!AU15+'Lionhead Ext. Pig Cost'!AU15+'Villa Pig Cost'!AU15+'Richlands Pig Cost'!AU15</f>
        <v>-1393</v>
      </c>
      <c r="AW16" s="818">
        <f t="shared" si="8"/>
        <v>0</v>
      </c>
    </row>
    <row r="17" spans="1:54" ht="15.6">
      <c r="A17" s="142" t="s">
        <v>1794</v>
      </c>
      <c r="B17" s="807">
        <f>+'Grasmere Pig Cost'!B16+'Learig Pig Cost'!B16+'Lionhead Pig Cost'!B16+'Lionhead Ext. Pig Cost'!B16+'Richlands Pig Cost'!B16</f>
        <v>0</v>
      </c>
      <c r="C17" s="807">
        <f>+'Grasmere Pig Cost'!C16+'Learig Pig Cost'!C16+'Lionhead Pig Cost'!C16+'Lionhead Ext. Pig Cost'!C16+'Richlands Pig Cost'!C16</f>
        <v>0</v>
      </c>
      <c r="D17" s="807">
        <f>+'Grasmere Pig Cost'!D16+'Learig Pig Cost'!D16+'Lionhead Pig Cost'!D16+'Lionhead Ext. Pig Cost'!D16+'Richlands Pig Cost'!D16</f>
        <v>0</v>
      </c>
      <c r="E17" s="807">
        <f>+'Grasmere Pig Cost'!E16+'Learig Pig Cost'!E16+'Lionhead Pig Cost'!E16+'Lionhead Ext. Pig Cost'!E16+'Richlands Pig Cost'!E16</f>
        <v>0</v>
      </c>
      <c r="F17" s="807">
        <f>+'Grasmere Pig Cost'!F16+'Learig Pig Cost'!F16+'Lionhead Pig Cost'!F16+'Lionhead Ext. Pig Cost'!F16+'Richlands Pig Cost'!F16</f>
        <v>0</v>
      </c>
      <c r="G17" s="807">
        <f>+'Grasmere Pig Cost'!G16+'Learig Pig Cost'!G16+'Lionhead Pig Cost'!G16+'Lionhead Ext. Pig Cost'!G16+'Richlands Pig Cost'!G16</f>
        <v>0</v>
      </c>
      <c r="H17" s="807">
        <f>+'Grasmere Pig Cost'!H16+'Learig Pig Cost'!H16+'Lionhead Pig Cost'!H16+'Lionhead Ext. Pig Cost'!H16+'Richlands Pig Cost'!H16</f>
        <v>0</v>
      </c>
      <c r="I17" s="807">
        <f>+'Grasmere Pig Cost'!I16+'Learig Pig Cost'!I16+'Lionhead Pig Cost'!I16+'Lionhead Ext. Pig Cost'!I16+'Richlands Pig Cost'!I16</f>
        <v>0</v>
      </c>
      <c r="J17" s="807">
        <f>+'Grasmere Pig Cost'!J16+'Learig Pig Cost'!J16+'Lionhead Pig Cost'!J16+'Lionhead Ext. Pig Cost'!J16+'Richlands Pig Cost'!J16</f>
        <v>0</v>
      </c>
      <c r="K17" s="807">
        <f>+'Grasmere Pig Cost'!K16+'Learig Pig Cost'!K16+'Lionhead Pig Cost'!K16+'Lionhead Ext. Pig Cost'!K16+'Richlands Pig Cost'!K16</f>
        <v>0</v>
      </c>
      <c r="L17" s="807">
        <f>+'Grasmere Pig Cost'!L16+'Learig Pig Cost'!L16+'Lionhead Pig Cost'!L16+'Lionhead Ext. Pig Cost'!L16+'Richlands Pig Cost'!L16</f>
        <v>0</v>
      </c>
      <c r="M17" s="807">
        <f>+'Grasmere Pig Cost'!M16+'Learig Pig Cost'!M16+'Lionhead Pig Cost'!M16+'Lionhead Ext. Pig Cost'!M16+'Richlands Pig Cost'!M16</f>
        <v>0</v>
      </c>
      <c r="N17" s="807">
        <f>+'Grasmere Pig Cost'!N16+'Learig Pig Cost'!N16+'Lionhead Pig Cost'!N16+'Lionhead Ext. Pig Cost'!N16+'Richlands Pig Cost'!N16</f>
        <v>0</v>
      </c>
      <c r="O17" s="807">
        <f>+'Grasmere Pig Cost'!O16+'Learig Pig Cost'!O16+'Lionhead Pig Cost'!O16+'Lionhead Ext. Pig Cost'!O16+'Richlands Pig Cost'!O16</f>
        <v>0</v>
      </c>
      <c r="P17" s="807">
        <f>+'Grasmere Pig Cost'!P16+'Learig Pig Cost'!P16+'Lionhead Pig Cost'!P16+'Lionhead Ext. Pig Cost'!P16+'Richlands Pig Cost'!P16</f>
        <v>0</v>
      </c>
      <c r="Q17" s="807">
        <f>+'Grasmere Pig Cost'!Q16+'Learig Pig Cost'!Q16+'Lionhead Pig Cost'!Q16+'Lionhead Ext. Pig Cost'!Q16+'Richlands Pig Cost'!Q16</f>
        <v>0</v>
      </c>
      <c r="R17" s="807">
        <f>+'Grasmere Pig Cost'!R16+'Learig Pig Cost'!R16+'Lionhead Pig Cost'!R16+'Lionhead Ext. Pig Cost'!R16+'Richlands Pig Cost'!R16</f>
        <v>0</v>
      </c>
      <c r="S17" s="807">
        <f>+'Grasmere Pig Cost'!S16+'Learig Pig Cost'!S16+'Lionhead Pig Cost'!S16+'Lionhead Ext. Pig Cost'!S16+'Richlands Pig Cost'!S16</f>
        <v>0</v>
      </c>
      <c r="T17" s="807">
        <f>+'Grasmere Pig Cost'!T16+'Learig Pig Cost'!T16+'Lionhead Pig Cost'!T16+'Lionhead Ext. Pig Cost'!T16+'Richlands Pig Cost'!T16</f>
        <v>0</v>
      </c>
      <c r="U17" s="807">
        <f>+'Grasmere Pig Cost'!U16+'Learig Pig Cost'!U16+'Lionhead Pig Cost'!U16+'Lionhead Ext. Pig Cost'!U16+'Richlands Pig Cost'!U16</f>
        <v>0</v>
      </c>
      <c r="V17" s="807">
        <f>+'Grasmere Pig Cost'!V16+'Learig Pig Cost'!V16+'Lionhead Pig Cost'!V16+'Lionhead Ext. Pig Cost'!V16+'Richlands Pig Cost'!V16</f>
        <v>0</v>
      </c>
      <c r="W17" s="807">
        <f>+'Grasmere Pig Cost'!W16+'Learig Pig Cost'!W16+'Lionhead Pig Cost'!W16+'Lionhead Ext. Pig Cost'!W16+'Richlands Pig Cost'!W16</f>
        <v>90</v>
      </c>
      <c r="X17" s="807">
        <f>+'Grasmere Pig Cost'!X16+'Learig Pig Cost'!X16+'Lionhead Pig Cost'!X16+'Lionhead Ext. Pig Cost'!X16+'Richlands Pig Cost'!X16</f>
        <v>100</v>
      </c>
      <c r="Y17" s="807">
        <f>+'Grasmere Pig Cost'!Y16+'Learig Pig Cost'!Y16+'Lionhead Pig Cost'!Y16+'Lionhead Ext. Pig Cost'!Y16+'Richlands Pig Cost'!Y16</f>
        <v>110</v>
      </c>
      <c r="Z17" s="807">
        <f>+'Grasmere Pig Cost'!Z16+'Learig Pig Cost'!Z16+'Lionhead Pig Cost'!Z16+'Lionhead Ext. Pig Cost'!Z16+'Richlands Pig Cost'!Z16</f>
        <v>140</v>
      </c>
      <c r="AA17" s="807">
        <f>+'Grasmere Pig Cost'!AA16+'Learig Pig Cost'!AA16+'Lionhead Pig Cost'!AA16+'Lionhead Ext. Pig Cost'!AA16+'Richlands Pig Cost'!AA16</f>
        <v>0</v>
      </c>
      <c r="AB17" s="807">
        <f>+'Grasmere Pig Cost'!AB16+'Learig Pig Cost'!AB16+'Lionhead Pig Cost'!AB16+'Lionhead Ext. Pig Cost'!AB16+'Richlands Pig Cost'!AB16</f>
        <v>0</v>
      </c>
      <c r="AC17" s="807">
        <f>+'Grasmere Pig Cost'!AC16+'Learig Pig Cost'!AC16+'Lionhead Pig Cost'!AC16+'Lionhead Ext. Pig Cost'!AC16+'Richlands Pig Cost'!AC16</f>
        <v>0</v>
      </c>
      <c r="AD17" s="807">
        <f>+'Grasmere Pig Cost'!AD16+'Learig Pig Cost'!AD16+'Lionhead Pig Cost'!AD16+'Lionhead Ext. Pig Cost'!AD16+'Richlands Pig Cost'!AD16</f>
        <v>0</v>
      </c>
      <c r="AE17" s="807">
        <f>+'Grasmere Pig Cost'!AE16+'Learig Pig Cost'!AE16+'Lionhead Pig Cost'!AE16+'Lionhead Ext. Pig Cost'!AE16+'Richlands Pig Cost'!AE16</f>
        <v>0</v>
      </c>
      <c r="AF17" s="807">
        <f>+'Grasmere Pig Cost'!AF16+'Learig Pig Cost'!AF16+'Lionhead Pig Cost'!AF16+'Lionhead Ext. Pig Cost'!AF16+'Richlands Pig Cost'!AF16</f>
        <v>0</v>
      </c>
      <c r="AG17" s="807">
        <f>+'Grasmere Pig Cost'!AG16+'Learig Pig Cost'!AG16+'Lionhead Pig Cost'!AG16+'Lionhead Ext. Pig Cost'!AG16+'Richlands Pig Cost'!AG16</f>
        <v>0</v>
      </c>
      <c r="AH17" s="807">
        <f>+'Grasmere Pig Cost'!AH16+'Learig Pig Cost'!AH16+'Lionhead Pig Cost'!AH16+'Lionhead Ext. Pig Cost'!AH16+'Richlands Pig Cost'!AH16</f>
        <v>0</v>
      </c>
      <c r="AI17" s="807">
        <f>+'Grasmere Pig Cost'!AI16+'Learig Pig Cost'!AI16+'Lionhead Pig Cost'!AI16+'Lionhead Ext. Pig Cost'!AI16+'Richlands Pig Cost'!AI16</f>
        <v>0</v>
      </c>
      <c r="AJ17" s="807">
        <f>+'Grasmere Pig Cost'!AJ16+'Learig Pig Cost'!AJ16+'Lionhead Pig Cost'!AJ16+'Lionhead Ext. Pig Cost'!AJ16+'Richlands Pig Cost'!AJ16</f>
        <v>0</v>
      </c>
      <c r="AK17" s="807">
        <f>+'Grasmere Pig Cost'!AK16+'Learig Pig Cost'!AK16+'Lionhead Pig Cost'!AK16+'Lionhead Ext. Pig Cost'!AK16+'Richlands Pig Cost'!AK16</f>
        <v>0</v>
      </c>
      <c r="AL17" s="807">
        <f>+'Grasmere Pig Cost'!AL16+'Learig Pig Cost'!AL16+'Lionhead Pig Cost'!AL16+'Lionhead Ext. Pig Cost'!AL16+'Richlands Pig Cost'!AL16</f>
        <v>0</v>
      </c>
      <c r="AM17" s="807">
        <f>+'Grasmere Pig Cost'!AM16+'Learig Pig Cost'!AM16+'Lionhead Pig Cost'!AM16+'Lionhead Ext. Pig Cost'!AM16+'Richlands Pig Cost'!AM16</f>
        <v>0</v>
      </c>
      <c r="AN17" s="807">
        <f>+'Grasmere Pig Cost'!AN16+'Learig Pig Cost'!AN16+'Lionhead Pig Cost'!AN16+'Lionhead Ext. Pig Cost'!AN16+'Richlands Pig Cost'!AN16</f>
        <v>0</v>
      </c>
      <c r="AO17" s="807">
        <f>+'Grasmere Pig Cost'!AO16+'Learig Pig Cost'!AO16+'Lionhead Pig Cost'!AO16+'Lionhead Ext. Pig Cost'!AO16+'Richlands Pig Cost'!AO16</f>
        <v>0</v>
      </c>
      <c r="AP17" s="807">
        <f>+'Grasmere Pig Cost'!AP16+'Learig Pig Cost'!AP16+'Lionhead Pig Cost'!AP16+'Lionhead Ext. Pig Cost'!AP16+'Richlands Pig Cost'!AP16</f>
        <v>0</v>
      </c>
      <c r="AQ17" s="807">
        <f>+'Grasmere Pig Cost'!AQ16+'Learig Pig Cost'!AQ16+'Lionhead Pig Cost'!AQ16+'Lionhead Ext. Pig Cost'!AQ16+'Richlands Pig Cost'!AQ16</f>
        <v>0</v>
      </c>
      <c r="AR17" s="807">
        <f>+'Grasmere Pig Cost'!AR16+'Learig Pig Cost'!AR16+'Lionhead Pig Cost'!AR16+'Lionhead Ext. Pig Cost'!AR16+'Richlands Pig Cost'!AR16</f>
        <v>0</v>
      </c>
      <c r="AS17" s="807">
        <f>+'Grasmere Pig Cost'!AS16+'Learig Pig Cost'!AS16+'Lionhead Pig Cost'!AS16+'Lionhead Ext. Pig Cost'!AS16+'Richlands Pig Cost'!AS16</f>
        <v>0</v>
      </c>
      <c r="AT17" s="807">
        <f>+'Grasmere Pig Cost'!AT16+'Learig Pig Cost'!AT16+'Lionhead Pig Cost'!AT16+'Lionhead Ext. Pig Cost'!AT16+'Richlands Pig Cost'!AT16</f>
        <v>0</v>
      </c>
      <c r="AU17" s="1631">
        <f t="shared" si="9"/>
        <v>440</v>
      </c>
      <c r="AV17" s="1631">
        <f>+'Grasmere Pig Cost'!AU16+'Learig Pig Cost'!AU16+'Lionhead Pig Cost'!AU16+'Lionhead Ext. Pig Cost'!AU16+'Richlands Pig Cost'!AU16</f>
        <v>440</v>
      </c>
      <c r="AW17" s="818">
        <f t="shared" si="8"/>
        <v>0</v>
      </c>
      <c r="BB17" s="142">
        <f>205+351+197</f>
        <v>753</v>
      </c>
    </row>
    <row r="18" spans="1:54" ht="15.6">
      <c r="A18" s="142" t="s">
        <v>1797</v>
      </c>
      <c r="B18" s="807">
        <f>+'Grasmere Pig Cost'!B20+'Learig Pig Cost'!B20+'Lionhead Pig Cost'!B20+'Lionhead Ext. Pig Cost'!B20+'Villa Pig Cost'!B20+'Richlands Pig Cost'!B20</f>
        <v>0</v>
      </c>
      <c r="C18" s="807">
        <f>+'Grasmere Pig Cost'!C20+'Learig Pig Cost'!C20+'Lionhead Pig Cost'!C20+'Lionhead Ext. Pig Cost'!C20+'Villa Pig Cost'!C20+'Richlands Pig Cost'!C20</f>
        <v>0</v>
      </c>
      <c r="D18" s="807">
        <f>+'Grasmere Pig Cost'!D20+'Learig Pig Cost'!D20+'Lionhead Pig Cost'!D20+'Lionhead Ext. Pig Cost'!D20+'Villa Pig Cost'!D20+'Richlands Pig Cost'!D20</f>
        <v>0</v>
      </c>
      <c r="E18" s="807">
        <f>+'Grasmere Pig Cost'!E20+'Learig Pig Cost'!E20+'Lionhead Pig Cost'!E20+'Lionhead Ext. Pig Cost'!E20+'Villa Pig Cost'!E20+'Richlands Pig Cost'!E20</f>
        <v>0</v>
      </c>
      <c r="F18" s="807">
        <f>+'Grasmere Pig Cost'!F20+'Learig Pig Cost'!F20+'Lionhead Pig Cost'!F20+'Lionhead Ext. Pig Cost'!F20+'Villa Pig Cost'!F20+'Richlands Pig Cost'!F20</f>
        <v>0</v>
      </c>
      <c r="G18" s="807">
        <f>+'Grasmere Pig Cost'!G20+'Learig Pig Cost'!G20+'Lionhead Pig Cost'!G20+'Lionhead Ext. Pig Cost'!G20+'Villa Pig Cost'!G20+'Richlands Pig Cost'!G20</f>
        <v>0</v>
      </c>
      <c r="H18" s="807">
        <f>+'Grasmere Pig Cost'!H20+'Learig Pig Cost'!H20+'Lionhead Pig Cost'!H20+'Lionhead Ext. Pig Cost'!H20+'Villa Pig Cost'!H20+'Richlands Pig Cost'!H20</f>
        <v>0</v>
      </c>
      <c r="I18" s="807">
        <f>+'Grasmere Pig Cost'!I20+'Learig Pig Cost'!I20+'Lionhead Pig Cost'!I20+'Lionhead Ext. Pig Cost'!I20+'Villa Pig Cost'!I20+'Richlands Pig Cost'!I20</f>
        <v>0</v>
      </c>
      <c r="J18" s="807">
        <f>+'Grasmere Pig Cost'!J20+'Learig Pig Cost'!J20+'Lionhead Pig Cost'!J20+'Lionhead Ext. Pig Cost'!J20+'Villa Pig Cost'!J20+'Richlands Pig Cost'!J20</f>
        <v>0</v>
      </c>
      <c r="K18" s="807">
        <f>+'Grasmere Pig Cost'!K20+'Learig Pig Cost'!K20+'Lionhead Pig Cost'!K20+'Lionhead Ext. Pig Cost'!K20+'Villa Pig Cost'!K20+'Richlands Pig Cost'!K20</f>
        <v>0</v>
      </c>
      <c r="L18" s="807">
        <f>+'Grasmere Pig Cost'!L20+'Learig Pig Cost'!L20+'Lionhead Pig Cost'!L20+'Lionhead Ext. Pig Cost'!L20+'Villa Pig Cost'!L20+'Richlands Pig Cost'!L20</f>
        <v>0</v>
      </c>
      <c r="M18" s="807">
        <f>+'Grasmere Pig Cost'!M20+'Learig Pig Cost'!M20+'Lionhead Pig Cost'!M20+'Lionhead Ext. Pig Cost'!M20+'Villa Pig Cost'!M20+'Richlands Pig Cost'!M20</f>
        <v>0</v>
      </c>
      <c r="N18" s="807">
        <f>+'Grasmere Pig Cost'!N20+'Learig Pig Cost'!N20+'Lionhead Pig Cost'!N20+'Lionhead Ext. Pig Cost'!N20+'Villa Pig Cost'!N20+'Richlands Pig Cost'!N20</f>
        <v>0</v>
      </c>
      <c r="O18" s="807">
        <f>+'Grasmere Pig Cost'!O20+'Learig Pig Cost'!O20+'Lionhead Pig Cost'!O20+'Lionhead Ext. Pig Cost'!O20+'Villa Pig Cost'!O20+'Richlands Pig Cost'!O20</f>
        <v>0</v>
      </c>
      <c r="P18" s="807">
        <f>+'Grasmere Pig Cost'!P20+'Learig Pig Cost'!P20+'Lionhead Pig Cost'!P20+'Lionhead Ext. Pig Cost'!P20+'Villa Pig Cost'!P20+'Richlands Pig Cost'!P20</f>
        <v>0</v>
      </c>
      <c r="Q18" s="807">
        <f>+'Grasmere Pig Cost'!Q20+'Learig Pig Cost'!Q20+'Lionhead Pig Cost'!Q20+'Lionhead Ext. Pig Cost'!Q20+'Villa Pig Cost'!Q20+'Richlands Pig Cost'!Q20</f>
        <v>0</v>
      </c>
      <c r="R18" s="807">
        <f>+'Grasmere Pig Cost'!R20+'Learig Pig Cost'!R20+'Lionhead Pig Cost'!R20+'Lionhead Ext. Pig Cost'!R20+'Villa Pig Cost'!R20+'Richlands Pig Cost'!R20</f>
        <v>0</v>
      </c>
      <c r="S18" s="807">
        <f>+'Grasmere Pig Cost'!S20+'Learig Pig Cost'!S20+'Lionhead Pig Cost'!S20+'Lionhead Ext. Pig Cost'!S20+'Villa Pig Cost'!S20+'Richlands Pig Cost'!S20</f>
        <v>0</v>
      </c>
      <c r="T18" s="807">
        <f>+'Grasmere Pig Cost'!T20+'Learig Pig Cost'!T20+'Lionhead Pig Cost'!T20+'Lionhead Ext. Pig Cost'!T20+'Villa Pig Cost'!T20+'Richlands Pig Cost'!T20</f>
        <v>0</v>
      </c>
      <c r="U18" s="807">
        <f>+'Grasmere Pig Cost'!U20+'Learig Pig Cost'!U20+'Lionhead Pig Cost'!U20+'Lionhead Ext. Pig Cost'!U20+'Villa Pig Cost'!U20+'Richlands Pig Cost'!U20</f>
        <v>0</v>
      </c>
      <c r="V18" s="807">
        <f>+'Grasmere Pig Cost'!V20+'Learig Pig Cost'!V20+'Lionhead Pig Cost'!V20+'Lionhead Ext. Pig Cost'!V20+'Villa Pig Cost'!V20+'Richlands Pig Cost'!V20</f>
        <v>0</v>
      </c>
      <c r="W18" s="807">
        <f>+'Grasmere Pig Cost'!W20+'Learig Pig Cost'!W20+'Lionhead Pig Cost'!W20+'Lionhead Ext. Pig Cost'!W20+'Villa Pig Cost'!W20+'Richlands Pig Cost'!W20</f>
        <v>0</v>
      </c>
      <c r="X18" s="807">
        <f>+'Grasmere Pig Cost'!X20+'Learig Pig Cost'!X20+'Lionhead Pig Cost'!X20+'Lionhead Ext. Pig Cost'!X20+'Villa Pig Cost'!X20+'Richlands Pig Cost'!X20</f>
        <v>0</v>
      </c>
      <c r="Y18" s="807">
        <f>+'Grasmere Pig Cost'!Y20+'Learig Pig Cost'!Y20+'Lionhead Pig Cost'!Y20+'Lionhead Ext. Pig Cost'!Y20+'Villa Pig Cost'!Y20+'Richlands Pig Cost'!Y20</f>
        <v>0</v>
      </c>
      <c r="Z18" s="807">
        <f>+'Grasmere Pig Cost'!Z20+'Learig Pig Cost'!Z20+'Lionhead Pig Cost'!Z20+'Lionhead Ext. Pig Cost'!Z20+'Villa Pig Cost'!Z20+'Richlands Pig Cost'!Z20</f>
        <v>0</v>
      </c>
      <c r="AA18" s="807">
        <f>+'Grasmere Pig Cost'!AA20+'Learig Pig Cost'!AA20+'Lionhead Pig Cost'!AA20+'Lionhead Ext. Pig Cost'!AA20+'Villa Pig Cost'!AA20+'Richlands Pig Cost'!AA20</f>
        <v>0</v>
      </c>
      <c r="AB18" s="807">
        <f>+'Grasmere Pig Cost'!AB20+'Learig Pig Cost'!AB20+'Lionhead Pig Cost'!AB20+'Lionhead Ext. Pig Cost'!AB20+'Villa Pig Cost'!AB20+'Richlands Pig Cost'!AB20</f>
        <v>0</v>
      </c>
      <c r="AC18" s="807">
        <f>+'Grasmere Pig Cost'!AC20+'Learig Pig Cost'!AC20+'Lionhead Pig Cost'!AC20+'Lionhead Ext. Pig Cost'!AC20+'Villa Pig Cost'!AC20+'Richlands Pig Cost'!AC20</f>
        <v>0</v>
      </c>
      <c r="AD18" s="807">
        <f>+'Grasmere Pig Cost'!AD20+'Learig Pig Cost'!AD20+'Lionhead Pig Cost'!AD20+'Lionhead Ext. Pig Cost'!AD20+'Villa Pig Cost'!AD20+'Richlands Pig Cost'!AD20</f>
        <v>0</v>
      </c>
      <c r="AE18" s="807">
        <f>+'Grasmere Pig Cost'!AE20+'Learig Pig Cost'!AE20+'Lionhead Pig Cost'!AE20+'Lionhead Ext. Pig Cost'!AE20+'Villa Pig Cost'!AE20+'Richlands Pig Cost'!AE20</f>
        <v>0</v>
      </c>
      <c r="AF18" s="807">
        <f>+'Grasmere Pig Cost'!AF20+'Learig Pig Cost'!AF20+'Lionhead Pig Cost'!AF20+'Lionhead Ext. Pig Cost'!AF20+'Villa Pig Cost'!AF20+'Richlands Pig Cost'!AF20</f>
        <v>0</v>
      </c>
      <c r="AG18" s="807">
        <f>+'Grasmere Pig Cost'!AG20+'Learig Pig Cost'!AG20+'Lionhead Pig Cost'!AG20+'Lionhead Ext. Pig Cost'!AG20+'Villa Pig Cost'!AG20+'Richlands Pig Cost'!AG20</f>
        <v>0</v>
      </c>
      <c r="AH18" s="807">
        <f>+'Grasmere Pig Cost'!AH20+'Learig Pig Cost'!AH20+'Lionhead Pig Cost'!AH20+'Lionhead Ext. Pig Cost'!AH20+'Villa Pig Cost'!AH20+'Richlands Pig Cost'!AH20</f>
        <v>0</v>
      </c>
      <c r="AI18" s="807">
        <f>+'Grasmere Pig Cost'!AI20+'Learig Pig Cost'!AI20+'Lionhead Pig Cost'!AI20+'Lionhead Ext. Pig Cost'!AI20+'Villa Pig Cost'!AI20+'Richlands Pig Cost'!AI20</f>
        <v>0</v>
      </c>
      <c r="AJ18" s="807">
        <f>+'Grasmere Pig Cost'!AJ20+'Learig Pig Cost'!AJ20+'Lionhead Pig Cost'!AJ20+'Lionhead Ext. Pig Cost'!AJ20+'Villa Pig Cost'!AJ20+'Richlands Pig Cost'!AJ20</f>
        <v>0</v>
      </c>
      <c r="AK18" s="807">
        <f>+'Grasmere Pig Cost'!AK20+'Learig Pig Cost'!AK20+'Lionhead Pig Cost'!AK20+'Lionhead Ext. Pig Cost'!AK20+'Villa Pig Cost'!AK20+'Richlands Pig Cost'!AK20</f>
        <v>0</v>
      </c>
      <c r="AL18" s="807">
        <f>+'Grasmere Pig Cost'!AL20+'Learig Pig Cost'!AL20+'Lionhead Pig Cost'!AL20+'Lionhead Ext. Pig Cost'!AL20+'Villa Pig Cost'!AL20+'Richlands Pig Cost'!AL20</f>
        <v>0</v>
      </c>
      <c r="AM18" s="807">
        <f>+'Grasmere Pig Cost'!AM20+'Learig Pig Cost'!AM20+'Lionhead Pig Cost'!AM20+'Lionhead Ext. Pig Cost'!AM20+'Villa Pig Cost'!AM20+'Richlands Pig Cost'!AM20</f>
        <v>0</v>
      </c>
      <c r="AN18" s="807">
        <f>+'Grasmere Pig Cost'!AN20+'Learig Pig Cost'!AN20+'Lionhead Pig Cost'!AN20+'Lionhead Ext. Pig Cost'!AN20+'Villa Pig Cost'!AN20+'Richlands Pig Cost'!AN20</f>
        <v>0</v>
      </c>
      <c r="AO18" s="807">
        <f>+'Grasmere Pig Cost'!AO20+'Learig Pig Cost'!AO20+'Lionhead Pig Cost'!AO20+'Lionhead Ext. Pig Cost'!AO20+'Villa Pig Cost'!AO20+'Richlands Pig Cost'!AO20</f>
        <v>0</v>
      </c>
      <c r="AP18" s="807">
        <f>+'Grasmere Pig Cost'!AP20+'Learig Pig Cost'!AP20+'Lionhead Pig Cost'!AP20+'Lionhead Ext. Pig Cost'!AP20+'Villa Pig Cost'!AP20+'Richlands Pig Cost'!AP20</f>
        <v>-2</v>
      </c>
      <c r="AQ18" s="807">
        <f>+'Grasmere Pig Cost'!AQ20+'Learig Pig Cost'!AQ20+'Lionhead Pig Cost'!AQ20+'Lionhead Ext. Pig Cost'!AQ20+'Villa Pig Cost'!AQ20+'Richlands Pig Cost'!AQ20</f>
        <v>0</v>
      </c>
      <c r="AR18" s="807">
        <f>+'Grasmere Pig Cost'!AR20+'Learig Pig Cost'!AR20+'Lionhead Pig Cost'!AR20+'Lionhead Ext. Pig Cost'!AR20+'Villa Pig Cost'!AR20+'Richlands Pig Cost'!AR20</f>
        <v>-2</v>
      </c>
      <c r="AS18" s="807">
        <f>+'Grasmere Pig Cost'!AS20+'Learig Pig Cost'!AS20+'Lionhead Pig Cost'!AS20+'Lionhead Ext. Pig Cost'!AS20+'Villa Pig Cost'!AS20+'Richlands Pig Cost'!AS20</f>
        <v>0</v>
      </c>
      <c r="AT18" s="807">
        <f>+'Grasmere Pig Cost'!AT20+'Learig Pig Cost'!AT20+'Lionhead Pig Cost'!AT20+'Lionhead Ext. Pig Cost'!AT20+'Villa Pig Cost'!AT20+'Richlands Pig Cost'!AT20</f>
        <v>0</v>
      </c>
      <c r="AU18" s="1632">
        <f>SUM(B18:AT18)</f>
        <v>-4</v>
      </c>
      <c r="AV18" s="1632">
        <f>+'Grasmere Pig Cost'!AU20+'Learig Pig Cost'!AU20+'Lionhead Pig Cost'!AU20+'Lionhead Ext. Pig Cost'!AU20+'Villa Pig Cost'!AU20+'Richlands Pig Cost'!AU20</f>
        <v>-4</v>
      </c>
      <c r="AW18" s="818">
        <f t="shared" si="8"/>
        <v>0</v>
      </c>
    </row>
    <row r="19" spans="1:54" ht="15.6">
      <c r="A19" s="142" t="s">
        <v>1798</v>
      </c>
      <c r="B19" s="807">
        <f>+'Grasmere Pig Cost'!B21+'Learig Pig Cost'!B21+'Lionhead Pig Cost'!B21+'Lionhead Ext. Pig Cost'!B21+'Villa Pig Cost'!B21+'Richlands Pig Cost'!B21</f>
        <v>0</v>
      </c>
      <c r="C19" s="807">
        <f>+'Grasmere Pig Cost'!C21+'Learig Pig Cost'!C21+'Lionhead Pig Cost'!C21+'Lionhead Ext. Pig Cost'!C21+'Villa Pig Cost'!C21+'Richlands Pig Cost'!C21</f>
        <v>0</v>
      </c>
      <c r="D19" s="807">
        <f>+'Grasmere Pig Cost'!D21+'Learig Pig Cost'!D21+'Lionhead Pig Cost'!D21+'Lionhead Ext. Pig Cost'!D21+'Villa Pig Cost'!D21+'Richlands Pig Cost'!D21</f>
        <v>0</v>
      </c>
      <c r="E19" s="807">
        <f>+'Grasmere Pig Cost'!E21+'Learig Pig Cost'!E21+'Lionhead Pig Cost'!E21+'Lionhead Ext. Pig Cost'!E21+'Villa Pig Cost'!E21+'Richlands Pig Cost'!E21</f>
        <v>0</v>
      </c>
      <c r="F19" s="807">
        <f>+'Grasmere Pig Cost'!F21+'Learig Pig Cost'!F21+'Lionhead Pig Cost'!F21+'Lionhead Ext. Pig Cost'!F21+'Villa Pig Cost'!F21+'Richlands Pig Cost'!F21</f>
        <v>0</v>
      </c>
      <c r="G19" s="807">
        <f>+'Grasmere Pig Cost'!G21+'Learig Pig Cost'!G21+'Lionhead Pig Cost'!G21+'Lionhead Ext. Pig Cost'!G21+'Villa Pig Cost'!G21+'Richlands Pig Cost'!G21</f>
        <v>0</v>
      </c>
      <c r="H19" s="807">
        <f>+'Grasmere Pig Cost'!H21+'Learig Pig Cost'!H21+'Lionhead Pig Cost'!H21+'Lionhead Ext. Pig Cost'!H21+'Villa Pig Cost'!H21+'Richlands Pig Cost'!H21</f>
        <v>0</v>
      </c>
      <c r="I19" s="807">
        <f>+'Grasmere Pig Cost'!I21+'Learig Pig Cost'!I21+'Lionhead Pig Cost'!I21+'Lionhead Ext. Pig Cost'!I21+'Villa Pig Cost'!I21+'Richlands Pig Cost'!I21</f>
        <v>0</v>
      </c>
      <c r="J19" s="807">
        <f>+'Grasmere Pig Cost'!J21+'Learig Pig Cost'!J21+'Lionhead Pig Cost'!J21+'Lionhead Ext. Pig Cost'!J21+'Villa Pig Cost'!J21+'Richlands Pig Cost'!J21</f>
        <v>0</v>
      </c>
      <c r="K19" s="807">
        <f>+'Grasmere Pig Cost'!K21+'Learig Pig Cost'!K21+'Lionhead Pig Cost'!K21+'Lionhead Ext. Pig Cost'!K21+'Villa Pig Cost'!K21+'Richlands Pig Cost'!K21</f>
        <v>0</v>
      </c>
      <c r="L19" s="807">
        <f>+'Grasmere Pig Cost'!L21+'Learig Pig Cost'!L21+'Lionhead Pig Cost'!L21+'Lionhead Ext. Pig Cost'!L21+'Villa Pig Cost'!L21+'Richlands Pig Cost'!L21</f>
        <v>0</v>
      </c>
      <c r="M19" s="807">
        <f>+'Grasmere Pig Cost'!M21+'Learig Pig Cost'!M21+'Lionhead Pig Cost'!M21+'Lionhead Ext. Pig Cost'!M21+'Villa Pig Cost'!M21+'Richlands Pig Cost'!M21</f>
        <v>0</v>
      </c>
      <c r="N19" s="807">
        <f>+'Grasmere Pig Cost'!N21+'Learig Pig Cost'!N21+'Lionhead Pig Cost'!N21+'Lionhead Ext. Pig Cost'!N21+'Villa Pig Cost'!N21+'Richlands Pig Cost'!N21</f>
        <v>0</v>
      </c>
      <c r="O19" s="807">
        <f>+'Grasmere Pig Cost'!O21+'Learig Pig Cost'!O21+'Lionhead Pig Cost'!O21+'Lionhead Ext. Pig Cost'!O21+'Villa Pig Cost'!O21+'Richlands Pig Cost'!O21</f>
        <v>0</v>
      </c>
      <c r="P19" s="807">
        <f>+'Grasmere Pig Cost'!P21+'Learig Pig Cost'!P21+'Lionhead Pig Cost'!P21+'Lionhead Ext. Pig Cost'!P21+'Villa Pig Cost'!P21+'Richlands Pig Cost'!P21</f>
        <v>0</v>
      </c>
      <c r="Q19" s="807">
        <f>+'Grasmere Pig Cost'!Q21+'Learig Pig Cost'!Q21+'Lionhead Pig Cost'!Q21+'Lionhead Ext. Pig Cost'!Q21+'Villa Pig Cost'!Q21+'Richlands Pig Cost'!Q21</f>
        <v>0</v>
      </c>
      <c r="R19" s="807">
        <f>+'Grasmere Pig Cost'!R21+'Learig Pig Cost'!R21+'Lionhead Pig Cost'!R21+'Lionhead Ext. Pig Cost'!R21+'Villa Pig Cost'!R21+'Richlands Pig Cost'!R21</f>
        <v>0</v>
      </c>
      <c r="S19" s="807">
        <f>+'Grasmere Pig Cost'!S21+'Learig Pig Cost'!S21+'Lionhead Pig Cost'!S21+'Lionhead Ext. Pig Cost'!S21+'Villa Pig Cost'!S21+'Richlands Pig Cost'!S21</f>
        <v>0</v>
      </c>
      <c r="T19" s="807">
        <f>+'Grasmere Pig Cost'!T21+'Learig Pig Cost'!T21+'Lionhead Pig Cost'!T21+'Lionhead Ext. Pig Cost'!T21+'Villa Pig Cost'!T21+'Richlands Pig Cost'!T21</f>
        <v>0</v>
      </c>
      <c r="U19" s="807">
        <f>+'Grasmere Pig Cost'!U21+'Learig Pig Cost'!U21+'Lionhead Pig Cost'!U21+'Lionhead Ext. Pig Cost'!U21+'Villa Pig Cost'!U21+'Richlands Pig Cost'!U21</f>
        <v>0</v>
      </c>
      <c r="V19" s="807">
        <f>+'Grasmere Pig Cost'!V21+'Learig Pig Cost'!V21+'Lionhead Pig Cost'!V21+'Lionhead Ext. Pig Cost'!V21+'Villa Pig Cost'!V21+'Richlands Pig Cost'!V21</f>
        <v>0</v>
      </c>
      <c r="W19" s="807">
        <f>+'Grasmere Pig Cost'!W21+'Learig Pig Cost'!W21+'Lionhead Pig Cost'!W21+'Lionhead Ext. Pig Cost'!W21+'Villa Pig Cost'!W21+'Richlands Pig Cost'!W21</f>
        <v>12</v>
      </c>
      <c r="X19" s="807">
        <f>+'Grasmere Pig Cost'!X21+'Learig Pig Cost'!X21+'Lionhead Pig Cost'!X21+'Lionhead Ext. Pig Cost'!X21+'Villa Pig Cost'!X21+'Richlands Pig Cost'!X21</f>
        <v>9</v>
      </c>
      <c r="Y19" s="807">
        <f>+'Grasmere Pig Cost'!Y21+'Learig Pig Cost'!Y21+'Lionhead Pig Cost'!Y21+'Lionhead Ext. Pig Cost'!Y21+'Villa Pig Cost'!Y21+'Richlands Pig Cost'!Y21</f>
        <v>10</v>
      </c>
      <c r="Z19" s="807">
        <f>+'Grasmere Pig Cost'!Z21+'Learig Pig Cost'!Z21+'Lionhead Pig Cost'!Z21+'Lionhead Ext. Pig Cost'!Z21+'Villa Pig Cost'!Z21+'Richlands Pig Cost'!Z21</f>
        <v>14</v>
      </c>
      <c r="AA19" s="807">
        <f>+'Grasmere Pig Cost'!AA21+'Learig Pig Cost'!AA21+'Lionhead Pig Cost'!AA21+'Lionhead Ext. Pig Cost'!AA21+'Villa Pig Cost'!AA21+'Richlands Pig Cost'!AA21</f>
        <v>0</v>
      </c>
      <c r="AB19" s="807">
        <f>+'Grasmere Pig Cost'!AB21+'Learig Pig Cost'!AB21+'Lionhead Pig Cost'!AB21+'Lionhead Ext. Pig Cost'!AB21+'Villa Pig Cost'!AB21+'Richlands Pig Cost'!AB21</f>
        <v>0</v>
      </c>
      <c r="AC19" s="807">
        <f>+'Grasmere Pig Cost'!AC21+'Learig Pig Cost'!AC21+'Lionhead Pig Cost'!AC21+'Lionhead Ext. Pig Cost'!AC21+'Villa Pig Cost'!AC21+'Richlands Pig Cost'!AC21</f>
        <v>0</v>
      </c>
      <c r="AD19" s="807">
        <f>+'Grasmere Pig Cost'!AD21+'Learig Pig Cost'!AD21+'Lionhead Pig Cost'!AD21+'Lionhead Ext. Pig Cost'!AD21+'Villa Pig Cost'!AD21+'Richlands Pig Cost'!AD21</f>
        <v>0</v>
      </c>
      <c r="AE19" s="807">
        <f>+'Grasmere Pig Cost'!AE21+'Learig Pig Cost'!AE21+'Lionhead Pig Cost'!AE21+'Lionhead Ext. Pig Cost'!AE21+'Villa Pig Cost'!AE21+'Richlands Pig Cost'!AE21</f>
        <v>0</v>
      </c>
      <c r="AF19" s="807">
        <f>+'Grasmere Pig Cost'!AF21+'Learig Pig Cost'!AF21+'Lionhead Pig Cost'!AF21+'Lionhead Ext. Pig Cost'!AF21+'Villa Pig Cost'!AF21+'Richlands Pig Cost'!AF21</f>
        <v>0</v>
      </c>
      <c r="AG19" s="807">
        <f>+'Grasmere Pig Cost'!AG21+'Learig Pig Cost'!AG21+'Lionhead Pig Cost'!AG21+'Lionhead Ext. Pig Cost'!AG21+'Villa Pig Cost'!AG21+'Richlands Pig Cost'!AG21</f>
        <v>0</v>
      </c>
      <c r="AH19" s="807">
        <f>+'Grasmere Pig Cost'!AH21+'Learig Pig Cost'!AH21+'Lionhead Pig Cost'!AH21+'Lionhead Ext. Pig Cost'!AH21+'Villa Pig Cost'!AH21+'Richlands Pig Cost'!AH21</f>
        <v>0</v>
      </c>
      <c r="AI19" s="807">
        <f>+'Grasmere Pig Cost'!AI21+'Learig Pig Cost'!AI21+'Lionhead Pig Cost'!AI21+'Lionhead Ext. Pig Cost'!AI21+'Villa Pig Cost'!AI21+'Richlands Pig Cost'!AI21</f>
        <v>0</v>
      </c>
      <c r="AJ19" s="807">
        <f>+'Grasmere Pig Cost'!AJ21+'Learig Pig Cost'!AJ21+'Lionhead Pig Cost'!AJ21+'Lionhead Ext. Pig Cost'!AJ21+'Villa Pig Cost'!AJ21+'Richlands Pig Cost'!AJ21</f>
        <v>0</v>
      </c>
      <c r="AK19" s="807">
        <f>+'Grasmere Pig Cost'!AK21+'Learig Pig Cost'!AK21+'Lionhead Pig Cost'!AK21+'Lionhead Ext. Pig Cost'!AK21+'Villa Pig Cost'!AK21+'Richlands Pig Cost'!AK21</f>
        <v>0</v>
      </c>
      <c r="AL19" s="807">
        <f>+'Grasmere Pig Cost'!AL21+'Learig Pig Cost'!AL21+'Lionhead Pig Cost'!AL21+'Lionhead Ext. Pig Cost'!AL21+'Villa Pig Cost'!AL21+'Richlands Pig Cost'!AL21</f>
        <v>0</v>
      </c>
      <c r="AM19" s="807">
        <f>+'Grasmere Pig Cost'!AM21+'Learig Pig Cost'!AM21+'Lionhead Pig Cost'!AM21+'Lionhead Ext. Pig Cost'!AM21+'Villa Pig Cost'!AM21+'Richlands Pig Cost'!AM21</f>
        <v>0</v>
      </c>
      <c r="AN19" s="807">
        <f>+'Grasmere Pig Cost'!AN21+'Learig Pig Cost'!AN21+'Lionhead Pig Cost'!AN21+'Lionhead Ext. Pig Cost'!AN21+'Villa Pig Cost'!AN21+'Richlands Pig Cost'!AN21</f>
        <v>0</v>
      </c>
      <c r="AO19" s="807">
        <f>+'Grasmere Pig Cost'!AO21+'Learig Pig Cost'!AO21+'Lionhead Pig Cost'!AO21+'Lionhead Ext. Pig Cost'!AO21+'Villa Pig Cost'!AO21+'Richlands Pig Cost'!AO21</f>
        <v>0</v>
      </c>
      <c r="AP19" s="807">
        <f>+'Grasmere Pig Cost'!AP21+'Learig Pig Cost'!AP21+'Lionhead Pig Cost'!AP21+'Lionhead Ext. Pig Cost'!AP21+'Villa Pig Cost'!AP21+'Richlands Pig Cost'!AP21</f>
        <v>0</v>
      </c>
      <c r="AQ19" s="807">
        <f>+'Grasmere Pig Cost'!AQ21+'Learig Pig Cost'!AQ21+'Lionhead Pig Cost'!AQ21+'Lionhead Ext. Pig Cost'!AQ21+'Villa Pig Cost'!AQ21+'Richlands Pig Cost'!AQ21</f>
        <v>0</v>
      </c>
      <c r="AR19" s="807">
        <f>+'Grasmere Pig Cost'!AR21+'Learig Pig Cost'!AR21+'Lionhead Pig Cost'!AR21+'Lionhead Ext. Pig Cost'!AR21+'Villa Pig Cost'!AR21+'Richlands Pig Cost'!AR21</f>
        <v>0</v>
      </c>
      <c r="AS19" s="807">
        <f>+'Grasmere Pig Cost'!AS21+'Learig Pig Cost'!AS21+'Lionhead Pig Cost'!AS21+'Lionhead Ext. Pig Cost'!AS21+'Villa Pig Cost'!AS21+'Richlands Pig Cost'!AS21</f>
        <v>0</v>
      </c>
      <c r="AT19" s="807">
        <f>+'Grasmere Pig Cost'!AT21+'Learig Pig Cost'!AT21+'Lionhead Pig Cost'!AT21+'Lionhead Ext. Pig Cost'!AT21+'Villa Pig Cost'!AT21+'Richlands Pig Cost'!AT21</f>
        <v>0</v>
      </c>
      <c r="AU19" s="1632">
        <f t="shared" ref="AU19:AU20" si="10">SUM(B19:AT19)</f>
        <v>45</v>
      </c>
      <c r="AV19" s="1632">
        <f>+'Grasmere Pig Cost'!AU21+'Learig Pig Cost'!AU21+'Lionhead Pig Cost'!AU21+'Lionhead Ext. Pig Cost'!AU21+'Villa Pig Cost'!AU21+'Richlands Pig Cost'!AU21</f>
        <v>45</v>
      </c>
      <c r="AW19" s="818">
        <f t="shared" si="8"/>
        <v>0</v>
      </c>
      <c r="AX19" s="818"/>
    </row>
    <row r="20" spans="1:54" ht="15.6">
      <c r="A20" s="142" t="s">
        <v>1799</v>
      </c>
      <c r="B20" s="807">
        <f>+'Grasmere Pig Cost'!B22+'Learig Pig Cost'!B22+'Lionhead Pig Cost'!B22+'Lionhead Ext. Pig Cost'!B22+'Villa Pig Cost'!B22+'Richlands Pig Cost'!B22</f>
        <v>0</v>
      </c>
      <c r="C20" s="807">
        <f>+'Grasmere Pig Cost'!C22+'Learig Pig Cost'!C22+'Lionhead Pig Cost'!C22+'Lionhead Ext. Pig Cost'!C22+'Villa Pig Cost'!C22+'Richlands Pig Cost'!C22</f>
        <v>0</v>
      </c>
      <c r="D20" s="807">
        <f>+'Grasmere Pig Cost'!D22+'Learig Pig Cost'!D22+'Lionhead Pig Cost'!D22+'Lionhead Ext. Pig Cost'!D22+'Villa Pig Cost'!D22+'Richlands Pig Cost'!D22</f>
        <v>0</v>
      </c>
      <c r="E20" s="807">
        <f>+'Grasmere Pig Cost'!E22+'Learig Pig Cost'!E22+'Lionhead Pig Cost'!E22+'Lionhead Ext. Pig Cost'!E22+'Villa Pig Cost'!E22+'Richlands Pig Cost'!E22</f>
        <v>0</v>
      </c>
      <c r="F20" s="807">
        <f>+'Grasmere Pig Cost'!F22+'Learig Pig Cost'!F22+'Lionhead Pig Cost'!F22+'Lionhead Ext. Pig Cost'!F22+'Villa Pig Cost'!F22+'Richlands Pig Cost'!F22</f>
        <v>0</v>
      </c>
      <c r="G20" s="807">
        <f>+'Grasmere Pig Cost'!G22+'Learig Pig Cost'!G22+'Lionhead Pig Cost'!G22+'Lionhead Ext. Pig Cost'!G22+'Villa Pig Cost'!G22+'Richlands Pig Cost'!G22</f>
        <v>0</v>
      </c>
      <c r="H20" s="807">
        <f>+'Grasmere Pig Cost'!H22+'Learig Pig Cost'!H22+'Lionhead Pig Cost'!H22+'Lionhead Ext. Pig Cost'!H22+'Villa Pig Cost'!H22+'Richlands Pig Cost'!H22</f>
        <v>0</v>
      </c>
      <c r="I20" s="807">
        <f>+'Grasmere Pig Cost'!I22+'Learig Pig Cost'!I22+'Lionhead Pig Cost'!I22+'Lionhead Ext. Pig Cost'!I22+'Villa Pig Cost'!I22+'Richlands Pig Cost'!I22</f>
        <v>0</v>
      </c>
      <c r="J20" s="807">
        <f>+'Grasmere Pig Cost'!J22+'Learig Pig Cost'!J22+'Lionhead Pig Cost'!J22+'Lionhead Ext. Pig Cost'!J22+'Villa Pig Cost'!J22+'Richlands Pig Cost'!J22</f>
        <v>0</v>
      </c>
      <c r="K20" s="807">
        <f>+'Grasmere Pig Cost'!K22+'Learig Pig Cost'!K22+'Lionhead Pig Cost'!K22+'Lionhead Ext. Pig Cost'!K22+'Villa Pig Cost'!K22+'Richlands Pig Cost'!K22</f>
        <v>0</v>
      </c>
      <c r="L20" s="807">
        <f>+'Grasmere Pig Cost'!L22+'Learig Pig Cost'!L22+'Lionhead Pig Cost'!L22+'Lionhead Ext. Pig Cost'!L22+'Villa Pig Cost'!L22+'Richlands Pig Cost'!L22</f>
        <v>0</v>
      </c>
      <c r="M20" s="807">
        <f>+'Grasmere Pig Cost'!M22+'Learig Pig Cost'!M22+'Lionhead Pig Cost'!M22+'Lionhead Ext. Pig Cost'!M22+'Villa Pig Cost'!M22+'Richlands Pig Cost'!M22</f>
        <v>0</v>
      </c>
      <c r="N20" s="807">
        <f>+'Grasmere Pig Cost'!N22+'Learig Pig Cost'!N22+'Lionhead Pig Cost'!N22+'Lionhead Ext. Pig Cost'!N22+'Villa Pig Cost'!N22+'Richlands Pig Cost'!N22</f>
        <v>0</v>
      </c>
      <c r="O20" s="807">
        <f>+'Grasmere Pig Cost'!O22+'Learig Pig Cost'!O22+'Lionhead Pig Cost'!O22+'Lionhead Ext. Pig Cost'!O22+'Villa Pig Cost'!O22+'Richlands Pig Cost'!O22</f>
        <v>0</v>
      </c>
      <c r="P20" s="807">
        <f>+'Grasmere Pig Cost'!P22+'Learig Pig Cost'!P22+'Lionhead Pig Cost'!P22+'Lionhead Ext. Pig Cost'!P22+'Villa Pig Cost'!P22+'Richlands Pig Cost'!P22</f>
        <v>0</v>
      </c>
      <c r="Q20" s="807">
        <f>+'Grasmere Pig Cost'!Q22+'Learig Pig Cost'!Q22+'Lionhead Pig Cost'!Q22+'Lionhead Ext. Pig Cost'!Q22+'Villa Pig Cost'!Q22+'Richlands Pig Cost'!Q22</f>
        <v>0</v>
      </c>
      <c r="R20" s="807">
        <f>+'Grasmere Pig Cost'!R22+'Learig Pig Cost'!R22+'Lionhead Pig Cost'!R22+'Lionhead Ext. Pig Cost'!R22+'Villa Pig Cost'!R22+'Richlands Pig Cost'!R22</f>
        <v>0</v>
      </c>
      <c r="S20" s="807">
        <f>+'Grasmere Pig Cost'!S22+'Learig Pig Cost'!S22+'Lionhead Pig Cost'!S22+'Lionhead Ext. Pig Cost'!S22+'Villa Pig Cost'!S22+'Richlands Pig Cost'!S22</f>
        <v>0</v>
      </c>
      <c r="T20" s="807">
        <f>+'Grasmere Pig Cost'!T22+'Learig Pig Cost'!T22+'Lionhead Pig Cost'!T22+'Lionhead Ext. Pig Cost'!T22+'Villa Pig Cost'!T22+'Richlands Pig Cost'!T22</f>
        <v>0</v>
      </c>
      <c r="U20" s="807">
        <f>+'Grasmere Pig Cost'!U22+'Learig Pig Cost'!U22+'Lionhead Pig Cost'!U22+'Lionhead Ext. Pig Cost'!U22+'Villa Pig Cost'!U22+'Richlands Pig Cost'!U22</f>
        <v>0</v>
      </c>
      <c r="V20" s="807">
        <f>+'Grasmere Pig Cost'!V22+'Learig Pig Cost'!V22+'Lionhead Pig Cost'!V22+'Lionhead Ext. Pig Cost'!V22+'Villa Pig Cost'!V22+'Richlands Pig Cost'!V22</f>
        <v>0</v>
      </c>
      <c r="W20" s="807">
        <f>+'Grasmere Pig Cost'!W22+'Learig Pig Cost'!W22+'Lionhead Pig Cost'!W22+'Lionhead Ext. Pig Cost'!W22+'Villa Pig Cost'!W22+'Richlands Pig Cost'!W22</f>
        <v>0</v>
      </c>
      <c r="X20" s="807">
        <f>+'Grasmere Pig Cost'!X22+'Learig Pig Cost'!X22+'Lionhead Pig Cost'!X22+'Lionhead Ext. Pig Cost'!X22+'Villa Pig Cost'!X22+'Richlands Pig Cost'!X22</f>
        <v>0</v>
      </c>
      <c r="Y20" s="807">
        <f>+'Grasmere Pig Cost'!Y22+'Learig Pig Cost'!Y22+'Lionhead Pig Cost'!Y22+'Lionhead Ext. Pig Cost'!Y22+'Villa Pig Cost'!Y22+'Richlands Pig Cost'!Y22</f>
        <v>0</v>
      </c>
      <c r="Z20" s="807">
        <f>+'Grasmere Pig Cost'!Z22+'Learig Pig Cost'!Z22+'Lionhead Pig Cost'!Z22+'Lionhead Ext. Pig Cost'!Z22+'Villa Pig Cost'!Z22+'Richlands Pig Cost'!Z22</f>
        <v>0</v>
      </c>
      <c r="AA20" s="807">
        <f>+'Grasmere Pig Cost'!AA22+'Learig Pig Cost'!AA22+'Lionhead Pig Cost'!AA22+'Lionhead Ext. Pig Cost'!AA22+'Villa Pig Cost'!AA22+'Richlands Pig Cost'!AA22</f>
        <v>-2</v>
      </c>
      <c r="AB20" s="807">
        <f>+'Grasmere Pig Cost'!AB22+'Learig Pig Cost'!AB22+'Lionhead Pig Cost'!AB22+'Lionhead Ext. Pig Cost'!AB22+'Villa Pig Cost'!AB22+'Richlands Pig Cost'!AB22</f>
        <v>-1</v>
      </c>
      <c r="AC20" s="807">
        <f>+'Grasmere Pig Cost'!AC22+'Learig Pig Cost'!AC22+'Lionhead Pig Cost'!AC22+'Lionhead Ext. Pig Cost'!AC22+'Villa Pig Cost'!AC22+'Richlands Pig Cost'!AC22</f>
        <v>2</v>
      </c>
      <c r="AD20" s="807">
        <f>+'Grasmere Pig Cost'!AD22+'Learig Pig Cost'!AD22+'Lionhead Pig Cost'!AD22+'Lionhead Ext. Pig Cost'!AD22+'Villa Pig Cost'!AD22+'Richlands Pig Cost'!AD22</f>
        <v>-1</v>
      </c>
      <c r="AE20" s="807">
        <f>+'Grasmere Pig Cost'!AE22+'Learig Pig Cost'!AE22+'Lionhead Pig Cost'!AE22+'Lionhead Ext. Pig Cost'!AE22+'Villa Pig Cost'!AE22+'Richlands Pig Cost'!AE22</f>
        <v>-4</v>
      </c>
      <c r="AF20" s="807">
        <f>+'Grasmere Pig Cost'!AF22+'Learig Pig Cost'!AF22+'Lionhead Pig Cost'!AF22+'Lionhead Ext. Pig Cost'!AF22+'Villa Pig Cost'!AF22+'Richlands Pig Cost'!AF22</f>
        <v>-5</v>
      </c>
      <c r="AG20" s="807">
        <f>+'Grasmere Pig Cost'!AG22+'Learig Pig Cost'!AG22+'Lionhead Pig Cost'!AG22+'Lionhead Ext. Pig Cost'!AG22+'Villa Pig Cost'!AG22+'Richlands Pig Cost'!AG22</f>
        <v>-8</v>
      </c>
      <c r="AH20" s="807">
        <f>+'Grasmere Pig Cost'!AH22+'Learig Pig Cost'!AH22+'Lionhead Pig Cost'!AH22+'Lionhead Ext. Pig Cost'!AH22+'Villa Pig Cost'!AH22+'Richlands Pig Cost'!AH22</f>
        <v>-1</v>
      </c>
      <c r="AI20" s="807">
        <f>+'Grasmere Pig Cost'!AI22+'Learig Pig Cost'!AI22+'Lionhead Pig Cost'!AI22+'Lionhead Ext. Pig Cost'!AI22+'Villa Pig Cost'!AI22+'Richlands Pig Cost'!AI22</f>
        <v>-2</v>
      </c>
      <c r="AJ20" s="807">
        <f>+'Grasmere Pig Cost'!AJ22+'Learig Pig Cost'!AJ22+'Lionhead Pig Cost'!AJ22+'Lionhead Ext. Pig Cost'!AJ22+'Villa Pig Cost'!AJ22+'Richlands Pig Cost'!AJ22</f>
        <v>-3</v>
      </c>
      <c r="AK20" s="807">
        <f>+'Grasmere Pig Cost'!AK22+'Learig Pig Cost'!AK22+'Lionhead Pig Cost'!AK22+'Lionhead Ext. Pig Cost'!AK22+'Villa Pig Cost'!AK22+'Richlands Pig Cost'!AK22</f>
        <v>-2</v>
      </c>
      <c r="AL20" s="807">
        <f>+'Grasmere Pig Cost'!AL22+'Learig Pig Cost'!AL22+'Lionhead Pig Cost'!AL22+'Lionhead Ext. Pig Cost'!AL22+'Villa Pig Cost'!AL22+'Richlands Pig Cost'!AL22</f>
        <v>-4</v>
      </c>
      <c r="AM20" s="807">
        <f>+'Grasmere Pig Cost'!AM22+'Learig Pig Cost'!AM22+'Lionhead Pig Cost'!AM22+'Lionhead Ext. Pig Cost'!AM22+'Villa Pig Cost'!AM22+'Richlands Pig Cost'!AM22</f>
        <v>-3</v>
      </c>
      <c r="AN20" s="807">
        <f>+'Grasmere Pig Cost'!AN22+'Learig Pig Cost'!AN22+'Lionhead Pig Cost'!AN22+'Lionhead Ext. Pig Cost'!AN22+'Villa Pig Cost'!AN22+'Richlands Pig Cost'!AN22</f>
        <v>0</v>
      </c>
      <c r="AO20" s="807">
        <f>+'Grasmere Pig Cost'!AO22+'Learig Pig Cost'!AO22+'Lionhead Pig Cost'!AO22+'Lionhead Ext. Pig Cost'!AO22+'Villa Pig Cost'!AO22+'Richlands Pig Cost'!AO22</f>
        <v>44</v>
      </c>
      <c r="AP20" s="807">
        <f>+'Grasmere Pig Cost'!AP22+'Learig Pig Cost'!AP22+'Lionhead Pig Cost'!AP22+'Lionhead Ext. Pig Cost'!AP22+'Villa Pig Cost'!AP22+'Richlands Pig Cost'!AP22</f>
        <v>-2</v>
      </c>
      <c r="AQ20" s="807">
        <f>+'Grasmere Pig Cost'!AQ22+'Learig Pig Cost'!AQ22+'Lionhead Pig Cost'!AQ22+'Lionhead Ext. Pig Cost'!AQ22+'Villa Pig Cost'!AQ22+'Richlands Pig Cost'!AQ22</f>
        <v>-5</v>
      </c>
      <c r="AR20" s="807">
        <f>+'Grasmere Pig Cost'!AR22+'Learig Pig Cost'!AR22+'Lionhead Pig Cost'!AR22+'Lionhead Ext. Pig Cost'!AR22+'Villa Pig Cost'!AR22+'Richlands Pig Cost'!AR22</f>
        <v>-1</v>
      </c>
      <c r="AS20" s="807">
        <f>+'Grasmere Pig Cost'!AS22+'Learig Pig Cost'!AS22+'Lionhead Pig Cost'!AS22+'Lionhead Ext. Pig Cost'!AS22+'Villa Pig Cost'!AS22+'Richlands Pig Cost'!AS22</f>
        <v>-2</v>
      </c>
      <c r="AT20" s="807">
        <f>+'Grasmere Pig Cost'!AT22+'Learig Pig Cost'!AT22+'Lionhead Pig Cost'!AT22+'Lionhead Ext. Pig Cost'!AT22+'Villa Pig Cost'!AT22+'Richlands Pig Cost'!AT22</f>
        <v>0</v>
      </c>
      <c r="AU20" s="1632">
        <f t="shared" si="10"/>
        <v>0</v>
      </c>
      <c r="AV20" s="1632">
        <f>+'Grasmere Pig Cost'!AU22+'Learig Pig Cost'!AU22+'Lionhead Pig Cost'!AU22+'Lionhead Ext. Pig Cost'!AU22+'Villa Pig Cost'!AU22+'Richlands Pig Cost'!AU22</f>
        <v>0</v>
      </c>
      <c r="AW20" s="818"/>
      <c r="AX20" s="818"/>
    </row>
    <row r="21" spans="1:54" ht="15.6">
      <c r="A21" s="142" t="s">
        <v>1800</v>
      </c>
      <c r="B21" s="807">
        <f>+'Grasmere Pig Cost'!B23+'Learig Pig Cost'!B23+'Lionhead Pig Cost'!B23+'Lionhead Ext. Pig Cost'!B23+'Villa Pig Cost'!B23+'Richlands Pig Cost'!B23</f>
        <v>0</v>
      </c>
      <c r="C21" s="807">
        <f>+'Grasmere Pig Cost'!C23+'Learig Pig Cost'!C23+'Lionhead Pig Cost'!C23+'Lionhead Ext. Pig Cost'!C23+'Villa Pig Cost'!C23+'Richlands Pig Cost'!C23</f>
        <v>0</v>
      </c>
      <c r="D21" s="807">
        <f>+'Grasmere Pig Cost'!D23+'Learig Pig Cost'!D23+'Lionhead Pig Cost'!D23+'Lionhead Ext. Pig Cost'!D23+'Villa Pig Cost'!D23+'Richlands Pig Cost'!D23</f>
        <v>0</v>
      </c>
      <c r="E21" s="807">
        <f>+'Grasmere Pig Cost'!E23+'Learig Pig Cost'!E23+'Lionhead Pig Cost'!E23+'Lionhead Ext. Pig Cost'!E23+'Villa Pig Cost'!E23+'Richlands Pig Cost'!E23</f>
        <v>0</v>
      </c>
      <c r="F21" s="807">
        <f>+'Grasmere Pig Cost'!F23+'Learig Pig Cost'!F23+'Lionhead Pig Cost'!F23+'Lionhead Ext. Pig Cost'!F23+'Villa Pig Cost'!F23+'Richlands Pig Cost'!F23</f>
        <v>0</v>
      </c>
      <c r="G21" s="807">
        <f>+'Grasmere Pig Cost'!G23+'Learig Pig Cost'!G23+'Lionhead Pig Cost'!G23+'Lionhead Ext. Pig Cost'!G23+'Villa Pig Cost'!G23+'Richlands Pig Cost'!G23</f>
        <v>0</v>
      </c>
      <c r="H21" s="807">
        <f>+'Grasmere Pig Cost'!H23+'Learig Pig Cost'!H23+'Lionhead Pig Cost'!H23+'Lionhead Ext. Pig Cost'!H23+'Villa Pig Cost'!H23+'Richlands Pig Cost'!H23</f>
        <v>0</v>
      </c>
      <c r="I21" s="807">
        <f>+'Grasmere Pig Cost'!I23+'Learig Pig Cost'!I23+'Lionhead Pig Cost'!I23+'Lionhead Ext. Pig Cost'!I23+'Villa Pig Cost'!I23+'Richlands Pig Cost'!I23</f>
        <v>0</v>
      </c>
      <c r="J21" s="807">
        <f>+'Grasmere Pig Cost'!J23+'Learig Pig Cost'!J23+'Lionhead Pig Cost'!J23+'Lionhead Ext. Pig Cost'!J23+'Villa Pig Cost'!J23+'Richlands Pig Cost'!J23</f>
        <v>0</v>
      </c>
      <c r="K21" s="807">
        <f>+'Grasmere Pig Cost'!K23+'Learig Pig Cost'!K23+'Lionhead Pig Cost'!K23+'Lionhead Ext. Pig Cost'!K23+'Villa Pig Cost'!K23+'Richlands Pig Cost'!K23</f>
        <v>0</v>
      </c>
      <c r="L21" s="807">
        <f>+'Grasmere Pig Cost'!L23+'Learig Pig Cost'!L23+'Lionhead Pig Cost'!L23+'Lionhead Ext. Pig Cost'!L23+'Villa Pig Cost'!L23+'Richlands Pig Cost'!L23</f>
        <v>0</v>
      </c>
      <c r="M21" s="807">
        <f>+'Grasmere Pig Cost'!M23+'Learig Pig Cost'!M23+'Lionhead Pig Cost'!M23+'Lionhead Ext. Pig Cost'!M23+'Villa Pig Cost'!M23+'Richlands Pig Cost'!M23</f>
        <v>0</v>
      </c>
      <c r="N21" s="807">
        <f>+'Grasmere Pig Cost'!N23+'Learig Pig Cost'!N23+'Lionhead Pig Cost'!N23+'Lionhead Ext. Pig Cost'!N23+'Villa Pig Cost'!N23+'Richlands Pig Cost'!N23</f>
        <v>0</v>
      </c>
      <c r="O21" s="807">
        <f>+'Grasmere Pig Cost'!O23+'Learig Pig Cost'!O23+'Lionhead Pig Cost'!O23+'Lionhead Ext. Pig Cost'!O23+'Villa Pig Cost'!O23+'Richlands Pig Cost'!O23</f>
        <v>0</v>
      </c>
      <c r="P21" s="807">
        <f>+'Grasmere Pig Cost'!P23+'Learig Pig Cost'!P23+'Lionhead Pig Cost'!P23+'Lionhead Ext. Pig Cost'!P23+'Villa Pig Cost'!P23+'Richlands Pig Cost'!P23</f>
        <v>0</v>
      </c>
      <c r="Q21" s="807">
        <f>+'Grasmere Pig Cost'!Q23+'Learig Pig Cost'!Q23+'Lionhead Pig Cost'!Q23+'Lionhead Ext. Pig Cost'!Q23+'Villa Pig Cost'!Q23+'Richlands Pig Cost'!Q23</f>
        <v>0</v>
      </c>
      <c r="R21" s="807">
        <f>+'Grasmere Pig Cost'!R23+'Learig Pig Cost'!R23+'Lionhead Pig Cost'!R23+'Lionhead Ext. Pig Cost'!R23+'Villa Pig Cost'!R23+'Richlands Pig Cost'!R23</f>
        <v>0</v>
      </c>
      <c r="S21" s="807">
        <f>+'Grasmere Pig Cost'!S23+'Learig Pig Cost'!S23+'Lionhead Pig Cost'!S23+'Lionhead Ext. Pig Cost'!S23+'Villa Pig Cost'!S23+'Richlands Pig Cost'!S23</f>
        <v>0</v>
      </c>
      <c r="T21" s="807">
        <f>+'Grasmere Pig Cost'!T23+'Learig Pig Cost'!T23+'Lionhead Pig Cost'!T23+'Lionhead Ext. Pig Cost'!T23+'Villa Pig Cost'!T23+'Richlands Pig Cost'!T23</f>
        <v>0</v>
      </c>
      <c r="U21" s="807">
        <f>+'Grasmere Pig Cost'!U23+'Learig Pig Cost'!U23+'Lionhead Pig Cost'!U23+'Lionhead Ext. Pig Cost'!U23+'Villa Pig Cost'!U23+'Richlands Pig Cost'!U23</f>
        <v>0</v>
      </c>
      <c r="V21" s="807">
        <f>+'Grasmere Pig Cost'!V23+'Learig Pig Cost'!V23+'Lionhead Pig Cost'!V23+'Lionhead Ext. Pig Cost'!V23+'Villa Pig Cost'!V23+'Richlands Pig Cost'!V23</f>
        <v>0</v>
      </c>
      <c r="W21" s="807">
        <f>+'Grasmere Pig Cost'!W23+'Learig Pig Cost'!W23+'Lionhead Pig Cost'!W23+'Lionhead Ext. Pig Cost'!W23+'Villa Pig Cost'!W23+'Richlands Pig Cost'!W23</f>
        <v>0</v>
      </c>
      <c r="X21" s="807">
        <f>+'Grasmere Pig Cost'!X23+'Learig Pig Cost'!X23+'Lionhead Pig Cost'!X23+'Lionhead Ext. Pig Cost'!X23+'Villa Pig Cost'!X23+'Richlands Pig Cost'!X23</f>
        <v>0</v>
      </c>
      <c r="Y21" s="807">
        <f>+'Grasmere Pig Cost'!Y23+'Learig Pig Cost'!Y23+'Lionhead Pig Cost'!Y23+'Lionhead Ext. Pig Cost'!Y23+'Villa Pig Cost'!Y23+'Richlands Pig Cost'!Y23</f>
        <v>0</v>
      </c>
      <c r="Z21" s="807">
        <f>+'Grasmere Pig Cost'!Z23+'Learig Pig Cost'!Z23+'Lionhead Pig Cost'!Z23+'Lionhead Ext. Pig Cost'!Z23+'Villa Pig Cost'!Z23+'Richlands Pig Cost'!Z23</f>
        <v>0</v>
      </c>
      <c r="AA21" s="807">
        <f>+'Grasmere Pig Cost'!AA23+'Learig Pig Cost'!AA23+'Lionhead Pig Cost'!AA23+'Lionhead Ext. Pig Cost'!AA23+'Villa Pig Cost'!AA23+'Richlands Pig Cost'!AA23</f>
        <v>0</v>
      </c>
      <c r="AB21" s="807">
        <f>+'Grasmere Pig Cost'!AB23+'Learig Pig Cost'!AB23+'Lionhead Pig Cost'!AB23+'Lionhead Ext. Pig Cost'!AB23+'Villa Pig Cost'!AB23+'Richlands Pig Cost'!AB23</f>
        <v>0</v>
      </c>
      <c r="AC21" s="807">
        <f>+'Grasmere Pig Cost'!AC23+'Learig Pig Cost'!AC23+'Lionhead Pig Cost'!AC23+'Lionhead Ext. Pig Cost'!AC23+'Villa Pig Cost'!AC23+'Richlands Pig Cost'!AC23</f>
        <v>-14</v>
      </c>
      <c r="AD21" s="807">
        <f>+'Grasmere Pig Cost'!AD23+'Learig Pig Cost'!AD23+'Lionhead Pig Cost'!AD23+'Lionhead Ext. Pig Cost'!AD23+'Villa Pig Cost'!AD23+'Richlands Pig Cost'!AD23</f>
        <v>-13</v>
      </c>
      <c r="AE21" s="807">
        <f>+'Grasmere Pig Cost'!AE23+'Learig Pig Cost'!AE23+'Lionhead Pig Cost'!AE23+'Lionhead Ext. Pig Cost'!AE23+'Villa Pig Cost'!AE23+'Richlands Pig Cost'!AE23</f>
        <v>-12</v>
      </c>
      <c r="AF21" s="807">
        <f>+'Grasmere Pig Cost'!AF23+'Learig Pig Cost'!AF23+'Lionhead Pig Cost'!AF23+'Lionhead Ext. Pig Cost'!AF23+'Villa Pig Cost'!AF23+'Richlands Pig Cost'!AF23</f>
        <v>-14</v>
      </c>
      <c r="AG21" s="807">
        <f>+'Grasmere Pig Cost'!AG23+'Learig Pig Cost'!AG23+'Lionhead Pig Cost'!AG23+'Lionhead Ext. Pig Cost'!AG23+'Villa Pig Cost'!AG23+'Richlands Pig Cost'!AG23</f>
        <v>0</v>
      </c>
      <c r="AH21" s="807">
        <f>+'Grasmere Pig Cost'!AH23+'Learig Pig Cost'!AK23+'Lionhead Pig Cost'!AH23+'Lionhead Ext. Pig Cost'!AH23+'Villa Pig Cost'!AH23+'Richlands Pig Cost'!AH23</f>
        <v>0</v>
      </c>
      <c r="AI21" s="807">
        <f>+'Grasmere Pig Cost'!AI23+'Learig Pig Cost'!AI23+'Lionhead Pig Cost'!AI23+'Lionhead Ext. Pig Cost'!AI23+'Villa Pig Cost'!AI23+'Richlands Pig Cost'!AI23</f>
        <v>0</v>
      </c>
      <c r="AJ21" s="807">
        <f>+'Grasmere Pig Cost'!AJ23+'Learig Pig Cost'!AJ23+'Lionhead Pig Cost'!AJ23+'Lionhead Ext. Pig Cost'!AJ23+'Villa Pig Cost'!AJ23+'Richlands Pig Cost'!AJ23</f>
        <v>0</v>
      </c>
      <c r="AK21" s="807">
        <f>+'Grasmere Pig Cost'!AK23+'Learig Pig Cost'!AK23+'Lionhead Pig Cost'!AK23+'Lionhead Ext. Pig Cost'!AK23+'Villa Pig Cost'!AK23+'Richlands Pig Cost'!AK23</f>
        <v>0</v>
      </c>
      <c r="AL21" s="807">
        <f>+'Grasmere Pig Cost'!AL23+'Learig Pig Cost'!AL23+'Lionhead Pig Cost'!AL23+'Lionhead Ext. Pig Cost'!AL23+'Villa Pig Cost'!AL23+'Richlands Pig Cost'!AL23</f>
        <v>0</v>
      </c>
      <c r="AM21" s="807">
        <f>+'Grasmere Pig Cost'!AM23+'Learig Pig Cost'!AM23+'Lionhead Pig Cost'!AM23+'Lionhead Ext. Pig Cost'!AM23+'Villa Pig Cost'!AM23+'Richlands Pig Cost'!AM23</f>
        <v>0</v>
      </c>
      <c r="AN21" s="807">
        <f>+'Grasmere Pig Cost'!AN23+'Learig Pig Cost'!AN23+'Lionhead Pig Cost'!AN23+'Lionhead Ext. Pig Cost'!AN23+'Villa Pig Cost'!AN23+'Richlands Pig Cost'!AN23</f>
        <v>0</v>
      </c>
      <c r="AO21" s="807">
        <f>+'Grasmere Pig Cost'!AO23+'Learig Pig Cost'!AO23+'Lionhead Pig Cost'!AO23+'Lionhead Ext. Pig Cost'!AO23+'Villa Pig Cost'!AO23+'Richlands Pig Cost'!AO23</f>
        <v>0</v>
      </c>
      <c r="AP21" s="807">
        <f>+'Grasmere Pig Cost'!AP23+'Learig Pig Cost'!AP23+'Lionhead Pig Cost'!AP23+'Lionhead Ext. Pig Cost'!AP23+'Villa Pig Cost'!AP23+'Richlands Pig Cost'!AP23</f>
        <v>0</v>
      </c>
      <c r="AQ21" s="807">
        <f>+'Grasmere Pig Cost'!AQ23+'Learig Pig Cost'!AQ23+'Lionhead Pig Cost'!AQ23+'Lionhead Ext. Pig Cost'!AQ23+'Villa Pig Cost'!AQ23+'Richlands Pig Cost'!AQ23</f>
        <v>0</v>
      </c>
      <c r="AR21" s="807">
        <f>+'Grasmere Pig Cost'!AR23+'Learig Pig Cost'!AR23+'Lionhead Pig Cost'!AR23+'Lionhead Ext. Pig Cost'!AR23+'Villa Pig Cost'!AR23+'Richlands Pig Cost'!AR23</f>
        <v>0</v>
      </c>
      <c r="AS21" s="807">
        <f>+'Grasmere Pig Cost'!AS23+'Learig Pig Cost'!AS23+'Lionhead Pig Cost'!AS23+'Lionhead Ext. Pig Cost'!AS23+'Villa Pig Cost'!AS23+'Richlands Pig Cost'!AS23</f>
        <v>0</v>
      </c>
      <c r="AT21" s="807">
        <f>+'Grasmere Pig Cost'!AT23+'Learig Pig Cost'!AT23+'Lionhead Pig Cost'!AT23+'Lionhead Ext. Pig Cost'!AT23+'Villa Pig Cost'!AT23+'Richlands Pig Cost'!AT23</f>
        <v>0</v>
      </c>
      <c r="AU21" s="1633">
        <f>SUM(B21:AT21)</f>
        <v>-53</v>
      </c>
      <c r="AV21" s="1633">
        <f>+'Grasmere Pig Cost'!AU23+'Learig Pig Cost'!AU23+'Lionhead Pig Cost'!AU23+'Lionhead Ext. Pig Cost'!AU23+'Villa Pig Cost'!AU23+'Richlands Pig Cost'!AU23</f>
        <v>-53</v>
      </c>
      <c r="AW21" s="818">
        <f t="shared" si="8"/>
        <v>0</v>
      </c>
    </row>
    <row r="22" spans="1:54" ht="15.6">
      <c r="A22" s="142" t="s">
        <v>169</v>
      </c>
      <c r="B22" s="807">
        <f>+'Grasmere Pig Cost'!B24+'Learig Pig Cost'!B24+'Lionhead Pig Cost'!B24+'Lionhead Ext. Pig Cost'!B24+'Villa Pig Cost'!B24+'Richlands Pig Cost'!B24</f>
        <v>0</v>
      </c>
      <c r="C22" s="807">
        <f>+'Grasmere Pig Cost'!C24+'Learig Pig Cost'!C24+'Lionhead Pig Cost'!C24+'Lionhead Ext. Pig Cost'!C24+'Villa Pig Cost'!C24+'Richlands Pig Cost'!C24</f>
        <v>0</v>
      </c>
      <c r="D22" s="807">
        <f>+'Grasmere Pig Cost'!D24+'Learig Pig Cost'!D24+'Lionhead Pig Cost'!D24+'Lionhead Ext. Pig Cost'!D24+'Villa Pig Cost'!D24+'Richlands Pig Cost'!D24</f>
        <v>0</v>
      </c>
      <c r="E22" s="807">
        <f>+'Grasmere Pig Cost'!E24+'Learig Pig Cost'!E24+'Lionhead Pig Cost'!E24+'Lionhead Ext. Pig Cost'!E24+'Villa Pig Cost'!E24+'Richlands Pig Cost'!E24</f>
        <v>0</v>
      </c>
      <c r="F22" s="807">
        <f>+'Grasmere Pig Cost'!F24+'Learig Pig Cost'!F24+'Lionhead Pig Cost'!F24+'Lionhead Ext. Pig Cost'!F24+'Villa Pig Cost'!F24+'Richlands Pig Cost'!F24</f>
        <v>0</v>
      </c>
      <c r="G22" s="807">
        <f>+'Grasmere Pig Cost'!G24+'Learig Pig Cost'!G24+'Lionhead Pig Cost'!G24+'Lionhead Ext. Pig Cost'!G24+'Villa Pig Cost'!G24+'Richlands Pig Cost'!G24</f>
        <v>0</v>
      </c>
      <c r="H22" s="807">
        <f>+'Grasmere Pig Cost'!H24+'Learig Pig Cost'!H24+'Lionhead Pig Cost'!H24+'Lionhead Ext. Pig Cost'!H24+'Villa Pig Cost'!H24+'Richlands Pig Cost'!H24</f>
        <v>0</v>
      </c>
      <c r="I22" s="807">
        <f>+'Grasmere Pig Cost'!I24+'Learig Pig Cost'!I24+'Lionhead Pig Cost'!I24+'Lionhead Ext. Pig Cost'!I24+'Villa Pig Cost'!I24+'Richlands Pig Cost'!I24</f>
        <v>0</v>
      </c>
      <c r="J22" s="807">
        <f>+'Grasmere Pig Cost'!J24+'Learig Pig Cost'!J24+'Lionhead Pig Cost'!J24+'Lionhead Ext. Pig Cost'!J24+'Villa Pig Cost'!J24+'Richlands Pig Cost'!J24</f>
        <v>0</v>
      </c>
      <c r="K22" s="807">
        <f>+'Grasmere Pig Cost'!K24+'Learig Pig Cost'!K24+'Lionhead Pig Cost'!K24+'Lionhead Ext. Pig Cost'!K24+'Villa Pig Cost'!K24+'Richlands Pig Cost'!K24</f>
        <v>0</v>
      </c>
      <c r="L22" s="807">
        <f>+'Grasmere Pig Cost'!L24+'Learig Pig Cost'!L24+'Lionhead Pig Cost'!L24+'Lionhead Ext. Pig Cost'!L24+'Villa Pig Cost'!L24+'Richlands Pig Cost'!L24</f>
        <v>0</v>
      </c>
      <c r="M22" s="807">
        <f>+'Grasmere Pig Cost'!M24+'Learig Pig Cost'!M24+'Lionhead Pig Cost'!M24+'Lionhead Ext. Pig Cost'!M24+'Villa Pig Cost'!M24+'Richlands Pig Cost'!M24</f>
        <v>0</v>
      </c>
      <c r="N22" s="807">
        <f>+'Grasmere Pig Cost'!N24+'Learig Pig Cost'!N24+'Lionhead Pig Cost'!N24+'Lionhead Ext. Pig Cost'!N24+'Villa Pig Cost'!N24+'Richlands Pig Cost'!N24</f>
        <v>0</v>
      </c>
      <c r="O22" s="807">
        <f>+'Grasmere Pig Cost'!O24+'Learig Pig Cost'!O24+'Lionhead Pig Cost'!O24+'Lionhead Ext. Pig Cost'!O24+'Villa Pig Cost'!O24+'Richlands Pig Cost'!O24</f>
        <v>0</v>
      </c>
      <c r="P22" s="807">
        <f>+'Grasmere Pig Cost'!P24+'Learig Pig Cost'!P24+'Lionhead Pig Cost'!P24+'Lionhead Ext. Pig Cost'!P24+'Villa Pig Cost'!P24+'Richlands Pig Cost'!P24</f>
        <v>0</v>
      </c>
      <c r="Q22" s="807">
        <f>+'Grasmere Pig Cost'!Q24+'Learig Pig Cost'!Q24+'Lionhead Pig Cost'!Q24+'Lionhead Ext. Pig Cost'!Q24+'Villa Pig Cost'!Q24+'Richlands Pig Cost'!Q24</f>
        <v>0</v>
      </c>
      <c r="R22" s="807">
        <f>+'Grasmere Pig Cost'!R24+'Learig Pig Cost'!R24+'Lionhead Pig Cost'!R24+'Lionhead Ext. Pig Cost'!R24+'Villa Pig Cost'!R24+'Richlands Pig Cost'!R24</f>
        <v>0</v>
      </c>
      <c r="S22" s="807">
        <f>+'Grasmere Pig Cost'!S24+'Learig Pig Cost'!S24+'Lionhead Pig Cost'!S24+'Lionhead Ext. Pig Cost'!S24+'Villa Pig Cost'!S24+'Richlands Pig Cost'!S24</f>
        <v>-30</v>
      </c>
      <c r="T22" s="807">
        <f>+'Grasmere Pig Cost'!T24+'Learig Pig Cost'!T24+'Lionhead Pig Cost'!T24+'Lionhead Ext. Pig Cost'!T24+'Villa Pig Cost'!T24+'Richlands Pig Cost'!T24</f>
        <v>-189</v>
      </c>
      <c r="U22" s="807">
        <f>+'Grasmere Pig Cost'!U24+'Learig Pig Cost'!U24+'Lionhead Pig Cost'!U24+'Lionhead Ext. Pig Cost'!U24+'Villa Pig Cost'!U24+'Richlands Pig Cost'!U24</f>
        <v>-219</v>
      </c>
      <c r="V22" s="807">
        <f>+'Grasmere Pig Cost'!V24+'Learig Pig Cost'!V24+'Lionhead Pig Cost'!V24+'Lionhead Ext. Pig Cost'!V24+'Villa Pig Cost'!V24+'Richlands Pig Cost'!V24</f>
        <v>-299</v>
      </c>
      <c r="W22" s="807">
        <f>+'Grasmere Pig Cost'!W24+'Learig Pig Cost'!W24+'Lionhead Pig Cost'!W24+'Lionhead Ext. Pig Cost'!W24+'Villa Pig Cost'!W24+'Richlands Pig Cost'!W24</f>
        <v>-223</v>
      </c>
      <c r="X22" s="807">
        <f>+'Grasmere Pig Cost'!X24+'Learig Pig Cost'!X24+'Lionhead Pig Cost'!X24+'Lionhead Ext. Pig Cost'!X24+'Villa Pig Cost'!X24+'Richlands Pig Cost'!X24</f>
        <v>-152</v>
      </c>
      <c r="Y22" s="807">
        <f>+'Grasmere Pig Cost'!Y24+'Learig Pig Cost'!Y24+'Lionhead Pig Cost'!Y24+'Lionhead Ext. Pig Cost'!Y24+'Villa Pig Cost'!Y24+'Richlands Pig Cost'!Y24</f>
        <v>-56</v>
      </c>
      <c r="Z22" s="807">
        <f>+'Grasmere Pig Cost'!Z24+'Learig Pig Cost'!Z24+'Lionhead Pig Cost'!Z24+'Lionhead Ext. Pig Cost'!Z24+'Villa Pig Cost'!Z24+'Richlands Pig Cost'!Z24</f>
        <v>-81</v>
      </c>
      <c r="AA22" s="807">
        <f>+'Grasmere Pig Cost'!AA24+'Learig Pig Cost'!AA24+'Lionhead Pig Cost'!AA24+'Lionhead Ext. Pig Cost'!AA24+'Villa Pig Cost'!AA24+'Richlands Pig Cost'!AA24</f>
        <v>-18</v>
      </c>
      <c r="AB22" s="807">
        <f>+'Grasmere Pig Cost'!AB24+'Learig Pig Cost'!AB24+'Lionhead Pig Cost'!AB24+'Lionhead Ext. Pig Cost'!AB24+'Villa Pig Cost'!AB24+'Richlands Pig Cost'!AB24</f>
        <v>-23</v>
      </c>
      <c r="AC22" s="807">
        <f>+'Grasmere Pig Cost'!AC24+'Learig Pig Cost'!AC24+'Lionhead Pig Cost'!AC24+'Lionhead Ext. Pig Cost'!AC24+'Villa Pig Cost'!AC24+'Richlands Pig Cost'!AC24</f>
        <v>-12</v>
      </c>
      <c r="AD22" s="807">
        <f>+'Grasmere Pig Cost'!AD24+'Learig Pig Cost'!AD24+'Lionhead Pig Cost'!AD24+'Lionhead Ext. Pig Cost'!AD24+'Villa Pig Cost'!AD24+'Richlands Pig Cost'!AD24</f>
        <v>-16</v>
      </c>
      <c r="AE22" s="807">
        <f>+'Grasmere Pig Cost'!AE24+'Learig Pig Cost'!AE24+'Lionhead Pig Cost'!AE24+'Lionhead Ext. Pig Cost'!AE24+'Villa Pig Cost'!AE24+'Richlands Pig Cost'!AE24</f>
        <v>-20</v>
      </c>
      <c r="AF22" s="807">
        <f>+'Grasmere Pig Cost'!AF24+'Learig Pig Cost'!AF24+'Lionhead Pig Cost'!AF24+'Lionhead Ext. Pig Cost'!AF24+'Villa Pig Cost'!AF24+'Richlands Pig Cost'!AF24</f>
        <v>-14</v>
      </c>
      <c r="AG22" s="807">
        <f>+'Grasmere Pig Cost'!AG24+'Learig Pig Cost'!AG24+'Lionhead Pig Cost'!AG24+'Lionhead Ext. Pig Cost'!AG24+'Villa Pig Cost'!AG24+'Richlands Pig Cost'!AG24</f>
        <v>-17</v>
      </c>
      <c r="AH22" s="807">
        <f>+'Grasmere Pig Cost'!AH24+'Learig Pig Cost'!AH24+'Lionhead Pig Cost'!AH24+'Lionhead Ext. Pig Cost'!AH24+'Villa Pig Cost'!AH24+'Richlands Pig Cost'!AH24</f>
        <v>-12</v>
      </c>
      <c r="AI22" s="807">
        <f>+'Grasmere Pig Cost'!AI24+'Learig Pig Cost'!AI24+'Lionhead Pig Cost'!AI24+'Lionhead Ext. Pig Cost'!AI24+'Villa Pig Cost'!AI24+'Richlands Pig Cost'!AI24</f>
        <v>-13</v>
      </c>
      <c r="AJ22" s="807">
        <f>+'Grasmere Pig Cost'!AJ24+'Learig Pig Cost'!AJ24+'Lionhead Pig Cost'!AJ24+'Lionhead Ext. Pig Cost'!AJ24+'Villa Pig Cost'!AJ24+'Richlands Pig Cost'!AJ24</f>
        <v>-17</v>
      </c>
      <c r="AK22" s="807">
        <f>+'Grasmere Pig Cost'!AK24+'Learig Pig Cost'!AK24+'Lionhead Pig Cost'!AK24+'Lionhead Ext. Pig Cost'!AK24+'Villa Pig Cost'!AK24+'Richlands Pig Cost'!AK24</f>
        <v>-18</v>
      </c>
      <c r="AL22" s="807">
        <f>+'Grasmere Pig Cost'!AL24+'Learig Pig Cost'!AL24+'Lionhead Pig Cost'!AL24+'Lionhead Ext. Pig Cost'!AL24+'Villa Pig Cost'!AL24+'Richlands Pig Cost'!AL24</f>
        <v>-13</v>
      </c>
      <c r="AM22" s="807">
        <f>+'Grasmere Pig Cost'!AM24+'Learig Pig Cost'!AM24+'Lionhead Pig Cost'!AM24+'Lionhead Ext. Pig Cost'!AM24+'Villa Pig Cost'!AM24+'Richlands Pig Cost'!AM24</f>
        <v>-25</v>
      </c>
      <c r="AN22" s="807">
        <f>+'Grasmere Pig Cost'!AN24+'Learig Pig Cost'!AN24+'Lionhead Pig Cost'!AN24+'Lionhead Ext. Pig Cost'!AN24+'Villa Pig Cost'!AN24+'Richlands Pig Cost'!AN24</f>
        <v>-18</v>
      </c>
      <c r="AO22" s="807">
        <f>+'Grasmere Pig Cost'!AO24+'Learig Pig Cost'!AO24+'Lionhead Pig Cost'!AO24+'Lionhead Ext. Pig Cost'!AO24+'Villa Pig Cost'!AO24+'Richlands Pig Cost'!AO24</f>
        <v>-52</v>
      </c>
      <c r="AP22" s="807">
        <f>+'Grasmere Pig Cost'!AP24+'Learig Pig Cost'!AP24+'Lionhead Pig Cost'!AP24+'Lionhead Ext. Pig Cost'!AP24+'Villa Pig Cost'!AP24+'Richlands Pig Cost'!AP24</f>
        <v>-21</v>
      </c>
      <c r="AQ22" s="807">
        <f>+'Grasmere Pig Cost'!AQ24+'Learig Pig Cost'!AQ24+'Lionhead Pig Cost'!AQ24+'Lionhead Ext. Pig Cost'!AQ24+'Villa Pig Cost'!AQ24+'Richlands Pig Cost'!AQ24</f>
        <v>-11</v>
      </c>
      <c r="AR22" s="807">
        <f>+'Grasmere Pig Cost'!AR24+'Learig Pig Cost'!AR24+'Lionhead Pig Cost'!AR24+'Lionhead Ext. Pig Cost'!AR24+'Villa Pig Cost'!AR24+'Richlands Pig Cost'!AR24</f>
        <v>-11</v>
      </c>
      <c r="AS22" s="807">
        <f>+'Grasmere Pig Cost'!AS24+'Learig Pig Cost'!AS24+'Lionhead Pig Cost'!AS24+'Lionhead Ext. Pig Cost'!AS24+'Villa Pig Cost'!AS24+'Richlands Pig Cost'!AS24</f>
        <v>-4</v>
      </c>
      <c r="AT22" s="807">
        <f>+'Grasmere Pig Cost'!AT24+'Learig Pig Cost'!AT24+'Lionhead Pig Cost'!AT24+'Lionhead Ext. Pig Cost'!AT24+'Villa Pig Cost'!AT24+'Richlands Pig Cost'!AT24</f>
        <v>-3</v>
      </c>
      <c r="AU22" s="1086">
        <f>SUM(B22:AT22)</f>
        <v>-1587</v>
      </c>
      <c r="AV22" s="1086">
        <f>SUM('Summary Total Pigs'!W186:W188,'Summary Total Pigs'!Y186:Y188)</f>
        <v>-1968</v>
      </c>
      <c r="AW22" s="818">
        <f>+AU22-AV22</f>
        <v>381</v>
      </c>
      <c r="AX22" s="817"/>
    </row>
    <row r="23" spans="1:54" ht="15.6">
      <c r="A23" s="142" t="s">
        <v>229</v>
      </c>
      <c r="B23" s="807">
        <f>+'Grasmere Pig Cost'!B25+'Learig Pig Cost'!B25+'Lionhead Pig Cost'!B25+'Lionhead Ext. Pig Cost'!B25+'Villa Pig Cost'!B25+'Richlands Pig Cost'!B25</f>
        <v>0</v>
      </c>
      <c r="C23" s="807">
        <f>+'Grasmere Pig Cost'!C25+'Learig Pig Cost'!C25+'Lionhead Pig Cost'!C25+'Lionhead Ext. Pig Cost'!C25+'Villa Pig Cost'!C25+'Richlands Pig Cost'!C25</f>
        <v>0</v>
      </c>
      <c r="D23" s="807">
        <f>+'Grasmere Pig Cost'!D25+'Learig Pig Cost'!D25+'Lionhead Pig Cost'!D25+'Lionhead Ext. Pig Cost'!D25+'Villa Pig Cost'!D25+'Richlands Pig Cost'!D25</f>
        <v>0</v>
      </c>
      <c r="E23" s="807">
        <f>+'Grasmere Pig Cost'!E25+'Learig Pig Cost'!E25+'Lionhead Pig Cost'!E25+'Lionhead Ext. Pig Cost'!E25+'Villa Pig Cost'!E25+'Richlands Pig Cost'!E25</f>
        <v>0</v>
      </c>
      <c r="F23" s="807">
        <f>+'Grasmere Pig Cost'!F25+'Learig Pig Cost'!F25+'Lionhead Pig Cost'!F25+'Lionhead Ext. Pig Cost'!F25+'Villa Pig Cost'!F25+'Richlands Pig Cost'!F25</f>
        <v>0</v>
      </c>
      <c r="G23" s="807">
        <f>+'Grasmere Pig Cost'!G25+'Learig Pig Cost'!G25+'Lionhead Pig Cost'!G25+'Lionhead Ext. Pig Cost'!G25+'Villa Pig Cost'!G25+'Richlands Pig Cost'!G25</f>
        <v>0</v>
      </c>
      <c r="H23" s="807">
        <f>+'Grasmere Pig Cost'!H25+'Learig Pig Cost'!H25+'Lionhead Pig Cost'!H25+'Lionhead Ext. Pig Cost'!H25+'Villa Pig Cost'!H25+'Richlands Pig Cost'!H25</f>
        <v>0</v>
      </c>
      <c r="I23" s="807">
        <f>+'Grasmere Pig Cost'!I25+'Learig Pig Cost'!I25+'Lionhead Pig Cost'!I25+'Lionhead Ext. Pig Cost'!I25+'Villa Pig Cost'!I25+'Richlands Pig Cost'!I25</f>
        <v>0</v>
      </c>
      <c r="J23" s="807">
        <f>+'Grasmere Pig Cost'!J25+'Learig Pig Cost'!J25+'Lionhead Pig Cost'!J25+'Lionhead Ext. Pig Cost'!J25+'Villa Pig Cost'!J25+'Richlands Pig Cost'!J25</f>
        <v>0</v>
      </c>
      <c r="K23" s="807">
        <f>+'Grasmere Pig Cost'!K25+'Learig Pig Cost'!K25+'Lionhead Pig Cost'!K25+'Lionhead Ext. Pig Cost'!K25+'Villa Pig Cost'!K25+'Richlands Pig Cost'!K25</f>
        <v>0</v>
      </c>
      <c r="L23" s="807">
        <f>+'Grasmere Pig Cost'!L25+'Learig Pig Cost'!L25+'Lionhead Pig Cost'!L25+'Lionhead Ext. Pig Cost'!L25+'Villa Pig Cost'!L25+'Richlands Pig Cost'!L25</f>
        <v>0</v>
      </c>
      <c r="M23" s="807">
        <f>+'Grasmere Pig Cost'!M25+'Learig Pig Cost'!M25+'Lionhead Pig Cost'!M25+'Lionhead Ext. Pig Cost'!M25+'Villa Pig Cost'!M25+'Richlands Pig Cost'!M25</f>
        <v>0</v>
      </c>
      <c r="N23" s="807">
        <f>+'Grasmere Pig Cost'!N25+'Learig Pig Cost'!N25+'Lionhead Pig Cost'!N25+'Lionhead Ext. Pig Cost'!N25+'Villa Pig Cost'!N25+'Richlands Pig Cost'!N25</f>
        <v>0</v>
      </c>
      <c r="O23" s="807">
        <f>+'Grasmere Pig Cost'!O25+'Learig Pig Cost'!O25+'Lionhead Pig Cost'!O25+'Lionhead Ext. Pig Cost'!O25+'Villa Pig Cost'!O25+'Richlands Pig Cost'!O25</f>
        <v>0</v>
      </c>
      <c r="P23" s="807">
        <f>+'Grasmere Pig Cost'!P25+'Learig Pig Cost'!P25+'Lionhead Pig Cost'!P25+'Lionhead Ext. Pig Cost'!P25+'Villa Pig Cost'!P25+'Richlands Pig Cost'!P25</f>
        <v>0</v>
      </c>
      <c r="Q23" s="807">
        <f>+'Grasmere Pig Cost'!Q25+'Learig Pig Cost'!Q25+'Lionhead Pig Cost'!Q25+'Lionhead Ext. Pig Cost'!Q25+'Villa Pig Cost'!Q25+'Richlands Pig Cost'!Q25</f>
        <v>0</v>
      </c>
      <c r="R23" s="807">
        <f>+'Grasmere Pig Cost'!R25+'Learig Pig Cost'!R25+'Lionhead Pig Cost'!R25+'Lionhead Ext. Pig Cost'!R25+'Villa Pig Cost'!R25+'Richlands Pig Cost'!R25</f>
        <v>0</v>
      </c>
      <c r="S23" s="807">
        <f>+'Grasmere Pig Cost'!S25+'Learig Pig Cost'!S25+'Lionhead Pig Cost'!S25+'Lionhead Ext. Pig Cost'!S25+'Villa Pig Cost'!S25+'Richlands Pig Cost'!S25</f>
        <v>0</v>
      </c>
      <c r="T23" s="807">
        <f>+'Grasmere Pig Cost'!T25+'Learig Pig Cost'!T25+'Lionhead Pig Cost'!T25+'Lionhead Ext. Pig Cost'!T25+'Villa Pig Cost'!T25+'Richlands Pig Cost'!T25</f>
        <v>0</v>
      </c>
      <c r="U23" s="807">
        <f>+'Grasmere Pig Cost'!U25+'Learig Pig Cost'!U25+'Lionhead Pig Cost'!U25+'Lionhead Ext. Pig Cost'!U25+'Villa Pig Cost'!U25+'Richlands Pig Cost'!U25</f>
        <v>0</v>
      </c>
      <c r="V23" s="807">
        <f>+'Grasmere Pig Cost'!V25+'Learig Pig Cost'!V25+'Lionhead Pig Cost'!V25+'Lionhead Ext. Pig Cost'!V25+'Villa Pig Cost'!V25+'Richlands Pig Cost'!V25</f>
        <v>0</v>
      </c>
      <c r="W23" s="807">
        <f>+'Grasmere Pig Cost'!W25+'Learig Pig Cost'!W25+'Lionhead Pig Cost'!W25+'Lionhead Ext. Pig Cost'!W25+'Villa Pig Cost'!W25+'Richlands Pig Cost'!W25</f>
        <v>0</v>
      </c>
      <c r="X23" s="807">
        <f>+'Grasmere Pig Cost'!X25+'Learig Pig Cost'!X25+'Lionhead Pig Cost'!X25+'Lionhead Ext. Pig Cost'!X25+'Villa Pig Cost'!X25+'Richlands Pig Cost'!X25</f>
        <v>0</v>
      </c>
      <c r="Y23" s="807">
        <f>+'Grasmere Pig Cost'!Y25+'Learig Pig Cost'!Y25+'Lionhead Pig Cost'!Y25+'Lionhead Ext. Pig Cost'!Y25+'Villa Pig Cost'!Y25+'Richlands Pig Cost'!Y25</f>
        <v>0</v>
      </c>
      <c r="Z23" s="807">
        <f>+'Grasmere Pig Cost'!Z25+'Learig Pig Cost'!Z25+'Lionhead Pig Cost'!Z25+'Lionhead Ext. Pig Cost'!Z25+'Villa Pig Cost'!Z25+'Richlands Pig Cost'!Z25</f>
        <v>0</v>
      </c>
      <c r="AA23" s="807">
        <f>+'Grasmere Pig Cost'!AA25+'Learig Pig Cost'!AA25+'Lionhead Pig Cost'!AA25+'Lionhead Ext. Pig Cost'!AA25+'Villa Pig Cost'!AA25+'Richlands Pig Cost'!AA25</f>
        <v>0</v>
      </c>
      <c r="AB23" s="807">
        <f>+'Grasmere Pig Cost'!AB25+'Learig Pig Cost'!AB25+'Lionhead Pig Cost'!AB25+'Lionhead Ext. Pig Cost'!AB25+'Villa Pig Cost'!AB25+'Richlands Pig Cost'!AB25</f>
        <v>0</v>
      </c>
      <c r="AC23" s="807">
        <f>+'Grasmere Pig Cost'!AC25+'Learig Pig Cost'!AC25+'Lionhead Pig Cost'!AC25+'Lionhead Ext. Pig Cost'!AC25+'Villa Pig Cost'!AC25+'Richlands Pig Cost'!AC25</f>
        <v>0</v>
      </c>
      <c r="AD23" s="807">
        <f>+'Grasmere Pig Cost'!AD25+'Learig Pig Cost'!AD25+'Lionhead Pig Cost'!AD25+'Lionhead Ext. Pig Cost'!AD25+'Villa Pig Cost'!AD25+'Richlands Pig Cost'!AD25</f>
        <v>0</v>
      </c>
      <c r="AE23" s="807">
        <f>+'Grasmere Pig Cost'!AE25+'Learig Pig Cost'!AE25+'Lionhead Pig Cost'!AE25+'Lionhead Ext. Pig Cost'!AE25+'Villa Pig Cost'!AE25+'Richlands Pig Cost'!AE25</f>
        <v>0</v>
      </c>
      <c r="AF23" s="807">
        <f>+'Grasmere Pig Cost'!AF25+'Learig Pig Cost'!AF25+'Lionhead Pig Cost'!AF25+'Lionhead Ext. Pig Cost'!AF25+'Villa Pig Cost'!AF25+'Richlands Pig Cost'!AF25</f>
        <v>-1</v>
      </c>
      <c r="AG23" s="807">
        <f>+'Grasmere Pig Cost'!AG25+'Learig Pig Cost'!AG25+'Lionhead Pig Cost'!AG25+'Lionhead Ext. Pig Cost'!AG25+'Villa Pig Cost'!AG25+'Richlands Pig Cost'!AG25</f>
        <v>0</v>
      </c>
      <c r="AH23" s="807">
        <f>+'Grasmere Pig Cost'!AH25+'Learig Pig Cost'!AH25+'Lionhead Pig Cost'!AH25+'Lionhead Ext. Pig Cost'!AH25+'Villa Pig Cost'!AH25+'Richlands Pig Cost'!AH25</f>
        <v>-1</v>
      </c>
      <c r="AI23" s="807">
        <f>+'Grasmere Pig Cost'!AI25+'Learig Pig Cost'!AI25+'Lionhead Pig Cost'!AI25+'Lionhead Ext. Pig Cost'!AI25+'Villa Pig Cost'!AI25+'Richlands Pig Cost'!AI25</f>
        <v>0</v>
      </c>
      <c r="AJ23" s="807">
        <f>+'Grasmere Pig Cost'!AJ25+'Learig Pig Cost'!AJ25+'Lionhead Pig Cost'!AJ25+'Lionhead Ext. Pig Cost'!AJ25+'Villa Pig Cost'!AJ25+'Richlands Pig Cost'!AJ25</f>
        <v>0</v>
      </c>
      <c r="AK23" s="807">
        <f>+'Grasmere Pig Cost'!AK25+'Learig Pig Cost'!AK25+'Lionhead Pig Cost'!AK25+'Lionhead Ext. Pig Cost'!AK25+'Villa Pig Cost'!AK25+'Richlands Pig Cost'!AK25</f>
        <v>-1</v>
      </c>
      <c r="AL23" s="807">
        <f>+'Grasmere Pig Cost'!AL25+'Learig Pig Cost'!AL25+'Lionhead Pig Cost'!AL25+'Lionhead Ext. Pig Cost'!AL25+'Villa Pig Cost'!AL25+'Richlands Pig Cost'!AL25</f>
        <v>0</v>
      </c>
      <c r="AM23" s="807">
        <f>+'Grasmere Pig Cost'!AM25+'Learig Pig Cost'!AM25+'Lionhead Pig Cost'!AM25+'Lionhead Ext. Pig Cost'!AM25+'Villa Pig Cost'!AM25+'Richlands Pig Cost'!AM25</f>
        <v>0</v>
      </c>
      <c r="AN23" s="807">
        <f>+'Grasmere Pig Cost'!AN25+'Learig Pig Cost'!AN25+'Lionhead Pig Cost'!AN25+'Lionhead Ext. Pig Cost'!AN25+'Villa Pig Cost'!AN25+'Richlands Pig Cost'!AN25</f>
        <v>-2</v>
      </c>
      <c r="AO23" s="807">
        <f>+'Grasmere Pig Cost'!AO25+'Learig Pig Cost'!AO25+'Lionhead Pig Cost'!AO25+'Lionhead Ext. Pig Cost'!AO25+'Villa Pig Cost'!AO25+'Richlands Pig Cost'!AO25</f>
        <v>-8</v>
      </c>
      <c r="AP23" s="807">
        <f>+'Grasmere Pig Cost'!AP25+'Learig Pig Cost'!AP25+'Lionhead Pig Cost'!AP25+'Lionhead Ext. Pig Cost'!AP25+'Villa Pig Cost'!AP25+'Richlands Pig Cost'!AP25</f>
        <v>-9</v>
      </c>
      <c r="AQ23" s="807">
        <f>+'Grasmere Pig Cost'!AQ25+'Learig Pig Cost'!AQ25+'Lionhead Pig Cost'!AQ25+'Lionhead Ext. Pig Cost'!AQ25+'Villa Pig Cost'!AQ25+'Richlands Pig Cost'!AQ25</f>
        <v>-1</v>
      </c>
      <c r="AR23" s="807">
        <f>+'Grasmere Pig Cost'!AR25+'Learig Pig Cost'!AR25+'Lionhead Pig Cost'!AR25+'Lionhead Ext. Pig Cost'!AR25+'Villa Pig Cost'!AR25+'Richlands Pig Cost'!AR25</f>
        <v>-2</v>
      </c>
      <c r="AS23" s="807">
        <f>+'Grasmere Pig Cost'!AS25+'Learig Pig Cost'!AS25+'Lionhead Pig Cost'!AS25+'Lionhead Ext. Pig Cost'!AS25+'Villa Pig Cost'!AS25+'Richlands Pig Cost'!AS25</f>
        <v>-2</v>
      </c>
      <c r="AT23" s="807">
        <f>+'Grasmere Pig Cost'!AT25+'Learig Pig Cost'!AT25+'Lionhead Pig Cost'!AT25+'Lionhead Ext. Pig Cost'!AT25+'Villa Pig Cost'!AT25+'Richlands Pig Cost'!AT25</f>
        <v>-1</v>
      </c>
      <c r="AU23" s="1086">
        <f t="shared" ref="AU23:AU26" si="11">SUM(B23:AT23)</f>
        <v>-28</v>
      </c>
      <c r="AV23" s="1086">
        <f>SUM('Summary Total Pigs'!Z186:Z188)</f>
        <v>-51</v>
      </c>
      <c r="AW23" s="818">
        <f t="shared" si="8"/>
        <v>23</v>
      </c>
      <c r="AX23" s="817"/>
    </row>
    <row r="24" spans="1:54" ht="15.6">
      <c r="A24" s="142" t="s">
        <v>231</v>
      </c>
      <c r="B24" s="807">
        <f>+'Grasmere Pig Cost'!B26+'Learig Pig Cost'!B26+'Lionhead Pig Cost'!B26+'Lionhead Ext. Pig Cost'!B26+'Villa Pig Cost'!B26+'Richlands Pig Cost'!B26</f>
        <v>0</v>
      </c>
      <c r="C24" s="807">
        <f>+'Grasmere Pig Cost'!C26+'Learig Pig Cost'!C26+'Lionhead Pig Cost'!C26+'Lionhead Ext. Pig Cost'!C26+'Villa Pig Cost'!C26+'Richlands Pig Cost'!C26</f>
        <v>0</v>
      </c>
      <c r="D24" s="807">
        <f>+'Grasmere Pig Cost'!D26+'Learig Pig Cost'!D26+'Lionhead Pig Cost'!D26+'Lionhead Ext. Pig Cost'!D26+'Villa Pig Cost'!D26+'Richlands Pig Cost'!D26</f>
        <v>0</v>
      </c>
      <c r="E24" s="807">
        <f>+'Grasmere Pig Cost'!E26+'Learig Pig Cost'!E26+'Lionhead Pig Cost'!E26+'Lionhead Ext. Pig Cost'!E26+'Villa Pig Cost'!E26+'Richlands Pig Cost'!E26</f>
        <v>0</v>
      </c>
      <c r="F24" s="807">
        <f>+'Grasmere Pig Cost'!F26+'Learig Pig Cost'!F26+'Lionhead Pig Cost'!F26+'Lionhead Ext. Pig Cost'!F26+'Villa Pig Cost'!F26+'Richlands Pig Cost'!F26</f>
        <v>0</v>
      </c>
      <c r="G24" s="807">
        <f>+'Grasmere Pig Cost'!G26+'Learig Pig Cost'!G26+'Lionhead Pig Cost'!G26+'Lionhead Ext. Pig Cost'!G26+'Villa Pig Cost'!G26+'Richlands Pig Cost'!G26</f>
        <v>0</v>
      </c>
      <c r="H24" s="807">
        <f>+'Grasmere Pig Cost'!H26+'Learig Pig Cost'!H26+'Lionhead Pig Cost'!H26+'Lionhead Ext. Pig Cost'!H26+'Villa Pig Cost'!H26+'Richlands Pig Cost'!H26</f>
        <v>0</v>
      </c>
      <c r="I24" s="807">
        <f>+'Grasmere Pig Cost'!I26+'Learig Pig Cost'!I26+'Lionhead Pig Cost'!I26+'Lionhead Ext. Pig Cost'!I26+'Villa Pig Cost'!I26+'Richlands Pig Cost'!I26</f>
        <v>0</v>
      </c>
      <c r="J24" s="807">
        <f>+'Grasmere Pig Cost'!J26+'Learig Pig Cost'!J26+'Lionhead Pig Cost'!J26+'Lionhead Ext. Pig Cost'!J26+'Villa Pig Cost'!J26+'Richlands Pig Cost'!J26</f>
        <v>0</v>
      </c>
      <c r="K24" s="807">
        <f>+'Grasmere Pig Cost'!K26+'Learig Pig Cost'!K26+'Lionhead Pig Cost'!K26+'Lionhead Ext. Pig Cost'!K26+'Villa Pig Cost'!K26+'Richlands Pig Cost'!K26</f>
        <v>0</v>
      </c>
      <c r="L24" s="807">
        <f>+'Grasmere Pig Cost'!L26+'Learig Pig Cost'!L26+'Lionhead Pig Cost'!L26+'Lionhead Ext. Pig Cost'!L26+'Villa Pig Cost'!L26+'Richlands Pig Cost'!L26</f>
        <v>0</v>
      </c>
      <c r="M24" s="807">
        <f>+'Grasmere Pig Cost'!M26+'Learig Pig Cost'!M26+'Lionhead Pig Cost'!M26+'Lionhead Ext. Pig Cost'!M26+'Villa Pig Cost'!M26+'Richlands Pig Cost'!M26</f>
        <v>0</v>
      </c>
      <c r="N24" s="807">
        <f>+'Grasmere Pig Cost'!N26+'Learig Pig Cost'!N26+'Lionhead Pig Cost'!N26+'Lionhead Ext. Pig Cost'!N26+'Villa Pig Cost'!N26+'Richlands Pig Cost'!N26</f>
        <v>0</v>
      </c>
      <c r="O24" s="807">
        <f>+'Grasmere Pig Cost'!O26+'Learig Pig Cost'!O26+'Lionhead Pig Cost'!O26+'Lionhead Ext. Pig Cost'!O26+'Villa Pig Cost'!O26+'Richlands Pig Cost'!O26</f>
        <v>0</v>
      </c>
      <c r="P24" s="807">
        <f>+'Grasmere Pig Cost'!P26+'Learig Pig Cost'!P26+'Lionhead Pig Cost'!P26+'Lionhead Ext. Pig Cost'!P26+'Villa Pig Cost'!P26+'Richlands Pig Cost'!P26</f>
        <v>0</v>
      </c>
      <c r="Q24" s="807">
        <f>+'Grasmere Pig Cost'!Q26+'Learig Pig Cost'!Q26+'Lionhead Pig Cost'!Q26+'Lionhead Ext. Pig Cost'!Q26+'Villa Pig Cost'!Q26+'Richlands Pig Cost'!Q26</f>
        <v>0</v>
      </c>
      <c r="R24" s="807">
        <f>+'Grasmere Pig Cost'!R26+'Learig Pig Cost'!R26+'Lionhead Pig Cost'!R26+'Lionhead Ext. Pig Cost'!R26+'Villa Pig Cost'!R26+'Richlands Pig Cost'!R26</f>
        <v>0</v>
      </c>
      <c r="S24" s="807">
        <f>+'Grasmere Pig Cost'!S26+'Learig Pig Cost'!S26+'Lionhead Pig Cost'!S26+'Lionhead Ext. Pig Cost'!S26+'Villa Pig Cost'!S26+'Richlands Pig Cost'!S26</f>
        <v>0</v>
      </c>
      <c r="T24" s="807">
        <f>+'Grasmere Pig Cost'!T26+'Learig Pig Cost'!T26+'Lionhead Pig Cost'!T26+'Lionhead Ext. Pig Cost'!T26+'Villa Pig Cost'!T26+'Richlands Pig Cost'!T26</f>
        <v>0</v>
      </c>
      <c r="U24" s="807">
        <f>+'Grasmere Pig Cost'!U26+'Learig Pig Cost'!U26+'Lionhead Pig Cost'!U26+'Lionhead Ext. Pig Cost'!U26+'Villa Pig Cost'!U26+'Richlands Pig Cost'!U26</f>
        <v>0</v>
      </c>
      <c r="V24" s="807">
        <f>+'Grasmere Pig Cost'!V26+'Learig Pig Cost'!V26+'Lionhead Pig Cost'!V26+'Lionhead Ext. Pig Cost'!V26+'Villa Pig Cost'!V26+'Richlands Pig Cost'!V26</f>
        <v>0</v>
      </c>
      <c r="W24" s="807">
        <f>+'Grasmere Pig Cost'!W26+'Learig Pig Cost'!W26+'Lionhead Pig Cost'!W26+'Lionhead Ext. Pig Cost'!W26+'Villa Pig Cost'!W26+'Richlands Pig Cost'!W26</f>
        <v>0</v>
      </c>
      <c r="X24" s="807">
        <f>+'Grasmere Pig Cost'!X26+'Learig Pig Cost'!X26+'Lionhead Pig Cost'!X26+'Lionhead Ext. Pig Cost'!X26+'Villa Pig Cost'!X26+'Richlands Pig Cost'!X26</f>
        <v>0</v>
      </c>
      <c r="Y24" s="807">
        <f>+'Grasmere Pig Cost'!Y26+'Learig Pig Cost'!Y26+'Lionhead Pig Cost'!Y26+'Lionhead Ext. Pig Cost'!Y26+'Villa Pig Cost'!Y26+'Richlands Pig Cost'!Y26</f>
        <v>0</v>
      </c>
      <c r="Z24" s="807">
        <f>+'Grasmere Pig Cost'!Z26+'Learig Pig Cost'!Z26+'Lionhead Pig Cost'!Z26+'Lionhead Ext. Pig Cost'!Z26+'Villa Pig Cost'!Z26+'Richlands Pig Cost'!Z26</f>
        <v>0</v>
      </c>
      <c r="AA24" s="807">
        <f>+'Grasmere Pig Cost'!AA26+'Learig Pig Cost'!AA26+'Lionhead Pig Cost'!AA26+'Lionhead Ext. Pig Cost'!AA26+'Villa Pig Cost'!AA26+'Richlands Pig Cost'!AA26</f>
        <v>0</v>
      </c>
      <c r="AB24" s="807">
        <f>+'Grasmere Pig Cost'!AB26+'Learig Pig Cost'!AB26+'Lionhead Pig Cost'!AB26+'Lionhead Ext. Pig Cost'!AB26+'Villa Pig Cost'!AB26+'Richlands Pig Cost'!AB26</f>
        <v>0</v>
      </c>
      <c r="AC24" s="807">
        <f>+'Grasmere Pig Cost'!AC26+'Learig Pig Cost'!AC26+'Lionhead Pig Cost'!AC26+'Lionhead Ext. Pig Cost'!AC26+'Villa Pig Cost'!AC26+'Richlands Pig Cost'!AC26</f>
        <v>0</v>
      </c>
      <c r="AD24" s="807">
        <f>+'Grasmere Pig Cost'!AD26+'Learig Pig Cost'!AD26+'Lionhead Pig Cost'!AD26+'Lionhead Ext. Pig Cost'!AD26+'Villa Pig Cost'!AD26+'Richlands Pig Cost'!AD26</f>
        <v>0</v>
      </c>
      <c r="AE24" s="807">
        <f>+'Grasmere Pig Cost'!AE26+'Learig Pig Cost'!AE26+'Lionhead Pig Cost'!AE26+'Lionhead Ext. Pig Cost'!AE26+'Villa Pig Cost'!AE26+'Richlands Pig Cost'!AE26</f>
        <v>0</v>
      </c>
      <c r="AF24" s="807">
        <f>+'Grasmere Pig Cost'!AF26+'Learig Pig Cost'!AF26+'Lionhead Pig Cost'!AF26+'Lionhead Ext. Pig Cost'!AF26+'Villa Pig Cost'!AF26+'Richlands Pig Cost'!AF26</f>
        <v>0</v>
      </c>
      <c r="AG24" s="807">
        <f>+'Grasmere Pig Cost'!AG26+'Learig Pig Cost'!AG26+'Lionhead Pig Cost'!AG26+'Lionhead Ext. Pig Cost'!AG26+'Villa Pig Cost'!AG26+'Richlands Pig Cost'!AG26</f>
        <v>0</v>
      </c>
      <c r="AH24" s="807">
        <f>+'Grasmere Pig Cost'!AH26+'Learig Pig Cost'!AH26+'Lionhead Pig Cost'!AH26+'Lionhead Ext. Pig Cost'!AH26+'Villa Pig Cost'!AH26+'Richlands Pig Cost'!AH26</f>
        <v>0</v>
      </c>
      <c r="AI24" s="807">
        <f>+'Grasmere Pig Cost'!AI26+'Learig Pig Cost'!AI26+'Lionhead Pig Cost'!AI26+'Lionhead Ext. Pig Cost'!AI26+'Villa Pig Cost'!AI26+'Richlands Pig Cost'!AI26</f>
        <v>0</v>
      </c>
      <c r="AJ24" s="807">
        <f>+'Grasmere Pig Cost'!AJ26+'Learig Pig Cost'!AJ26+'Lionhead Pig Cost'!AJ26+'Lionhead Ext. Pig Cost'!AJ26+'Villa Pig Cost'!AJ26+'Richlands Pig Cost'!AJ26</f>
        <v>0</v>
      </c>
      <c r="AK24" s="807">
        <f>+'Grasmere Pig Cost'!AK26+'Learig Pig Cost'!AK26+'Lionhead Pig Cost'!AK26+'Lionhead Ext. Pig Cost'!AK26+'Villa Pig Cost'!AK26+'Richlands Pig Cost'!AK26</f>
        <v>0</v>
      </c>
      <c r="AL24" s="807">
        <f>+'Grasmere Pig Cost'!AL26+'Learig Pig Cost'!AL26+'Lionhead Pig Cost'!AL26+'Lionhead Ext. Pig Cost'!AL26+'Villa Pig Cost'!AL26+'Richlands Pig Cost'!AL26</f>
        <v>0</v>
      </c>
      <c r="AM24" s="807">
        <f>+'Grasmere Pig Cost'!AM26+'Learig Pig Cost'!AM26+'Lionhead Pig Cost'!AM26+'Lionhead Ext. Pig Cost'!AM26+'Villa Pig Cost'!AM26+'Richlands Pig Cost'!AM26</f>
        <v>0</v>
      </c>
      <c r="AN24" s="807">
        <f>+'Grasmere Pig Cost'!AN26+'Learig Pig Cost'!AN26+'Lionhead Pig Cost'!AN26+'Lionhead Ext. Pig Cost'!AN26+'Villa Pig Cost'!AN26+'Richlands Pig Cost'!AN26</f>
        <v>0</v>
      </c>
      <c r="AO24" s="807">
        <f>+'Grasmere Pig Cost'!AO26+'Learig Pig Cost'!AO26+'Lionhead Pig Cost'!AO26+'Lionhead Ext. Pig Cost'!AO26+'Villa Pig Cost'!AO26+'Richlands Pig Cost'!AO26</f>
        <v>0</v>
      </c>
      <c r="AP24" s="807">
        <f>+'Grasmere Pig Cost'!AP26+'Learig Pig Cost'!AP26+'Lionhead Pig Cost'!AP26+'Lionhead Ext. Pig Cost'!AP26+'Villa Pig Cost'!AP26+'Richlands Pig Cost'!AP26</f>
        <v>0</v>
      </c>
      <c r="AQ24" s="807">
        <f>+'Grasmere Pig Cost'!AQ26+'Learig Pig Cost'!AQ26+'Lionhead Pig Cost'!AQ26+'Lionhead Ext. Pig Cost'!AQ26+'Villa Pig Cost'!AQ26+'Richlands Pig Cost'!AQ26</f>
        <v>0</v>
      </c>
      <c r="AR24" s="807">
        <f>+'Grasmere Pig Cost'!AR26+'Learig Pig Cost'!AR26+'Lionhead Pig Cost'!AR26+'Lionhead Ext. Pig Cost'!AR26+'Villa Pig Cost'!AR26+'Richlands Pig Cost'!AR26</f>
        <v>0</v>
      </c>
      <c r="AS24" s="807">
        <f>+'Grasmere Pig Cost'!AS26+'Learig Pig Cost'!AS26+'Lionhead Pig Cost'!AS26+'Lionhead Ext. Pig Cost'!AS26+'Villa Pig Cost'!AS26+'Richlands Pig Cost'!AS26</f>
        <v>0</v>
      </c>
      <c r="AT24" s="807">
        <f>+'Grasmere Pig Cost'!AT26+'Learig Pig Cost'!AT26+'Lionhead Pig Cost'!AT26+'Lionhead Ext. Pig Cost'!AT26+'Villa Pig Cost'!AT26+'Richlands Pig Cost'!AT26</f>
        <v>0</v>
      </c>
      <c r="AU24" s="1086">
        <f t="shared" si="11"/>
        <v>0</v>
      </c>
      <c r="AV24" s="1086">
        <f>SUM('Summary Total Pigs'!AB186:AB188)</f>
        <v>0</v>
      </c>
      <c r="AW24" s="818">
        <f t="shared" si="8"/>
        <v>0</v>
      </c>
      <c r="AX24" s="817"/>
    </row>
    <row r="25" spans="1:54" ht="15.6">
      <c r="A25" s="142" t="s">
        <v>232</v>
      </c>
      <c r="B25" s="807">
        <f>+'Grasmere Pig Cost'!B27+'Learig Pig Cost'!B27+'Lionhead Pig Cost'!B27+'Lionhead Ext. Pig Cost'!B27+'Villa Pig Cost'!B27+'Richlands Pig Cost'!B27</f>
        <v>0</v>
      </c>
      <c r="C25" s="807">
        <f>+'Grasmere Pig Cost'!C27+'Learig Pig Cost'!C27+'Lionhead Pig Cost'!C27+'Lionhead Ext. Pig Cost'!C27+'Villa Pig Cost'!C27+'Richlands Pig Cost'!C27</f>
        <v>0</v>
      </c>
      <c r="D25" s="807">
        <f>+'Grasmere Pig Cost'!D27+'Learig Pig Cost'!D27+'Lionhead Pig Cost'!D27+'Lionhead Ext. Pig Cost'!D27+'Villa Pig Cost'!D27+'Richlands Pig Cost'!D27</f>
        <v>0</v>
      </c>
      <c r="E25" s="807">
        <f>+'Grasmere Pig Cost'!E27+'Learig Pig Cost'!E27+'Lionhead Pig Cost'!E27+'Lionhead Ext. Pig Cost'!E27+'Villa Pig Cost'!E27+'Richlands Pig Cost'!E27</f>
        <v>0</v>
      </c>
      <c r="F25" s="807">
        <f>+'Grasmere Pig Cost'!F27+'Learig Pig Cost'!F27+'Lionhead Pig Cost'!F27+'Lionhead Ext. Pig Cost'!F27+'Villa Pig Cost'!F27+'Richlands Pig Cost'!F27</f>
        <v>0</v>
      </c>
      <c r="G25" s="807">
        <f>+'Grasmere Pig Cost'!G27+'Learig Pig Cost'!G27+'Lionhead Pig Cost'!G27+'Lionhead Ext. Pig Cost'!G27+'Villa Pig Cost'!G27+'Richlands Pig Cost'!G27</f>
        <v>0</v>
      </c>
      <c r="H25" s="807">
        <f>+'Grasmere Pig Cost'!H27+'Learig Pig Cost'!H27+'Lionhead Pig Cost'!H27+'Lionhead Ext. Pig Cost'!H27+'Villa Pig Cost'!H27+'Richlands Pig Cost'!H27</f>
        <v>0</v>
      </c>
      <c r="I25" s="807">
        <f>+'Grasmere Pig Cost'!I27+'Learig Pig Cost'!I27+'Lionhead Pig Cost'!I27+'Lionhead Ext. Pig Cost'!I27+'Villa Pig Cost'!I27+'Richlands Pig Cost'!I27</f>
        <v>0</v>
      </c>
      <c r="J25" s="807">
        <f>+'Grasmere Pig Cost'!J27+'Learig Pig Cost'!J27+'Lionhead Pig Cost'!J27+'Lionhead Ext. Pig Cost'!J27+'Villa Pig Cost'!J27+'Richlands Pig Cost'!J27</f>
        <v>0</v>
      </c>
      <c r="K25" s="807">
        <f>+'Grasmere Pig Cost'!K27+'Learig Pig Cost'!K27+'Lionhead Pig Cost'!K27+'Lionhead Ext. Pig Cost'!K27+'Villa Pig Cost'!K27+'Richlands Pig Cost'!K27</f>
        <v>0</v>
      </c>
      <c r="L25" s="807">
        <f>+'Grasmere Pig Cost'!L27+'Learig Pig Cost'!L27+'Lionhead Pig Cost'!L27+'Lionhead Ext. Pig Cost'!L27+'Villa Pig Cost'!L27+'Richlands Pig Cost'!L27</f>
        <v>0</v>
      </c>
      <c r="M25" s="807">
        <f>+'Grasmere Pig Cost'!M27+'Learig Pig Cost'!M27+'Lionhead Pig Cost'!M27+'Lionhead Ext. Pig Cost'!M27+'Villa Pig Cost'!M27+'Richlands Pig Cost'!M27</f>
        <v>0</v>
      </c>
      <c r="N25" s="807">
        <f>+'Grasmere Pig Cost'!N27+'Learig Pig Cost'!N27+'Lionhead Pig Cost'!N27+'Lionhead Ext. Pig Cost'!N27+'Villa Pig Cost'!N27+'Richlands Pig Cost'!N27</f>
        <v>0</v>
      </c>
      <c r="O25" s="807">
        <f>+'Grasmere Pig Cost'!O27+'Learig Pig Cost'!O27+'Lionhead Pig Cost'!O27+'Lionhead Ext. Pig Cost'!O27+'Villa Pig Cost'!O27+'Richlands Pig Cost'!O27</f>
        <v>0</v>
      </c>
      <c r="P25" s="807">
        <f>+'Grasmere Pig Cost'!P27+'Learig Pig Cost'!P27+'Lionhead Pig Cost'!P27+'Lionhead Ext. Pig Cost'!P27+'Villa Pig Cost'!P27+'Richlands Pig Cost'!P27</f>
        <v>0</v>
      </c>
      <c r="Q25" s="807">
        <f>+'Grasmere Pig Cost'!Q27+'Learig Pig Cost'!Q27+'Lionhead Pig Cost'!Q27+'Lionhead Ext. Pig Cost'!Q27+'Villa Pig Cost'!Q27+'Richlands Pig Cost'!Q27</f>
        <v>0</v>
      </c>
      <c r="R25" s="807">
        <f>+'Grasmere Pig Cost'!R27+'Learig Pig Cost'!R27+'Lionhead Pig Cost'!R27+'Lionhead Ext. Pig Cost'!R27+'Villa Pig Cost'!R27+'Richlands Pig Cost'!R27</f>
        <v>0</v>
      </c>
      <c r="S25" s="807">
        <f>+'Grasmere Pig Cost'!S27+'Learig Pig Cost'!S27+'Lionhead Pig Cost'!S27+'Lionhead Ext. Pig Cost'!S27+'Villa Pig Cost'!S27+'Richlands Pig Cost'!S27</f>
        <v>0</v>
      </c>
      <c r="T25" s="807">
        <f>+'Grasmere Pig Cost'!T27+'Learig Pig Cost'!T27+'Lionhead Pig Cost'!T27+'Lionhead Ext. Pig Cost'!T27+'Villa Pig Cost'!T27+'Richlands Pig Cost'!T27</f>
        <v>0</v>
      </c>
      <c r="U25" s="807">
        <f>+'Grasmere Pig Cost'!U27+'Learig Pig Cost'!U27+'Lionhead Pig Cost'!U27+'Lionhead Ext. Pig Cost'!U27+'Villa Pig Cost'!U27+'Richlands Pig Cost'!U27</f>
        <v>0</v>
      </c>
      <c r="V25" s="807">
        <f>+'Grasmere Pig Cost'!V27+'Learig Pig Cost'!V27+'Lionhead Pig Cost'!V27+'Lionhead Ext. Pig Cost'!V27+'Villa Pig Cost'!V27+'Richlands Pig Cost'!V27</f>
        <v>0</v>
      </c>
      <c r="W25" s="807">
        <f>+'Grasmere Pig Cost'!W27+'Learig Pig Cost'!W27+'Lionhead Pig Cost'!W27+'Lionhead Ext. Pig Cost'!W27+'Villa Pig Cost'!W27+'Richlands Pig Cost'!W27</f>
        <v>0</v>
      </c>
      <c r="X25" s="807">
        <f>+'Grasmere Pig Cost'!X27+'Learig Pig Cost'!X27+'Lionhead Pig Cost'!X27+'Lionhead Ext. Pig Cost'!X27+'Villa Pig Cost'!X27+'Richlands Pig Cost'!X27</f>
        <v>0</v>
      </c>
      <c r="Y25" s="807">
        <f>+'Grasmere Pig Cost'!Y27+'Learig Pig Cost'!Y27+'Lionhead Pig Cost'!Y27+'Lionhead Ext. Pig Cost'!Y27+'Villa Pig Cost'!Y27+'Richlands Pig Cost'!Y27</f>
        <v>0</v>
      </c>
      <c r="Z25" s="807">
        <f>+'Grasmere Pig Cost'!Z27+'Learig Pig Cost'!Z27+'Lionhead Pig Cost'!Z27+'Lionhead Ext. Pig Cost'!Z27+'Villa Pig Cost'!Z27+'Richlands Pig Cost'!Z27</f>
        <v>0</v>
      </c>
      <c r="AA25" s="807">
        <f>+'Grasmere Pig Cost'!AA27+'Learig Pig Cost'!AA27+'Lionhead Pig Cost'!AA27+'Lionhead Ext. Pig Cost'!AA27+'Villa Pig Cost'!AA27+'Richlands Pig Cost'!AA27</f>
        <v>0</v>
      </c>
      <c r="AB25" s="807">
        <f>+'Grasmere Pig Cost'!AB27+'Learig Pig Cost'!AB27+'Lionhead Pig Cost'!AB27+'Lionhead Ext. Pig Cost'!AB27+'Villa Pig Cost'!AB27+'Richlands Pig Cost'!AB27</f>
        <v>0</v>
      </c>
      <c r="AC25" s="807">
        <f>+'Grasmere Pig Cost'!AC27+'Learig Pig Cost'!AC27+'Lionhead Pig Cost'!AC27+'Lionhead Ext. Pig Cost'!AC27+'Villa Pig Cost'!AC27+'Richlands Pig Cost'!AC27</f>
        <v>0</v>
      </c>
      <c r="AD25" s="807">
        <f>+'Grasmere Pig Cost'!AD27+'Learig Pig Cost'!AD27+'Lionhead Pig Cost'!AD27+'Lionhead Ext. Pig Cost'!AD27+'Villa Pig Cost'!AD27+'Richlands Pig Cost'!AD27</f>
        <v>0</v>
      </c>
      <c r="AE25" s="807">
        <f>+'Grasmere Pig Cost'!AE27+'Learig Pig Cost'!AE27+'Lionhead Pig Cost'!AE27+'Lionhead Ext. Pig Cost'!AE27+'Villa Pig Cost'!AE27+'Richlands Pig Cost'!AE27</f>
        <v>0</v>
      </c>
      <c r="AF25" s="807">
        <f>+'Grasmere Pig Cost'!AF27+'Learig Pig Cost'!AF27+'Lionhead Pig Cost'!AF27+'Lionhead Ext. Pig Cost'!AF27+'Villa Pig Cost'!AF27+'Richlands Pig Cost'!AF27</f>
        <v>0</v>
      </c>
      <c r="AG25" s="807">
        <f>+'Grasmere Pig Cost'!AG27+'Learig Pig Cost'!AG27+'Lionhead Pig Cost'!AG27+'Lionhead Ext. Pig Cost'!AG27+'Villa Pig Cost'!AG27+'Richlands Pig Cost'!AG27</f>
        <v>0</v>
      </c>
      <c r="AH25" s="807">
        <f>+'Grasmere Pig Cost'!AH27+'Learig Pig Cost'!AH27+'Lionhead Pig Cost'!AH27+'Lionhead Ext. Pig Cost'!AH27+'Villa Pig Cost'!AH27+'Richlands Pig Cost'!AH27</f>
        <v>0</v>
      </c>
      <c r="AI25" s="807">
        <f>+'Grasmere Pig Cost'!AI27+'Learig Pig Cost'!AI27+'Lionhead Pig Cost'!AI27+'Lionhead Ext. Pig Cost'!AI27+'Villa Pig Cost'!AI27+'Richlands Pig Cost'!AI27</f>
        <v>0</v>
      </c>
      <c r="AJ25" s="807">
        <f>+'Grasmere Pig Cost'!AJ27+'Learig Pig Cost'!AJ27+'Lionhead Pig Cost'!AJ27+'Lionhead Ext. Pig Cost'!AJ27+'Villa Pig Cost'!AJ27+'Richlands Pig Cost'!AJ27</f>
        <v>0</v>
      </c>
      <c r="AK25" s="807">
        <f>+'Grasmere Pig Cost'!AK27+'Learig Pig Cost'!AK27+'Lionhead Pig Cost'!AK27+'Lionhead Ext. Pig Cost'!AK27+'Villa Pig Cost'!AK27+'Richlands Pig Cost'!AK27</f>
        <v>0</v>
      </c>
      <c r="AL25" s="807">
        <f>+'Grasmere Pig Cost'!AL27+'Learig Pig Cost'!AL27+'Lionhead Pig Cost'!AL27+'Lionhead Ext. Pig Cost'!AL27+'Villa Pig Cost'!AL27+'Richlands Pig Cost'!AL27</f>
        <v>0</v>
      </c>
      <c r="AM25" s="807">
        <f>+'Grasmere Pig Cost'!AM27+'Learig Pig Cost'!AM27+'Lionhead Pig Cost'!AM27+'Lionhead Ext. Pig Cost'!AM27+'Villa Pig Cost'!AM27+'Richlands Pig Cost'!AM27</f>
        <v>0</v>
      </c>
      <c r="AN25" s="807">
        <f>+'Grasmere Pig Cost'!AN27+'Learig Pig Cost'!AN27+'Lionhead Pig Cost'!AN27+'Lionhead Ext. Pig Cost'!AN27+'Villa Pig Cost'!AN27+'Richlands Pig Cost'!AN27</f>
        <v>0</v>
      </c>
      <c r="AO25" s="807">
        <f>+'Grasmere Pig Cost'!AO27+'Learig Pig Cost'!AO27+'Lionhead Pig Cost'!AO27+'Lionhead Ext. Pig Cost'!AO27+'Villa Pig Cost'!AO27+'Richlands Pig Cost'!AO27</f>
        <v>-15</v>
      </c>
      <c r="AP25" s="807">
        <f>+'Grasmere Pig Cost'!AP27+'Learig Pig Cost'!AP27+'Lionhead Pig Cost'!AP27+'Lionhead Ext. Pig Cost'!AP27+'Villa Pig Cost'!AP27+'Richlands Pig Cost'!AP27</f>
        <v>0</v>
      </c>
      <c r="AQ25" s="807">
        <f>+'Grasmere Pig Cost'!AQ27+'Learig Pig Cost'!AQ27+'Lionhead Pig Cost'!AQ27+'Lionhead Ext. Pig Cost'!AQ27+'Villa Pig Cost'!AQ27+'Richlands Pig Cost'!AQ27</f>
        <v>-3</v>
      </c>
      <c r="AR25" s="807">
        <f>+'Grasmere Pig Cost'!AR27+'Learig Pig Cost'!AR27+'Lionhead Pig Cost'!AR27+'Lionhead Ext. Pig Cost'!AR27+'Villa Pig Cost'!AR27+'Richlands Pig Cost'!AR27</f>
        <v>0</v>
      </c>
      <c r="AS25" s="807">
        <f>+'Grasmere Pig Cost'!AS27+'Learig Pig Cost'!AS27+'Lionhead Pig Cost'!AS27+'Lionhead Ext. Pig Cost'!AS27+'Villa Pig Cost'!AS27+'Richlands Pig Cost'!AS27</f>
        <v>0</v>
      </c>
      <c r="AT25" s="807">
        <f>+'Grasmere Pig Cost'!AT27+'Learig Pig Cost'!AT27+'Lionhead Pig Cost'!AT27+'Lionhead Ext. Pig Cost'!AT27+'Villa Pig Cost'!AT27+'Richlands Pig Cost'!AT27</f>
        <v>0</v>
      </c>
      <c r="AU25" s="1086">
        <f t="shared" si="11"/>
        <v>-18</v>
      </c>
      <c r="AV25" s="1086">
        <f>SUM('Summary Total Pigs'!AC186:AC188)</f>
        <v>-18</v>
      </c>
      <c r="AW25" s="818">
        <f t="shared" si="8"/>
        <v>0</v>
      </c>
      <c r="AX25" s="818"/>
      <c r="AZ25" s="1091">
        <f>11492-11455</f>
        <v>37</v>
      </c>
    </row>
    <row r="26" spans="1:54" ht="16.149999999999999" thickBot="1">
      <c r="A26" s="1560" t="s">
        <v>1801</v>
      </c>
      <c r="B26" s="807">
        <f>+'Grasmere Pig Cost'!B28+'Learig Pig Cost'!B28+'Lionhead Pig Cost'!B28+'Lionhead Ext. Pig Cost'!B28+'Villa Pig Cost'!B28+'Richlands Pig Cost'!B28</f>
        <v>0</v>
      </c>
      <c r="C26" s="807">
        <f>+'Grasmere Pig Cost'!C28+'Learig Pig Cost'!C28+'Lionhead Pig Cost'!C28+'Lionhead Ext. Pig Cost'!C28+'Villa Pig Cost'!C28+'Richlands Pig Cost'!C28</f>
        <v>0</v>
      </c>
      <c r="D26" s="807">
        <f>+'Grasmere Pig Cost'!D28+'Learig Pig Cost'!D28+'Lionhead Pig Cost'!D28+'Lionhead Ext. Pig Cost'!D28+'Villa Pig Cost'!D28+'Richlands Pig Cost'!D28</f>
        <v>0</v>
      </c>
      <c r="E26" s="807">
        <f>+'Grasmere Pig Cost'!E28+'Learig Pig Cost'!E28+'Lionhead Pig Cost'!E28+'Lionhead Ext. Pig Cost'!E28+'Villa Pig Cost'!E28+'Richlands Pig Cost'!E28</f>
        <v>0</v>
      </c>
      <c r="F26" s="807">
        <f>+'Grasmere Pig Cost'!F28+'Learig Pig Cost'!F28+'Lionhead Pig Cost'!F28+'Lionhead Ext. Pig Cost'!F28+'Villa Pig Cost'!F28+'Richlands Pig Cost'!F28</f>
        <v>0</v>
      </c>
      <c r="G26" s="807">
        <f>+'Grasmere Pig Cost'!G28+'Learig Pig Cost'!G28+'Lionhead Pig Cost'!G28+'Lionhead Ext. Pig Cost'!G28+'Villa Pig Cost'!G28+'Richlands Pig Cost'!G28</f>
        <v>0</v>
      </c>
      <c r="H26" s="807">
        <f>+'Grasmere Pig Cost'!H28+'Learig Pig Cost'!H28+'Lionhead Pig Cost'!H28+'Lionhead Ext. Pig Cost'!H28+'Villa Pig Cost'!H28+'Richlands Pig Cost'!H28</f>
        <v>0</v>
      </c>
      <c r="I26" s="807">
        <f>+'Grasmere Pig Cost'!I28+'Learig Pig Cost'!I28+'Lionhead Pig Cost'!I28+'Lionhead Ext. Pig Cost'!I28+'Villa Pig Cost'!I28+'Richlands Pig Cost'!I28</f>
        <v>0</v>
      </c>
      <c r="J26" s="807">
        <f>+'Grasmere Pig Cost'!J28+'Learig Pig Cost'!J28+'Lionhead Pig Cost'!J28+'Lionhead Ext. Pig Cost'!J28+'Villa Pig Cost'!J28+'Richlands Pig Cost'!J28</f>
        <v>0</v>
      </c>
      <c r="K26" s="807">
        <f>+'Grasmere Pig Cost'!K28+'Learig Pig Cost'!K28+'Lionhead Pig Cost'!K28+'Lionhead Ext. Pig Cost'!K28+'Villa Pig Cost'!K28+'Richlands Pig Cost'!K28</f>
        <v>0</v>
      </c>
      <c r="L26" s="807">
        <f>+'Grasmere Pig Cost'!L28+'Learig Pig Cost'!L28+'Lionhead Pig Cost'!L28+'Lionhead Ext. Pig Cost'!L28+'Villa Pig Cost'!L28+'Richlands Pig Cost'!L28</f>
        <v>0</v>
      </c>
      <c r="M26" s="807">
        <f>+'Grasmere Pig Cost'!M28+'Learig Pig Cost'!M28+'Lionhead Pig Cost'!M28+'Lionhead Ext. Pig Cost'!M28+'Villa Pig Cost'!M28+'Richlands Pig Cost'!M28</f>
        <v>0</v>
      </c>
      <c r="N26" s="807">
        <f>+'Grasmere Pig Cost'!N28+'Learig Pig Cost'!N28+'Lionhead Pig Cost'!N28+'Lionhead Ext. Pig Cost'!N28+'Villa Pig Cost'!N28+'Richlands Pig Cost'!N28</f>
        <v>0</v>
      </c>
      <c r="O26" s="807">
        <f>+'Grasmere Pig Cost'!O28+'Learig Pig Cost'!O28+'Lionhead Pig Cost'!O28+'Lionhead Ext. Pig Cost'!O28+'Villa Pig Cost'!O28+'Richlands Pig Cost'!O28</f>
        <v>0</v>
      </c>
      <c r="P26" s="807">
        <f>+'Grasmere Pig Cost'!P28+'Learig Pig Cost'!P28+'Lionhead Pig Cost'!P28+'Lionhead Ext. Pig Cost'!P28+'Villa Pig Cost'!P28+'Richlands Pig Cost'!P28</f>
        <v>0</v>
      </c>
      <c r="Q26" s="807">
        <f>+'Grasmere Pig Cost'!Q28+'Learig Pig Cost'!Q28+'Lionhead Pig Cost'!Q28+'Lionhead Ext. Pig Cost'!Q28+'Villa Pig Cost'!Q28+'Richlands Pig Cost'!Q28</f>
        <v>0</v>
      </c>
      <c r="R26" s="807">
        <f>+'Grasmere Pig Cost'!R28+'Learig Pig Cost'!R28+'Lionhead Pig Cost'!R28+'Lionhead Ext. Pig Cost'!R28+'Villa Pig Cost'!R28+'Richlands Pig Cost'!R28</f>
        <v>0</v>
      </c>
      <c r="S26" s="807">
        <f>+'Grasmere Pig Cost'!S28+'Learig Pig Cost'!S28+'Lionhead Pig Cost'!S28+'Lionhead Ext. Pig Cost'!S28+'Villa Pig Cost'!S28+'Richlands Pig Cost'!S28</f>
        <v>0</v>
      </c>
      <c r="T26" s="807">
        <f>+'Grasmere Pig Cost'!T28+'Learig Pig Cost'!T28+'Lionhead Pig Cost'!T28+'Lionhead Ext. Pig Cost'!T28+'Villa Pig Cost'!T28+'Richlands Pig Cost'!T28</f>
        <v>0</v>
      </c>
      <c r="U26" s="807">
        <f>+'Grasmere Pig Cost'!U28+'Learig Pig Cost'!U28+'Lionhead Pig Cost'!U28+'Lionhead Ext. Pig Cost'!U28+'Villa Pig Cost'!U28+'Richlands Pig Cost'!U28</f>
        <v>0</v>
      </c>
      <c r="V26" s="807">
        <f>+'Grasmere Pig Cost'!V28+'Learig Pig Cost'!V28+'Lionhead Pig Cost'!V28+'Lionhead Ext. Pig Cost'!V28+'Villa Pig Cost'!V28+'Richlands Pig Cost'!V28</f>
        <v>0</v>
      </c>
      <c r="W26" s="807">
        <f>+'Grasmere Pig Cost'!W28+'Learig Pig Cost'!W28+'Lionhead Pig Cost'!W28+'Lionhead Ext. Pig Cost'!W28+'Villa Pig Cost'!W28+'Richlands Pig Cost'!W28</f>
        <v>0</v>
      </c>
      <c r="X26" s="807">
        <f>+'Grasmere Pig Cost'!X28+'Learig Pig Cost'!X28+'Lionhead Pig Cost'!X28+'Lionhead Ext. Pig Cost'!X28+'Villa Pig Cost'!X28+'Richlands Pig Cost'!X28</f>
        <v>0</v>
      </c>
      <c r="Y26" s="807">
        <f>+'Grasmere Pig Cost'!Y28+'Learig Pig Cost'!Y28+'Lionhead Pig Cost'!Y28+'Lionhead Ext. Pig Cost'!Y28+'Villa Pig Cost'!Y28+'Richlands Pig Cost'!Y28</f>
        <v>0</v>
      </c>
      <c r="Z26" s="807">
        <f>+'Grasmere Pig Cost'!Z28+'Learig Pig Cost'!Z28+'Lionhead Pig Cost'!Z28+'Lionhead Ext. Pig Cost'!Z28+'Villa Pig Cost'!Z28+'Richlands Pig Cost'!Z28</f>
        <v>0</v>
      </c>
      <c r="AA26" s="807">
        <f>+'Grasmere Pig Cost'!AA28+'Learig Pig Cost'!AA28+'Lionhead Pig Cost'!AA28+'Lionhead Ext. Pig Cost'!AA28+'Villa Pig Cost'!AA28+'Richlands Pig Cost'!AA28</f>
        <v>0</v>
      </c>
      <c r="AB26" s="807">
        <f>+'Grasmere Pig Cost'!AB28+'Learig Pig Cost'!AB28+'Lionhead Pig Cost'!AB28+'Lionhead Ext. Pig Cost'!AB28+'Villa Pig Cost'!AB28+'Richlands Pig Cost'!AB28</f>
        <v>0</v>
      </c>
      <c r="AC26" s="807">
        <f>+'Grasmere Pig Cost'!AC28+'Learig Pig Cost'!AC28+'Lionhead Pig Cost'!AC28+'Lionhead Ext. Pig Cost'!AC28+'Villa Pig Cost'!AC28+'Richlands Pig Cost'!AC28</f>
        <v>0</v>
      </c>
      <c r="AD26" s="807">
        <f>+'Grasmere Pig Cost'!AD28+'Learig Pig Cost'!AD28+'Lionhead Pig Cost'!AD28+'Lionhead Ext. Pig Cost'!AD28+'Villa Pig Cost'!AD28+'Richlands Pig Cost'!AD28</f>
        <v>0</v>
      </c>
      <c r="AE26" s="807">
        <f>+'Grasmere Pig Cost'!AE28+'Learig Pig Cost'!AE28+'Lionhead Pig Cost'!AE28+'Lionhead Ext. Pig Cost'!AE28+'Villa Pig Cost'!AE28+'Richlands Pig Cost'!AE28</f>
        <v>0</v>
      </c>
      <c r="AF26" s="807">
        <f>+'Grasmere Pig Cost'!AF28+'Learig Pig Cost'!AF28+'Lionhead Pig Cost'!AF28+'Lionhead Ext. Pig Cost'!AF28+'Villa Pig Cost'!AF28+'Richlands Pig Cost'!AF28</f>
        <v>0</v>
      </c>
      <c r="AG26" s="807">
        <f>+'Grasmere Pig Cost'!AG28+'Learig Pig Cost'!AG28+'Lionhead Pig Cost'!AG28+'Lionhead Ext. Pig Cost'!AG28+'Villa Pig Cost'!AG28+'Richlands Pig Cost'!AG28</f>
        <v>0</v>
      </c>
      <c r="AH26" s="807">
        <f>+'Grasmere Pig Cost'!AH28+'Learig Pig Cost'!AH28+'Lionhead Pig Cost'!AH28+'Lionhead Ext. Pig Cost'!AH28+'Villa Pig Cost'!AH28+'Richlands Pig Cost'!AH28</f>
        <v>0</v>
      </c>
      <c r="AI26" s="807">
        <f>+'Grasmere Pig Cost'!AI28+'Learig Pig Cost'!AI28+'Lionhead Pig Cost'!AI28+'Lionhead Ext. Pig Cost'!AI28+'Villa Pig Cost'!AI28+'Richlands Pig Cost'!AI28</f>
        <v>0</v>
      </c>
      <c r="AJ26" s="807">
        <f>+'Grasmere Pig Cost'!AJ28+'Learig Pig Cost'!AJ28+'Lionhead Pig Cost'!AJ28+'Lionhead Ext. Pig Cost'!AJ28+'Villa Pig Cost'!AJ28+'Richlands Pig Cost'!AJ28</f>
        <v>0</v>
      </c>
      <c r="AK26" s="807">
        <f>+'Grasmere Pig Cost'!AK28+'Learig Pig Cost'!AK28+'Lionhead Pig Cost'!AK28+'Lionhead Ext. Pig Cost'!AK28+'Villa Pig Cost'!AK28+'Richlands Pig Cost'!AK28</f>
        <v>0</v>
      </c>
      <c r="AL26" s="807">
        <f>+'Grasmere Pig Cost'!AL28+'Learig Pig Cost'!AL28+'Lionhead Pig Cost'!AL28+'Lionhead Ext. Pig Cost'!AL28+'Villa Pig Cost'!AL28+'Richlands Pig Cost'!AL28</f>
        <v>0</v>
      </c>
      <c r="AM26" s="807">
        <f>+'Grasmere Pig Cost'!AM28+'Learig Pig Cost'!AM28+'Lionhead Pig Cost'!AM28+'Lionhead Ext. Pig Cost'!AM28+'Villa Pig Cost'!AM28+'Richlands Pig Cost'!AM28</f>
        <v>0</v>
      </c>
      <c r="AN26" s="807">
        <f>+'Grasmere Pig Cost'!AN28+'Learig Pig Cost'!AN28+'Lionhead Pig Cost'!AN28+'Lionhead Ext. Pig Cost'!AN28+'Villa Pig Cost'!AN28+'Richlands Pig Cost'!AN28</f>
        <v>-610</v>
      </c>
      <c r="AO26" s="807">
        <f>+'Grasmere Pig Cost'!AO28+'Learig Pig Cost'!AO28+'Lionhead Pig Cost'!AO28+'Lionhead Ext. Pig Cost'!AO28+'Villa Pig Cost'!AO28+'Richlands Pig Cost'!AO28</f>
        <v>-1543</v>
      </c>
      <c r="AP26" s="807">
        <f>+'Grasmere Pig Cost'!AP28+'Learig Pig Cost'!AP28+'Lionhead Pig Cost'!AP28+'Lionhead Ext. Pig Cost'!AP28+'Villa Pig Cost'!AP28+'Richlands Pig Cost'!AP28</f>
        <v>-2876</v>
      </c>
      <c r="AQ26" s="807">
        <f>+'Grasmere Pig Cost'!AQ28+'Learig Pig Cost'!AQ28+'Lionhead Pig Cost'!AQ28+'Lionhead Ext. Pig Cost'!AQ28+'Villa Pig Cost'!AQ28+'Richlands Pig Cost'!AQ28</f>
        <v>-2977</v>
      </c>
      <c r="AR26" s="807">
        <f>+'Grasmere Pig Cost'!AR28+'Learig Pig Cost'!AR28+'Lionhead Pig Cost'!AR28+'Lionhead Ext. Pig Cost'!AR28+'Villa Pig Cost'!AR28+'Richlands Pig Cost'!AR28</f>
        <v>-2280</v>
      </c>
      <c r="AS26" s="807">
        <f>+'Grasmere Pig Cost'!AS28+'Learig Pig Cost'!AS28+'Lionhead Pig Cost'!AS28+'Lionhead Ext. Pig Cost'!AS28+'Villa Pig Cost'!AS28+'Richlands Pig Cost'!AS28</f>
        <v>-1503</v>
      </c>
      <c r="AT26" s="807">
        <f>+'Grasmere Pig Cost'!AT28+'Learig Pig Cost'!AT28+'Lionhead Pig Cost'!AT28+'Lionhead Ext. Pig Cost'!AT28+'Villa Pig Cost'!AT28+'Richlands Pig Cost'!AT28</f>
        <v>-11</v>
      </c>
      <c r="AU26" s="1086">
        <f t="shared" si="11"/>
        <v>-11800</v>
      </c>
      <c r="AV26" s="1086">
        <f>SUM('Summary Total Pigs'!X186:X188)</f>
        <v>-15728</v>
      </c>
      <c r="AW26" s="818">
        <f t="shared" si="8"/>
        <v>3928</v>
      </c>
      <c r="AX26" s="818"/>
      <c r="AY26" s="818"/>
      <c r="BA26" s="818"/>
    </row>
    <row r="27" spans="1:54" ht="16.149999999999999" thickBot="1">
      <c r="A27" s="1070" t="s">
        <v>1802</v>
      </c>
      <c r="B27" s="1071">
        <f t="shared" ref="B27:AS27" si="12">SUM(B11:B26)</f>
        <v>0</v>
      </c>
      <c r="C27" s="1071">
        <f t="shared" si="12"/>
        <v>0</v>
      </c>
      <c r="D27" s="1071">
        <f t="shared" si="12"/>
        <v>0</v>
      </c>
      <c r="E27" s="1071">
        <f t="shared" si="12"/>
        <v>0</v>
      </c>
      <c r="F27" s="1071">
        <f t="shared" si="12"/>
        <v>0</v>
      </c>
      <c r="G27" s="1071">
        <f t="shared" si="12"/>
        <v>0</v>
      </c>
      <c r="H27" s="1071">
        <f t="shared" si="12"/>
        <v>0</v>
      </c>
      <c r="I27" s="1071">
        <f t="shared" si="12"/>
        <v>0</v>
      </c>
      <c r="J27" s="1071">
        <f t="shared" si="12"/>
        <v>0</v>
      </c>
      <c r="K27" s="1071">
        <f t="shared" si="12"/>
        <v>0</v>
      </c>
      <c r="L27" s="1071">
        <f t="shared" si="12"/>
        <v>0</v>
      </c>
      <c r="M27" s="1071">
        <f t="shared" si="12"/>
        <v>0</v>
      </c>
      <c r="N27" s="1071">
        <f t="shared" si="12"/>
        <v>0</v>
      </c>
      <c r="O27" s="1071">
        <f t="shared" si="12"/>
        <v>0</v>
      </c>
      <c r="P27" s="1071">
        <f t="shared" si="12"/>
        <v>0</v>
      </c>
      <c r="Q27" s="1071">
        <f t="shared" si="12"/>
        <v>0</v>
      </c>
      <c r="R27" s="1071">
        <f t="shared" si="12"/>
        <v>0</v>
      </c>
      <c r="S27" s="1071">
        <f>SUM(S11:S26)</f>
        <v>1682</v>
      </c>
      <c r="T27" s="1071">
        <f t="shared" si="12"/>
        <v>3085</v>
      </c>
      <c r="U27" s="1071">
        <f t="shared" si="12"/>
        <v>2959</v>
      </c>
      <c r="V27" s="1071">
        <f t="shared" si="12"/>
        <v>2938</v>
      </c>
      <c r="W27" s="1071">
        <f t="shared" si="12"/>
        <v>3036</v>
      </c>
      <c r="X27" s="1071" t="e">
        <f t="shared" si="12"/>
        <v>#REF!</v>
      </c>
      <c r="Y27" s="1071" t="e">
        <f t="shared" si="12"/>
        <v>#REF!</v>
      </c>
      <c r="Z27" s="1071">
        <f t="shared" si="12"/>
        <v>2936</v>
      </c>
      <c r="AA27" s="1071">
        <f t="shared" si="12"/>
        <v>3097</v>
      </c>
      <c r="AB27" s="1071">
        <f t="shared" si="12"/>
        <v>3048</v>
      </c>
      <c r="AC27" s="1071">
        <f t="shared" si="12"/>
        <v>3049</v>
      </c>
      <c r="AD27" s="1071">
        <f t="shared" si="12"/>
        <v>3048</v>
      </c>
      <c r="AE27" s="1071">
        <f t="shared" si="12"/>
        <v>2906</v>
      </c>
      <c r="AF27" s="1071">
        <f t="shared" si="12"/>
        <v>2910</v>
      </c>
      <c r="AG27" s="1071">
        <f t="shared" si="12"/>
        <v>2897</v>
      </c>
      <c r="AH27" s="1071">
        <f t="shared" si="12"/>
        <v>2829</v>
      </c>
      <c r="AI27" s="1071">
        <f t="shared" si="12"/>
        <v>2864</v>
      </c>
      <c r="AJ27" s="1071">
        <f t="shared" si="12"/>
        <v>2992</v>
      </c>
      <c r="AK27" s="1071">
        <f t="shared" si="12"/>
        <v>2951</v>
      </c>
      <c r="AL27" s="1071">
        <f t="shared" si="12"/>
        <v>2865</v>
      </c>
      <c r="AM27" s="1071">
        <f t="shared" si="12"/>
        <v>2965</v>
      </c>
      <c r="AN27" s="1071">
        <f t="shared" si="12"/>
        <v>2291</v>
      </c>
      <c r="AO27" s="1071">
        <f t="shared" si="12"/>
        <v>1384</v>
      </c>
      <c r="AP27" s="1071">
        <f t="shared" si="12"/>
        <v>0</v>
      </c>
      <c r="AQ27" s="1071">
        <f t="shared" si="12"/>
        <v>0</v>
      </c>
      <c r="AR27" s="1071">
        <f t="shared" si="12"/>
        <v>0</v>
      </c>
      <c r="AS27" s="1071">
        <f t="shared" si="12"/>
        <v>0</v>
      </c>
      <c r="AT27" s="1071">
        <f t="shared" ref="AT27" si="13">SUM(AT11:AT26)</f>
        <v>0</v>
      </c>
      <c r="AU27" s="1072" t="e">
        <f>SUM(AU11:AU26)</f>
        <v>#REF!</v>
      </c>
      <c r="AV27" s="1072">
        <f>SUM(AV11:AV26)</f>
        <v>84554</v>
      </c>
      <c r="AW27" s="818" t="e">
        <f>+AU27-AV27</f>
        <v>#REF!</v>
      </c>
      <c r="AX27" s="1561">
        <f>SUM('Summary Total Pigs'!AF186:AF188)-AV27</f>
        <v>-266</v>
      </c>
      <c r="AY27" s="817"/>
    </row>
    <row r="28" spans="1:54">
      <c r="AS28" s="1059"/>
      <c r="AT28" s="1059"/>
      <c r="AV28" s="818"/>
      <c r="AW28" s="818"/>
    </row>
    <row r="29" spans="1:54" ht="15.6">
      <c r="A29" s="1559" t="s">
        <v>199</v>
      </c>
      <c r="B29" s="1057"/>
      <c r="C29" s="1057"/>
      <c r="D29" s="1057"/>
      <c r="E29" s="1057"/>
      <c r="F29" s="1057"/>
      <c r="G29" s="1057"/>
      <c r="H29" s="1057"/>
      <c r="I29" s="1057"/>
      <c r="J29" s="1057"/>
      <c r="K29" s="1057"/>
      <c r="L29" s="1057"/>
      <c r="M29" s="1057"/>
      <c r="N29" s="1057"/>
      <c r="O29" s="1057"/>
      <c r="P29" s="1057"/>
      <c r="Q29" s="1057"/>
      <c r="R29" s="1057"/>
      <c r="S29" s="1057"/>
      <c r="T29" s="1057"/>
      <c r="U29" s="1057"/>
      <c r="V29" s="1057"/>
      <c r="W29" s="1057"/>
      <c r="X29" s="1057"/>
      <c r="Y29" s="1057"/>
      <c r="Z29" s="1057"/>
      <c r="AA29" s="1057"/>
      <c r="AB29" s="1057"/>
      <c r="AC29" s="1057"/>
      <c r="AD29" s="1057"/>
      <c r="AE29" s="1057"/>
      <c r="AF29" s="1057"/>
      <c r="AG29" s="1057"/>
      <c r="AH29" s="1057"/>
      <c r="AI29" s="1057"/>
      <c r="AJ29" s="1057"/>
      <c r="AK29" s="1057"/>
      <c r="AL29" s="1057"/>
      <c r="AM29" s="1057"/>
      <c r="AN29" s="1057"/>
      <c r="AO29" s="1057"/>
      <c r="AP29" s="1057"/>
      <c r="AQ29" s="1057"/>
      <c r="AR29" s="1057"/>
      <c r="AS29" s="1057"/>
      <c r="AT29" s="1057"/>
      <c r="AW29" s="818"/>
    </row>
    <row r="30" spans="1:54" ht="15.6">
      <c r="A30" s="142" t="s">
        <v>1803</v>
      </c>
      <c r="B30" s="1057">
        <f>+'Grasmere Pig Cost'!B33+'Lionhead Pig Cost'!B33+'Villa Pig Cost'!B33+'Richlands Pig Cost'!B33+'Learig Pig Cost'!B33+'Lionhead Ext. Pig Cost'!B33</f>
        <v>0</v>
      </c>
      <c r="C30" s="1057">
        <f>+'Grasmere Pig Cost'!C33+'Lionhead Pig Cost'!C33+'Villa Pig Cost'!C33+'Richlands Pig Cost'!C33+'Learig Pig Cost'!C33+'Lionhead Ext. Pig Cost'!C33</f>
        <v>0</v>
      </c>
      <c r="D30" s="1057">
        <f>+'Grasmere Pig Cost'!D33+'Lionhead Pig Cost'!D33+'Villa Pig Cost'!D33+'Richlands Pig Cost'!D33+'Learig Pig Cost'!D33+'Lionhead Ext. Pig Cost'!D33</f>
        <v>0</v>
      </c>
      <c r="E30" s="1057">
        <f>+'Grasmere Pig Cost'!E33+'Lionhead Pig Cost'!E33+'Villa Pig Cost'!E33+'Richlands Pig Cost'!E33+'Learig Pig Cost'!E33+'Lionhead Ext. Pig Cost'!E33</f>
        <v>0</v>
      </c>
      <c r="F30" s="1057">
        <f>+'Grasmere Pig Cost'!F33+'Lionhead Pig Cost'!F33+'Villa Pig Cost'!F33+'Richlands Pig Cost'!F33+'Learig Pig Cost'!F33+'Lionhead Ext. Pig Cost'!F33</f>
        <v>26741.917040358745</v>
      </c>
      <c r="G30" s="1057">
        <f>+'Grasmere Pig Cost'!G33+'Lionhead Pig Cost'!G33+'Villa Pig Cost'!G33+'Richlands Pig Cost'!G33+'Learig Pig Cost'!G33+'Lionhead Ext. Pig Cost'!G33</f>
        <v>26741.917040358745</v>
      </c>
      <c r="H30" s="1057">
        <f>+'Grasmere Pig Cost'!H33+'Lionhead Pig Cost'!H33+'Villa Pig Cost'!H33+'Richlands Pig Cost'!H33+'Learig Pig Cost'!H33+'Lionhead Ext. Pig Cost'!H33</f>
        <v>26741.917040358745</v>
      </c>
      <c r="I30" s="1057">
        <f>+'Grasmere Pig Cost'!I33+'Lionhead Pig Cost'!I33+'Villa Pig Cost'!I33+'Richlands Pig Cost'!I33+'Learig Pig Cost'!I33+'Lionhead Ext. Pig Cost'!I33</f>
        <v>26741.917040358745</v>
      </c>
      <c r="J30" s="1057">
        <f>+'Grasmere Pig Cost'!J33+'Lionhead Pig Cost'!J33+'Villa Pig Cost'!J33+'Richlands Pig Cost'!J33+'Learig Pig Cost'!J33+'Lionhead Ext. Pig Cost'!J33</f>
        <v>24602.563677130041</v>
      </c>
      <c r="K30" s="1057">
        <f>+'Grasmere Pig Cost'!K33+'Lionhead Pig Cost'!K33+'Villa Pig Cost'!K33+'Richlands Pig Cost'!K33+'Learig Pig Cost'!K33+'Lionhead Ext. Pig Cost'!K33</f>
        <v>45990.086098654705</v>
      </c>
      <c r="L30" s="1057">
        <f>+'Grasmere Pig Cost'!L33+'Lionhead Pig Cost'!L33+'Villa Pig Cost'!L33+'Richlands Pig Cost'!L33+'Learig Pig Cost'!L33+'Lionhead Ext. Pig Cost'!L33</f>
        <v>45990.086098654705</v>
      </c>
      <c r="M30" s="1057">
        <f>+'Grasmere Pig Cost'!M33+'Lionhead Pig Cost'!M33+'Villa Pig Cost'!M33+'Richlands Pig Cost'!M33+'Learig Pig Cost'!M33+'Lionhead Ext. Pig Cost'!M33</f>
        <v>45990.086098654705</v>
      </c>
      <c r="N30" s="1057">
        <f>+'Grasmere Pig Cost'!N33+'Lionhead Pig Cost'!N33+'Villa Pig Cost'!N33+'Richlands Pig Cost'!N33+'Learig Pig Cost'!N33+'Lionhead Ext. Pig Cost'!N33</f>
        <v>45990.086098654705</v>
      </c>
      <c r="O30" s="1057">
        <f>+'Grasmere Pig Cost'!O33+'Lionhead Pig Cost'!O33+'Villa Pig Cost'!O33+'Richlands Pig Cost'!O33+'Learig Pig Cost'!O33+'Lionhead Ext. Pig Cost'!O33</f>
        <v>65090.412780269064</v>
      </c>
      <c r="P30" s="1057">
        <f>+'Grasmere Pig Cost'!P33+'Lionhead Pig Cost'!P33+'Villa Pig Cost'!P33+'Richlands Pig Cost'!P33+'Learig Pig Cost'!P33+'Lionhead Ext. Pig Cost'!P33</f>
        <v>65090.412780269064</v>
      </c>
      <c r="Q30" s="1057">
        <f>+'Grasmere Pig Cost'!Q33+'Lionhead Pig Cost'!Q33+'Villa Pig Cost'!Q33+'Richlands Pig Cost'!Q33+'Learig Pig Cost'!Q33+'Lionhead Ext. Pig Cost'!Q33</f>
        <v>65090.412780269064</v>
      </c>
      <c r="R30" s="1057">
        <f>+'Grasmere Pig Cost'!R33+'Lionhead Pig Cost'!R33+'Villa Pig Cost'!R33+'Richlands Pig Cost'!R33+'Learig Pig Cost'!R33+'Lionhead Ext. Pig Cost'!R33</f>
        <v>70438.796188340813</v>
      </c>
      <c r="S30" s="1057">
        <f>+'Grasmere Pig Cost'!S33+'Lionhead Pig Cost'!S33+'Villa Pig Cost'!S33+'Richlands Pig Cost'!S33+'Learig Pig Cost'!S33+'Lionhead Ext. Pig Cost'!S33</f>
        <v>93344.271076233199</v>
      </c>
      <c r="T30" s="1057">
        <f>+'Grasmere Pig Cost'!T33+'Lionhead Pig Cost'!T33+'Villa Pig Cost'!T33+'Richlands Pig Cost'!T33+'Learig Pig Cost'!T33+'Lionhead Ext. Pig Cost'!T33</f>
        <v>93344.271076233199</v>
      </c>
      <c r="U30" s="1057">
        <f>+'Grasmere Pig Cost'!U33+'Lionhead Pig Cost'!U33+'Villa Pig Cost'!U33+'Richlands Pig Cost'!U33+'Learig Pig Cost'!U33+'Lionhead Ext. Pig Cost'!U33</f>
        <v>93344.271076233199</v>
      </c>
      <c r="V30" s="1057">
        <f>+'Grasmere Pig Cost'!V33+'Lionhead Pig Cost'!V33+'Villa Pig Cost'!V33+'Richlands Pig Cost'!V33+'Learig Pig Cost'!V33+'Lionhead Ext. Pig Cost'!V33</f>
        <v>116877.15807174887</v>
      </c>
      <c r="W30" s="1057">
        <f>+'Grasmere Pig Cost'!W33+'Lionhead Pig Cost'!W33+'Villa Pig Cost'!W33+'Richlands Pig Cost'!W33+'Learig Pig Cost'!W33+'Lionhead Ext. Pig Cost'!W33</f>
        <v>104039.41480276607</v>
      </c>
      <c r="X30" s="1057">
        <f>+'Grasmere Pig Cost'!X33+'Lionhead Pig Cost'!X33+'Villa Pig Cost'!X33+'Richlands Pig Cost'!X33+'Learig Pig Cost'!X33+'Lionhead Ext. Pig Cost'!X33</f>
        <v>153217.55749554391</v>
      </c>
      <c r="Y30" s="1057">
        <f>+'Grasmere Pig Cost'!Y33+'Lionhead Pig Cost'!Y33+'Villa Pig Cost'!Y33+'Richlands Pig Cost'!Y33+'Learig Pig Cost'!Y33+'Lionhead Ext. Pig Cost'!Y33</f>
        <v>162266.06988000943</v>
      </c>
      <c r="Z30" s="1057">
        <f>+'Grasmere Pig Cost'!Z33+'Lionhead Pig Cost'!Z33+'Villa Pig Cost'!Z33+'Richlands Pig Cost'!Z33+'Learig Pig Cost'!Z33+'Lionhead Ext. Pig Cost'!Z33</f>
        <v>134414.37878533723</v>
      </c>
      <c r="AA30" s="1057">
        <f>+'Grasmere Pig Cost'!AA33+'Lionhead Pig Cost'!AA33+'Villa Pig Cost'!AA33+'Richlands Pig Cost'!AA33+'Learig Pig Cost'!AA33+'Lionhead Ext. Pig Cost'!AA33</f>
        <v>130056.12017440856</v>
      </c>
      <c r="AB30" s="1057">
        <f>+'Grasmere Pig Cost'!AB33+'Lionhead Pig Cost'!AB33+'Villa Pig Cost'!AB33+'Richlands Pig Cost'!AB33+'Learig Pig Cost'!AB33+'Lionhead Ext. Pig Cost'!AB33</f>
        <v>175742.40124114606</v>
      </c>
      <c r="AC30" s="1057">
        <f>+'Grasmere Pig Cost'!AC33+'Lionhead Pig Cost'!AC33+'Villa Pig Cost'!AC33+'Richlands Pig Cost'!AC33+'Learig Pig Cost'!AC33+'Lionhead Ext. Pig Cost'!AC33</f>
        <v>241439.75376334411</v>
      </c>
      <c r="AD30" s="1057">
        <f>+'Grasmere Pig Cost'!AD33+'Lionhead Pig Cost'!AD33+'Villa Pig Cost'!AD33+'Richlands Pig Cost'!AD33+'Learig Pig Cost'!AD33+'Lionhead Ext. Pig Cost'!AD33</f>
        <v>303430.16259632068</v>
      </c>
      <c r="AE30" s="1057">
        <f>+'Grasmere Pig Cost'!AE33+'Lionhead Pig Cost'!AE33+'Villa Pig Cost'!AE33+'Richlands Pig Cost'!AE33+'Learig Pig Cost'!AE33+'Lionhead Ext. Pig Cost'!AE33</f>
        <v>305280.74734585494</v>
      </c>
      <c r="AF30" s="1057">
        <f>+'Grasmere Pig Cost'!AF33+'Lionhead Pig Cost'!AF33+'Villa Pig Cost'!AF33+'Richlands Pig Cost'!AF33+'Learig Pig Cost'!AF33+'Lionhead Ext. Pig Cost'!AF33</f>
        <v>294497.89751710015</v>
      </c>
      <c r="AG30" s="1057">
        <f>+'Grasmere Pig Cost'!AG33+'Lionhead Pig Cost'!AG33+'Villa Pig Cost'!AG33+'Richlands Pig Cost'!AG33+'Learig Pig Cost'!AG33+'Lionhead Ext. Pig Cost'!AG33</f>
        <v>371126.91490610992</v>
      </c>
      <c r="AH30" s="1057">
        <f>+'Grasmere Pig Cost'!AH33+'Lionhead Pig Cost'!AH33+'Villa Pig Cost'!AH33+'Richlands Pig Cost'!AH33+'Learig Pig Cost'!AH33+'Lionhead Ext. Pig Cost'!AH33</f>
        <v>448070.11266022496</v>
      </c>
      <c r="AI30" s="1057">
        <f>+'Grasmere Pig Cost'!AI33+'Lionhead Pig Cost'!AI33+'Villa Pig Cost'!AI33+'Richlands Pig Cost'!AI33+'Learig Pig Cost'!AI33+'Lionhead Ext. Pig Cost'!AI33</f>
        <v>493179.06956095854</v>
      </c>
      <c r="AJ30" s="1057">
        <f>+'Grasmere Pig Cost'!AJ33+'Lionhead Pig Cost'!AJ33+'Villa Pig Cost'!AJ33+'Richlands Pig Cost'!AJ33+'Learig Pig Cost'!AJ33+'Lionhead Ext. Pig Cost'!AJ33</f>
        <v>508744.44621924375</v>
      </c>
      <c r="AK30" s="1057">
        <f>+'Grasmere Pig Cost'!AK33+'Lionhead Pig Cost'!AK33+'Villa Pig Cost'!AK33+'Richlands Pig Cost'!AK33+'Learig Pig Cost'!AK33+'Lionhead Ext. Pig Cost'!AK33</f>
        <v>591416.85302566399</v>
      </c>
      <c r="AL30" s="1057">
        <f>+'Grasmere Pig Cost'!AL33+'Lionhead Pig Cost'!AL33+'Villa Pig Cost'!AL33+'Richlands Pig Cost'!AL33+'Learig Pig Cost'!AL33+'Lionhead Ext. Pig Cost'!AL33</f>
        <v>697865.96617812221</v>
      </c>
      <c r="AM30" s="1057">
        <f>+'Grasmere Pig Cost'!AM33+'Lionhead Pig Cost'!AM33+'Villa Pig Cost'!AM33+'Richlands Pig Cost'!AM33+'Learig Pig Cost'!AM33+'Lionhead Ext. Pig Cost'!AM33</f>
        <v>781206.57271950808</v>
      </c>
      <c r="AN30" s="1057">
        <f>+'Grasmere Pig Cost'!AN33+'Lionhead Pig Cost'!AN33+'Villa Pig Cost'!AN33+'Richlands Pig Cost'!AN33+'Learig Pig Cost'!AN33+'Lionhead Ext. Pig Cost'!AN33</f>
        <v>739441.69825479132</v>
      </c>
      <c r="AO30" s="1057">
        <f>+'Grasmere Pig Cost'!AO33+'Lionhead Pig Cost'!AO33+'Villa Pig Cost'!AO33+'Richlands Pig Cost'!AO33+'Learig Pig Cost'!AO33+'Lionhead Ext. Pig Cost'!AO33</f>
        <v>785414.70999976411</v>
      </c>
      <c r="AP30" s="1057">
        <f>+'Grasmere Pig Cost'!AP33+'Lionhead Pig Cost'!AP33+'Villa Pig Cost'!AP33+'Richlands Pig Cost'!AP33+'Learig Pig Cost'!AP33+'Lionhead Ext. Pig Cost'!AP33</f>
        <v>828032.11849208619</v>
      </c>
      <c r="AQ30" s="1057">
        <f>+'Grasmere Pig Cost'!AQ33+'Lionhead Pig Cost'!AQ33+'Villa Pig Cost'!AQ33+'Richlands Pig Cost'!AQ33+'Learig Pig Cost'!AQ33+'Lionhead Ext. Pig Cost'!AQ33</f>
        <v>1038782.6959034079</v>
      </c>
      <c r="AR30" s="1057">
        <f>+'Grasmere Pig Cost'!AR33+'Lionhead Pig Cost'!AR33+'Villa Pig Cost'!AR33+'Richlands Pig Cost'!AR33+'Learig Pig Cost'!AR33+'Lionhead Ext. Pig Cost'!AR33</f>
        <v>825522.98843202146</v>
      </c>
      <c r="AS30" s="1057">
        <f>+'Grasmere Pig Cost'!AS33+'Lionhead Pig Cost'!AS33+'Villa Pig Cost'!AS33+'Richlands Pig Cost'!AS33+'Learig Pig Cost'!AS33+'Lionhead Ext. Pig Cost'!AS33</f>
        <v>445231.7129388125</v>
      </c>
      <c r="AT30" s="1057">
        <f>+'Grasmere Pig Cost'!AT33+'Lionhead Pig Cost'!AT33+'Villa Pig Cost'!AT33+'Richlands Pig Cost'!AT33+'Learig Pig Cost'!AT33+'Lionhead Ext. Pig Cost'!AT33</f>
        <v>4018.5899192049619</v>
      </c>
      <c r="AU30" s="1057">
        <f>SUM(B30:AT30)</f>
        <v>11540589.534874531</v>
      </c>
      <c r="AV30" s="818">
        <f>+'Grasmere Pig Cost'!AU33+'Lionhead Pig Cost'!AU33+'Villa Pig Cost'!AU33+'Richlands Pig Cost'!AU33+'Learig Pig Cost'!AU33+'Lionhead Ext. Pig Cost'!AU33</f>
        <v>11540589.534874532</v>
      </c>
      <c r="AW30" s="818">
        <f>+AU30-AV30</f>
        <v>0</v>
      </c>
      <c r="AX30" s="1578"/>
      <c r="AY30" s="817"/>
    </row>
    <row r="31" spans="1:54" ht="15.6">
      <c r="A31" s="1066" t="s">
        <v>212</v>
      </c>
      <c r="B31" s="1057">
        <f>+'Grasmere Pig Cost'!B34+'Learig Pig Cost'!B34+'Lionhead Pig Cost'!B34+'Lionhead Ext. Pig Cost'!B34+'Villa Pig Cost'!B34+'Richlands Pig Cost'!B34</f>
        <v>0</v>
      </c>
      <c r="C31" s="1057">
        <f>+'Grasmere Pig Cost'!C34+'Learig Pig Cost'!C34+'Lionhead Pig Cost'!C34+'Lionhead Ext. Pig Cost'!C34+'Villa Pig Cost'!C34+'Richlands Pig Cost'!C34</f>
        <v>0</v>
      </c>
      <c r="D31" s="1057">
        <f>+'Grasmere Pig Cost'!D34+'Learig Pig Cost'!D34+'Lionhead Pig Cost'!D34+'Lionhead Ext. Pig Cost'!D34+'Villa Pig Cost'!D34+'Richlands Pig Cost'!D34</f>
        <v>0</v>
      </c>
      <c r="E31" s="1057">
        <f>+'Grasmere Pig Cost'!E34+'Learig Pig Cost'!E34+'Lionhead Pig Cost'!E34+'Lionhead Ext. Pig Cost'!E34+'Villa Pig Cost'!E34+'Richlands Pig Cost'!E34</f>
        <v>0</v>
      </c>
      <c r="F31" s="1057">
        <f>+'Grasmere Pig Cost'!F34+'Learig Pig Cost'!F34+'Lionhead Pig Cost'!F34+'Lionhead Ext. Pig Cost'!F34+'Villa Pig Cost'!F34+'Richlands Pig Cost'!F34</f>
        <v>0</v>
      </c>
      <c r="G31" s="1057">
        <f>+'Grasmere Pig Cost'!G34+'Learig Pig Cost'!G34+'Lionhead Pig Cost'!G34+'Lionhead Ext. Pig Cost'!G34+'Villa Pig Cost'!G34+'Richlands Pig Cost'!G34</f>
        <v>0</v>
      </c>
      <c r="H31" s="1057">
        <f>+'Grasmere Pig Cost'!H34+'Learig Pig Cost'!H34+'Lionhead Pig Cost'!H34+'Lionhead Ext. Pig Cost'!H34+'Villa Pig Cost'!H34+'Richlands Pig Cost'!H34</f>
        <v>0</v>
      </c>
      <c r="I31" s="1057">
        <f>+'Grasmere Pig Cost'!I34+'Learig Pig Cost'!I34+'Lionhead Pig Cost'!I34+'Lionhead Ext. Pig Cost'!I34+'Villa Pig Cost'!I34+'Richlands Pig Cost'!I34</f>
        <v>0</v>
      </c>
      <c r="J31" s="1057">
        <f>+'Grasmere Pig Cost'!J34+'Learig Pig Cost'!J34+'Lionhead Pig Cost'!J34+'Lionhead Ext. Pig Cost'!J34+'Villa Pig Cost'!J34+'Richlands Pig Cost'!J34</f>
        <v>0</v>
      </c>
      <c r="K31" s="1057">
        <f>+'Grasmere Pig Cost'!K34+'Learig Pig Cost'!K34+'Lionhead Pig Cost'!K34+'Lionhead Ext. Pig Cost'!K34+'Villa Pig Cost'!K34+'Richlands Pig Cost'!K34</f>
        <v>0</v>
      </c>
      <c r="L31" s="1057">
        <f>+'Grasmere Pig Cost'!L34+'Learig Pig Cost'!L34+'Lionhead Pig Cost'!L34+'Lionhead Ext. Pig Cost'!L34+'Villa Pig Cost'!L34+'Richlands Pig Cost'!L34</f>
        <v>0</v>
      </c>
      <c r="M31" s="1057">
        <f>+'Grasmere Pig Cost'!M34+'Learig Pig Cost'!M34+'Lionhead Pig Cost'!M34+'Lionhead Ext. Pig Cost'!M34+'Villa Pig Cost'!M34+'Richlands Pig Cost'!M34</f>
        <v>0</v>
      </c>
      <c r="N31" s="1057">
        <f>+'Grasmere Pig Cost'!N34+'Learig Pig Cost'!N34+'Lionhead Pig Cost'!N34+'Lionhead Ext. Pig Cost'!N34+'Villa Pig Cost'!N34+'Richlands Pig Cost'!N34</f>
        <v>0</v>
      </c>
      <c r="O31" s="1057">
        <f>+'Grasmere Pig Cost'!O34+'Learig Pig Cost'!O34+'Lionhead Pig Cost'!O34+'Lionhead Ext. Pig Cost'!O34+'Villa Pig Cost'!O34+'Richlands Pig Cost'!O34</f>
        <v>0</v>
      </c>
      <c r="P31" s="1057">
        <f>+'Grasmere Pig Cost'!P34+'Learig Pig Cost'!P34+'Lionhead Pig Cost'!P34+'Lionhead Ext. Pig Cost'!P34+'Villa Pig Cost'!P34+'Richlands Pig Cost'!P34</f>
        <v>0</v>
      </c>
      <c r="Q31" s="1057">
        <f>+'Grasmere Pig Cost'!Q34+'Learig Pig Cost'!Q34+'Lionhead Pig Cost'!Q34+'Lionhead Ext. Pig Cost'!Q34+'Villa Pig Cost'!Q34+'Richlands Pig Cost'!Q34</f>
        <v>0</v>
      </c>
      <c r="R31" s="1057">
        <f>+'Grasmere Pig Cost'!R34+'Learig Pig Cost'!R34+'Lionhead Pig Cost'!R34+'Lionhead Ext. Pig Cost'!R34+'Villa Pig Cost'!R34+'Richlands Pig Cost'!R34</f>
        <v>0</v>
      </c>
      <c r="S31" s="1057">
        <f>+'Grasmere Pig Cost'!S34+'Learig Pig Cost'!S34+'Lionhead Pig Cost'!S34+'Lionhead Ext. Pig Cost'!S34+'Villa Pig Cost'!S34+'Richlands Pig Cost'!S34</f>
        <v>106.31598591120967</v>
      </c>
      <c r="T31" s="1057">
        <f>+'Grasmere Pig Cost'!T34+'Learig Pig Cost'!T34+'Lionhead Pig Cost'!T34+'Lionhead Ext. Pig Cost'!T34+'Villa Pig Cost'!T34+'Richlands Pig Cost'!T34</f>
        <v>145.25314112869108</v>
      </c>
      <c r="U31" s="1057">
        <f>+'Grasmere Pig Cost'!U34+'Learig Pig Cost'!U34+'Lionhead Pig Cost'!U34+'Lionhead Ext. Pig Cost'!U34+'Villa Pig Cost'!U34+'Richlands Pig Cost'!U34</f>
        <v>106.31598591120967</v>
      </c>
      <c r="V31" s="1057">
        <f>+'Grasmere Pig Cost'!V34+'Learig Pig Cost'!V34+'Lionhead Pig Cost'!V34+'Lionhead Ext. Pig Cost'!V34+'Villa Pig Cost'!V34+'Richlands Pig Cost'!V34</f>
        <v>701.5343841453556</v>
      </c>
      <c r="W31" s="1057">
        <f>+'Grasmere Pig Cost'!W34+'Learig Pig Cost'!W34+'Lionhead Pig Cost'!W34+'Lionhead Ext. Pig Cost'!W34+'Villa Pig Cost'!W34+'Richlands Pig Cost'!W34</f>
        <v>2886.3526889953478</v>
      </c>
      <c r="X31" s="1057">
        <f>+'Grasmere Pig Cost'!X34+'Learig Pig Cost'!X34+'Lionhead Pig Cost'!X34+'Lionhead Ext. Pig Cost'!X34+'Villa Pig Cost'!X34+'Richlands Pig Cost'!X34</f>
        <v>1344.1555439798224</v>
      </c>
      <c r="Y31" s="1057">
        <f>+'Grasmere Pig Cost'!Y34+'Learig Pig Cost'!Y34+'Lionhead Pig Cost'!Y34+'Lionhead Ext. Pig Cost'!Y34+'Villa Pig Cost'!Y34+'Richlands Pig Cost'!Y34</f>
        <v>5420.0638232221036</v>
      </c>
      <c r="Z31" s="1057">
        <f>+'Grasmere Pig Cost'!Z34+'Learig Pig Cost'!Z34+'Lionhead Pig Cost'!Z34+'Lionhead Ext. Pig Cost'!Z34+'Villa Pig Cost'!Z34+'Richlands Pig Cost'!Z34</f>
        <v>189.50216227001147</v>
      </c>
      <c r="AA31" s="1057">
        <f>+'Grasmere Pig Cost'!AA34+'Learig Pig Cost'!AA34+'Lionhead Pig Cost'!AA34+'Lionhead Ext. Pig Cost'!AA34+'Villa Pig Cost'!AA34+'Richlands Pig Cost'!AA34</f>
        <v>0</v>
      </c>
      <c r="AB31" s="1057">
        <f>+'Grasmere Pig Cost'!AB34+'Learig Pig Cost'!AB34+'Lionhead Pig Cost'!AB34+'Lionhead Ext. Pig Cost'!AB34+'Villa Pig Cost'!AB34+'Richlands Pig Cost'!AB34</f>
        <v>0</v>
      </c>
      <c r="AC31" s="1057">
        <f>+'Grasmere Pig Cost'!AC34+'Learig Pig Cost'!AC34+'Lionhead Pig Cost'!AC34+'Lionhead Ext. Pig Cost'!AC34+'Villa Pig Cost'!AC34+'Richlands Pig Cost'!AC34</f>
        <v>0</v>
      </c>
      <c r="AD31" s="1057">
        <f>+'Grasmere Pig Cost'!AD34+'Learig Pig Cost'!AD34+'Lionhead Pig Cost'!AD34+'Lionhead Ext. Pig Cost'!AD34+'Villa Pig Cost'!AD34+'Richlands Pig Cost'!AD34</f>
        <v>0</v>
      </c>
      <c r="AE31" s="1057">
        <f>+'Grasmere Pig Cost'!AE34+'Learig Pig Cost'!AE34+'Lionhead Pig Cost'!AE34+'Lionhead Ext. Pig Cost'!AE34+'Villa Pig Cost'!AE34+'Richlands Pig Cost'!AE34</f>
        <v>0</v>
      </c>
      <c r="AF31" s="1057">
        <f>+'Grasmere Pig Cost'!AF34+'Learig Pig Cost'!AF34+'Lionhead Pig Cost'!AF34+'Lionhead Ext. Pig Cost'!AF34+'Villa Pig Cost'!AF34+'Richlands Pig Cost'!AF34</f>
        <v>0</v>
      </c>
      <c r="AG31" s="1057">
        <f>+'Grasmere Pig Cost'!AG34+'Learig Pig Cost'!AG34+'Lionhead Pig Cost'!AG34+'Lionhead Ext. Pig Cost'!AG34+'Villa Pig Cost'!AG34+'Richlands Pig Cost'!AG34</f>
        <v>0</v>
      </c>
      <c r="AH31" s="1057">
        <f>+'Grasmere Pig Cost'!AH34+'Learig Pig Cost'!AH34+'Lionhead Pig Cost'!AH34+'Lionhead Ext. Pig Cost'!AH34+'Villa Pig Cost'!AH34+'Richlands Pig Cost'!AH34</f>
        <v>0</v>
      </c>
      <c r="AI31" s="1057">
        <f>+'Grasmere Pig Cost'!AI34+'Learig Pig Cost'!AI34+'Lionhead Pig Cost'!AI34+'Lionhead Ext. Pig Cost'!AI34+'Villa Pig Cost'!AI34+'Richlands Pig Cost'!AI34</f>
        <v>0</v>
      </c>
      <c r="AJ31" s="1057">
        <f>+'Grasmere Pig Cost'!AJ34+'Learig Pig Cost'!AJ34+'Lionhead Pig Cost'!AJ34+'Lionhead Ext. Pig Cost'!AJ34+'Villa Pig Cost'!AJ34+'Richlands Pig Cost'!AJ34</f>
        <v>0</v>
      </c>
      <c r="AK31" s="1057">
        <f>+'Grasmere Pig Cost'!AK34+'Learig Pig Cost'!AK34+'Lionhead Pig Cost'!AK34+'Lionhead Ext. Pig Cost'!AK34+'Villa Pig Cost'!AK34+'Richlands Pig Cost'!AK34</f>
        <v>0</v>
      </c>
      <c r="AL31" s="1057">
        <f>+'Grasmere Pig Cost'!AL34+'Learig Pig Cost'!AL34+'Lionhead Pig Cost'!AL34+'Lionhead Ext. Pig Cost'!AL34+'Villa Pig Cost'!AL34+'Richlands Pig Cost'!AL34</f>
        <v>0</v>
      </c>
      <c r="AM31" s="1057">
        <f>+'Grasmere Pig Cost'!AM34+'Learig Pig Cost'!AM34+'Lionhead Pig Cost'!AM34+'Lionhead Ext. Pig Cost'!AM34+'Villa Pig Cost'!AM34+'Richlands Pig Cost'!AM34</f>
        <v>0</v>
      </c>
      <c r="AN31" s="1057">
        <f>+'Grasmere Pig Cost'!AN34+'Learig Pig Cost'!AN34+'Lionhead Pig Cost'!AN34+'Lionhead Ext. Pig Cost'!AN34+'Villa Pig Cost'!AN34+'Richlands Pig Cost'!AN34</f>
        <v>1459.4254504295316</v>
      </c>
      <c r="AO31" s="1057">
        <f>+'Grasmere Pig Cost'!AO34+'Learig Pig Cost'!AO34+'Lionhead Pig Cost'!AO34+'Lionhead Ext. Pig Cost'!AO34+'Villa Pig Cost'!AO34+'Richlands Pig Cost'!AO34</f>
        <v>0</v>
      </c>
      <c r="AP31" s="1057">
        <f>+'Grasmere Pig Cost'!AP34+'Learig Pig Cost'!AP34+'Lionhead Pig Cost'!AP34+'Lionhead Ext. Pig Cost'!AP34+'Villa Pig Cost'!AP34+'Richlands Pig Cost'!AP34</f>
        <v>11027.782185388427</v>
      </c>
      <c r="AQ31" s="1057">
        <f>+'Grasmere Pig Cost'!AQ34+'Learig Pig Cost'!AQ34+'Lionhead Pig Cost'!AQ34+'Lionhead Ext. Pig Cost'!AQ34+'Villa Pig Cost'!AQ34+'Richlands Pig Cost'!AQ34</f>
        <v>0</v>
      </c>
      <c r="AR31" s="1057">
        <f>+'Grasmere Pig Cost'!AR34+'Learig Pig Cost'!AR34+'Lionhead Pig Cost'!AR34+'Lionhead Ext. Pig Cost'!AR34+'Villa Pig Cost'!AR34+'Richlands Pig Cost'!AR34</f>
        <v>0</v>
      </c>
      <c r="AS31" s="1057">
        <f>+'Grasmere Pig Cost'!AS34+'Learig Pig Cost'!AS34+'Lionhead Pig Cost'!AS34+'Lionhead Ext. Pig Cost'!AS34+'Villa Pig Cost'!AS34+'Richlands Pig Cost'!AS34</f>
        <v>0</v>
      </c>
      <c r="AT31" s="1057">
        <f>+'Grasmere Pig Cost'!AT34+'Learig Pig Cost'!AT34+'Lionhead Pig Cost'!AT34+'Lionhead Ext. Pig Cost'!AT34+'Villa Pig Cost'!AT34+'Richlands Pig Cost'!AT34</f>
        <v>0</v>
      </c>
      <c r="AU31" s="1057">
        <f>SUM(B31:AT31)</f>
        <v>23386.701351381707</v>
      </c>
      <c r="AV31" s="1057">
        <f>+'Grasmere Pig Cost'!AU34+'Learig Pig Cost'!AU34+'Lionhead Pig Cost'!AU34+'Lionhead Ext. Pig Cost'!AU34+'Villa Pig Cost'!AU34+'Richlands Pig Cost'!AU34</f>
        <v>23386.701351381707</v>
      </c>
      <c r="AW31" s="818">
        <f>+AU31-AV31</f>
        <v>0</v>
      </c>
      <c r="AX31" s="1086"/>
      <c r="BA31" s="1091"/>
    </row>
    <row r="32" spans="1:54" s="1059" customFormat="1" ht="15.6">
      <c r="A32" s="1066" t="s">
        <v>1788</v>
      </c>
      <c r="B32" s="1057">
        <f>+'Grasmere Pig Cost'!B35+'Learig Pig Cost'!B35+'Lionhead Pig Cost'!B35+'Lionhead Ext. Pig Cost'!B35+'Villa Pig Cost'!B35+'Richlands Pig Cost'!B35</f>
        <v>0</v>
      </c>
      <c r="C32" s="1057">
        <f>+'Grasmere Pig Cost'!C35+'Learig Pig Cost'!C35+'Lionhead Pig Cost'!C35+'Lionhead Ext. Pig Cost'!C35+'Villa Pig Cost'!C35+'Richlands Pig Cost'!C35</f>
        <v>0</v>
      </c>
      <c r="D32" s="1057">
        <f>+'Grasmere Pig Cost'!D35+'Learig Pig Cost'!D35+'Lionhead Pig Cost'!D35+'Lionhead Ext. Pig Cost'!D35+'Villa Pig Cost'!D35+'Richlands Pig Cost'!D35</f>
        <v>0</v>
      </c>
      <c r="E32" s="1057">
        <f>+'Grasmere Pig Cost'!E35+'Learig Pig Cost'!E35+'Lionhead Pig Cost'!E35+'Lionhead Ext. Pig Cost'!E35+'Villa Pig Cost'!E35+'Richlands Pig Cost'!E35</f>
        <v>0</v>
      </c>
      <c r="F32" s="1057">
        <f>+'Grasmere Pig Cost'!F35+'Learig Pig Cost'!F35+'Lionhead Pig Cost'!F35+'Lionhead Ext. Pig Cost'!F35+'Villa Pig Cost'!F35+'Richlands Pig Cost'!F35</f>
        <v>0</v>
      </c>
      <c r="G32" s="1057">
        <f>+'Grasmere Pig Cost'!G35+'Learig Pig Cost'!G35+'Lionhead Pig Cost'!G35+'Lionhead Ext. Pig Cost'!G35+'Villa Pig Cost'!G35+'Richlands Pig Cost'!G35</f>
        <v>0</v>
      </c>
      <c r="H32" s="1057">
        <f>+'Grasmere Pig Cost'!H35+'Learig Pig Cost'!H35+'Lionhead Pig Cost'!H35+'Lionhead Ext. Pig Cost'!H35+'Villa Pig Cost'!H35+'Richlands Pig Cost'!H35</f>
        <v>0</v>
      </c>
      <c r="I32" s="1057">
        <f>+'Grasmere Pig Cost'!I35+'Learig Pig Cost'!I35+'Lionhead Pig Cost'!I35+'Lionhead Ext. Pig Cost'!I35+'Villa Pig Cost'!I35+'Richlands Pig Cost'!I35</f>
        <v>0</v>
      </c>
      <c r="J32" s="1057">
        <f>+'Grasmere Pig Cost'!J35+'Learig Pig Cost'!J35+'Lionhead Pig Cost'!J35+'Lionhead Ext. Pig Cost'!J35+'Villa Pig Cost'!J35+'Richlands Pig Cost'!J35</f>
        <v>0</v>
      </c>
      <c r="K32" s="1057">
        <f>+'Grasmere Pig Cost'!K35+'Learig Pig Cost'!K35+'Lionhead Pig Cost'!K35+'Lionhead Ext. Pig Cost'!K35+'Villa Pig Cost'!K35+'Richlands Pig Cost'!K35</f>
        <v>0</v>
      </c>
      <c r="L32" s="1057">
        <f>+'Grasmere Pig Cost'!L35+'Learig Pig Cost'!L35+'Lionhead Pig Cost'!L35+'Lionhead Ext. Pig Cost'!L35+'Villa Pig Cost'!L35+'Richlands Pig Cost'!L35</f>
        <v>0</v>
      </c>
      <c r="M32" s="1057">
        <f>+'Grasmere Pig Cost'!M35+'Learig Pig Cost'!M35+'Lionhead Pig Cost'!M35+'Lionhead Ext. Pig Cost'!M35+'Villa Pig Cost'!M35+'Richlands Pig Cost'!M35</f>
        <v>0</v>
      </c>
      <c r="N32" s="1057">
        <f>+'Grasmere Pig Cost'!N35+'Learig Pig Cost'!N35+'Lionhead Pig Cost'!N35+'Lionhead Ext. Pig Cost'!N35+'Villa Pig Cost'!N35+'Richlands Pig Cost'!N35</f>
        <v>0</v>
      </c>
      <c r="O32" s="1057">
        <f>+'Grasmere Pig Cost'!O35+'Learig Pig Cost'!O35+'Lionhead Pig Cost'!O35+'Lionhead Ext. Pig Cost'!O35+'Villa Pig Cost'!O35+'Richlands Pig Cost'!O35</f>
        <v>0</v>
      </c>
      <c r="P32" s="1057">
        <f>+'Grasmere Pig Cost'!P35+'Learig Pig Cost'!P35+'Lionhead Pig Cost'!P35+'Lionhead Ext. Pig Cost'!P35+'Villa Pig Cost'!P35+'Richlands Pig Cost'!P35</f>
        <v>0</v>
      </c>
      <c r="Q32" s="1057">
        <f>+'Grasmere Pig Cost'!Q35+'Learig Pig Cost'!Q35+'Lionhead Pig Cost'!Q35+'Lionhead Ext. Pig Cost'!Q35+'Villa Pig Cost'!Q35+'Richlands Pig Cost'!Q35</f>
        <v>0</v>
      </c>
      <c r="R32" s="1057">
        <f>+'Grasmere Pig Cost'!R35+'Learig Pig Cost'!R35+'Lionhead Pig Cost'!R35+'Lionhead Ext. Pig Cost'!R35+'Villa Pig Cost'!R35+'Richlands Pig Cost'!R35</f>
        <v>0</v>
      </c>
      <c r="S32" s="1057">
        <f>+'Grasmere Pig Cost'!S35+'Learig Pig Cost'!S35+'Lionhead Pig Cost'!S35+'Lionhead Ext. Pig Cost'!S35+'Villa Pig Cost'!S35+'Richlands Pig Cost'!S35</f>
        <v>0</v>
      </c>
      <c r="T32" s="1057">
        <f>+'Grasmere Pig Cost'!T35+'Learig Pig Cost'!T35+'Lionhead Pig Cost'!T35+'Lionhead Ext. Pig Cost'!T35+'Villa Pig Cost'!T35+'Richlands Pig Cost'!T35</f>
        <v>-212.63197182241933</v>
      </c>
      <c r="U32" s="1057">
        <f>+'Grasmere Pig Cost'!U35+'Learig Pig Cost'!U35+'Lionhead Pig Cost'!U35+'Lionhead Ext. Pig Cost'!U35+'Villa Pig Cost'!U35+'Richlands Pig Cost'!U35</f>
        <v>-736.07130806862165</v>
      </c>
      <c r="V32" s="1057">
        <f>+'Grasmere Pig Cost'!V35+'Learig Pig Cost'!V35+'Lionhead Pig Cost'!V35+'Lionhead Ext. Pig Cost'!V35+'Villa Pig Cost'!V35+'Richlands Pig Cost'!V35</f>
        <v>-2672.6062658146338</v>
      </c>
      <c r="W32" s="1057">
        <f>+'Grasmere Pig Cost'!W35+'Learig Pig Cost'!W35+'Lionhead Pig Cost'!W35+'Lionhead Ext. Pig Cost'!W35+'Villa Pig Cost'!W35+'Richlands Pig Cost'!W35</f>
        <v>-3213.2362239431868</v>
      </c>
      <c r="X32" s="1057">
        <f>+'Grasmere Pig Cost'!X35+'Learig Pig Cost'!X35+'Lionhead Pig Cost'!X35+'Lionhead Ext. Pig Cost'!X35+'Villa Pig Cost'!X35+'Richlands Pig Cost'!X35</f>
        <v>-4153.4206467169915</v>
      </c>
      <c r="Y32" s="1057">
        <f>+'Grasmere Pig Cost'!Y35+'Learig Pig Cost'!Y35+'Lionhead Pig Cost'!Y35+'Lionhead Ext. Pig Cost'!Y35+'Villa Pig Cost'!Y35+'Richlands Pig Cost'!Y35</f>
        <v>-1184.0717275086026</v>
      </c>
      <c r="Z32" s="1057">
        <f>+'Grasmere Pig Cost'!Z35+'Learig Pig Cost'!Z35+'Lionhead Pig Cost'!Z35+'Lionhead Ext. Pig Cost'!Z35+'Villa Pig Cost'!Z35+'Richlands Pig Cost'!Z35</f>
        <v>-1480.3895996858266</v>
      </c>
      <c r="AA32" s="1057">
        <f>+'Grasmere Pig Cost'!AA35+'Learig Pig Cost'!AA35+'Lionhead Pig Cost'!AA35+'Lionhead Ext. Pig Cost'!AA35+'Villa Pig Cost'!AA35+'Richlands Pig Cost'!AA35</f>
        <v>0</v>
      </c>
      <c r="AB32" s="1057">
        <f>+'Grasmere Pig Cost'!AB35+'Learig Pig Cost'!AB35+'Lionhead Pig Cost'!AB35+'Lionhead Ext. Pig Cost'!AB35+'Villa Pig Cost'!AB35+'Richlands Pig Cost'!AB35</f>
        <v>0</v>
      </c>
      <c r="AC32" s="1057">
        <f>+'Grasmere Pig Cost'!AC35+'Learig Pig Cost'!AC35+'Lionhead Pig Cost'!AC35+'Lionhead Ext. Pig Cost'!AC35+'Villa Pig Cost'!AC35+'Richlands Pig Cost'!AC35</f>
        <v>0</v>
      </c>
      <c r="AD32" s="1057">
        <f>+'Grasmere Pig Cost'!AD35+'Learig Pig Cost'!AD35+'Lionhead Pig Cost'!AD35+'Lionhead Ext. Pig Cost'!AD35+'Villa Pig Cost'!AD35+'Richlands Pig Cost'!AD35</f>
        <v>0</v>
      </c>
      <c r="AE32" s="1057">
        <f>+'Grasmere Pig Cost'!AE35+'Learig Pig Cost'!AE35+'Lionhead Pig Cost'!AE35+'Lionhead Ext. Pig Cost'!AE35+'Villa Pig Cost'!AE35+'Richlands Pig Cost'!AE35</f>
        <v>0</v>
      </c>
      <c r="AF32" s="1057">
        <f>+'Grasmere Pig Cost'!AF35+'Learig Pig Cost'!AF35+'Lionhead Pig Cost'!AF35+'Lionhead Ext. Pig Cost'!AF35+'Villa Pig Cost'!AF35+'Richlands Pig Cost'!AF35</f>
        <v>0</v>
      </c>
      <c r="AG32" s="1057">
        <f>+'Grasmere Pig Cost'!AG35+'Learig Pig Cost'!AG35+'Lionhead Pig Cost'!AG35+'Lionhead Ext. Pig Cost'!AG35+'Villa Pig Cost'!AG35+'Richlands Pig Cost'!AG35</f>
        <v>0</v>
      </c>
      <c r="AH32" s="1057">
        <f>+'Grasmere Pig Cost'!AH35+'Learig Pig Cost'!AH35+'Lionhead Pig Cost'!AH35+'Lionhead Ext. Pig Cost'!AH35+'Villa Pig Cost'!AH35+'Richlands Pig Cost'!AH35</f>
        <v>0</v>
      </c>
      <c r="AI32" s="1057">
        <f>+'Grasmere Pig Cost'!AI35+'Learig Pig Cost'!AI35+'Lionhead Pig Cost'!AI35+'Lionhead Ext. Pig Cost'!AI35+'Villa Pig Cost'!AI35+'Richlands Pig Cost'!AI35</f>
        <v>0</v>
      </c>
      <c r="AJ32" s="1057">
        <f>+'Grasmere Pig Cost'!AJ35+'Learig Pig Cost'!AJ35+'Lionhead Pig Cost'!AJ35+'Lionhead Ext. Pig Cost'!AJ35+'Villa Pig Cost'!AJ35+'Richlands Pig Cost'!AJ35</f>
        <v>0</v>
      </c>
      <c r="AK32" s="1057">
        <f>+'Grasmere Pig Cost'!AK35+'Learig Pig Cost'!AK35+'Lionhead Pig Cost'!AK35+'Lionhead Ext. Pig Cost'!AK35+'Villa Pig Cost'!AK35+'Richlands Pig Cost'!AK35</f>
        <v>0</v>
      </c>
      <c r="AL32" s="1057">
        <f>+'Grasmere Pig Cost'!AL35+'Learig Pig Cost'!AL35+'Lionhead Pig Cost'!AL35+'Lionhead Ext. Pig Cost'!AL35+'Villa Pig Cost'!AL35+'Richlands Pig Cost'!AL35</f>
        <v>0</v>
      </c>
      <c r="AM32" s="1057">
        <f>+'Grasmere Pig Cost'!AM35+'Learig Pig Cost'!AM35+'Lionhead Pig Cost'!AM35+'Lionhead Ext. Pig Cost'!AM35+'Villa Pig Cost'!AM35+'Richlands Pig Cost'!AM35</f>
        <v>0</v>
      </c>
      <c r="AN32" s="1057">
        <f>+'Grasmere Pig Cost'!AN35+'Learig Pig Cost'!AN35+'Lionhead Pig Cost'!AN35+'Lionhead Ext. Pig Cost'!AN35+'Villa Pig Cost'!AN35+'Richlands Pig Cost'!AN35</f>
        <v>0</v>
      </c>
      <c r="AO32" s="1057">
        <f>+'Grasmere Pig Cost'!AO35+'Learig Pig Cost'!AO35+'Lionhead Pig Cost'!AO35+'Lionhead Ext. Pig Cost'!AO35+'Villa Pig Cost'!AO35+'Richlands Pig Cost'!AO35</f>
        <v>-1459.4254504295316</v>
      </c>
      <c r="AP32" s="1057">
        <f>+'Grasmere Pig Cost'!AP35+'Learig Pig Cost'!AP35+'Lionhead Pig Cost'!AP35+'Lionhead Ext. Pig Cost'!AP35+'Villa Pig Cost'!AP35+'Richlands Pig Cost'!AP35</f>
        <v>0</v>
      </c>
      <c r="AQ32" s="1057">
        <f>+'Grasmere Pig Cost'!AQ35+'Learig Pig Cost'!AQ35+'Lionhead Pig Cost'!AQ35+'Lionhead Ext. Pig Cost'!AQ35+'Villa Pig Cost'!AQ35+'Richlands Pig Cost'!AQ35</f>
        <v>0</v>
      </c>
      <c r="AR32" s="1057">
        <f>+'Grasmere Pig Cost'!AR35+'Learig Pig Cost'!AR35+'Lionhead Pig Cost'!AR35+'Lionhead Ext. Pig Cost'!AR35+'Villa Pig Cost'!AR35+'Richlands Pig Cost'!AR35</f>
        <v>0</v>
      </c>
      <c r="AS32" s="1057">
        <f>+'Grasmere Pig Cost'!AS35+'Learig Pig Cost'!AS35+'Lionhead Pig Cost'!AS35+'Lionhead Ext. Pig Cost'!AS35+'Villa Pig Cost'!AS35+'Richlands Pig Cost'!AS35</f>
        <v>-11027.782185388427</v>
      </c>
      <c r="AT32" s="1057">
        <f>+'Grasmere Pig Cost'!AT35+'Learig Pig Cost'!AT35+'Lionhead Pig Cost'!AT35+'Lionhead Ext. Pig Cost'!AT35+'Villa Pig Cost'!AT35+'Richlands Pig Cost'!AT35</f>
        <v>0</v>
      </c>
      <c r="AU32" s="1057">
        <f>SUM(B32:AT32)</f>
        <v>-26139.63537937824</v>
      </c>
      <c r="AV32" s="1057">
        <f>+'Grasmere Pig Cost'!AU35+'Learig Pig Cost'!AU35+'Lionhead Pig Cost'!AU35+'Lionhead Ext. Pig Cost'!AU35+'Villa Pig Cost'!AU35+'Richlands Pig Cost'!AU35</f>
        <v>-26139.63537937824</v>
      </c>
      <c r="AW32" s="818">
        <f>+AU32-AV32</f>
        <v>0</v>
      </c>
      <c r="BA32" s="1059">
        <f>+'Non Current'!AA7</f>
        <v>130972.4</v>
      </c>
    </row>
    <row r="33" spans="1:53" ht="15.6">
      <c r="A33" s="1059" t="s">
        <v>1804</v>
      </c>
      <c r="B33" s="1057">
        <f>SUM(B30:B32)</f>
        <v>0</v>
      </c>
      <c r="C33" s="1057">
        <f t="shared" ref="C33:AN33" si="14">SUM(C30:C32)</f>
        <v>0</v>
      </c>
      <c r="D33" s="1057">
        <f t="shared" si="14"/>
        <v>0</v>
      </c>
      <c r="E33" s="1057">
        <f t="shared" si="14"/>
        <v>0</v>
      </c>
      <c r="F33" s="1057">
        <f t="shared" si="14"/>
        <v>26741.917040358745</v>
      </c>
      <c r="G33" s="1057">
        <f t="shared" si="14"/>
        <v>26741.917040358745</v>
      </c>
      <c r="H33" s="1057">
        <f t="shared" si="14"/>
        <v>26741.917040358745</v>
      </c>
      <c r="I33" s="1057">
        <f t="shared" si="14"/>
        <v>26741.917040358745</v>
      </c>
      <c r="J33" s="1057">
        <f t="shared" si="14"/>
        <v>24602.563677130041</v>
      </c>
      <c r="K33" s="1057">
        <f t="shared" si="14"/>
        <v>45990.086098654705</v>
      </c>
      <c r="L33" s="1057">
        <f t="shared" si="14"/>
        <v>45990.086098654705</v>
      </c>
      <c r="M33" s="1057">
        <f t="shared" si="14"/>
        <v>45990.086098654705</v>
      </c>
      <c r="N33" s="1057">
        <f t="shared" si="14"/>
        <v>45990.086098654705</v>
      </c>
      <c r="O33" s="1057">
        <f t="shared" si="14"/>
        <v>65090.412780269064</v>
      </c>
      <c r="P33" s="1057">
        <f t="shared" si="14"/>
        <v>65090.412780269064</v>
      </c>
      <c r="Q33" s="1057">
        <f t="shared" si="14"/>
        <v>65090.412780269064</v>
      </c>
      <c r="R33" s="1057">
        <f t="shared" si="14"/>
        <v>70438.796188340813</v>
      </c>
      <c r="S33" s="1057">
        <f t="shared" si="14"/>
        <v>93450.587062144405</v>
      </c>
      <c r="T33" s="1057">
        <f t="shared" si="14"/>
        <v>93276.892245539464</v>
      </c>
      <c r="U33" s="1057">
        <f t="shared" si="14"/>
        <v>92714.515754075779</v>
      </c>
      <c r="V33" s="1057">
        <f t="shared" si="14"/>
        <v>114906.08619007959</v>
      </c>
      <c r="W33" s="1057">
        <f t="shared" si="14"/>
        <v>103712.53126781824</v>
      </c>
      <c r="X33" s="1057">
        <f t="shared" si="14"/>
        <v>150408.29239280673</v>
      </c>
      <c r="Y33" s="1057">
        <f t="shared" si="14"/>
        <v>166502.06197572293</v>
      </c>
      <c r="Z33" s="1057">
        <f t="shared" si="14"/>
        <v>133123.49134792143</v>
      </c>
      <c r="AA33" s="1057">
        <f t="shared" si="14"/>
        <v>130056.12017440856</v>
      </c>
      <c r="AB33" s="1057">
        <f t="shared" si="14"/>
        <v>175742.40124114606</v>
      </c>
      <c r="AC33" s="1057">
        <f t="shared" si="14"/>
        <v>241439.75376334411</v>
      </c>
      <c r="AD33" s="1057">
        <f t="shared" si="14"/>
        <v>303430.16259632068</v>
      </c>
      <c r="AE33" s="1057">
        <f t="shared" si="14"/>
        <v>305280.74734585494</v>
      </c>
      <c r="AF33" s="1057">
        <f t="shared" si="14"/>
        <v>294497.89751710015</v>
      </c>
      <c r="AG33" s="1057">
        <f t="shared" si="14"/>
        <v>371126.91490610992</v>
      </c>
      <c r="AH33" s="1057">
        <f t="shared" si="14"/>
        <v>448070.11266022496</v>
      </c>
      <c r="AI33" s="1057">
        <f t="shared" si="14"/>
        <v>493179.06956095854</v>
      </c>
      <c r="AJ33" s="1057">
        <f t="shared" si="14"/>
        <v>508744.44621924375</v>
      </c>
      <c r="AK33" s="1057">
        <f t="shared" si="14"/>
        <v>591416.85302566399</v>
      </c>
      <c r="AL33" s="1057">
        <f t="shared" si="14"/>
        <v>697865.96617812221</v>
      </c>
      <c r="AM33" s="1057">
        <f t="shared" si="14"/>
        <v>781206.57271950808</v>
      </c>
      <c r="AN33" s="1057">
        <f t="shared" si="14"/>
        <v>740901.12370522087</v>
      </c>
      <c r="AO33" s="1057">
        <f t="shared" ref="AO33:AT33" si="15">SUM(AO30:AO32)</f>
        <v>783955.28454933455</v>
      </c>
      <c r="AP33" s="1057">
        <f t="shared" si="15"/>
        <v>839059.90067747456</v>
      </c>
      <c r="AQ33" s="1057">
        <f t="shared" si="15"/>
        <v>1038782.6959034079</v>
      </c>
      <c r="AR33" s="1057">
        <f t="shared" si="15"/>
        <v>825522.98843202146</v>
      </c>
      <c r="AS33" s="1057">
        <f t="shared" si="15"/>
        <v>434203.93075342407</v>
      </c>
      <c r="AT33" s="1057">
        <f t="shared" si="15"/>
        <v>4018.5899192049619</v>
      </c>
      <c r="AU33" s="1057">
        <f>SUM(AU30:AU32)</f>
        <v>11537836.600846535</v>
      </c>
      <c r="AV33" s="1057">
        <f>SUM(AV30:AV32)</f>
        <v>11537836.600846536</v>
      </c>
      <c r="AW33" s="818"/>
      <c r="AX33" s="1578"/>
      <c r="AY33" s="817"/>
    </row>
    <row r="34" spans="1:53" ht="15.6">
      <c r="A34" s="1059" t="s">
        <v>1805</v>
      </c>
      <c r="B34" s="1057"/>
      <c r="C34" s="1057"/>
      <c r="D34" s="1057"/>
      <c r="E34" s="1057"/>
      <c r="F34" s="1057"/>
      <c r="G34" s="1057"/>
      <c r="H34" s="1057"/>
      <c r="I34" s="1057"/>
      <c r="J34" s="1057"/>
      <c r="K34" s="1057"/>
      <c r="L34" s="1057"/>
      <c r="M34" s="1057"/>
      <c r="N34" s="1057"/>
      <c r="O34" s="1057"/>
      <c r="P34" s="1057"/>
      <c r="Q34" s="1057"/>
      <c r="R34" s="1057"/>
      <c r="S34" s="1057">
        <f>IFERROR(S33/S11,0)</f>
        <v>54.585623283962853</v>
      </c>
      <c r="T34" s="1057">
        <f t="shared" ref="T34:AN34" si="16">IFERROR(T33/T11,0)</f>
        <v>28.490193111038323</v>
      </c>
      <c r="U34" s="1057">
        <f t="shared" si="16"/>
        <v>29.173856436147194</v>
      </c>
      <c r="V34" s="1057">
        <f t="shared" si="16"/>
        <v>35.497709666382327</v>
      </c>
      <c r="W34" s="1057">
        <f t="shared" si="16"/>
        <v>31.941032112047502</v>
      </c>
      <c r="X34" s="1057">
        <f t="shared" si="16"/>
        <v>47.824576277522013</v>
      </c>
      <c r="Y34" s="1057">
        <f t="shared" si="16"/>
        <v>56.250696613419912</v>
      </c>
      <c r="Z34" s="1057">
        <f t="shared" si="16"/>
        <v>44.153728473605781</v>
      </c>
      <c r="AA34" s="1057">
        <f t="shared" si="16"/>
        <v>41.724773876935693</v>
      </c>
      <c r="AB34" s="1057">
        <f t="shared" si="16"/>
        <v>57.207812904018901</v>
      </c>
      <c r="AC34" s="1057">
        <f t="shared" si="16"/>
        <v>78.542535381699452</v>
      </c>
      <c r="AD34" s="1057">
        <f t="shared" si="16"/>
        <v>98.580299738895604</v>
      </c>
      <c r="AE34" s="1057">
        <f t="shared" si="16"/>
        <v>103.76639950572907</v>
      </c>
      <c r="AF34" s="1057">
        <f t="shared" si="16"/>
        <v>100.03325323271065</v>
      </c>
      <c r="AG34" s="1057">
        <f t="shared" si="16"/>
        <v>127.01126451270018</v>
      </c>
      <c r="AH34" s="1057">
        <f t="shared" si="16"/>
        <v>157.60468260999824</v>
      </c>
      <c r="AI34" s="1057">
        <f t="shared" si="16"/>
        <v>171.30221242131245</v>
      </c>
      <c r="AJ34" s="1057">
        <f t="shared" si="16"/>
        <v>168.90585863852715</v>
      </c>
      <c r="AK34" s="1057">
        <f t="shared" si="16"/>
        <v>198.99624933568774</v>
      </c>
      <c r="AL34" s="1057">
        <f t="shared" si="16"/>
        <v>242.14641435743312</v>
      </c>
      <c r="AM34" s="1057">
        <f t="shared" si="16"/>
        <v>261.01121707968866</v>
      </c>
      <c r="AN34" s="1057">
        <f t="shared" si="16"/>
        <v>253.64639633865829</v>
      </c>
      <c r="AO34" s="1057">
        <f t="shared" ref="AO34:AS34" si="17">IFERROR(AO33/AO11,0)</f>
        <v>265.02883182871352</v>
      </c>
      <c r="AP34" s="1057">
        <f t="shared" si="17"/>
        <v>288.33673562799811</v>
      </c>
      <c r="AQ34" s="1057">
        <f>IFERROR(AQ33/AQ11,0)</f>
        <v>346.60750614060993</v>
      </c>
      <c r="AR34" s="1057">
        <f t="shared" si="17"/>
        <v>359.548339909417</v>
      </c>
      <c r="AS34" s="1057">
        <f t="shared" si="17"/>
        <v>287.36196608433096</v>
      </c>
      <c r="AT34" s="1057">
        <f>IFERROR(AT33/AT11,0)</f>
        <v>267.90599461366412</v>
      </c>
      <c r="AU34" s="1057">
        <f>IFERROR(AU33/AU11,0)</f>
        <v>147.72023405175702</v>
      </c>
      <c r="AV34" s="818"/>
      <c r="AW34" s="818"/>
      <c r="AX34" s="1578"/>
      <c r="AY34" s="817"/>
    </row>
    <row r="35" spans="1:53" ht="15.6">
      <c r="B35" s="1057"/>
      <c r="C35" s="1057"/>
      <c r="D35" s="1057"/>
      <c r="E35" s="1057"/>
      <c r="F35" s="1057"/>
      <c r="G35" s="1057"/>
      <c r="H35" s="1057"/>
      <c r="I35" s="1057"/>
      <c r="J35" s="1057"/>
      <c r="K35" s="1057"/>
      <c r="L35" s="1057"/>
      <c r="M35" s="1057"/>
      <c r="N35" s="1057"/>
      <c r="O35" s="1057"/>
      <c r="P35" s="1057"/>
      <c r="Q35" s="1057"/>
      <c r="R35" s="1057"/>
      <c r="S35" s="1057"/>
      <c r="T35" s="1057"/>
      <c r="U35" s="1057"/>
      <c r="V35" s="1057"/>
      <c r="W35" s="1057"/>
      <c r="X35" s="1057"/>
      <c r="Y35" s="1057"/>
      <c r="Z35" s="1057"/>
      <c r="AA35" s="1057"/>
      <c r="AB35" s="1057"/>
      <c r="AC35" s="1057"/>
      <c r="AD35" s="1057"/>
      <c r="AE35" s="1057"/>
      <c r="AF35" s="1057"/>
      <c r="AG35" s="1057"/>
      <c r="AH35" s="1057"/>
      <c r="AI35" s="1057"/>
      <c r="AJ35" s="1057"/>
      <c r="AK35" s="1057"/>
      <c r="AL35" s="1057"/>
      <c r="AM35" s="1057"/>
      <c r="AN35" s="1057"/>
      <c r="AO35" s="1057"/>
      <c r="AP35" s="1057"/>
      <c r="AQ35" s="1057"/>
      <c r="AR35" s="1057"/>
      <c r="AS35" s="1057"/>
      <c r="AT35" s="1057"/>
      <c r="AV35" s="818"/>
      <c r="AW35" s="818"/>
      <c r="AX35" s="1578"/>
      <c r="AY35" s="817"/>
    </row>
    <row r="36" spans="1:53" ht="15.6">
      <c r="A36" s="1687" t="s">
        <v>1806</v>
      </c>
      <c r="B36" s="1057">
        <f t="shared" ref="B36:AN36" si="18">IFERROR(B33+SUM(B42:B51),0)</f>
        <v>0</v>
      </c>
      <c r="C36" s="1057">
        <f t="shared" si="18"/>
        <v>0</v>
      </c>
      <c r="D36" s="1057">
        <f t="shared" si="18"/>
        <v>0</v>
      </c>
      <c r="E36" s="1057">
        <f t="shared" si="18"/>
        <v>0</v>
      </c>
      <c r="F36" s="1057">
        <f t="shared" si="18"/>
        <v>26741.917040358745</v>
      </c>
      <c r="G36" s="1057">
        <f t="shared" si="18"/>
        <v>26741.917040358745</v>
      </c>
      <c r="H36" s="1057">
        <f t="shared" si="18"/>
        <v>26741.917040358745</v>
      </c>
      <c r="I36" s="1057">
        <f t="shared" si="18"/>
        <v>26741.917040358745</v>
      </c>
      <c r="J36" s="1057">
        <f t="shared" si="18"/>
        <v>24602.563677130041</v>
      </c>
      <c r="K36" s="1057">
        <f t="shared" si="18"/>
        <v>45990.086098654705</v>
      </c>
      <c r="L36" s="1057">
        <f t="shared" si="18"/>
        <v>45990.086098654705</v>
      </c>
      <c r="M36" s="1057">
        <f t="shared" si="18"/>
        <v>45990.086098654705</v>
      </c>
      <c r="N36" s="1057">
        <f t="shared" si="18"/>
        <v>45990.086098654705</v>
      </c>
      <c r="O36" s="1057">
        <f t="shared" si="18"/>
        <v>65090.412780269064</v>
      </c>
      <c r="P36" s="1057">
        <f t="shared" si="18"/>
        <v>65090.412780269064</v>
      </c>
      <c r="Q36" s="1057">
        <f t="shared" si="18"/>
        <v>65090.412780269064</v>
      </c>
      <c r="R36" s="1057">
        <f t="shared" si="18"/>
        <v>70438.796188340813</v>
      </c>
      <c r="S36" s="1057">
        <f t="shared" si="18"/>
        <v>93450.587062144405</v>
      </c>
      <c r="T36" s="1057">
        <f t="shared" si="18"/>
        <v>93276.892245539464</v>
      </c>
      <c r="U36" s="1057">
        <f t="shared" si="18"/>
        <v>92714.515754075779</v>
      </c>
      <c r="V36" s="1057">
        <f t="shared" si="18"/>
        <v>114906.08619007959</v>
      </c>
      <c r="W36" s="1057">
        <f t="shared" si="18"/>
        <v>105740.06637900454</v>
      </c>
      <c r="X36" s="1057">
        <f t="shared" si="18"/>
        <v>151928.94372619645</v>
      </c>
      <c r="Y36" s="1057">
        <f t="shared" si="18"/>
        <v>168191.67456837819</v>
      </c>
      <c r="Z36" s="1057">
        <f t="shared" si="18"/>
        <v>135488.94897763879</v>
      </c>
      <c r="AA36" s="1057">
        <f t="shared" si="18"/>
        <v>129958.6266395822</v>
      </c>
      <c r="AB36" s="1057">
        <f t="shared" si="18"/>
        <v>177507.85067633761</v>
      </c>
      <c r="AC36" s="1057">
        <f t="shared" si="18"/>
        <v>240661.87605598132</v>
      </c>
      <c r="AD36" s="1057">
        <f t="shared" si="18"/>
        <v>302194.31543502712</v>
      </c>
      <c r="AE36" s="1057">
        <f t="shared" si="18"/>
        <v>303407.04307449888</v>
      </c>
      <c r="AF36" s="1057">
        <f t="shared" si="18"/>
        <v>292200.04714554228</v>
      </c>
      <c r="AG36" s="1057">
        <f t="shared" si="18"/>
        <v>370181.80184512195</v>
      </c>
      <c r="AH36" s="1057">
        <f t="shared" si="18"/>
        <v>447908.25570769253</v>
      </c>
      <c r="AI36" s="1057">
        <f t="shared" si="18"/>
        <v>492865.80752484087</v>
      </c>
      <c r="AJ36" s="1057">
        <f t="shared" si="18"/>
        <v>508231.68307948706</v>
      </c>
      <c r="AK36" s="1057">
        <f t="shared" si="18"/>
        <v>591019.67724743765</v>
      </c>
      <c r="AL36" s="1057">
        <f t="shared" si="18"/>
        <v>696647.15442738833</v>
      </c>
      <c r="AM36" s="1057">
        <f t="shared" si="18"/>
        <v>780319.46963024233</v>
      </c>
      <c r="AN36" s="1057">
        <f t="shared" si="18"/>
        <v>740901.12370522087</v>
      </c>
      <c r="AO36" s="1057">
        <f t="shared" ref="AO36:AT36" si="19">IFERROR(AO33+SUM(AO42:AO51),0)</f>
        <v>794326.14987872238</v>
      </c>
      <c r="AP36" s="1057">
        <f>IFERROR(AP33+SUM(AP42:AP51),0)</f>
        <v>837981.36800987355</v>
      </c>
      <c r="AQ36" s="1057">
        <f t="shared" si="19"/>
        <v>1037172.4417384405</v>
      </c>
      <c r="AR36" s="1057">
        <f t="shared" si="19"/>
        <v>824531.39992208697</v>
      </c>
      <c r="AS36" s="1057">
        <f t="shared" si="19"/>
        <v>433563.61944232124</v>
      </c>
      <c r="AT36" s="1057">
        <f t="shared" si="19"/>
        <v>4018.5899192049619</v>
      </c>
      <c r="AU36" s="1057">
        <f>IFERROR(AU33+SUM(AU42:AU51),0)</f>
        <v>11542536.626770439</v>
      </c>
      <c r="AV36" s="818"/>
      <c r="AW36" s="818"/>
      <c r="AX36" s="1578"/>
      <c r="AY36" s="817"/>
    </row>
    <row r="37" spans="1:53" ht="15.6">
      <c r="A37" s="1559" t="s">
        <v>1807</v>
      </c>
      <c r="B37" s="1057">
        <f>+'Grasmere Pig Cost'!B40+'Learig Pig Cost'!B40+'Lionhead Pig Cost'!B40+'Lionhead Ext. Pig Cost'!B40+'Villa Pig Cost'!B40+'Richlands Pig Cost'!B40</f>
        <v>19489.854260089687</v>
      </c>
      <c r="C37" s="1057">
        <f>+'Grasmere Pig Cost'!C40+'Learig Pig Cost'!C40+'Lionhead Pig Cost'!C40+'Lionhead Ext. Pig Cost'!C40+'Villa Pig Cost'!C40+'Richlands Pig Cost'!C40</f>
        <v>19489.854260089687</v>
      </c>
      <c r="D37" s="1057">
        <f>+'Grasmere Pig Cost'!D40+'Learig Pig Cost'!D40+'Lionhead Pig Cost'!D40+'Lionhead Ext. Pig Cost'!D40+'Villa Pig Cost'!D40+'Richlands Pig Cost'!D40</f>
        <v>19489.854260089687</v>
      </c>
      <c r="E37" s="1057">
        <f>+'Grasmere Pig Cost'!E40+'Learig Pig Cost'!E40+'Lionhead Pig Cost'!E40+'Lionhead Ext. Pig Cost'!E40+'Villa Pig Cost'!E40+'Richlands Pig Cost'!E40</f>
        <v>19489.854260089687</v>
      </c>
      <c r="F37" s="1057">
        <f>+'Grasmere Pig Cost'!F40+'Learig Pig Cost'!F40+'Lionhead Pig Cost'!F40+'Lionhead Ext. Pig Cost'!F40+'Villa Pig Cost'!F40+'Richlands Pig Cost'!F40</f>
        <v>17930.66591928251</v>
      </c>
      <c r="G37" s="1057">
        <f>+'Grasmere Pig Cost'!G40+'Learig Pig Cost'!G40+'Lionhead Pig Cost'!G40+'Lionhead Ext. Pig Cost'!G40+'Villa Pig Cost'!G40+'Richlands Pig Cost'!G40</f>
        <v>17930.66591928251</v>
      </c>
      <c r="H37" s="1057">
        <f>+'Grasmere Pig Cost'!H40+'Learig Pig Cost'!H40+'Lionhead Pig Cost'!H40+'Lionhead Ext. Pig Cost'!H40+'Villa Pig Cost'!H40+'Richlands Pig Cost'!H40</f>
        <v>17930.66591928251</v>
      </c>
      <c r="I37" s="1057">
        <f>+'Grasmere Pig Cost'!I40+'Learig Pig Cost'!I40+'Lionhead Pig Cost'!I40+'Lionhead Ext. Pig Cost'!I40+'Villa Pig Cost'!I40+'Richlands Pig Cost'!I40</f>
        <v>17930.66591928251</v>
      </c>
      <c r="J37" s="1057">
        <f>+'Grasmere Pig Cost'!J40+'Learig Pig Cost'!J40+'Lionhead Pig Cost'!J40+'Lionhead Ext. Pig Cost'!J40+'Villa Pig Cost'!J40+'Richlands Pig Cost'!J40</f>
        <v>17930.66591928251</v>
      </c>
      <c r="K37" s="1057">
        <f>+'Grasmere Pig Cost'!K40+'Learig Pig Cost'!K40+'Lionhead Pig Cost'!K40+'Lionhead Ext. Pig Cost'!K40+'Villa Pig Cost'!K40+'Richlands Pig Cost'!K40</f>
        <v>17930.66591928251</v>
      </c>
      <c r="L37" s="1057">
        <f>+'Grasmere Pig Cost'!L40+'Learig Pig Cost'!L40+'Lionhead Pig Cost'!L40+'Lionhead Ext. Pig Cost'!L40+'Villa Pig Cost'!L40+'Richlands Pig Cost'!L40</f>
        <v>17930.66591928251</v>
      </c>
      <c r="M37" s="1057">
        <f>+'Grasmere Pig Cost'!M40+'Learig Pig Cost'!M40+'Lionhead Pig Cost'!M40+'Lionhead Ext. Pig Cost'!M40+'Villa Pig Cost'!M40+'Richlands Pig Cost'!M40</f>
        <v>17930.66591928251</v>
      </c>
      <c r="N37" s="1057">
        <f>+'Grasmere Pig Cost'!N40+'Learig Pig Cost'!N40+'Lionhead Pig Cost'!N40+'Lionhead Ext. Pig Cost'!N40+'Villa Pig Cost'!N40+'Richlands Pig Cost'!N40</f>
        <v>21828.636771300444</v>
      </c>
      <c r="O37" s="1057">
        <f>+'Grasmere Pig Cost'!O40+'Learig Pig Cost'!O40+'Lionhead Pig Cost'!O40+'Lionhead Ext. Pig Cost'!O40+'Villa Pig Cost'!O40+'Richlands Pig Cost'!O40</f>
        <v>21828.636771300444</v>
      </c>
      <c r="P37" s="1057">
        <f>+'Grasmere Pig Cost'!P40+'Learig Pig Cost'!P40+'Lionhead Pig Cost'!P40+'Lionhead Ext. Pig Cost'!P40+'Villa Pig Cost'!P40+'Richlands Pig Cost'!P40</f>
        <v>21828.636771300444</v>
      </c>
      <c r="Q37" s="1057">
        <f>+'Grasmere Pig Cost'!Q40+'Learig Pig Cost'!Q40+'Lionhead Pig Cost'!Q40+'Lionhead Ext. Pig Cost'!Q40+'Villa Pig Cost'!Q40+'Richlands Pig Cost'!Q40</f>
        <v>21828.636771300444</v>
      </c>
      <c r="R37" s="1057">
        <f>+'Grasmere Pig Cost'!R40+'Learig Pig Cost'!R40+'Lionhead Pig Cost'!R40+'Lionhead Ext. Pig Cost'!R40+'Villa Pig Cost'!R40+'Richlands Pig Cost'!R40</f>
        <v>38979.708520179374</v>
      </c>
      <c r="S37" s="1057">
        <f>+'Grasmere Pig Cost'!S40+'Learig Pig Cost'!S40+'Lionhead Pig Cost'!S40+'Lionhead Ext. Pig Cost'!S40+'Villa Pig Cost'!S40+'Richlands Pig Cost'!S40</f>
        <v>33573.483870967742</v>
      </c>
      <c r="T37" s="1057">
        <f>+'Grasmere Pig Cost'!T40+'Learig Pig Cost'!T40+'Lionhead Pig Cost'!T40+'Lionhead Ext. Pig Cost'!T40+'Villa Pig Cost'!T40+'Richlands Pig Cost'!T40</f>
        <v>61551.38709677419</v>
      </c>
      <c r="U37" s="1057">
        <f>+'Grasmere Pig Cost'!U40+'Learig Pig Cost'!U40+'Lionhead Pig Cost'!U40+'Lionhead Ext. Pig Cost'!U40+'Villa Pig Cost'!U40+'Richlands Pig Cost'!U40</f>
        <v>78338.129032258061</v>
      </c>
      <c r="V37" s="1057">
        <f>+'Grasmere Pig Cost'!V40+'Learig Pig Cost'!V40+'Lionhead Pig Cost'!V40+'Lionhead Ext. Pig Cost'!V40+'Villa Pig Cost'!V40+'Richlands Pig Cost'!V40</f>
        <v>38968.086157988422</v>
      </c>
      <c r="W37" s="1057">
        <f>+'Grasmere Pig Cost'!W40+'Learig Pig Cost'!W40+'Lionhead Pig Cost'!W40+'Lionhead Ext. Pig Cost'!W40+'Villa Pig Cost'!W40+'Richlands Pig Cost'!W40</f>
        <v>23723.40265112523</v>
      </c>
      <c r="X37" s="1057">
        <f>+'Grasmere Pig Cost'!X40+'Learig Pig Cost'!X40+'Lionhead Pig Cost'!X40+'Lionhead Ext. Pig Cost'!X40+'Villa Pig Cost'!X40+'Richlands Pig Cost'!X40</f>
        <v>70827.804128787247</v>
      </c>
      <c r="Y37" s="1057">
        <f>+'Grasmere Pig Cost'!Y40+'Learig Pig Cost'!Y40+'Lionhead Pig Cost'!Y40+'Lionhead Ext. Pig Cost'!Y40+'Villa Pig Cost'!Y40+'Richlands Pig Cost'!Y40</f>
        <v>73473.633477193434</v>
      </c>
      <c r="Z37" s="1057">
        <f>+'Grasmere Pig Cost'!Z40+'Learig Pig Cost'!Z40+'Lionhead Pig Cost'!Z40+'Lionhead Ext. Pig Cost'!Z40+'Villa Pig Cost'!Z40+'Richlands Pig Cost'!Z40</f>
        <v>127707.45731227775</v>
      </c>
      <c r="AA37" s="1057">
        <f>+'Grasmere Pig Cost'!AA40+'Learig Pig Cost'!AA40+'Lionhead Pig Cost'!AA40+'Lionhead Ext. Pig Cost'!AA40+'Villa Pig Cost'!AA40+'Richlands Pig Cost'!AA40</f>
        <v>133166.27484561596</v>
      </c>
      <c r="AB37" s="1057">
        <f>+'Grasmere Pig Cost'!AB40+'Learig Pig Cost'!AB40+'Lionhead Pig Cost'!AB40+'Lionhead Ext. Pig Cost'!AB40+'Villa Pig Cost'!AB40+'Richlands Pig Cost'!AB40</f>
        <v>136977.5190931473</v>
      </c>
      <c r="AC37" s="1057">
        <f>+'Grasmere Pig Cost'!AC40+'Learig Pig Cost'!AC40+'Lionhead Pig Cost'!AC40+'Lionhead Ext. Pig Cost'!AC40+'Villa Pig Cost'!AC40+'Richlands Pig Cost'!AC40</f>
        <v>142835.52233386468</v>
      </c>
      <c r="AD37" s="1057">
        <f>+'Grasmere Pig Cost'!AD40+'Learig Pig Cost'!AD40+'Lionhead Pig Cost'!AD40+'Lionhead Ext. Pig Cost'!AD40+'Villa Pig Cost'!AD40+'Richlands Pig Cost'!AD40</f>
        <v>193901.9445565147</v>
      </c>
      <c r="AE37" s="1057">
        <f>+'Grasmere Pig Cost'!AE40+'Learig Pig Cost'!AE40+'Lionhead Pig Cost'!AE40+'Lionhead Ext. Pig Cost'!AE40+'Villa Pig Cost'!AE40+'Richlands Pig Cost'!AE40</f>
        <v>190331.05544348527</v>
      </c>
      <c r="AF37" s="1057">
        <f>+'Grasmere Pig Cost'!AF40+'Learig Pig Cost'!AF40+'Lionhead Pig Cost'!AF40+'Lionhead Ext. Pig Cost'!AF40+'Villa Pig Cost'!AF40+'Richlands Pig Cost'!AF40</f>
        <v>218510.84609487705</v>
      </c>
      <c r="AG37" s="1057">
        <f>+'Grasmere Pig Cost'!AG40+'Learig Pig Cost'!AG40+'Lionhead Pig Cost'!AG40+'Lionhead Ext. Pig Cost'!AG40+'Villa Pig Cost'!AG40+'Richlands Pig Cost'!AG40</f>
        <v>216581.15390512292</v>
      </c>
      <c r="AH37" s="1057">
        <f>+'Grasmere Pig Cost'!AH40+'Learig Pig Cost'!AH40+'Lionhead Pig Cost'!AH40+'Lionhead Ext. Pig Cost'!AH40+'Villa Pig Cost'!AH40+'Richlands Pig Cost'!AH40</f>
        <v>260152.55338246748</v>
      </c>
      <c r="AI37" s="1057">
        <f>+'Grasmere Pig Cost'!AI40+'Learig Pig Cost'!AI40+'Lionhead Pig Cost'!AI40+'Lionhead Ext. Pig Cost'!AI40+'Villa Pig Cost'!AI40+'Richlands Pig Cost'!AI40</f>
        <v>257850.49805806167</v>
      </c>
      <c r="AJ37" s="1057">
        <f>+'Grasmere Pig Cost'!AJ40+'Learig Pig Cost'!AJ40+'Lionhead Pig Cost'!AJ40+'Lionhead Ext. Pig Cost'!AJ40+'Villa Pig Cost'!AJ40+'Richlands Pig Cost'!AJ40</f>
        <v>245923.17258103192</v>
      </c>
      <c r="AK37" s="1057">
        <f>+'Grasmere Pig Cost'!AK40+'Learig Pig Cost'!AK40+'Lionhead Pig Cost'!AK40+'Lionhead Ext. Pig Cost'!AK40+'Villa Pig Cost'!AK40+'Richlands Pig Cost'!AK40</f>
        <v>235476.89684209766</v>
      </c>
      <c r="AL37" s="1057">
        <f>+'Grasmere Pig Cost'!AL40+'Learig Pig Cost'!AL40+'Lionhead Pig Cost'!AL40+'Lionhead Ext. Pig Cost'!AL40+'Villa Pig Cost'!AL40+'Richlands Pig Cost'!AL40</f>
        <v>229285.84793889371</v>
      </c>
      <c r="AM37" s="1057">
        <f>+'Grasmere Pig Cost'!AM40+'Learig Pig Cost'!AM40+'Lionhead Pig Cost'!AM40+'Lionhead Ext. Pig Cost'!AM40+'Villa Pig Cost'!AM40+'Richlands Pig Cost'!AM40</f>
        <v>238192.7295316009</v>
      </c>
      <c r="AN37" s="1057">
        <f>+'Grasmere Pig Cost'!AN40+'Learig Pig Cost'!AN40+'Lionhead Pig Cost'!AN40+'Lionhead Ext. Pig Cost'!AN40+'Villa Pig Cost'!AN40+'Richlands Pig Cost'!AN40</f>
        <v>180850.28887398876</v>
      </c>
      <c r="AO37" s="1057">
        <f>+'Grasmere Pig Cost'!AO40+'Learig Pig Cost'!AO40+'Lionhead Pig Cost'!AO40+'Lionhead Ext. Pig Cost'!AO40+'Villa Pig Cost'!AO40+'Richlands Pig Cost'!AO40</f>
        <v>78503.912791857918</v>
      </c>
      <c r="AP37" s="1057">
        <f>+'Grasmere Pig Cost'!AP40+'Learig Pig Cost'!AP40+'Lionhead Pig Cost'!AP40+'Lionhead Ext. Pig Cost'!AP40+'Villa Pig Cost'!AP40+'Richlands Pig Cost'!AP40</f>
        <v>0</v>
      </c>
      <c r="AQ37" s="1057">
        <f>+'Grasmere Pig Cost'!AQ40+'Learig Pig Cost'!AQ40+'Lionhead Pig Cost'!AQ40+'Lionhead Ext. Pig Cost'!AQ40+'Villa Pig Cost'!AQ40+'Richlands Pig Cost'!AQ40</f>
        <v>0</v>
      </c>
      <c r="AR37" s="1057">
        <f>+'Grasmere Pig Cost'!AR40+'Learig Pig Cost'!AR40+'Lionhead Pig Cost'!AR40+'Lionhead Ext. Pig Cost'!AR40+'Villa Pig Cost'!AR40+'Richlands Pig Cost'!AR40</f>
        <v>0</v>
      </c>
      <c r="AS37" s="1057">
        <f>+'Grasmere Pig Cost'!AS40+'Learig Pig Cost'!AS40+'Lionhead Pig Cost'!AS40+'Lionhead Ext. Pig Cost'!AS40+'Villa Pig Cost'!AS40+'Richlands Pig Cost'!AS40</f>
        <v>0</v>
      </c>
      <c r="AT37" s="1057">
        <f>+'Grasmere Pig Cost'!AT40+'Learig Pig Cost'!AT40+'Lionhead Pig Cost'!AT40+'Lionhead Ext. Pig Cost'!AT40+'Villa Pig Cost'!AT40+'Richlands Pig Cost'!AT40</f>
        <v>0</v>
      </c>
      <c r="AU37" s="1057">
        <f>+'Grasmere Pig Cost'!AU40+'Learig Pig Cost'!AU40+'Lionhead Pig Cost'!AU40+'Lionhead Ext. Pig Cost'!AU40+'Villa Pig Cost'!AU40+'Richlands Pig Cost'!AU40</f>
        <v>3814402.6</v>
      </c>
      <c r="AV37" s="1057">
        <f>+'Grasmere Pig Cost'!AU40+'Learig Pig Cost'!AU40+'Lionhead Pig Cost'!AU40+'Lionhead Ext. Pig Cost'!AU40+'Villa Pig Cost'!AU40+'Richlands Pig Cost'!AU40</f>
        <v>3814402.6</v>
      </c>
      <c r="AW37" s="818">
        <f>+AU37-AV37</f>
        <v>0</v>
      </c>
      <c r="AX37" s="1684">
        <f>'Feed Cost &amp; Allocation'!Z72-'Feed Cost &amp; Allocation'!R72-'Feed Cost &amp; Allocation'!Q72-'Feed Cost &amp; Allocation'!P72-'Feed Cost &amp; Allocation'!Z78+'Feed Cost &amp; Allocation'!R78+'Feed Cost &amp; Allocation'!Q78+'Feed Cost &amp; Allocation'!P78+F101-AU37</f>
        <v>-3808603.4</v>
      </c>
      <c r="AZ37" s="142">
        <f>+'Feed Cost &amp; Allocation'!Z72</f>
        <v>52615.5</v>
      </c>
      <c r="BA37" s="1091">
        <f>+AZ37-AV37</f>
        <v>-3761787.1</v>
      </c>
    </row>
    <row r="38" spans="1:53" ht="15.6">
      <c r="A38" s="1790" t="s">
        <v>1808</v>
      </c>
      <c r="B38" s="1562">
        <f>IFERROR(SUM(B36:B37),0)</f>
        <v>19489.854260089687</v>
      </c>
      <c r="C38" s="1562">
        <f t="shared" ref="C38:AT38" si="20">IFERROR(SUM(C36:C37),0)</f>
        <v>19489.854260089687</v>
      </c>
      <c r="D38" s="1562">
        <f t="shared" si="20"/>
        <v>19489.854260089687</v>
      </c>
      <c r="E38" s="1562">
        <f t="shared" si="20"/>
        <v>19489.854260089687</v>
      </c>
      <c r="F38" s="1562">
        <f t="shared" si="20"/>
        <v>44672.582959641251</v>
      </c>
      <c r="G38" s="1562">
        <f t="shared" si="20"/>
        <v>44672.582959641251</v>
      </c>
      <c r="H38" s="1562">
        <f t="shared" si="20"/>
        <v>44672.582959641251</v>
      </c>
      <c r="I38" s="1562">
        <f t="shared" si="20"/>
        <v>44672.582959641251</v>
      </c>
      <c r="J38" s="1562">
        <f t="shared" si="20"/>
        <v>42533.229596412551</v>
      </c>
      <c r="K38" s="1562">
        <f t="shared" si="20"/>
        <v>63920.752017937215</v>
      </c>
      <c r="L38" s="1562">
        <f t="shared" si="20"/>
        <v>63920.752017937215</v>
      </c>
      <c r="M38" s="1562">
        <f t="shared" si="20"/>
        <v>63920.752017937215</v>
      </c>
      <c r="N38" s="1562">
        <f t="shared" si="20"/>
        <v>67818.722869955149</v>
      </c>
      <c r="O38" s="1562">
        <f t="shared" si="20"/>
        <v>86919.049551569507</v>
      </c>
      <c r="P38" s="1562">
        <f t="shared" si="20"/>
        <v>86919.049551569507</v>
      </c>
      <c r="Q38" s="1562">
        <f t="shared" si="20"/>
        <v>86919.049551569507</v>
      </c>
      <c r="R38" s="1562">
        <f t="shared" si="20"/>
        <v>109418.50470852019</v>
      </c>
      <c r="S38" s="1562">
        <f t="shared" si="20"/>
        <v>127024.07093311215</v>
      </c>
      <c r="T38" s="1562">
        <f t="shared" si="20"/>
        <v>154828.27934231365</v>
      </c>
      <c r="U38" s="1562">
        <f t="shared" si="20"/>
        <v>171052.64478633384</v>
      </c>
      <c r="V38" s="1562">
        <f t="shared" si="20"/>
        <v>153874.17234806801</v>
      </c>
      <c r="W38" s="1562">
        <f t="shared" si="20"/>
        <v>129463.46903012977</v>
      </c>
      <c r="X38" s="1562">
        <f t="shared" si="20"/>
        <v>222756.7478549837</v>
      </c>
      <c r="Y38" s="1562">
        <f t="shared" si="20"/>
        <v>241665.30804557161</v>
      </c>
      <c r="Z38" s="1562">
        <f t="shared" si="20"/>
        <v>263196.40628991654</v>
      </c>
      <c r="AA38" s="1562">
        <f t="shared" si="20"/>
        <v>263124.90148519818</v>
      </c>
      <c r="AB38" s="1562">
        <f t="shared" si="20"/>
        <v>314485.36976948491</v>
      </c>
      <c r="AC38" s="1562">
        <f t="shared" si="20"/>
        <v>383497.39838984597</v>
      </c>
      <c r="AD38" s="1562">
        <f t="shared" si="20"/>
        <v>496096.25999154185</v>
      </c>
      <c r="AE38" s="1562">
        <f t="shared" si="20"/>
        <v>493738.09851798415</v>
      </c>
      <c r="AF38" s="1562">
        <f t="shared" si="20"/>
        <v>510710.89324041933</v>
      </c>
      <c r="AG38" s="1562">
        <f t="shared" si="20"/>
        <v>586762.9557502449</v>
      </c>
      <c r="AH38" s="1562">
        <f t="shared" si="20"/>
        <v>708060.80909016007</v>
      </c>
      <c r="AI38" s="1562">
        <f t="shared" si="20"/>
        <v>750716.30558290251</v>
      </c>
      <c r="AJ38" s="1562">
        <f t="shared" si="20"/>
        <v>754154.85566051898</v>
      </c>
      <c r="AK38" s="1562">
        <f t="shared" si="20"/>
        <v>826496.57408953528</v>
      </c>
      <c r="AL38" s="1562">
        <f t="shared" si="20"/>
        <v>925933.00236628205</v>
      </c>
      <c r="AM38" s="1562">
        <f t="shared" si="20"/>
        <v>1018512.1991618432</v>
      </c>
      <c r="AN38" s="1562">
        <f t="shared" si="20"/>
        <v>921751.41257920966</v>
      </c>
      <c r="AO38" s="1562">
        <f t="shared" si="20"/>
        <v>872830.06267058034</v>
      </c>
      <c r="AP38" s="1562">
        <f t="shared" si="20"/>
        <v>837981.36800987355</v>
      </c>
      <c r="AQ38" s="1562">
        <f t="shared" si="20"/>
        <v>1037172.4417384405</v>
      </c>
      <c r="AR38" s="1562">
        <f t="shared" si="20"/>
        <v>824531.39992208697</v>
      </c>
      <c r="AS38" s="1562">
        <f t="shared" si="20"/>
        <v>433563.61944232124</v>
      </c>
      <c r="AT38" s="1562">
        <f t="shared" si="20"/>
        <v>4018.5899192049619</v>
      </c>
      <c r="AU38" s="1562">
        <f>IFERROR(SUM(AU36:AU37),0)</f>
        <v>15356939.226770438</v>
      </c>
      <c r="AV38" s="1088">
        <f>+'Grasmere Pig Cost'!AU41+'Learig Pig Cost'!AU41+'Lionhead Pig Cost'!AU41+'Lionhead Ext. Pig Cost'!AU41+'Villa Pig Cost'!AU41+'Richlands Pig Cost'!AU41</f>
        <v>15367830.863524683</v>
      </c>
      <c r="AW38" s="818">
        <f>+AU38-AV38</f>
        <v>-10891.636754244566</v>
      </c>
      <c r="AX38" s="1578"/>
      <c r="AY38" s="817"/>
      <c r="BA38" s="1091">
        <f>+BA37-BA32</f>
        <v>-3892759.5</v>
      </c>
    </row>
    <row r="39" spans="1:53" ht="13.5" customHeight="1">
      <c r="AX39" s="1059"/>
    </row>
    <row r="40" spans="1:53" s="131" customFormat="1" ht="19.5" customHeight="1">
      <c r="A40" s="1790" t="s">
        <v>1809</v>
      </c>
      <c r="B40" s="1499">
        <v>0</v>
      </c>
      <c r="C40" s="1499">
        <v>0</v>
      </c>
      <c r="D40" s="1499">
        <v>0</v>
      </c>
      <c r="E40" s="1499">
        <v>0</v>
      </c>
      <c r="F40" s="1499">
        <v>0</v>
      </c>
      <c r="G40" s="1499">
        <v>0</v>
      </c>
      <c r="H40" s="1499">
        <v>0</v>
      </c>
      <c r="I40" s="1499">
        <v>0</v>
      </c>
      <c r="J40" s="1499">
        <v>0</v>
      </c>
      <c r="K40" s="1499">
        <v>0</v>
      </c>
      <c r="L40" s="1499">
        <v>0</v>
      </c>
      <c r="M40" s="1499">
        <v>0</v>
      </c>
      <c r="N40" s="1499">
        <v>0</v>
      </c>
      <c r="O40" s="1499">
        <v>0</v>
      </c>
      <c r="P40" s="1499">
        <v>0</v>
      </c>
      <c r="Q40" s="1499">
        <v>0</v>
      </c>
      <c r="R40" s="1499">
        <v>0</v>
      </c>
      <c r="S40" s="1499">
        <f>IFERROR(S38/SUM(S11:S20),0)</f>
        <v>74.196303115135606</v>
      </c>
      <c r="T40" s="1499">
        <f t="shared" ref="T40:AU40" si="21">IFERROR(T38/SUM(T11:T20),0)</f>
        <v>47.290250257273563</v>
      </c>
      <c r="U40" s="1499">
        <f t="shared" si="21"/>
        <v>53.823991436857725</v>
      </c>
      <c r="V40" s="1499">
        <f t="shared" si="21"/>
        <v>47.53604335745073</v>
      </c>
      <c r="W40" s="1499">
        <f t="shared" si="21"/>
        <v>39.72490611541263</v>
      </c>
      <c r="X40" s="1499">
        <f t="shared" si="21"/>
        <v>0</v>
      </c>
      <c r="Y40" s="1499">
        <f t="shared" si="21"/>
        <v>0</v>
      </c>
      <c r="Z40" s="1499">
        <f t="shared" si="21"/>
        <v>87.237787964838105</v>
      </c>
      <c r="AA40" s="1499">
        <f t="shared" si="21"/>
        <v>84.470273349983358</v>
      </c>
      <c r="AB40" s="1499">
        <f t="shared" si="21"/>
        <v>102.40487455860791</v>
      </c>
      <c r="AC40" s="1499">
        <f t="shared" si="21"/>
        <v>124.71460110238894</v>
      </c>
      <c r="AD40" s="1499">
        <f t="shared" si="21"/>
        <v>161.2272538159057</v>
      </c>
      <c r="AE40" s="1499">
        <f t="shared" si="21"/>
        <v>168.05245014226827</v>
      </c>
      <c r="AF40" s="1499">
        <f t="shared" si="21"/>
        <v>173.7702937190947</v>
      </c>
      <c r="AG40" s="1499">
        <f t="shared" si="21"/>
        <v>201.3599710879358</v>
      </c>
      <c r="AH40" s="1499">
        <f t="shared" si="21"/>
        <v>249.14173437373682</v>
      </c>
      <c r="AI40" s="1499">
        <f t="shared" si="21"/>
        <v>260.93719345947255</v>
      </c>
      <c r="AJ40" s="1499">
        <f t="shared" si="21"/>
        <v>250.63305272865369</v>
      </c>
      <c r="AK40" s="1499">
        <f t="shared" si="21"/>
        <v>278.28167477762133</v>
      </c>
      <c r="AL40" s="1499">
        <f t="shared" si="21"/>
        <v>321.72793688890965</v>
      </c>
      <c r="AM40" s="1499">
        <f>IFERROR(AM38/SUM(AM11:AM20),0)</f>
        <v>340.63953149225523</v>
      </c>
      <c r="AN40" s="1499">
        <f t="shared" si="21"/>
        <v>315.56022340952057</v>
      </c>
      <c r="AO40" s="1499">
        <f>IFERROR(AO38/SUM(AO11:AO20),0)</f>
        <v>290.74952120938718</v>
      </c>
      <c r="AP40" s="1499">
        <f>IFERROR(AP38/SUM(AP11:AP20),0)</f>
        <v>288.36248038880711</v>
      </c>
      <c r="AQ40" s="1499">
        <f t="shared" si="21"/>
        <v>346.64854336177825</v>
      </c>
      <c r="AR40" s="1499">
        <f t="shared" si="21"/>
        <v>359.58630611517094</v>
      </c>
      <c r="AS40" s="1499">
        <f t="shared" si="21"/>
        <v>287.31850194984838</v>
      </c>
      <c r="AT40" s="1499">
        <f t="shared" si="21"/>
        <v>267.90599461366412</v>
      </c>
      <c r="AU40" s="1499">
        <f t="shared" si="21"/>
        <v>0</v>
      </c>
      <c r="AV40" s="1499">
        <f>+AV38/AV11</f>
        <v>150.17619965919442</v>
      </c>
      <c r="AW40" s="1088">
        <f>+AU40-AV40</f>
        <v>-150.17619965919442</v>
      </c>
      <c r="AX40" s="1125"/>
    </row>
    <row r="41" spans="1:53">
      <c r="B41" s="1091"/>
      <c r="C41" s="1091"/>
      <c r="D41" s="1091"/>
      <c r="E41" s="1091"/>
      <c r="F41" s="1091"/>
      <c r="G41" s="1091"/>
      <c r="H41" s="1091"/>
      <c r="I41" s="1091"/>
      <c r="J41" s="1091"/>
      <c r="K41" s="1091"/>
      <c r="L41" s="1091"/>
      <c r="M41" s="1091"/>
      <c r="N41" s="1091"/>
      <c r="O41" s="1091"/>
      <c r="P41" s="1091"/>
      <c r="Q41" s="1091"/>
      <c r="R41" s="1091"/>
      <c r="S41" s="1091"/>
      <c r="T41" s="1091"/>
      <c r="U41" s="1091"/>
      <c r="V41" s="1091"/>
      <c r="W41" s="1091"/>
      <c r="X41" s="1091"/>
      <c r="Y41" s="1091"/>
      <c r="Z41" s="1091"/>
      <c r="AA41" s="1091"/>
      <c r="AB41" s="1091"/>
      <c r="AC41" s="1091"/>
      <c r="AD41" s="1091"/>
      <c r="AE41" s="1091"/>
      <c r="AF41" s="1091"/>
      <c r="AG41" s="1091"/>
      <c r="AH41" s="1091"/>
      <c r="AI41" s="1091"/>
      <c r="AJ41" s="1091"/>
      <c r="AK41" s="1091"/>
      <c r="AL41" s="1091"/>
      <c r="AM41" s="1091"/>
      <c r="AN41" s="1091"/>
      <c r="AO41" s="1091"/>
      <c r="AP41" s="1091"/>
      <c r="AQ41" s="1091"/>
      <c r="AR41" s="1091"/>
      <c r="AS41" s="1091"/>
      <c r="AT41" s="1091"/>
      <c r="AU41" s="1091"/>
      <c r="AV41" s="1091"/>
      <c r="AW41" s="818"/>
      <c r="AX41" s="1059"/>
    </row>
    <row r="42" spans="1:53" ht="15.6">
      <c r="A42" s="142" t="str">
        <f t="shared" ref="A42:A49" si="22">+A12</f>
        <v>Transfers Grasmere</v>
      </c>
      <c r="B42" s="807">
        <f>+'Learig Pig Cost'!B48+'Lionhead Pig Cost'!B45+'Lionhead Ext. Pig Cost'!B45+'Villa Pig Cost'!B49+'Richlands Pig Cost'!B47</f>
        <v>0</v>
      </c>
      <c r="C42" s="807">
        <f>+'Learig Pig Cost'!C48+'Lionhead Pig Cost'!C45+'Lionhead Ext. Pig Cost'!C45+'Villa Pig Cost'!C49+'Richlands Pig Cost'!C47</f>
        <v>0</v>
      </c>
      <c r="D42" s="807">
        <f>+'Learig Pig Cost'!D48+'Lionhead Pig Cost'!D45+'Lionhead Ext. Pig Cost'!D45+'Villa Pig Cost'!D49+'Richlands Pig Cost'!D47</f>
        <v>0</v>
      </c>
      <c r="E42" s="807">
        <f>+'Learig Pig Cost'!E48+'Lionhead Pig Cost'!E45+'Lionhead Ext. Pig Cost'!E45+'Villa Pig Cost'!E49+'Richlands Pig Cost'!E47</f>
        <v>0</v>
      </c>
      <c r="F42" s="807">
        <f>+'Learig Pig Cost'!F48+'Lionhead Pig Cost'!F45+'Lionhead Ext. Pig Cost'!F45+'Villa Pig Cost'!F49+'Richlands Pig Cost'!F47</f>
        <v>0</v>
      </c>
      <c r="G42" s="807">
        <f>+'Learig Pig Cost'!G48+'Lionhead Pig Cost'!G45+'Lionhead Ext. Pig Cost'!G45+'Villa Pig Cost'!G49+'Richlands Pig Cost'!G47</f>
        <v>0</v>
      </c>
      <c r="H42" s="807">
        <f>+'Learig Pig Cost'!H48+'Lionhead Pig Cost'!H45+'Lionhead Ext. Pig Cost'!H45+'Villa Pig Cost'!H49+'Richlands Pig Cost'!H47</f>
        <v>0</v>
      </c>
      <c r="I42" s="807">
        <f>+'Learig Pig Cost'!I48+'Lionhead Pig Cost'!I45+'Lionhead Ext. Pig Cost'!I45+'Villa Pig Cost'!I49+'Richlands Pig Cost'!I47</f>
        <v>0</v>
      </c>
      <c r="J42" s="807">
        <f>+'Learig Pig Cost'!J48+'Lionhead Pig Cost'!J45+'Lionhead Ext. Pig Cost'!J45+'Villa Pig Cost'!J49+'Richlands Pig Cost'!J47</f>
        <v>0</v>
      </c>
      <c r="K42" s="807">
        <f>+'Learig Pig Cost'!K48+'Lionhead Pig Cost'!K45+'Lionhead Ext. Pig Cost'!K45+'Villa Pig Cost'!K49+'Richlands Pig Cost'!K47</f>
        <v>0</v>
      </c>
      <c r="L42" s="807">
        <f>+'Learig Pig Cost'!L48+'Lionhead Pig Cost'!L45+'Lionhead Ext. Pig Cost'!L45+'Villa Pig Cost'!L49+'Richlands Pig Cost'!L47</f>
        <v>0</v>
      </c>
      <c r="M42" s="807">
        <f>+'Learig Pig Cost'!M48+'Lionhead Pig Cost'!M45+'Lionhead Ext. Pig Cost'!M45+'Villa Pig Cost'!M49+'Richlands Pig Cost'!M47</f>
        <v>0</v>
      </c>
      <c r="N42" s="807">
        <f>+'Learig Pig Cost'!N48+'Lionhead Pig Cost'!N45+'Lionhead Ext. Pig Cost'!N45+'Villa Pig Cost'!N49+'Richlands Pig Cost'!N47</f>
        <v>0</v>
      </c>
      <c r="O42" s="807">
        <f>+'Learig Pig Cost'!O48+'Lionhead Pig Cost'!O45+'Lionhead Ext. Pig Cost'!O45+'Villa Pig Cost'!O49+'Richlands Pig Cost'!O47</f>
        <v>0</v>
      </c>
      <c r="P42" s="807">
        <f>+'Learig Pig Cost'!P48+'Lionhead Pig Cost'!P45+'Lionhead Ext. Pig Cost'!P45+'Villa Pig Cost'!P49+'Richlands Pig Cost'!P47</f>
        <v>0</v>
      </c>
      <c r="Q42" s="807">
        <f>+'Learig Pig Cost'!Q48+'Lionhead Pig Cost'!Q45+'Lionhead Ext. Pig Cost'!Q45+'Villa Pig Cost'!Q49+'Richlands Pig Cost'!Q47</f>
        <v>0</v>
      </c>
      <c r="R42" s="807">
        <f>+'Learig Pig Cost'!R48+'Lionhead Pig Cost'!R45+'Lionhead Ext. Pig Cost'!R45+'Villa Pig Cost'!R49+'Richlands Pig Cost'!R47</f>
        <v>0</v>
      </c>
      <c r="S42" s="807">
        <f>+'Learig Pig Cost'!S48+'Lionhead Pig Cost'!S45+'Lionhead Ext. Pig Cost'!S45+'Villa Pig Cost'!S49+'Richlands Pig Cost'!S47</f>
        <v>0</v>
      </c>
      <c r="T42" s="807">
        <f>+'Learig Pig Cost'!T48+'Lionhead Pig Cost'!T45+'Lionhead Ext. Pig Cost'!T45+'Villa Pig Cost'!T49+'Richlands Pig Cost'!T47</f>
        <v>0</v>
      </c>
      <c r="U42" s="807">
        <f>+'Learig Pig Cost'!U48+'Lionhead Pig Cost'!U45+'Lionhead Ext. Pig Cost'!U45+'Villa Pig Cost'!U49+'Richlands Pig Cost'!U47</f>
        <v>0</v>
      </c>
      <c r="V42" s="807">
        <f>+'Learig Pig Cost'!V48+'Lionhead Pig Cost'!V45+'Lionhead Ext. Pig Cost'!V45+'Villa Pig Cost'!V49+'Richlands Pig Cost'!V47</f>
        <v>0</v>
      </c>
      <c r="W42" s="807">
        <f>+'Learig Pig Cost'!W48+'Lionhead Pig Cost'!W45+'Lionhead Ext. Pig Cost'!W45+'Villa Pig Cost'!W49+'Richlands Pig Cost'!W47</f>
        <v>9822.3409312384483</v>
      </c>
      <c r="X42" s="807">
        <f>+'Learig Pig Cost'!X48+'Lionhead Pig Cost'!X45+'Lionhead Ext. Pig Cost'!X45+'Villa Pig Cost'!X49+'Richlands Pig Cost'!X47</f>
        <v>15272.84125360088</v>
      </c>
      <c r="Y42" s="807">
        <f>+'Learig Pig Cost'!Y48+'Lionhead Pig Cost'!Y45+'Lionhead Ext. Pig Cost'!Y45+'Villa Pig Cost'!Y49+'Richlands Pig Cost'!Y47</f>
        <v>16470.382867535121</v>
      </c>
      <c r="Z42" s="807">
        <f>+'Learig Pig Cost'!Z48+'Lionhead Pig Cost'!Z45+'Lionhead Ext. Pig Cost'!Z45+'Villa Pig Cost'!Z49+'Richlands Pig Cost'!Z47</f>
        <v>12850.748552750299</v>
      </c>
      <c r="AA42" s="807">
        <f>+'Learig Pig Cost'!AA48+'Lionhead Pig Cost'!AA45+'Lionhead Ext. Pig Cost'!AA45+'Villa Pig Cost'!AA49+'Richlands Pig Cost'!AA47</f>
        <v>0</v>
      </c>
      <c r="AB42" s="807">
        <f>+'Learig Pig Cost'!AB48+'Lionhead Pig Cost'!AB45+'Lionhead Ext. Pig Cost'!AB45+'Villa Pig Cost'!AB49+'Richlands Pig Cost'!AB47</f>
        <v>0</v>
      </c>
      <c r="AC42" s="807">
        <f>+'Learig Pig Cost'!AC48+'Lionhead Pig Cost'!AC45+'Lionhead Ext. Pig Cost'!AC45+'Villa Pig Cost'!AC49+'Richlands Pig Cost'!AC47</f>
        <v>0</v>
      </c>
      <c r="AD42" s="807">
        <f>+'Learig Pig Cost'!AD48+'Lionhead Pig Cost'!AD45+'Lionhead Ext. Pig Cost'!AD45+'Villa Pig Cost'!AD49+'Richlands Pig Cost'!AD47</f>
        <v>0</v>
      </c>
      <c r="AE42" s="807">
        <f>+'Learig Pig Cost'!AE48+'Lionhead Pig Cost'!AE45+'Lionhead Ext. Pig Cost'!AE45+'Villa Pig Cost'!AE49+'Richlands Pig Cost'!AE47</f>
        <v>0</v>
      </c>
      <c r="AF42" s="807">
        <f>+'Learig Pig Cost'!AF48+'Lionhead Pig Cost'!AF45+'Lionhead Ext. Pig Cost'!AF45+'Villa Pig Cost'!AF49+'Richlands Pig Cost'!AF47</f>
        <v>0</v>
      </c>
      <c r="AG42" s="807">
        <f>+'Learig Pig Cost'!AG48+'Lionhead Pig Cost'!AG45+'Lionhead Ext. Pig Cost'!AG45+'Villa Pig Cost'!AG49+'Richlands Pig Cost'!AG47</f>
        <v>0</v>
      </c>
      <c r="AH42" s="807">
        <f>+'Learig Pig Cost'!AH48+'Lionhead Pig Cost'!AH45+'Lionhead Ext. Pig Cost'!AH45+'Villa Pig Cost'!AH49+'Richlands Pig Cost'!AH47</f>
        <v>0</v>
      </c>
      <c r="AI42" s="807">
        <f>+'Learig Pig Cost'!AI48+'Lionhead Pig Cost'!AI45+'Lionhead Ext. Pig Cost'!AI45+'Villa Pig Cost'!AI49+'Richlands Pig Cost'!AI47</f>
        <v>0</v>
      </c>
      <c r="AJ42" s="807">
        <f>+'Learig Pig Cost'!AJ48+'Lionhead Pig Cost'!AJ45+'Lionhead Ext. Pig Cost'!AJ45+'Villa Pig Cost'!AJ49+'Richlands Pig Cost'!AJ47</f>
        <v>0</v>
      </c>
      <c r="AK42" s="807">
        <f>+'Learig Pig Cost'!AK48+'Lionhead Pig Cost'!AK45+'Lionhead Ext. Pig Cost'!AK45+'Villa Pig Cost'!AK49+'Richlands Pig Cost'!AK47</f>
        <v>0</v>
      </c>
      <c r="AL42" s="807">
        <f>+'Learig Pig Cost'!AL48+'Lionhead Pig Cost'!AL45+'Lionhead Ext. Pig Cost'!AL45+'Villa Pig Cost'!AL49+'Richlands Pig Cost'!AL47</f>
        <v>0</v>
      </c>
      <c r="AM42" s="807">
        <f>+'Learig Pig Cost'!AM48+'Lionhead Pig Cost'!AM45+'Lionhead Ext. Pig Cost'!AM45+'Villa Pig Cost'!AM49+'Richlands Pig Cost'!AM47</f>
        <v>0</v>
      </c>
      <c r="AN42" s="807">
        <f>+'Learig Pig Cost'!AN48+'Lionhead Pig Cost'!AN45+'Lionhead Ext. Pig Cost'!AN45+'Villa Pig Cost'!AN49+'Richlands Pig Cost'!AN47</f>
        <v>0</v>
      </c>
      <c r="AO42" s="807">
        <f>+'Learig Pig Cost'!AO48+'Lionhead Pig Cost'!AO45+'Lionhead Ext. Pig Cost'!AO45+'Villa Pig Cost'!AO49+'Richlands Pig Cost'!AO47</f>
        <v>0</v>
      </c>
      <c r="AP42" s="807">
        <f>+'Learig Pig Cost'!AP48+'Lionhead Pig Cost'!AP45+'Lionhead Ext. Pig Cost'!AP45+'Villa Pig Cost'!AP49+'Richlands Pig Cost'!AP47</f>
        <v>0</v>
      </c>
      <c r="AQ42" s="807">
        <f>+'Learig Pig Cost'!AQ48+'Lionhead Pig Cost'!AQ45+'Lionhead Ext. Pig Cost'!AQ45+'Villa Pig Cost'!AQ49+'Richlands Pig Cost'!AQ47</f>
        <v>0</v>
      </c>
      <c r="AR42" s="807">
        <f>+'Learig Pig Cost'!AR48+'Lionhead Pig Cost'!AR45+'Lionhead Ext. Pig Cost'!AR45+'Villa Pig Cost'!AR49+'Richlands Pig Cost'!AR47</f>
        <v>0</v>
      </c>
      <c r="AS42" s="807">
        <f>+'Learig Pig Cost'!AS48+'Lionhead Pig Cost'!AS45+'Lionhead Ext. Pig Cost'!AS45+'Villa Pig Cost'!AS49+'Richlands Pig Cost'!AS47</f>
        <v>0</v>
      </c>
      <c r="AT42" s="807">
        <f>+'Learig Pig Cost'!AT48+'Lionhead Pig Cost'!AT45+'Lionhead Ext. Pig Cost'!AT45+'Villa Pig Cost'!AT49+'Richlands Pig Cost'!AT47</f>
        <v>0</v>
      </c>
      <c r="AU42" s="1631">
        <f>SUM(B42:AT42)</f>
        <v>54416.313605124757</v>
      </c>
      <c r="AV42" s="1631">
        <f>+'Learig Pig Cost'!AU48+'Lionhead Pig Cost'!AU45+'Lionhead Ext. Pig Cost'!AU45+'Villa Pig Cost'!AU49+'Richlands Pig Cost'!AU47</f>
        <v>54416.313605124757</v>
      </c>
      <c r="AW42" s="818">
        <f t="shared" ref="AW42:AW55" si="23">+AU42-AV42</f>
        <v>0</v>
      </c>
      <c r="AX42" s="1059"/>
    </row>
    <row r="43" spans="1:53" ht="15.6">
      <c r="A43" s="142" t="str">
        <f t="shared" si="22"/>
        <v>Transfer Lionshead</v>
      </c>
      <c r="B43" s="807">
        <f>+'Grasmere Pig Cost'!B45+'Learig Pig Cost'!B45+'Lionhead Ext. Pig Cost'!B46+'Villa Pig Cost'!B45+'Richlands Pig Cost'!B45</f>
        <v>0</v>
      </c>
      <c r="C43" s="807">
        <f>+'Grasmere Pig Cost'!C45+'Learig Pig Cost'!C45+'Lionhead Ext. Pig Cost'!C46+'Villa Pig Cost'!C45+'Richlands Pig Cost'!C45</f>
        <v>0</v>
      </c>
      <c r="D43" s="807">
        <f>+'Grasmere Pig Cost'!D45+'Learig Pig Cost'!D45+'Lionhead Ext. Pig Cost'!D46+'Villa Pig Cost'!D45+'Richlands Pig Cost'!D45</f>
        <v>0</v>
      </c>
      <c r="E43" s="807">
        <f>+'Grasmere Pig Cost'!E45+'Learig Pig Cost'!E45+'Lionhead Ext. Pig Cost'!E46+'Villa Pig Cost'!E45+'Richlands Pig Cost'!E45</f>
        <v>0</v>
      </c>
      <c r="F43" s="807">
        <f>+'Grasmere Pig Cost'!F45+'Learig Pig Cost'!F45+'Lionhead Ext. Pig Cost'!F46+'Villa Pig Cost'!F45+'Richlands Pig Cost'!F45</f>
        <v>0</v>
      </c>
      <c r="G43" s="807">
        <f>+'Grasmere Pig Cost'!G45+'Learig Pig Cost'!G45+'Lionhead Ext. Pig Cost'!G46+'Villa Pig Cost'!G45+'Richlands Pig Cost'!G45</f>
        <v>0</v>
      </c>
      <c r="H43" s="807">
        <f>+'Grasmere Pig Cost'!H45+'Learig Pig Cost'!H45+'Lionhead Ext. Pig Cost'!H46+'Villa Pig Cost'!H45+'Richlands Pig Cost'!H45</f>
        <v>0</v>
      </c>
      <c r="I43" s="807">
        <f>+'Grasmere Pig Cost'!I45+'Learig Pig Cost'!I45+'Lionhead Ext. Pig Cost'!I46+'Villa Pig Cost'!I45+'Richlands Pig Cost'!I45</f>
        <v>0</v>
      </c>
      <c r="J43" s="807">
        <f>+'Grasmere Pig Cost'!J45+'Learig Pig Cost'!J45+'Lionhead Ext. Pig Cost'!J46+'Villa Pig Cost'!J45+'Richlands Pig Cost'!J45</f>
        <v>0</v>
      </c>
      <c r="K43" s="807">
        <f>+'Grasmere Pig Cost'!K45+'Learig Pig Cost'!K45+'Lionhead Ext. Pig Cost'!K46+'Villa Pig Cost'!K45+'Richlands Pig Cost'!K45</f>
        <v>0</v>
      </c>
      <c r="L43" s="807">
        <f>+'Grasmere Pig Cost'!L45+'Learig Pig Cost'!L45+'Lionhead Ext. Pig Cost'!L46+'Villa Pig Cost'!L45+'Richlands Pig Cost'!L45</f>
        <v>0</v>
      </c>
      <c r="M43" s="807">
        <f>+'Grasmere Pig Cost'!M45+'Learig Pig Cost'!M45+'Lionhead Ext. Pig Cost'!M46+'Villa Pig Cost'!M45+'Richlands Pig Cost'!M45</f>
        <v>0</v>
      </c>
      <c r="N43" s="807">
        <f>+'Grasmere Pig Cost'!N45+'Learig Pig Cost'!N45+'Lionhead Ext. Pig Cost'!N46+'Villa Pig Cost'!N45+'Richlands Pig Cost'!N45</f>
        <v>0</v>
      </c>
      <c r="O43" s="807">
        <f>+'Grasmere Pig Cost'!O45+'Learig Pig Cost'!O45+'Lionhead Ext. Pig Cost'!O46+'Villa Pig Cost'!O45+'Richlands Pig Cost'!O45</f>
        <v>0</v>
      </c>
      <c r="P43" s="807">
        <f>+'Grasmere Pig Cost'!P45+'Learig Pig Cost'!P45+'Lionhead Ext. Pig Cost'!P46+'Villa Pig Cost'!P45+'Richlands Pig Cost'!P45</f>
        <v>0</v>
      </c>
      <c r="Q43" s="807">
        <f>+'Grasmere Pig Cost'!Q45+'Learig Pig Cost'!Q45+'Lionhead Ext. Pig Cost'!Q46+'Villa Pig Cost'!Q45+'Richlands Pig Cost'!Q45</f>
        <v>0</v>
      </c>
      <c r="R43" s="807">
        <f>+'Grasmere Pig Cost'!R45+'Learig Pig Cost'!R45+'Lionhead Ext. Pig Cost'!R46+'Villa Pig Cost'!R45+'Richlands Pig Cost'!R45</f>
        <v>0</v>
      </c>
      <c r="S43" s="807">
        <f>+'Grasmere Pig Cost'!S45+'Learig Pig Cost'!S45+'Lionhead Ext. Pig Cost'!S46+'Villa Pig Cost'!S45+'Richlands Pig Cost'!S45</f>
        <v>0</v>
      </c>
      <c r="T43" s="807">
        <f>+'Grasmere Pig Cost'!T45+'Learig Pig Cost'!T45+'Lionhead Ext. Pig Cost'!T46+'Villa Pig Cost'!T45+'Richlands Pig Cost'!T45</f>
        <v>0</v>
      </c>
      <c r="U43" s="807">
        <f>+'Grasmere Pig Cost'!U45+'Learig Pig Cost'!U45+'Lionhead Ext. Pig Cost'!U46+'Villa Pig Cost'!U45+'Richlands Pig Cost'!U45</f>
        <v>0</v>
      </c>
      <c r="V43" s="807">
        <f>+'Grasmere Pig Cost'!V45+'Learig Pig Cost'!V45+'Lionhead Ext. Pig Cost'!V46+'Villa Pig Cost'!V45+'Richlands Pig Cost'!V45</f>
        <v>0</v>
      </c>
      <c r="W43" s="807">
        <f>+'Grasmere Pig Cost'!W45+'Learig Pig Cost'!W45+'Lionhead Ext. Pig Cost'!W46+'Villa Pig Cost'!W45+'Richlands Pig Cost'!W45</f>
        <v>665.53168842400032</v>
      </c>
      <c r="X43" s="807">
        <f>+'Grasmere Pig Cost'!X45+'Learig Pig Cost'!X45+'Lionhead Ext. Pig Cost'!X46+'Villa Pig Cost'!X45+'Richlands Pig Cost'!X45</f>
        <v>1462.9103818125568</v>
      </c>
      <c r="Y43" s="807">
        <f>+'Grasmere Pig Cost'!Y45+'Learig Pig Cost'!Y45+'Lionhead Ext. Pig Cost'!Y46+'Villa Pig Cost'!Y45+'Richlands Pig Cost'!Y45</f>
        <v>1275.9536640415415</v>
      </c>
      <c r="Z43" s="807">
        <f>+'Grasmere Pig Cost'!Z45+'Learig Pig Cost'!Z45+'Lionhead Ext. Pig Cost'!Z46+'Villa Pig Cost'!Z45+'Richlands Pig Cost'!Z45</f>
        <v>0</v>
      </c>
      <c r="AA43" s="807">
        <f>+'Grasmere Pig Cost'!AA45+'Learig Pig Cost'!AA45+'Lionhead Ext. Pig Cost'!AA46+'Villa Pig Cost'!AA45+'Richlands Pig Cost'!AA45</f>
        <v>0</v>
      </c>
      <c r="AB43" s="807">
        <f>+'Grasmere Pig Cost'!AB45+'Learig Pig Cost'!AB45+'Lionhead Ext. Pig Cost'!AB46+'Villa Pig Cost'!AB45+'Richlands Pig Cost'!AB45</f>
        <v>0</v>
      </c>
      <c r="AC43" s="807">
        <f>+'Grasmere Pig Cost'!AC45+'Learig Pig Cost'!AC45+'Lionhead Ext. Pig Cost'!AC46+'Villa Pig Cost'!AC45+'Richlands Pig Cost'!AC45</f>
        <v>488.6204584261132</v>
      </c>
      <c r="AD43" s="807">
        <f>+'Grasmere Pig Cost'!AD45+'Learig Pig Cost'!AD45+'Lionhead Ext. Pig Cost'!AD46+'Villa Pig Cost'!AD45+'Richlands Pig Cost'!AD45</f>
        <v>0</v>
      </c>
      <c r="AE43" s="807">
        <f>+'Grasmere Pig Cost'!AE45+'Learig Pig Cost'!AE45+'Lionhead Ext. Pig Cost'!AE46+'Villa Pig Cost'!AE45+'Richlands Pig Cost'!AE45</f>
        <v>2783.553596082274</v>
      </c>
      <c r="AF43" s="807">
        <f>+'Grasmere Pig Cost'!AF45+'Learig Pig Cost'!AF45+'Lionhead Ext. Pig Cost'!AF46+'Villa Pig Cost'!AF45+'Richlands Pig Cost'!AF45</f>
        <v>0</v>
      </c>
      <c r="AG43" s="807">
        <f>+'Grasmere Pig Cost'!AG45+'Learig Pig Cost'!AG45+'Lionhead Ext. Pig Cost'!AG46+'Villa Pig Cost'!AG45+'Richlands Pig Cost'!AG45</f>
        <v>0</v>
      </c>
      <c r="AH43" s="807">
        <f>+'Grasmere Pig Cost'!AH45+'Learig Pig Cost'!AH45+'Lionhead Ext. Pig Cost'!AH46+'Villa Pig Cost'!AH45+'Richlands Pig Cost'!AH45</f>
        <v>0</v>
      </c>
      <c r="AI43" s="807">
        <f>+'Grasmere Pig Cost'!AI45+'Learig Pig Cost'!AI45+'Lionhead Ext. Pig Cost'!AI46+'Villa Pig Cost'!AI45+'Richlands Pig Cost'!AI45</f>
        <v>0</v>
      </c>
      <c r="AJ43" s="807">
        <f>+'Grasmere Pig Cost'!AJ45+'Learig Pig Cost'!AJ45+'Lionhead Ext. Pig Cost'!AJ46+'Villa Pig Cost'!AJ45+'Richlands Pig Cost'!AJ45</f>
        <v>0</v>
      </c>
      <c r="AK43" s="807">
        <f>+'Grasmere Pig Cost'!AK45+'Learig Pig Cost'!AK45+'Lionhead Ext. Pig Cost'!AK46+'Villa Pig Cost'!AK45+'Richlands Pig Cost'!AK45</f>
        <v>0</v>
      </c>
      <c r="AL43" s="807">
        <f>+'Grasmere Pig Cost'!AL45+'Learig Pig Cost'!AL45+'Lionhead Ext. Pig Cost'!AL46+'Villa Pig Cost'!AL45+'Richlands Pig Cost'!AL45</f>
        <v>0</v>
      </c>
      <c r="AM43" s="807">
        <f>+'Grasmere Pig Cost'!AM45+'Learig Pig Cost'!AM45+'Lionhead Ext. Pig Cost'!AM46+'Villa Pig Cost'!AM45+'Richlands Pig Cost'!AM45</f>
        <v>0</v>
      </c>
      <c r="AN43" s="807">
        <f>+'Grasmere Pig Cost'!AN45+'Learig Pig Cost'!AN45+'Lionhead Ext. Pig Cost'!AN46+'Villa Pig Cost'!AN45+'Richlands Pig Cost'!AN45</f>
        <v>0</v>
      </c>
      <c r="AO43" s="807">
        <f>+'Grasmere Pig Cost'!AO45+'Learig Pig Cost'!AO45+'Lionhead Ext. Pig Cost'!AO46+'Villa Pig Cost'!AO45+'Richlands Pig Cost'!AO45</f>
        <v>0</v>
      </c>
      <c r="AP43" s="807">
        <f>+'Grasmere Pig Cost'!AP45+'Learig Pig Cost'!AP45+'Lionhead Ext. Pig Cost'!AP46+'Villa Pig Cost'!AP45+'Richlands Pig Cost'!AP45</f>
        <v>0</v>
      </c>
      <c r="AQ43" s="807">
        <f>+'Grasmere Pig Cost'!AQ45+'Learig Pig Cost'!AQ45+'Lionhead Ext. Pig Cost'!AQ46+'Villa Pig Cost'!AQ45+'Richlands Pig Cost'!AQ45</f>
        <v>0</v>
      </c>
      <c r="AR43" s="807">
        <f>+'Grasmere Pig Cost'!AR45+'Learig Pig Cost'!AR45+'Lionhead Ext. Pig Cost'!AR46+'Villa Pig Cost'!AR45+'Richlands Pig Cost'!AR45</f>
        <v>0</v>
      </c>
      <c r="AS43" s="807">
        <f>+'Grasmere Pig Cost'!AS45+'Learig Pig Cost'!AS45+'Lionhead Ext. Pig Cost'!AS46+'Villa Pig Cost'!AS45+'Richlands Pig Cost'!AS45</f>
        <v>0</v>
      </c>
      <c r="AT43" s="807">
        <f>+'Grasmere Pig Cost'!AT45+'Learig Pig Cost'!AT45+'Lionhead Ext. Pig Cost'!AT46+'Villa Pig Cost'!AT45+'Richlands Pig Cost'!AT45</f>
        <v>0</v>
      </c>
      <c r="AU43" s="1631">
        <f t="shared" ref="AU43:AU47" si="24">SUM(B43:AT43)</f>
        <v>6676.5697887864862</v>
      </c>
      <c r="AV43" s="1631">
        <f>+'Grasmere Pig Cost'!AU45+'Learig Pig Cost'!AU45+'Lionhead Ext. Pig Cost'!AU46+'Villa Pig Cost'!AU45+'Richlands Pig Cost'!AU45</f>
        <v>6676.5697887864862</v>
      </c>
      <c r="AW43" s="818">
        <f t="shared" si="23"/>
        <v>0</v>
      </c>
      <c r="AX43" s="1059"/>
      <c r="BA43" s="1059"/>
    </row>
    <row r="44" spans="1:53" ht="15.6">
      <c r="A44" s="142" t="str">
        <f t="shared" si="22"/>
        <v>Transfers Lionshead Ext.</v>
      </c>
      <c r="B44" s="818">
        <f>+'Grasmere Pig Cost'!B46+'Learig Pig Cost'!B46+'Lionhead Pig Cost'!B46+'Villa Pig Cost'!B46+'Richlands Pig Cost'!B46</f>
        <v>0</v>
      </c>
      <c r="C44" s="818">
        <f>+'Grasmere Pig Cost'!C46+'Learig Pig Cost'!C46+'Lionhead Pig Cost'!C46+'Villa Pig Cost'!C46+'Richlands Pig Cost'!C46</f>
        <v>0</v>
      </c>
      <c r="D44" s="818">
        <f>+'Grasmere Pig Cost'!D46+'Learig Pig Cost'!D46+'Lionhead Pig Cost'!D46+'Villa Pig Cost'!D46+'Richlands Pig Cost'!D46</f>
        <v>0</v>
      </c>
      <c r="E44" s="818">
        <f>+'Grasmere Pig Cost'!E46+'Learig Pig Cost'!E46+'Lionhead Pig Cost'!E46+'Villa Pig Cost'!E46+'Richlands Pig Cost'!E46</f>
        <v>0</v>
      </c>
      <c r="F44" s="818">
        <f>+'Grasmere Pig Cost'!F46+'Learig Pig Cost'!F46+'Lionhead Pig Cost'!F46+'Villa Pig Cost'!F46+'Richlands Pig Cost'!F46</f>
        <v>0</v>
      </c>
      <c r="G44" s="818">
        <f>+'Grasmere Pig Cost'!G46+'Learig Pig Cost'!G46+'Lionhead Pig Cost'!G46+'Villa Pig Cost'!G46+'Richlands Pig Cost'!G46</f>
        <v>0</v>
      </c>
      <c r="H44" s="818">
        <f>+'Grasmere Pig Cost'!H46+'Learig Pig Cost'!H46+'Lionhead Pig Cost'!H46+'Villa Pig Cost'!H46+'Richlands Pig Cost'!H46</f>
        <v>0</v>
      </c>
      <c r="I44" s="818">
        <f>+'Grasmere Pig Cost'!I46+'Learig Pig Cost'!I46+'Lionhead Pig Cost'!I46+'Villa Pig Cost'!I46+'Richlands Pig Cost'!I46</f>
        <v>0</v>
      </c>
      <c r="J44" s="818">
        <f>+'Grasmere Pig Cost'!J46+'Learig Pig Cost'!J46+'Lionhead Pig Cost'!J46+'Villa Pig Cost'!J46+'Richlands Pig Cost'!J46</f>
        <v>0</v>
      </c>
      <c r="K44" s="818">
        <f>+'Grasmere Pig Cost'!K46+'Learig Pig Cost'!K46+'Lionhead Pig Cost'!K46+'Villa Pig Cost'!K46+'Richlands Pig Cost'!K46</f>
        <v>0</v>
      </c>
      <c r="L44" s="818">
        <f>+'Grasmere Pig Cost'!L46+'Learig Pig Cost'!L46+'Lionhead Pig Cost'!L46+'Villa Pig Cost'!L46+'Richlands Pig Cost'!L46</f>
        <v>0</v>
      </c>
      <c r="M44" s="818">
        <f>+'Grasmere Pig Cost'!M46+'Learig Pig Cost'!M46+'Lionhead Pig Cost'!M46+'Villa Pig Cost'!M46+'Richlands Pig Cost'!M46</f>
        <v>0</v>
      </c>
      <c r="N44" s="818">
        <f>+'Grasmere Pig Cost'!N46+'Learig Pig Cost'!N46+'Lionhead Pig Cost'!N46+'Villa Pig Cost'!N46+'Richlands Pig Cost'!N46</f>
        <v>0</v>
      </c>
      <c r="O44" s="818">
        <f>+'Grasmere Pig Cost'!O46+'Learig Pig Cost'!O46+'Lionhead Pig Cost'!O46+'Villa Pig Cost'!O46+'Richlands Pig Cost'!O46</f>
        <v>0</v>
      </c>
      <c r="P44" s="818">
        <f>+'Grasmere Pig Cost'!P46+'Learig Pig Cost'!P46+'Lionhead Pig Cost'!P46+'Villa Pig Cost'!P46+'Richlands Pig Cost'!P46</f>
        <v>0</v>
      </c>
      <c r="Q44" s="818">
        <f>+'Grasmere Pig Cost'!Q46+'Learig Pig Cost'!Q46+'Lionhead Pig Cost'!Q46+'Villa Pig Cost'!Q46+'Richlands Pig Cost'!Q46</f>
        <v>0</v>
      </c>
      <c r="R44" s="818">
        <f>+'Grasmere Pig Cost'!R46+'Learig Pig Cost'!R46+'Lionhead Pig Cost'!R46+'Villa Pig Cost'!R46+'Richlands Pig Cost'!R46</f>
        <v>0</v>
      </c>
      <c r="S44" s="818">
        <f>+'Grasmere Pig Cost'!S46+'Learig Pig Cost'!S46+'Lionhead Pig Cost'!S46+'Villa Pig Cost'!S46+'Richlands Pig Cost'!S46</f>
        <v>0</v>
      </c>
      <c r="T44" s="818">
        <f>+'Grasmere Pig Cost'!T46+'Learig Pig Cost'!T46+'Lionhead Pig Cost'!T46+'Villa Pig Cost'!T46+'Richlands Pig Cost'!T46</f>
        <v>0</v>
      </c>
      <c r="U44" s="818">
        <f>+'Grasmere Pig Cost'!U46+'Learig Pig Cost'!U46+'Lionhead Pig Cost'!U46+'Villa Pig Cost'!U46+'Richlands Pig Cost'!U46</f>
        <v>0</v>
      </c>
      <c r="V44" s="818">
        <f>+'Grasmere Pig Cost'!V46+'Learig Pig Cost'!V46+'Lionhead Pig Cost'!V46+'Villa Pig Cost'!V46+'Richlands Pig Cost'!V46</f>
        <v>0</v>
      </c>
      <c r="W44" s="818">
        <f>+'Grasmere Pig Cost'!W46+'Learig Pig Cost'!W46+'Lionhead Pig Cost'!W46+'Villa Pig Cost'!W46+'Richlands Pig Cost'!W46</f>
        <v>-665.53168842400032</v>
      </c>
      <c r="X44" s="818">
        <f>+'Grasmere Pig Cost'!X46+'Learig Pig Cost'!X46+'Lionhead Pig Cost'!X46+'Villa Pig Cost'!X46+'Richlands Pig Cost'!X46</f>
        <v>-1462.9103818125568</v>
      </c>
      <c r="Y44" s="818">
        <f>+'Grasmere Pig Cost'!Y46+'Learig Pig Cost'!Y46+'Lionhead Pig Cost'!Y46+'Villa Pig Cost'!Y46+'Richlands Pig Cost'!Y46</f>
        <v>-7023.1315010622193</v>
      </c>
      <c r="Z44" s="818">
        <f>+'Grasmere Pig Cost'!Z46+'Learig Pig Cost'!Z46+'Lionhead Pig Cost'!Z46+'Villa Pig Cost'!Z46+'Richlands Pig Cost'!Z46</f>
        <v>-3510.1487560871997</v>
      </c>
      <c r="AA44" s="818">
        <f>+'Grasmere Pig Cost'!AA46+'Learig Pig Cost'!AA46+'Lionhead Pig Cost'!AA46+'Villa Pig Cost'!AA46+'Richlands Pig Cost'!AA46</f>
        <v>0</v>
      </c>
      <c r="AB44" s="818">
        <f>+'Grasmere Pig Cost'!AB46+'Learig Pig Cost'!AB46+'Lionhead Pig Cost'!AB46+'Villa Pig Cost'!AB46+'Richlands Pig Cost'!AB46</f>
        <v>-2118.9791652287931</v>
      </c>
      <c r="AC44" s="818">
        <f>+'Grasmere Pig Cost'!AC46+'Learig Pig Cost'!AC46+'Lionhead Pig Cost'!AC46+'Villa Pig Cost'!AC46+'Richlands Pig Cost'!AC46</f>
        <v>-8262.7458341280253</v>
      </c>
      <c r="AD44" s="818">
        <f>+'Grasmere Pig Cost'!AD46+'Learig Pig Cost'!AD46+'Lionhead Pig Cost'!AD46+'Villa Pig Cost'!AD46+'Richlands Pig Cost'!AD46</f>
        <v>-7998.866518299742</v>
      </c>
      <c r="AE44" s="818">
        <f>+'Grasmere Pig Cost'!AE46+'Learig Pig Cost'!AE46+'Lionhead Pig Cost'!AE46+'Villa Pig Cost'!AE46+'Richlands Pig Cost'!AE46</f>
        <v>-19862.221113538668</v>
      </c>
      <c r="AF44" s="818">
        <f>+'Grasmere Pig Cost'!AF46+'Learig Pig Cost'!AF46+'Lionhead Pig Cost'!AF46+'Villa Pig Cost'!AF46+'Richlands Pig Cost'!AF46</f>
        <v>0</v>
      </c>
      <c r="AG44" s="818">
        <f>+'Grasmere Pig Cost'!AG46+'Learig Pig Cost'!AG46+'Lionhead Pig Cost'!AG46+'Villa Pig Cost'!AG46+'Richlands Pig Cost'!AG46</f>
        <v>0</v>
      </c>
      <c r="AH44" s="818">
        <f>+'Grasmere Pig Cost'!AH46+'Learig Pig Cost'!AH46+'Lionhead Pig Cost'!AH46+'Villa Pig Cost'!AH46+'Richlands Pig Cost'!AH46</f>
        <v>0</v>
      </c>
      <c r="AI44" s="818">
        <f>+'Grasmere Pig Cost'!AI46+'Learig Pig Cost'!AI46+'Lionhead Pig Cost'!AI46+'Villa Pig Cost'!AI46+'Richlands Pig Cost'!AI46</f>
        <v>0</v>
      </c>
      <c r="AJ44" s="818">
        <f>+'Grasmere Pig Cost'!AJ46+'Learig Pig Cost'!AJ46+'Lionhead Pig Cost'!AJ46+'Villa Pig Cost'!AJ46+'Richlands Pig Cost'!AJ46</f>
        <v>0</v>
      </c>
      <c r="AK44" s="818">
        <f>+'Grasmere Pig Cost'!AK46+'Learig Pig Cost'!AK46+'Lionhead Pig Cost'!AK46+'Villa Pig Cost'!AK46+'Richlands Pig Cost'!AK46</f>
        <v>0</v>
      </c>
      <c r="AL44" s="818">
        <f>+'Grasmere Pig Cost'!AL46+'Learig Pig Cost'!AL46+'Lionhead Pig Cost'!AL46+'Villa Pig Cost'!AL46+'Richlands Pig Cost'!AL46</f>
        <v>0</v>
      </c>
      <c r="AM44" s="818">
        <f>+'Grasmere Pig Cost'!AM46+'Learig Pig Cost'!AM46+'Lionhead Pig Cost'!AM46+'Villa Pig Cost'!AM46+'Richlands Pig Cost'!AM46</f>
        <v>0</v>
      </c>
      <c r="AN44" s="818">
        <f>+'Grasmere Pig Cost'!AN46+'Learig Pig Cost'!AN46+'Lionhead Pig Cost'!AN46+'Villa Pig Cost'!AN46+'Richlands Pig Cost'!AN46</f>
        <v>0</v>
      </c>
      <c r="AO44" s="818">
        <f>+'Grasmere Pig Cost'!AO46+'Learig Pig Cost'!AO46+'Lionhead Pig Cost'!AO46+'Villa Pig Cost'!AO46+'Richlands Pig Cost'!AO46</f>
        <v>0</v>
      </c>
      <c r="AP44" s="818">
        <f>+'Grasmere Pig Cost'!AP46+'Learig Pig Cost'!AP46+'Lionhead Pig Cost'!AP46+'Villa Pig Cost'!AP46+'Richlands Pig Cost'!AP46</f>
        <v>0</v>
      </c>
      <c r="AQ44" s="818">
        <f>+'Grasmere Pig Cost'!AQ46+'Learig Pig Cost'!AQ46+'Lionhead Pig Cost'!AQ46+'Villa Pig Cost'!AQ46+'Richlands Pig Cost'!AQ46</f>
        <v>0</v>
      </c>
      <c r="AR44" s="818">
        <f>+'Grasmere Pig Cost'!AR46+'Learig Pig Cost'!AR46+'Lionhead Pig Cost'!AR46+'Villa Pig Cost'!AR46+'Richlands Pig Cost'!AR46</f>
        <v>0</v>
      </c>
      <c r="AS44" s="818">
        <f>+'Grasmere Pig Cost'!AS46+'Learig Pig Cost'!AS46+'Lionhead Pig Cost'!AS46+'Villa Pig Cost'!AS46+'Richlands Pig Cost'!AS46</f>
        <v>0</v>
      </c>
      <c r="AT44" s="818">
        <f>+'Grasmere Pig Cost'!AT46+'Learig Pig Cost'!AT46+'Lionhead Pig Cost'!AT46+'Villa Pig Cost'!AT46+'Richlands Pig Cost'!AT46</f>
        <v>0</v>
      </c>
      <c r="AU44" s="1631">
        <f t="shared" si="24"/>
        <v>-50904.534958581207</v>
      </c>
      <c r="AV44" s="1631">
        <f>+'Grasmere Pig Cost'!AU46+'Learig Pig Cost'!AU46+'Lionhead Pig Cost'!AU46+'Villa Pig Cost'!AU46+'Richlands Pig Cost'!AU46</f>
        <v>-50904.534958581207</v>
      </c>
      <c r="AW44" s="818">
        <f t="shared" si="23"/>
        <v>0</v>
      </c>
      <c r="AX44" s="1059"/>
      <c r="AY44" s="1059"/>
      <c r="BA44" s="142">
        <f>+'Feed Cost &amp; Allocation'!Z73+'Feed Cost &amp; Allocation'!Z74+'Feed Cost &amp; Allocation'!Z75+'Feed Cost &amp; Allocation'!Z76+'Feed Cost &amp; Allocation'!Z77+'Feed Cost &amp; Allocation'!Z79</f>
        <v>37249.5</v>
      </c>
    </row>
    <row r="45" spans="1:53" ht="15.6">
      <c r="A45" s="142" t="str">
        <f t="shared" si="22"/>
        <v>Transfers  Richlands</v>
      </c>
      <c r="B45" s="807">
        <f>+'Grasmere Pig Cost'!B47+'Learig Pig Cost'!B47+'Lionhead Pig Cost'!B47+'Lionhead Ext. Pig Cost'!B47+'Villa Pig Cost'!B47</f>
        <v>0</v>
      </c>
      <c r="C45" s="807">
        <f>+'Grasmere Pig Cost'!C47+'Learig Pig Cost'!C47+'Lionhead Pig Cost'!C47+'Lionhead Ext. Pig Cost'!C47+'Villa Pig Cost'!C47</f>
        <v>0</v>
      </c>
      <c r="D45" s="807">
        <f>+'Grasmere Pig Cost'!D47+'Learig Pig Cost'!D47+'Lionhead Pig Cost'!D47+'Lionhead Ext. Pig Cost'!D47+'Villa Pig Cost'!D47</f>
        <v>0</v>
      </c>
      <c r="E45" s="807">
        <f>+'Grasmere Pig Cost'!E47+'Learig Pig Cost'!E47+'Lionhead Pig Cost'!E47+'Lionhead Ext. Pig Cost'!E47+'Villa Pig Cost'!E47</f>
        <v>0</v>
      </c>
      <c r="F45" s="807">
        <f>+'Grasmere Pig Cost'!F47+'Learig Pig Cost'!F47+'Lionhead Pig Cost'!F47+'Lionhead Ext. Pig Cost'!F47+'Villa Pig Cost'!F47</f>
        <v>0</v>
      </c>
      <c r="G45" s="807">
        <f>+'Grasmere Pig Cost'!G47+'Learig Pig Cost'!G47+'Lionhead Pig Cost'!G47+'Lionhead Ext. Pig Cost'!G47+'Villa Pig Cost'!G47</f>
        <v>0</v>
      </c>
      <c r="H45" s="807">
        <f>+'Grasmere Pig Cost'!H47+'Learig Pig Cost'!H47+'Lionhead Pig Cost'!H47+'Lionhead Ext. Pig Cost'!H47+'Villa Pig Cost'!H47</f>
        <v>0</v>
      </c>
      <c r="I45" s="807">
        <f>+'Grasmere Pig Cost'!I47+'Learig Pig Cost'!I47+'Lionhead Pig Cost'!I47+'Lionhead Ext. Pig Cost'!I47+'Villa Pig Cost'!I47</f>
        <v>0</v>
      </c>
      <c r="J45" s="807">
        <f>+'Grasmere Pig Cost'!J47+'Learig Pig Cost'!J47+'Lionhead Pig Cost'!J47+'Lionhead Ext. Pig Cost'!J47+'Villa Pig Cost'!J47</f>
        <v>0</v>
      </c>
      <c r="K45" s="807">
        <f>+'Grasmere Pig Cost'!K47+'Learig Pig Cost'!K47+'Lionhead Pig Cost'!K47+'Lionhead Ext. Pig Cost'!K47+'Villa Pig Cost'!K47</f>
        <v>0</v>
      </c>
      <c r="L45" s="807">
        <f>+'Grasmere Pig Cost'!L47+'Learig Pig Cost'!L47+'Lionhead Pig Cost'!L47+'Lionhead Ext. Pig Cost'!L47+'Villa Pig Cost'!L47</f>
        <v>0</v>
      </c>
      <c r="M45" s="807">
        <f>+'Grasmere Pig Cost'!M47+'Learig Pig Cost'!M47+'Lionhead Pig Cost'!M47+'Lionhead Ext. Pig Cost'!M47+'Villa Pig Cost'!M47</f>
        <v>0</v>
      </c>
      <c r="N45" s="807">
        <f>+'Grasmere Pig Cost'!N47+'Learig Pig Cost'!N47+'Lionhead Pig Cost'!N47+'Lionhead Ext. Pig Cost'!N47+'Villa Pig Cost'!N47</f>
        <v>0</v>
      </c>
      <c r="O45" s="807">
        <f>+'Grasmere Pig Cost'!O47+'Learig Pig Cost'!O47+'Lionhead Pig Cost'!O47+'Lionhead Ext. Pig Cost'!O47+'Villa Pig Cost'!O47</f>
        <v>0</v>
      </c>
      <c r="P45" s="807">
        <f>+'Grasmere Pig Cost'!P47+'Learig Pig Cost'!P47+'Lionhead Pig Cost'!P47+'Lionhead Ext. Pig Cost'!P47+'Villa Pig Cost'!P47</f>
        <v>0</v>
      </c>
      <c r="Q45" s="807">
        <f>+'Grasmere Pig Cost'!Q47+'Learig Pig Cost'!Q47+'Lionhead Pig Cost'!Q47+'Lionhead Ext. Pig Cost'!Q47+'Villa Pig Cost'!Q47</f>
        <v>0</v>
      </c>
      <c r="R45" s="807">
        <f>+'Grasmere Pig Cost'!R47+'Learig Pig Cost'!R47+'Lionhead Pig Cost'!R47+'Lionhead Ext. Pig Cost'!R47+'Villa Pig Cost'!R47</f>
        <v>0</v>
      </c>
      <c r="S45" s="807">
        <f>+'Grasmere Pig Cost'!S47+'Learig Pig Cost'!S47+'Lionhead Pig Cost'!S47+'Lionhead Ext. Pig Cost'!S47+'Villa Pig Cost'!S47</f>
        <v>0</v>
      </c>
      <c r="T45" s="807">
        <f>+'Grasmere Pig Cost'!T47+'Learig Pig Cost'!T47+'Lionhead Pig Cost'!T47+'Lionhead Ext. Pig Cost'!T47+'Villa Pig Cost'!T47</f>
        <v>0</v>
      </c>
      <c r="U45" s="807">
        <f>+'Grasmere Pig Cost'!U47+'Learig Pig Cost'!U47+'Lionhead Pig Cost'!U47+'Lionhead Ext. Pig Cost'!U47+'Villa Pig Cost'!U47</f>
        <v>0</v>
      </c>
      <c r="V45" s="807">
        <f>+'Grasmere Pig Cost'!V47+'Learig Pig Cost'!V47+'Lionhead Pig Cost'!V47+'Lionhead Ext. Pig Cost'!V47+'Villa Pig Cost'!V47</f>
        <v>0</v>
      </c>
      <c r="W45" s="807">
        <f>+'Grasmere Pig Cost'!W47+'Learig Pig Cost'!W47+'Lionhead Pig Cost'!W47+'Lionhead Ext. Pig Cost'!W47+'Villa Pig Cost'!W47</f>
        <v>0</v>
      </c>
      <c r="X45" s="807">
        <f>+'Grasmere Pig Cost'!X47+'Learig Pig Cost'!X47+'Lionhead Pig Cost'!X47+'Lionhead Ext. Pig Cost'!X47+'Villa Pig Cost'!X47</f>
        <v>0</v>
      </c>
      <c r="Y45" s="807">
        <f>+'Grasmere Pig Cost'!Y47+'Learig Pig Cost'!Y47+'Lionhead Pig Cost'!Y47+'Lionhead Ext. Pig Cost'!Y47+'Villa Pig Cost'!Y47</f>
        <v>0</v>
      </c>
      <c r="Z45" s="807">
        <f>+'Grasmere Pig Cost'!Z47+'Learig Pig Cost'!Z47+'Lionhead Pig Cost'!Z47+'Lionhead Ext. Pig Cost'!Z47+'Villa Pig Cost'!Z47</f>
        <v>0</v>
      </c>
      <c r="AA45" s="807">
        <f>+'Grasmere Pig Cost'!AA47+'Learig Pig Cost'!AA47+'Lionhead Pig Cost'!AA47+'Lionhead Ext. Pig Cost'!AA47+'Villa Pig Cost'!AA47</f>
        <v>0</v>
      </c>
      <c r="AB45" s="807">
        <f>+'Grasmere Pig Cost'!AB47+'Learig Pig Cost'!AB47+'Lionhead Pig Cost'!AB47+'Lionhead Ext. Pig Cost'!AB47+'Villa Pig Cost'!AB47</f>
        <v>2118.9791652287931</v>
      </c>
      <c r="AC45" s="807">
        <f>+'Grasmere Pig Cost'!AC47+'Learig Pig Cost'!AC47+'Lionhead Pig Cost'!AC47+'Lionhead Ext. Pig Cost'!AC47+'Villa Pig Cost'!AC47</f>
        <v>7774.1253757019113</v>
      </c>
      <c r="AD45" s="807">
        <f>+'Grasmere Pig Cost'!AD47+'Learig Pig Cost'!AD47+'Lionhead Pig Cost'!AD47+'Lionhead Ext. Pig Cost'!AD47+'Villa Pig Cost'!AD47</f>
        <v>7998.866518299742</v>
      </c>
      <c r="AE45" s="807">
        <f>+'Grasmere Pig Cost'!AE47+'Learig Pig Cost'!AE47+'Lionhead Pig Cost'!AE47+'Lionhead Ext. Pig Cost'!AE47+'Villa Pig Cost'!AE47</f>
        <v>17078.667517456393</v>
      </c>
      <c r="AF45" s="807">
        <f>+'Grasmere Pig Cost'!AF47+'Learig Pig Cost'!AF47+'Lionhead Pig Cost'!AF47+'Lionhead Ext. Pig Cost'!AF47+'Villa Pig Cost'!AF47</f>
        <v>0</v>
      </c>
      <c r="AG45" s="807">
        <f>+'Grasmere Pig Cost'!AG47+'Learig Pig Cost'!AG47+'Lionhead Pig Cost'!AG47+'Lionhead Ext. Pig Cost'!AG47+'Villa Pig Cost'!AG47</f>
        <v>0</v>
      </c>
      <c r="AH45" s="807">
        <f>+'Grasmere Pig Cost'!AH47+'Learig Pig Cost'!AH47+'Lionhead Pig Cost'!AH47+'Lionhead Ext. Pig Cost'!AH47+'Villa Pig Cost'!AH47</f>
        <v>0</v>
      </c>
      <c r="AI45" s="807">
        <f>+'Grasmere Pig Cost'!AI47+'Learig Pig Cost'!AI47+'Lionhead Pig Cost'!AI47+'Lionhead Ext. Pig Cost'!AI47+'Villa Pig Cost'!AI47</f>
        <v>0</v>
      </c>
      <c r="AJ45" s="807">
        <f>+'Grasmere Pig Cost'!AJ47+'Learig Pig Cost'!AJ47+'Lionhead Pig Cost'!AJ47+'Lionhead Ext. Pig Cost'!AJ47+'Villa Pig Cost'!AJ47</f>
        <v>0</v>
      </c>
      <c r="AK45" s="807">
        <f>+'Grasmere Pig Cost'!AK47+'Learig Pig Cost'!AK47+'Lionhead Pig Cost'!AK47+'Lionhead Ext. Pig Cost'!AK47+'Villa Pig Cost'!AK47</f>
        <v>0</v>
      </c>
      <c r="AL45" s="807">
        <f>+'Grasmere Pig Cost'!AL47+'Learig Pig Cost'!AL47+'Lionhead Pig Cost'!AL47+'Lionhead Ext. Pig Cost'!AL47+'Villa Pig Cost'!AL47</f>
        <v>0</v>
      </c>
      <c r="AM45" s="807">
        <f>+'Grasmere Pig Cost'!AM47+'Learig Pig Cost'!AM47+'Lionhead Pig Cost'!AM47+'Lionhead Ext. Pig Cost'!AM47+'Villa Pig Cost'!AM47</f>
        <v>0</v>
      </c>
      <c r="AN45" s="807">
        <f>+'Grasmere Pig Cost'!AN47+'Learig Pig Cost'!AN47+'Lionhead Pig Cost'!AN47+'Lionhead Ext. Pig Cost'!AN47+'Villa Pig Cost'!AN47</f>
        <v>0</v>
      </c>
      <c r="AO45" s="807">
        <f>+'Grasmere Pig Cost'!AO47+'Learig Pig Cost'!AO47+'Lionhead Pig Cost'!AO47+'Lionhead Ext. Pig Cost'!AO47+'Villa Pig Cost'!AO47</f>
        <v>0</v>
      </c>
      <c r="AP45" s="807">
        <f>+'Grasmere Pig Cost'!AP47+'Learig Pig Cost'!AP47+'Lionhead Pig Cost'!AP47+'Lionhead Ext. Pig Cost'!AP47+'Villa Pig Cost'!AP47</f>
        <v>0</v>
      </c>
      <c r="AQ45" s="807">
        <f>+'Grasmere Pig Cost'!AQ47+'Learig Pig Cost'!AQ47+'Lionhead Pig Cost'!AQ47+'Lionhead Ext. Pig Cost'!AQ47+'Villa Pig Cost'!AQ47</f>
        <v>0</v>
      </c>
      <c r="AR45" s="807">
        <f>+'Grasmere Pig Cost'!AR47+'Learig Pig Cost'!AR47+'Lionhead Pig Cost'!AR47+'Lionhead Ext. Pig Cost'!AR47+'Villa Pig Cost'!AR47</f>
        <v>0</v>
      </c>
      <c r="AS45" s="807">
        <f>+'Grasmere Pig Cost'!AS47+'Learig Pig Cost'!AS47+'Lionhead Pig Cost'!AS47+'Lionhead Ext. Pig Cost'!AS47+'Villa Pig Cost'!AS47</f>
        <v>0</v>
      </c>
      <c r="AT45" s="807">
        <f>+'Grasmere Pig Cost'!AT47+'Learig Pig Cost'!AT47+'Lionhead Pig Cost'!AT47+'Lionhead Ext. Pig Cost'!AT47+'Villa Pig Cost'!AT47</f>
        <v>0</v>
      </c>
      <c r="AU45" s="1631">
        <f t="shared" si="24"/>
        <v>34970.638576686841</v>
      </c>
      <c r="AV45" s="1631">
        <f>+'Grasmere Pig Cost'!AU47+'Learig Pig Cost'!AU47+'Lionhead Pig Cost'!AU47+'Lionhead Ext. Pig Cost'!AU47+'Villa Pig Cost'!AU47</f>
        <v>34970.638576686841</v>
      </c>
      <c r="AW45" s="818">
        <f t="shared" si="23"/>
        <v>0</v>
      </c>
      <c r="AX45" s="1059"/>
      <c r="AY45" s="1059"/>
    </row>
    <row r="46" spans="1:53" ht="15.6">
      <c r="A46" s="142" t="str">
        <f t="shared" si="22"/>
        <v>Transfers Learig</v>
      </c>
      <c r="B46" s="807">
        <f>+'Grasmere Pig Cost'!B48+'Lionhead Pig Cost'!B48+'Lionhead Ext. Pig Cost'!B48+'Villa Pig Cost'!B48+'Richlands Pig Cost'!B48</f>
        <v>0</v>
      </c>
      <c r="C46" s="807">
        <f>+'Grasmere Pig Cost'!C48+'Lionhead Pig Cost'!C48+'Lionhead Ext. Pig Cost'!C48+'Villa Pig Cost'!C48+'Richlands Pig Cost'!C48</f>
        <v>0</v>
      </c>
      <c r="D46" s="807">
        <f>+'Grasmere Pig Cost'!D48+'Lionhead Pig Cost'!D48+'Lionhead Ext. Pig Cost'!D48+'Villa Pig Cost'!D48+'Richlands Pig Cost'!D48</f>
        <v>0</v>
      </c>
      <c r="E46" s="807">
        <f>+'Grasmere Pig Cost'!E48+'Lionhead Pig Cost'!E48+'Lionhead Ext. Pig Cost'!E48+'Villa Pig Cost'!E48+'Richlands Pig Cost'!E48</f>
        <v>0</v>
      </c>
      <c r="F46" s="807">
        <f>+'Grasmere Pig Cost'!F48+'Lionhead Pig Cost'!F48+'Lionhead Ext. Pig Cost'!F48+'Villa Pig Cost'!F48+'Richlands Pig Cost'!F48</f>
        <v>0</v>
      </c>
      <c r="G46" s="807">
        <f>+'Grasmere Pig Cost'!G48+'Lionhead Pig Cost'!G48+'Lionhead Ext. Pig Cost'!G48+'Villa Pig Cost'!G48+'Richlands Pig Cost'!G48</f>
        <v>0</v>
      </c>
      <c r="H46" s="807">
        <f>+'Grasmere Pig Cost'!H48+'Lionhead Pig Cost'!H48+'Lionhead Ext. Pig Cost'!H48+'Villa Pig Cost'!H48+'Richlands Pig Cost'!H48</f>
        <v>0</v>
      </c>
      <c r="I46" s="807">
        <f>+'Grasmere Pig Cost'!I48+'Lionhead Pig Cost'!I48+'Lionhead Ext. Pig Cost'!I48+'Villa Pig Cost'!I48+'Richlands Pig Cost'!I48</f>
        <v>0</v>
      </c>
      <c r="J46" s="807">
        <f>+'Grasmere Pig Cost'!J48+'Lionhead Pig Cost'!J48+'Lionhead Ext. Pig Cost'!J48+'Villa Pig Cost'!J48+'Richlands Pig Cost'!J48</f>
        <v>0</v>
      </c>
      <c r="K46" s="807">
        <f>+'Grasmere Pig Cost'!K48+'Lionhead Pig Cost'!K48+'Lionhead Ext. Pig Cost'!K48+'Villa Pig Cost'!K48+'Richlands Pig Cost'!K48</f>
        <v>0</v>
      </c>
      <c r="L46" s="807">
        <f>+'Grasmere Pig Cost'!L48+'Lionhead Pig Cost'!L48+'Lionhead Ext. Pig Cost'!L48+'Villa Pig Cost'!L48+'Richlands Pig Cost'!L48</f>
        <v>0</v>
      </c>
      <c r="M46" s="807">
        <f>+'Grasmere Pig Cost'!M48+'Lionhead Pig Cost'!M48+'Lionhead Ext. Pig Cost'!M48+'Villa Pig Cost'!M48+'Richlands Pig Cost'!M48</f>
        <v>0</v>
      </c>
      <c r="N46" s="807">
        <f>+'Grasmere Pig Cost'!N48+'Lionhead Pig Cost'!N48+'Lionhead Ext. Pig Cost'!N48+'Villa Pig Cost'!N48+'Richlands Pig Cost'!N48</f>
        <v>0</v>
      </c>
      <c r="O46" s="807">
        <f>+'Grasmere Pig Cost'!O48+'Lionhead Pig Cost'!O48+'Lionhead Ext. Pig Cost'!O48+'Villa Pig Cost'!O48+'Richlands Pig Cost'!O48</f>
        <v>0</v>
      </c>
      <c r="P46" s="807">
        <f>+'Grasmere Pig Cost'!P48+'Lionhead Pig Cost'!P48+'Lionhead Ext. Pig Cost'!P48+'Villa Pig Cost'!P48+'Richlands Pig Cost'!P48</f>
        <v>0</v>
      </c>
      <c r="Q46" s="807">
        <f>+'Grasmere Pig Cost'!Q48+'Lionhead Pig Cost'!Q48+'Lionhead Ext. Pig Cost'!Q48+'Villa Pig Cost'!Q48+'Richlands Pig Cost'!Q48</f>
        <v>0</v>
      </c>
      <c r="R46" s="807">
        <f>+'Grasmere Pig Cost'!R48+'Lionhead Pig Cost'!R48+'Lionhead Ext. Pig Cost'!R48+'Villa Pig Cost'!R48+'Richlands Pig Cost'!R48</f>
        <v>0</v>
      </c>
      <c r="S46" s="807">
        <f>+'Grasmere Pig Cost'!S48+'Lionhead Pig Cost'!S48+'Lionhead Ext. Pig Cost'!S48+'Villa Pig Cost'!S48+'Richlands Pig Cost'!S48</f>
        <v>0</v>
      </c>
      <c r="T46" s="807">
        <f>+'Grasmere Pig Cost'!T48+'Lionhead Pig Cost'!T48+'Lionhead Ext. Pig Cost'!T48+'Villa Pig Cost'!T48+'Richlands Pig Cost'!T48</f>
        <v>0</v>
      </c>
      <c r="U46" s="807">
        <f>+'Grasmere Pig Cost'!U48+'Lionhead Pig Cost'!U48+'Lionhead Ext. Pig Cost'!U48+'Villa Pig Cost'!U48+'Richlands Pig Cost'!U48</f>
        <v>0</v>
      </c>
      <c r="V46" s="807">
        <f>+'Grasmere Pig Cost'!V48+'Lionhead Pig Cost'!V48+'Lionhead Ext. Pig Cost'!V48+'Villa Pig Cost'!V48+'Richlands Pig Cost'!V48</f>
        <v>0</v>
      </c>
      <c r="W46" s="807">
        <f>+'Grasmere Pig Cost'!W48+'Lionhead Pig Cost'!W48+'Lionhead Ext. Pig Cost'!W48+'Villa Pig Cost'!W48+'Richlands Pig Cost'!W48</f>
        <v>-12721.155615094774</v>
      </c>
      <c r="X46" s="807">
        <f>+'Grasmere Pig Cost'!X48+'Lionhead Pig Cost'!X48+'Lionhead Ext. Pig Cost'!X48+'Villa Pig Cost'!X48+'Richlands Pig Cost'!X48</f>
        <v>-19691.971100392791</v>
      </c>
      <c r="Y46" s="807">
        <f>+'Grasmere Pig Cost'!Y48+'Lionhead Pig Cost'!Y48+'Lionhead Ext. Pig Cost'!Y48+'Villa Pig Cost'!Y48+'Richlands Pig Cost'!Y48</f>
        <v>-16470.382867535121</v>
      </c>
      <c r="Z46" s="807">
        <f>+'Grasmere Pig Cost'!Z48+'Lionhead Pig Cost'!Z48+'Lionhead Ext. Pig Cost'!Z48+'Villa Pig Cost'!Z48+'Richlands Pig Cost'!Z48</f>
        <v>-12850.748552750299</v>
      </c>
      <c r="AA46" s="807">
        <f>+'Grasmere Pig Cost'!AA48+'Lionhead Pig Cost'!AA48+'Lionhead Ext. Pig Cost'!AA48+'Villa Pig Cost'!AA48+'Richlands Pig Cost'!AA48</f>
        <v>0</v>
      </c>
      <c r="AB46" s="807">
        <f>+'Grasmere Pig Cost'!AB48+'Lionhead Pig Cost'!AB48+'Lionhead Ext. Pig Cost'!AB48+'Villa Pig Cost'!AB48+'Richlands Pig Cost'!AB48</f>
        <v>0</v>
      </c>
      <c r="AC46" s="807">
        <f>+'Grasmere Pig Cost'!AC48+'Lionhead Pig Cost'!AC48+'Lionhead Ext. Pig Cost'!AC48+'Villa Pig Cost'!AC48+'Richlands Pig Cost'!AC48</f>
        <v>0</v>
      </c>
      <c r="AD46" s="807">
        <f>+'Grasmere Pig Cost'!AD48+'Lionhead Pig Cost'!AD48+'Lionhead Ext. Pig Cost'!AD48+'Villa Pig Cost'!AD48+'Richlands Pig Cost'!AD48</f>
        <v>0</v>
      </c>
      <c r="AE46" s="807">
        <f>+'Grasmere Pig Cost'!AE48+'Lionhead Pig Cost'!AE48+'Lionhead Ext. Pig Cost'!AE48+'Villa Pig Cost'!AE48+'Richlands Pig Cost'!AE48</f>
        <v>0</v>
      </c>
      <c r="AF46" s="807">
        <f>+'Grasmere Pig Cost'!AF48+'Lionhead Pig Cost'!AF48+'Lionhead Ext. Pig Cost'!AF48+'Villa Pig Cost'!AF48+'Richlands Pig Cost'!AF48</f>
        <v>0</v>
      </c>
      <c r="AG46" s="807">
        <f>+'Grasmere Pig Cost'!AG48+'Lionhead Pig Cost'!AG48+'Lionhead Ext. Pig Cost'!AG48+'Villa Pig Cost'!AG48+'Richlands Pig Cost'!AG48</f>
        <v>0</v>
      </c>
      <c r="AH46" s="807">
        <f>+'Grasmere Pig Cost'!AH48+'Lionhead Pig Cost'!AH48+'Lionhead Ext. Pig Cost'!AH48+'Villa Pig Cost'!AH48+'Richlands Pig Cost'!AH48</f>
        <v>0</v>
      </c>
      <c r="AI46" s="807">
        <f>+'Grasmere Pig Cost'!AI48+'Lionhead Pig Cost'!AI48+'Lionhead Ext. Pig Cost'!AI48+'Villa Pig Cost'!AI48+'Richlands Pig Cost'!AI48</f>
        <v>0</v>
      </c>
      <c r="AJ46" s="807">
        <f>+'Grasmere Pig Cost'!AJ48+'Lionhead Pig Cost'!AJ48+'Lionhead Ext. Pig Cost'!AJ48+'Villa Pig Cost'!AJ48+'Richlands Pig Cost'!AJ48</f>
        <v>0</v>
      </c>
      <c r="AK46" s="807">
        <f>+'Grasmere Pig Cost'!AK48+'Lionhead Pig Cost'!AK48+'Lionhead Ext. Pig Cost'!AK48+'Villa Pig Cost'!AK48+'Richlands Pig Cost'!AK48</f>
        <v>0</v>
      </c>
      <c r="AL46" s="807">
        <f>+'Grasmere Pig Cost'!AL48+'Lionhead Pig Cost'!AL48+'Lionhead Ext. Pig Cost'!AL48+'Villa Pig Cost'!AL48+'Richlands Pig Cost'!AL48</f>
        <v>0</v>
      </c>
      <c r="AM46" s="807">
        <f>+'Grasmere Pig Cost'!AM48+'Lionhead Pig Cost'!AM48+'Lionhead Ext. Pig Cost'!AM48+'Villa Pig Cost'!AM48+'Richlands Pig Cost'!AM48</f>
        <v>0</v>
      </c>
      <c r="AN46" s="807">
        <f>+'Grasmere Pig Cost'!AN48+'Lionhead Pig Cost'!AN48+'Lionhead Ext. Pig Cost'!AN48+'Villa Pig Cost'!AN48+'Richlands Pig Cost'!AN48</f>
        <v>0</v>
      </c>
      <c r="AO46" s="807">
        <f>+'Grasmere Pig Cost'!AO48+'Lionhead Pig Cost'!AO48+'Lionhead Ext. Pig Cost'!AO48+'Villa Pig Cost'!AO48+'Richlands Pig Cost'!AO48</f>
        <v>0</v>
      </c>
      <c r="AP46" s="807">
        <f>+'Grasmere Pig Cost'!AP48+'Lionhead Pig Cost'!AP48+'Lionhead Ext. Pig Cost'!AP48+'Villa Pig Cost'!AP48+'Richlands Pig Cost'!AP48</f>
        <v>0</v>
      </c>
      <c r="AQ46" s="807">
        <f>+'Grasmere Pig Cost'!AQ48+'Lionhead Pig Cost'!AQ48+'Lionhead Ext. Pig Cost'!AQ48+'Villa Pig Cost'!AQ48+'Richlands Pig Cost'!AQ48</f>
        <v>0</v>
      </c>
      <c r="AR46" s="807">
        <f>+'Grasmere Pig Cost'!AR48+'Lionhead Pig Cost'!AR48+'Lionhead Ext. Pig Cost'!AR48+'Villa Pig Cost'!AR48+'Richlands Pig Cost'!AR48</f>
        <v>0</v>
      </c>
      <c r="AS46" s="807">
        <f>+'Grasmere Pig Cost'!AS48+'Lionhead Pig Cost'!AS48+'Lionhead Ext. Pig Cost'!AS48+'Villa Pig Cost'!AS48+'Richlands Pig Cost'!AS48</f>
        <v>0</v>
      </c>
      <c r="AT46" s="807">
        <f>+'Grasmere Pig Cost'!AT48+'Lionhead Pig Cost'!AT48+'Lionhead Ext. Pig Cost'!AT48+'Villa Pig Cost'!AT48+'Richlands Pig Cost'!AT48</f>
        <v>0</v>
      </c>
      <c r="AU46" s="1631">
        <f t="shared" si="24"/>
        <v>-61734.258135772994</v>
      </c>
      <c r="AV46" s="1631">
        <f>+'Grasmere Pig Cost'!AU48+'Lionhead Pig Cost'!AU48+'Lionhead Ext. Pig Cost'!AU48+'Villa Pig Cost'!AU48+'Richlands Pig Cost'!AU48</f>
        <v>-61734.258135772994</v>
      </c>
      <c r="AW46" s="818">
        <f t="shared" si="23"/>
        <v>0</v>
      </c>
      <c r="AX46" s="1059"/>
      <c r="AY46" s="1059"/>
    </row>
    <row r="47" spans="1:53" ht="15.6">
      <c r="A47" s="142" t="str">
        <f t="shared" si="22"/>
        <v>Transfers Villa</v>
      </c>
      <c r="B47" s="807">
        <f>+'Grasmere Pig Cost'!B49+'Learig Pig Cost'!B49+'Lionhead Pig Cost'!B49+'Lionhead Ext. Pig Cost'!B49+'Richlands Pig Cost'!B49</f>
        <v>0</v>
      </c>
      <c r="C47" s="807">
        <f>+'Grasmere Pig Cost'!C49+'Learig Pig Cost'!C49+'Lionhead Pig Cost'!C49+'Lionhead Ext. Pig Cost'!C49+'Richlands Pig Cost'!C49</f>
        <v>0</v>
      </c>
      <c r="D47" s="807">
        <f>+'Grasmere Pig Cost'!D49+'Learig Pig Cost'!D49+'Lionhead Pig Cost'!D49+'Lionhead Ext. Pig Cost'!D49+'Richlands Pig Cost'!D49</f>
        <v>0</v>
      </c>
      <c r="E47" s="807">
        <f>+'Grasmere Pig Cost'!E49+'Learig Pig Cost'!E49+'Lionhead Pig Cost'!E49+'Lionhead Ext. Pig Cost'!E49+'Richlands Pig Cost'!E49</f>
        <v>0</v>
      </c>
      <c r="F47" s="807">
        <f>+'Grasmere Pig Cost'!F49+'Learig Pig Cost'!F49+'Lionhead Pig Cost'!F49+'Lionhead Ext. Pig Cost'!F49+'Richlands Pig Cost'!F49</f>
        <v>0</v>
      </c>
      <c r="G47" s="807">
        <f>+'Grasmere Pig Cost'!G49+'Learig Pig Cost'!G49+'Lionhead Pig Cost'!G49+'Lionhead Ext. Pig Cost'!G49+'Richlands Pig Cost'!G49</f>
        <v>0</v>
      </c>
      <c r="H47" s="807">
        <f>+'Grasmere Pig Cost'!H49+'Learig Pig Cost'!H49+'Lionhead Pig Cost'!H49+'Lionhead Ext. Pig Cost'!H49+'Richlands Pig Cost'!H49</f>
        <v>0</v>
      </c>
      <c r="I47" s="807">
        <f>+'Grasmere Pig Cost'!I49+'Learig Pig Cost'!I49+'Lionhead Pig Cost'!I49+'Lionhead Ext. Pig Cost'!I49+'Richlands Pig Cost'!I49</f>
        <v>0</v>
      </c>
      <c r="J47" s="807">
        <f>+'Grasmere Pig Cost'!J49+'Learig Pig Cost'!J49+'Lionhead Pig Cost'!J49+'Lionhead Ext. Pig Cost'!J49+'Richlands Pig Cost'!J49</f>
        <v>0</v>
      </c>
      <c r="K47" s="807">
        <f>+'Grasmere Pig Cost'!K49+'Learig Pig Cost'!K49+'Lionhead Pig Cost'!K49+'Lionhead Ext. Pig Cost'!K49+'Richlands Pig Cost'!K49</f>
        <v>0</v>
      </c>
      <c r="L47" s="807">
        <f>+'Grasmere Pig Cost'!L49+'Learig Pig Cost'!L49+'Lionhead Pig Cost'!L49+'Lionhead Ext. Pig Cost'!L49+'Richlands Pig Cost'!L49</f>
        <v>0</v>
      </c>
      <c r="M47" s="807">
        <f>+'Grasmere Pig Cost'!M49+'Learig Pig Cost'!M49+'Lionhead Pig Cost'!M49+'Lionhead Ext. Pig Cost'!M49+'Richlands Pig Cost'!M49</f>
        <v>0</v>
      </c>
      <c r="N47" s="807">
        <f>+'Grasmere Pig Cost'!N49+'Learig Pig Cost'!N49+'Lionhead Pig Cost'!N49+'Lionhead Ext. Pig Cost'!N49+'Richlands Pig Cost'!N49</f>
        <v>0</v>
      </c>
      <c r="O47" s="807">
        <f>+'Grasmere Pig Cost'!O49+'Learig Pig Cost'!O49+'Lionhead Pig Cost'!O49+'Lionhead Ext. Pig Cost'!O49+'Richlands Pig Cost'!O49</f>
        <v>0</v>
      </c>
      <c r="P47" s="807">
        <f>+'Grasmere Pig Cost'!P49+'Learig Pig Cost'!P49+'Lionhead Pig Cost'!P49+'Lionhead Ext. Pig Cost'!P49+'Richlands Pig Cost'!P49</f>
        <v>0</v>
      </c>
      <c r="Q47" s="807">
        <f>+'Grasmere Pig Cost'!Q49+'Learig Pig Cost'!Q49+'Lionhead Pig Cost'!Q49+'Lionhead Ext. Pig Cost'!Q49+'Richlands Pig Cost'!Q49</f>
        <v>0</v>
      </c>
      <c r="R47" s="807">
        <f>+'Grasmere Pig Cost'!R49+'Learig Pig Cost'!R49+'Lionhead Pig Cost'!R49+'Lionhead Ext. Pig Cost'!R49+'Richlands Pig Cost'!R49</f>
        <v>0</v>
      </c>
      <c r="S47" s="807">
        <f>+'Grasmere Pig Cost'!S49+'Learig Pig Cost'!S49+'Lionhead Pig Cost'!S49+'Lionhead Ext. Pig Cost'!S49+'Richlands Pig Cost'!S49</f>
        <v>0</v>
      </c>
      <c r="T47" s="807">
        <f>+'Grasmere Pig Cost'!T49+'Learig Pig Cost'!T49+'Lionhead Pig Cost'!T49+'Lionhead Ext. Pig Cost'!T49+'Richlands Pig Cost'!T49</f>
        <v>0</v>
      </c>
      <c r="U47" s="807">
        <f>+'Grasmere Pig Cost'!U49+'Learig Pig Cost'!U49+'Lionhead Pig Cost'!U49+'Lionhead Ext. Pig Cost'!U49+'Richlands Pig Cost'!U49</f>
        <v>0</v>
      </c>
      <c r="V47" s="807">
        <f>+'Grasmere Pig Cost'!V49+'Learig Pig Cost'!V49+'Lionhead Pig Cost'!V49+'Lionhead Ext. Pig Cost'!V49+'Richlands Pig Cost'!V49</f>
        <v>0</v>
      </c>
      <c r="W47" s="807">
        <f>+'Grasmere Pig Cost'!W49+'Learig Pig Cost'!W49+'Lionhead Pig Cost'!W49+'Lionhead Ext. Pig Cost'!W49+'Richlands Pig Cost'!W49</f>
        <v>2898.8146838563257</v>
      </c>
      <c r="X47" s="807">
        <f>+'Grasmere Pig Cost'!X49+'Learig Pig Cost'!X49+'Lionhead Pig Cost'!X49+'Lionhead Ext. Pig Cost'!X49+'Richlands Pig Cost'!X49</f>
        <v>4419.1298467919114</v>
      </c>
      <c r="Y47" s="807">
        <f>+'Grasmere Pig Cost'!Y49+'Learig Pig Cost'!Y49+'Lionhead Pig Cost'!Y49+'Lionhead Ext. Pig Cost'!Y49+'Richlands Pig Cost'!Y49</f>
        <v>5747.1778370206775</v>
      </c>
      <c r="Z47" s="807">
        <f>+'Grasmere Pig Cost'!Z49+'Learig Pig Cost'!Z49+'Lionhead Pig Cost'!Z49+'Lionhead Ext. Pig Cost'!Z49+'Richlands Pig Cost'!Z49</f>
        <v>3510.1487560871997</v>
      </c>
      <c r="AA47" s="807">
        <f>+'Grasmere Pig Cost'!AA49+'Learig Pig Cost'!AA49+'Lionhead Pig Cost'!AA49+'Lionhead Ext. Pig Cost'!AA49+'Richlands Pig Cost'!AA49</f>
        <v>0</v>
      </c>
      <c r="AB47" s="807">
        <f>+'Grasmere Pig Cost'!AB49+'Learig Pig Cost'!AB49+'Lionhead Pig Cost'!AB49+'Lionhead Ext. Pig Cost'!AB49+'Richlands Pig Cost'!AB49</f>
        <v>0</v>
      </c>
      <c r="AC47" s="807">
        <f>+'Grasmere Pig Cost'!AC49+'Learig Pig Cost'!AC49+'Lionhead Pig Cost'!AC49+'Lionhead Ext. Pig Cost'!AC49+'Richlands Pig Cost'!AC49</f>
        <v>0</v>
      </c>
      <c r="AD47" s="807">
        <f>+'Grasmere Pig Cost'!AD49+'Learig Pig Cost'!AD49+'Lionhead Pig Cost'!AD49+'Lionhead Ext. Pig Cost'!AD49+'Richlands Pig Cost'!AD49</f>
        <v>0</v>
      </c>
      <c r="AE47" s="807">
        <f>+'Grasmere Pig Cost'!AE49+'Learig Pig Cost'!AE49+'Lionhead Pig Cost'!AE49+'Lionhead Ext. Pig Cost'!AE49+'Richlands Pig Cost'!AE49</f>
        <v>0</v>
      </c>
      <c r="AF47" s="807">
        <f>+'Grasmere Pig Cost'!AF49+'Learig Pig Cost'!AF49+'Lionhead Pig Cost'!AF49+'Lionhead Ext. Pig Cost'!AF49+'Richlands Pig Cost'!AF49</f>
        <v>0</v>
      </c>
      <c r="AG47" s="807">
        <f>+'Grasmere Pig Cost'!AG49+'Learig Pig Cost'!AG49+'Lionhead Pig Cost'!AG49+'Lionhead Ext. Pig Cost'!AG49+'Richlands Pig Cost'!AG49</f>
        <v>0</v>
      </c>
      <c r="AH47" s="807">
        <f>+'Grasmere Pig Cost'!AH49+'Learig Pig Cost'!AH49+'Lionhead Pig Cost'!AH49+'Lionhead Ext. Pig Cost'!AH49+'Richlands Pig Cost'!AH49</f>
        <v>0</v>
      </c>
      <c r="AI47" s="807">
        <f>+'Grasmere Pig Cost'!AI49+'Learig Pig Cost'!AI49+'Lionhead Pig Cost'!AI49+'Lionhead Ext. Pig Cost'!AI49+'Richlands Pig Cost'!AI49</f>
        <v>0</v>
      </c>
      <c r="AJ47" s="807">
        <f>+'Grasmere Pig Cost'!AJ49+'Learig Pig Cost'!AJ49+'Lionhead Pig Cost'!AJ49+'Lionhead Ext. Pig Cost'!AJ49+'Richlands Pig Cost'!AJ49</f>
        <v>0</v>
      </c>
      <c r="AK47" s="807">
        <f>+'Grasmere Pig Cost'!AK49+'Learig Pig Cost'!AK49+'Lionhead Pig Cost'!AK49+'Lionhead Ext. Pig Cost'!AK49+'Richlands Pig Cost'!AK49</f>
        <v>0</v>
      </c>
      <c r="AL47" s="807">
        <f>+'Grasmere Pig Cost'!AL49+'Learig Pig Cost'!AL49+'Lionhead Pig Cost'!AL49+'Lionhead Ext. Pig Cost'!AL49+'Richlands Pig Cost'!AL49</f>
        <v>0</v>
      </c>
      <c r="AM47" s="807">
        <f>+'Grasmere Pig Cost'!AM49+'Learig Pig Cost'!AM49+'Lionhead Pig Cost'!AM49+'Lionhead Ext. Pig Cost'!AM49+'Richlands Pig Cost'!AM49</f>
        <v>0</v>
      </c>
      <c r="AN47" s="807">
        <f>+'Grasmere Pig Cost'!AN49+'Learig Pig Cost'!AN49+'Lionhead Pig Cost'!AN49+'Lionhead Ext. Pig Cost'!AN49+'Richlands Pig Cost'!AN49</f>
        <v>0</v>
      </c>
      <c r="AO47" s="807">
        <f>+'Grasmere Pig Cost'!AO49+'Learig Pig Cost'!AO49+'Lionhead Pig Cost'!AO49+'Lionhead Ext. Pig Cost'!AO49+'Richlands Pig Cost'!AO49</f>
        <v>0</v>
      </c>
      <c r="AP47" s="807">
        <f>+'Grasmere Pig Cost'!AP49+'Learig Pig Cost'!AP49+'Lionhead Pig Cost'!AP49+'Lionhead Ext. Pig Cost'!AP49+'Richlands Pig Cost'!AP49</f>
        <v>0</v>
      </c>
      <c r="AQ47" s="807">
        <f>+'Grasmere Pig Cost'!AQ49+'Learig Pig Cost'!AQ49+'Lionhead Pig Cost'!AQ49+'Lionhead Ext. Pig Cost'!AQ49+'Richlands Pig Cost'!AQ49</f>
        <v>0</v>
      </c>
      <c r="AR47" s="807">
        <f>+'Grasmere Pig Cost'!AR49+'Learig Pig Cost'!AR49+'Lionhead Pig Cost'!AR49+'Lionhead Ext. Pig Cost'!AR49+'Richlands Pig Cost'!AR49</f>
        <v>0</v>
      </c>
      <c r="AS47" s="807">
        <f>+'Grasmere Pig Cost'!AS49+'Learig Pig Cost'!AS49+'Lionhead Pig Cost'!AS49+'Lionhead Ext. Pig Cost'!AS49+'Richlands Pig Cost'!AS49</f>
        <v>0</v>
      </c>
      <c r="AT47" s="807">
        <f>+'Grasmere Pig Cost'!AT49+'Learig Pig Cost'!AT49+'Lionhead Pig Cost'!AT49+'Lionhead Ext. Pig Cost'!AT49+'Richlands Pig Cost'!AT49</f>
        <v>0</v>
      </c>
      <c r="AU47" s="1631">
        <f t="shared" si="24"/>
        <v>16575.271123756116</v>
      </c>
      <c r="AV47" s="1631">
        <f>+'Grasmere Pig Cost'!AU49+'Learig Pig Cost'!AU49+'Lionhead Pig Cost'!AU49+'Lionhead Ext. Pig Cost'!AU49+'Richlands Pig Cost'!AU49</f>
        <v>16575.271123756116</v>
      </c>
      <c r="AW47" s="818">
        <f t="shared" si="23"/>
        <v>0</v>
      </c>
      <c r="AX47" s="1059"/>
      <c r="AY47" s="1059"/>
      <c r="AZ47" s="1059"/>
    </row>
    <row r="48" spans="1:53" ht="15.6">
      <c r="A48" s="142" t="str">
        <f t="shared" si="22"/>
        <v>Transfers  Boars</v>
      </c>
      <c r="B48" s="807">
        <f>+'Grasmere Pig Cost'!B53+'Learig Pig Cost'!B53+'Lionhead Pig Cost'!B53+'Lionhead Ext. Pig Cost'!B53+'Villa Pig Cost'!B53+'Richlands Pig Cost'!B53</f>
        <v>0</v>
      </c>
      <c r="C48" s="807">
        <f>+'Grasmere Pig Cost'!C53+'Learig Pig Cost'!C53+'Lionhead Pig Cost'!C53+'Lionhead Ext. Pig Cost'!C53+'Villa Pig Cost'!C53+'Richlands Pig Cost'!C53</f>
        <v>0</v>
      </c>
      <c r="D48" s="807">
        <f>+'Grasmere Pig Cost'!D53+'Learig Pig Cost'!D53+'Lionhead Pig Cost'!D53+'Lionhead Ext. Pig Cost'!D53+'Villa Pig Cost'!D53+'Richlands Pig Cost'!D53</f>
        <v>0</v>
      </c>
      <c r="E48" s="807">
        <f>+'Grasmere Pig Cost'!E53+'Learig Pig Cost'!E53+'Lionhead Pig Cost'!E53+'Lionhead Ext. Pig Cost'!E53+'Villa Pig Cost'!E53+'Richlands Pig Cost'!E53</f>
        <v>0</v>
      </c>
      <c r="F48" s="807">
        <f>+'Grasmere Pig Cost'!F53+'Learig Pig Cost'!F53+'Lionhead Pig Cost'!F53+'Lionhead Ext. Pig Cost'!F53+'Villa Pig Cost'!F53+'Richlands Pig Cost'!F53</f>
        <v>0</v>
      </c>
      <c r="G48" s="807">
        <f>+'Grasmere Pig Cost'!G53+'Learig Pig Cost'!G53+'Lionhead Pig Cost'!G53+'Lionhead Ext. Pig Cost'!G53+'Villa Pig Cost'!G53+'Richlands Pig Cost'!G53</f>
        <v>0</v>
      </c>
      <c r="H48" s="807">
        <f>+'Grasmere Pig Cost'!H53+'Learig Pig Cost'!H53+'Lionhead Pig Cost'!H53+'Lionhead Ext. Pig Cost'!H53+'Villa Pig Cost'!H53+'Richlands Pig Cost'!H53</f>
        <v>0</v>
      </c>
      <c r="I48" s="807">
        <f>+'Grasmere Pig Cost'!I53+'Learig Pig Cost'!I53+'Lionhead Pig Cost'!I53+'Lionhead Ext. Pig Cost'!I53+'Villa Pig Cost'!I53+'Richlands Pig Cost'!I53</f>
        <v>0</v>
      </c>
      <c r="J48" s="807">
        <f>+'Grasmere Pig Cost'!J53+'Learig Pig Cost'!J53+'Lionhead Pig Cost'!J53+'Lionhead Ext. Pig Cost'!J53+'Villa Pig Cost'!J53+'Richlands Pig Cost'!J53</f>
        <v>0</v>
      </c>
      <c r="K48" s="807">
        <f>+'Grasmere Pig Cost'!K53+'Learig Pig Cost'!K53+'Lionhead Pig Cost'!K53+'Lionhead Ext. Pig Cost'!K53+'Villa Pig Cost'!K53+'Richlands Pig Cost'!K53</f>
        <v>0</v>
      </c>
      <c r="L48" s="807">
        <f>+'Grasmere Pig Cost'!L53+'Learig Pig Cost'!L53+'Lionhead Pig Cost'!L53+'Lionhead Ext. Pig Cost'!L53+'Villa Pig Cost'!L53+'Richlands Pig Cost'!L53</f>
        <v>0</v>
      </c>
      <c r="M48" s="807">
        <f>+'Grasmere Pig Cost'!M53+'Learig Pig Cost'!M53+'Lionhead Pig Cost'!M53+'Lionhead Ext. Pig Cost'!M53+'Villa Pig Cost'!M53+'Richlands Pig Cost'!M53</f>
        <v>0</v>
      </c>
      <c r="N48" s="807">
        <f>+'Grasmere Pig Cost'!N53+'Learig Pig Cost'!N53+'Lionhead Pig Cost'!N53+'Lionhead Ext. Pig Cost'!N53+'Villa Pig Cost'!N53+'Richlands Pig Cost'!N53</f>
        <v>0</v>
      </c>
      <c r="O48" s="807">
        <f>+'Grasmere Pig Cost'!O53+'Learig Pig Cost'!O53+'Lionhead Pig Cost'!O53+'Lionhead Ext. Pig Cost'!O53+'Villa Pig Cost'!O53+'Richlands Pig Cost'!O53</f>
        <v>0</v>
      </c>
      <c r="P48" s="807">
        <f>+'Grasmere Pig Cost'!P53+'Learig Pig Cost'!P53+'Lionhead Pig Cost'!P53+'Lionhead Ext. Pig Cost'!P53+'Villa Pig Cost'!P53+'Richlands Pig Cost'!P53</f>
        <v>0</v>
      </c>
      <c r="Q48" s="807">
        <f>+'Grasmere Pig Cost'!Q53+'Learig Pig Cost'!Q53+'Lionhead Pig Cost'!Q53+'Lionhead Ext. Pig Cost'!Q53+'Villa Pig Cost'!Q53+'Richlands Pig Cost'!Q53</f>
        <v>0</v>
      </c>
      <c r="R48" s="807">
        <f>+'Grasmere Pig Cost'!R53+'Learig Pig Cost'!R53+'Lionhead Pig Cost'!R53+'Lionhead Ext. Pig Cost'!R53+'Villa Pig Cost'!R53+'Richlands Pig Cost'!R53</f>
        <v>0</v>
      </c>
      <c r="S48" s="807">
        <f>+'Grasmere Pig Cost'!S53+'Learig Pig Cost'!S53+'Lionhead Pig Cost'!S53+'Lionhead Ext. Pig Cost'!S53+'Villa Pig Cost'!S53+'Richlands Pig Cost'!S53</f>
        <v>0</v>
      </c>
      <c r="T48" s="807">
        <f>+'Grasmere Pig Cost'!T53+'Learig Pig Cost'!T53+'Lionhead Pig Cost'!T53+'Lionhead Ext. Pig Cost'!T53+'Villa Pig Cost'!T53+'Richlands Pig Cost'!T53</f>
        <v>0</v>
      </c>
      <c r="U48" s="807">
        <f>+'Grasmere Pig Cost'!U53+'Learig Pig Cost'!U53+'Lionhead Pig Cost'!U53+'Lionhead Ext. Pig Cost'!U53+'Villa Pig Cost'!U53+'Richlands Pig Cost'!U53</f>
        <v>0</v>
      </c>
      <c r="V48" s="807">
        <f>+'Grasmere Pig Cost'!V53+'Learig Pig Cost'!V53+'Lionhead Pig Cost'!V53+'Lionhead Ext. Pig Cost'!V53+'Villa Pig Cost'!V53+'Richlands Pig Cost'!V53</f>
        <v>0</v>
      </c>
      <c r="W48" s="807">
        <f>+'Grasmere Pig Cost'!W53+'Learig Pig Cost'!W53+'Lionhead Pig Cost'!W53+'Lionhead Ext. Pig Cost'!W53+'Villa Pig Cost'!W53+'Richlands Pig Cost'!W53</f>
        <v>0</v>
      </c>
      <c r="X48" s="807">
        <f>+'Grasmere Pig Cost'!X53+'Learig Pig Cost'!X53+'Lionhead Pig Cost'!X53+'Lionhead Ext. Pig Cost'!X53+'Villa Pig Cost'!X53+'Richlands Pig Cost'!X53</f>
        <v>0</v>
      </c>
      <c r="Y48" s="807">
        <f>+'Grasmere Pig Cost'!Y53+'Learig Pig Cost'!Y53+'Lionhead Pig Cost'!Y53+'Lionhead Ext. Pig Cost'!Y53+'Villa Pig Cost'!Y53+'Richlands Pig Cost'!Y53</f>
        <v>0</v>
      </c>
      <c r="Z48" s="807">
        <f>+'Grasmere Pig Cost'!Z53+'Learig Pig Cost'!Z53+'Lionhead Pig Cost'!Z53+'Lionhead Ext. Pig Cost'!Z53+'Villa Pig Cost'!Z53+'Richlands Pig Cost'!Z53</f>
        <v>0</v>
      </c>
      <c r="AA48" s="807">
        <f>+'Grasmere Pig Cost'!AA53+'Learig Pig Cost'!AA53+'Lionhead Pig Cost'!AA53+'Lionhead Ext. Pig Cost'!AA53+'Villa Pig Cost'!AA53+'Richlands Pig Cost'!AA53</f>
        <v>0</v>
      </c>
      <c r="AB48" s="807">
        <f>+'Grasmere Pig Cost'!AB53+'Learig Pig Cost'!AB53+'Lionhead Pig Cost'!AB53+'Lionhead Ext. Pig Cost'!AB53+'Villa Pig Cost'!AB53+'Richlands Pig Cost'!AB53</f>
        <v>0</v>
      </c>
      <c r="AC48" s="807">
        <f>+'Grasmere Pig Cost'!AC53+'Learig Pig Cost'!AC53+'Lionhead Pig Cost'!AC53+'Lionhead Ext. Pig Cost'!AC53+'Villa Pig Cost'!AC53+'Richlands Pig Cost'!AC53</f>
        <v>0</v>
      </c>
      <c r="AD48" s="807">
        <f>+'Grasmere Pig Cost'!AD53+'Learig Pig Cost'!AD53+'Lionhead Pig Cost'!AD53+'Lionhead Ext. Pig Cost'!AD53+'Villa Pig Cost'!AD53+'Richlands Pig Cost'!AD53</f>
        <v>0</v>
      </c>
      <c r="AE48" s="807">
        <f>+'Grasmere Pig Cost'!AE53+'Learig Pig Cost'!AE53+'Lionhead Pig Cost'!AE53+'Lionhead Ext. Pig Cost'!AE53+'Villa Pig Cost'!AE53+'Richlands Pig Cost'!AE53</f>
        <v>0</v>
      </c>
      <c r="AF48" s="807">
        <f>+'Grasmere Pig Cost'!AF53+'Learig Pig Cost'!AF53+'Lionhead Pig Cost'!AF53+'Lionhead Ext. Pig Cost'!AF53+'Villa Pig Cost'!AF53+'Richlands Pig Cost'!AF53</f>
        <v>0</v>
      </c>
      <c r="AG48" s="807">
        <f>+'Grasmere Pig Cost'!AG53+'Learig Pig Cost'!AG53+'Lionhead Pig Cost'!AG53+'Lionhead Ext. Pig Cost'!AG53+'Villa Pig Cost'!AG53+'Richlands Pig Cost'!AG53</f>
        <v>0</v>
      </c>
      <c r="AH48" s="807">
        <f>+'Grasmere Pig Cost'!AH53+'Learig Pig Cost'!AH53+'Lionhead Pig Cost'!AH53+'Lionhead Ext. Pig Cost'!AH53+'Villa Pig Cost'!AH53+'Richlands Pig Cost'!AH53</f>
        <v>0</v>
      </c>
      <c r="AI48" s="807">
        <f>+'Grasmere Pig Cost'!AI53+'Learig Pig Cost'!AI53+'Lionhead Pig Cost'!AI53+'Lionhead Ext. Pig Cost'!AI53+'Villa Pig Cost'!AI53+'Richlands Pig Cost'!AI53</f>
        <v>0</v>
      </c>
      <c r="AJ48" s="807">
        <f>+'Grasmere Pig Cost'!AJ53+'Learig Pig Cost'!AJ53+'Lionhead Pig Cost'!AJ53+'Lionhead Ext. Pig Cost'!AJ53+'Villa Pig Cost'!AJ53+'Richlands Pig Cost'!AJ53</f>
        <v>0</v>
      </c>
      <c r="AK48" s="807">
        <f>+'Grasmere Pig Cost'!AK53+'Learig Pig Cost'!AK53+'Lionhead Pig Cost'!AK53+'Lionhead Ext. Pig Cost'!AK53+'Villa Pig Cost'!AK53+'Richlands Pig Cost'!AK53</f>
        <v>0</v>
      </c>
      <c r="AL48" s="807">
        <f>+'Grasmere Pig Cost'!AL53+'Learig Pig Cost'!AL53+'Lionhead Pig Cost'!AL53+'Lionhead Ext. Pig Cost'!AL53+'Villa Pig Cost'!AL53+'Richlands Pig Cost'!AL53</f>
        <v>0</v>
      </c>
      <c r="AM48" s="807">
        <f>+'Grasmere Pig Cost'!AM53+'Learig Pig Cost'!AM53+'Lionhead Pig Cost'!AM53+'Lionhead Ext. Pig Cost'!AM53+'Villa Pig Cost'!AM53+'Richlands Pig Cost'!AM53</f>
        <v>0</v>
      </c>
      <c r="AN48" s="807">
        <f>+'Grasmere Pig Cost'!AN53+'Learig Pig Cost'!AN53+'Lionhead Pig Cost'!AN53+'Lionhead Ext. Pig Cost'!AN53+'Villa Pig Cost'!AN53+'Richlands Pig Cost'!AN53</f>
        <v>0</v>
      </c>
      <c r="AO48" s="807">
        <f>+'Grasmere Pig Cost'!AO53+'Learig Pig Cost'!AO53+'Lionhead Pig Cost'!AO53+'Lionhead Ext. Pig Cost'!AO53+'Villa Pig Cost'!AO53+'Richlands Pig Cost'!AO53</f>
        <v>0</v>
      </c>
      <c r="AP48" s="807">
        <f>+'Grasmere Pig Cost'!AP53+'Learig Pig Cost'!AP53+'Lionhead Pig Cost'!AP53+'Lionhead Ext. Pig Cost'!AP53+'Villa Pig Cost'!AP53+'Richlands Pig Cost'!AP53</f>
        <v>-510.56848015285124</v>
      </c>
      <c r="AQ48" s="807">
        <f>+'Grasmere Pig Cost'!AQ53+'Learig Pig Cost'!AQ53+'Lionhead Pig Cost'!AQ53+'Lionhead Ext. Pig Cost'!AQ53+'Villa Pig Cost'!AQ53+'Richlands Pig Cost'!AQ53</f>
        <v>0</v>
      </c>
      <c r="AR48" s="807">
        <f>+'Grasmere Pig Cost'!AR53+'Learig Pig Cost'!AR53+'Lionhead Pig Cost'!AR53+'Lionhead Ext. Pig Cost'!AR53+'Villa Pig Cost'!AR53+'Richlands Pig Cost'!AR53</f>
        <v>-661.05900662296085</v>
      </c>
      <c r="AS48" s="807">
        <f>+'Grasmere Pig Cost'!AS53+'Learig Pig Cost'!AS53+'Lionhead Pig Cost'!AS53+'Lionhead Ext. Pig Cost'!AS53+'Villa Pig Cost'!AS53+'Richlands Pig Cost'!AS53</f>
        <v>0</v>
      </c>
      <c r="AT48" s="807">
        <f>+'Grasmere Pig Cost'!AT53+'Learig Pig Cost'!AT53+'Lionhead Pig Cost'!AT53+'Lionhead Ext. Pig Cost'!AT53+'Villa Pig Cost'!AT53+'Richlands Pig Cost'!AT53</f>
        <v>0</v>
      </c>
      <c r="AU48" s="1632">
        <f>SUM(B48:AT48)</f>
        <v>-1171.627486775812</v>
      </c>
      <c r="AV48" s="1632">
        <f>+'Grasmere Pig Cost'!AU53+'Learig Pig Cost'!AU53+'Lionhead Pig Cost'!AU53+'Lionhead Ext. Pig Cost'!AU53+'Villa Pig Cost'!AU53+'Richlands Pig Cost'!AU53</f>
        <v>-1171.627486775812</v>
      </c>
      <c r="AW48" s="818">
        <f t="shared" si="23"/>
        <v>0</v>
      </c>
      <c r="AX48" s="1059"/>
      <c r="AY48" s="1059"/>
    </row>
    <row r="49" spans="1:54" ht="15.6">
      <c r="A49" s="142" t="str">
        <f t="shared" si="22"/>
        <v>Transfers Grower</v>
      </c>
      <c r="B49" s="807">
        <f>+'Grasmere Pig Cost'!B54+'Learig Pig Cost'!B54+'Lionhead Pig Cost'!B54+'Lionhead Ext. Pig Cost'!B54+'Villa Pig Cost'!B54+'Richlands Pig Cost'!B54</f>
        <v>0</v>
      </c>
      <c r="C49" s="807">
        <f>+'Grasmere Pig Cost'!C54+'Learig Pig Cost'!C54+'Lionhead Pig Cost'!C54+'Lionhead Ext. Pig Cost'!C54+'Villa Pig Cost'!C54+'Richlands Pig Cost'!C54</f>
        <v>0</v>
      </c>
      <c r="D49" s="807">
        <f>+'Grasmere Pig Cost'!D54+'Learig Pig Cost'!D54+'Lionhead Pig Cost'!D54+'Lionhead Ext. Pig Cost'!D54+'Villa Pig Cost'!D54+'Richlands Pig Cost'!D54</f>
        <v>0</v>
      </c>
      <c r="E49" s="807">
        <f>+'Grasmere Pig Cost'!E54+'Learig Pig Cost'!E54+'Lionhead Pig Cost'!E54+'Lionhead Ext. Pig Cost'!E54+'Villa Pig Cost'!E54+'Richlands Pig Cost'!E54</f>
        <v>0</v>
      </c>
      <c r="F49" s="807">
        <f>+'Grasmere Pig Cost'!F54+'Learig Pig Cost'!F54+'Lionhead Pig Cost'!F54+'Lionhead Ext. Pig Cost'!F54+'Villa Pig Cost'!F54+'Richlands Pig Cost'!F54</f>
        <v>0</v>
      </c>
      <c r="G49" s="807">
        <f>+'Grasmere Pig Cost'!G54+'Learig Pig Cost'!G54+'Lionhead Pig Cost'!G54+'Lionhead Ext. Pig Cost'!G54+'Villa Pig Cost'!G54+'Richlands Pig Cost'!G54</f>
        <v>0</v>
      </c>
      <c r="H49" s="807">
        <f>+'Grasmere Pig Cost'!H54+'Learig Pig Cost'!H54+'Lionhead Pig Cost'!H54+'Lionhead Ext. Pig Cost'!H54+'Villa Pig Cost'!H54+'Richlands Pig Cost'!H54</f>
        <v>0</v>
      </c>
      <c r="I49" s="807">
        <f>+'Grasmere Pig Cost'!I54+'Learig Pig Cost'!I54+'Lionhead Pig Cost'!I54+'Lionhead Ext. Pig Cost'!I54+'Villa Pig Cost'!I54+'Richlands Pig Cost'!I54</f>
        <v>0</v>
      </c>
      <c r="J49" s="807">
        <f>+'Grasmere Pig Cost'!J54+'Learig Pig Cost'!J54+'Lionhead Pig Cost'!J54+'Lionhead Ext. Pig Cost'!J54+'Villa Pig Cost'!J54+'Richlands Pig Cost'!J54</f>
        <v>0</v>
      </c>
      <c r="K49" s="807">
        <f>+'Grasmere Pig Cost'!K54+'Learig Pig Cost'!K54+'Lionhead Pig Cost'!K54+'Lionhead Ext. Pig Cost'!K54+'Villa Pig Cost'!K54+'Richlands Pig Cost'!K54</f>
        <v>0</v>
      </c>
      <c r="L49" s="807">
        <f>+'Grasmere Pig Cost'!L54+'Learig Pig Cost'!L54+'Lionhead Pig Cost'!L54+'Lionhead Ext. Pig Cost'!L54+'Villa Pig Cost'!L54+'Richlands Pig Cost'!L54</f>
        <v>0</v>
      </c>
      <c r="M49" s="807">
        <f>+'Grasmere Pig Cost'!M54+'Learig Pig Cost'!M54+'Lionhead Pig Cost'!M54+'Lionhead Ext. Pig Cost'!M54+'Villa Pig Cost'!M54+'Richlands Pig Cost'!M54</f>
        <v>0</v>
      </c>
      <c r="N49" s="807">
        <f>+'Grasmere Pig Cost'!N54+'Learig Pig Cost'!N54+'Lionhead Pig Cost'!N54+'Lionhead Ext. Pig Cost'!N54+'Villa Pig Cost'!N54+'Richlands Pig Cost'!N54</f>
        <v>0</v>
      </c>
      <c r="O49" s="807">
        <f>+'Grasmere Pig Cost'!O54+'Learig Pig Cost'!O54+'Lionhead Pig Cost'!O54+'Lionhead Ext. Pig Cost'!O54+'Villa Pig Cost'!O54+'Richlands Pig Cost'!O54</f>
        <v>0</v>
      </c>
      <c r="P49" s="807">
        <f>+'Grasmere Pig Cost'!P54+'Learig Pig Cost'!P54+'Lionhead Pig Cost'!P54+'Lionhead Ext. Pig Cost'!P54+'Villa Pig Cost'!P54+'Richlands Pig Cost'!P54</f>
        <v>0</v>
      </c>
      <c r="Q49" s="807">
        <f>+'Grasmere Pig Cost'!Q54+'Learig Pig Cost'!Q54+'Lionhead Pig Cost'!Q54+'Lionhead Ext. Pig Cost'!Q54+'Villa Pig Cost'!Q54+'Richlands Pig Cost'!Q54</f>
        <v>0</v>
      </c>
      <c r="R49" s="807">
        <f>+'Grasmere Pig Cost'!R54+'Learig Pig Cost'!R54+'Lionhead Pig Cost'!R54+'Lionhead Ext. Pig Cost'!R54+'Villa Pig Cost'!R54+'Richlands Pig Cost'!R54</f>
        <v>0</v>
      </c>
      <c r="S49" s="807">
        <f>+'Grasmere Pig Cost'!S54+'Learig Pig Cost'!S54+'Lionhead Pig Cost'!S54+'Lionhead Ext. Pig Cost'!S54+'Villa Pig Cost'!S54+'Richlands Pig Cost'!S54</f>
        <v>0</v>
      </c>
      <c r="T49" s="807">
        <f>+'Grasmere Pig Cost'!T54+'Learig Pig Cost'!T54+'Lionhead Pig Cost'!T54+'Lionhead Ext. Pig Cost'!T54+'Villa Pig Cost'!T54+'Richlands Pig Cost'!T54</f>
        <v>0</v>
      </c>
      <c r="U49" s="807">
        <f>+'Grasmere Pig Cost'!U54+'Learig Pig Cost'!U54+'Lionhead Pig Cost'!U54+'Lionhead Ext. Pig Cost'!U54+'Villa Pig Cost'!U54+'Richlands Pig Cost'!U54</f>
        <v>0</v>
      </c>
      <c r="V49" s="807">
        <f>+'Grasmere Pig Cost'!V54+'Learig Pig Cost'!V54+'Lionhead Pig Cost'!V54+'Lionhead Ext. Pig Cost'!V54+'Villa Pig Cost'!V54+'Richlands Pig Cost'!V54</f>
        <v>0</v>
      </c>
      <c r="W49" s="807">
        <f>+'Grasmere Pig Cost'!W54+'Learig Pig Cost'!W54+'Lionhead Pig Cost'!W54+'Lionhead Ext. Pig Cost'!W54+'Villa Pig Cost'!W54+'Richlands Pig Cost'!W54</f>
        <v>2027.5351111862997</v>
      </c>
      <c r="X49" s="807">
        <f>+'Grasmere Pig Cost'!X54+'Learig Pig Cost'!X54+'Lionhead Pig Cost'!X54+'Lionhead Ext. Pig Cost'!X54+'Villa Pig Cost'!X54+'Richlands Pig Cost'!X54</f>
        <v>1520.6513333897246</v>
      </c>
      <c r="Y49" s="807">
        <f>+'Grasmere Pig Cost'!Y54+'Learig Pig Cost'!Y54+'Lionhead Pig Cost'!Y54+'Lionhead Ext. Pig Cost'!Y54+'Villa Pig Cost'!Y54+'Richlands Pig Cost'!Y54</f>
        <v>1689.6125926552497</v>
      </c>
      <c r="Z49" s="807">
        <f>+'Grasmere Pig Cost'!Z54+'Learig Pig Cost'!Z54+'Lionhead Pig Cost'!Z54+'Lionhead Ext. Pig Cost'!Z54+'Villa Pig Cost'!Z54+'Richlands Pig Cost'!Z54</f>
        <v>2365.4576297173498</v>
      </c>
      <c r="AA49" s="807">
        <f>+'Grasmere Pig Cost'!AA54+'Learig Pig Cost'!AA54+'Lionhead Pig Cost'!AA54+'Lionhead Ext. Pig Cost'!AA54+'Villa Pig Cost'!AA54+'Richlands Pig Cost'!AA54</f>
        <v>0</v>
      </c>
      <c r="AB49" s="807">
        <f>+'Grasmere Pig Cost'!AB54+'Learig Pig Cost'!AB54+'Lionhead Pig Cost'!AB54+'Lionhead Ext. Pig Cost'!AB54+'Villa Pig Cost'!AB54+'Richlands Pig Cost'!AB54</f>
        <v>1844.4202548464386</v>
      </c>
      <c r="AC49" s="807">
        <f>+'Grasmere Pig Cost'!AC54+'Learig Pig Cost'!AC54+'Lionhead Pig Cost'!AC54+'Lionhead Ext. Pig Cost'!AC54+'Villa Pig Cost'!AC54+'Richlands Pig Cost'!AC54</f>
        <v>0</v>
      </c>
      <c r="AD49" s="807">
        <f>+'Grasmere Pig Cost'!AD54+'Learig Pig Cost'!AD54+'Lionhead Pig Cost'!AD54+'Lionhead Ext. Pig Cost'!AD54+'Villa Pig Cost'!AD54+'Richlands Pig Cost'!AD54</f>
        <v>0</v>
      </c>
      <c r="AE49" s="807">
        <f>+'Grasmere Pig Cost'!AE54+'Learig Pig Cost'!AE54+'Lionhead Pig Cost'!AE54+'Lionhead Ext. Pig Cost'!AE54+'Villa Pig Cost'!AE54+'Richlands Pig Cost'!AE54</f>
        <v>0</v>
      </c>
      <c r="AF49" s="807">
        <f>+'Grasmere Pig Cost'!AF54+'Learig Pig Cost'!AF54+'Lionhead Pig Cost'!AF54+'Lionhead Ext. Pig Cost'!AF54+'Villa Pig Cost'!AF54+'Richlands Pig Cost'!AF54</f>
        <v>0</v>
      </c>
      <c r="AG49" s="807">
        <f>+'Grasmere Pig Cost'!AG54+'Learig Pig Cost'!AG54+'Lionhead Pig Cost'!AG54+'Lionhead Ext. Pig Cost'!AG54+'Villa Pig Cost'!AG54+'Richlands Pig Cost'!AG54</f>
        <v>0</v>
      </c>
      <c r="AH49" s="807">
        <f>+'Grasmere Pig Cost'!AH54+'Learig Pig Cost'!AH54+'Lionhead Pig Cost'!AH54+'Lionhead Ext. Pig Cost'!AH54+'Villa Pig Cost'!AH54+'Richlands Pig Cost'!AH54</f>
        <v>0</v>
      </c>
      <c r="AI49" s="807">
        <f>+'Grasmere Pig Cost'!AI54+'Learig Pig Cost'!AI54+'Lionhead Pig Cost'!AI54+'Lionhead Ext. Pig Cost'!AI54+'Villa Pig Cost'!AI54+'Richlands Pig Cost'!AI54</f>
        <v>0</v>
      </c>
      <c r="AJ49" s="807">
        <f>+'Grasmere Pig Cost'!AJ54+'Learig Pig Cost'!AJ54+'Lionhead Pig Cost'!AJ54+'Lionhead Ext. Pig Cost'!AJ54+'Villa Pig Cost'!AJ54+'Richlands Pig Cost'!AJ54</f>
        <v>0</v>
      </c>
      <c r="AK49" s="807">
        <f>+'Grasmere Pig Cost'!AK54+'Learig Pig Cost'!AK54+'Lionhead Pig Cost'!AK54+'Lionhead Ext. Pig Cost'!AK54+'Villa Pig Cost'!AK54+'Richlands Pig Cost'!AK54</f>
        <v>0</v>
      </c>
      <c r="AL49" s="807">
        <f>+'Grasmere Pig Cost'!AL54+'Learig Pig Cost'!AL54+'Lionhead Pig Cost'!AL54+'Lionhead Ext. Pig Cost'!AL54+'Villa Pig Cost'!AL54+'Richlands Pig Cost'!AL54</f>
        <v>0</v>
      </c>
      <c r="AM49" s="807">
        <f>+'Grasmere Pig Cost'!AM54+'Learig Pig Cost'!AM54+'Lionhead Pig Cost'!AM54+'Lionhead Ext. Pig Cost'!AM54+'Villa Pig Cost'!AM54+'Richlands Pig Cost'!AM54</f>
        <v>0</v>
      </c>
      <c r="AN49" s="807">
        <f>+'Grasmere Pig Cost'!AN54+'Learig Pig Cost'!AN54+'Lionhead Pig Cost'!AN54+'Lionhead Ext. Pig Cost'!AN54+'Villa Pig Cost'!AN54+'Richlands Pig Cost'!AN54</f>
        <v>0</v>
      </c>
      <c r="AO49" s="807">
        <f>+'Grasmere Pig Cost'!AO54+'Learig Pig Cost'!AO54+'Lionhead Pig Cost'!AO54+'Lionhead Ext. Pig Cost'!AO54+'Villa Pig Cost'!AO54+'Richlands Pig Cost'!AO54</f>
        <v>0</v>
      </c>
      <c r="AP49" s="807">
        <f>+'Grasmere Pig Cost'!AP54+'Learig Pig Cost'!AP54+'Lionhead Pig Cost'!AP54+'Lionhead Ext. Pig Cost'!AP54+'Villa Pig Cost'!AP54+'Richlands Pig Cost'!AP54</f>
        <v>0</v>
      </c>
      <c r="AQ49" s="807">
        <f>+'Grasmere Pig Cost'!AQ54+'Learig Pig Cost'!AQ54+'Lionhead Pig Cost'!AQ54+'Lionhead Ext. Pig Cost'!AQ54+'Villa Pig Cost'!AQ54+'Richlands Pig Cost'!AQ54</f>
        <v>0</v>
      </c>
      <c r="AR49" s="807">
        <f>+'Grasmere Pig Cost'!AR54+'Learig Pig Cost'!AR54+'Lionhead Pig Cost'!AR54+'Lionhead Ext. Pig Cost'!AR54+'Villa Pig Cost'!AR54+'Richlands Pig Cost'!AR54</f>
        <v>0</v>
      </c>
      <c r="AS49" s="807">
        <f>+'Grasmere Pig Cost'!AS54+'Learig Pig Cost'!AS54+'Lionhead Pig Cost'!AS54+'Lionhead Ext. Pig Cost'!AS54+'Villa Pig Cost'!AS54+'Richlands Pig Cost'!AS54</f>
        <v>0</v>
      </c>
      <c r="AT49" s="807">
        <f>+'Grasmere Pig Cost'!AT54+'Learig Pig Cost'!AT54+'Lionhead Pig Cost'!AT54+'Lionhead Ext. Pig Cost'!AT54+'Villa Pig Cost'!AT54+'Richlands Pig Cost'!AT54</f>
        <v>0</v>
      </c>
      <c r="AU49" s="1632">
        <f t="shared" ref="AU49:AU50" si="25">SUM(B49:AT49)</f>
        <v>9447.6769217950623</v>
      </c>
      <c r="AV49" s="1632">
        <f>+'Grasmere Pig Cost'!AU54+'Learig Pig Cost'!AU54+'Lionhead Pig Cost'!AU54+'Lionhead Ext. Pig Cost'!AU54+'Villa Pig Cost'!AU54+'Richlands Pig Cost'!AU54</f>
        <v>9447.6769217950623</v>
      </c>
      <c r="AW49" s="818">
        <f t="shared" si="23"/>
        <v>0</v>
      </c>
      <c r="AX49" s="1059"/>
      <c r="AY49" s="1059"/>
      <c r="AZ49" s="1091"/>
    </row>
    <row r="50" spans="1:54" ht="15.6">
      <c r="A50" s="142" t="s">
        <v>1799</v>
      </c>
      <c r="B50" s="807">
        <f>+'Grasmere Pig Cost'!B55+'Learig Pig Cost'!B55+'Lionhead Pig Cost'!B55+'Lionhead Ext. Pig Cost'!B55+'Villa Pig Cost'!B55+'Richlands Pig Cost'!B55</f>
        <v>0</v>
      </c>
      <c r="C50" s="807">
        <f>+'Grasmere Pig Cost'!C55+'Learig Pig Cost'!C55+'Lionhead Pig Cost'!C55+'Lionhead Ext. Pig Cost'!C55+'Villa Pig Cost'!C55+'Richlands Pig Cost'!C55</f>
        <v>0</v>
      </c>
      <c r="D50" s="807">
        <f>+'Grasmere Pig Cost'!D55+'Learig Pig Cost'!D55+'Lionhead Pig Cost'!D55+'Lionhead Ext. Pig Cost'!D55+'Villa Pig Cost'!D55+'Richlands Pig Cost'!D55</f>
        <v>0</v>
      </c>
      <c r="E50" s="807">
        <f>+'Grasmere Pig Cost'!E55+'Learig Pig Cost'!E55+'Lionhead Pig Cost'!E55+'Lionhead Ext. Pig Cost'!E55+'Villa Pig Cost'!E55+'Richlands Pig Cost'!E55</f>
        <v>0</v>
      </c>
      <c r="F50" s="807">
        <f>+'Grasmere Pig Cost'!F55+'Learig Pig Cost'!F55+'Lionhead Pig Cost'!F55+'Lionhead Ext. Pig Cost'!F55+'Villa Pig Cost'!F55+'Richlands Pig Cost'!F55</f>
        <v>0</v>
      </c>
      <c r="G50" s="807">
        <f>+'Grasmere Pig Cost'!G55+'Learig Pig Cost'!G55+'Lionhead Pig Cost'!G55+'Lionhead Ext. Pig Cost'!G55+'Villa Pig Cost'!G55+'Richlands Pig Cost'!G55</f>
        <v>0</v>
      </c>
      <c r="H50" s="807">
        <f>+'Grasmere Pig Cost'!H55+'Learig Pig Cost'!H55+'Lionhead Pig Cost'!H55+'Lionhead Ext. Pig Cost'!H55+'Villa Pig Cost'!H55+'Richlands Pig Cost'!H55</f>
        <v>0</v>
      </c>
      <c r="I50" s="807">
        <f>+'Grasmere Pig Cost'!I55+'Learig Pig Cost'!I55+'Lionhead Pig Cost'!I55+'Lionhead Ext. Pig Cost'!I55+'Villa Pig Cost'!I55+'Richlands Pig Cost'!I55</f>
        <v>0</v>
      </c>
      <c r="J50" s="807">
        <f>+'Grasmere Pig Cost'!J55+'Learig Pig Cost'!J55+'Lionhead Pig Cost'!J55+'Lionhead Ext. Pig Cost'!J55+'Villa Pig Cost'!J55+'Richlands Pig Cost'!J55</f>
        <v>0</v>
      </c>
      <c r="K50" s="807">
        <f>+'Grasmere Pig Cost'!K55+'Learig Pig Cost'!K55+'Lionhead Pig Cost'!K55+'Lionhead Ext. Pig Cost'!K55+'Villa Pig Cost'!K55+'Richlands Pig Cost'!K55</f>
        <v>0</v>
      </c>
      <c r="L50" s="807">
        <f>+'Grasmere Pig Cost'!L55+'Learig Pig Cost'!L55+'Lionhead Pig Cost'!L55+'Lionhead Ext. Pig Cost'!L55+'Villa Pig Cost'!L55+'Richlands Pig Cost'!L55</f>
        <v>0</v>
      </c>
      <c r="M50" s="807">
        <f>+'Grasmere Pig Cost'!M55+'Learig Pig Cost'!M55+'Lionhead Pig Cost'!M55+'Lionhead Ext. Pig Cost'!M55+'Villa Pig Cost'!M55+'Richlands Pig Cost'!M55</f>
        <v>0</v>
      </c>
      <c r="N50" s="807">
        <f>+'Grasmere Pig Cost'!N55+'Learig Pig Cost'!N55+'Lionhead Pig Cost'!N55+'Lionhead Ext. Pig Cost'!N55+'Villa Pig Cost'!N55+'Richlands Pig Cost'!N55</f>
        <v>0</v>
      </c>
      <c r="O50" s="807">
        <f>+'Grasmere Pig Cost'!O55+'Learig Pig Cost'!O55+'Lionhead Pig Cost'!O55+'Lionhead Ext. Pig Cost'!O55+'Villa Pig Cost'!O55+'Richlands Pig Cost'!O55</f>
        <v>0</v>
      </c>
      <c r="P50" s="807">
        <f>+'Grasmere Pig Cost'!P55+'Learig Pig Cost'!P55+'Lionhead Pig Cost'!P55+'Lionhead Ext. Pig Cost'!P55+'Villa Pig Cost'!P55+'Richlands Pig Cost'!P55</f>
        <v>0</v>
      </c>
      <c r="Q50" s="807">
        <f>+'Grasmere Pig Cost'!Q55+'Learig Pig Cost'!Q55+'Lionhead Pig Cost'!Q55+'Lionhead Ext. Pig Cost'!Q55+'Villa Pig Cost'!Q55+'Richlands Pig Cost'!Q55</f>
        <v>0</v>
      </c>
      <c r="R50" s="807">
        <f>+'Grasmere Pig Cost'!R55+'Learig Pig Cost'!R55+'Lionhead Pig Cost'!R55+'Lionhead Ext. Pig Cost'!R55+'Villa Pig Cost'!R55+'Richlands Pig Cost'!R55</f>
        <v>0</v>
      </c>
      <c r="S50" s="807">
        <f>+'Grasmere Pig Cost'!S55+'Learig Pig Cost'!S55+'Lionhead Pig Cost'!S55+'Lionhead Ext. Pig Cost'!S55+'Villa Pig Cost'!S55+'Richlands Pig Cost'!S55</f>
        <v>0</v>
      </c>
      <c r="T50" s="807">
        <f>+'Grasmere Pig Cost'!T55+'Learig Pig Cost'!T55+'Lionhead Pig Cost'!T55+'Lionhead Ext. Pig Cost'!T55+'Villa Pig Cost'!T55+'Richlands Pig Cost'!T55</f>
        <v>0</v>
      </c>
      <c r="U50" s="807">
        <f>+'Grasmere Pig Cost'!U55+'Learig Pig Cost'!U55+'Lionhead Pig Cost'!U55+'Lionhead Ext. Pig Cost'!U55+'Villa Pig Cost'!U55+'Richlands Pig Cost'!U55</f>
        <v>0</v>
      </c>
      <c r="V50" s="807">
        <f>+'Grasmere Pig Cost'!V55+'Learig Pig Cost'!V55+'Lionhead Pig Cost'!V55+'Lionhead Ext. Pig Cost'!V55+'Villa Pig Cost'!V55+'Richlands Pig Cost'!V55</f>
        <v>0</v>
      </c>
      <c r="W50" s="807">
        <f>+'Grasmere Pig Cost'!W55+'Learig Pig Cost'!W55+'Lionhead Pig Cost'!W55+'Lionhead Ext. Pig Cost'!W55+'Villa Pig Cost'!W55+'Richlands Pig Cost'!W55</f>
        <v>0</v>
      </c>
      <c r="X50" s="807">
        <f>+'Grasmere Pig Cost'!X55+'Learig Pig Cost'!X55+'Lionhead Pig Cost'!X55+'Lionhead Ext. Pig Cost'!X55+'Villa Pig Cost'!X55+'Richlands Pig Cost'!X55</f>
        <v>0</v>
      </c>
      <c r="Y50" s="807">
        <f>+'Grasmere Pig Cost'!Y55+'Learig Pig Cost'!Y55+'Lionhead Pig Cost'!Y55+'Lionhead Ext. Pig Cost'!Y55+'Villa Pig Cost'!Y55+'Richlands Pig Cost'!Y55</f>
        <v>0</v>
      </c>
      <c r="Z50" s="807">
        <f>+'Grasmere Pig Cost'!Z55+'Learig Pig Cost'!Z55+'Lionhead Pig Cost'!Z55+'Lionhead Ext. Pig Cost'!Z55+'Villa Pig Cost'!Z55+'Richlands Pig Cost'!Z55</f>
        <v>0</v>
      </c>
      <c r="AA50" s="807">
        <f>+'Grasmere Pig Cost'!AA55+'Learig Pig Cost'!AA55+'Lionhead Pig Cost'!AA55+'Lionhead Ext. Pig Cost'!AA55+'Villa Pig Cost'!AA55+'Richlands Pig Cost'!AA55</f>
        <v>-97.493534826358996</v>
      </c>
      <c r="AB50" s="807">
        <f>+'Grasmere Pig Cost'!AB55+'Learig Pig Cost'!AB55+'Lionhead Pig Cost'!AB55+'Lionhead Ext. Pig Cost'!AB55+'Villa Pig Cost'!AB55+'Richlands Pig Cost'!AB55</f>
        <v>-78.970819654891514</v>
      </c>
      <c r="AC50" s="807">
        <f>+'Grasmere Pig Cost'!AC55+'Learig Pig Cost'!AC55+'Lionhead Pig Cost'!AC55+'Lionhead Ext. Pig Cost'!AC55+'Villa Pig Cost'!AC55+'Richlands Pig Cost'!AC55</f>
        <v>211.55643136292389</v>
      </c>
      <c r="AD50" s="807">
        <f>+'Grasmere Pig Cost'!AD55+'Learig Pig Cost'!AD55+'Lionhead Pig Cost'!AD55+'Lionhead Ext. Pig Cost'!AD55+'Villa Pig Cost'!AD55+'Richlands Pig Cost'!AD55</f>
        <v>-88.597008576349452</v>
      </c>
      <c r="AE50" s="807">
        <f>+'Grasmere Pig Cost'!AE55+'Learig Pig Cost'!AE55+'Lionhead Pig Cost'!AE55+'Lionhead Ext. Pig Cost'!AE55+'Villa Pig Cost'!AE55+'Richlands Pig Cost'!AE55</f>
        <v>-409.81848414548807</v>
      </c>
      <c r="AF50" s="807">
        <f>+'Grasmere Pig Cost'!AF55+'Learig Pig Cost'!AF55+'Lionhead Pig Cost'!AF55+'Lionhead Ext. Pig Cost'!AF55+'Villa Pig Cost'!AF55+'Richlands Pig Cost'!AF55</f>
        <v>-484.24220756580576</v>
      </c>
      <c r="AG50" s="807">
        <f>+'Grasmere Pig Cost'!AG55+'Learig Pig Cost'!AG55+'Lionhead Pig Cost'!AG55+'Lionhead Ext. Pig Cost'!AG55+'Villa Pig Cost'!AG55+'Richlands Pig Cost'!AG55</f>
        <v>-945.11306098797854</v>
      </c>
      <c r="AH50" s="807">
        <f>+'Grasmere Pig Cost'!AH55+'Learig Pig Cost'!AH55+'Lionhead Pig Cost'!AH55+'Lionhead Ext. Pig Cost'!AH55+'Villa Pig Cost'!AH55+'Richlands Pig Cost'!AH55</f>
        <v>-161.8569525324038</v>
      </c>
      <c r="AI50" s="807">
        <f>+'Grasmere Pig Cost'!AI55+'Learig Pig Cost'!AI55+'Lionhead Pig Cost'!AI55+'Lionhead Ext. Pig Cost'!AI55+'Villa Pig Cost'!AI55+'Richlands Pig Cost'!AI55</f>
        <v>-313.26203611767073</v>
      </c>
      <c r="AJ50" s="807">
        <f>+'Grasmere Pig Cost'!AJ55+'Learig Pig Cost'!AJ55+'Lionhead Pig Cost'!AJ55+'Lionhead Ext. Pig Cost'!AJ55+'Villa Pig Cost'!AJ55+'Richlands Pig Cost'!AJ55</f>
        <v>-512.76313975671383</v>
      </c>
      <c r="AK50" s="807">
        <f>+'Grasmere Pig Cost'!AK55+'Learig Pig Cost'!AK55+'Lionhead Pig Cost'!AK55+'Lionhead Ext. Pig Cost'!AK55+'Villa Pig Cost'!AK55+'Richlands Pig Cost'!AK55</f>
        <v>-397.17577822639657</v>
      </c>
      <c r="AL50" s="807">
        <f>+'Grasmere Pig Cost'!AL55+'Learig Pig Cost'!AL55+'Lionhead Pig Cost'!AL55+'Lionhead Ext. Pig Cost'!AL55+'Villa Pig Cost'!AL55+'Richlands Pig Cost'!AL55</f>
        <v>-1218.8117507338275</v>
      </c>
      <c r="AM50" s="807">
        <f>+'Grasmere Pig Cost'!AM55+'Learig Pig Cost'!AM55+'Lionhead Pig Cost'!AM55+'Lionhead Ext. Pig Cost'!AM55+'Villa Pig Cost'!AM55+'Richlands Pig Cost'!AM55</f>
        <v>-887.10308926576613</v>
      </c>
      <c r="AN50" s="807">
        <f>+'Grasmere Pig Cost'!AN55+'Learig Pig Cost'!AN55+'Lionhead Pig Cost'!AN55+'Lionhead Ext. Pig Cost'!AN55+'Villa Pig Cost'!AN55+'Richlands Pig Cost'!AN55</f>
        <v>0</v>
      </c>
      <c r="AO50" s="807">
        <f>+'Grasmere Pig Cost'!AO55+'Learig Pig Cost'!AO55+'Lionhead Pig Cost'!AO55+'Lionhead Ext. Pig Cost'!AO55+'Villa Pig Cost'!AO55+'Richlands Pig Cost'!AO55</f>
        <v>10370.865329387794</v>
      </c>
      <c r="AP50" s="807">
        <f>+'Grasmere Pig Cost'!AP55+'Learig Pig Cost'!AP55+'Lionhead Pig Cost'!AP55+'Lionhead Ext. Pig Cost'!AP55+'Villa Pig Cost'!AP55+'Richlands Pig Cost'!AP55</f>
        <v>-567.9641874481988</v>
      </c>
      <c r="AQ50" s="807">
        <f>+'Grasmere Pig Cost'!AQ55+'Learig Pig Cost'!AQ55+'Lionhead Pig Cost'!AQ55+'Lionhead Ext. Pig Cost'!AQ55+'Villa Pig Cost'!AQ55+'Richlands Pig Cost'!AQ55</f>
        <v>-1610.2541649673731</v>
      </c>
      <c r="AR50" s="807">
        <f>+'Grasmere Pig Cost'!AR55+'Learig Pig Cost'!AR55+'Lionhead Pig Cost'!AR55+'Lionhead Ext. Pig Cost'!AR55+'Villa Pig Cost'!AR55+'Richlands Pig Cost'!AR55</f>
        <v>-330.52950331148043</v>
      </c>
      <c r="AS50" s="807">
        <f>+'Grasmere Pig Cost'!AS55+'Learig Pig Cost'!AS55+'Lionhead Pig Cost'!AS55+'Lionhead Ext. Pig Cost'!AS55+'Villa Pig Cost'!AS55+'Richlands Pig Cost'!AS55</f>
        <v>-640.31131110284548</v>
      </c>
      <c r="AT50" s="807">
        <f>+'Grasmere Pig Cost'!AT55+'Learig Pig Cost'!AT55+'Lionhead Pig Cost'!AT55+'Lionhead Ext. Pig Cost'!AT55+'Villa Pig Cost'!AT55+'Richlands Pig Cost'!AT55</f>
        <v>0</v>
      </c>
      <c r="AU50" s="1632">
        <f t="shared" si="25"/>
        <v>1838.1547315311691</v>
      </c>
      <c r="AV50" s="1632">
        <f>+'Grasmere Pig Cost'!AU55+'Learig Pig Cost'!AU55+'Lionhead Pig Cost'!AU55+'Lionhead Ext. Pig Cost'!AU55+'Villa Pig Cost'!AU55+'Richlands Pig Cost'!AU55</f>
        <v>1838.1547315311709</v>
      </c>
      <c r="AW50" s="818"/>
      <c r="AX50" s="1059"/>
      <c r="AY50" s="1059"/>
      <c r="AZ50" s="1091"/>
    </row>
    <row r="51" spans="1:54" ht="15.6">
      <c r="A51" s="142" t="str">
        <f t="shared" ref="A51:A56" si="26">+A21</f>
        <v>Transfers Gilts</v>
      </c>
      <c r="B51" s="1059">
        <f>+'Grasmere Pig Cost'!B56+'Learig Pig Cost'!B56+'Lionhead Pig Cost'!B56+'Lionhead Ext. Pig Cost'!B56+'Villa Pig Cost'!B56+'Richlands Pig Cost'!B56</f>
        <v>0</v>
      </c>
      <c r="C51" s="1059">
        <f>+'Grasmere Pig Cost'!C56+'Learig Pig Cost'!C56+'Lionhead Pig Cost'!C56+'Lionhead Ext. Pig Cost'!C56+'Villa Pig Cost'!C56+'Richlands Pig Cost'!C56</f>
        <v>0</v>
      </c>
      <c r="D51" s="1059">
        <f>+'Grasmere Pig Cost'!D56+'Learig Pig Cost'!D56+'Lionhead Pig Cost'!D56+'Lionhead Ext. Pig Cost'!D56+'Villa Pig Cost'!D56+'Richlands Pig Cost'!D56</f>
        <v>0</v>
      </c>
      <c r="E51" s="1059">
        <f>+'Grasmere Pig Cost'!E56+'Learig Pig Cost'!E56+'Lionhead Pig Cost'!E56+'Lionhead Ext. Pig Cost'!E56+'Villa Pig Cost'!E56+'Richlands Pig Cost'!E56</f>
        <v>0</v>
      </c>
      <c r="F51" s="1059">
        <f>+'Grasmere Pig Cost'!F56+'Learig Pig Cost'!F56+'Lionhead Pig Cost'!F56+'Lionhead Ext. Pig Cost'!F56+'Villa Pig Cost'!F56+'Richlands Pig Cost'!F56</f>
        <v>0</v>
      </c>
      <c r="G51" s="1059">
        <f>+'Grasmere Pig Cost'!G56+'Learig Pig Cost'!G56+'Lionhead Pig Cost'!G56+'Lionhead Ext. Pig Cost'!G56+'Villa Pig Cost'!G56+'Richlands Pig Cost'!G56</f>
        <v>0</v>
      </c>
      <c r="H51" s="1059">
        <f>+'Grasmere Pig Cost'!H56+'Learig Pig Cost'!H56+'Lionhead Pig Cost'!H56+'Lionhead Ext. Pig Cost'!H56+'Villa Pig Cost'!H56+'Richlands Pig Cost'!H56</f>
        <v>0</v>
      </c>
      <c r="I51" s="1059">
        <f>+'Grasmere Pig Cost'!I56+'Learig Pig Cost'!I56+'Lionhead Pig Cost'!I56+'Lionhead Ext. Pig Cost'!I56+'Villa Pig Cost'!I56+'Richlands Pig Cost'!I56</f>
        <v>0</v>
      </c>
      <c r="J51" s="1059">
        <f>+'Grasmere Pig Cost'!J56+'Learig Pig Cost'!J56+'Lionhead Pig Cost'!J56+'Lionhead Ext. Pig Cost'!J56+'Villa Pig Cost'!J56+'Richlands Pig Cost'!J56</f>
        <v>0</v>
      </c>
      <c r="K51" s="1059">
        <f>+'Grasmere Pig Cost'!K56+'Learig Pig Cost'!K56+'Lionhead Pig Cost'!K56+'Lionhead Ext. Pig Cost'!K56+'Villa Pig Cost'!K56+'Richlands Pig Cost'!K56</f>
        <v>0</v>
      </c>
      <c r="L51" s="1059">
        <f>+'Grasmere Pig Cost'!L56+'Learig Pig Cost'!L56+'Lionhead Pig Cost'!L56+'Lionhead Ext. Pig Cost'!L56+'Villa Pig Cost'!L56+'Richlands Pig Cost'!L56</f>
        <v>0</v>
      </c>
      <c r="M51" s="1059">
        <f>+'Grasmere Pig Cost'!M56+'Learig Pig Cost'!M56+'Lionhead Pig Cost'!M56+'Lionhead Ext. Pig Cost'!M56+'Villa Pig Cost'!M56+'Richlands Pig Cost'!M56</f>
        <v>0</v>
      </c>
      <c r="N51" s="1059">
        <f>+'Grasmere Pig Cost'!N56+'Learig Pig Cost'!N56+'Lionhead Pig Cost'!N56+'Lionhead Ext. Pig Cost'!N56+'Villa Pig Cost'!N56+'Richlands Pig Cost'!N56</f>
        <v>0</v>
      </c>
      <c r="O51" s="1059">
        <f>+'Grasmere Pig Cost'!O56+'Learig Pig Cost'!O56+'Lionhead Pig Cost'!O56+'Lionhead Ext. Pig Cost'!O56+'Villa Pig Cost'!O56+'Richlands Pig Cost'!O56</f>
        <v>0</v>
      </c>
      <c r="P51" s="1059">
        <f>+'Grasmere Pig Cost'!P56+'Learig Pig Cost'!P56+'Lionhead Pig Cost'!P56+'Lionhead Ext. Pig Cost'!P56+'Villa Pig Cost'!P56+'Richlands Pig Cost'!P56</f>
        <v>0</v>
      </c>
      <c r="Q51" s="1059">
        <f>+'Grasmere Pig Cost'!Q56+'Learig Pig Cost'!Q56+'Lionhead Pig Cost'!Q56+'Lionhead Ext. Pig Cost'!Q56+'Villa Pig Cost'!Q56+'Richlands Pig Cost'!Q56</f>
        <v>0</v>
      </c>
      <c r="R51" s="1059">
        <f>+'Grasmere Pig Cost'!R56+'Learig Pig Cost'!R56+'Lionhead Pig Cost'!R56+'Lionhead Ext. Pig Cost'!R56+'Villa Pig Cost'!R56+'Richlands Pig Cost'!R56</f>
        <v>0</v>
      </c>
      <c r="S51" s="1059">
        <f>+'Grasmere Pig Cost'!S56+'Learig Pig Cost'!S56+'Lionhead Pig Cost'!S56+'Lionhead Ext. Pig Cost'!S56+'Villa Pig Cost'!S56+'Richlands Pig Cost'!S56</f>
        <v>0</v>
      </c>
      <c r="T51" s="1059">
        <f>+'Grasmere Pig Cost'!T56+'Learig Pig Cost'!T56+'Lionhead Pig Cost'!T56+'Lionhead Ext. Pig Cost'!T56+'Villa Pig Cost'!T56+'Richlands Pig Cost'!T56</f>
        <v>0</v>
      </c>
      <c r="U51" s="1059">
        <f>+'Grasmere Pig Cost'!U56+'Learig Pig Cost'!U56+'Lionhead Pig Cost'!U56+'Lionhead Ext. Pig Cost'!U56+'Villa Pig Cost'!U56+'Richlands Pig Cost'!U56</f>
        <v>0</v>
      </c>
      <c r="V51" s="1059">
        <f>+'Grasmere Pig Cost'!V56+'Learig Pig Cost'!V56+'Lionhead Pig Cost'!V56+'Lionhead Ext. Pig Cost'!V56+'Villa Pig Cost'!V56+'Richlands Pig Cost'!V56</f>
        <v>0</v>
      </c>
      <c r="W51" s="1059">
        <f>+'Grasmere Pig Cost'!W56+'Learig Pig Cost'!W56+'Lionhead Pig Cost'!W56+'Lionhead Ext. Pig Cost'!W56+'Villa Pig Cost'!W56+'Richlands Pig Cost'!W56</f>
        <v>0</v>
      </c>
      <c r="X51" s="1059">
        <f>+'Grasmere Pig Cost'!X56+'Learig Pig Cost'!X56+'Lionhead Pig Cost'!X56+'Lionhead Ext. Pig Cost'!X56+'Villa Pig Cost'!X56+'Richlands Pig Cost'!X56</f>
        <v>0</v>
      </c>
      <c r="Y51" s="1059">
        <f>+'Grasmere Pig Cost'!Y56+'Learig Pig Cost'!Y56+'Lionhead Pig Cost'!Y56+'Lionhead Ext. Pig Cost'!Y56+'Villa Pig Cost'!Y56+'Richlands Pig Cost'!Y56</f>
        <v>0</v>
      </c>
      <c r="Z51" s="1059">
        <f>+'Grasmere Pig Cost'!Z56+'Learig Pig Cost'!Z56+'Lionhead Pig Cost'!Z56+'Lionhead Ext. Pig Cost'!Z56+'Villa Pig Cost'!Z56+'Richlands Pig Cost'!Z56</f>
        <v>0</v>
      </c>
      <c r="AA51" s="1059">
        <f>+'Grasmere Pig Cost'!AA56+'Learig Pig Cost'!AA56+'Lionhead Pig Cost'!AA56+'Lionhead Ext. Pig Cost'!AA56+'Villa Pig Cost'!AA56+'Richlands Pig Cost'!AA56</f>
        <v>0</v>
      </c>
      <c r="AB51" s="1059">
        <f>+'Grasmere Pig Cost'!AB56+'Learig Pig Cost'!AB56+'Lionhead Pig Cost'!AB56+'Lionhead Ext. Pig Cost'!AB56+'Villa Pig Cost'!AB56+'Richlands Pig Cost'!AB56</f>
        <v>0</v>
      </c>
      <c r="AC51" s="1059">
        <f>+'Grasmere Pig Cost'!AC56+'Learig Pig Cost'!AC56+'Lionhead Pig Cost'!AC56+'Lionhead Ext. Pig Cost'!AC56+'Villa Pig Cost'!AC56+'Richlands Pig Cost'!AC56</f>
        <v>-989.43413872569784</v>
      </c>
      <c r="AD51" s="1059">
        <f>+'Grasmere Pig Cost'!AD56+'Learig Pig Cost'!AD56+'Lionhead Pig Cost'!AD56+'Lionhead Ext. Pig Cost'!AD56+'Villa Pig Cost'!AD56+'Richlands Pig Cost'!AD56</f>
        <v>-1147.2501527171976</v>
      </c>
      <c r="AE51" s="1059">
        <f>+'Grasmere Pig Cost'!AE56+'Learig Pig Cost'!AE56+'Lionhead Pig Cost'!AE56+'Lionhead Ext. Pig Cost'!AE56+'Villa Pig Cost'!AE56+'Richlands Pig Cost'!AE56</f>
        <v>-1463.885787210548</v>
      </c>
      <c r="AF51" s="1059">
        <f>+'Grasmere Pig Cost'!AF56+'Learig Pig Cost'!AF56+'Lionhead Pig Cost'!AF56+'Lionhead Ext. Pig Cost'!AF56+'Villa Pig Cost'!AF56+'Richlands Pig Cost'!AF56</f>
        <v>-1813.6081639920758</v>
      </c>
      <c r="AG51" s="1059">
        <f>+'Grasmere Pig Cost'!AG56+'Learig Pig Cost'!AG56+'Lionhead Pig Cost'!AG56+'Lionhead Ext. Pig Cost'!AG56+'Villa Pig Cost'!AG56+'Richlands Pig Cost'!AG56</f>
        <v>0</v>
      </c>
      <c r="AH51" s="1059">
        <f>+'Grasmere Pig Cost'!AH56+'Learig Pig Cost'!AH56+'Lionhead Pig Cost'!AH56+'Lionhead Ext. Pig Cost'!AH56+'Villa Pig Cost'!AH56+'Richlands Pig Cost'!AH56</f>
        <v>0</v>
      </c>
      <c r="AI51" s="1059">
        <f>+'Grasmere Pig Cost'!AI56+'Learig Pig Cost'!AI56+'Lionhead Pig Cost'!AI56+'Lionhead Ext. Pig Cost'!AI56+'Villa Pig Cost'!AI56+'Richlands Pig Cost'!AI56</f>
        <v>0</v>
      </c>
      <c r="AJ51" s="1059">
        <f>+'Grasmere Pig Cost'!AJ56+'Learig Pig Cost'!AJ56+'Lionhead Pig Cost'!AJ56+'Lionhead Ext. Pig Cost'!AJ56+'Villa Pig Cost'!AJ56+'Richlands Pig Cost'!AJ56</f>
        <v>0</v>
      </c>
      <c r="AK51" s="1059">
        <f>+'Grasmere Pig Cost'!AK56+'Learig Pig Cost'!AK56+'Lionhead Pig Cost'!AK56+'Lionhead Ext. Pig Cost'!AK56+'Villa Pig Cost'!AK56+'Richlands Pig Cost'!AK56</f>
        <v>0</v>
      </c>
      <c r="AL51" s="1059">
        <f>+'Grasmere Pig Cost'!AL56+'Learig Pig Cost'!AL56+'Lionhead Pig Cost'!AL56+'Lionhead Ext. Pig Cost'!AL56+'Villa Pig Cost'!AL56+'Richlands Pig Cost'!AL56</f>
        <v>0</v>
      </c>
      <c r="AM51" s="1059">
        <f>+'Grasmere Pig Cost'!AM56+'Learig Pig Cost'!AM56+'Lionhead Pig Cost'!AM56+'Lionhead Ext. Pig Cost'!AM56+'Villa Pig Cost'!AM56+'Richlands Pig Cost'!AM56</f>
        <v>0</v>
      </c>
      <c r="AN51" s="1059">
        <f>+'Grasmere Pig Cost'!AN56+'Learig Pig Cost'!AN56+'Lionhead Pig Cost'!AN56+'Lionhead Ext. Pig Cost'!AN56+'Villa Pig Cost'!AN56+'Richlands Pig Cost'!AN56</f>
        <v>0</v>
      </c>
      <c r="AO51" s="1059">
        <f>+'Grasmere Pig Cost'!AO56+'Learig Pig Cost'!AO56+'Lionhead Pig Cost'!AO56+'Lionhead Ext. Pig Cost'!AO56+'Villa Pig Cost'!AO56+'Richlands Pig Cost'!AO56</f>
        <v>0</v>
      </c>
      <c r="AP51" s="1059">
        <f>+'Grasmere Pig Cost'!AP56+'Learig Pig Cost'!AP56+'Lionhead Pig Cost'!AP56+'Lionhead Ext. Pig Cost'!AP56+'Villa Pig Cost'!AP56+'Richlands Pig Cost'!AP56</f>
        <v>0</v>
      </c>
      <c r="AQ51" s="1059">
        <f>+'Grasmere Pig Cost'!AQ56+'Learig Pig Cost'!AQ56+'Lionhead Pig Cost'!AQ56+'Lionhead Ext. Pig Cost'!AQ56+'Villa Pig Cost'!AQ56+'Richlands Pig Cost'!AQ56</f>
        <v>0</v>
      </c>
      <c r="AR51" s="1059">
        <f>+'Grasmere Pig Cost'!AR56+'Learig Pig Cost'!AR56+'Lionhead Pig Cost'!AR56+'Lionhead Ext. Pig Cost'!AR56+'Villa Pig Cost'!AR56+'Richlands Pig Cost'!AR56</f>
        <v>0</v>
      </c>
      <c r="AS51" s="1059">
        <f>+'Grasmere Pig Cost'!AS56+'Learig Pig Cost'!AS56+'Lionhead Pig Cost'!AS56+'Lionhead Ext. Pig Cost'!AS56+'Villa Pig Cost'!AS56+'Richlands Pig Cost'!AS56</f>
        <v>0</v>
      </c>
      <c r="AT51" s="1059">
        <f>+'Grasmere Pig Cost'!AT56+'Learig Pig Cost'!AT56+'Lionhead Pig Cost'!AT56+'Lionhead Ext. Pig Cost'!AT56+'Villa Pig Cost'!AT56+'Richlands Pig Cost'!AT56</f>
        <v>0</v>
      </c>
      <c r="AU51" s="1633">
        <f>SUM(B51:AT51)</f>
        <v>-5414.1782426455193</v>
      </c>
      <c r="AV51" s="1633">
        <f>+'Grasmere Pig Cost'!AU56+'Learig Pig Cost'!AU56+'Lionhead Pig Cost'!AU56+'Lionhead Ext. Pig Cost'!AU56+'Villa Pig Cost'!AU56+'Richlands Pig Cost'!AU56</f>
        <v>-5414.1782426455193</v>
      </c>
      <c r="AW51" s="818">
        <f>+AU51-AV51</f>
        <v>0</v>
      </c>
      <c r="AX51" s="1059"/>
      <c r="AY51" s="1059"/>
    </row>
    <row r="52" spans="1:54" ht="15.6">
      <c r="A52" s="142" t="str">
        <f t="shared" si="26"/>
        <v>Mortality</v>
      </c>
      <c r="B52" s="807">
        <f>+'Grasmere Pig Cost'!B57+'Learig Pig Cost'!B57+'Lionhead Pig Cost'!B57+'Lionhead Ext. Pig Cost'!B57+'Villa Pig Cost'!B57+'Richlands Pig Cost'!B57</f>
        <v>0</v>
      </c>
      <c r="C52" s="807">
        <f>+'Grasmere Pig Cost'!C57+'Learig Pig Cost'!C57+'Lionhead Pig Cost'!C57+'Lionhead Ext. Pig Cost'!C57+'Villa Pig Cost'!C57+'Richlands Pig Cost'!C57</f>
        <v>0</v>
      </c>
      <c r="D52" s="807">
        <f>+'Grasmere Pig Cost'!D57+'Learig Pig Cost'!D57+'Lionhead Pig Cost'!D57+'Lionhead Ext. Pig Cost'!D57+'Villa Pig Cost'!D57+'Richlands Pig Cost'!D57</f>
        <v>0</v>
      </c>
      <c r="E52" s="807">
        <f>+'Grasmere Pig Cost'!E57+'Learig Pig Cost'!E57+'Lionhead Pig Cost'!E57+'Lionhead Ext. Pig Cost'!E57+'Villa Pig Cost'!E57+'Richlands Pig Cost'!E57</f>
        <v>0</v>
      </c>
      <c r="F52" s="807">
        <f>+'Grasmere Pig Cost'!F57+'Learig Pig Cost'!F57+'Lionhead Pig Cost'!F57+'Lionhead Ext. Pig Cost'!F57+'Villa Pig Cost'!F57+'Richlands Pig Cost'!F57</f>
        <v>0</v>
      </c>
      <c r="G52" s="807">
        <f>+'Grasmere Pig Cost'!G57+'Learig Pig Cost'!G57+'Lionhead Pig Cost'!G57+'Lionhead Ext. Pig Cost'!G57+'Villa Pig Cost'!G57+'Richlands Pig Cost'!G57</f>
        <v>0</v>
      </c>
      <c r="H52" s="807">
        <f>+'Grasmere Pig Cost'!H57+'Learig Pig Cost'!H57+'Lionhead Pig Cost'!H57+'Lionhead Ext. Pig Cost'!H57+'Villa Pig Cost'!H57+'Richlands Pig Cost'!H57</f>
        <v>0</v>
      </c>
      <c r="I52" s="807">
        <f>+'Grasmere Pig Cost'!I57+'Learig Pig Cost'!I57+'Lionhead Pig Cost'!I57+'Lionhead Ext. Pig Cost'!I57+'Villa Pig Cost'!I57+'Richlands Pig Cost'!I57</f>
        <v>0</v>
      </c>
      <c r="J52" s="807">
        <f>+'Grasmere Pig Cost'!J57+'Learig Pig Cost'!J57+'Lionhead Pig Cost'!J57+'Lionhead Ext. Pig Cost'!J57+'Villa Pig Cost'!J57+'Richlands Pig Cost'!J57</f>
        <v>0</v>
      </c>
      <c r="K52" s="807">
        <f>+'Grasmere Pig Cost'!K57+'Learig Pig Cost'!K57+'Lionhead Pig Cost'!K57+'Lionhead Ext. Pig Cost'!K57+'Villa Pig Cost'!K57+'Richlands Pig Cost'!K57</f>
        <v>0</v>
      </c>
      <c r="L52" s="807">
        <f>+'Grasmere Pig Cost'!L57+'Learig Pig Cost'!L57+'Lionhead Pig Cost'!L57+'Lionhead Ext. Pig Cost'!L57+'Villa Pig Cost'!L57+'Richlands Pig Cost'!L57</f>
        <v>0</v>
      </c>
      <c r="M52" s="807">
        <f>+'Grasmere Pig Cost'!M57+'Learig Pig Cost'!M57+'Lionhead Pig Cost'!M57+'Lionhead Ext. Pig Cost'!M57+'Villa Pig Cost'!M57+'Richlands Pig Cost'!M57</f>
        <v>0</v>
      </c>
      <c r="N52" s="807">
        <f>+'Grasmere Pig Cost'!N57+'Learig Pig Cost'!N57+'Lionhead Pig Cost'!N57+'Lionhead Ext. Pig Cost'!N57+'Villa Pig Cost'!N57+'Richlands Pig Cost'!N57</f>
        <v>0</v>
      </c>
      <c r="O52" s="807">
        <f>+'Grasmere Pig Cost'!O57+'Learig Pig Cost'!O57+'Lionhead Pig Cost'!O57+'Lionhead Ext. Pig Cost'!O57+'Villa Pig Cost'!O57+'Richlands Pig Cost'!O57</f>
        <v>0</v>
      </c>
      <c r="P52" s="807">
        <f>+'Grasmere Pig Cost'!P57+'Learig Pig Cost'!P57+'Lionhead Pig Cost'!P57+'Lionhead Ext. Pig Cost'!P57+'Villa Pig Cost'!P57+'Richlands Pig Cost'!P57</f>
        <v>0</v>
      </c>
      <c r="Q52" s="807">
        <f>+'Grasmere Pig Cost'!Q57+'Learig Pig Cost'!Q57+'Lionhead Pig Cost'!Q57+'Lionhead Ext. Pig Cost'!Q57+'Villa Pig Cost'!Q57+'Richlands Pig Cost'!Q57</f>
        <v>0</v>
      </c>
      <c r="R52" s="807">
        <f>+'Grasmere Pig Cost'!R57+'Learig Pig Cost'!R57+'Lionhead Pig Cost'!R57+'Lionhead Ext. Pig Cost'!R57+'Villa Pig Cost'!R57+'Richlands Pig Cost'!R57</f>
        <v>0</v>
      </c>
      <c r="S52" s="807">
        <f>+'Grasmere Pig Cost'!S57+'Learig Pig Cost'!S57+'Lionhead Pig Cost'!S57+'Lionhead Ext. Pig Cost'!S57+'Villa Pig Cost'!S57+'Richlands Pig Cost'!S57</f>
        <v>-2151.7682192707398</v>
      </c>
      <c r="T52" s="807">
        <f>+'Grasmere Pig Cost'!T57+'Learig Pig Cost'!T57+'Lionhead Pig Cost'!T57+'Lionhead Ext. Pig Cost'!T57+'Villa Pig Cost'!T57+'Richlands Pig Cost'!T57</f>
        <v>-8914.467338043909</v>
      </c>
      <c r="U52" s="807">
        <f>+'Grasmere Pig Cost'!U57+'Learig Pig Cost'!U57+'Lionhead Pig Cost'!U57+'Lionhead Ext. Pig Cost'!U57+'Villa Pig Cost'!U57+'Richlands Pig Cost'!U57</f>
        <v>-11823.737740989263</v>
      </c>
      <c r="V52" s="807">
        <f>+'Grasmere Pig Cost'!V57+'Learig Pig Cost'!V57+'Lionhead Pig Cost'!V57+'Lionhead Ext. Pig Cost'!V57+'Villa Pig Cost'!V57+'Richlands Pig Cost'!V57</f>
        <v>-14413.497359747122</v>
      </c>
      <c r="W52" s="807">
        <f>+'Grasmere Pig Cost'!W57+'Learig Pig Cost'!W57+'Lionhead Pig Cost'!W57+'Lionhead Ext. Pig Cost'!W57+'Villa Pig Cost'!W57+'Richlands Pig Cost'!W57</f>
        <v>-8723.8992140981682</v>
      </c>
      <c r="X52" s="807">
        <f>+'Grasmere Pig Cost'!X57+'Learig Pig Cost'!X57+'Lionhead Pig Cost'!X57+'Lionhead Ext. Pig Cost'!X57+'Villa Pig Cost'!X57+'Richlands Pig Cost'!X57</f>
        <v>-10651.521036176366</v>
      </c>
      <c r="Y52" s="807">
        <f>+'Grasmere Pig Cost'!Y57+'Learig Pig Cost'!Y57+'Lionhead Pig Cost'!Y57+'Lionhead Ext. Pig Cost'!Y57+'Villa Pig Cost'!Y57+'Richlands Pig Cost'!Y57</f>
        <v>-4598.5820444135188</v>
      </c>
      <c r="Z52" s="807">
        <f>+'Grasmere Pig Cost'!Z57+'Learig Pig Cost'!Z57+'Lionhead Pig Cost'!Z57+'Lionhead Ext. Pig Cost'!Z57+'Villa Pig Cost'!Z57+'Richlands Pig Cost'!Z57</f>
        <v>-6866.1354985974094</v>
      </c>
      <c r="AA52" s="807">
        <f>+'Grasmere Pig Cost'!AA57+'Learig Pig Cost'!AA57+'Lionhead Pig Cost'!AA57+'Lionhead Ext. Pig Cost'!AA57+'Villa Pig Cost'!AA57+'Richlands Pig Cost'!AA57</f>
        <v>-1514.0095750160754</v>
      </c>
      <c r="AB52" s="807">
        <f>+'Grasmere Pig Cost'!AB57+'Learig Pig Cost'!AB57+'Lionhead Pig Cost'!AB57+'Lionhead Ext. Pig Cost'!AB57+'Villa Pig Cost'!AB57+'Richlands Pig Cost'!AB57</f>
        <v>-2360.8210308606035</v>
      </c>
      <c r="AC52" s="807">
        <f>+'Grasmere Pig Cost'!AC57+'Learig Pig Cost'!AC57+'Lionhead Pig Cost'!AC57+'Lionhead Ext. Pig Cost'!AC57+'Villa Pig Cost'!AC57+'Richlands Pig Cost'!AC57</f>
        <v>-1414.2011208488334</v>
      </c>
      <c r="AD52" s="807">
        <f>+'Grasmere Pig Cost'!AD57+'Learig Pig Cost'!AD57+'Lionhead Pig Cost'!AD57+'Lionhead Ext. Pig Cost'!AD57+'Villa Pig Cost'!AD57+'Richlands Pig Cost'!AD57</f>
        <v>-2510.119508339083</v>
      </c>
      <c r="AE52" s="807">
        <f>+'Grasmere Pig Cost'!AE57+'Learig Pig Cost'!AE57+'Lionhead Pig Cost'!AE57+'Lionhead Ext. Pig Cost'!AE57+'Villa Pig Cost'!AE57+'Richlands Pig Cost'!AE57</f>
        <v>-3481.6936962519858</v>
      </c>
      <c r="AF52" s="807">
        <f>+'Grasmere Pig Cost'!AF57+'Learig Pig Cost'!AF57+'Lionhead Pig Cost'!AF57+'Lionhead Ext. Pig Cost'!AF57+'Villa Pig Cost'!AF57+'Richlands Pig Cost'!AF57</f>
        <v>-2410.7224177198141</v>
      </c>
      <c r="AG52" s="807">
        <f>+'Grasmere Pig Cost'!AG57+'Learig Pig Cost'!AG57+'Lionhead Pig Cost'!AG57+'Lionhead Ext. Pig Cost'!AG57+'Villa Pig Cost'!AG57+'Richlands Pig Cost'!AG57</f>
        <v>-3488.2593277868646</v>
      </c>
      <c r="AH52" s="807">
        <f>+'Grasmere Pig Cost'!AH57+'Learig Pig Cost'!AH57+'Lionhead Pig Cost'!AH57+'Lionhead Ext. Pig Cost'!AH57+'Villa Pig Cost'!AH57+'Richlands Pig Cost'!AH57</f>
        <v>-3039.1437611137999</v>
      </c>
      <c r="AI52" s="807">
        <f>+'Grasmere Pig Cost'!AI57+'Learig Pig Cost'!AI57+'Lionhead Pig Cost'!AI57+'Lionhead Ext. Pig Cost'!AI57+'Villa Pig Cost'!AI57+'Richlands Pig Cost'!AI57</f>
        <v>-3476.9970453577057</v>
      </c>
      <c r="AJ52" s="807">
        <f>+'Grasmere Pig Cost'!AJ57+'Learig Pig Cost'!AJ57+'Lionhead Pig Cost'!AJ57+'Lionhead Ext. Pig Cost'!AJ57+'Villa Pig Cost'!AJ57+'Richlands Pig Cost'!AJ57</f>
        <v>-4194.4798298678961</v>
      </c>
      <c r="AK52" s="807">
        <f>+'Grasmere Pig Cost'!AK57+'Learig Pig Cost'!AK57+'Lionhead Pig Cost'!AK57+'Lionhead Ext. Pig Cost'!AK57+'Villa Pig Cost'!AK57+'Richlands Pig Cost'!AK57</f>
        <v>-4977.1340973468223</v>
      </c>
      <c r="AL52" s="807">
        <f>+'Grasmere Pig Cost'!AL57+'Learig Pig Cost'!AL57+'Lionhead Pig Cost'!AL57+'Lionhead Ext. Pig Cost'!AL57+'Villa Pig Cost'!AL57+'Richlands Pig Cost'!AL57</f>
        <v>-4057.2313417150071</v>
      </c>
      <c r="AM52" s="807">
        <f>+'Grasmere Pig Cost'!AM57+'Learig Pig Cost'!AM57+'Lionhead Pig Cost'!AM57+'Lionhead Ext. Pig Cost'!AM57+'Villa Pig Cost'!AM57+'Richlands Pig Cost'!AM57</f>
        <v>-8461.3005489691514</v>
      </c>
      <c r="AN52" s="807">
        <f>+'Grasmere Pig Cost'!AN57+'Learig Pig Cost'!AN57+'Lionhead Pig Cost'!AN57+'Lionhead Ext. Pig Cost'!AN57+'Villa Pig Cost'!AN57+'Richlands Pig Cost'!AN57</f>
        <v>-5644.8159423543984</v>
      </c>
      <c r="AO52" s="807">
        <f>+'Grasmere Pig Cost'!AO57+'Learig Pig Cost'!AO57+'Lionhead Pig Cost'!AO57+'Lionhead Ext. Pig Cost'!AO57+'Villa Pig Cost'!AO57+'Richlands Pig Cost'!AO57</f>
        <v>-14599.241751069158</v>
      </c>
      <c r="AP52" s="807">
        <f>+'Grasmere Pig Cost'!AP57+'Learig Pig Cost'!AP57+'Lionhead Pig Cost'!AP57+'Lionhead Ext. Pig Cost'!AP57+'Villa Pig Cost'!AP57+'Richlands Pig Cost'!AP57</f>
        <v>-6125.0453969847495</v>
      </c>
      <c r="AQ52" s="807">
        <f>+'Grasmere Pig Cost'!AQ57+'Learig Pig Cost'!AQ57+'Lionhead Pig Cost'!AQ57+'Lionhead Ext. Pig Cost'!AQ57+'Villa Pig Cost'!AQ57+'Richlands Pig Cost'!AQ57</f>
        <v>-3775.2583414328487</v>
      </c>
      <c r="AR52" s="807">
        <f>+'Grasmere Pig Cost'!AR57+'Learig Pig Cost'!AR57+'Lionhead Pig Cost'!AR57+'Lionhead Ext. Pig Cost'!AR57+'Villa Pig Cost'!AR57+'Richlands Pig Cost'!AR57</f>
        <v>-3898.2547229856887</v>
      </c>
      <c r="AS52" s="807">
        <f>+'Grasmere Pig Cost'!AS57+'Learig Pig Cost'!AS57+'Lionhead Pig Cost'!AS57+'Lionhead Ext. Pig Cost'!AS57+'Villa Pig Cost'!AS57+'Richlands Pig Cost'!AS57</f>
        <v>-1174.4085328274764</v>
      </c>
      <c r="AT52" s="807">
        <f>+'Grasmere Pig Cost'!AT57+'Learig Pig Cost'!AT57+'Lionhead Pig Cost'!AT57+'Lionhead Ext. Pig Cost'!AT57+'Villa Pig Cost'!AT57+'Richlands Pig Cost'!AT57</f>
        <v>-795.81789374477739</v>
      </c>
      <c r="AU52" s="1579">
        <f>SUM(B52:AT52)</f>
        <v>-149542.56433392924</v>
      </c>
      <c r="AV52" s="1579">
        <f>+'Grasmere Pig Cost'!AU57+'Learig Pig Cost'!AU57+'Lionhead Pig Cost'!AU57+'Lionhead Ext. Pig Cost'!AU57+'Villa Pig Cost'!AU57+'Richlands Pig Cost'!AU57</f>
        <v>-149542.56433392924</v>
      </c>
      <c r="AW52" s="818">
        <f t="shared" si="23"/>
        <v>0</v>
      </c>
      <c r="AX52" s="805"/>
      <c r="AY52" s="1059"/>
    </row>
    <row r="53" spans="1:54" ht="15.6">
      <c r="A53" s="142" t="str">
        <f t="shared" si="26"/>
        <v>Rations</v>
      </c>
      <c r="B53" s="807">
        <f>+'Grasmere Pig Cost'!B58+'Learig Pig Cost'!B58+'Lionhead Pig Cost'!B58+'Lionhead Ext. Pig Cost'!B58+'Villa Pig Cost'!B58+'Richlands Pig Cost'!B58</f>
        <v>0</v>
      </c>
      <c r="C53" s="807">
        <f>+'Grasmere Pig Cost'!C58+'Learig Pig Cost'!C58+'Lionhead Pig Cost'!C58+'Lionhead Ext. Pig Cost'!C58+'Villa Pig Cost'!C58+'Richlands Pig Cost'!C58</f>
        <v>0</v>
      </c>
      <c r="D53" s="807">
        <f>+'Grasmere Pig Cost'!D58+'Learig Pig Cost'!D58+'Lionhead Pig Cost'!D58+'Lionhead Ext. Pig Cost'!D58+'Villa Pig Cost'!D58+'Richlands Pig Cost'!D58</f>
        <v>0</v>
      </c>
      <c r="E53" s="807">
        <f>+'Grasmere Pig Cost'!E58+'Learig Pig Cost'!E58+'Lionhead Pig Cost'!E58+'Lionhead Ext. Pig Cost'!E58+'Villa Pig Cost'!E58+'Richlands Pig Cost'!E58</f>
        <v>0</v>
      </c>
      <c r="F53" s="807">
        <f>+'Grasmere Pig Cost'!F58+'Learig Pig Cost'!F58+'Lionhead Pig Cost'!F58+'Lionhead Ext. Pig Cost'!F58+'Villa Pig Cost'!F58+'Richlands Pig Cost'!F58</f>
        <v>0</v>
      </c>
      <c r="G53" s="807">
        <f>+'Grasmere Pig Cost'!G58+'Learig Pig Cost'!G58+'Lionhead Pig Cost'!G58+'Lionhead Ext. Pig Cost'!G58+'Villa Pig Cost'!G58+'Richlands Pig Cost'!G58</f>
        <v>0</v>
      </c>
      <c r="H53" s="807">
        <f>+'Grasmere Pig Cost'!H58+'Learig Pig Cost'!H58+'Lionhead Pig Cost'!H58+'Lionhead Ext. Pig Cost'!H58+'Villa Pig Cost'!H58+'Richlands Pig Cost'!H58</f>
        <v>0</v>
      </c>
      <c r="I53" s="807">
        <f>+'Grasmere Pig Cost'!I58+'Learig Pig Cost'!I58+'Lionhead Pig Cost'!I58+'Lionhead Ext. Pig Cost'!I58+'Villa Pig Cost'!I58+'Richlands Pig Cost'!I58</f>
        <v>0</v>
      </c>
      <c r="J53" s="807">
        <f>+'Grasmere Pig Cost'!J58+'Learig Pig Cost'!J58+'Lionhead Pig Cost'!J58+'Lionhead Ext. Pig Cost'!J58+'Villa Pig Cost'!J58+'Richlands Pig Cost'!J58</f>
        <v>0</v>
      </c>
      <c r="K53" s="807">
        <f>+'Grasmere Pig Cost'!K58+'Learig Pig Cost'!K58+'Lionhead Pig Cost'!K58+'Lionhead Ext. Pig Cost'!K58+'Villa Pig Cost'!K58+'Richlands Pig Cost'!K58</f>
        <v>0</v>
      </c>
      <c r="L53" s="807">
        <f>+'Grasmere Pig Cost'!L58+'Learig Pig Cost'!L58+'Lionhead Pig Cost'!L58+'Lionhead Ext. Pig Cost'!L58+'Villa Pig Cost'!L58+'Richlands Pig Cost'!L58</f>
        <v>0</v>
      </c>
      <c r="M53" s="807">
        <f>+'Grasmere Pig Cost'!M58+'Learig Pig Cost'!M58+'Lionhead Pig Cost'!M58+'Lionhead Ext. Pig Cost'!M58+'Villa Pig Cost'!M58+'Richlands Pig Cost'!M58</f>
        <v>0</v>
      </c>
      <c r="N53" s="807">
        <f>+'Grasmere Pig Cost'!N58+'Learig Pig Cost'!N58+'Lionhead Pig Cost'!N58+'Lionhead Ext. Pig Cost'!N58+'Villa Pig Cost'!N58+'Richlands Pig Cost'!N58</f>
        <v>0</v>
      </c>
      <c r="O53" s="807">
        <f>+'Grasmere Pig Cost'!O58+'Learig Pig Cost'!O58+'Lionhead Pig Cost'!O58+'Lionhead Ext. Pig Cost'!O58+'Villa Pig Cost'!O58+'Richlands Pig Cost'!O58</f>
        <v>0</v>
      </c>
      <c r="P53" s="807">
        <f>+'Grasmere Pig Cost'!P58+'Learig Pig Cost'!P58+'Lionhead Pig Cost'!P58+'Lionhead Ext. Pig Cost'!P58+'Villa Pig Cost'!P58+'Richlands Pig Cost'!P58</f>
        <v>0</v>
      </c>
      <c r="Q53" s="807">
        <f>+'Grasmere Pig Cost'!Q58+'Learig Pig Cost'!Q58+'Lionhead Pig Cost'!Q58+'Lionhead Ext. Pig Cost'!Q58+'Villa Pig Cost'!Q58+'Richlands Pig Cost'!Q58</f>
        <v>0</v>
      </c>
      <c r="R53" s="807">
        <f>+'Grasmere Pig Cost'!R58+'Learig Pig Cost'!R58+'Lionhead Pig Cost'!R58+'Lionhead Ext. Pig Cost'!R58+'Villa Pig Cost'!R58+'Richlands Pig Cost'!R58</f>
        <v>0</v>
      </c>
      <c r="S53" s="807">
        <f>+'Grasmere Pig Cost'!S58+'Learig Pig Cost'!S58+'Lionhead Pig Cost'!S58+'Lionhead Ext. Pig Cost'!S58+'Villa Pig Cost'!S58+'Richlands Pig Cost'!S58</f>
        <v>0</v>
      </c>
      <c r="T53" s="807">
        <f>+'Grasmere Pig Cost'!T58+'Learig Pig Cost'!T58+'Lionhead Pig Cost'!T58+'Lionhead Ext. Pig Cost'!T58+'Villa Pig Cost'!T58+'Richlands Pig Cost'!T58</f>
        <v>0</v>
      </c>
      <c r="U53" s="807">
        <f>+'Grasmere Pig Cost'!U58+'Learig Pig Cost'!U58+'Lionhead Pig Cost'!U58+'Lionhead Ext. Pig Cost'!U58+'Villa Pig Cost'!U58+'Richlands Pig Cost'!U58</f>
        <v>0</v>
      </c>
      <c r="V53" s="807">
        <f>+'Grasmere Pig Cost'!V58+'Learig Pig Cost'!V58+'Lionhead Pig Cost'!V58+'Lionhead Ext. Pig Cost'!V58+'Villa Pig Cost'!V58+'Richlands Pig Cost'!V58</f>
        <v>0</v>
      </c>
      <c r="W53" s="807">
        <f>+'Grasmere Pig Cost'!W58+'Learig Pig Cost'!W58+'Lionhead Pig Cost'!W58+'Lionhead Ext. Pig Cost'!W58+'Villa Pig Cost'!W58+'Richlands Pig Cost'!W58</f>
        <v>0</v>
      </c>
      <c r="X53" s="807">
        <f>+'Grasmere Pig Cost'!X58+'Learig Pig Cost'!X58+'Lionhead Pig Cost'!X58+'Lionhead Ext. Pig Cost'!X58+'Villa Pig Cost'!X58+'Richlands Pig Cost'!X58</f>
        <v>0</v>
      </c>
      <c r="Y53" s="807">
        <f>+'Grasmere Pig Cost'!Y58+'Learig Pig Cost'!Y58+'Lionhead Pig Cost'!Y58+'Lionhead Ext. Pig Cost'!Y58+'Villa Pig Cost'!Y58+'Richlands Pig Cost'!Y58</f>
        <v>0</v>
      </c>
      <c r="Z53" s="807">
        <f>+'Grasmere Pig Cost'!Z58+'Learig Pig Cost'!Z58+'Lionhead Pig Cost'!Z58+'Lionhead Ext. Pig Cost'!Z58+'Villa Pig Cost'!Z58+'Richlands Pig Cost'!Z58</f>
        <v>0</v>
      </c>
      <c r="AA53" s="807">
        <f>+'Grasmere Pig Cost'!AA58+'Learig Pig Cost'!AA58+'Lionhead Pig Cost'!AA58+'Lionhead Ext. Pig Cost'!AA58+'Villa Pig Cost'!AA58+'Richlands Pig Cost'!AA58</f>
        <v>0</v>
      </c>
      <c r="AB53" s="807">
        <f>+'Grasmere Pig Cost'!AB58+'Learig Pig Cost'!AB58+'Lionhead Pig Cost'!AB58+'Lionhead Ext. Pig Cost'!AB58+'Villa Pig Cost'!AB58+'Richlands Pig Cost'!AB58</f>
        <v>0</v>
      </c>
      <c r="AC53" s="807">
        <f>+'Grasmere Pig Cost'!AC58+'Learig Pig Cost'!AC58+'Lionhead Pig Cost'!AC58+'Lionhead Ext. Pig Cost'!AC58+'Villa Pig Cost'!AC58+'Richlands Pig Cost'!AC58</f>
        <v>0</v>
      </c>
      <c r="AD53" s="807">
        <f>+'Grasmere Pig Cost'!AD58+'Learig Pig Cost'!AD58+'Lionhead Pig Cost'!AD58+'Lionhead Ext. Pig Cost'!AD58+'Villa Pig Cost'!AD58+'Richlands Pig Cost'!AD58</f>
        <v>0</v>
      </c>
      <c r="AE53" s="807">
        <f>+'Grasmere Pig Cost'!AE58+'Learig Pig Cost'!AE58+'Lionhead Pig Cost'!AE58+'Lionhead Ext. Pig Cost'!AE58+'Villa Pig Cost'!AE58+'Richlands Pig Cost'!AE58</f>
        <v>0</v>
      </c>
      <c r="AF53" s="807">
        <f>+'Grasmere Pig Cost'!AF58+'Learig Pig Cost'!AF58+'Lionhead Pig Cost'!AF58+'Lionhead Ext. Pig Cost'!AF58+'Villa Pig Cost'!AF58+'Richlands Pig Cost'!AF58</f>
        <v>-166.09171058934331</v>
      </c>
      <c r="AG53" s="807">
        <f>+'Grasmere Pig Cost'!AG58+'Learig Pig Cost'!AG58+'Lionhead Pig Cost'!AG58+'Lionhead Ext. Pig Cost'!AG58+'Villa Pig Cost'!AG58+'Richlands Pig Cost'!AG58</f>
        <v>0</v>
      </c>
      <c r="AH53" s="807">
        <f>+'Grasmere Pig Cost'!AH58+'Learig Pig Cost'!AH58+'Lionhead Pig Cost'!AH58+'Lionhead Ext. Pig Cost'!AH58+'Villa Pig Cost'!AH58+'Richlands Pig Cost'!AH58</f>
        <v>-263.40509357005533</v>
      </c>
      <c r="AI53" s="807">
        <f>+'Grasmere Pig Cost'!AI58+'Learig Pig Cost'!AI58+'Lionhead Pig Cost'!AI58+'Lionhead Ext. Pig Cost'!AI58+'Villa Pig Cost'!AI58+'Richlands Pig Cost'!AI58</f>
        <v>0</v>
      </c>
      <c r="AJ53" s="807">
        <f>+'Grasmere Pig Cost'!AJ58+'Learig Pig Cost'!AJ58+'Lionhead Pig Cost'!AJ58+'Lionhead Ext. Pig Cost'!AJ58+'Villa Pig Cost'!AJ58+'Richlands Pig Cost'!AJ58</f>
        <v>0</v>
      </c>
      <c r="AK53" s="807">
        <f>+'Grasmere Pig Cost'!AK58+'Learig Pig Cost'!AK58+'Lionhead Pig Cost'!AK58+'Lionhead Ext. Pig Cost'!AK58+'Villa Pig Cost'!AK58+'Richlands Pig Cost'!AK58</f>
        <v>-297.64911032737598</v>
      </c>
      <c r="AL53" s="807">
        <f>+'Grasmere Pig Cost'!AL58+'Learig Pig Cost'!AL58+'Lionhead Pig Cost'!AL58+'Lionhead Ext. Pig Cost'!AL58+'Villa Pig Cost'!AL58+'Richlands Pig Cost'!AL58</f>
        <v>0</v>
      </c>
      <c r="AM53" s="807">
        <f>+'Grasmere Pig Cost'!AM58+'Learig Pig Cost'!AM58+'Lionhead Pig Cost'!AM58+'Lionhead Ext. Pig Cost'!AM58+'Villa Pig Cost'!AM58+'Richlands Pig Cost'!AM58</f>
        <v>0</v>
      </c>
      <c r="AN53" s="807">
        <f>+'Grasmere Pig Cost'!AN58+'Learig Pig Cost'!AN58+'Lionhead Pig Cost'!AN58+'Lionhead Ext. Pig Cost'!AN58+'Villa Pig Cost'!AN58+'Richlands Pig Cost'!AN58</f>
        <v>-592.27381725146779</v>
      </c>
      <c r="AO53" s="807">
        <f>+'Grasmere Pig Cost'!AO58+'Learig Pig Cost'!AO58+'Lionhead Pig Cost'!AO58+'Lionhead Ext. Pig Cost'!AO58+'Villa Pig Cost'!AO58+'Richlands Pig Cost'!AO58</f>
        <v>-2253.7874581488559</v>
      </c>
      <c r="AP53" s="807">
        <f>+'Grasmere Pig Cost'!AP58+'Learig Pig Cost'!AP58+'Lionhead Pig Cost'!AP58+'Lionhead Ext. Pig Cost'!AP58+'Villa Pig Cost'!AP58+'Richlands Pig Cost'!AP58</f>
        <v>-2758.5479611888964</v>
      </c>
      <c r="AQ53" s="807">
        <f>+'Grasmere Pig Cost'!AQ58+'Learig Pig Cost'!AQ58+'Lionhead Pig Cost'!AQ58+'Lionhead Ext. Pig Cost'!AQ58+'Villa Pig Cost'!AQ58+'Richlands Pig Cost'!AQ58</f>
        <v>-322.05083299347461</v>
      </c>
      <c r="AR53" s="807">
        <f>+'Grasmere Pig Cost'!AR58+'Learig Pig Cost'!AR58+'Lionhead Pig Cost'!AR58+'Lionhead Ext. Pig Cost'!AR58+'Villa Pig Cost'!AR58+'Richlands Pig Cost'!AR58</f>
        <v>-498.97861297848868</v>
      </c>
      <c r="AS53" s="807">
        <f>+'Grasmere Pig Cost'!AS58+'Learig Pig Cost'!AS58+'Lionhead Pig Cost'!AS58+'Lionhead Ext. Pig Cost'!AS58+'Villa Pig Cost'!AS58+'Richlands Pig Cost'!AS58</f>
        <v>-640.31131110284548</v>
      </c>
      <c r="AT53" s="807">
        <f>+'Grasmere Pig Cost'!AT58+'Learig Pig Cost'!AT58+'Lionhead Pig Cost'!AT58+'Lionhead Ext. Pig Cost'!AT58+'Villa Pig Cost'!AT58+'Richlands Pig Cost'!AT58</f>
        <v>-304.77308172933408</v>
      </c>
      <c r="AU53" s="1579">
        <f>SUM(B53:AT53)</f>
        <v>-8097.8689898801376</v>
      </c>
      <c r="AV53" s="1088">
        <f>+'Grasmere Pig Cost'!AU58+'Learig Pig Cost'!AU58+'Lionhead Pig Cost'!AU58+'Lionhead Ext. Pig Cost'!AU58+'Villa Pig Cost'!AU58+'Richlands Pig Cost'!AU58</f>
        <v>-8097.8689898801376</v>
      </c>
      <c r="AW53" s="818">
        <f t="shared" si="23"/>
        <v>0</v>
      </c>
      <c r="AX53" s="805"/>
    </row>
    <row r="54" spans="1:54" ht="15.6">
      <c r="A54" s="142" t="str">
        <f t="shared" si="26"/>
        <v>Pet Food</v>
      </c>
      <c r="B54" s="807">
        <f>+'Grasmere Pig Cost'!B59+'Learig Pig Cost'!B59+'Lionhead Pig Cost'!B59+'Lionhead Ext. Pig Cost'!B59+'Villa Pig Cost'!B59+'Richlands Pig Cost'!B59</f>
        <v>0</v>
      </c>
      <c r="C54" s="807">
        <f>+'Grasmere Pig Cost'!C59+'Learig Pig Cost'!C59+'Lionhead Pig Cost'!C59+'Lionhead Ext. Pig Cost'!C59+'Villa Pig Cost'!C59+'Richlands Pig Cost'!C59</f>
        <v>0</v>
      </c>
      <c r="D54" s="807">
        <f>+'Grasmere Pig Cost'!D59+'Learig Pig Cost'!D59+'Lionhead Pig Cost'!D59+'Lionhead Ext. Pig Cost'!D59+'Villa Pig Cost'!D59+'Richlands Pig Cost'!D59</f>
        <v>0</v>
      </c>
      <c r="E54" s="807">
        <f>+'Grasmere Pig Cost'!E59+'Learig Pig Cost'!E59+'Lionhead Pig Cost'!E59+'Lionhead Ext. Pig Cost'!E59+'Villa Pig Cost'!E59+'Richlands Pig Cost'!E59</f>
        <v>0</v>
      </c>
      <c r="F54" s="807">
        <f>+'Grasmere Pig Cost'!F59+'Learig Pig Cost'!F59+'Lionhead Pig Cost'!F59+'Lionhead Ext. Pig Cost'!F59+'Villa Pig Cost'!F59+'Richlands Pig Cost'!F59</f>
        <v>0</v>
      </c>
      <c r="G54" s="807">
        <f>+'Grasmere Pig Cost'!G59+'Learig Pig Cost'!G59+'Lionhead Pig Cost'!G59+'Lionhead Ext. Pig Cost'!G59+'Villa Pig Cost'!G59+'Richlands Pig Cost'!G59</f>
        <v>0</v>
      </c>
      <c r="H54" s="807">
        <f>+'Grasmere Pig Cost'!H59+'Learig Pig Cost'!H59+'Lionhead Pig Cost'!H59+'Lionhead Ext. Pig Cost'!H59+'Villa Pig Cost'!H59+'Richlands Pig Cost'!H59</f>
        <v>0</v>
      </c>
      <c r="I54" s="807">
        <f>+'Grasmere Pig Cost'!I59+'Learig Pig Cost'!I59+'Lionhead Pig Cost'!I59+'Lionhead Ext. Pig Cost'!I59+'Villa Pig Cost'!I59+'Richlands Pig Cost'!I59</f>
        <v>0</v>
      </c>
      <c r="J54" s="807">
        <f>+'Grasmere Pig Cost'!J59+'Learig Pig Cost'!J59+'Lionhead Pig Cost'!J59+'Lionhead Ext. Pig Cost'!J59+'Villa Pig Cost'!J59+'Richlands Pig Cost'!J59</f>
        <v>0</v>
      </c>
      <c r="K54" s="807">
        <f>+'Grasmere Pig Cost'!K59+'Learig Pig Cost'!K59+'Lionhead Pig Cost'!K59+'Lionhead Ext. Pig Cost'!K59+'Villa Pig Cost'!K59+'Richlands Pig Cost'!K59</f>
        <v>0</v>
      </c>
      <c r="L54" s="807">
        <f>+'Grasmere Pig Cost'!L59+'Learig Pig Cost'!L59+'Lionhead Pig Cost'!L59+'Lionhead Ext. Pig Cost'!L59+'Villa Pig Cost'!L59+'Richlands Pig Cost'!L59</f>
        <v>0</v>
      </c>
      <c r="M54" s="807">
        <f>+'Grasmere Pig Cost'!M59+'Learig Pig Cost'!M59+'Lionhead Pig Cost'!M59+'Lionhead Ext. Pig Cost'!M59+'Villa Pig Cost'!M59+'Richlands Pig Cost'!M59</f>
        <v>0</v>
      </c>
      <c r="N54" s="807">
        <f>+'Grasmere Pig Cost'!N59+'Learig Pig Cost'!N59+'Lionhead Pig Cost'!N59+'Lionhead Ext. Pig Cost'!N59+'Villa Pig Cost'!N59+'Richlands Pig Cost'!N59</f>
        <v>0</v>
      </c>
      <c r="O54" s="807">
        <f>+'Grasmere Pig Cost'!O59+'Learig Pig Cost'!O59+'Lionhead Pig Cost'!O59+'Lionhead Ext. Pig Cost'!O59+'Villa Pig Cost'!O59+'Richlands Pig Cost'!O59</f>
        <v>0</v>
      </c>
      <c r="P54" s="807">
        <f>+'Grasmere Pig Cost'!P59+'Learig Pig Cost'!P59+'Lionhead Pig Cost'!P59+'Lionhead Ext. Pig Cost'!P59+'Villa Pig Cost'!P59+'Richlands Pig Cost'!P59</f>
        <v>0</v>
      </c>
      <c r="Q54" s="807">
        <f>+'Grasmere Pig Cost'!Q59+'Learig Pig Cost'!Q59+'Lionhead Pig Cost'!Q59+'Lionhead Ext. Pig Cost'!Q59+'Villa Pig Cost'!Q59+'Richlands Pig Cost'!Q59</f>
        <v>0</v>
      </c>
      <c r="R54" s="807">
        <f>+'Grasmere Pig Cost'!R59+'Learig Pig Cost'!R59+'Lionhead Pig Cost'!R59+'Lionhead Ext. Pig Cost'!R59+'Villa Pig Cost'!R59+'Richlands Pig Cost'!R59</f>
        <v>0</v>
      </c>
      <c r="S54" s="807">
        <f>+'Grasmere Pig Cost'!S59+'Learig Pig Cost'!S59+'Lionhead Pig Cost'!S59+'Lionhead Ext. Pig Cost'!S59+'Villa Pig Cost'!S59+'Richlands Pig Cost'!S59</f>
        <v>0</v>
      </c>
      <c r="T54" s="807">
        <f>+'Grasmere Pig Cost'!T59+'Learig Pig Cost'!T59+'Lionhead Pig Cost'!T59+'Lionhead Ext. Pig Cost'!T59+'Villa Pig Cost'!T59+'Richlands Pig Cost'!T59</f>
        <v>0</v>
      </c>
      <c r="U54" s="807">
        <f>+'Grasmere Pig Cost'!U59+'Learig Pig Cost'!U59+'Lionhead Pig Cost'!U59+'Lionhead Ext. Pig Cost'!U59+'Villa Pig Cost'!U59+'Richlands Pig Cost'!U59</f>
        <v>0</v>
      </c>
      <c r="V54" s="807">
        <f>+'Grasmere Pig Cost'!V59+'Learig Pig Cost'!V59+'Lionhead Pig Cost'!V59+'Lionhead Ext. Pig Cost'!V59+'Villa Pig Cost'!V59+'Richlands Pig Cost'!V59</f>
        <v>0</v>
      </c>
      <c r="W54" s="807">
        <f>+'Grasmere Pig Cost'!W59+'Learig Pig Cost'!W59+'Lionhead Pig Cost'!W59+'Lionhead Ext. Pig Cost'!W59+'Villa Pig Cost'!W59+'Richlands Pig Cost'!W59</f>
        <v>0</v>
      </c>
      <c r="X54" s="807">
        <f>+'Grasmere Pig Cost'!X59+'Learig Pig Cost'!X59+'Lionhead Pig Cost'!X59+'Lionhead Ext. Pig Cost'!X59+'Villa Pig Cost'!X59+'Richlands Pig Cost'!X59</f>
        <v>0</v>
      </c>
      <c r="Y54" s="807">
        <f>+'Grasmere Pig Cost'!Y59+'Learig Pig Cost'!Y59+'Lionhead Pig Cost'!Y59+'Lionhead Ext. Pig Cost'!Y59+'Villa Pig Cost'!Y59+'Richlands Pig Cost'!Y59</f>
        <v>0</v>
      </c>
      <c r="Z54" s="807">
        <f>+'Grasmere Pig Cost'!Z59+'Learig Pig Cost'!Z59+'Lionhead Pig Cost'!Z59+'Lionhead Ext. Pig Cost'!Z59+'Villa Pig Cost'!Z59+'Richlands Pig Cost'!Z59</f>
        <v>0</v>
      </c>
      <c r="AA54" s="807">
        <f>+'Grasmere Pig Cost'!AA59+'Learig Pig Cost'!AA59+'Lionhead Pig Cost'!AA59+'Lionhead Ext. Pig Cost'!AA59+'Villa Pig Cost'!AA59+'Richlands Pig Cost'!AA59</f>
        <v>0</v>
      </c>
      <c r="AB54" s="807">
        <f>+'Grasmere Pig Cost'!AB59+'Learig Pig Cost'!AB59+'Lionhead Pig Cost'!AB59+'Lionhead Ext. Pig Cost'!AB59+'Villa Pig Cost'!AB59+'Richlands Pig Cost'!AB59</f>
        <v>0</v>
      </c>
      <c r="AC54" s="807">
        <f>+'Grasmere Pig Cost'!AC59+'Learig Pig Cost'!AC59+'Lionhead Pig Cost'!AC59+'Lionhead Ext. Pig Cost'!AC59+'Villa Pig Cost'!AC59+'Richlands Pig Cost'!AC59</f>
        <v>0</v>
      </c>
      <c r="AD54" s="807">
        <f>+'Grasmere Pig Cost'!AD59+'Learig Pig Cost'!AD59+'Lionhead Pig Cost'!AD59+'Lionhead Ext. Pig Cost'!AD59+'Villa Pig Cost'!AD59+'Richlands Pig Cost'!AD59</f>
        <v>0</v>
      </c>
      <c r="AE54" s="807">
        <f>+'Grasmere Pig Cost'!AE59+'Learig Pig Cost'!AE59+'Lionhead Pig Cost'!AE59+'Lionhead Ext. Pig Cost'!AE59+'Villa Pig Cost'!AE59+'Richlands Pig Cost'!AE59</f>
        <v>0</v>
      </c>
      <c r="AF54" s="807">
        <f>+'Grasmere Pig Cost'!AF59+'Learig Pig Cost'!AF59+'Lionhead Pig Cost'!AF59+'Lionhead Ext. Pig Cost'!AF59+'Villa Pig Cost'!AF59+'Richlands Pig Cost'!AF59</f>
        <v>0</v>
      </c>
      <c r="AG54" s="807">
        <f>+'Grasmere Pig Cost'!AG59+'Learig Pig Cost'!AG59+'Lionhead Pig Cost'!AG59+'Lionhead Ext. Pig Cost'!AG59+'Villa Pig Cost'!AG59+'Richlands Pig Cost'!AG59</f>
        <v>0</v>
      </c>
      <c r="AH54" s="807">
        <f>+'Grasmere Pig Cost'!AH59+'Learig Pig Cost'!AH59+'Lionhead Pig Cost'!AH59+'Lionhead Ext. Pig Cost'!AH59+'Villa Pig Cost'!AH59+'Richlands Pig Cost'!AH59</f>
        <v>0</v>
      </c>
      <c r="AI54" s="807">
        <f>+'Grasmere Pig Cost'!AI59+'Learig Pig Cost'!AI59+'Lionhead Pig Cost'!AI59+'Lionhead Ext. Pig Cost'!AI59+'Villa Pig Cost'!AI59+'Richlands Pig Cost'!AI59</f>
        <v>0</v>
      </c>
      <c r="AJ54" s="807">
        <f>+'Grasmere Pig Cost'!AJ59+'Learig Pig Cost'!AJ59+'Lionhead Pig Cost'!AJ59+'Lionhead Ext. Pig Cost'!AJ59+'Villa Pig Cost'!AJ59+'Richlands Pig Cost'!AJ59</f>
        <v>0</v>
      </c>
      <c r="AK54" s="807">
        <f>+'Grasmere Pig Cost'!AK59+'Learig Pig Cost'!AK59+'Lionhead Pig Cost'!AK59+'Lionhead Ext. Pig Cost'!AK59+'Villa Pig Cost'!AK59+'Richlands Pig Cost'!AK59</f>
        <v>0</v>
      </c>
      <c r="AL54" s="807">
        <f>+'Grasmere Pig Cost'!AL59+'Learig Pig Cost'!AL59+'Lionhead Pig Cost'!AL59+'Lionhead Ext. Pig Cost'!AL59+'Villa Pig Cost'!AL59+'Richlands Pig Cost'!AL59</f>
        <v>0</v>
      </c>
      <c r="AM54" s="807">
        <f>+'Grasmere Pig Cost'!AM59+'Learig Pig Cost'!AM59+'Lionhead Pig Cost'!AM59+'Lionhead Ext. Pig Cost'!AM59+'Villa Pig Cost'!AM59+'Richlands Pig Cost'!AM59</f>
        <v>0</v>
      </c>
      <c r="AN54" s="807">
        <f>+'Grasmere Pig Cost'!AN59+'Learig Pig Cost'!AN59+'Lionhead Pig Cost'!AN59+'Lionhead Ext. Pig Cost'!AN59+'Villa Pig Cost'!AN59+'Richlands Pig Cost'!AN59</f>
        <v>0</v>
      </c>
      <c r="AO54" s="807">
        <f>+'Grasmere Pig Cost'!AO59+'Learig Pig Cost'!AO59+'Lionhead Pig Cost'!AO59+'Lionhead Ext. Pig Cost'!AO59+'Villa Pig Cost'!AO59+'Richlands Pig Cost'!AO59</f>
        <v>0</v>
      </c>
      <c r="AP54" s="807">
        <f>+'Grasmere Pig Cost'!AP59+'Learig Pig Cost'!AP59+'Lionhead Pig Cost'!AP59+'Lionhead Ext. Pig Cost'!AP59+'Villa Pig Cost'!AP59+'Richlands Pig Cost'!AP59</f>
        <v>0</v>
      </c>
      <c r="AQ54" s="807">
        <f>+'Grasmere Pig Cost'!AQ59+'Learig Pig Cost'!AQ59+'Lionhead Pig Cost'!AQ59+'Lionhead Ext. Pig Cost'!AQ59+'Villa Pig Cost'!AQ59+'Richlands Pig Cost'!AQ59</f>
        <v>0</v>
      </c>
      <c r="AR54" s="807">
        <f>+'Grasmere Pig Cost'!AR59+'Learig Pig Cost'!AR59+'Lionhead Pig Cost'!AR59+'Lionhead Ext. Pig Cost'!AR59+'Villa Pig Cost'!AR59+'Richlands Pig Cost'!AR59</f>
        <v>0</v>
      </c>
      <c r="AS54" s="807">
        <f>+'Grasmere Pig Cost'!AS59+'Learig Pig Cost'!AS59+'Lionhead Pig Cost'!AS59+'Lionhead Ext. Pig Cost'!AS59+'Villa Pig Cost'!AS59+'Richlands Pig Cost'!AS59</f>
        <v>0</v>
      </c>
      <c r="AT54" s="807">
        <f>+'Grasmere Pig Cost'!AT59+'Learig Pig Cost'!AT59+'Lionhead Pig Cost'!AT59+'Lionhead Ext. Pig Cost'!AT59+'Villa Pig Cost'!AT59+'Richlands Pig Cost'!AT59</f>
        <v>0</v>
      </c>
      <c r="AU54" s="1579">
        <f t="shared" ref="AU54:AU55" si="27">SUM(B54:AT54)</f>
        <v>0</v>
      </c>
      <c r="AV54" s="1088">
        <f>+'Grasmere Pig Cost'!AU59++'Learig Pig Cost'!AU59+'Lionhead Pig Cost'!AU59+'Lionhead Ext. Pig Cost'!AU59+'Villa Pig Cost'!AU59+'Richlands Pig Cost'!AU59</f>
        <v>0</v>
      </c>
      <c r="AW54" s="818">
        <f t="shared" si="23"/>
        <v>0</v>
      </c>
      <c r="AX54" s="805"/>
      <c r="BA54" s="1091"/>
    </row>
    <row r="55" spans="1:54" ht="15.6">
      <c r="A55" s="142" t="str">
        <f t="shared" si="26"/>
        <v>Farm Sales</v>
      </c>
      <c r="B55" s="807">
        <f>+'Grasmere Pig Cost'!B60+'Learig Pig Cost'!B60+'Lionhead Pig Cost'!B60+'Lionhead Ext. Pig Cost'!B60+'Villa Pig Cost'!B60+'Richlands Pig Cost'!B60</f>
        <v>0</v>
      </c>
      <c r="C55" s="807">
        <f>+'Grasmere Pig Cost'!C60+'Learig Pig Cost'!C60+'Lionhead Pig Cost'!C60+'Lionhead Ext. Pig Cost'!C60+'Villa Pig Cost'!C60+'Richlands Pig Cost'!C60</f>
        <v>0</v>
      </c>
      <c r="D55" s="807">
        <f>+'Grasmere Pig Cost'!D60+'Learig Pig Cost'!D60+'Lionhead Pig Cost'!D60+'Lionhead Ext. Pig Cost'!D60+'Villa Pig Cost'!D60+'Richlands Pig Cost'!D60</f>
        <v>0</v>
      </c>
      <c r="E55" s="807">
        <f>+'Grasmere Pig Cost'!E60+'Learig Pig Cost'!E60+'Lionhead Pig Cost'!E60+'Lionhead Ext. Pig Cost'!E60+'Villa Pig Cost'!E60+'Richlands Pig Cost'!E60</f>
        <v>0</v>
      </c>
      <c r="F55" s="807">
        <f>+'Grasmere Pig Cost'!F60+'Learig Pig Cost'!F60+'Lionhead Pig Cost'!F60+'Lionhead Ext. Pig Cost'!F60+'Villa Pig Cost'!F60+'Richlands Pig Cost'!F60</f>
        <v>0</v>
      </c>
      <c r="G55" s="807">
        <f>+'Grasmere Pig Cost'!G60+'Learig Pig Cost'!G60+'Lionhead Pig Cost'!G60+'Lionhead Ext. Pig Cost'!G60+'Villa Pig Cost'!G60+'Richlands Pig Cost'!G60</f>
        <v>0</v>
      </c>
      <c r="H55" s="807">
        <f>+'Grasmere Pig Cost'!H60+'Learig Pig Cost'!H60+'Lionhead Pig Cost'!H60+'Lionhead Ext. Pig Cost'!H60+'Villa Pig Cost'!H60+'Richlands Pig Cost'!H60</f>
        <v>0</v>
      </c>
      <c r="I55" s="807">
        <f>+'Grasmere Pig Cost'!I60+'Learig Pig Cost'!I60+'Lionhead Pig Cost'!I60+'Lionhead Ext. Pig Cost'!I60+'Villa Pig Cost'!I60+'Richlands Pig Cost'!I60</f>
        <v>0</v>
      </c>
      <c r="J55" s="807">
        <f>+'Grasmere Pig Cost'!J60+'Learig Pig Cost'!J60+'Lionhead Pig Cost'!J60+'Lionhead Ext. Pig Cost'!J60+'Villa Pig Cost'!J60+'Richlands Pig Cost'!J60</f>
        <v>0</v>
      </c>
      <c r="K55" s="807">
        <f>+'Grasmere Pig Cost'!K60+'Learig Pig Cost'!K60+'Lionhead Pig Cost'!K60+'Lionhead Ext. Pig Cost'!K60+'Villa Pig Cost'!K60+'Richlands Pig Cost'!K60</f>
        <v>0</v>
      </c>
      <c r="L55" s="807">
        <f>+'Grasmere Pig Cost'!L60+'Learig Pig Cost'!L60+'Lionhead Pig Cost'!L60+'Lionhead Ext. Pig Cost'!L60+'Villa Pig Cost'!L60+'Richlands Pig Cost'!L60</f>
        <v>0</v>
      </c>
      <c r="M55" s="807">
        <f>+'Grasmere Pig Cost'!M60+'Learig Pig Cost'!M60+'Lionhead Pig Cost'!M60+'Lionhead Ext. Pig Cost'!M60+'Villa Pig Cost'!M60+'Richlands Pig Cost'!M60</f>
        <v>0</v>
      </c>
      <c r="N55" s="807">
        <f>+'Grasmere Pig Cost'!N60+'Learig Pig Cost'!N60+'Lionhead Pig Cost'!N60+'Lionhead Ext. Pig Cost'!N60+'Villa Pig Cost'!N60+'Richlands Pig Cost'!N60</f>
        <v>0</v>
      </c>
      <c r="O55" s="807">
        <f>+'Grasmere Pig Cost'!O60+'Learig Pig Cost'!O60+'Lionhead Pig Cost'!O60+'Lionhead Ext. Pig Cost'!O60+'Villa Pig Cost'!O60+'Richlands Pig Cost'!O60</f>
        <v>0</v>
      </c>
      <c r="P55" s="807">
        <f>+'Grasmere Pig Cost'!P60+'Learig Pig Cost'!P60+'Lionhead Pig Cost'!P60+'Lionhead Ext. Pig Cost'!P60+'Villa Pig Cost'!P60+'Richlands Pig Cost'!P60</f>
        <v>0</v>
      </c>
      <c r="Q55" s="807">
        <f>+'Grasmere Pig Cost'!Q60+'Learig Pig Cost'!Q60+'Lionhead Pig Cost'!Q60+'Lionhead Ext. Pig Cost'!Q60+'Villa Pig Cost'!Q60+'Richlands Pig Cost'!Q60</f>
        <v>0</v>
      </c>
      <c r="R55" s="807">
        <f>+'Grasmere Pig Cost'!R60+'Learig Pig Cost'!R60+'Lionhead Pig Cost'!R60+'Lionhead Ext. Pig Cost'!R60+'Villa Pig Cost'!R60+'Richlands Pig Cost'!R60</f>
        <v>0</v>
      </c>
      <c r="S55" s="807">
        <f>+'Grasmere Pig Cost'!S60+'Learig Pig Cost'!S60+'Lionhead Pig Cost'!S60+'Lionhead Ext. Pig Cost'!S60+'Villa Pig Cost'!S60+'Richlands Pig Cost'!S60</f>
        <v>0</v>
      </c>
      <c r="T55" s="807">
        <f>+'Grasmere Pig Cost'!T60+'Learig Pig Cost'!T60+'Lionhead Pig Cost'!T60+'Lionhead Ext. Pig Cost'!T60+'Villa Pig Cost'!T60+'Richlands Pig Cost'!T60</f>
        <v>0</v>
      </c>
      <c r="U55" s="807">
        <f>+'Grasmere Pig Cost'!U60+'Learig Pig Cost'!U60+'Lionhead Pig Cost'!U60+'Lionhead Ext. Pig Cost'!U60+'Villa Pig Cost'!U60+'Richlands Pig Cost'!U60</f>
        <v>0</v>
      </c>
      <c r="V55" s="807">
        <f>+'Grasmere Pig Cost'!V60+'Learig Pig Cost'!V60+'Lionhead Pig Cost'!V60+'Lionhead Ext. Pig Cost'!V60+'Villa Pig Cost'!V60+'Richlands Pig Cost'!V60</f>
        <v>0</v>
      </c>
      <c r="W55" s="807">
        <f>+'Grasmere Pig Cost'!W60+'Learig Pig Cost'!W60+'Lionhead Pig Cost'!W60+'Lionhead Ext. Pig Cost'!W60+'Villa Pig Cost'!W60+'Richlands Pig Cost'!W60</f>
        <v>0</v>
      </c>
      <c r="X55" s="807">
        <f>+'Grasmere Pig Cost'!X60+'Learig Pig Cost'!X60+'Lionhead Pig Cost'!X60+'Lionhead Ext. Pig Cost'!X60+'Villa Pig Cost'!X60+'Richlands Pig Cost'!X60</f>
        <v>0</v>
      </c>
      <c r="Y55" s="807">
        <f>+'Grasmere Pig Cost'!Y60+'Learig Pig Cost'!Y60+'Lionhead Pig Cost'!Y60+'Lionhead Ext. Pig Cost'!Y60+'Villa Pig Cost'!Y60+'Richlands Pig Cost'!Y60</f>
        <v>0</v>
      </c>
      <c r="Z55" s="807">
        <f>+'Grasmere Pig Cost'!Z60+'Learig Pig Cost'!Z60+'Lionhead Pig Cost'!Z60+'Lionhead Ext. Pig Cost'!Z60+'Villa Pig Cost'!Z60+'Richlands Pig Cost'!Z60</f>
        <v>0</v>
      </c>
      <c r="AA55" s="807">
        <f>+'Grasmere Pig Cost'!AA60+'Learig Pig Cost'!AA60+'Lionhead Pig Cost'!AA60+'Lionhead Ext. Pig Cost'!AA60+'Villa Pig Cost'!AA60+'Richlands Pig Cost'!AA60</f>
        <v>0</v>
      </c>
      <c r="AB55" s="807">
        <f>+'Grasmere Pig Cost'!AB60+'Learig Pig Cost'!AB60+'Lionhead Pig Cost'!AB60+'Lionhead Ext. Pig Cost'!AB60+'Villa Pig Cost'!AB60+'Richlands Pig Cost'!AB60</f>
        <v>0</v>
      </c>
      <c r="AC55" s="807">
        <f>+'Grasmere Pig Cost'!AC60+'Learig Pig Cost'!AC60+'Lionhead Pig Cost'!AC60+'Lionhead Ext. Pig Cost'!AC60+'Villa Pig Cost'!AC60+'Richlands Pig Cost'!AC60</f>
        <v>0</v>
      </c>
      <c r="AD55" s="807">
        <f>+'Grasmere Pig Cost'!AD60+'Learig Pig Cost'!AD60+'Lionhead Pig Cost'!AD60+'Lionhead Ext. Pig Cost'!AD60+'Villa Pig Cost'!AD60+'Richlands Pig Cost'!AD60</f>
        <v>0</v>
      </c>
      <c r="AE55" s="807">
        <f>+'Grasmere Pig Cost'!AE60+'Learig Pig Cost'!AE60+'Lionhead Pig Cost'!AE60+'Lionhead Ext. Pig Cost'!AE60+'Villa Pig Cost'!AE60+'Richlands Pig Cost'!AE60</f>
        <v>0</v>
      </c>
      <c r="AF55" s="807">
        <f>+'Grasmere Pig Cost'!AF60+'Learig Pig Cost'!AF60+'Lionhead Pig Cost'!AF60+'Lionhead Ext. Pig Cost'!AF60+'Villa Pig Cost'!AF60+'Richlands Pig Cost'!AF60</f>
        <v>0</v>
      </c>
      <c r="AG55" s="807">
        <f>+'Grasmere Pig Cost'!AG60+'Learig Pig Cost'!AG60+'Lionhead Pig Cost'!AG60+'Lionhead Ext. Pig Cost'!AG60+'Villa Pig Cost'!AG60+'Richlands Pig Cost'!AG60</f>
        <v>0</v>
      </c>
      <c r="AH55" s="807">
        <f>+'Grasmere Pig Cost'!AH60+'Learig Pig Cost'!AH60+'Lionhead Pig Cost'!AH60+'Lionhead Ext. Pig Cost'!AH60+'Villa Pig Cost'!AH60+'Richlands Pig Cost'!AH60</f>
        <v>0</v>
      </c>
      <c r="AI55" s="807">
        <f>+'Grasmere Pig Cost'!AI60+'Learig Pig Cost'!AI60+'Lionhead Pig Cost'!AI60+'Lionhead Ext. Pig Cost'!AI60+'Villa Pig Cost'!AI60+'Richlands Pig Cost'!AI60</f>
        <v>0</v>
      </c>
      <c r="AJ55" s="807">
        <f>+'Grasmere Pig Cost'!AJ60+'Learig Pig Cost'!AJ60+'Lionhead Pig Cost'!AJ60+'Lionhead Ext. Pig Cost'!AJ60+'Villa Pig Cost'!AJ60+'Richlands Pig Cost'!AJ60</f>
        <v>0</v>
      </c>
      <c r="AK55" s="807">
        <f>+'Grasmere Pig Cost'!AK60+'Learig Pig Cost'!AK60+'Lionhead Pig Cost'!AK60+'Lionhead Ext. Pig Cost'!AK60+'Villa Pig Cost'!AK60+'Richlands Pig Cost'!AK60</f>
        <v>0</v>
      </c>
      <c r="AL55" s="807">
        <f>+'Grasmere Pig Cost'!AL60+'Learig Pig Cost'!AL60+'Lionhead Pig Cost'!AL60+'Lionhead Ext. Pig Cost'!AL60+'Villa Pig Cost'!AL60+'Richlands Pig Cost'!AL60</f>
        <v>0</v>
      </c>
      <c r="AM55" s="807">
        <f>+'Grasmere Pig Cost'!AM60+'Learig Pig Cost'!AM60+'Lionhead Pig Cost'!AM60+'Lionhead Ext. Pig Cost'!AM60+'Villa Pig Cost'!AM60+'Richlands Pig Cost'!AM60</f>
        <v>0</v>
      </c>
      <c r="AN55" s="807">
        <f>+'Grasmere Pig Cost'!AN60+'Learig Pig Cost'!AN60+'Lionhead Pig Cost'!AN60+'Lionhead Ext. Pig Cost'!AN60+'Villa Pig Cost'!AN60+'Richlands Pig Cost'!AN60</f>
        <v>0</v>
      </c>
      <c r="AO55" s="807">
        <f>+'Grasmere Pig Cost'!AO60+'Learig Pig Cost'!AO60+'Lionhead Pig Cost'!AO60+'Lionhead Ext. Pig Cost'!AO60+'Villa Pig Cost'!AO60+'Richlands Pig Cost'!AO60</f>
        <v>-4620.5021083762713</v>
      </c>
      <c r="AP55" s="807">
        <f>+'Grasmere Pig Cost'!AP60+'Learig Pig Cost'!AP60+'Lionhead Pig Cost'!AP60+'Lionhead Ext. Pig Cost'!AP60+'Villa Pig Cost'!AP60+'Richlands Pig Cost'!AP60</f>
        <v>0</v>
      </c>
      <c r="AQ55" s="807">
        <f>+'Grasmere Pig Cost'!AQ60+'Learig Pig Cost'!AQ60+'Lionhead Pig Cost'!AQ60+'Lionhead Ext. Pig Cost'!AQ60+'Villa Pig Cost'!AQ60+'Richlands Pig Cost'!AQ60</f>
        <v>-966.15249898042384</v>
      </c>
      <c r="AR55" s="807">
        <f>+'Grasmere Pig Cost'!AR60+'Learig Pig Cost'!AR60+'Lionhead Pig Cost'!AR60+'Lionhead Ext. Pig Cost'!AR60+'Villa Pig Cost'!AR60+'Richlands Pig Cost'!AR60</f>
        <v>0</v>
      </c>
      <c r="AS55" s="807">
        <f>+'Grasmere Pig Cost'!AS60+'Learig Pig Cost'!AS60+'Lionhead Pig Cost'!AS60+'Lionhead Ext. Pig Cost'!AS60+'Villa Pig Cost'!AS60+'Richlands Pig Cost'!AS60</f>
        <v>0</v>
      </c>
      <c r="AT55" s="807">
        <f>+'Grasmere Pig Cost'!AT60+'Learig Pig Cost'!AT60+'Lionhead Pig Cost'!AT60+'Lionhead Ext. Pig Cost'!AT60+'Villa Pig Cost'!AT60+'Richlands Pig Cost'!AT60</f>
        <v>0</v>
      </c>
      <c r="AU55" s="1579">
        <f t="shared" si="27"/>
        <v>-5586.6546073566951</v>
      </c>
      <c r="AV55" s="1088">
        <f>+'Grasmere Pig Cost'!AU60+'Learig Pig Cost'!AU60+'Lionhead Pig Cost'!AU60+'Lionhead Ext. Pig Cost'!AU60+'Villa Pig Cost'!AU60+'Richlands Pig Cost'!AU60</f>
        <v>-5586.6546073566951</v>
      </c>
      <c r="AW55" s="818">
        <f t="shared" si="23"/>
        <v>0</v>
      </c>
      <c r="AX55" s="805"/>
    </row>
    <row r="56" spans="1:54" ht="15.6">
      <c r="A56" s="142" t="str">
        <f t="shared" si="26"/>
        <v xml:space="preserve"> Colcom Sales</v>
      </c>
      <c r="B56" s="807">
        <f>+'Grasmere Pig Cost'!B61+'Learig Pig Cost'!B61+'Lionhead Pig Cost'!B61+'Lionhead Ext. Pig Cost'!B61+'Villa Pig Cost'!B61+'Richlands Pig Cost'!B61</f>
        <v>0</v>
      </c>
      <c r="C56" s="807">
        <f>+'Grasmere Pig Cost'!C61+'Learig Pig Cost'!C61+'Lionhead Pig Cost'!C61+'Lionhead Ext. Pig Cost'!C61+'Villa Pig Cost'!C61+'Richlands Pig Cost'!C61</f>
        <v>0</v>
      </c>
      <c r="D56" s="807">
        <f>+'Grasmere Pig Cost'!D61+'Learig Pig Cost'!D61+'Lionhead Pig Cost'!D61+'Lionhead Ext. Pig Cost'!D61+'Villa Pig Cost'!D61+'Richlands Pig Cost'!D61</f>
        <v>0</v>
      </c>
      <c r="E56" s="807">
        <f>+'Grasmere Pig Cost'!E61+'Learig Pig Cost'!E61+'Lionhead Pig Cost'!E61+'Lionhead Ext. Pig Cost'!E61+'Villa Pig Cost'!E61+'Richlands Pig Cost'!E61</f>
        <v>0</v>
      </c>
      <c r="F56" s="807">
        <f>+'Grasmere Pig Cost'!F61+'Learig Pig Cost'!F61+'Lionhead Pig Cost'!F61+'Lionhead Ext. Pig Cost'!F61+'Villa Pig Cost'!F61+'Richlands Pig Cost'!F61</f>
        <v>0</v>
      </c>
      <c r="G56" s="807">
        <f>+'Grasmere Pig Cost'!G61+'Learig Pig Cost'!G61+'Lionhead Pig Cost'!G61+'Lionhead Ext. Pig Cost'!G61+'Villa Pig Cost'!G61+'Richlands Pig Cost'!G61</f>
        <v>0</v>
      </c>
      <c r="H56" s="807">
        <f>+'Grasmere Pig Cost'!H61+'Learig Pig Cost'!H61+'Lionhead Pig Cost'!H61+'Lionhead Ext. Pig Cost'!H61+'Villa Pig Cost'!H61+'Richlands Pig Cost'!H61</f>
        <v>0</v>
      </c>
      <c r="I56" s="807">
        <f>+'Grasmere Pig Cost'!I61+'Learig Pig Cost'!I61+'Lionhead Pig Cost'!I61+'Lionhead Ext. Pig Cost'!I61+'Villa Pig Cost'!I61+'Richlands Pig Cost'!I61</f>
        <v>0</v>
      </c>
      <c r="J56" s="807">
        <f>+'Grasmere Pig Cost'!J61+'Learig Pig Cost'!J61+'Lionhead Pig Cost'!J61+'Lionhead Ext. Pig Cost'!J61+'Villa Pig Cost'!J61+'Richlands Pig Cost'!J61</f>
        <v>0</v>
      </c>
      <c r="K56" s="807">
        <f>+'Grasmere Pig Cost'!K61+'Learig Pig Cost'!K61+'Lionhead Pig Cost'!K61+'Lionhead Ext. Pig Cost'!K61+'Villa Pig Cost'!K61+'Richlands Pig Cost'!K61</f>
        <v>0</v>
      </c>
      <c r="L56" s="807">
        <f>+'Grasmere Pig Cost'!L61+'Learig Pig Cost'!L61+'Lionhead Pig Cost'!L61+'Lionhead Ext. Pig Cost'!L61+'Villa Pig Cost'!L61+'Richlands Pig Cost'!L61</f>
        <v>0</v>
      </c>
      <c r="M56" s="807">
        <f>+'Grasmere Pig Cost'!M61+'Learig Pig Cost'!M61+'Lionhead Pig Cost'!M61+'Lionhead Ext. Pig Cost'!M61+'Villa Pig Cost'!M61+'Richlands Pig Cost'!M61</f>
        <v>0</v>
      </c>
      <c r="N56" s="807">
        <f>+'Grasmere Pig Cost'!N61+'Learig Pig Cost'!N61+'Lionhead Pig Cost'!N61+'Lionhead Ext. Pig Cost'!N61+'Villa Pig Cost'!N61+'Richlands Pig Cost'!N61</f>
        <v>0</v>
      </c>
      <c r="O56" s="807">
        <f>+'Grasmere Pig Cost'!O61+'Learig Pig Cost'!O61+'Lionhead Pig Cost'!O61+'Lionhead Ext. Pig Cost'!O61+'Villa Pig Cost'!O61+'Richlands Pig Cost'!O61</f>
        <v>0</v>
      </c>
      <c r="P56" s="807">
        <f>+'Grasmere Pig Cost'!P61+'Learig Pig Cost'!P61+'Lionhead Pig Cost'!P61+'Lionhead Ext. Pig Cost'!P61+'Villa Pig Cost'!P61+'Richlands Pig Cost'!P61</f>
        <v>0</v>
      </c>
      <c r="Q56" s="807">
        <f>+'Grasmere Pig Cost'!Q61+'Learig Pig Cost'!Q61+'Lionhead Pig Cost'!Q61+'Lionhead Ext. Pig Cost'!Q61+'Villa Pig Cost'!Q61+'Richlands Pig Cost'!Q61</f>
        <v>0</v>
      </c>
      <c r="R56" s="807">
        <f>+'Grasmere Pig Cost'!R61+'Learig Pig Cost'!R61+'Lionhead Pig Cost'!R61+'Lionhead Ext. Pig Cost'!R61+'Villa Pig Cost'!R61+'Richlands Pig Cost'!R61</f>
        <v>0</v>
      </c>
      <c r="S56" s="807">
        <f>+'Grasmere Pig Cost'!S61+'Learig Pig Cost'!S61+'Lionhead Pig Cost'!S61+'Lionhead Ext. Pig Cost'!S61+'Villa Pig Cost'!S61+'Richlands Pig Cost'!S61</f>
        <v>0</v>
      </c>
      <c r="T56" s="807">
        <f>+'Grasmere Pig Cost'!T61+'Learig Pig Cost'!T61+'Lionhead Pig Cost'!T61+'Lionhead Ext. Pig Cost'!T61+'Villa Pig Cost'!T61+'Richlands Pig Cost'!T61</f>
        <v>0</v>
      </c>
      <c r="U56" s="807">
        <f>+'Grasmere Pig Cost'!U61+'Learig Pig Cost'!U61+'Lionhead Pig Cost'!U61+'Lionhead Ext. Pig Cost'!U61+'Villa Pig Cost'!U61+'Richlands Pig Cost'!U61</f>
        <v>0</v>
      </c>
      <c r="V56" s="807">
        <f>+'Grasmere Pig Cost'!V61+'Learig Pig Cost'!V61+'Lionhead Pig Cost'!V61+'Lionhead Ext. Pig Cost'!V61+'Villa Pig Cost'!V61+'Richlands Pig Cost'!V61</f>
        <v>0</v>
      </c>
      <c r="W56" s="807">
        <f>+'Grasmere Pig Cost'!W61+'Learig Pig Cost'!W61+'Lionhead Pig Cost'!W61+'Lionhead Ext. Pig Cost'!W61+'Villa Pig Cost'!W61+'Richlands Pig Cost'!W61</f>
        <v>0</v>
      </c>
      <c r="X56" s="807">
        <f>+'Grasmere Pig Cost'!X61+'Learig Pig Cost'!X61+'Lionhead Pig Cost'!X61+'Lionhead Ext. Pig Cost'!X61+'Villa Pig Cost'!X61+'Richlands Pig Cost'!X61</f>
        <v>0</v>
      </c>
      <c r="Y56" s="807">
        <f>+'Grasmere Pig Cost'!Y61+'Learig Pig Cost'!Y61+'Lionhead Pig Cost'!Y61+'Lionhead Ext. Pig Cost'!Y61+'Villa Pig Cost'!Y61+'Richlands Pig Cost'!Y61</f>
        <v>0</v>
      </c>
      <c r="Z56" s="807">
        <f>+'Grasmere Pig Cost'!Z61+'Learig Pig Cost'!Z61+'Lionhead Pig Cost'!Z61+'Lionhead Ext. Pig Cost'!Z61+'Villa Pig Cost'!Z61+'Richlands Pig Cost'!Z61</f>
        <v>0</v>
      </c>
      <c r="AA56" s="807">
        <f>+'Grasmere Pig Cost'!AA61+'Learig Pig Cost'!AA61+'Lionhead Pig Cost'!AA61+'Lionhead Ext. Pig Cost'!AA61+'Villa Pig Cost'!AA61+'Richlands Pig Cost'!AA61</f>
        <v>0</v>
      </c>
      <c r="AB56" s="807">
        <f>+'Grasmere Pig Cost'!AB61+'Learig Pig Cost'!AB61+'Lionhead Pig Cost'!AB61+'Lionhead Ext. Pig Cost'!AB61+'Villa Pig Cost'!AB61+'Richlands Pig Cost'!AB61</f>
        <v>0</v>
      </c>
      <c r="AC56" s="807">
        <f>+'Grasmere Pig Cost'!AC61+'Learig Pig Cost'!AC61+'Lionhead Pig Cost'!AC61+'Lionhead Ext. Pig Cost'!AC61+'Villa Pig Cost'!AC61+'Richlands Pig Cost'!AC61</f>
        <v>0</v>
      </c>
      <c r="AD56" s="807">
        <f>+'Grasmere Pig Cost'!AD61+'Learig Pig Cost'!AD61+'Lionhead Pig Cost'!AD61+'Lionhead Ext. Pig Cost'!AD61+'Villa Pig Cost'!AD61+'Richlands Pig Cost'!AD61</f>
        <v>0</v>
      </c>
      <c r="AE56" s="807">
        <f>+'Grasmere Pig Cost'!AE61+'Learig Pig Cost'!AE61+'Lionhead Pig Cost'!AE61+'Lionhead Ext. Pig Cost'!AE61+'Villa Pig Cost'!AE61+'Richlands Pig Cost'!AE61</f>
        <v>0</v>
      </c>
      <c r="AF56" s="807">
        <f>+'Grasmere Pig Cost'!AF61+'Learig Pig Cost'!AF61+'Lionhead Pig Cost'!AF61+'Lionhead Ext. Pig Cost'!AF61+'Villa Pig Cost'!AF61+'Richlands Pig Cost'!AF61</f>
        <v>0</v>
      </c>
      <c r="AG56" s="807">
        <f>+'Grasmere Pig Cost'!AG61+'Learig Pig Cost'!AG61+'Lionhead Pig Cost'!AG61+'Lionhead Ext. Pig Cost'!AG61+'Villa Pig Cost'!AG61+'Richlands Pig Cost'!AG61</f>
        <v>0</v>
      </c>
      <c r="AH56" s="807">
        <f>+'Grasmere Pig Cost'!AH61+'Learig Pig Cost'!AH61+'Lionhead Pig Cost'!AH61+'Lionhead Ext. Pig Cost'!AH61+'Villa Pig Cost'!AH61+'Richlands Pig Cost'!AH61</f>
        <v>0</v>
      </c>
      <c r="AI56" s="807">
        <f>+'Grasmere Pig Cost'!AI61+'Learig Pig Cost'!AI61+'Lionhead Pig Cost'!AI61+'Lionhead Ext. Pig Cost'!AI61+'Villa Pig Cost'!AI61+'Richlands Pig Cost'!AI61</f>
        <v>0</v>
      </c>
      <c r="AJ56" s="807">
        <f>+'Grasmere Pig Cost'!AJ61+'Learig Pig Cost'!AJ61+'Lionhead Pig Cost'!AJ61+'Lionhead Ext. Pig Cost'!AJ61+'Villa Pig Cost'!AJ61+'Richlands Pig Cost'!AJ61</f>
        <v>0</v>
      </c>
      <c r="AK56" s="807">
        <f>+'Grasmere Pig Cost'!AK61+'Learig Pig Cost'!AK61+'Lionhead Pig Cost'!AK61+'Lionhead Ext. Pig Cost'!AK61+'Villa Pig Cost'!AK61+'Richlands Pig Cost'!AK61</f>
        <v>0</v>
      </c>
      <c r="AL56" s="807">
        <f>+'Grasmere Pig Cost'!AL61+'Learig Pig Cost'!AL61+'Lionhead Pig Cost'!AL61+'Lionhead Ext. Pig Cost'!AL61+'Villa Pig Cost'!AL61+'Richlands Pig Cost'!AL61</f>
        <v>0</v>
      </c>
      <c r="AM56" s="807">
        <f>+'Grasmere Pig Cost'!AM61+'Learig Pig Cost'!AM61+'Lionhead Pig Cost'!AM61+'Lionhead Ext. Pig Cost'!AM61+'Villa Pig Cost'!AM61+'Richlands Pig Cost'!AM61</f>
        <v>0</v>
      </c>
      <c r="AN56" s="807">
        <f>+'Grasmere Pig Cost'!AN61+'Learig Pig Cost'!AN61+'Lionhead Pig Cost'!AN61+'Lionhead Ext. Pig Cost'!AN61+'Villa Pig Cost'!AN61+'Richlands Pig Cost'!AN61</f>
        <v>-149706.08012031592</v>
      </c>
      <c r="AO56" s="807">
        <f>+'Grasmere Pig Cost'!AO61+'Learig Pig Cost'!AO61+'Lionhead Pig Cost'!AO61+'Lionhead Ext. Pig Cost'!AO61+'Villa Pig Cost'!AO61+'Richlands Pig Cost'!AO61</f>
        <v>-446335.12141557317</v>
      </c>
      <c r="AP56" s="807">
        <f>+'Grasmere Pig Cost'!AP61+'Learig Pig Cost'!AP61+'Lionhead Pig Cost'!AP61+'Lionhead Ext. Pig Cost'!AP61+'Villa Pig Cost'!AP61+'Richlands Pig Cost'!AP61</f>
        <v>-829097.77465169982</v>
      </c>
      <c r="AQ56" s="807">
        <f>+'Grasmere Pig Cost'!AQ61+'Learig Pig Cost'!AQ61+'Lionhead Pig Cost'!AQ61+'Lionhead Ext. Pig Cost'!AQ61+'Villa Pig Cost'!AQ61+'Richlands Pig Cost'!AQ61</f>
        <v>-1032108.9800650338</v>
      </c>
      <c r="AR56" s="807">
        <f>+'Grasmere Pig Cost'!AR61+'Learig Pig Cost'!AR61+'Lionhead Pig Cost'!AR61+'Lionhead Ext. Pig Cost'!AR61+'Villa Pig Cost'!AR61+'Richlands Pig Cost'!AR61</f>
        <v>-820134.16658612282</v>
      </c>
      <c r="AS56" s="807">
        <f>+'Grasmere Pig Cost'!AS61+'Learig Pig Cost'!AS61+'Lionhead Pig Cost'!AS61+'Lionhead Ext. Pig Cost'!AS61+'Villa Pig Cost'!AS61+'Richlands Pig Cost'!AS61</f>
        <v>-431748.89959839097</v>
      </c>
      <c r="AT56" s="807">
        <f>+'Grasmere Pig Cost'!AT61+'Learig Pig Cost'!AT61+'Lionhead Pig Cost'!AT61+'Lionhead Ext. Pig Cost'!AT61+'Villa Pig Cost'!AT61+'Richlands Pig Cost'!AT61</f>
        <v>-2917.9989437308504</v>
      </c>
      <c r="AU56" s="1579">
        <f>SUM(B56:AT56)</f>
        <v>-3712049.0213808669</v>
      </c>
      <c r="AV56" s="1088">
        <f>+'Grasmere Pig Cost'!AU61+'Learig Pig Cost'!AU61+'Lionhead Pig Cost'!AU61+'Lionhead Ext. Pig Cost'!AU61+'Villa Pig Cost'!AU61+'Richlands Pig Cost'!AU61</f>
        <v>-3712049.0213808673</v>
      </c>
      <c r="AW56" s="818">
        <f>+AU56-AV56</f>
        <v>0</v>
      </c>
      <c r="AX56" s="1059"/>
    </row>
    <row r="57" spans="1:54" s="1559" customFormat="1" ht="15.6">
      <c r="A57" s="1559" t="s">
        <v>1810</v>
      </c>
      <c r="B57" s="1562">
        <f>SUM(B52:B56)+B38</f>
        <v>19489.854260089687</v>
      </c>
      <c r="C57" s="1562">
        <f>SUM(C52:C56)+C38</f>
        <v>19489.854260089687</v>
      </c>
      <c r="D57" s="1562">
        <f t="shared" ref="D57:AS57" si="28">SUM(D52:D56)+D38</f>
        <v>19489.854260089687</v>
      </c>
      <c r="E57" s="1562">
        <f t="shared" si="28"/>
        <v>19489.854260089687</v>
      </c>
      <c r="F57" s="1562">
        <f t="shared" si="28"/>
        <v>44672.582959641251</v>
      </c>
      <c r="G57" s="1562">
        <f t="shared" si="28"/>
        <v>44672.582959641251</v>
      </c>
      <c r="H57" s="1562">
        <f t="shared" si="28"/>
        <v>44672.582959641251</v>
      </c>
      <c r="I57" s="1562">
        <f t="shared" si="28"/>
        <v>44672.582959641251</v>
      </c>
      <c r="J57" s="1562">
        <f t="shared" si="28"/>
        <v>42533.229596412551</v>
      </c>
      <c r="K57" s="1562">
        <f t="shared" si="28"/>
        <v>63920.752017937215</v>
      </c>
      <c r="L57" s="1562">
        <f t="shared" si="28"/>
        <v>63920.752017937215</v>
      </c>
      <c r="M57" s="1562">
        <f t="shared" si="28"/>
        <v>63920.752017937215</v>
      </c>
      <c r="N57" s="1562">
        <f t="shared" si="28"/>
        <v>67818.722869955149</v>
      </c>
      <c r="O57" s="1562">
        <f t="shared" si="28"/>
        <v>86919.049551569507</v>
      </c>
      <c r="P57" s="1562">
        <f t="shared" si="28"/>
        <v>86919.049551569507</v>
      </c>
      <c r="Q57" s="1562">
        <f t="shared" si="28"/>
        <v>86919.049551569507</v>
      </c>
      <c r="R57" s="1562">
        <f t="shared" si="28"/>
        <v>109418.50470852019</v>
      </c>
      <c r="S57" s="1562">
        <f t="shared" si="28"/>
        <v>124872.3027138414</v>
      </c>
      <c r="T57" s="1562">
        <f t="shared" si="28"/>
        <v>145913.81200426974</v>
      </c>
      <c r="U57" s="1562">
        <f t="shared" si="28"/>
        <v>159228.90704534459</v>
      </c>
      <c r="V57" s="1562">
        <f t="shared" si="28"/>
        <v>139460.67498832088</v>
      </c>
      <c r="W57" s="1562">
        <f t="shared" si="28"/>
        <v>120739.5698160316</v>
      </c>
      <c r="X57" s="1562">
        <f t="shared" si="28"/>
        <v>212105.22681880734</v>
      </c>
      <c r="Y57" s="1562">
        <f t="shared" si="28"/>
        <v>237066.72600115809</v>
      </c>
      <c r="Z57" s="1562">
        <f t="shared" si="28"/>
        <v>256330.27079131914</v>
      </c>
      <c r="AA57" s="1562">
        <f t="shared" si="28"/>
        <v>261610.89191018211</v>
      </c>
      <c r="AB57" s="1562">
        <f t="shared" si="28"/>
        <v>312124.54873862432</v>
      </c>
      <c r="AC57" s="1562">
        <f t="shared" si="28"/>
        <v>382083.19726899714</v>
      </c>
      <c r="AD57" s="1562">
        <f t="shared" si="28"/>
        <v>493586.14048320276</v>
      </c>
      <c r="AE57" s="1562">
        <f t="shared" si="28"/>
        <v>490256.40482173214</v>
      </c>
      <c r="AF57" s="1562">
        <f t="shared" si="28"/>
        <v>508134.07911211019</v>
      </c>
      <c r="AG57" s="1562">
        <f t="shared" si="28"/>
        <v>583274.69642245804</v>
      </c>
      <c r="AH57" s="1562">
        <f t="shared" si="28"/>
        <v>704758.26023547619</v>
      </c>
      <c r="AI57" s="1562">
        <f t="shared" si="28"/>
        <v>747239.3085375448</v>
      </c>
      <c r="AJ57" s="1562">
        <f t="shared" si="28"/>
        <v>749960.37583065103</v>
      </c>
      <c r="AK57" s="1562">
        <f t="shared" si="28"/>
        <v>821221.79088186112</v>
      </c>
      <c r="AL57" s="1562">
        <f t="shared" si="28"/>
        <v>921875.77102456708</v>
      </c>
      <c r="AM57" s="1562">
        <f t="shared" si="28"/>
        <v>1010050.898612874</v>
      </c>
      <c r="AN57" s="1562">
        <f t="shared" si="28"/>
        <v>765808.24269928783</v>
      </c>
      <c r="AO57" s="1562">
        <f t="shared" si="28"/>
        <v>405021.40993741289</v>
      </c>
      <c r="AP57" s="1562">
        <f t="shared" si="28"/>
        <v>0</v>
      </c>
      <c r="AQ57" s="1562">
        <f t="shared" si="28"/>
        <v>0</v>
      </c>
      <c r="AR57" s="1562">
        <f t="shared" si="28"/>
        <v>0</v>
      </c>
      <c r="AS57" s="1562">
        <f t="shared" si="28"/>
        <v>0</v>
      </c>
      <c r="AT57" s="1562">
        <f>SUM(AT52:AT56)+AT38</f>
        <v>0</v>
      </c>
      <c r="AU57" s="1579">
        <f>SUM(B57:AT57)</f>
        <v>11481663.117458407</v>
      </c>
      <c r="AV57" s="1088">
        <f>SUM(AV52:AV56)+AV38</f>
        <v>11492554.75421265</v>
      </c>
      <c r="AW57" s="818">
        <f>+AV57-AU57</f>
        <v>10891.636754242703</v>
      </c>
      <c r="AX57" s="1562"/>
      <c r="AY57" s="1059"/>
    </row>
    <row r="58" spans="1:54" ht="15.6">
      <c r="B58" s="1562">
        <f>+'Grasmere Pig Cost'!B62+'Lionhead Pig Cost'!B62+'Villa Pig Cost'!B62+'Richlands Pig Cost'!B62+'Learig Pig Cost'!B62+'Lionhead Ext. Pig Cost'!B62</f>
        <v>19489.854260089687</v>
      </c>
      <c r="C58" s="1562">
        <f>+'Grasmere Pig Cost'!C62+'Lionhead Pig Cost'!C62+'Villa Pig Cost'!C62+'Richlands Pig Cost'!C62+'Learig Pig Cost'!C62+'Lionhead Ext. Pig Cost'!C62</f>
        <v>19489.854260089687</v>
      </c>
      <c r="D58" s="1562">
        <f>+'Grasmere Pig Cost'!D62+'Lionhead Pig Cost'!D62+'Villa Pig Cost'!D62+'Richlands Pig Cost'!D62+'Learig Pig Cost'!D62+'Lionhead Ext. Pig Cost'!D62</f>
        <v>19489.854260089687</v>
      </c>
      <c r="E58" s="1562">
        <f>+'Grasmere Pig Cost'!E62+'Lionhead Pig Cost'!E62+'Villa Pig Cost'!E62+'Richlands Pig Cost'!E62+'Learig Pig Cost'!E62+'Lionhead Ext. Pig Cost'!E62</f>
        <v>19489.854260089687</v>
      </c>
      <c r="F58" s="1562">
        <f>+'Grasmere Pig Cost'!F62+'Lionhead Pig Cost'!F62+'Villa Pig Cost'!F62+'Richlands Pig Cost'!F62+'Learig Pig Cost'!F62+'Lionhead Ext. Pig Cost'!F62</f>
        <v>44672.582959641251</v>
      </c>
      <c r="G58" s="1562">
        <f>+'Grasmere Pig Cost'!G62+'Lionhead Pig Cost'!G62+'Villa Pig Cost'!G62+'Richlands Pig Cost'!G62+'Learig Pig Cost'!G62+'Lionhead Ext. Pig Cost'!G62</f>
        <v>44672.582959641251</v>
      </c>
      <c r="H58" s="1562">
        <f>+'Grasmere Pig Cost'!H62+'Lionhead Pig Cost'!H62+'Villa Pig Cost'!H62+'Richlands Pig Cost'!H62+'Learig Pig Cost'!H62+'Lionhead Ext. Pig Cost'!H62</f>
        <v>44672.582959641251</v>
      </c>
      <c r="I58" s="1562">
        <f>+'Grasmere Pig Cost'!I62+'Lionhead Pig Cost'!I62+'Villa Pig Cost'!I62+'Richlands Pig Cost'!I62+'Learig Pig Cost'!I62+'Lionhead Ext. Pig Cost'!I62</f>
        <v>44672.582959641251</v>
      </c>
      <c r="J58" s="1562">
        <f>+'Grasmere Pig Cost'!J62+'Lionhead Pig Cost'!J62+'Villa Pig Cost'!J62+'Richlands Pig Cost'!J62+'Learig Pig Cost'!J62+'Lionhead Ext. Pig Cost'!J62</f>
        <v>42533.229596412551</v>
      </c>
      <c r="K58" s="1562">
        <f>+'Grasmere Pig Cost'!K62+'Lionhead Pig Cost'!K62+'Villa Pig Cost'!K62+'Richlands Pig Cost'!K62+'Learig Pig Cost'!K62+'Lionhead Ext. Pig Cost'!K62</f>
        <v>63920.752017937215</v>
      </c>
      <c r="L58" s="1562">
        <f>+'Grasmere Pig Cost'!L62+'Lionhead Pig Cost'!L62+'Villa Pig Cost'!L62+'Richlands Pig Cost'!L62+'Learig Pig Cost'!L62+'Lionhead Ext. Pig Cost'!L62</f>
        <v>63920.752017937215</v>
      </c>
      <c r="M58" s="1562">
        <f>+'Grasmere Pig Cost'!M62+'Lionhead Pig Cost'!M62+'Villa Pig Cost'!M62+'Richlands Pig Cost'!M62+'Learig Pig Cost'!M62+'Lionhead Ext. Pig Cost'!M62</f>
        <v>63920.752017937215</v>
      </c>
      <c r="N58" s="1562">
        <f>+'Grasmere Pig Cost'!N62+'Lionhead Pig Cost'!N62+'Villa Pig Cost'!N62+'Richlands Pig Cost'!N62+'Learig Pig Cost'!N62+'Lionhead Ext. Pig Cost'!N62</f>
        <v>67818.722869955149</v>
      </c>
      <c r="O58" s="1562">
        <f>+'Grasmere Pig Cost'!O62+'Lionhead Pig Cost'!O62+'Villa Pig Cost'!O62+'Richlands Pig Cost'!O62+'Learig Pig Cost'!O62+'Lionhead Ext. Pig Cost'!O62</f>
        <v>86919.049551569507</v>
      </c>
      <c r="P58" s="1562">
        <f>+'Grasmere Pig Cost'!P62+'Lionhead Pig Cost'!P62+'Villa Pig Cost'!P62+'Richlands Pig Cost'!P62+'Learig Pig Cost'!P62+'Lionhead Ext. Pig Cost'!P62</f>
        <v>86919.049551569507</v>
      </c>
      <c r="Q58" s="1562">
        <f>+'Grasmere Pig Cost'!Q62+'Lionhead Pig Cost'!Q62+'Villa Pig Cost'!Q62+'Richlands Pig Cost'!Q62+'Learig Pig Cost'!Q62+'Lionhead Ext. Pig Cost'!Q62</f>
        <v>86919.049551569507</v>
      </c>
      <c r="R58" s="1562">
        <f>+'Grasmere Pig Cost'!R62+'Lionhead Pig Cost'!R62+'Villa Pig Cost'!R62+'Richlands Pig Cost'!R62+'Learig Pig Cost'!R62+'Lionhead Ext. Pig Cost'!R62</f>
        <v>109418.50470852019</v>
      </c>
      <c r="S58" s="1562">
        <f>+'Grasmere Pig Cost'!S62+'Lionhead Pig Cost'!S62+'Villa Pig Cost'!S62+'Richlands Pig Cost'!S62+'Learig Pig Cost'!S62+'Lionhead Ext. Pig Cost'!S62</f>
        <v>124872.3027138414</v>
      </c>
      <c r="T58" s="1562">
        <f>+'Grasmere Pig Cost'!T62+'Lionhead Pig Cost'!T62+'Villa Pig Cost'!T62+'Richlands Pig Cost'!T62+'Learig Pig Cost'!T62+'Lionhead Ext. Pig Cost'!T62</f>
        <v>145913.81200426974</v>
      </c>
      <c r="U58" s="1562">
        <f>+'Grasmere Pig Cost'!U62+'Lionhead Pig Cost'!U62+'Villa Pig Cost'!U62+'Richlands Pig Cost'!U62+'Learig Pig Cost'!U62+'Lionhead Ext. Pig Cost'!U62</f>
        <v>159228.90704534456</v>
      </c>
      <c r="V58" s="1562">
        <f>+'Grasmere Pig Cost'!V62+'Lionhead Pig Cost'!V62+'Villa Pig Cost'!V62+'Richlands Pig Cost'!V62+'Learig Pig Cost'!V62+'Lionhead Ext. Pig Cost'!V62</f>
        <v>139460.67498832091</v>
      </c>
      <c r="W58" s="1562">
        <f>+'Grasmere Pig Cost'!W62+'Lionhead Pig Cost'!W62+'Villa Pig Cost'!W62+'Richlands Pig Cost'!W62+'Learig Pig Cost'!W62+'Lionhead Ext. Pig Cost'!W62</f>
        <v>123312.74826473951</v>
      </c>
      <c r="X58" s="1562">
        <f>+'Grasmere Pig Cost'!X62+'Lionhead Pig Cost'!X62+'Villa Pig Cost'!X62+'Richlands Pig Cost'!X62+'Learig Pig Cost'!X62+'Lionhead Ext. Pig Cost'!X62</f>
        <v>214806.00145704884</v>
      </c>
      <c r="Y58" s="1562">
        <f>+'Grasmere Pig Cost'!Y62+'Lionhead Pig Cost'!Y62+'Villa Pig Cost'!Y62+'Richlands Pig Cost'!Y62+'Learig Pig Cost'!Y62+'Lionhead Ext. Pig Cost'!Y62</f>
        <v>239137.67813192331</v>
      </c>
      <c r="Z58" s="1562">
        <f>+'Grasmere Pig Cost'!Z62+'Lionhead Pig Cost'!Z62+'Villa Pig Cost'!Z62+'Richlands Pig Cost'!Z62+'Learig Pig Cost'!Z62+'Lionhead Ext. Pig Cost'!Z62</f>
        <v>259877.0023278502</v>
      </c>
      <c r="AA58" s="1562">
        <f>+'Grasmere Pig Cost'!AA62+'Lionhead Pig Cost'!AA62+'Villa Pig Cost'!AA62+'Richlands Pig Cost'!AA62+'Learig Pig Cost'!AA62+'Lionhead Ext. Pig Cost'!AA62</f>
        <v>261610.89191018208</v>
      </c>
      <c r="AB58" s="1562">
        <f>+'Grasmere Pig Cost'!AB62+'Lionhead Pig Cost'!AB62+'Villa Pig Cost'!AB62+'Richlands Pig Cost'!AB62+'Learig Pig Cost'!AB62+'Lionhead Ext. Pig Cost'!AB62</f>
        <v>312124.54873862426</v>
      </c>
      <c r="AC58" s="1562">
        <f>+'Grasmere Pig Cost'!AC62+'Lionhead Pig Cost'!AC62+'Villa Pig Cost'!AC62+'Richlands Pig Cost'!AC62+'Learig Pig Cost'!AC62+'Lionhead Ext. Pig Cost'!AC62</f>
        <v>382083.19726899714</v>
      </c>
      <c r="AD58" s="1562">
        <f>+'Grasmere Pig Cost'!AD62+'Lionhead Pig Cost'!AD62+'Villa Pig Cost'!AD62+'Richlands Pig Cost'!AD62+'Learig Pig Cost'!AD62+'Lionhead Ext. Pig Cost'!AD62</f>
        <v>493586.1404832027</v>
      </c>
      <c r="AE58" s="1562">
        <f>+'Grasmere Pig Cost'!AE62+'Lionhead Pig Cost'!AE62+'Villa Pig Cost'!AE62+'Richlands Pig Cost'!AE62+'Learig Pig Cost'!AE62+'Lionhead Ext. Pig Cost'!AE62</f>
        <v>490256.4048217322</v>
      </c>
      <c r="AF58" s="1562">
        <f>+'Grasmere Pig Cost'!AF62+'Lionhead Pig Cost'!AF62+'Villa Pig Cost'!AF62+'Richlands Pig Cost'!AF62+'Learig Pig Cost'!AF62+'Lionhead Ext. Pig Cost'!AF62</f>
        <v>508134.07911211014</v>
      </c>
      <c r="AG58" s="1562">
        <f>+'Grasmere Pig Cost'!AG62+'Lionhead Pig Cost'!AG62+'Villa Pig Cost'!AG62+'Richlands Pig Cost'!AG62+'Learig Pig Cost'!AG62+'Lionhead Ext. Pig Cost'!AG62</f>
        <v>583274.69642245804</v>
      </c>
      <c r="AH58" s="1562">
        <f>+'Grasmere Pig Cost'!AH62+'Lionhead Pig Cost'!AH62+'Villa Pig Cost'!AH62+'Richlands Pig Cost'!AH62+'Learig Pig Cost'!AH62+'Lionhead Ext. Pig Cost'!AH62</f>
        <v>704758.26023547607</v>
      </c>
      <c r="AI58" s="1562">
        <f>+'Grasmere Pig Cost'!AI62+'Lionhead Pig Cost'!AI62+'Villa Pig Cost'!AI62+'Richlands Pig Cost'!AI62+'Learig Pig Cost'!AI62+'Lionhead Ext. Pig Cost'!AI62</f>
        <v>747239.30853754492</v>
      </c>
      <c r="AJ58" s="1562">
        <f>+'Grasmere Pig Cost'!AJ62+'Lionhead Pig Cost'!AJ62+'Villa Pig Cost'!AJ62+'Richlands Pig Cost'!AJ62+'Learig Pig Cost'!AJ62+'Lionhead Ext. Pig Cost'!AJ62</f>
        <v>749960.37583065091</v>
      </c>
      <c r="AK58" s="1562">
        <f>+'Grasmere Pig Cost'!AK62+'Lionhead Pig Cost'!AK62+'Villa Pig Cost'!AK62+'Richlands Pig Cost'!AK62+'Learig Pig Cost'!AK62+'Lionhead Ext. Pig Cost'!AK62</f>
        <v>821221.790881861</v>
      </c>
      <c r="AL58" s="1562">
        <f>+'Grasmere Pig Cost'!AL62+'Lionhead Pig Cost'!AL62+'Villa Pig Cost'!AL62+'Richlands Pig Cost'!AL62+'Learig Pig Cost'!AL62+'Lionhead Ext. Pig Cost'!AL62</f>
        <v>921875.77102456719</v>
      </c>
      <c r="AM58" s="1562">
        <f>+'Grasmere Pig Cost'!AM62+'Lionhead Pig Cost'!AM62+'Villa Pig Cost'!AM62+'Richlands Pig Cost'!AM62+'Learig Pig Cost'!AM62+'Lionhead Ext. Pig Cost'!AM62</f>
        <v>1010050.898612874</v>
      </c>
      <c r="AN58" s="1562">
        <f>+'Grasmere Pig Cost'!AN62+'Lionhead Pig Cost'!AN62+'Villa Pig Cost'!AN62+'Richlands Pig Cost'!AN62+'Learig Pig Cost'!AN62+'Lionhead Ext. Pig Cost'!AN62</f>
        <v>765808.24269928795</v>
      </c>
      <c r="AO58" s="1562">
        <f>+'Grasmere Pig Cost'!AO62+'Lionhead Pig Cost'!AO62+'Villa Pig Cost'!AP62+'Richlands Pig Cost'!AO62+'Learig Pig Cost'!AO62+'Lionhead Ext. Pig Cost'!AO62</f>
        <v>392802.83939978917</v>
      </c>
      <c r="AP58" s="1562">
        <f>+'Grasmere Pig Cost'!AP62+'Lionhead Pig Cost'!AP62+'Villa Pig Cost'!AQ62+'Richlands Pig Cost'!AP62+'Learig Pig Cost'!AP62+'Lionhead Ext. Pig Cost'!AP62</f>
        <v>2.9103830456733704E-11</v>
      </c>
      <c r="AQ58" s="1562">
        <f>+'Grasmere Pig Cost'!AQ62+'Lionhead Pig Cost'!AQ62+'Villa Pig Cost'!AR62+'Richlands Pig Cost'!AQ62+'Learig Pig Cost'!AQ62+'Lionhead Ext. Pig Cost'!AQ62</f>
        <v>0</v>
      </c>
      <c r="AR58" s="1562">
        <f>+'Grasmere Pig Cost'!AR62+'Lionhead Pig Cost'!AR62+'Villa Pig Cost'!AS62+'Richlands Pig Cost'!AR62+'Learig Pig Cost'!AR62+'Lionhead Ext. Pig Cost'!AR62</f>
        <v>0</v>
      </c>
      <c r="AS58" s="1562">
        <f>+'Grasmere Pig Cost'!AS62+'Lionhead Pig Cost'!AS62+'Villa Pig Cost'!AT62+'Richlands Pig Cost'!AS62+'Learig Pig Cost'!AS62+'Lionhead Ext. Pig Cost'!AS62</f>
        <v>2.9103830456733704E-11</v>
      </c>
      <c r="AT58" s="1562" t="e">
        <f>+'Grasmere Pig Cost'!AT62+'Lionhead Pig Cost'!AT62+'Villa Pig Cost'!#REF!+'Richlands Pig Cost'!AT62+'Learig Pig Cost'!AT62+'Lionhead Ext. Pig Cost'!AT62</f>
        <v>#REF!</v>
      </c>
      <c r="AU58" s="1562"/>
      <c r="AV58" s="1562">
        <f>+'Grasmere Pig Cost'!AV62+'Lionhead Pig Cost'!AV62+'Villa Pig Cost'!AV62+'Richlands Pig Cost'!AV62+'Learig Pig Cost'!AV62</f>
        <v>0</v>
      </c>
      <c r="AW58" s="1091"/>
      <c r="AX58" s="1059"/>
    </row>
    <row r="59" spans="1:54">
      <c r="B59" s="818">
        <f>+B57-B58</f>
        <v>0</v>
      </c>
      <c r="C59" s="818">
        <f t="shared" ref="C59:AM59" si="29">+C57-C58</f>
        <v>0</v>
      </c>
      <c r="D59" s="818">
        <f t="shared" si="29"/>
        <v>0</v>
      </c>
      <c r="E59" s="818">
        <f t="shared" si="29"/>
        <v>0</v>
      </c>
      <c r="F59" s="818">
        <f t="shared" si="29"/>
        <v>0</v>
      </c>
      <c r="G59" s="818">
        <f t="shared" si="29"/>
        <v>0</v>
      </c>
      <c r="H59" s="818">
        <f t="shared" si="29"/>
        <v>0</v>
      </c>
      <c r="I59" s="818">
        <f t="shared" si="29"/>
        <v>0</v>
      </c>
      <c r="J59" s="818">
        <f t="shared" si="29"/>
        <v>0</v>
      </c>
      <c r="K59" s="818">
        <f t="shared" si="29"/>
        <v>0</v>
      </c>
      <c r="L59" s="818">
        <f t="shared" si="29"/>
        <v>0</v>
      </c>
      <c r="M59" s="818">
        <f t="shared" si="29"/>
        <v>0</v>
      </c>
      <c r="N59" s="818">
        <f t="shared" si="29"/>
        <v>0</v>
      </c>
      <c r="O59" s="818">
        <f t="shared" si="29"/>
        <v>0</v>
      </c>
      <c r="P59" s="818">
        <f t="shared" si="29"/>
        <v>0</v>
      </c>
      <c r="Q59" s="818">
        <f t="shared" si="29"/>
        <v>0</v>
      </c>
      <c r="R59" s="818">
        <f t="shared" si="29"/>
        <v>0</v>
      </c>
      <c r="S59" s="818">
        <f>+S57-S58</f>
        <v>0</v>
      </c>
      <c r="T59" s="818">
        <f t="shared" si="29"/>
        <v>0</v>
      </c>
      <c r="U59" s="818">
        <f t="shared" si="29"/>
        <v>0</v>
      </c>
      <c r="V59" s="818">
        <f t="shared" si="29"/>
        <v>0</v>
      </c>
      <c r="W59" s="818">
        <f t="shared" si="29"/>
        <v>-2573.178448707913</v>
      </c>
      <c r="X59" s="818">
        <f t="shared" si="29"/>
        <v>-2700.7746382415062</v>
      </c>
      <c r="Y59" s="818">
        <f t="shared" si="29"/>
        <v>-2070.9521307652176</v>
      </c>
      <c r="Z59" s="818">
        <f>+Z57-Z58</f>
        <v>-3546.7315365310642</v>
      </c>
      <c r="AA59" s="818">
        <f t="shared" si="29"/>
        <v>0</v>
      </c>
      <c r="AB59" s="818">
        <f t="shared" si="29"/>
        <v>0</v>
      </c>
      <c r="AC59" s="818">
        <f t="shared" si="29"/>
        <v>0</v>
      </c>
      <c r="AD59" s="818">
        <f t="shared" si="29"/>
        <v>0</v>
      </c>
      <c r="AE59" s="818">
        <f t="shared" si="29"/>
        <v>0</v>
      </c>
      <c r="AF59" s="818">
        <f t="shared" si="29"/>
        <v>0</v>
      </c>
      <c r="AG59" s="818">
        <f t="shared" si="29"/>
        <v>0</v>
      </c>
      <c r="AH59" s="818">
        <f t="shared" si="29"/>
        <v>0</v>
      </c>
      <c r="AI59" s="818">
        <f t="shared" si="29"/>
        <v>0</v>
      </c>
      <c r="AJ59" s="818">
        <f t="shared" si="29"/>
        <v>0</v>
      </c>
      <c r="AK59" s="818">
        <f t="shared" si="29"/>
        <v>0</v>
      </c>
      <c r="AL59" s="818">
        <f t="shared" si="29"/>
        <v>0</v>
      </c>
      <c r="AM59" s="818">
        <f t="shared" si="29"/>
        <v>0</v>
      </c>
      <c r="AN59" s="818">
        <f>+AN57-AN58</f>
        <v>0</v>
      </c>
      <c r="AO59" s="818">
        <f>+AO57-AO58</f>
        <v>12218.570537623717</v>
      </c>
      <c r="AP59" s="818">
        <f>+AP57-AP58</f>
        <v>-2.9103830456733704E-11</v>
      </c>
      <c r="AQ59" s="818"/>
      <c r="AR59" s="818"/>
      <c r="AS59" s="818"/>
      <c r="AT59" s="818"/>
      <c r="AU59" s="1057" t="e">
        <f>AU57/AU27</f>
        <v>#REF!</v>
      </c>
      <c r="AV59" s="1057">
        <f>AV57/AV27</f>
        <v>135.91970520865542</v>
      </c>
      <c r="AZ59" s="817"/>
      <c r="BB59" s="1091"/>
    </row>
    <row r="60" spans="1:54">
      <c r="AU60" s="1760"/>
    </row>
    <row r="61" spans="1:54" hidden="1"/>
    <row r="62" spans="1:54" hidden="1"/>
    <row r="63" spans="1:54" ht="15.6" hidden="1">
      <c r="A63" s="1563" t="s">
        <v>1836</v>
      </c>
      <c r="B63" s="1061"/>
      <c r="C63" s="1061"/>
      <c r="D63" s="1061"/>
      <c r="E63" s="1061"/>
      <c r="F63" s="1061"/>
      <c r="G63" s="1061"/>
      <c r="H63" s="1061"/>
      <c r="I63" s="1061"/>
      <c r="J63" s="1061"/>
      <c r="K63" s="1061"/>
      <c r="L63" s="1061"/>
      <c r="M63" s="1061"/>
      <c r="N63" s="1061"/>
      <c r="O63" s="1061"/>
      <c r="P63" s="1061"/>
      <c r="Q63" s="1061"/>
      <c r="R63" s="1061"/>
      <c r="S63" s="1061"/>
      <c r="T63" s="1061"/>
      <c r="U63" s="1061"/>
      <c r="V63" s="1061"/>
      <c r="W63" s="1061"/>
      <c r="X63" s="1061"/>
      <c r="Y63" s="1061"/>
      <c r="Z63" s="1061"/>
      <c r="AA63" s="1061"/>
      <c r="AB63" s="1061"/>
      <c r="AC63" s="1061"/>
      <c r="AD63" s="1061"/>
      <c r="AE63" s="1061"/>
      <c r="AF63" s="1061"/>
      <c r="AG63" s="1061"/>
      <c r="AH63" s="1061"/>
      <c r="AI63" s="1061"/>
      <c r="AJ63" s="1061"/>
      <c r="AK63" s="1061"/>
      <c r="AL63" s="1061"/>
      <c r="AM63" s="1061"/>
      <c r="AN63" s="1061"/>
      <c r="AO63" s="1061"/>
      <c r="AP63" s="1061"/>
      <c r="AQ63" s="1061"/>
      <c r="AR63" s="1061"/>
      <c r="AS63" s="1061"/>
      <c r="AT63" s="1061"/>
      <c r="AU63" s="1062"/>
      <c r="AV63" s="1061"/>
      <c r="AX63" s="1061"/>
    </row>
    <row r="64" spans="1:54" ht="15.6" hidden="1">
      <c r="A64" s="1061" t="s">
        <v>127</v>
      </c>
      <c r="B64" s="1061"/>
      <c r="C64" s="1061"/>
      <c r="D64" s="1061"/>
      <c r="E64" s="1061"/>
      <c r="F64" s="1061"/>
      <c r="G64" s="1061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1"/>
      <c r="X64" s="1061"/>
      <c r="Y64" s="1061"/>
      <c r="Z64" s="1061"/>
      <c r="AA64" s="1061"/>
      <c r="AB64" s="1061"/>
      <c r="AC64" s="1061"/>
      <c r="AD64" s="1061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061"/>
      <c r="AP64" s="1061"/>
      <c r="AQ64" s="1061"/>
      <c r="AR64" s="1061"/>
      <c r="AS64" s="1061"/>
      <c r="AT64" s="1061"/>
      <c r="AU64" s="1062"/>
      <c r="AV64" s="1063"/>
      <c r="AW64" s="805"/>
      <c r="AX64" s="1563"/>
    </row>
    <row r="65" spans="1:50" hidden="1">
      <c r="A65" s="1061" t="s">
        <v>186</v>
      </c>
      <c r="B65" s="1061"/>
      <c r="C65" s="1061"/>
      <c r="D65" s="1061"/>
      <c r="E65" s="1061"/>
      <c r="F65" s="1061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  <c r="AR65" s="1061"/>
      <c r="AS65" s="1061"/>
      <c r="AT65" s="1061"/>
      <c r="AU65" s="1062"/>
      <c r="AV65" s="1063"/>
      <c r="AW65" s="805"/>
      <c r="AX65" s="1061"/>
    </row>
    <row r="66" spans="1:50" hidden="1">
      <c r="A66" s="1061" t="s">
        <v>189</v>
      </c>
      <c r="B66" s="1061"/>
      <c r="C66" s="1061"/>
      <c r="D66" s="1061"/>
      <c r="E66" s="1061"/>
      <c r="F66" s="1061"/>
      <c r="G66" s="1061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061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3"/>
      <c r="AW66" s="805"/>
      <c r="AX66" s="1061"/>
    </row>
    <row r="67" spans="1:50" hidden="1">
      <c r="A67" s="1061" t="s">
        <v>213</v>
      </c>
      <c r="B67" s="1062"/>
      <c r="C67" s="1062"/>
      <c r="D67" s="1062"/>
      <c r="E67" s="1062"/>
      <c r="F67" s="1062"/>
      <c r="G67" s="1062"/>
      <c r="H67" s="1062"/>
      <c r="I67" s="1062"/>
      <c r="J67" s="1062"/>
      <c r="K67" s="1062"/>
      <c r="L67" s="1062"/>
      <c r="M67" s="1062"/>
      <c r="N67" s="1062"/>
      <c r="O67" s="1062"/>
      <c r="P67" s="1062"/>
      <c r="Q67" s="1062"/>
      <c r="R67" s="1062"/>
      <c r="S67" s="1062"/>
      <c r="T67" s="1062"/>
      <c r="U67" s="1062"/>
      <c r="V67" s="1062"/>
      <c r="W67" s="1062"/>
      <c r="X67" s="1062"/>
      <c r="Y67" s="1062"/>
      <c r="Z67" s="1062"/>
      <c r="AA67" s="1062"/>
      <c r="AB67" s="1062"/>
      <c r="AC67" s="1062"/>
      <c r="AD67" s="1062"/>
      <c r="AE67" s="1062"/>
      <c r="AF67" s="1062"/>
      <c r="AG67" s="1062"/>
      <c r="AH67" s="1062"/>
      <c r="AI67" s="1062"/>
      <c r="AJ67" s="1062"/>
      <c r="AK67" s="1062"/>
      <c r="AL67" s="1062"/>
      <c r="AM67" s="1062"/>
      <c r="AN67" s="1062"/>
      <c r="AO67" s="1062"/>
      <c r="AP67" s="1062"/>
      <c r="AQ67" s="1062"/>
      <c r="AR67" s="1062"/>
      <c r="AS67" s="1062"/>
      <c r="AT67" s="1062"/>
      <c r="AU67" s="1062"/>
      <c r="AV67" s="1063"/>
      <c r="AW67" s="805"/>
      <c r="AX67" s="1061"/>
    </row>
    <row r="68" spans="1:50" s="1559" customFormat="1" ht="15.6" hidden="1">
      <c r="A68" s="1563" t="s">
        <v>71</v>
      </c>
      <c r="B68" s="1563"/>
      <c r="C68" s="1563"/>
      <c r="D68" s="1563"/>
      <c r="E68" s="1563"/>
      <c r="F68" s="1563"/>
      <c r="G68" s="1563"/>
      <c r="H68" s="1563"/>
      <c r="I68" s="1563"/>
      <c r="J68" s="1563"/>
      <c r="K68" s="1563"/>
      <c r="L68" s="1563"/>
      <c r="M68" s="1563"/>
      <c r="N68" s="1563"/>
      <c r="O68" s="1563"/>
      <c r="P68" s="1563"/>
      <c r="Q68" s="1563"/>
      <c r="R68" s="1563"/>
      <c r="S68" s="1563"/>
      <c r="T68" s="1563"/>
      <c r="U68" s="1563"/>
      <c r="V68" s="1563"/>
      <c r="W68" s="1563"/>
      <c r="X68" s="1563"/>
      <c r="Y68" s="1563"/>
      <c r="Z68" s="1563"/>
      <c r="AA68" s="1563"/>
      <c r="AB68" s="1563"/>
      <c r="AC68" s="1563"/>
      <c r="AD68" s="1563"/>
      <c r="AE68" s="1563"/>
      <c r="AF68" s="1563"/>
      <c r="AG68" s="1563"/>
      <c r="AH68" s="1563"/>
      <c r="AI68" s="1563"/>
      <c r="AJ68" s="1563"/>
      <c r="AK68" s="1563"/>
      <c r="AL68" s="1563"/>
      <c r="AM68" s="1563"/>
      <c r="AN68" s="1563"/>
      <c r="AO68" s="1563"/>
      <c r="AP68" s="1563"/>
      <c r="AQ68" s="1563"/>
      <c r="AR68" s="1563"/>
      <c r="AS68" s="1563"/>
      <c r="AT68" s="1563"/>
      <c r="AU68" s="1563"/>
      <c r="AV68" s="1563"/>
      <c r="AW68" s="817"/>
      <c r="AX68" s="1563"/>
    </row>
    <row r="69" spans="1:50" hidden="1">
      <c r="A69" s="1061"/>
      <c r="B69" s="1061"/>
      <c r="C69" s="1061"/>
      <c r="D69" s="1061"/>
      <c r="E69" s="1061"/>
      <c r="F69" s="1061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1"/>
      <c r="AX69" s="1061"/>
    </row>
    <row r="70" spans="1:50" ht="15.6" hidden="1">
      <c r="A70" s="1563" t="s">
        <v>1787</v>
      </c>
      <c r="B70" s="1061"/>
      <c r="C70" s="1061"/>
      <c r="D70" s="1061"/>
      <c r="E70" s="1061"/>
      <c r="F70" s="1061"/>
      <c r="G70" s="1061"/>
      <c r="H70" s="1061"/>
      <c r="I70" s="1061"/>
      <c r="J70" s="1061"/>
      <c r="K70" s="1061"/>
      <c r="L70" s="1061"/>
      <c r="M70" s="1061"/>
      <c r="N70" s="1061"/>
      <c r="O70" s="1061"/>
      <c r="P70" s="1061"/>
      <c r="Q70" s="1061"/>
      <c r="R70" s="1061"/>
      <c r="S70" s="1061"/>
      <c r="T70" s="1061"/>
      <c r="U70" s="1061"/>
      <c r="V70" s="1061"/>
      <c r="W70" s="1061"/>
      <c r="X70" s="1061"/>
      <c r="Y70" s="1061"/>
      <c r="Z70" s="1061"/>
      <c r="AA70" s="1061"/>
      <c r="AB70" s="1061"/>
      <c r="AC70" s="1061"/>
      <c r="AD70" s="1061"/>
      <c r="AE70" s="1061"/>
      <c r="AF70" s="1061"/>
      <c r="AG70" s="1061"/>
      <c r="AH70" s="1061"/>
      <c r="AI70" s="1061"/>
      <c r="AJ70" s="1061"/>
      <c r="AK70" s="1061"/>
      <c r="AL70" s="1061"/>
      <c r="AM70" s="1061"/>
      <c r="AN70" s="1061"/>
      <c r="AO70" s="1061"/>
      <c r="AP70" s="1061"/>
      <c r="AQ70" s="1061"/>
      <c r="AR70" s="1061"/>
      <c r="AS70" s="1061"/>
      <c r="AT70" s="1061"/>
      <c r="AU70" s="1062"/>
      <c r="AV70" s="1061"/>
      <c r="AX70" s="1061"/>
    </row>
    <row r="71" spans="1:50" hidden="1">
      <c r="A71" s="1061" t="s">
        <v>127</v>
      </c>
      <c r="B71" s="1061"/>
      <c r="C71" s="1061"/>
      <c r="D71" s="1061"/>
      <c r="E71" s="1061"/>
      <c r="F71" s="1061"/>
      <c r="G71" s="1061"/>
      <c r="H71" s="1061"/>
      <c r="I71" s="1061"/>
      <c r="J71" s="1061"/>
      <c r="K71" s="1061"/>
      <c r="L71" s="1061"/>
      <c r="M71" s="1061"/>
      <c r="N71" s="1061"/>
      <c r="O71" s="1061"/>
      <c r="P71" s="1061"/>
      <c r="Q71" s="1061"/>
      <c r="R71" s="1061"/>
      <c r="S71" s="1061"/>
      <c r="T71" s="1061"/>
      <c r="U71" s="1061"/>
      <c r="V71" s="1061"/>
      <c r="W71" s="1061"/>
      <c r="X71" s="1061"/>
      <c r="Y71" s="1061"/>
      <c r="Z71" s="1061"/>
      <c r="AA71" s="1061"/>
      <c r="AB71" s="1061"/>
      <c r="AC71" s="1061"/>
      <c r="AD71" s="1061"/>
      <c r="AE71" s="1061"/>
      <c r="AF71" s="1061"/>
      <c r="AG71" s="1061"/>
      <c r="AH71" s="1061"/>
      <c r="AI71" s="1061"/>
      <c r="AJ71" s="1061"/>
      <c r="AK71" s="1061"/>
      <c r="AL71" s="1061"/>
      <c r="AM71" s="1061"/>
      <c r="AN71" s="1061"/>
      <c r="AO71" s="1061"/>
      <c r="AP71" s="1061"/>
      <c r="AQ71" s="1061"/>
      <c r="AR71" s="1061"/>
      <c r="AS71" s="1061"/>
      <c r="AT71" s="1061"/>
      <c r="AU71" s="1062"/>
      <c r="AV71" s="1063"/>
      <c r="AW71" s="805"/>
      <c r="AX71" s="1061"/>
    </row>
    <row r="72" spans="1:50" hidden="1">
      <c r="A72" s="1061" t="s">
        <v>186</v>
      </c>
      <c r="B72" s="1061"/>
      <c r="C72" s="1061"/>
      <c r="D72" s="1061"/>
      <c r="E72" s="1061"/>
      <c r="F72" s="1061"/>
      <c r="G72" s="1061"/>
      <c r="H72" s="1061"/>
      <c r="I72" s="1061"/>
      <c r="J72" s="1061"/>
      <c r="K72" s="1061"/>
      <c r="L72" s="1061"/>
      <c r="M72" s="1061"/>
      <c r="N72" s="1061"/>
      <c r="O72" s="1061"/>
      <c r="P72" s="1061"/>
      <c r="Q72" s="1061"/>
      <c r="R72" s="1061"/>
      <c r="S72" s="1061"/>
      <c r="T72" s="1061"/>
      <c r="U72" s="1061"/>
      <c r="V72" s="1061"/>
      <c r="W72" s="1061"/>
      <c r="X72" s="1061"/>
      <c r="Y72" s="1061"/>
      <c r="Z72" s="1061"/>
      <c r="AA72" s="1061"/>
      <c r="AB72" s="1061"/>
      <c r="AC72" s="1061"/>
      <c r="AD72" s="1061"/>
      <c r="AE72" s="1061"/>
      <c r="AF72" s="1061"/>
      <c r="AG72" s="1061"/>
      <c r="AH72" s="1061"/>
      <c r="AI72" s="1061"/>
      <c r="AJ72" s="1061"/>
      <c r="AK72" s="1061"/>
      <c r="AL72" s="1061"/>
      <c r="AM72" s="1061"/>
      <c r="AN72" s="1061"/>
      <c r="AO72" s="1061"/>
      <c r="AP72" s="1061"/>
      <c r="AQ72" s="1061"/>
      <c r="AR72" s="1061"/>
      <c r="AS72" s="1061"/>
      <c r="AT72" s="1061"/>
      <c r="AU72" s="1062"/>
      <c r="AV72" s="1063"/>
      <c r="AW72" s="805"/>
      <c r="AX72" s="1061"/>
    </row>
    <row r="73" spans="1:50" hidden="1">
      <c r="A73" s="1061" t="s">
        <v>189</v>
      </c>
      <c r="B73" s="1061"/>
      <c r="C73" s="1061"/>
      <c r="D73" s="1061"/>
      <c r="E73" s="1061"/>
      <c r="F73" s="1061"/>
      <c r="G73" s="1061"/>
      <c r="H73" s="1061"/>
      <c r="I73" s="1061"/>
      <c r="J73" s="1061"/>
      <c r="K73" s="1061"/>
      <c r="L73" s="1061"/>
      <c r="M73" s="1061"/>
      <c r="N73" s="1061"/>
      <c r="O73" s="1061"/>
      <c r="P73" s="1061"/>
      <c r="Q73" s="1061"/>
      <c r="R73" s="1061"/>
      <c r="S73" s="1061"/>
      <c r="T73" s="1061"/>
      <c r="U73" s="1061"/>
      <c r="V73" s="1061"/>
      <c r="W73" s="1061"/>
      <c r="X73" s="1061"/>
      <c r="Y73" s="1061"/>
      <c r="Z73" s="1061"/>
      <c r="AA73" s="1061"/>
      <c r="AB73" s="1061"/>
      <c r="AC73" s="1061"/>
      <c r="AD73" s="1061"/>
      <c r="AE73" s="1061"/>
      <c r="AF73" s="1061"/>
      <c r="AG73" s="1061"/>
      <c r="AH73" s="1061"/>
      <c r="AI73" s="1061"/>
      <c r="AJ73" s="1061"/>
      <c r="AK73" s="1061"/>
      <c r="AL73" s="1061"/>
      <c r="AM73" s="1061"/>
      <c r="AN73" s="1061"/>
      <c r="AO73" s="1061"/>
      <c r="AP73" s="1061"/>
      <c r="AQ73" s="1061"/>
      <c r="AR73" s="1061"/>
      <c r="AS73" s="1061"/>
      <c r="AT73" s="1061"/>
      <c r="AU73" s="1062"/>
      <c r="AV73" s="1063"/>
      <c r="AW73" s="805"/>
      <c r="AX73" s="1061"/>
    </row>
    <row r="74" spans="1:50" hidden="1">
      <c r="A74" s="1061" t="s">
        <v>213</v>
      </c>
      <c r="B74" s="1061"/>
      <c r="C74" s="1061"/>
      <c r="D74" s="1061"/>
      <c r="E74" s="1061"/>
      <c r="F74" s="1061"/>
      <c r="G74" s="1061"/>
      <c r="H74" s="1061"/>
      <c r="I74" s="1061"/>
      <c r="J74" s="1061"/>
      <c r="K74" s="1061"/>
      <c r="L74" s="1061"/>
      <c r="M74" s="1061"/>
      <c r="N74" s="1061"/>
      <c r="O74" s="1061"/>
      <c r="P74" s="1061"/>
      <c r="Q74" s="1061"/>
      <c r="R74" s="1061"/>
      <c r="S74" s="1061"/>
      <c r="T74" s="1061"/>
      <c r="U74" s="1061"/>
      <c r="V74" s="1061"/>
      <c r="W74" s="1061"/>
      <c r="X74" s="1061"/>
      <c r="Y74" s="1061"/>
      <c r="Z74" s="1061"/>
      <c r="AA74" s="1061"/>
      <c r="AB74" s="1061"/>
      <c r="AC74" s="1061"/>
      <c r="AD74" s="1061"/>
      <c r="AE74" s="1061"/>
      <c r="AF74" s="1061"/>
      <c r="AG74" s="1061"/>
      <c r="AH74" s="1061"/>
      <c r="AI74" s="1061"/>
      <c r="AJ74" s="1061"/>
      <c r="AK74" s="1061"/>
      <c r="AL74" s="1061"/>
      <c r="AM74" s="1061"/>
      <c r="AN74" s="1061"/>
      <c r="AO74" s="1061"/>
      <c r="AP74" s="1061"/>
      <c r="AQ74" s="1061"/>
      <c r="AR74" s="1061"/>
      <c r="AS74" s="1061"/>
      <c r="AT74" s="1061"/>
      <c r="AU74" s="1062"/>
      <c r="AV74" s="1063"/>
      <c r="AW74" s="805"/>
      <c r="AX74" s="1061"/>
    </row>
    <row r="75" spans="1:50" ht="15.6" hidden="1">
      <c r="A75" s="1563" t="s">
        <v>71</v>
      </c>
      <c r="B75" s="1063"/>
      <c r="C75" s="1063"/>
      <c r="D75" s="1063"/>
      <c r="E75" s="1063"/>
      <c r="F75" s="1063"/>
      <c r="G75" s="1063"/>
      <c r="H75" s="1063"/>
      <c r="I75" s="1063"/>
      <c r="J75" s="1063"/>
      <c r="K75" s="1063"/>
      <c r="L75" s="1063"/>
      <c r="M75" s="1063"/>
      <c r="N75" s="1063"/>
      <c r="O75" s="1063"/>
      <c r="P75" s="1063"/>
      <c r="Q75" s="1063"/>
      <c r="R75" s="1063"/>
      <c r="S75" s="1063"/>
      <c r="T75" s="1063"/>
      <c r="U75" s="1063"/>
      <c r="V75" s="1063"/>
      <c r="W75" s="1063"/>
      <c r="X75" s="1063"/>
      <c r="Y75" s="1063"/>
      <c r="Z75" s="1063"/>
      <c r="AA75" s="1063"/>
      <c r="AB75" s="1063"/>
      <c r="AC75" s="1063"/>
      <c r="AD75" s="1063"/>
      <c r="AE75" s="1063"/>
      <c r="AF75" s="1063"/>
      <c r="AG75" s="1063"/>
      <c r="AH75" s="1063"/>
      <c r="AI75" s="1063"/>
      <c r="AJ75" s="1063"/>
      <c r="AK75" s="1063"/>
      <c r="AL75" s="1063"/>
      <c r="AM75" s="1063"/>
      <c r="AN75" s="1063"/>
      <c r="AO75" s="1063"/>
      <c r="AP75" s="1063"/>
      <c r="AQ75" s="1063"/>
      <c r="AR75" s="1063"/>
      <c r="AS75" s="1063"/>
      <c r="AT75" s="1063"/>
      <c r="AU75" s="1063"/>
      <c r="AV75" s="1063"/>
      <c r="AW75" s="805"/>
      <c r="AX75" s="1061"/>
    </row>
    <row r="76" spans="1:50" hidden="1">
      <c r="A76" s="1061"/>
      <c r="B76" s="1061"/>
      <c r="C76" s="1061"/>
      <c r="D76" s="1061"/>
      <c r="E76" s="1061"/>
      <c r="F76" s="1061"/>
      <c r="G76" s="1061"/>
      <c r="H76" s="1061"/>
      <c r="I76" s="1061"/>
      <c r="J76" s="1061"/>
      <c r="K76" s="1061"/>
      <c r="L76" s="1061"/>
      <c r="M76" s="1061"/>
      <c r="N76" s="1061"/>
      <c r="O76" s="1061"/>
      <c r="P76" s="1061"/>
      <c r="Q76" s="1061"/>
      <c r="R76" s="1061"/>
      <c r="S76" s="1061"/>
      <c r="T76" s="1061"/>
      <c r="U76" s="1061"/>
      <c r="V76" s="1061"/>
      <c r="W76" s="1061"/>
      <c r="X76" s="1061"/>
      <c r="Y76" s="1061"/>
      <c r="Z76" s="1061"/>
      <c r="AA76" s="1061"/>
      <c r="AB76" s="1061"/>
      <c r="AC76" s="1061"/>
      <c r="AD76" s="1061"/>
      <c r="AE76" s="1061"/>
      <c r="AF76" s="1061"/>
      <c r="AG76" s="1061"/>
      <c r="AH76" s="1061"/>
      <c r="AI76" s="1061"/>
      <c r="AJ76" s="1061"/>
      <c r="AK76" s="1061"/>
      <c r="AL76" s="1061"/>
      <c r="AM76" s="1061"/>
      <c r="AN76" s="1061"/>
      <c r="AO76" s="1061"/>
      <c r="AP76" s="1061"/>
      <c r="AQ76" s="1061"/>
      <c r="AR76" s="1061"/>
      <c r="AS76" s="1061"/>
      <c r="AT76" s="1061"/>
      <c r="AU76" s="1062"/>
      <c r="AV76" s="1061"/>
      <c r="AX76" s="1061"/>
    </row>
    <row r="77" spans="1:50" ht="15.6" hidden="1">
      <c r="A77" s="1563" t="s">
        <v>169</v>
      </c>
      <c r="B77" s="1061"/>
      <c r="C77" s="1061"/>
      <c r="D77" s="1061"/>
      <c r="E77" s="1061"/>
      <c r="F77" s="1061"/>
      <c r="G77" s="1061"/>
      <c r="H77" s="1061"/>
      <c r="I77" s="1061"/>
      <c r="J77" s="1061"/>
      <c r="K77" s="1061"/>
      <c r="L77" s="1061"/>
      <c r="M77" s="1061"/>
      <c r="N77" s="1061"/>
      <c r="O77" s="1061"/>
      <c r="P77" s="1061"/>
      <c r="Q77" s="1061"/>
      <c r="R77" s="1061"/>
      <c r="S77" s="1061"/>
      <c r="T77" s="1061"/>
      <c r="U77" s="1061"/>
      <c r="V77" s="1061"/>
      <c r="W77" s="1061"/>
      <c r="X77" s="1061"/>
      <c r="Y77" s="1061"/>
      <c r="Z77" s="1061"/>
      <c r="AA77" s="1061"/>
      <c r="AB77" s="1061"/>
      <c r="AC77" s="1061"/>
      <c r="AD77" s="1061"/>
      <c r="AE77" s="1061"/>
      <c r="AF77" s="1061"/>
      <c r="AG77" s="1061"/>
      <c r="AH77" s="1061"/>
      <c r="AI77" s="1061"/>
      <c r="AJ77" s="1061"/>
      <c r="AK77" s="1061"/>
      <c r="AL77" s="1061"/>
      <c r="AM77" s="1061"/>
      <c r="AN77" s="1061"/>
      <c r="AO77" s="1061"/>
      <c r="AP77" s="1061"/>
      <c r="AQ77" s="1061"/>
      <c r="AR77" s="1061"/>
      <c r="AS77" s="1061"/>
      <c r="AT77" s="1061"/>
      <c r="AU77" s="1062"/>
      <c r="AV77" s="1061"/>
      <c r="AX77" s="1061"/>
    </row>
    <row r="78" spans="1:50" hidden="1">
      <c r="A78" s="1061" t="s">
        <v>127</v>
      </c>
      <c r="B78" s="1063"/>
      <c r="C78" s="1063"/>
      <c r="D78" s="1063"/>
      <c r="E78" s="1063"/>
      <c r="F78" s="1063"/>
      <c r="G78" s="1063"/>
      <c r="H78" s="1063"/>
      <c r="I78" s="1063"/>
      <c r="J78" s="1063"/>
      <c r="K78" s="1063"/>
      <c r="L78" s="1063"/>
      <c r="M78" s="1063"/>
      <c r="N78" s="1063"/>
      <c r="O78" s="1063"/>
      <c r="P78" s="1063"/>
      <c r="Q78" s="1063"/>
      <c r="R78" s="1063"/>
      <c r="S78" s="1063"/>
      <c r="T78" s="1063"/>
      <c r="U78" s="1063"/>
      <c r="V78" s="1063"/>
      <c r="W78" s="1063"/>
      <c r="X78" s="1063"/>
      <c r="Y78" s="1063"/>
      <c r="Z78" s="1063"/>
      <c r="AA78" s="1063"/>
      <c r="AB78" s="1063"/>
      <c r="AC78" s="1063"/>
      <c r="AD78" s="1063"/>
      <c r="AE78" s="1063"/>
      <c r="AF78" s="1063"/>
      <c r="AG78" s="1063"/>
      <c r="AH78" s="1063"/>
      <c r="AI78" s="1063"/>
      <c r="AJ78" s="1063"/>
      <c r="AK78" s="1063"/>
      <c r="AL78" s="1063"/>
      <c r="AM78" s="1063"/>
      <c r="AN78" s="1063"/>
      <c r="AO78" s="1063"/>
      <c r="AP78" s="1063"/>
      <c r="AQ78" s="1063"/>
      <c r="AR78" s="1063"/>
      <c r="AS78" s="1063"/>
      <c r="AT78" s="1063"/>
      <c r="AU78" s="1062"/>
      <c r="AV78" s="1061"/>
      <c r="AX78" s="1061"/>
    </row>
    <row r="79" spans="1:50" hidden="1">
      <c r="A79" s="1061" t="s">
        <v>186</v>
      </c>
      <c r="B79" s="1063"/>
      <c r="C79" s="1063"/>
      <c r="D79" s="1063"/>
      <c r="E79" s="1063"/>
      <c r="F79" s="1063"/>
      <c r="G79" s="1063"/>
      <c r="H79" s="1063"/>
      <c r="I79" s="1063"/>
      <c r="J79" s="1063"/>
      <c r="K79" s="1063"/>
      <c r="L79" s="1063"/>
      <c r="M79" s="1063"/>
      <c r="N79" s="1063"/>
      <c r="O79" s="1063"/>
      <c r="P79" s="1063"/>
      <c r="Q79" s="1063"/>
      <c r="R79" s="1063"/>
      <c r="S79" s="1063"/>
      <c r="T79" s="1063"/>
      <c r="U79" s="1063"/>
      <c r="V79" s="1063"/>
      <c r="W79" s="1063"/>
      <c r="X79" s="1063"/>
      <c r="Y79" s="1063"/>
      <c r="Z79" s="1063"/>
      <c r="AA79" s="1063"/>
      <c r="AB79" s="1063"/>
      <c r="AC79" s="1063"/>
      <c r="AD79" s="1063"/>
      <c r="AE79" s="1063"/>
      <c r="AF79" s="1063"/>
      <c r="AG79" s="1063"/>
      <c r="AH79" s="1063"/>
      <c r="AI79" s="1063"/>
      <c r="AJ79" s="1063"/>
      <c r="AK79" s="1063"/>
      <c r="AL79" s="1063"/>
      <c r="AM79" s="1063"/>
      <c r="AN79" s="1063"/>
      <c r="AO79" s="1063"/>
      <c r="AP79" s="1063"/>
      <c r="AQ79" s="1063"/>
      <c r="AR79" s="1063"/>
      <c r="AS79" s="1063"/>
      <c r="AT79" s="1063"/>
      <c r="AU79" s="1062"/>
      <c r="AV79" s="1061"/>
      <c r="AX79" s="1061"/>
    </row>
    <row r="80" spans="1:50" hidden="1">
      <c r="A80" s="1061" t="s">
        <v>189</v>
      </c>
      <c r="B80" s="1063"/>
      <c r="C80" s="1063"/>
      <c r="D80" s="1063"/>
      <c r="E80" s="1063"/>
      <c r="F80" s="1063"/>
      <c r="G80" s="1063"/>
      <c r="H80" s="1063"/>
      <c r="I80" s="1063"/>
      <c r="J80" s="1063"/>
      <c r="K80" s="1063"/>
      <c r="L80" s="1063"/>
      <c r="M80" s="1063"/>
      <c r="N80" s="1063"/>
      <c r="O80" s="1063"/>
      <c r="P80" s="1063"/>
      <c r="Q80" s="1063"/>
      <c r="R80" s="1063"/>
      <c r="S80" s="1063"/>
      <c r="T80" s="1063"/>
      <c r="U80" s="1063"/>
      <c r="V80" s="1063"/>
      <c r="W80" s="1063"/>
      <c r="X80" s="1063"/>
      <c r="Y80" s="1063"/>
      <c r="Z80" s="1063"/>
      <c r="AA80" s="1063"/>
      <c r="AB80" s="1063"/>
      <c r="AC80" s="1063"/>
      <c r="AD80" s="1063"/>
      <c r="AE80" s="1063"/>
      <c r="AF80" s="1063"/>
      <c r="AG80" s="1063"/>
      <c r="AH80" s="1063"/>
      <c r="AI80" s="1063"/>
      <c r="AJ80" s="1063"/>
      <c r="AK80" s="1063"/>
      <c r="AL80" s="1063"/>
      <c r="AM80" s="1063"/>
      <c r="AN80" s="1063"/>
      <c r="AO80" s="1063"/>
      <c r="AP80" s="1063"/>
      <c r="AQ80" s="1063"/>
      <c r="AR80" s="1063"/>
      <c r="AS80" s="1063"/>
      <c r="AT80" s="1063"/>
      <c r="AU80" s="1062"/>
      <c r="AV80" s="1061"/>
      <c r="AX80" s="1061"/>
    </row>
    <row r="81" spans="1:50" hidden="1">
      <c r="A81" s="1061" t="s">
        <v>213</v>
      </c>
      <c r="B81" s="1063"/>
      <c r="C81" s="1063"/>
      <c r="D81" s="1063"/>
      <c r="E81" s="1063"/>
      <c r="F81" s="1063"/>
      <c r="G81" s="1063"/>
      <c r="H81" s="1063"/>
      <c r="I81" s="1063"/>
      <c r="J81" s="1063"/>
      <c r="K81" s="1063"/>
      <c r="L81" s="1063"/>
      <c r="M81" s="1063"/>
      <c r="N81" s="1063"/>
      <c r="O81" s="1063"/>
      <c r="P81" s="1063"/>
      <c r="Q81" s="1063"/>
      <c r="R81" s="1063"/>
      <c r="S81" s="1063"/>
      <c r="T81" s="1063"/>
      <c r="U81" s="1063"/>
      <c r="V81" s="1063"/>
      <c r="W81" s="1063"/>
      <c r="X81" s="1063"/>
      <c r="Y81" s="1063"/>
      <c r="Z81" s="1063"/>
      <c r="AA81" s="1063"/>
      <c r="AB81" s="1063"/>
      <c r="AC81" s="1063"/>
      <c r="AD81" s="1063"/>
      <c r="AE81" s="1063"/>
      <c r="AF81" s="1063"/>
      <c r="AG81" s="1063"/>
      <c r="AH81" s="1063"/>
      <c r="AI81" s="1063"/>
      <c r="AJ81" s="1063"/>
      <c r="AK81" s="1063"/>
      <c r="AL81" s="1063"/>
      <c r="AM81" s="1063"/>
      <c r="AN81" s="1063"/>
      <c r="AO81" s="1063"/>
      <c r="AP81" s="1063"/>
      <c r="AQ81" s="1063"/>
      <c r="AR81" s="1063"/>
      <c r="AS81" s="1063"/>
      <c r="AT81" s="1063"/>
      <c r="AU81" s="1062"/>
      <c r="AV81" s="1061"/>
      <c r="AX81" s="1061"/>
    </row>
    <row r="82" spans="1:50" hidden="1">
      <c r="A82" s="1061" t="s">
        <v>71</v>
      </c>
      <c r="B82" s="1064"/>
      <c r="C82" s="1064"/>
      <c r="D82" s="1064"/>
      <c r="E82" s="1064"/>
      <c r="F82" s="1064"/>
      <c r="G82" s="1064"/>
      <c r="H82" s="1064"/>
      <c r="I82" s="1064"/>
      <c r="J82" s="1064"/>
      <c r="K82" s="1064"/>
      <c r="L82" s="1064"/>
      <c r="M82" s="1064"/>
      <c r="N82" s="1064"/>
      <c r="O82" s="1064"/>
      <c r="P82" s="1064"/>
      <c r="Q82" s="1064"/>
      <c r="R82" s="1064"/>
      <c r="S82" s="1064"/>
      <c r="T82" s="1064"/>
      <c r="U82" s="1064"/>
      <c r="V82" s="1064"/>
      <c r="W82" s="1064"/>
      <c r="X82" s="1064"/>
      <c r="Y82" s="1064"/>
      <c r="Z82" s="1064"/>
      <c r="AA82" s="1064"/>
      <c r="AB82" s="1064"/>
      <c r="AC82" s="1064"/>
      <c r="AD82" s="1064"/>
      <c r="AE82" s="1064"/>
      <c r="AF82" s="1064"/>
      <c r="AG82" s="1064"/>
      <c r="AH82" s="1064"/>
      <c r="AI82" s="1064"/>
      <c r="AJ82" s="1064"/>
      <c r="AK82" s="1064"/>
      <c r="AL82" s="1064"/>
      <c r="AM82" s="1064"/>
      <c r="AN82" s="1064"/>
      <c r="AO82" s="1064"/>
      <c r="AP82" s="1064"/>
      <c r="AQ82" s="1064"/>
      <c r="AR82" s="1064"/>
      <c r="AS82" s="1064"/>
      <c r="AT82" s="1064"/>
      <c r="AU82" s="1062"/>
      <c r="AV82" s="1061"/>
      <c r="AX82" s="1061"/>
    </row>
    <row r="83" spans="1:50" hidden="1">
      <c r="A83" s="1061"/>
      <c r="B83" s="1061"/>
      <c r="C83" s="1061"/>
      <c r="D83" s="1061"/>
      <c r="E83" s="1061"/>
      <c r="F83" s="1061"/>
      <c r="G83" s="1061"/>
      <c r="H83" s="1061"/>
      <c r="I83" s="1061"/>
      <c r="J83" s="1061"/>
      <c r="K83" s="1061"/>
      <c r="L83" s="1061"/>
      <c r="M83" s="1061"/>
      <c r="N83" s="1061"/>
      <c r="O83" s="1061"/>
      <c r="P83" s="1061"/>
      <c r="Q83" s="1061"/>
      <c r="R83" s="1061"/>
      <c r="S83" s="1061"/>
      <c r="T83" s="1061"/>
      <c r="U83" s="1061"/>
      <c r="V83" s="1061"/>
      <c r="W83" s="1061"/>
      <c r="X83" s="1061"/>
      <c r="Y83" s="1061"/>
      <c r="Z83" s="1061"/>
      <c r="AA83" s="1061"/>
      <c r="AB83" s="1061"/>
      <c r="AC83" s="1061"/>
      <c r="AD83" s="1061"/>
      <c r="AE83" s="1061"/>
      <c r="AF83" s="1061"/>
      <c r="AG83" s="1061"/>
      <c r="AH83" s="1061"/>
      <c r="AI83" s="1061"/>
      <c r="AJ83" s="1061"/>
      <c r="AK83" s="1061"/>
      <c r="AL83" s="1061"/>
      <c r="AM83" s="1061"/>
      <c r="AN83" s="1061"/>
      <c r="AO83" s="1061"/>
      <c r="AP83" s="1061"/>
      <c r="AQ83" s="1061"/>
      <c r="AR83" s="1061"/>
      <c r="AS83" s="1061"/>
      <c r="AT83" s="1061"/>
      <c r="AU83" s="1062"/>
      <c r="AV83" s="1061"/>
      <c r="AX83" s="1061"/>
    </row>
    <row r="84" spans="1:50" ht="15.6" hidden="1">
      <c r="A84" s="1563" t="s">
        <v>1837</v>
      </c>
      <c r="B84" s="1061"/>
      <c r="C84" s="1061"/>
      <c r="D84" s="1061"/>
      <c r="E84" s="1061"/>
      <c r="F84" s="1061"/>
      <c r="G84" s="1061"/>
      <c r="H84" s="1061"/>
      <c r="I84" s="1061"/>
      <c r="J84" s="1061"/>
      <c r="K84" s="1061"/>
      <c r="L84" s="1061"/>
      <c r="M84" s="1061"/>
      <c r="N84" s="1061"/>
      <c r="O84" s="1061"/>
      <c r="P84" s="1061"/>
      <c r="Q84" s="1061"/>
      <c r="R84" s="1061"/>
      <c r="S84" s="1061"/>
      <c r="T84" s="1061"/>
      <c r="U84" s="1061"/>
      <c r="V84" s="1061"/>
      <c r="W84" s="1061"/>
      <c r="X84" s="1061"/>
      <c r="Y84" s="1061"/>
      <c r="Z84" s="1061"/>
      <c r="AA84" s="1061"/>
      <c r="AB84" s="1061"/>
      <c r="AC84" s="1061"/>
      <c r="AD84" s="1061"/>
      <c r="AE84" s="1061"/>
      <c r="AF84" s="1061"/>
      <c r="AG84" s="1061"/>
      <c r="AH84" s="1061"/>
      <c r="AI84" s="1061"/>
      <c r="AJ84" s="1061"/>
      <c r="AK84" s="1061"/>
      <c r="AL84" s="1061"/>
      <c r="AM84" s="1061"/>
      <c r="AN84" s="1061"/>
      <c r="AO84" s="1061"/>
      <c r="AP84" s="1061"/>
      <c r="AQ84" s="1061"/>
      <c r="AR84" s="1061"/>
      <c r="AS84" s="1061"/>
      <c r="AT84" s="1061"/>
      <c r="AU84" s="1062"/>
      <c r="AV84" s="1061"/>
      <c r="AX84" s="1061"/>
    </row>
    <row r="85" spans="1:50" hidden="1">
      <c r="A85" s="1061" t="s">
        <v>127</v>
      </c>
      <c r="B85" s="1063"/>
      <c r="C85" s="1063"/>
      <c r="D85" s="1063"/>
      <c r="E85" s="1063"/>
      <c r="F85" s="1063"/>
      <c r="G85" s="1063"/>
      <c r="H85" s="1063"/>
      <c r="I85" s="1063"/>
      <c r="J85" s="1063"/>
      <c r="K85" s="1063"/>
      <c r="L85" s="1063"/>
      <c r="M85" s="1063"/>
      <c r="N85" s="1063"/>
      <c r="O85" s="1063"/>
      <c r="P85" s="1063"/>
      <c r="Q85" s="1063"/>
      <c r="R85" s="1063"/>
      <c r="S85" s="1063"/>
      <c r="T85" s="1063"/>
      <c r="U85" s="1063"/>
      <c r="V85" s="1063"/>
      <c r="W85" s="1063"/>
      <c r="X85" s="1063"/>
      <c r="Y85" s="1063"/>
      <c r="Z85" s="1063"/>
      <c r="AA85" s="1063"/>
      <c r="AB85" s="1063"/>
      <c r="AC85" s="1063"/>
      <c r="AD85" s="1063"/>
      <c r="AE85" s="1063"/>
      <c r="AF85" s="1063"/>
      <c r="AG85" s="1063"/>
      <c r="AH85" s="1063"/>
      <c r="AI85" s="1063"/>
      <c r="AJ85" s="1063"/>
      <c r="AK85" s="1063"/>
      <c r="AL85" s="1063"/>
      <c r="AM85" s="1063"/>
      <c r="AN85" s="1063"/>
      <c r="AO85" s="1063"/>
      <c r="AP85" s="1063"/>
      <c r="AQ85" s="1063"/>
      <c r="AR85" s="1063"/>
      <c r="AS85" s="1063"/>
      <c r="AT85" s="1063"/>
      <c r="AU85" s="1062"/>
      <c r="AV85" s="1564"/>
      <c r="AX85" s="1061"/>
    </row>
    <row r="86" spans="1:50" hidden="1">
      <c r="A86" s="1061" t="s">
        <v>186</v>
      </c>
      <c r="B86" s="1063"/>
      <c r="C86" s="1063"/>
      <c r="D86" s="1063"/>
      <c r="E86" s="1063"/>
      <c r="F86" s="1063"/>
      <c r="G86" s="1063"/>
      <c r="H86" s="1063"/>
      <c r="I86" s="1063"/>
      <c r="J86" s="1063"/>
      <c r="K86" s="1063"/>
      <c r="L86" s="1063"/>
      <c r="M86" s="1063"/>
      <c r="N86" s="1063"/>
      <c r="O86" s="1063"/>
      <c r="P86" s="1063"/>
      <c r="Q86" s="1063"/>
      <c r="R86" s="1063"/>
      <c r="S86" s="1063"/>
      <c r="T86" s="1063"/>
      <c r="U86" s="1063"/>
      <c r="V86" s="1063"/>
      <c r="W86" s="1063"/>
      <c r="X86" s="1063"/>
      <c r="Y86" s="1063"/>
      <c r="Z86" s="1063"/>
      <c r="AA86" s="1063"/>
      <c r="AB86" s="1063"/>
      <c r="AC86" s="1063"/>
      <c r="AD86" s="1063"/>
      <c r="AE86" s="1063"/>
      <c r="AF86" s="1063"/>
      <c r="AG86" s="1063"/>
      <c r="AH86" s="1063"/>
      <c r="AI86" s="1063"/>
      <c r="AJ86" s="1063"/>
      <c r="AK86" s="1063"/>
      <c r="AL86" s="1063"/>
      <c r="AM86" s="1063"/>
      <c r="AN86" s="1063"/>
      <c r="AO86" s="1063"/>
      <c r="AP86" s="1063"/>
      <c r="AQ86" s="1063"/>
      <c r="AR86" s="1063"/>
      <c r="AS86" s="1063"/>
      <c r="AT86" s="1063"/>
      <c r="AU86" s="1062"/>
      <c r="AV86" s="1064"/>
      <c r="AX86" s="1061"/>
    </row>
    <row r="87" spans="1:50" hidden="1">
      <c r="A87" s="1061" t="s">
        <v>189</v>
      </c>
      <c r="B87" s="1063"/>
      <c r="C87" s="1063"/>
      <c r="D87" s="1063"/>
      <c r="E87" s="1063"/>
      <c r="F87" s="1063"/>
      <c r="G87" s="1063"/>
      <c r="H87" s="1063"/>
      <c r="I87" s="1063"/>
      <c r="J87" s="1063"/>
      <c r="K87" s="1063"/>
      <c r="L87" s="1063"/>
      <c r="M87" s="1063"/>
      <c r="N87" s="1063"/>
      <c r="O87" s="1063"/>
      <c r="P87" s="1063"/>
      <c r="Q87" s="1063"/>
      <c r="R87" s="1063"/>
      <c r="S87" s="1063"/>
      <c r="T87" s="1063"/>
      <c r="U87" s="1063"/>
      <c r="V87" s="1063"/>
      <c r="W87" s="1063"/>
      <c r="X87" s="1063"/>
      <c r="Y87" s="1063"/>
      <c r="Z87" s="1063"/>
      <c r="AA87" s="1063"/>
      <c r="AB87" s="1063"/>
      <c r="AC87" s="1063"/>
      <c r="AD87" s="1063"/>
      <c r="AE87" s="1063"/>
      <c r="AF87" s="1063"/>
      <c r="AG87" s="1063"/>
      <c r="AH87" s="1063"/>
      <c r="AI87" s="1063"/>
      <c r="AJ87" s="1063"/>
      <c r="AK87" s="1063"/>
      <c r="AL87" s="1063"/>
      <c r="AM87" s="1063"/>
      <c r="AN87" s="1063"/>
      <c r="AO87" s="1063"/>
      <c r="AP87" s="1063"/>
      <c r="AQ87" s="1063"/>
      <c r="AR87" s="1063"/>
      <c r="AS87" s="1063"/>
      <c r="AT87" s="1063"/>
      <c r="AU87" s="1062"/>
      <c r="AV87" s="1064"/>
      <c r="AX87" s="1061"/>
    </row>
    <row r="88" spans="1:50" hidden="1">
      <c r="A88" s="1061" t="s">
        <v>213</v>
      </c>
      <c r="B88" s="1063"/>
      <c r="C88" s="1063"/>
      <c r="D88" s="1063"/>
      <c r="E88" s="1063"/>
      <c r="F88" s="1063"/>
      <c r="G88" s="1063"/>
      <c r="H88" s="1063"/>
      <c r="I88" s="1063"/>
      <c r="J88" s="1063"/>
      <c r="K88" s="1063"/>
      <c r="L88" s="1063"/>
      <c r="M88" s="1063"/>
      <c r="N88" s="1063"/>
      <c r="O88" s="1063"/>
      <c r="P88" s="1063"/>
      <c r="Q88" s="1063"/>
      <c r="R88" s="1063"/>
      <c r="S88" s="1063"/>
      <c r="T88" s="1063"/>
      <c r="U88" s="1063"/>
      <c r="V88" s="1063"/>
      <c r="W88" s="1063"/>
      <c r="X88" s="1063"/>
      <c r="Y88" s="1063"/>
      <c r="Z88" s="1063"/>
      <c r="AA88" s="1063"/>
      <c r="AB88" s="1063"/>
      <c r="AC88" s="1063"/>
      <c r="AD88" s="1063"/>
      <c r="AE88" s="1063"/>
      <c r="AF88" s="1063"/>
      <c r="AG88" s="1063"/>
      <c r="AH88" s="1063"/>
      <c r="AI88" s="1063"/>
      <c r="AJ88" s="1063"/>
      <c r="AK88" s="1063"/>
      <c r="AL88" s="1063"/>
      <c r="AM88" s="1063"/>
      <c r="AN88" s="1063"/>
      <c r="AO88" s="1063"/>
      <c r="AP88" s="1063"/>
      <c r="AQ88" s="1063"/>
      <c r="AR88" s="1063"/>
      <c r="AS88" s="1063"/>
      <c r="AT88" s="1063"/>
      <c r="AU88" s="1062"/>
      <c r="AV88" s="1064"/>
      <c r="AX88" s="1061"/>
    </row>
    <row r="89" spans="1:50" ht="15.6" hidden="1">
      <c r="A89" s="1563" t="s">
        <v>71</v>
      </c>
      <c r="B89" s="1064"/>
      <c r="C89" s="1064"/>
      <c r="D89" s="1064"/>
      <c r="E89" s="1064"/>
      <c r="F89" s="1064"/>
      <c r="G89" s="1064"/>
      <c r="H89" s="1064"/>
      <c r="I89" s="1064"/>
      <c r="J89" s="1064"/>
      <c r="K89" s="1064"/>
      <c r="L89" s="1064"/>
      <c r="M89" s="1064"/>
      <c r="N89" s="1064"/>
      <c r="O89" s="1064"/>
      <c r="P89" s="1064"/>
      <c r="Q89" s="1064"/>
      <c r="R89" s="1064"/>
      <c r="S89" s="1064"/>
      <c r="T89" s="1064"/>
      <c r="U89" s="1064"/>
      <c r="V89" s="1064"/>
      <c r="W89" s="1064"/>
      <c r="X89" s="1064"/>
      <c r="Y89" s="1064"/>
      <c r="Z89" s="1064"/>
      <c r="AA89" s="1064"/>
      <c r="AB89" s="1064"/>
      <c r="AC89" s="1064"/>
      <c r="AD89" s="1064"/>
      <c r="AE89" s="1064"/>
      <c r="AF89" s="1064"/>
      <c r="AG89" s="1064"/>
      <c r="AH89" s="1064"/>
      <c r="AI89" s="1064"/>
      <c r="AJ89" s="1064"/>
      <c r="AK89" s="1064"/>
      <c r="AL89" s="1064"/>
      <c r="AM89" s="1064"/>
      <c r="AN89" s="1064"/>
      <c r="AO89" s="1064"/>
      <c r="AP89" s="1064"/>
      <c r="AQ89" s="1064"/>
      <c r="AR89" s="1064"/>
      <c r="AS89" s="1064"/>
      <c r="AT89" s="1064"/>
      <c r="AU89" s="1062"/>
      <c r="AV89" s="1061"/>
      <c r="AX89" s="1061"/>
    </row>
    <row r="90" spans="1:50" hidden="1">
      <c r="A90" s="1061"/>
      <c r="B90" s="1061"/>
      <c r="C90" s="1061"/>
      <c r="D90" s="1061"/>
      <c r="E90" s="1061"/>
      <c r="F90" s="1061"/>
      <c r="G90" s="1061"/>
      <c r="H90" s="1061"/>
      <c r="I90" s="1061"/>
      <c r="J90" s="1061"/>
      <c r="K90" s="1061"/>
      <c r="L90" s="1061"/>
      <c r="M90" s="1061"/>
      <c r="N90" s="1061"/>
      <c r="O90" s="1061"/>
      <c r="P90" s="1061"/>
      <c r="Q90" s="1061"/>
      <c r="R90" s="1061"/>
      <c r="S90" s="1061"/>
      <c r="T90" s="1061"/>
      <c r="U90" s="1061"/>
      <c r="V90" s="1061"/>
      <c r="W90" s="1061"/>
      <c r="X90" s="1061"/>
      <c r="Y90" s="1061"/>
      <c r="Z90" s="1061"/>
      <c r="AA90" s="1061"/>
      <c r="AB90" s="1061"/>
      <c r="AC90" s="1061"/>
      <c r="AD90" s="1061"/>
      <c r="AE90" s="1061"/>
      <c r="AF90" s="1061"/>
      <c r="AG90" s="1061"/>
      <c r="AH90" s="1061"/>
      <c r="AI90" s="1061"/>
      <c r="AJ90" s="1061"/>
      <c r="AK90" s="1061"/>
      <c r="AL90" s="1061"/>
      <c r="AM90" s="1061"/>
      <c r="AN90" s="1061"/>
      <c r="AO90" s="1061"/>
      <c r="AP90" s="1061"/>
      <c r="AQ90" s="1061"/>
      <c r="AR90" s="1061"/>
      <c r="AS90" s="1061"/>
      <c r="AT90" s="1061"/>
      <c r="AU90" s="1062"/>
      <c r="AV90" s="1061"/>
      <c r="AX90" s="1061"/>
    </row>
    <row r="91" spans="1:50" ht="15.6" hidden="1">
      <c r="A91" s="1563" t="s">
        <v>199</v>
      </c>
      <c r="B91" s="1061"/>
      <c r="C91" s="1061"/>
      <c r="D91" s="1061"/>
      <c r="E91" s="1061"/>
      <c r="F91" s="1061"/>
      <c r="G91" s="1061"/>
      <c r="H91" s="1061"/>
      <c r="I91" s="1061"/>
      <c r="J91" s="1061"/>
      <c r="K91" s="1061"/>
      <c r="L91" s="1061"/>
      <c r="M91" s="1061"/>
      <c r="N91" s="1061"/>
      <c r="O91" s="1061"/>
      <c r="P91" s="1061"/>
      <c r="Q91" s="1061"/>
      <c r="R91" s="1061"/>
      <c r="S91" s="1061"/>
      <c r="T91" s="1061"/>
      <c r="U91" s="1061"/>
      <c r="V91" s="1061"/>
      <c r="W91" s="1061"/>
      <c r="X91" s="1061"/>
      <c r="Y91" s="1061"/>
      <c r="Z91" s="1061"/>
      <c r="AA91" s="1061"/>
      <c r="AB91" s="1061"/>
      <c r="AC91" s="1061"/>
      <c r="AD91" s="1061"/>
      <c r="AE91" s="1061"/>
      <c r="AF91" s="1061"/>
      <c r="AG91" s="1061"/>
      <c r="AH91" s="1061"/>
      <c r="AI91" s="1061"/>
      <c r="AJ91" s="1061"/>
      <c r="AK91" s="1061"/>
      <c r="AL91" s="1061"/>
      <c r="AM91" s="1061"/>
      <c r="AN91" s="1061"/>
      <c r="AO91" s="1061"/>
      <c r="AP91" s="1061"/>
      <c r="AQ91" s="1061"/>
      <c r="AR91" s="1061"/>
      <c r="AS91" s="1061"/>
      <c r="AT91" s="1061"/>
      <c r="AU91" s="1062"/>
      <c r="AV91" s="1061"/>
      <c r="AX91" s="1061"/>
    </row>
    <row r="92" spans="1:50" hidden="1">
      <c r="A92" s="1061" t="s">
        <v>127</v>
      </c>
      <c r="B92" s="1064"/>
      <c r="C92" s="1064"/>
      <c r="D92" s="1064"/>
      <c r="E92" s="1064"/>
      <c r="F92" s="1064"/>
      <c r="G92" s="1064"/>
      <c r="H92" s="1064"/>
      <c r="I92" s="1064"/>
      <c r="J92" s="1064"/>
      <c r="K92" s="1064"/>
      <c r="L92" s="1064"/>
      <c r="M92" s="1064"/>
      <c r="N92" s="1064"/>
      <c r="O92" s="1064"/>
      <c r="P92" s="1064"/>
      <c r="Q92" s="1064"/>
      <c r="R92" s="1064"/>
      <c r="S92" s="1064"/>
      <c r="T92" s="1064"/>
      <c r="U92" s="1064"/>
      <c r="V92" s="1064"/>
      <c r="W92" s="1064"/>
      <c r="X92" s="1064"/>
      <c r="Y92" s="1064"/>
      <c r="Z92" s="1064"/>
      <c r="AA92" s="1064"/>
      <c r="AB92" s="1064"/>
      <c r="AC92" s="1064"/>
      <c r="AD92" s="1064"/>
      <c r="AE92" s="1064"/>
      <c r="AF92" s="1064"/>
      <c r="AG92" s="1064"/>
      <c r="AH92" s="1064"/>
      <c r="AI92" s="1064"/>
      <c r="AJ92" s="1064"/>
      <c r="AK92" s="1064"/>
      <c r="AL92" s="1064"/>
      <c r="AM92" s="1064"/>
      <c r="AN92" s="1064"/>
      <c r="AO92" s="1064"/>
      <c r="AP92" s="1064"/>
      <c r="AQ92" s="1064"/>
      <c r="AR92" s="1064"/>
      <c r="AS92" s="1064"/>
      <c r="AT92" s="1064"/>
      <c r="AU92" s="1062"/>
      <c r="AV92" s="1061"/>
      <c r="AX92" s="1061"/>
    </row>
    <row r="93" spans="1:50" hidden="1">
      <c r="A93" s="1061" t="s">
        <v>186</v>
      </c>
      <c r="B93" s="1064"/>
      <c r="C93" s="1064"/>
      <c r="D93" s="1064"/>
      <c r="E93" s="1064"/>
      <c r="F93" s="1064"/>
      <c r="G93" s="1064"/>
      <c r="H93" s="1064"/>
      <c r="I93" s="1064"/>
      <c r="J93" s="1064"/>
      <c r="K93" s="1064"/>
      <c r="L93" s="1064"/>
      <c r="M93" s="1064"/>
      <c r="N93" s="1064"/>
      <c r="O93" s="1064"/>
      <c r="P93" s="1064"/>
      <c r="Q93" s="1064"/>
      <c r="R93" s="1064"/>
      <c r="S93" s="1064"/>
      <c r="T93" s="1064"/>
      <c r="U93" s="1064"/>
      <c r="V93" s="1064"/>
      <c r="W93" s="1064"/>
      <c r="X93" s="1064"/>
      <c r="Y93" s="1064"/>
      <c r="Z93" s="1064"/>
      <c r="AA93" s="1064"/>
      <c r="AB93" s="1064"/>
      <c r="AC93" s="1064"/>
      <c r="AD93" s="1064"/>
      <c r="AE93" s="1064"/>
      <c r="AF93" s="1064"/>
      <c r="AG93" s="1064"/>
      <c r="AH93" s="1064"/>
      <c r="AI93" s="1064"/>
      <c r="AJ93" s="1064"/>
      <c r="AK93" s="1064"/>
      <c r="AL93" s="1064"/>
      <c r="AM93" s="1064"/>
      <c r="AN93" s="1064"/>
      <c r="AO93" s="1064"/>
      <c r="AP93" s="1064"/>
      <c r="AQ93" s="1064"/>
      <c r="AR93" s="1064"/>
      <c r="AS93" s="1064"/>
      <c r="AT93" s="1064"/>
      <c r="AU93" s="1062"/>
      <c r="AV93" s="1061"/>
      <c r="AX93" s="1061"/>
    </row>
    <row r="94" spans="1:50" hidden="1">
      <c r="A94" s="1061" t="s">
        <v>189</v>
      </c>
      <c r="B94" s="1064"/>
      <c r="C94" s="1064"/>
      <c r="D94" s="1064"/>
      <c r="E94" s="1064"/>
      <c r="F94" s="1064"/>
      <c r="G94" s="1064"/>
      <c r="H94" s="1064"/>
      <c r="I94" s="1064"/>
      <c r="J94" s="1064"/>
      <c r="K94" s="1064"/>
      <c r="L94" s="1064"/>
      <c r="M94" s="1064"/>
      <c r="N94" s="1064"/>
      <c r="O94" s="1064"/>
      <c r="P94" s="1064"/>
      <c r="Q94" s="1064"/>
      <c r="R94" s="1064"/>
      <c r="S94" s="1064"/>
      <c r="T94" s="1064"/>
      <c r="U94" s="1064"/>
      <c r="V94" s="1064"/>
      <c r="W94" s="1064"/>
      <c r="X94" s="1064"/>
      <c r="Y94" s="1064"/>
      <c r="Z94" s="1064"/>
      <c r="AA94" s="1064"/>
      <c r="AB94" s="1064"/>
      <c r="AC94" s="1064"/>
      <c r="AD94" s="1064"/>
      <c r="AE94" s="1064"/>
      <c r="AF94" s="1064"/>
      <c r="AG94" s="1064"/>
      <c r="AH94" s="1064"/>
      <c r="AI94" s="1064"/>
      <c r="AJ94" s="1064"/>
      <c r="AK94" s="1064"/>
      <c r="AL94" s="1064"/>
      <c r="AM94" s="1064"/>
      <c r="AN94" s="1064"/>
      <c r="AO94" s="1064"/>
      <c r="AP94" s="1064"/>
      <c r="AQ94" s="1064"/>
      <c r="AR94" s="1064"/>
      <c r="AS94" s="1064"/>
      <c r="AT94" s="1064"/>
      <c r="AU94" s="1062"/>
      <c r="AV94" s="1061"/>
      <c r="AX94" s="1061"/>
    </row>
    <row r="95" spans="1:50" hidden="1">
      <c r="A95" s="1061" t="s">
        <v>213</v>
      </c>
      <c r="B95" s="1064"/>
      <c r="C95" s="1064"/>
      <c r="D95" s="1064"/>
      <c r="E95" s="1064"/>
      <c r="F95" s="1064"/>
      <c r="G95" s="1064"/>
      <c r="H95" s="1064"/>
      <c r="I95" s="1064"/>
      <c r="J95" s="1064"/>
      <c r="K95" s="1064"/>
      <c r="L95" s="1064"/>
      <c r="M95" s="1064"/>
      <c r="N95" s="1064"/>
      <c r="O95" s="1064"/>
      <c r="P95" s="1064"/>
      <c r="Q95" s="1064"/>
      <c r="R95" s="1064"/>
      <c r="S95" s="1064"/>
      <c r="T95" s="1064"/>
      <c r="U95" s="1064"/>
      <c r="V95" s="1064"/>
      <c r="W95" s="1064"/>
      <c r="X95" s="1064"/>
      <c r="Y95" s="1064"/>
      <c r="Z95" s="1064"/>
      <c r="AA95" s="1064"/>
      <c r="AB95" s="1064"/>
      <c r="AC95" s="1064"/>
      <c r="AD95" s="1064"/>
      <c r="AE95" s="1064"/>
      <c r="AF95" s="1064"/>
      <c r="AG95" s="1064"/>
      <c r="AH95" s="1064"/>
      <c r="AI95" s="1064"/>
      <c r="AJ95" s="1064"/>
      <c r="AK95" s="1064"/>
      <c r="AL95" s="1064"/>
      <c r="AM95" s="1064"/>
      <c r="AN95" s="1064"/>
      <c r="AO95" s="1064"/>
      <c r="AP95" s="1064"/>
      <c r="AQ95" s="1064"/>
      <c r="AR95" s="1064"/>
      <c r="AS95" s="1064"/>
      <c r="AT95" s="1064"/>
      <c r="AU95" s="1062"/>
      <c r="AV95" s="1061"/>
      <c r="AX95" s="1061"/>
    </row>
    <row r="96" spans="1:50" s="1559" customFormat="1" ht="15.6" hidden="1">
      <c r="A96" s="1563" t="s">
        <v>71</v>
      </c>
      <c r="B96" s="1565"/>
      <c r="C96" s="1565"/>
      <c r="D96" s="1565"/>
      <c r="E96" s="1565"/>
      <c r="F96" s="1565"/>
      <c r="G96" s="1565"/>
      <c r="H96" s="1565"/>
      <c r="I96" s="1565"/>
      <c r="J96" s="1565"/>
      <c r="K96" s="1565"/>
      <c r="L96" s="1565"/>
      <c r="M96" s="1565"/>
      <c r="N96" s="1565"/>
      <c r="O96" s="1565"/>
      <c r="P96" s="1565"/>
      <c r="Q96" s="1565"/>
      <c r="R96" s="1565"/>
      <c r="S96" s="1565"/>
      <c r="T96" s="1565"/>
      <c r="U96" s="1565"/>
      <c r="V96" s="1565"/>
      <c r="W96" s="1565"/>
      <c r="X96" s="1565"/>
      <c r="Y96" s="1565"/>
      <c r="Z96" s="1565"/>
      <c r="AA96" s="1565"/>
      <c r="AB96" s="1565"/>
      <c r="AC96" s="1565"/>
      <c r="AD96" s="1565"/>
      <c r="AE96" s="1565"/>
      <c r="AF96" s="1565"/>
      <c r="AG96" s="1565"/>
      <c r="AH96" s="1565"/>
      <c r="AI96" s="1565"/>
      <c r="AJ96" s="1565"/>
      <c r="AK96" s="1565"/>
      <c r="AL96" s="1565"/>
      <c r="AM96" s="1565"/>
      <c r="AN96" s="1565"/>
      <c r="AO96" s="1565"/>
      <c r="AP96" s="1565"/>
      <c r="AQ96" s="1565"/>
      <c r="AR96" s="1565"/>
      <c r="AS96" s="1565"/>
      <c r="AT96" s="1565"/>
      <c r="AU96" s="1566"/>
      <c r="AV96" s="1563"/>
      <c r="AX96" s="1563"/>
    </row>
    <row r="97" spans="1:50" ht="15.6" hidden="1">
      <c r="A97" s="1563"/>
      <c r="B97" s="1064"/>
      <c r="C97" s="1064"/>
      <c r="D97" s="1064"/>
      <c r="E97" s="1064"/>
      <c r="F97" s="1064"/>
      <c r="G97" s="1064"/>
      <c r="H97" s="1064"/>
      <c r="I97" s="1064"/>
      <c r="J97" s="1064"/>
      <c r="K97" s="1064"/>
      <c r="L97" s="1064"/>
      <c r="M97" s="1064"/>
      <c r="N97" s="1064"/>
      <c r="O97" s="1064"/>
      <c r="P97" s="1064"/>
      <c r="Q97" s="1064"/>
      <c r="R97" s="1064"/>
      <c r="S97" s="1064"/>
      <c r="T97" s="1064"/>
      <c r="U97" s="1064"/>
      <c r="V97" s="1064"/>
      <c r="W97" s="1064"/>
      <c r="X97" s="1064"/>
      <c r="Y97" s="1064"/>
      <c r="Z97" s="1064"/>
      <c r="AA97" s="1064"/>
      <c r="AB97" s="1064"/>
      <c r="AC97" s="1064"/>
      <c r="AD97" s="1064"/>
      <c r="AE97" s="1064"/>
      <c r="AF97" s="1064"/>
      <c r="AG97" s="1064"/>
      <c r="AH97" s="1064"/>
      <c r="AI97" s="1064"/>
      <c r="AJ97" s="1064"/>
      <c r="AK97" s="1064"/>
      <c r="AL97" s="1064"/>
      <c r="AM97" s="1064"/>
      <c r="AN97" s="1064"/>
      <c r="AO97" s="1061"/>
      <c r="AP97" s="1061"/>
      <c r="AQ97" s="1061"/>
      <c r="AR97" s="1061"/>
      <c r="AS97" s="1061"/>
      <c r="AT97" s="1061"/>
      <c r="AU97" s="1062"/>
      <c r="AV97" s="1061"/>
      <c r="AX97" s="1061"/>
    </row>
    <row r="98" spans="1:50" ht="15.6">
      <c r="A98" s="1563" t="s">
        <v>1811</v>
      </c>
      <c r="B98" s="1061"/>
      <c r="C98" s="1061"/>
      <c r="D98" s="1563"/>
      <c r="E98" s="1061"/>
      <c r="F98" s="1563"/>
      <c r="G98" s="1061"/>
      <c r="H98" s="1061"/>
      <c r="I98" s="1061"/>
      <c r="J98" s="1061"/>
      <c r="K98" s="1061"/>
      <c r="L98" s="1061"/>
      <c r="M98" s="1061"/>
      <c r="N98" s="1061"/>
      <c r="O98" s="1061"/>
      <c r="P98" s="1061"/>
      <c r="Q98" s="1061"/>
      <c r="R98" s="1061"/>
      <c r="S98" s="1061"/>
      <c r="T98" s="1064">
        <f>SUM(S57:V57)</f>
        <v>569475.69675177662</v>
      </c>
      <c r="U98" s="1061"/>
      <c r="V98" s="1061"/>
      <c r="W98" s="1061"/>
      <c r="X98" s="1061"/>
      <c r="Y98" s="1061"/>
      <c r="Z98" s="1061"/>
      <c r="AA98" s="1061"/>
      <c r="AB98" s="1061"/>
      <c r="AC98" s="1061"/>
      <c r="AD98" s="1061"/>
      <c r="AE98" s="1061"/>
      <c r="AF98" s="1061"/>
      <c r="AG98" s="1061"/>
      <c r="AH98" s="1061"/>
      <c r="AI98" s="1061"/>
      <c r="AJ98" s="1061"/>
      <c r="AK98" s="1061"/>
      <c r="AL98" s="1061"/>
      <c r="AM98" s="1061"/>
      <c r="AN98" s="1061"/>
      <c r="AO98" s="1061"/>
      <c r="AP98" s="1061"/>
      <c r="AQ98" s="1061"/>
      <c r="AR98" s="1061"/>
      <c r="AS98" s="1061"/>
      <c r="AT98" s="1061"/>
      <c r="AU98" s="1062"/>
      <c r="AV98" s="1061"/>
      <c r="AW98" s="1061"/>
      <c r="AX98" s="1061"/>
    </row>
    <row r="99" spans="1:50" ht="15.6">
      <c r="A99" s="1061" t="s">
        <v>1813</v>
      </c>
      <c r="B99" s="1064">
        <f>+'Grasmere Pig Cost'!B65+'Lionhead Pig Cost'!B65+'Villa Pig Cost'!B65+'Richlands Pig Cost'!B65</f>
        <v>45721</v>
      </c>
      <c r="C99" s="1064">
        <f>+'Grasmere Pig Cost'!C65+'Lionhead Pig Cost'!C65+'Villa Pig Cost'!C65+'Richlands Pig Cost'!C65</f>
        <v>0</v>
      </c>
      <c r="D99" s="1064">
        <f>+'Grasmere Pig Cost'!D65+'Lionhead Pig Cost'!D65+'Villa Pig Cost'!D65+'Richlands Pig Cost'!D65</f>
        <v>0</v>
      </c>
      <c r="E99" s="1064">
        <f>+'Grasmere Pig Cost'!E65+'Lionhead Pig Cost'!E65+'Villa Pig Cost'!E65+'Richlands Pig Cost'!E65</f>
        <v>0</v>
      </c>
      <c r="F99" s="1064">
        <f>+'Grasmere Pig Cost'!F65+'Lionhead Pig Cost'!F65+'Villa Pig Cost'!F65+'Richlands Pig Cost'!F65</f>
        <v>0</v>
      </c>
      <c r="G99" s="1061"/>
      <c r="H99" s="1061"/>
      <c r="I99" s="1061"/>
      <c r="J99" s="1061"/>
      <c r="K99" s="1061"/>
      <c r="L99" s="1061"/>
      <c r="M99" s="1061"/>
      <c r="N99" s="1061"/>
      <c r="O99" s="1061"/>
      <c r="P99" s="1061"/>
      <c r="Q99" s="1061"/>
      <c r="R99" s="1061"/>
      <c r="S99" s="1061"/>
      <c r="T99" s="1061"/>
      <c r="U99" s="1061"/>
      <c r="V99" s="1061"/>
      <c r="W99" s="1061"/>
      <c r="X99" s="1061"/>
      <c r="Y99" s="1061"/>
      <c r="Z99" s="1061"/>
      <c r="AA99" s="1061"/>
      <c r="AB99" s="1061"/>
      <c r="AC99" s="1061"/>
      <c r="AD99" s="1061"/>
      <c r="AE99" s="1061"/>
      <c r="AF99" s="1061"/>
      <c r="AG99" s="1061"/>
      <c r="AH99" s="1061"/>
      <c r="AI99" s="1061"/>
      <c r="AJ99" s="1061"/>
      <c r="AK99" s="1061"/>
      <c r="AL99" s="1061"/>
      <c r="AM99" s="1061"/>
      <c r="AN99" s="1061"/>
      <c r="AO99" s="1061"/>
      <c r="AP99" s="1061"/>
      <c r="AQ99" s="1061"/>
      <c r="AR99" s="1061"/>
      <c r="AS99" s="1061"/>
      <c r="AT99" s="1061"/>
      <c r="AU99" s="1686">
        <f>+AU53/(AU23*[78]Sales!$AD$12)</f>
        <v>3.3570907786299142</v>
      </c>
      <c r="AV99" s="1687" t="s">
        <v>229</v>
      </c>
      <c r="AW99" s="1061"/>
      <c r="AX99" s="1061"/>
    </row>
    <row r="100" spans="1:50">
      <c r="A100" s="1061" t="s">
        <v>60</v>
      </c>
      <c r="B100" s="1064">
        <f>+'Grasmere Pig Cost'!B66+'Lionhead Pig Cost'!B66+'Villa Pig Cost'!B66+'Richlands Pig Cost'!B66</f>
        <v>273218</v>
      </c>
      <c r="C100" s="1064">
        <f>+'Grasmere Pig Cost'!C66+'Lionhead Pig Cost'!C66+'Villa Pig Cost'!C66+'Richlands Pig Cost'!C66</f>
        <v>0</v>
      </c>
      <c r="D100" s="1064">
        <f>+'Grasmere Pig Cost'!D66+'Lionhead Pig Cost'!D66+'Villa Pig Cost'!D66+'Richlands Pig Cost'!D66</f>
        <v>69073</v>
      </c>
      <c r="E100" s="1064">
        <f>+'Grasmere Pig Cost'!E66+'Lionhead Pig Cost'!E66+'Villa Pig Cost'!E66+'Richlands Pig Cost'!E66</f>
        <v>0</v>
      </c>
      <c r="F100" s="1064">
        <f>+'Grasmere Pig Cost'!F66+'Lionhead Pig Cost'!F66+'Villa Pig Cost'!F66+'Richlands Pig Cost'!F66</f>
        <v>148596.70000000001</v>
      </c>
      <c r="G100" s="1061"/>
      <c r="H100" s="1061"/>
      <c r="I100" s="1061"/>
      <c r="J100" s="1061"/>
      <c r="K100" s="1061"/>
      <c r="L100" s="1061"/>
      <c r="M100" s="1061"/>
      <c r="N100" s="1061"/>
      <c r="O100" s="1061"/>
      <c r="P100" s="1061"/>
      <c r="Q100" s="1061"/>
      <c r="R100" s="1061"/>
      <c r="S100" s="1061"/>
      <c r="T100" s="1061"/>
      <c r="U100" s="1061"/>
      <c r="V100" s="1061"/>
      <c r="W100" s="1061"/>
      <c r="X100" s="1061"/>
      <c r="Y100" s="1061"/>
      <c r="Z100" s="1061"/>
      <c r="AA100" s="1061"/>
      <c r="AB100" s="1061"/>
      <c r="AC100" s="1061"/>
      <c r="AD100" s="1061"/>
      <c r="AE100" s="1061"/>
      <c r="AF100" s="1061"/>
      <c r="AG100" s="1061"/>
      <c r="AH100" s="1061"/>
      <c r="AI100" s="1061"/>
      <c r="AJ100" s="1061"/>
      <c r="AK100" s="1061"/>
      <c r="AL100" s="1061"/>
      <c r="AM100" s="1061"/>
      <c r="AN100" s="1061"/>
      <c r="AO100" s="1061"/>
      <c r="AP100" s="1061"/>
      <c r="AQ100" s="1061"/>
      <c r="AR100" s="1061"/>
      <c r="AS100" s="1061"/>
      <c r="AT100" s="1061"/>
      <c r="AU100" s="1062"/>
      <c r="AV100" s="1061"/>
      <c r="AW100" s="1061"/>
      <c r="AX100" s="1061"/>
    </row>
    <row r="101" spans="1:50">
      <c r="A101" s="1061" t="s">
        <v>1829</v>
      </c>
      <c r="B101" s="1064">
        <f>+'Grasmere Pig Cost'!B67+'Lionhead Pig Cost'!B67+'Villa Pig Cost'!B67+'Richlands Pig Cost'!B67</f>
        <v>28760</v>
      </c>
      <c r="C101" s="1064">
        <f>+'Grasmere Pig Cost'!C67+'Lionhead Pig Cost'!C67+'Villa Pig Cost'!C67+'Richlands Pig Cost'!C67</f>
        <v>0</v>
      </c>
      <c r="D101" s="1064">
        <f>+'Grasmere Pig Cost'!D67+'Lionhead Pig Cost'!D67+'Villa Pig Cost'!D67+'Richlands Pig Cost'!D67</f>
        <v>104390</v>
      </c>
      <c r="E101" s="1064">
        <f>+'Grasmere Pig Cost'!E67+'Lionhead Pig Cost'!E67+'Villa Pig Cost'!E67+'Richlands Pig Cost'!E67</f>
        <v>0</v>
      </c>
      <c r="F101" s="1064">
        <f>+'Grasmere Pig Cost'!F67+'Lionhead Pig Cost'!F67+'Villa Pig Cost'!F67+'Richlands Pig Cost'!F67</f>
        <v>0</v>
      </c>
      <c r="G101" s="1061"/>
      <c r="H101" s="1061"/>
      <c r="I101" s="1061"/>
      <c r="J101" s="1061"/>
      <c r="K101" s="1061"/>
      <c r="L101" s="1061"/>
      <c r="M101" s="1061"/>
      <c r="N101" s="1061"/>
      <c r="O101" s="1061"/>
      <c r="P101" s="1061"/>
      <c r="Q101" s="1061"/>
      <c r="R101" s="1061"/>
      <c r="S101" s="1061"/>
      <c r="T101" s="1061"/>
      <c r="U101" s="1061"/>
      <c r="V101" s="1061"/>
      <c r="W101" s="1061"/>
      <c r="X101" s="1061"/>
      <c r="Y101" s="1061"/>
      <c r="Z101" s="1061"/>
      <c r="AA101" s="1061"/>
      <c r="AB101" s="1061"/>
      <c r="AC101" s="1061"/>
      <c r="AD101" s="1061"/>
      <c r="AE101" s="1061"/>
      <c r="AF101" s="1061"/>
      <c r="AG101" s="1061"/>
      <c r="AH101" s="1061"/>
      <c r="AI101" s="1061"/>
      <c r="AJ101" s="1061"/>
      <c r="AK101" s="1061"/>
      <c r="AL101" s="1061"/>
      <c r="AM101" s="1061"/>
      <c r="AN101" s="1061"/>
      <c r="AO101" s="1061"/>
      <c r="AP101" s="1061"/>
      <c r="AQ101" s="1061"/>
      <c r="AR101" s="1061"/>
      <c r="AS101" s="1061"/>
      <c r="AT101" s="1061"/>
      <c r="AU101" s="1062"/>
      <c r="AV101" s="1061"/>
      <c r="AW101" s="1061"/>
      <c r="AX101" s="1061"/>
    </row>
    <row r="102" spans="1:50" ht="15.6">
      <c r="A102" s="1563" t="s">
        <v>71</v>
      </c>
      <c r="B102" s="1565">
        <f>SUM(B99:B101)</f>
        <v>347699</v>
      </c>
      <c r="C102" s="1061"/>
      <c r="D102" s="1565">
        <f>SUM(D99:D101)</f>
        <v>173463</v>
      </c>
      <c r="E102" s="1064">
        <f>SUM(E99:E101)</f>
        <v>0</v>
      </c>
      <c r="F102" s="1565">
        <f>SUM(F99:F101)</f>
        <v>148596.70000000001</v>
      </c>
      <c r="G102" s="1061"/>
      <c r="H102" s="1061"/>
      <c r="I102" s="1061"/>
      <c r="J102" s="1061"/>
      <c r="K102" s="1061"/>
      <c r="L102" s="1061"/>
      <c r="M102" s="1061"/>
      <c r="N102" s="1061"/>
      <c r="O102" s="1061"/>
      <c r="P102" s="1061"/>
      <c r="Q102" s="1061"/>
      <c r="R102" s="1061"/>
      <c r="S102" s="1061"/>
      <c r="T102" s="1061"/>
      <c r="U102" s="1061"/>
      <c r="V102" s="1061"/>
      <c r="W102" s="1061"/>
      <c r="X102" s="1061"/>
      <c r="Y102" s="1061"/>
      <c r="Z102" s="1061"/>
      <c r="AA102" s="1061"/>
      <c r="AB102" s="1061"/>
      <c r="AC102" s="1061"/>
      <c r="AD102" s="1061"/>
      <c r="AE102" s="1061"/>
      <c r="AF102" s="1061"/>
      <c r="AG102" s="1061"/>
      <c r="AH102" s="1061"/>
      <c r="AI102" s="1061"/>
      <c r="AJ102" s="1061"/>
      <c r="AK102" s="1061"/>
      <c r="AL102" s="1061"/>
      <c r="AM102" s="1061"/>
      <c r="AN102" s="1061"/>
      <c r="AO102" s="1061"/>
      <c r="AP102" s="1061"/>
      <c r="AQ102" s="1061"/>
      <c r="AR102" s="1061"/>
      <c r="AS102" s="1061"/>
      <c r="AT102" s="1061"/>
      <c r="AU102" s="1062"/>
      <c r="AV102" s="1061"/>
      <c r="AW102" s="1061"/>
      <c r="AX102" s="1061"/>
    </row>
    <row r="103" spans="1:50" hidden="1">
      <c r="A103" s="1061"/>
      <c r="B103" s="1061"/>
      <c r="C103" s="1061"/>
      <c r="D103" s="1061"/>
      <c r="E103" s="1061"/>
      <c r="F103" s="1061"/>
      <c r="G103" s="1061"/>
      <c r="H103" s="1061"/>
      <c r="I103" s="1061"/>
      <c r="J103" s="1061"/>
      <c r="K103" s="1061"/>
      <c r="L103" s="1061"/>
      <c r="M103" s="1061"/>
      <c r="N103" s="1061"/>
      <c r="O103" s="1061"/>
      <c r="P103" s="1061"/>
      <c r="Q103" s="1061"/>
      <c r="R103" s="1061"/>
      <c r="S103" s="1061"/>
      <c r="T103" s="1061"/>
      <c r="U103" s="1061"/>
      <c r="V103" s="1061"/>
      <c r="W103" s="1061"/>
      <c r="X103" s="1061"/>
      <c r="Y103" s="1061"/>
      <c r="Z103" s="1061"/>
      <c r="AA103" s="1061"/>
      <c r="AB103" s="1061"/>
      <c r="AC103" s="1061"/>
      <c r="AD103" s="1061"/>
      <c r="AE103" s="1061"/>
      <c r="AF103" s="1061"/>
      <c r="AG103" s="1061"/>
      <c r="AH103" s="1061"/>
      <c r="AI103" s="1061"/>
      <c r="AJ103" s="1061"/>
      <c r="AK103" s="1061"/>
      <c r="AL103" s="1061"/>
      <c r="AM103" s="1061"/>
      <c r="AN103" s="1061"/>
      <c r="AO103" s="1061"/>
      <c r="AP103" s="1061"/>
      <c r="AQ103" s="1061"/>
      <c r="AR103" s="1061"/>
      <c r="AS103" s="1061"/>
      <c r="AT103" s="1061"/>
      <c r="AU103" s="1062"/>
      <c r="AV103" s="1061"/>
      <c r="AX103" s="1061"/>
    </row>
    <row r="104" spans="1:50" ht="15.6" hidden="1">
      <c r="A104" s="1563" t="s">
        <v>1838</v>
      </c>
      <c r="B104" s="1061"/>
      <c r="C104" s="1061"/>
      <c r="D104" s="1061"/>
      <c r="E104" s="1061"/>
      <c r="F104" s="1061"/>
      <c r="G104" s="1061"/>
      <c r="H104" s="1061"/>
      <c r="I104" s="1061"/>
      <c r="J104" s="1061"/>
      <c r="K104" s="1061"/>
      <c r="L104" s="1061"/>
      <c r="M104" s="1061"/>
      <c r="N104" s="1061"/>
      <c r="O104" s="1061"/>
      <c r="P104" s="1061"/>
      <c r="Q104" s="1061"/>
      <c r="R104" s="1061"/>
      <c r="S104" s="1061"/>
      <c r="T104" s="1061"/>
      <c r="U104" s="1061"/>
      <c r="V104" s="1061"/>
      <c r="W104" s="1061"/>
      <c r="X104" s="1061"/>
      <c r="Y104" s="1061"/>
      <c r="Z104" s="1061"/>
      <c r="AA104" s="1061"/>
      <c r="AB104" s="1061"/>
      <c r="AC104" s="1061"/>
      <c r="AD104" s="1061"/>
      <c r="AE104" s="1061"/>
      <c r="AF104" s="1061"/>
      <c r="AG104" s="1061"/>
      <c r="AH104" s="1061"/>
      <c r="AI104" s="1061"/>
      <c r="AJ104" s="1061"/>
      <c r="AK104" s="1061"/>
      <c r="AL104" s="1061"/>
      <c r="AM104" s="1061"/>
      <c r="AN104" s="1061"/>
      <c r="AO104" s="1061"/>
      <c r="AP104" s="1061"/>
      <c r="AQ104" s="1061"/>
      <c r="AR104" s="1061"/>
      <c r="AS104" s="1061"/>
      <c r="AT104" s="1061"/>
      <c r="AU104" s="1062"/>
      <c r="AV104" s="1061"/>
      <c r="AX104" s="1061"/>
    </row>
    <row r="105" spans="1:50" hidden="1">
      <c r="A105" s="1061" t="s">
        <v>127</v>
      </c>
      <c r="B105" s="1063"/>
      <c r="C105" s="1063"/>
      <c r="D105" s="1063"/>
      <c r="E105" s="1063"/>
      <c r="F105" s="1063"/>
      <c r="G105" s="1063"/>
      <c r="H105" s="1063"/>
      <c r="I105" s="1063"/>
      <c r="J105" s="1063"/>
      <c r="K105" s="1063"/>
      <c r="L105" s="1063"/>
      <c r="M105" s="1063"/>
      <c r="N105" s="1063"/>
      <c r="O105" s="1063"/>
      <c r="P105" s="1063"/>
      <c r="Q105" s="1063"/>
      <c r="R105" s="1063"/>
      <c r="S105" s="1063"/>
      <c r="T105" s="1063"/>
      <c r="U105" s="1063"/>
      <c r="V105" s="1063"/>
      <c r="W105" s="1063"/>
      <c r="X105" s="1063"/>
      <c r="Y105" s="1063"/>
      <c r="Z105" s="1063"/>
      <c r="AA105" s="1063"/>
      <c r="AB105" s="1063"/>
      <c r="AC105" s="1063"/>
      <c r="AD105" s="1063"/>
      <c r="AE105" s="1063"/>
      <c r="AF105" s="1063"/>
      <c r="AG105" s="1063"/>
      <c r="AH105" s="1063"/>
      <c r="AI105" s="1063"/>
      <c r="AJ105" s="1063"/>
      <c r="AK105" s="1063"/>
      <c r="AL105" s="1063"/>
      <c r="AM105" s="1063"/>
      <c r="AN105" s="1063"/>
      <c r="AO105" s="1063"/>
      <c r="AP105" s="1063"/>
      <c r="AQ105" s="1063"/>
      <c r="AR105" s="1063"/>
      <c r="AS105" s="1063"/>
      <c r="AT105" s="1063"/>
      <c r="AU105" s="1062"/>
      <c r="AV105" s="1064"/>
      <c r="AX105" s="1061"/>
    </row>
    <row r="106" spans="1:50" hidden="1">
      <c r="A106" s="1061" t="s">
        <v>186</v>
      </c>
      <c r="B106" s="1063"/>
      <c r="C106" s="1063"/>
      <c r="D106" s="1063"/>
      <c r="E106" s="1063"/>
      <c r="F106" s="1063"/>
      <c r="G106" s="1063"/>
      <c r="H106" s="1063"/>
      <c r="I106" s="1063"/>
      <c r="J106" s="1063"/>
      <c r="K106" s="1063"/>
      <c r="L106" s="1063"/>
      <c r="M106" s="1063"/>
      <c r="N106" s="1063"/>
      <c r="O106" s="1063"/>
      <c r="P106" s="1063"/>
      <c r="Q106" s="1063"/>
      <c r="R106" s="1063"/>
      <c r="S106" s="1063"/>
      <c r="T106" s="1063"/>
      <c r="U106" s="1063"/>
      <c r="V106" s="1063"/>
      <c r="W106" s="1063"/>
      <c r="X106" s="1063"/>
      <c r="Y106" s="1063"/>
      <c r="Z106" s="1063"/>
      <c r="AA106" s="1063"/>
      <c r="AB106" s="1063"/>
      <c r="AC106" s="1063"/>
      <c r="AD106" s="1063"/>
      <c r="AE106" s="1063"/>
      <c r="AF106" s="1063"/>
      <c r="AG106" s="1063"/>
      <c r="AH106" s="1063"/>
      <c r="AI106" s="1063"/>
      <c r="AJ106" s="1063"/>
      <c r="AK106" s="1063"/>
      <c r="AL106" s="1063"/>
      <c r="AM106" s="1063"/>
      <c r="AN106" s="1063"/>
      <c r="AO106" s="1063"/>
      <c r="AP106" s="1063"/>
      <c r="AQ106" s="1063"/>
      <c r="AR106" s="1063"/>
      <c r="AS106" s="1063"/>
      <c r="AT106" s="1063"/>
      <c r="AU106" s="1062"/>
      <c r="AV106" s="1064"/>
      <c r="AX106" s="1061"/>
    </row>
    <row r="107" spans="1:50" hidden="1">
      <c r="A107" s="1061" t="s">
        <v>189</v>
      </c>
      <c r="B107" s="1063"/>
      <c r="C107" s="1063"/>
      <c r="D107" s="1063"/>
      <c r="E107" s="1063"/>
      <c r="F107" s="1063"/>
      <c r="G107" s="1063"/>
      <c r="H107" s="1063"/>
      <c r="I107" s="1063"/>
      <c r="J107" s="1063"/>
      <c r="K107" s="1063"/>
      <c r="L107" s="1063"/>
      <c r="M107" s="1063"/>
      <c r="N107" s="1063"/>
      <c r="O107" s="1063"/>
      <c r="P107" s="1063"/>
      <c r="Q107" s="1063"/>
      <c r="R107" s="1063"/>
      <c r="S107" s="1063"/>
      <c r="T107" s="1063"/>
      <c r="U107" s="1063"/>
      <c r="V107" s="1063"/>
      <c r="W107" s="1063"/>
      <c r="X107" s="1063"/>
      <c r="Y107" s="1063"/>
      <c r="Z107" s="1063"/>
      <c r="AA107" s="1063"/>
      <c r="AB107" s="1063"/>
      <c r="AC107" s="1063"/>
      <c r="AD107" s="1063"/>
      <c r="AE107" s="1063"/>
      <c r="AF107" s="1063"/>
      <c r="AG107" s="1063"/>
      <c r="AH107" s="1063"/>
      <c r="AI107" s="1063"/>
      <c r="AJ107" s="1063"/>
      <c r="AK107" s="1063"/>
      <c r="AL107" s="1063"/>
      <c r="AM107" s="1063"/>
      <c r="AN107" s="1063"/>
      <c r="AO107" s="1063"/>
      <c r="AP107" s="1063"/>
      <c r="AQ107" s="1063"/>
      <c r="AR107" s="1063"/>
      <c r="AS107" s="1063"/>
      <c r="AT107" s="1063"/>
      <c r="AU107" s="1062"/>
      <c r="AV107" s="1064"/>
      <c r="AX107" s="1061"/>
    </row>
    <row r="108" spans="1:50" hidden="1">
      <c r="A108" s="1061" t="s">
        <v>213</v>
      </c>
      <c r="B108" s="1063"/>
      <c r="C108" s="1063"/>
      <c r="D108" s="1063"/>
      <c r="E108" s="1063"/>
      <c r="F108" s="1063"/>
      <c r="G108" s="1063"/>
      <c r="H108" s="1063"/>
      <c r="I108" s="1063"/>
      <c r="J108" s="1063"/>
      <c r="K108" s="1063"/>
      <c r="L108" s="1063"/>
      <c r="M108" s="1063"/>
      <c r="N108" s="1063"/>
      <c r="O108" s="1063"/>
      <c r="P108" s="1063"/>
      <c r="Q108" s="1063"/>
      <c r="R108" s="1063"/>
      <c r="S108" s="1063"/>
      <c r="T108" s="1063"/>
      <c r="U108" s="1063"/>
      <c r="V108" s="1063"/>
      <c r="W108" s="1063"/>
      <c r="X108" s="1063"/>
      <c r="Y108" s="1063"/>
      <c r="Z108" s="1063"/>
      <c r="AA108" s="1063"/>
      <c r="AB108" s="1063"/>
      <c r="AC108" s="1063"/>
      <c r="AD108" s="1063"/>
      <c r="AE108" s="1063"/>
      <c r="AF108" s="1063"/>
      <c r="AG108" s="1063"/>
      <c r="AH108" s="1063"/>
      <c r="AI108" s="1063"/>
      <c r="AJ108" s="1063"/>
      <c r="AK108" s="1063"/>
      <c r="AL108" s="1063"/>
      <c r="AM108" s="1063"/>
      <c r="AN108" s="1063"/>
      <c r="AO108" s="1063"/>
      <c r="AP108" s="1063"/>
      <c r="AQ108" s="1063"/>
      <c r="AR108" s="1063"/>
      <c r="AS108" s="1063"/>
      <c r="AT108" s="1063"/>
      <c r="AU108" s="1062"/>
      <c r="AV108" s="1064"/>
      <c r="AX108" s="1061"/>
    </row>
    <row r="109" spans="1:50" ht="15.6" hidden="1">
      <c r="A109" s="1563" t="s">
        <v>71</v>
      </c>
      <c r="B109" s="1565"/>
      <c r="C109" s="1565"/>
      <c r="D109" s="1565"/>
      <c r="E109" s="1565"/>
      <c r="F109" s="1565"/>
      <c r="G109" s="1565"/>
      <c r="H109" s="1565"/>
      <c r="I109" s="1565"/>
      <c r="J109" s="1565"/>
      <c r="K109" s="1565"/>
      <c r="L109" s="1565"/>
      <c r="M109" s="1565"/>
      <c r="N109" s="1565"/>
      <c r="O109" s="1565"/>
      <c r="P109" s="1565"/>
      <c r="Q109" s="1565"/>
      <c r="R109" s="1565"/>
      <c r="S109" s="1565"/>
      <c r="T109" s="1565"/>
      <c r="U109" s="1565"/>
      <c r="V109" s="1565"/>
      <c r="W109" s="1565"/>
      <c r="X109" s="1565"/>
      <c r="Y109" s="1565"/>
      <c r="Z109" s="1565"/>
      <c r="AA109" s="1565"/>
      <c r="AB109" s="1565"/>
      <c r="AC109" s="1565"/>
      <c r="AD109" s="1565"/>
      <c r="AE109" s="1565"/>
      <c r="AF109" s="1565"/>
      <c r="AG109" s="1565"/>
      <c r="AH109" s="1565"/>
      <c r="AI109" s="1565"/>
      <c r="AJ109" s="1565"/>
      <c r="AK109" s="1565"/>
      <c r="AL109" s="1565"/>
      <c r="AM109" s="1565"/>
      <c r="AN109" s="1565"/>
      <c r="AO109" s="1565"/>
      <c r="AP109" s="1565"/>
      <c r="AQ109" s="1565"/>
      <c r="AR109" s="1565"/>
      <c r="AS109" s="1565"/>
      <c r="AT109" s="1565"/>
      <c r="AU109" s="1566"/>
      <c r="AV109" s="1064"/>
      <c r="AX109" s="1061"/>
    </row>
    <row r="111" spans="1:50" s="1559" customFormat="1" ht="15.6">
      <c r="A111" s="1567" t="s">
        <v>1815</v>
      </c>
      <c r="B111" s="1567" t="str">
        <f t="shared" ref="B111:AA111" si="30">B3</f>
        <v>DRY SOW</v>
      </c>
      <c r="C111" s="1567" t="str">
        <f t="shared" si="30"/>
        <v>DRY SOW</v>
      </c>
      <c r="D111" s="1567" t="str">
        <f t="shared" si="30"/>
        <v>DRY SOW</v>
      </c>
      <c r="E111" s="1568" t="str">
        <f t="shared" si="30"/>
        <v>DRY SOW</v>
      </c>
      <c r="F111" s="1568" t="str">
        <f t="shared" si="30"/>
        <v>DRY SOW</v>
      </c>
      <c r="G111" s="1568" t="str">
        <f t="shared" si="30"/>
        <v>DRY SOW</v>
      </c>
      <c r="H111" s="1568" t="str">
        <f t="shared" si="30"/>
        <v>DRY SOW</v>
      </c>
      <c r="I111" s="1568" t="str">
        <f t="shared" si="30"/>
        <v>DRY SOW</v>
      </c>
      <c r="J111" s="1568" t="str">
        <f t="shared" si="30"/>
        <v>DRY SOW</v>
      </c>
      <c r="K111" s="1568" t="str">
        <f t="shared" si="30"/>
        <v>DRY SOW</v>
      </c>
      <c r="L111" s="1568" t="str">
        <f t="shared" si="30"/>
        <v>DRY SOW</v>
      </c>
      <c r="M111" s="1568" t="str">
        <f t="shared" si="30"/>
        <v>DRY SOW</v>
      </c>
      <c r="N111" s="1568" t="str">
        <f t="shared" si="30"/>
        <v>DRY SOW</v>
      </c>
      <c r="O111" s="1568" t="str">
        <f t="shared" si="30"/>
        <v>DRY SOW</v>
      </c>
      <c r="P111" s="1568" t="str">
        <f t="shared" si="30"/>
        <v>DRY SOW</v>
      </c>
      <c r="Q111" s="1568" t="str">
        <f t="shared" si="30"/>
        <v>DRY SOW</v>
      </c>
      <c r="R111" s="1568" t="str">
        <f t="shared" si="30"/>
        <v>Flush</v>
      </c>
      <c r="S111" s="1568" t="str">
        <f t="shared" si="30"/>
        <v>PRE-FARROW</v>
      </c>
      <c r="T111" s="1568" t="str">
        <f t="shared" si="30"/>
        <v>LACTATE</v>
      </c>
      <c r="U111" s="1568" t="str">
        <f t="shared" si="30"/>
        <v>LACTATE</v>
      </c>
      <c r="V111" s="1568" t="str">
        <f t="shared" si="30"/>
        <v>LACTATE</v>
      </c>
      <c r="W111" s="1568" t="str">
        <f t="shared" si="30"/>
        <v>Early Wean</v>
      </c>
      <c r="X111" s="1568" t="str">
        <f t="shared" si="30"/>
        <v>CREEP</v>
      </c>
      <c r="Y111" s="1568" t="str">
        <f t="shared" si="30"/>
        <v>CREEP</v>
      </c>
      <c r="Z111" s="1568" t="str">
        <f t="shared" si="30"/>
        <v>WEAN 1</v>
      </c>
      <c r="AA111" s="1568" t="str">
        <f t="shared" si="30"/>
        <v>WEAN 1</v>
      </c>
      <c r="AB111" s="1568" t="str">
        <f>AA111</f>
        <v>WEAN 1</v>
      </c>
      <c r="AC111" s="1568" t="str">
        <f>AB111</f>
        <v>WEAN 1</v>
      </c>
      <c r="AD111" s="1568" t="str">
        <f t="shared" ref="AD111:AN111" si="31">AD3</f>
        <v>GROWER 1</v>
      </c>
      <c r="AE111" s="1568" t="str">
        <f t="shared" si="31"/>
        <v>GROWER 1</v>
      </c>
      <c r="AF111" s="1568" t="str">
        <f t="shared" si="31"/>
        <v>GROWER 2</v>
      </c>
      <c r="AG111" s="1568" t="str">
        <f t="shared" si="31"/>
        <v>GROWER 2</v>
      </c>
      <c r="AH111" s="1568" t="str">
        <f t="shared" si="31"/>
        <v>GROWER 3</v>
      </c>
      <c r="AI111" s="1568" t="str">
        <f t="shared" si="31"/>
        <v>GROWER 3</v>
      </c>
      <c r="AJ111" s="1568" t="str">
        <f t="shared" si="31"/>
        <v>GROWER 3</v>
      </c>
      <c r="AK111" s="1568" t="str">
        <f t="shared" si="31"/>
        <v>FINISHER</v>
      </c>
      <c r="AL111" s="1568" t="str">
        <f t="shared" si="31"/>
        <v>FINISHER</v>
      </c>
      <c r="AM111" s="1568" t="str">
        <f t="shared" si="31"/>
        <v>FINISHER</v>
      </c>
      <c r="AN111" s="1568" t="str">
        <f t="shared" si="31"/>
        <v>FINISHER</v>
      </c>
      <c r="AO111" s="1568"/>
      <c r="AP111" s="1569"/>
      <c r="AQ111" s="1569"/>
      <c r="AR111" s="1569"/>
      <c r="AU111" s="1570"/>
    </row>
    <row r="112" spans="1:50" s="1559" customFormat="1" ht="15.6">
      <c r="A112" s="1567" t="s">
        <v>1816</v>
      </c>
      <c r="B112" s="1567">
        <v>7</v>
      </c>
      <c r="C112" s="1567">
        <v>7</v>
      </c>
      <c r="D112" s="1567">
        <v>7</v>
      </c>
      <c r="E112" s="1567">
        <v>7</v>
      </c>
      <c r="F112" s="1567">
        <v>7</v>
      </c>
      <c r="G112" s="1567">
        <v>7</v>
      </c>
      <c r="H112" s="1567">
        <v>7</v>
      </c>
      <c r="I112" s="1567">
        <v>7</v>
      </c>
      <c r="J112" s="1567">
        <v>7</v>
      </c>
      <c r="K112" s="1567">
        <v>7</v>
      </c>
      <c r="L112" s="1567">
        <v>7</v>
      </c>
      <c r="M112" s="1567">
        <v>7</v>
      </c>
      <c r="N112" s="1567">
        <v>7</v>
      </c>
      <c r="O112" s="1567">
        <v>7</v>
      </c>
      <c r="P112" s="1567">
        <v>7</v>
      </c>
      <c r="Q112" s="1567">
        <v>7</v>
      </c>
      <c r="R112" s="1567">
        <v>7</v>
      </c>
      <c r="S112" s="1567">
        <v>7</v>
      </c>
      <c r="T112" s="1567">
        <v>7</v>
      </c>
      <c r="U112" s="1567">
        <v>7</v>
      </c>
      <c r="V112" s="1567">
        <v>7</v>
      </c>
      <c r="W112" s="1567">
        <v>7</v>
      </c>
      <c r="X112" s="1567">
        <v>7</v>
      </c>
      <c r="Y112" s="1567">
        <v>7</v>
      </c>
      <c r="Z112" s="1567">
        <v>7</v>
      </c>
      <c r="AA112" s="1567">
        <v>7</v>
      </c>
      <c r="AB112" s="1567">
        <v>7</v>
      </c>
      <c r="AC112" s="1567">
        <v>7</v>
      </c>
      <c r="AD112" s="1567">
        <v>7</v>
      </c>
      <c r="AE112" s="1567">
        <v>7</v>
      </c>
      <c r="AF112" s="1567">
        <v>7</v>
      </c>
      <c r="AG112" s="1567">
        <v>7</v>
      </c>
      <c r="AH112" s="1567">
        <v>7</v>
      </c>
      <c r="AI112" s="1567">
        <v>7</v>
      </c>
      <c r="AJ112" s="1567">
        <v>7</v>
      </c>
      <c r="AK112" s="1567">
        <v>7</v>
      </c>
      <c r="AL112" s="1567">
        <v>7</v>
      </c>
      <c r="AM112" s="1567">
        <v>7</v>
      </c>
      <c r="AN112" s="1567">
        <v>7</v>
      </c>
      <c r="AO112" s="1567"/>
      <c r="AU112" s="1570"/>
    </row>
    <row r="113" spans="1:49" s="1559" customFormat="1" ht="15.6">
      <c r="A113" s="1567" t="s">
        <v>1817</v>
      </c>
      <c r="B113" s="1567">
        <v>2.5</v>
      </c>
      <c r="C113" s="1567">
        <v>2.5</v>
      </c>
      <c r="D113" s="1567">
        <v>2.5</v>
      </c>
      <c r="E113" s="1567">
        <v>2.5</v>
      </c>
      <c r="F113" s="1567">
        <v>2.2999999999999998</v>
      </c>
      <c r="G113" s="1567">
        <v>2.2999999999999998</v>
      </c>
      <c r="H113" s="1567">
        <v>2.2999999999999998</v>
      </c>
      <c r="I113" s="1567">
        <v>2.2999999999999998</v>
      </c>
      <c r="J113" s="1567">
        <v>2.2999999999999998</v>
      </c>
      <c r="K113" s="1567">
        <v>2.2999999999999998</v>
      </c>
      <c r="L113" s="1567">
        <v>2.2999999999999998</v>
      </c>
      <c r="M113" s="1567">
        <v>2.2999999999999998</v>
      </c>
      <c r="N113" s="1567">
        <v>2.8</v>
      </c>
      <c r="O113" s="1567">
        <v>2.8</v>
      </c>
      <c r="P113" s="1567">
        <v>2.8</v>
      </c>
      <c r="Q113" s="1567">
        <v>2.8</v>
      </c>
      <c r="R113" s="1567">
        <v>5</v>
      </c>
      <c r="S113" s="1571">
        <v>3</v>
      </c>
      <c r="T113" s="1571">
        <v>5.5</v>
      </c>
      <c r="U113" s="1571">
        <v>7</v>
      </c>
      <c r="V113" s="1571">
        <v>9.5</v>
      </c>
      <c r="W113" s="1567">
        <v>0.35</v>
      </c>
      <c r="X113" s="1567">
        <v>0.5</v>
      </c>
      <c r="Y113" s="1567">
        <v>0.6</v>
      </c>
      <c r="Z113" s="1567">
        <v>0.9</v>
      </c>
      <c r="AA113" s="1567">
        <v>1.1000000000000001</v>
      </c>
      <c r="AB113" s="1567">
        <v>1.2</v>
      </c>
      <c r="AC113" s="1571">
        <v>1.4</v>
      </c>
      <c r="AD113" s="1571">
        <v>1.6</v>
      </c>
      <c r="AE113" s="1571">
        <v>1.8</v>
      </c>
      <c r="AF113" s="1571">
        <v>2</v>
      </c>
      <c r="AG113" s="1571">
        <v>2.2000000000000002</v>
      </c>
      <c r="AH113" s="1571">
        <v>2.2999999999999998</v>
      </c>
      <c r="AI113" s="1571">
        <v>2.4</v>
      </c>
      <c r="AJ113" s="1571">
        <v>2.5</v>
      </c>
      <c r="AK113" s="1571">
        <v>2.7</v>
      </c>
      <c r="AL113" s="1571">
        <v>2.9</v>
      </c>
      <c r="AM113" s="1571">
        <v>3</v>
      </c>
      <c r="AN113" s="1571">
        <v>3</v>
      </c>
      <c r="AO113" s="1571"/>
      <c r="AP113" s="1562"/>
      <c r="AQ113" s="1562"/>
      <c r="AR113" s="1562"/>
      <c r="AU113" s="1570"/>
    </row>
    <row r="114" spans="1:49" s="1559" customFormat="1" ht="15.6">
      <c r="A114" s="1567" t="s">
        <v>1818</v>
      </c>
      <c r="B114" s="1572">
        <f>3689/17*5</f>
        <v>1085</v>
      </c>
      <c r="C114" s="1572">
        <f>B114</f>
        <v>1085</v>
      </c>
      <c r="D114" s="1572">
        <f t="shared" ref="D114:R114" si="32">C114</f>
        <v>1085</v>
      </c>
      <c r="E114" s="1572">
        <f t="shared" si="32"/>
        <v>1085</v>
      </c>
      <c r="F114" s="1572">
        <f t="shared" si="32"/>
        <v>1085</v>
      </c>
      <c r="G114" s="1572">
        <f t="shared" si="32"/>
        <v>1085</v>
      </c>
      <c r="H114" s="1572">
        <f t="shared" si="32"/>
        <v>1085</v>
      </c>
      <c r="I114" s="1572">
        <f t="shared" si="32"/>
        <v>1085</v>
      </c>
      <c r="J114" s="1572">
        <f t="shared" si="32"/>
        <v>1085</v>
      </c>
      <c r="K114" s="1572">
        <f t="shared" si="32"/>
        <v>1085</v>
      </c>
      <c r="L114" s="1572">
        <f t="shared" si="32"/>
        <v>1085</v>
      </c>
      <c r="M114" s="1572">
        <f t="shared" si="32"/>
        <v>1085</v>
      </c>
      <c r="N114" s="1572">
        <f t="shared" si="32"/>
        <v>1085</v>
      </c>
      <c r="O114" s="1572">
        <f t="shared" si="32"/>
        <v>1085</v>
      </c>
      <c r="P114" s="1572">
        <f t="shared" si="32"/>
        <v>1085</v>
      </c>
      <c r="Q114" s="1572">
        <f t="shared" si="32"/>
        <v>1085</v>
      </c>
      <c r="R114" s="1572">
        <f t="shared" si="32"/>
        <v>1085</v>
      </c>
      <c r="S114" s="1572">
        <f>R114</f>
        <v>1085</v>
      </c>
      <c r="T114" s="1572">
        <f>S114</f>
        <v>1085</v>
      </c>
      <c r="U114" s="1572">
        <f>T114</f>
        <v>1085</v>
      </c>
      <c r="V114" s="1572">
        <f>U114</f>
        <v>1085</v>
      </c>
      <c r="W114" s="1572">
        <f t="shared" ref="W114:AN114" si="33">SUM(W7:Z7)</f>
        <v>10943</v>
      </c>
      <c r="X114" s="1572">
        <f t="shared" si="33"/>
        <v>12161</v>
      </c>
      <c r="Y114" s="1572">
        <f t="shared" si="33"/>
        <v>12083</v>
      </c>
      <c r="Z114" s="1572">
        <f t="shared" si="33"/>
        <v>12233</v>
      </c>
      <c r="AA114" s="1572">
        <f t="shared" si="33"/>
        <v>12341</v>
      </c>
      <c r="AB114" s="1572">
        <f t="shared" si="33"/>
        <v>12166</v>
      </c>
      <c r="AC114" s="1572">
        <f t="shared" si="33"/>
        <v>12038</v>
      </c>
      <c r="AD114" s="1572">
        <f t="shared" si="33"/>
        <v>11886</v>
      </c>
      <c r="AE114" s="1572">
        <f t="shared" si="33"/>
        <v>11651</v>
      </c>
      <c r="AF114" s="1572">
        <f t="shared" si="33"/>
        <v>11588</v>
      </c>
      <c r="AG114" s="1572">
        <f t="shared" si="33"/>
        <v>11656</v>
      </c>
      <c r="AH114" s="1572">
        <f t="shared" si="33"/>
        <v>11706</v>
      </c>
      <c r="AI114" s="1572">
        <f t="shared" si="33"/>
        <v>11745</v>
      </c>
      <c r="AJ114" s="1572">
        <f t="shared" si="33"/>
        <v>11859</v>
      </c>
      <c r="AK114" s="1572">
        <f t="shared" si="33"/>
        <v>11763</v>
      </c>
      <c r="AL114" s="1572">
        <f t="shared" si="33"/>
        <v>11713</v>
      </c>
      <c r="AM114" s="1572">
        <f t="shared" si="33"/>
        <v>11741</v>
      </c>
      <c r="AN114" s="1572">
        <f t="shared" si="33"/>
        <v>11745</v>
      </c>
      <c r="AO114" s="1571"/>
      <c r="AU114" s="1570"/>
    </row>
    <row r="115" spans="1:49" s="1559" customFormat="1" ht="15.6">
      <c r="A115" s="1567" t="s">
        <v>1819</v>
      </c>
      <c r="B115" s="1572">
        <f>B112*B113*B114</f>
        <v>18987.5</v>
      </c>
      <c r="C115" s="1572">
        <f t="shared" ref="C115:Q115" si="34">C112*C113*C114</f>
        <v>18987.5</v>
      </c>
      <c r="D115" s="1572">
        <f t="shared" si="34"/>
        <v>18987.5</v>
      </c>
      <c r="E115" s="1572">
        <f t="shared" si="34"/>
        <v>18987.5</v>
      </c>
      <c r="F115" s="1572">
        <f t="shared" si="34"/>
        <v>17468.499999999996</v>
      </c>
      <c r="G115" s="1572">
        <f t="shared" si="34"/>
        <v>17468.499999999996</v>
      </c>
      <c r="H115" s="1572">
        <f t="shared" si="34"/>
        <v>17468.499999999996</v>
      </c>
      <c r="I115" s="1572">
        <f t="shared" si="34"/>
        <v>17468.499999999996</v>
      </c>
      <c r="J115" s="1572">
        <f t="shared" si="34"/>
        <v>17468.499999999996</v>
      </c>
      <c r="K115" s="1572">
        <f t="shared" si="34"/>
        <v>17468.499999999996</v>
      </c>
      <c r="L115" s="1572">
        <f t="shared" si="34"/>
        <v>17468.499999999996</v>
      </c>
      <c r="M115" s="1572">
        <f t="shared" si="34"/>
        <v>17468.499999999996</v>
      </c>
      <c r="N115" s="1572">
        <f t="shared" si="34"/>
        <v>21265.999999999996</v>
      </c>
      <c r="O115" s="1572">
        <f t="shared" si="34"/>
        <v>21265.999999999996</v>
      </c>
      <c r="P115" s="1572">
        <f t="shared" si="34"/>
        <v>21265.999999999996</v>
      </c>
      <c r="Q115" s="1572">
        <f t="shared" si="34"/>
        <v>21265.999999999996</v>
      </c>
      <c r="R115" s="1572">
        <f>R112*R113*R114</f>
        <v>37975</v>
      </c>
      <c r="S115" s="1572">
        <f>S112*S113*S114</f>
        <v>22785</v>
      </c>
      <c r="T115" s="1572">
        <f t="shared" ref="T115:AN115" si="35">T112*T113*T114</f>
        <v>41772.5</v>
      </c>
      <c r="U115" s="1572">
        <f t="shared" si="35"/>
        <v>53165</v>
      </c>
      <c r="V115" s="1572">
        <f t="shared" si="35"/>
        <v>72152.5</v>
      </c>
      <c r="W115" s="1572">
        <f t="shared" si="35"/>
        <v>26810.35</v>
      </c>
      <c r="X115" s="1572">
        <f t="shared" si="35"/>
        <v>42563.5</v>
      </c>
      <c r="Y115" s="1572">
        <f t="shared" si="35"/>
        <v>50748.6</v>
      </c>
      <c r="Z115" s="1572">
        <f t="shared" si="35"/>
        <v>77067.899999999994</v>
      </c>
      <c r="AA115" s="1572">
        <f t="shared" si="35"/>
        <v>95025.700000000012</v>
      </c>
      <c r="AB115" s="1572">
        <f t="shared" si="35"/>
        <v>102194.40000000001</v>
      </c>
      <c r="AC115" s="1572">
        <f t="shared" si="35"/>
        <v>117972.4</v>
      </c>
      <c r="AD115" s="1572">
        <f t="shared" si="35"/>
        <v>133123.20000000001</v>
      </c>
      <c r="AE115" s="1572">
        <f t="shared" si="35"/>
        <v>146802.6</v>
      </c>
      <c r="AF115" s="1572">
        <f t="shared" si="35"/>
        <v>162232</v>
      </c>
      <c r="AG115" s="1572">
        <f t="shared" si="35"/>
        <v>179502.40000000002</v>
      </c>
      <c r="AH115" s="1572">
        <f t="shared" si="35"/>
        <v>188466.59999999998</v>
      </c>
      <c r="AI115" s="1572">
        <f t="shared" si="35"/>
        <v>197316</v>
      </c>
      <c r="AJ115" s="1572">
        <f t="shared" si="35"/>
        <v>207532.5</v>
      </c>
      <c r="AK115" s="1572">
        <f t="shared" si="35"/>
        <v>222320.7</v>
      </c>
      <c r="AL115" s="1572">
        <f t="shared" si="35"/>
        <v>237773.9</v>
      </c>
      <c r="AM115" s="1572">
        <f t="shared" si="35"/>
        <v>246561</v>
      </c>
      <c r="AN115" s="1572">
        <f t="shared" si="35"/>
        <v>246645</v>
      </c>
      <c r="AO115" s="1571"/>
      <c r="AU115" s="1570"/>
    </row>
    <row r="116" spans="1:49" s="1559" customFormat="1" ht="15.6">
      <c r="A116" s="1567"/>
      <c r="B116" s="1572"/>
      <c r="C116" s="1572"/>
      <c r="D116" s="1572"/>
      <c r="E116" s="1572"/>
      <c r="F116" s="1572"/>
      <c r="G116" s="1572"/>
      <c r="H116" s="1572"/>
      <c r="I116" s="1572"/>
      <c r="J116" s="1572"/>
      <c r="K116" s="1572"/>
      <c r="L116" s="1572"/>
      <c r="M116" s="1572"/>
      <c r="N116" s="1572"/>
      <c r="O116" s="1572"/>
      <c r="P116" s="1572"/>
      <c r="Q116" s="1572"/>
      <c r="R116" s="1572">
        <f>SUM(B115:R115)</f>
        <v>338737</v>
      </c>
      <c r="S116" s="1572">
        <f>SUM(S115)</f>
        <v>22785</v>
      </c>
      <c r="T116" s="1572"/>
      <c r="U116" s="1572"/>
      <c r="V116" s="1572">
        <f>SUM(T115:V115)</f>
        <v>167090</v>
      </c>
      <c r="W116" s="1572">
        <f>W115</f>
        <v>26810.35</v>
      </c>
      <c r="X116" s="1572"/>
      <c r="Y116" s="1572">
        <f>SUM(X115:Y115)</f>
        <v>93312.1</v>
      </c>
      <c r="Z116" s="1572"/>
      <c r="AA116" s="1572">
        <v>0</v>
      </c>
      <c r="AB116" s="1572"/>
      <c r="AC116" s="1572">
        <f>SUM(Z115:AC115)</f>
        <v>392260.4</v>
      </c>
      <c r="AD116" s="1572"/>
      <c r="AE116" s="1572">
        <f>SUM(AD115:AE115)</f>
        <v>279925.80000000005</v>
      </c>
      <c r="AF116" s="1572"/>
      <c r="AG116" s="1572">
        <f>SUM(AF115:AG115)</f>
        <v>341734.40000000002</v>
      </c>
      <c r="AH116" s="1572"/>
      <c r="AI116" s="1572"/>
      <c r="AJ116" s="1572">
        <f>SUM(AH115:AJ115)</f>
        <v>593315.1</v>
      </c>
      <c r="AK116" s="1572"/>
      <c r="AL116" s="1572"/>
      <c r="AM116" s="1572"/>
      <c r="AN116" s="1572">
        <f>SUM(AK115:AN115)</f>
        <v>953300.6</v>
      </c>
      <c r="AO116" s="1571"/>
      <c r="AU116" s="1570"/>
    </row>
    <row r="117" spans="1:49" ht="15.6">
      <c r="A117" s="1567" t="s">
        <v>1820</v>
      </c>
      <c r="B117" s="1573">
        <f>B115/$R$116</f>
        <v>5.6053811659192827E-2</v>
      </c>
      <c r="C117" s="1573">
        <f t="shared" ref="C117:R117" si="36">C115/$R$116</f>
        <v>5.6053811659192827E-2</v>
      </c>
      <c r="D117" s="1573">
        <f t="shared" si="36"/>
        <v>5.6053811659192827E-2</v>
      </c>
      <c r="E117" s="1573">
        <f t="shared" si="36"/>
        <v>5.6053811659192827E-2</v>
      </c>
      <c r="F117" s="1573">
        <f t="shared" si="36"/>
        <v>5.1569506726457388E-2</v>
      </c>
      <c r="G117" s="1573">
        <f t="shared" si="36"/>
        <v>5.1569506726457388E-2</v>
      </c>
      <c r="H117" s="1573">
        <f t="shared" si="36"/>
        <v>5.1569506726457388E-2</v>
      </c>
      <c r="I117" s="1573">
        <f t="shared" si="36"/>
        <v>5.1569506726457388E-2</v>
      </c>
      <c r="J117" s="1573">
        <f t="shared" si="36"/>
        <v>5.1569506726457388E-2</v>
      </c>
      <c r="K117" s="1573">
        <f t="shared" si="36"/>
        <v>5.1569506726457388E-2</v>
      </c>
      <c r="L117" s="1573">
        <f t="shared" si="36"/>
        <v>5.1569506726457388E-2</v>
      </c>
      <c r="M117" s="1573">
        <f t="shared" si="36"/>
        <v>5.1569506726457388E-2</v>
      </c>
      <c r="N117" s="1573">
        <f t="shared" si="36"/>
        <v>6.2780269058295951E-2</v>
      </c>
      <c r="O117" s="1573">
        <f t="shared" si="36"/>
        <v>6.2780269058295951E-2</v>
      </c>
      <c r="P117" s="1573">
        <f t="shared" si="36"/>
        <v>6.2780269058295951E-2</v>
      </c>
      <c r="Q117" s="1573">
        <f t="shared" si="36"/>
        <v>6.2780269058295951E-2</v>
      </c>
      <c r="R117" s="1573">
        <f t="shared" si="36"/>
        <v>0.11210762331838565</v>
      </c>
      <c r="S117" s="1573">
        <f>S115/S116</f>
        <v>1</v>
      </c>
      <c r="T117" s="1573">
        <f>T115/$V$116</f>
        <v>0.25</v>
      </c>
      <c r="U117" s="1573">
        <f>U115/$V$116</f>
        <v>0.31818181818181818</v>
      </c>
      <c r="V117" s="1573">
        <f>V115/$V$116</f>
        <v>0.43181818181818182</v>
      </c>
      <c r="W117" s="1573">
        <f>W115/W116</f>
        <v>1</v>
      </c>
      <c r="X117" s="1573">
        <f>X115/$Y$116</f>
        <v>0.45614127213941169</v>
      </c>
      <c r="Y117" s="1573">
        <f>Y115/$Y$116</f>
        <v>0.5438587278605882</v>
      </c>
      <c r="Z117" s="1573">
        <f>Z115/$AC$116</f>
        <v>0.19647127265459371</v>
      </c>
      <c r="AA117" s="1573">
        <f>AA115/$AC$116</f>
        <v>0.24225157573897341</v>
      </c>
      <c r="AB117" s="1573">
        <f>AB115/$AC$116</f>
        <v>0.26052693567844221</v>
      </c>
      <c r="AC117" s="1573">
        <f>AC115/$AC$116</f>
        <v>0.30075021592799067</v>
      </c>
      <c r="AD117" s="1573">
        <f>AD115/$AE$116</f>
        <v>0.47556602499662409</v>
      </c>
      <c r="AE117" s="1573">
        <f>AE115/$AE$116</f>
        <v>0.52443397500337585</v>
      </c>
      <c r="AF117" s="1573">
        <f>AF115/$AG$116</f>
        <v>0.47473125327739901</v>
      </c>
      <c r="AG117" s="1573">
        <f>AG115/$AG$116</f>
        <v>0.52526874672260093</v>
      </c>
      <c r="AH117" s="1573">
        <f>AH115/$AJ$116</f>
        <v>0.31765009857325388</v>
      </c>
      <c r="AI117" s="1573">
        <f>AI115/$AJ$116</f>
        <v>0.33256527602280811</v>
      </c>
      <c r="AJ117" s="1573">
        <f>AJ115/$AJ$116</f>
        <v>0.34978462540393801</v>
      </c>
      <c r="AK117" s="1573">
        <f>AK115/$AN$116</f>
        <v>0.23321153894165178</v>
      </c>
      <c r="AL117" s="1573">
        <f>AL115/$AN$116</f>
        <v>0.24942174587952634</v>
      </c>
      <c r="AM117" s="1573">
        <f>AM115/$AN$116</f>
        <v>0.25863930013261294</v>
      </c>
      <c r="AN117" s="1573">
        <f>AN115/$AN$116</f>
        <v>0.25872741504620894</v>
      </c>
      <c r="AO117" s="1571"/>
    </row>
    <row r="118" spans="1:49" ht="15.6">
      <c r="A118" s="1065"/>
      <c r="B118" s="1065"/>
      <c r="C118" s="1065"/>
      <c r="D118" s="1065"/>
      <c r="E118" s="1065"/>
      <c r="F118" s="1065"/>
      <c r="G118" s="1065"/>
      <c r="H118" s="1065"/>
      <c r="I118" s="1065"/>
      <c r="J118" s="1065"/>
      <c r="K118" s="1065"/>
      <c r="L118" s="1065"/>
      <c r="M118" s="1065"/>
      <c r="N118" s="1065"/>
      <c r="O118" s="1065"/>
      <c r="P118" s="1065"/>
      <c r="Q118" s="1065"/>
      <c r="R118" s="1065"/>
      <c r="S118" s="1065"/>
      <c r="T118" s="1065"/>
      <c r="U118" s="1065"/>
      <c r="V118" s="1065"/>
      <c r="W118" s="1065"/>
      <c r="X118" s="1065"/>
      <c r="Y118" s="1065"/>
      <c r="Z118" s="1065"/>
      <c r="AA118" s="1065"/>
      <c r="AB118" s="1065"/>
      <c r="AC118" s="1065"/>
      <c r="AD118" s="1065"/>
      <c r="AE118" s="1065"/>
      <c r="AF118" s="1065"/>
      <c r="AG118" s="1065"/>
      <c r="AH118" s="1065"/>
      <c r="AI118" s="1065"/>
      <c r="AJ118" s="1065"/>
      <c r="AK118" s="1065"/>
      <c r="AL118" s="1065"/>
      <c r="AM118" s="1065"/>
      <c r="AN118" s="1065"/>
      <c r="AO118" s="1571"/>
    </row>
    <row r="119" spans="1:49" ht="15.6">
      <c r="A119" s="1065"/>
      <c r="B119" s="1065"/>
      <c r="C119" s="1065"/>
      <c r="D119" s="1065"/>
      <c r="E119" s="1065"/>
      <c r="F119" s="1065"/>
      <c r="G119" s="1065"/>
      <c r="H119" s="1065"/>
      <c r="I119" s="1065"/>
      <c r="J119" s="1065"/>
      <c r="K119" s="1065"/>
      <c r="L119" s="1065"/>
      <c r="M119" s="1065"/>
      <c r="N119" s="1065"/>
      <c r="O119" s="1065"/>
      <c r="P119" s="1065"/>
      <c r="Q119" s="1065"/>
      <c r="R119" s="1065"/>
      <c r="S119" s="1065"/>
      <c r="T119" s="1065"/>
      <c r="U119" s="1065"/>
      <c r="V119" s="1065"/>
      <c r="W119" s="1065"/>
      <c r="X119" s="1065"/>
      <c r="Y119" s="1065"/>
      <c r="Z119" s="1065"/>
      <c r="AA119" s="1065"/>
      <c r="AB119" s="1065"/>
      <c r="AC119" s="1065"/>
      <c r="AD119" s="1065"/>
      <c r="AE119" s="1065"/>
      <c r="AF119" s="1065"/>
      <c r="AG119" s="1065"/>
      <c r="AH119" s="1065"/>
      <c r="AI119" s="1065"/>
      <c r="AJ119" s="1065"/>
      <c r="AK119" s="1065"/>
      <c r="AL119" s="1065"/>
      <c r="AM119" s="1065"/>
      <c r="AN119" s="1065"/>
      <c r="AO119" s="1571"/>
    </row>
    <row r="120" spans="1:49" s="1570" customFormat="1" ht="15.6">
      <c r="A120" s="1572" t="s">
        <v>1821</v>
      </c>
      <c r="B120" s="1572"/>
      <c r="C120" s="1572"/>
      <c r="D120" s="1572"/>
      <c r="E120" s="1572"/>
      <c r="F120" s="1572"/>
      <c r="G120" s="1572"/>
      <c r="H120" s="1572"/>
      <c r="I120" s="1572"/>
      <c r="J120" s="1572"/>
      <c r="K120" s="1572"/>
      <c r="L120" s="1572"/>
      <c r="M120" s="1572"/>
      <c r="N120" s="1572"/>
      <c r="O120" s="1572"/>
      <c r="P120" s="1572"/>
      <c r="Q120" s="1572">
        <f>SUM(B115:Q115)</f>
        <v>300762</v>
      </c>
      <c r="R120" s="1572">
        <f>R115</f>
        <v>37975</v>
      </c>
      <c r="S120" s="1572">
        <f>S115</f>
        <v>22785</v>
      </c>
      <c r="T120" s="1572">
        <f>T114*T112*T113</f>
        <v>41772.5</v>
      </c>
      <c r="U120" s="1572">
        <f>U114*U112*U113</f>
        <v>53165</v>
      </c>
      <c r="V120" s="1572">
        <f>V114*V112*V113</f>
        <v>72152.5</v>
      </c>
      <c r="W120" s="1572">
        <f>W115</f>
        <v>26810.35</v>
      </c>
      <c r="X120" s="1572"/>
      <c r="Y120" s="1572">
        <f>Y116</f>
        <v>93312.1</v>
      </c>
      <c r="Z120" s="1572"/>
      <c r="AA120" s="1572"/>
      <c r="AB120" s="1572"/>
      <c r="AC120" s="1572">
        <f>AC116</f>
        <v>392260.4</v>
      </c>
      <c r="AD120" s="1572"/>
      <c r="AE120" s="1572">
        <f>AE116</f>
        <v>279925.80000000005</v>
      </c>
      <c r="AF120" s="1572"/>
      <c r="AG120" s="1572">
        <f>AG116</f>
        <v>341734.40000000002</v>
      </c>
      <c r="AH120" s="1572"/>
      <c r="AI120" s="1572"/>
      <c r="AJ120" s="1572">
        <f>AJ116</f>
        <v>593315.1</v>
      </c>
      <c r="AK120" s="1572"/>
      <c r="AL120" s="1572"/>
      <c r="AM120" s="1572"/>
      <c r="AN120" s="1572">
        <f>AN116</f>
        <v>953300.6</v>
      </c>
      <c r="AO120" s="1571"/>
      <c r="AW120" s="1604"/>
    </row>
    <row r="121" spans="1:49" s="1570" customFormat="1" ht="15.6">
      <c r="A121" s="1572" t="s">
        <v>1822</v>
      </c>
      <c r="B121" s="1572"/>
      <c r="C121" s="1572"/>
      <c r="D121" s="1572"/>
      <c r="E121" s="1572"/>
      <c r="F121" s="1572"/>
      <c r="G121" s="1572"/>
      <c r="H121" s="1572"/>
      <c r="I121" s="1572"/>
      <c r="J121" s="1572"/>
      <c r="K121" s="1572"/>
      <c r="L121" s="1572"/>
      <c r="M121" s="1572"/>
      <c r="N121" s="1572"/>
      <c r="O121" s="1572"/>
      <c r="P121" s="1572"/>
      <c r="Q121" s="1572">
        <f>'[4]Feed Costing &amp; Appotionment '!K122+'[4]Feed Costing &amp; Appotionment '!O122</f>
        <v>273392.90000000002</v>
      </c>
      <c r="R121" s="1572">
        <f>'[4]Feed Costing &amp; Appotionment '!T122</f>
        <v>47127.5</v>
      </c>
      <c r="S121" s="1572">
        <f>'[4]Feed Costing &amp; Appotionment '!N122</f>
        <v>17559.5</v>
      </c>
      <c r="T121" s="1572"/>
      <c r="U121" s="1572"/>
      <c r="V121" s="1572">
        <f>'[4]Feed Costing &amp; Appotionment '!L122+'[4]Feed Costing &amp; Appotionment '!M122</f>
        <v>117633</v>
      </c>
      <c r="W121" s="1572">
        <f>'[4]Feed Costing &amp; Appotionment '!B122</f>
        <v>29254.2</v>
      </c>
      <c r="X121" s="1572"/>
      <c r="Y121" s="1572">
        <f>'[4]Feed Costing &amp; Appotionment '!C122</f>
        <v>126974</v>
      </c>
      <c r="Z121" s="1572"/>
      <c r="AA121" s="1572"/>
      <c r="AB121" s="1572"/>
      <c r="AC121" s="1572">
        <f>'[4]Feed Costing &amp; Appotionment '!D122+'[4]Feed Costing &amp; Appotionment '!E122</f>
        <v>243037.40000000002</v>
      </c>
      <c r="AD121" s="1572"/>
      <c r="AE121" s="1572">
        <f>'[4]Feed Costing &amp; Appotionment '!F122</f>
        <v>176588.4</v>
      </c>
      <c r="AF121" s="1572"/>
      <c r="AG121" s="1572">
        <f>'[4]Feed Costing &amp; Appotionment '!G122</f>
        <v>59290</v>
      </c>
      <c r="AH121" s="1572"/>
      <c r="AI121" s="1572"/>
      <c r="AJ121" s="1572">
        <f>'[4]Feed Costing &amp; Appotionment '!H122</f>
        <v>949048.7</v>
      </c>
      <c r="AK121" s="1572"/>
      <c r="AL121" s="1572"/>
      <c r="AM121" s="1572"/>
      <c r="AN121" s="1572">
        <f>'[4]Feed Costing &amp; Appotionment '!J122</f>
        <v>710118.55</v>
      </c>
      <c r="AO121" s="1571"/>
      <c r="AW121" s="1604"/>
    </row>
    <row r="122" spans="1:49" s="1570" customFormat="1" ht="15.6">
      <c r="A122" s="1572" t="s">
        <v>1823</v>
      </c>
      <c r="B122" s="1572"/>
      <c r="C122" s="1572"/>
      <c r="D122" s="1572"/>
      <c r="E122" s="1572"/>
      <c r="F122" s="1572"/>
      <c r="G122" s="1572"/>
      <c r="H122" s="1572"/>
      <c r="I122" s="1572"/>
      <c r="J122" s="1572"/>
      <c r="K122" s="1572"/>
      <c r="L122" s="1572"/>
      <c r="M122" s="1572"/>
      <c r="N122" s="1572"/>
      <c r="O122" s="1572"/>
      <c r="P122" s="1572"/>
      <c r="Q122" s="1572">
        <f>Q120-Q121</f>
        <v>27369.099999999977</v>
      </c>
      <c r="R122" s="1572">
        <f>R120-R121</f>
        <v>-9152.5</v>
      </c>
      <c r="S122" s="1572">
        <f>S120-S121</f>
        <v>5225.5</v>
      </c>
      <c r="T122" s="1572"/>
      <c r="U122" s="1572"/>
      <c r="V122" s="1572">
        <f>SUM(T120:V120)-V121</f>
        <v>49457</v>
      </c>
      <c r="W122" s="1572">
        <f>W120-W121</f>
        <v>-2443.8500000000022</v>
      </c>
      <c r="X122" s="1572">
        <f>X120-X121</f>
        <v>0</v>
      </c>
      <c r="Y122" s="1572">
        <f>Y120-Y121</f>
        <v>-33661.899999999994</v>
      </c>
      <c r="Z122" s="1572"/>
      <c r="AA122" s="1572"/>
      <c r="AB122" s="1572"/>
      <c r="AC122" s="1572">
        <f>AC120-AC121</f>
        <v>149223</v>
      </c>
      <c r="AD122" s="1572"/>
      <c r="AE122" s="1572">
        <f>AE120-AE121</f>
        <v>103337.40000000005</v>
      </c>
      <c r="AF122" s="1572"/>
      <c r="AG122" s="1572">
        <f>AG120-AG121</f>
        <v>282444.40000000002</v>
      </c>
      <c r="AH122" s="1572"/>
      <c r="AI122" s="1572"/>
      <c r="AJ122" s="1572">
        <f>AJ120-AJ121</f>
        <v>-355733.6</v>
      </c>
      <c r="AK122" s="1572"/>
      <c r="AL122" s="1572"/>
      <c r="AM122" s="1572"/>
      <c r="AN122" s="1572">
        <f>AN120-AN121</f>
        <v>243182.04999999993</v>
      </c>
      <c r="AO122" s="1571"/>
      <c r="AW122" s="1604"/>
    </row>
    <row r="123" spans="1:49" s="1559" customFormat="1" ht="15.6">
      <c r="A123" s="1572" t="s">
        <v>1824</v>
      </c>
      <c r="B123" s="1567"/>
      <c r="C123" s="1567"/>
      <c r="D123" s="1567"/>
      <c r="E123" s="1567"/>
      <c r="F123" s="1567"/>
      <c r="G123" s="1567"/>
      <c r="H123" s="1567"/>
      <c r="I123" s="1567"/>
      <c r="J123" s="1567"/>
      <c r="K123" s="1567"/>
      <c r="L123" s="1567"/>
      <c r="M123" s="1567"/>
      <c r="N123" s="1567"/>
      <c r="O123" s="1567"/>
      <c r="P123" s="1567"/>
      <c r="Q123" s="1574">
        <f>('[4]Feed Costing &amp; Appotionment '!K123+'[4]Feed Costing &amp; Appotionment '!O123)/('[4]Feed Costing &amp; Appotionment '!K122+'[4]Feed Costing &amp; Appotionment '!O122)</f>
        <v>0.33022565021567968</v>
      </c>
      <c r="R123" s="1571">
        <f>'[4]Feed Costing &amp; Appotionment '!T124</f>
        <v>0.37880590011098036</v>
      </c>
      <c r="S123" s="1571">
        <f>'[4]Feed Costing &amp; Appotionment '!N124</f>
        <v>0.36773334194341661</v>
      </c>
      <c r="T123" s="1567"/>
      <c r="U123" s="1567"/>
      <c r="V123" s="1571">
        <f>('[4]Feed Costing &amp; Appotionment '!M123+'[4]Feed Costing &amp; Appotionment '!L123)/('[4]Feed Costing &amp; Appotionment '!L122+'[4]Feed Costing &amp; Appotionment '!M122)</f>
        <v>0.38986305594770371</v>
      </c>
      <c r="W123" s="1571">
        <f>'[4]Feed Costing &amp; Appotionment '!B124</f>
        <v>0.70516028376225237</v>
      </c>
      <c r="X123" s="1567"/>
      <c r="Y123" s="1571">
        <f>'[4]Feed Costing &amp; Appotionment '!C124</f>
        <v>0.553048745740369</v>
      </c>
      <c r="Z123" s="1567"/>
      <c r="AA123" s="1571"/>
      <c r="AB123" s="1567"/>
      <c r="AC123" s="1571">
        <f>'[4]Feed Costing &amp; Appotionment '!D124</f>
        <v>0.45761789674138609</v>
      </c>
      <c r="AD123" s="1567"/>
      <c r="AE123" s="1571">
        <f>'[4]Feed Costing &amp; Appotionment '!F124</f>
        <v>0.36072118784213153</v>
      </c>
      <c r="AF123" s="1567"/>
      <c r="AG123" s="1571">
        <f>'[4]Feed Costing &amp; Appotionment '!G124</f>
        <v>0.35277419368699731</v>
      </c>
      <c r="AH123" s="1567"/>
      <c r="AI123" s="1567"/>
      <c r="AJ123" s="1571">
        <f>'[4]Feed Costing &amp; Appotionment '!H124</f>
        <v>0.32545898419719504</v>
      </c>
      <c r="AK123" s="1567"/>
      <c r="AL123" s="1567"/>
      <c r="AM123" s="1567"/>
      <c r="AN123" s="1571">
        <f>'[4]Feed Costing &amp; Appotionment '!J124</f>
        <v>0.34727367194923103</v>
      </c>
      <c r="AO123" s="1571"/>
      <c r="AP123" s="1570"/>
      <c r="AU123" s="1570"/>
    </row>
    <row r="124" spans="1:49" s="1559" customFormat="1" ht="15.6">
      <c r="A124" s="1572" t="s">
        <v>1825</v>
      </c>
      <c r="B124" s="1567"/>
      <c r="C124" s="1567"/>
      <c r="D124" s="1567"/>
      <c r="E124" s="1567"/>
      <c r="F124" s="1567"/>
      <c r="G124" s="1567"/>
      <c r="H124" s="1567"/>
      <c r="I124" s="1567"/>
      <c r="J124" s="1567"/>
      <c r="K124" s="1567"/>
      <c r="L124" s="1567"/>
      <c r="M124" s="1567"/>
      <c r="N124" s="1567"/>
      <c r="O124" s="1567"/>
      <c r="P124" s="1567"/>
      <c r="Q124" s="1574">
        <f>Q122*Q123</f>
        <v>9037.978843317951</v>
      </c>
      <c r="R124" s="1574">
        <f>R122*R123</f>
        <v>-3467.0210007657479</v>
      </c>
      <c r="S124" s="1574">
        <f>S122*S123</f>
        <v>1921.5905783253236</v>
      </c>
      <c r="T124" s="1567"/>
      <c r="U124" s="1567"/>
      <c r="V124" s="1574">
        <f>V122*V123</f>
        <v>19281.457158005582</v>
      </c>
      <c r="W124" s="1574">
        <f>W122*W123</f>
        <v>-1723.305959472382</v>
      </c>
      <c r="X124" s="1567"/>
      <c r="Y124" s="1574">
        <f>Y122*Y123</f>
        <v>-18616.671574237724</v>
      </c>
      <c r="Z124" s="1567"/>
      <c r="AA124" s="1574"/>
      <c r="AB124" s="1567"/>
      <c r="AC124" s="1574">
        <f>AC122*AC123</f>
        <v>68287.11540543985</v>
      </c>
      <c r="AD124" s="1567"/>
      <c r="AE124" s="1574">
        <f>AE122*AE123</f>
        <v>37275.9896765175</v>
      </c>
      <c r="AF124" s="1567"/>
      <c r="AG124" s="1574">
        <f>AG122*AG123</f>
        <v>99639.095471407752</v>
      </c>
      <c r="AH124" s="1567"/>
      <c r="AI124" s="1567"/>
      <c r="AJ124" s="1574">
        <f>AJ122*AJ123</f>
        <v>-115776.6961008113</v>
      </c>
      <c r="AK124" s="1567"/>
      <c r="AL124" s="1567"/>
      <c r="AM124" s="1567"/>
      <c r="AN124" s="1574">
        <f>AN122*AN123</f>
        <v>84450.723455641477</v>
      </c>
      <c r="AO124" s="1571"/>
      <c r="AP124" s="1575"/>
      <c r="AU124" s="1570"/>
    </row>
  </sheetData>
  <pageMargins left="0.7" right="0.7" top="0.75" bottom="0.75" header="0.3" footer="0.3"/>
  <pageSetup paperSize="9" scale="11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60">
    <tabColor theme="6" tint="-0.249977111117893"/>
  </sheetPr>
  <dimension ref="A2:BI157"/>
  <sheetViews>
    <sheetView view="pageBreakPreview" zoomScale="60" zoomScaleNormal="84" workbookViewId="0">
      <pane xSplit="1" ySplit="3" topLeftCell="AI48" activePane="bottomRight" state="frozen"/>
      <selection pane="bottomRight" activeCell="AS62" sqref="AN62:AS62"/>
      <selection pane="bottomLeft" activeCell="A4" sqref="A4"/>
      <selection pane="topRight" activeCell="B1" sqref="B1"/>
    </sheetView>
  </sheetViews>
  <sheetFormatPr defaultColWidth="9.140625" defaultRowHeight="15"/>
  <cols>
    <col min="1" max="1" width="34" style="142" bestFit="1" customWidth="1"/>
    <col min="2" max="2" width="24" style="142" bestFit="1" customWidth="1"/>
    <col min="3" max="5" width="21.85546875" style="142" bestFit="1" customWidth="1"/>
    <col min="6" max="6" width="23.42578125" style="142" bestFit="1" customWidth="1"/>
    <col min="7" max="9" width="23" style="142" bestFit="1" customWidth="1"/>
    <col min="10" max="10" width="21.140625" style="142" bestFit="1" customWidth="1"/>
    <col min="11" max="14" width="22.5703125" style="142" bestFit="1" customWidth="1"/>
    <col min="15" max="15" width="23" style="142" bestFit="1" customWidth="1"/>
    <col min="16" max="17" width="22.5703125" style="142" bestFit="1" customWidth="1"/>
    <col min="18" max="19" width="23" style="142" bestFit="1" customWidth="1"/>
    <col min="20" max="20" width="23.42578125" style="142" bestFit="1" customWidth="1"/>
    <col min="21" max="21" width="23" style="142" bestFit="1" customWidth="1"/>
    <col min="22" max="23" width="23.42578125" style="142" bestFit="1" customWidth="1"/>
    <col min="24" max="24" width="23" style="142" bestFit="1" customWidth="1"/>
    <col min="25" max="25" width="24" style="142" bestFit="1" customWidth="1"/>
    <col min="26" max="28" width="23.42578125" style="142" bestFit="1" customWidth="1"/>
    <col min="29" max="29" width="25.140625" style="142" bestFit="1" customWidth="1"/>
    <col min="30" max="31" width="23.42578125" style="142" bestFit="1" customWidth="1"/>
    <col min="32" max="35" width="24" style="142" bestFit="1" customWidth="1"/>
    <col min="36" max="36" width="24.7109375" style="142" bestFit="1" customWidth="1"/>
    <col min="37" max="45" width="24" style="142" bestFit="1" customWidth="1"/>
    <col min="46" max="46" width="24" style="142" customWidth="1"/>
    <col min="47" max="47" width="25.140625" style="1057" bestFit="1" customWidth="1"/>
    <col min="48" max="48" width="29.140625" style="142" bestFit="1" customWidth="1"/>
    <col min="49" max="49" width="20.42578125" style="142" bestFit="1" customWidth="1"/>
    <col min="50" max="50" width="22.28515625" style="142" bestFit="1" customWidth="1"/>
    <col min="51" max="51" width="16.85546875" style="142" bestFit="1" customWidth="1"/>
    <col min="52" max="52" width="20.42578125" style="142" bestFit="1" customWidth="1"/>
    <col min="53" max="53" width="21.85546875" style="142" bestFit="1" customWidth="1"/>
    <col min="54" max="54" width="14.42578125" style="142" bestFit="1" customWidth="1"/>
    <col min="55" max="55" width="9.140625" style="142"/>
    <col min="56" max="56" width="16.28515625" style="142" bestFit="1" customWidth="1"/>
    <col min="57" max="57" width="16.28515625" style="142" customWidth="1"/>
    <col min="58" max="58" width="16.28515625" style="142" bestFit="1" customWidth="1"/>
    <col min="59" max="60" width="9.140625" style="142"/>
    <col min="61" max="61" width="16.28515625" style="142" bestFit="1" customWidth="1"/>
    <col min="62" max="16384" width="9.140625" style="142"/>
  </cols>
  <sheetData>
    <row r="2" spans="1:50" ht="15.6">
      <c r="A2" s="1066" t="s">
        <v>1772</v>
      </c>
      <c r="B2" s="142">
        <v>1</v>
      </c>
      <c r="C2" s="142">
        <f>B2+1</f>
        <v>2</v>
      </c>
      <c r="D2" s="142">
        <f t="shared" ref="D2:AO2" si="0">C2+1</f>
        <v>3</v>
      </c>
      <c r="E2" s="142">
        <f t="shared" si="0"/>
        <v>4</v>
      </c>
      <c r="F2" s="142">
        <f t="shared" si="0"/>
        <v>5</v>
      </c>
      <c r="G2" s="142">
        <f t="shared" si="0"/>
        <v>6</v>
      </c>
      <c r="H2" s="142">
        <f t="shared" si="0"/>
        <v>7</v>
      </c>
      <c r="I2" s="142">
        <f t="shared" si="0"/>
        <v>8</v>
      </c>
      <c r="J2" s="142">
        <f t="shared" si="0"/>
        <v>9</v>
      </c>
      <c r="K2" s="142">
        <f t="shared" si="0"/>
        <v>10</v>
      </c>
      <c r="L2" s="142">
        <f t="shared" si="0"/>
        <v>11</v>
      </c>
      <c r="M2" s="142">
        <f t="shared" si="0"/>
        <v>12</v>
      </c>
      <c r="N2" s="142">
        <f t="shared" si="0"/>
        <v>13</v>
      </c>
      <c r="O2" s="142">
        <f t="shared" si="0"/>
        <v>14</v>
      </c>
      <c r="P2" s="142">
        <f t="shared" si="0"/>
        <v>15</v>
      </c>
      <c r="Q2" s="142">
        <f t="shared" si="0"/>
        <v>16</v>
      </c>
      <c r="R2" s="142">
        <f t="shared" si="0"/>
        <v>17</v>
      </c>
      <c r="S2" s="142">
        <f t="shared" si="0"/>
        <v>18</v>
      </c>
      <c r="T2" s="142">
        <f t="shared" si="0"/>
        <v>19</v>
      </c>
      <c r="U2" s="142">
        <f t="shared" si="0"/>
        <v>20</v>
      </c>
      <c r="V2" s="142">
        <f t="shared" si="0"/>
        <v>21</v>
      </c>
      <c r="W2" s="142">
        <f t="shared" si="0"/>
        <v>22</v>
      </c>
      <c r="X2" s="142">
        <f t="shared" si="0"/>
        <v>23</v>
      </c>
      <c r="Y2" s="142">
        <f t="shared" si="0"/>
        <v>24</v>
      </c>
      <c r="Z2" s="142">
        <f t="shared" si="0"/>
        <v>25</v>
      </c>
      <c r="AA2" s="142">
        <f t="shared" si="0"/>
        <v>26</v>
      </c>
      <c r="AB2" s="142">
        <f t="shared" si="0"/>
        <v>27</v>
      </c>
      <c r="AC2" s="142">
        <f t="shared" si="0"/>
        <v>28</v>
      </c>
      <c r="AD2" s="142">
        <f t="shared" si="0"/>
        <v>29</v>
      </c>
      <c r="AE2" s="142">
        <f t="shared" si="0"/>
        <v>30</v>
      </c>
      <c r="AF2" s="142">
        <f t="shared" si="0"/>
        <v>31</v>
      </c>
      <c r="AG2" s="142">
        <f t="shared" si="0"/>
        <v>32</v>
      </c>
      <c r="AH2" s="142">
        <f t="shared" si="0"/>
        <v>33</v>
      </c>
      <c r="AI2" s="142">
        <f t="shared" si="0"/>
        <v>34</v>
      </c>
      <c r="AJ2" s="142">
        <f t="shared" si="0"/>
        <v>35</v>
      </c>
      <c r="AK2" s="142">
        <f t="shared" si="0"/>
        <v>36</v>
      </c>
      <c r="AL2" s="142">
        <f t="shared" si="0"/>
        <v>37</v>
      </c>
      <c r="AM2" s="142">
        <f t="shared" si="0"/>
        <v>38</v>
      </c>
      <c r="AN2" s="142">
        <f t="shared" si="0"/>
        <v>39</v>
      </c>
      <c r="AO2" s="142">
        <f t="shared" si="0"/>
        <v>40</v>
      </c>
    </row>
    <row r="3" spans="1:50" s="131" customFormat="1" ht="15.6">
      <c r="B3" s="130" t="str">
        <f>'[4]SOWS WK1-WK16'!E6</f>
        <v>DRY SOW</v>
      </c>
      <c r="C3" s="130" t="str">
        <f>B3</f>
        <v>DRY SOW</v>
      </c>
      <c r="D3" s="130" t="str">
        <f t="shared" ref="D3:Q3" si="1">C3</f>
        <v>DRY SOW</v>
      </c>
      <c r="E3" s="130" t="str">
        <f t="shared" si="1"/>
        <v>DRY SOW</v>
      </c>
      <c r="F3" s="130" t="str">
        <f t="shared" si="1"/>
        <v>DRY SOW</v>
      </c>
      <c r="G3" s="130" t="str">
        <f t="shared" si="1"/>
        <v>DRY SOW</v>
      </c>
      <c r="H3" s="130" t="str">
        <f t="shared" si="1"/>
        <v>DRY SOW</v>
      </c>
      <c r="I3" s="130" t="str">
        <f t="shared" si="1"/>
        <v>DRY SOW</v>
      </c>
      <c r="J3" s="130" t="str">
        <f t="shared" si="1"/>
        <v>DRY SOW</v>
      </c>
      <c r="K3" s="130" t="str">
        <f t="shared" si="1"/>
        <v>DRY SOW</v>
      </c>
      <c r="L3" s="130" t="str">
        <f t="shared" si="1"/>
        <v>DRY SOW</v>
      </c>
      <c r="M3" s="130" t="str">
        <f t="shared" si="1"/>
        <v>DRY SOW</v>
      </c>
      <c r="N3" s="130" t="str">
        <f t="shared" si="1"/>
        <v>DRY SOW</v>
      </c>
      <c r="O3" s="130" t="str">
        <f t="shared" si="1"/>
        <v>DRY SOW</v>
      </c>
      <c r="P3" s="130" t="str">
        <f t="shared" si="1"/>
        <v>DRY SOW</v>
      </c>
      <c r="Q3" s="130" t="str">
        <f t="shared" si="1"/>
        <v>DRY SOW</v>
      </c>
      <c r="R3" s="130" t="str">
        <f>'[4]SOWS WK1-WK16'!E5</f>
        <v>Flush</v>
      </c>
      <c r="S3" s="130" t="str">
        <f>'[4]SOWS FARROW WK1-WK4'!E4</f>
        <v>PRE-FARROW</v>
      </c>
      <c r="T3" s="130" t="str">
        <f>'[4]SOWS FARROW WK1-WK4'!E5</f>
        <v>LACTATE</v>
      </c>
      <c r="U3" s="130" t="str">
        <f>T3</f>
        <v>LACTATE</v>
      </c>
      <c r="V3" s="130" t="str">
        <f>U3</f>
        <v>LACTATE</v>
      </c>
      <c r="W3" s="130" t="str">
        <f>[4]WEANER!J4</f>
        <v>Early Wean</v>
      </c>
      <c r="X3" s="130" t="str">
        <f>[4]WEANER!E5</f>
        <v>CREEP</v>
      </c>
      <c r="Y3" s="130" t="str">
        <f>X3</f>
        <v>CREEP</v>
      </c>
      <c r="Z3" s="130" t="str">
        <f>[4]WEANER!E7</f>
        <v>WEAN 1</v>
      </c>
      <c r="AA3" s="130" t="str">
        <f>Z3</f>
        <v>WEAN 1</v>
      </c>
      <c r="AB3" s="130" t="str">
        <f>AA3</f>
        <v>WEAN 1</v>
      </c>
      <c r="AC3" s="130" t="str">
        <f>AB3</f>
        <v>WEAN 1</v>
      </c>
      <c r="AD3" s="130" t="str">
        <f>[4]GROWER!E5</f>
        <v>GROWER 1</v>
      </c>
      <c r="AE3" s="130" t="str">
        <f>AD3</f>
        <v>GROWER 1</v>
      </c>
      <c r="AF3" s="130" t="str">
        <f>[4]GROWER!E7</f>
        <v>GROWER 2</v>
      </c>
      <c r="AG3" s="130" t="str">
        <f>AF3</f>
        <v>GROWER 2</v>
      </c>
      <c r="AH3" s="130" t="str">
        <f>[4]GROWER!E9</f>
        <v>GROWER 3</v>
      </c>
      <c r="AI3" s="130" t="str">
        <f>AH3</f>
        <v>GROWER 3</v>
      </c>
      <c r="AJ3" s="130" t="str">
        <f>AI3</f>
        <v>GROWER 3</v>
      </c>
      <c r="AK3" s="130" t="str">
        <f>[4]GROWER!E12</f>
        <v>FINISHER</v>
      </c>
      <c r="AL3" s="130" t="str">
        <f>AK3</f>
        <v>FINISHER</v>
      </c>
      <c r="AM3" s="130" t="str">
        <f>AL3</f>
        <v>FINISHER</v>
      </c>
      <c r="AN3" s="130" t="str">
        <f>AM3</f>
        <v>FINISHER</v>
      </c>
      <c r="AO3" s="130" t="str">
        <f>AN3</f>
        <v>FINISHER</v>
      </c>
      <c r="AR3" s="1085"/>
      <c r="AU3" s="1086"/>
    </row>
    <row r="4" spans="1:50" ht="15.6">
      <c r="A4" s="1066" t="s">
        <v>1782</v>
      </c>
      <c r="B4" s="1066">
        <f>C4-1</f>
        <v>23</v>
      </c>
      <c r="C4" s="1066">
        <f t="shared" ref="C4:P4" si="2">D4-1</f>
        <v>24</v>
      </c>
      <c r="D4" s="1066">
        <f t="shared" si="2"/>
        <v>25</v>
      </c>
      <c r="E4" s="1066">
        <f t="shared" si="2"/>
        <v>26</v>
      </c>
      <c r="F4" s="1066">
        <f t="shared" si="2"/>
        <v>27</v>
      </c>
      <c r="G4" s="1066">
        <f t="shared" si="2"/>
        <v>28</v>
      </c>
      <c r="H4" s="1066">
        <f t="shared" si="2"/>
        <v>29</v>
      </c>
      <c r="I4" s="1066">
        <f t="shared" si="2"/>
        <v>30</v>
      </c>
      <c r="J4" s="1066">
        <f t="shared" si="2"/>
        <v>31</v>
      </c>
      <c r="K4" s="1066">
        <f t="shared" si="2"/>
        <v>32</v>
      </c>
      <c r="L4" s="1066">
        <f t="shared" si="2"/>
        <v>33</v>
      </c>
      <c r="M4" s="1066">
        <f t="shared" si="2"/>
        <v>34</v>
      </c>
      <c r="N4" s="1066">
        <f t="shared" si="2"/>
        <v>35</v>
      </c>
      <c r="O4" s="1066">
        <f t="shared" si="2"/>
        <v>36</v>
      </c>
      <c r="P4" s="1066">
        <f t="shared" si="2"/>
        <v>37</v>
      </c>
      <c r="Q4" s="1066">
        <f>R4-1</f>
        <v>38</v>
      </c>
      <c r="R4" s="1066">
        <f>S4-1</f>
        <v>39</v>
      </c>
      <c r="S4" s="1067">
        <v>40</v>
      </c>
      <c r="T4" s="1066">
        <f t="shared" ref="T4:AO4" si="3">S4+1</f>
        <v>41</v>
      </c>
      <c r="U4" s="1066">
        <f t="shared" si="3"/>
        <v>42</v>
      </c>
      <c r="V4" s="1066">
        <f t="shared" si="3"/>
        <v>43</v>
      </c>
      <c r="W4" s="1066">
        <f t="shared" si="3"/>
        <v>44</v>
      </c>
      <c r="X4" s="1066">
        <f t="shared" si="3"/>
        <v>45</v>
      </c>
      <c r="Y4" s="1066">
        <f t="shared" si="3"/>
        <v>46</v>
      </c>
      <c r="Z4" s="1066">
        <f t="shared" si="3"/>
        <v>47</v>
      </c>
      <c r="AA4" s="1066">
        <f t="shared" si="3"/>
        <v>48</v>
      </c>
      <c r="AB4" s="1066">
        <f t="shared" si="3"/>
        <v>49</v>
      </c>
      <c r="AC4" s="1066">
        <f t="shared" si="3"/>
        <v>50</v>
      </c>
      <c r="AD4" s="1066">
        <f t="shared" si="3"/>
        <v>51</v>
      </c>
      <c r="AE4" s="1066">
        <f t="shared" si="3"/>
        <v>52</v>
      </c>
      <c r="AF4" s="1066">
        <v>1</v>
      </c>
      <c r="AG4" s="1066">
        <f t="shared" si="3"/>
        <v>2</v>
      </c>
      <c r="AH4" s="1066">
        <f t="shared" si="3"/>
        <v>3</v>
      </c>
      <c r="AI4" s="1066">
        <f t="shared" si="3"/>
        <v>4</v>
      </c>
      <c r="AJ4" s="1066">
        <f t="shared" si="3"/>
        <v>5</v>
      </c>
      <c r="AK4" s="1066">
        <f t="shared" si="3"/>
        <v>6</v>
      </c>
      <c r="AL4" s="1066">
        <f t="shared" si="3"/>
        <v>7</v>
      </c>
      <c r="AM4" s="1066">
        <f t="shared" si="3"/>
        <v>8</v>
      </c>
      <c r="AN4" s="1066">
        <f t="shared" si="3"/>
        <v>9</v>
      </c>
      <c r="AO4" s="1066">
        <f t="shared" si="3"/>
        <v>10</v>
      </c>
      <c r="AP4" s="1066"/>
      <c r="AQ4" s="1066"/>
      <c r="AR4" s="1066"/>
      <c r="AS4" s="1066"/>
      <c r="AT4" s="1066"/>
      <c r="AU4" s="1068"/>
      <c r="AV4" s="1066"/>
      <c r="AW4" s="1066"/>
      <c r="AX4" s="1066"/>
    </row>
    <row r="5" spans="1:50" ht="15.6">
      <c r="A5" s="1066" t="s">
        <v>1783</v>
      </c>
      <c r="B5" s="1066">
        <v>-16</v>
      </c>
      <c r="C5" s="1066">
        <f>B5+1</f>
        <v>-15</v>
      </c>
      <c r="D5" s="1066">
        <f t="shared" ref="D5:AO5" si="4">C5+1</f>
        <v>-14</v>
      </c>
      <c r="E5" s="1066">
        <f t="shared" si="4"/>
        <v>-13</v>
      </c>
      <c r="F5" s="1066">
        <f t="shared" si="4"/>
        <v>-12</v>
      </c>
      <c r="G5" s="1066">
        <f t="shared" si="4"/>
        <v>-11</v>
      </c>
      <c r="H5" s="1066">
        <f t="shared" si="4"/>
        <v>-10</v>
      </c>
      <c r="I5" s="1066">
        <f t="shared" si="4"/>
        <v>-9</v>
      </c>
      <c r="J5" s="1066">
        <f t="shared" si="4"/>
        <v>-8</v>
      </c>
      <c r="K5" s="1066">
        <f t="shared" si="4"/>
        <v>-7</v>
      </c>
      <c r="L5" s="1066">
        <f t="shared" si="4"/>
        <v>-6</v>
      </c>
      <c r="M5" s="1066">
        <f t="shared" si="4"/>
        <v>-5</v>
      </c>
      <c r="N5" s="1066">
        <f t="shared" si="4"/>
        <v>-4</v>
      </c>
      <c r="O5" s="1066">
        <f t="shared" si="4"/>
        <v>-3</v>
      </c>
      <c r="P5" s="1066">
        <f t="shared" si="4"/>
        <v>-2</v>
      </c>
      <c r="Q5" s="1066">
        <f t="shared" si="4"/>
        <v>-1</v>
      </c>
      <c r="R5" s="1066">
        <f t="shared" si="4"/>
        <v>0</v>
      </c>
      <c r="S5" s="1066">
        <f t="shared" si="4"/>
        <v>1</v>
      </c>
      <c r="T5" s="1066">
        <f t="shared" si="4"/>
        <v>2</v>
      </c>
      <c r="U5" s="1066">
        <f t="shared" si="4"/>
        <v>3</v>
      </c>
      <c r="V5" s="1066">
        <f t="shared" si="4"/>
        <v>4</v>
      </c>
      <c r="W5" s="1066">
        <f t="shared" si="4"/>
        <v>5</v>
      </c>
      <c r="X5" s="1066">
        <f t="shared" si="4"/>
        <v>6</v>
      </c>
      <c r="Y5" s="1066">
        <f t="shared" si="4"/>
        <v>7</v>
      </c>
      <c r="Z5" s="1066">
        <f t="shared" si="4"/>
        <v>8</v>
      </c>
      <c r="AA5" s="1066">
        <f t="shared" si="4"/>
        <v>9</v>
      </c>
      <c r="AB5" s="1066">
        <f t="shared" si="4"/>
        <v>10</v>
      </c>
      <c r="AC5" s="1066">
        <f t="shared" si="4"/>
        <v>11</v>
      </c>
      <c r="AD5" s="1066">
        <f t="shared" si="4"/>
        <v>12</v>
      </c>
      <c r="AE5" s="1066">
        <f t="shared" si="4"/>
        <v>13</v>
      </c>
      <c r="AF5" s="1066">
        <f t="shared" si="4"/>
        <v>14</v>
      </c>
      <c r="AG5" s="1066">
        <f t="shared" si="4"/>
        <v>15</v>
      </c>
      <c r="AH5" s="1066">
        <f t="shared" si="4"/>
        <v>16</v>
      </c>
      <c r="AI5" s="1066">
        <f t="shared" si="4"/>
        <v>17</v>
      </c>
      <c r="AJ5" s="1066">
        <f t="shared" si="4"/>
        <v>18</v>
      </c>
      <c r="AK5" s="1066">
        <f t="shared" si="4"/>
        <v>19</v>
      </c>
      <c r="AL5" s="1066">
        <f t="shared" si="4"/>
        <v>20</v>
      </c>
      <c r="AM5" s="1066">
        <f t="shared" si="4"/>
        <v>21</v>
      </c>
      <c r="AN5" s="1066">
        <f t="shared" si="4"/>
        <v>22</v>
      </c>
      <c r="AO5" s="1066">
        <f t="shared" si="4"/>
        <v>23</v>
      </c>
      <c r="AP5" s="130" t="s">
        <v>1784</v>
      </c>
      <c r="AQ5" s="130" t="s">
        <v>1784</v>
      </c>
      <c r="AR5" s="130" t="s">
        <v>1784</v>
      </c>
      <c r="AS5" s="130" t="s">
        <v>1784</v>
      </c>
      <c r="AT5" s="130" t="s">
        <v>1784</v>
      </c>
      <c r="AU5" s="1069" t="s">
        <v>71</v>
      </c>
      <c r="AV5" s="1602" t="s">
        <v>1827</v>
      </c>
    </row>
    <row r="6" spans="1:50" ht="15.6">
      <c r="A6" s="1559"/>
      <c r="B6" s="1559"/>
      <c r="C6" s="1559"/>
      <c r="D6" s="1559"/>
      <c r="E6" s="1559"/>
      <c r="F6" s="1559"/>
      <c r="G6" s="1559"/>
      <c r="H6" s="1559"/>
      <c r="I6" s="1559"/>
      <c r="J6" s="1559"/>
      <c r="K6" s="1559"/>
      <c r="L6" s="1559"/>
      <c r="M6" s="1559"/>
      <c r="N6" s="1559"/>
      <c r="O6" s="1559"/>
      <c r="P6" s="1559"/>
      <c r="Q6" s="1559"/>
      <c r="R6" s="1559"/>
      <c r="S6" s="1559"/>
      <c r="T6" s="1559"/>
      <c r="U6" s="1559"/>
      <c r="V6" s="1559"/>
      <c r="W6" s="1559"/>
      <c r="X6" s="1559"/>
      <c r="Y6" s="1559"/>
      <c r="Z6" s="1559"/>
      <c r="AA6" s="1559"/>
      <c r="AB6" s="1559"/>
      <c r="AC6" s="1559"/>
      <c r="AD6" s="1559"/>
      <c r="AE6" s="1559"/>
      <c r="AF6" s="1559"/>
      <c r="AG6" s="1559"/>
      <c r="AH6" s="1559"/>
      <c r="AI6" s="1559"/>
      <c r="AJ6" s="1559"/>
      <c r="AK6" s="1559"/>
      <c r="AL6" s="1559"/>
      <c r="AM6" s="1559"/>
      <c r="AN6" s="1559"/>
    </row>
    <row r="7" spans="1:50" ht="15.6">
      <c r="A7" s="1066" t="s">
        <v>1786</v>
      </c>
      <c r="B7" s="1057">
        <f>+'Grasmere Pig Cost'!B7+'Learig Pig Cost'!B7+'Lionhead Pig Cost'!B7+'Lionhead Ext. Pig Cost'!B7+'Villa Pig Cost'!B7+'Richlands Pig Cost'!B7+'Porta Pig Cost'!B7</f>
        <v>0</v>
      </c>
      <c r="C7" s="1057">
        <f>+'Grasmere Pig Cost'!C7+'Learig Pig Cost'!C7+'Lionhead Pig Cost'!C7+'Lionhead Ext. Pig Cost'!C7+'Villa Pig Cost'!C7+'Richlands Pig Cost'!C7+'Porta Pig Cost'!C7</f>
        <v>0</v>
      </c>
      <c r="D7" s="1057">
        <f>+'Grasmere Pig Cost'!D7+'Learig Pig Cost'!D7+'Lionhead Pig Cost'!D7+'Lionhead Ext. Pig Cost'!D7+'Villa Pig Cost'!D7+'Richlands Pig Cost'!D7+'Porta Pig Cost'!D7</f>
        <v>0</v>
      </c>
      <c r="E7" s="1057">
        <f>+'Grasmere Pig Cost'!E7+'Learig Pig Cost'!E7+'Lionhead Pig Cost'!E7+'Lionhead Ext. Pig Cost'!E7+'Villa Pig Cost'!E7+'Richlands Pig Cost'!E7+'Porta Pig Cost'!E7</f>
        <v>0</v>
      </c>
      <c r="F7" s="1057">
        <f>+'Grasmere Pig Cost'!F7+'Learig Pig Cost'!F7+'Lionhead Pig Cost'!F7+'Lionhead Ext. Pig Cost'!F7+'Villa Pig Cost'!F7+'Richlands Pig Cost'!F7+'Porta Pig Cost'!F7</f>
        <v>0</v>
      </c>
      <c r="G7" s="1057">
        <f>+'Grasmere Pig Cost'!G7+'Learig Pig Cost'!G7+'Lionhead Pig Cost'!G7+'Lionhead Ext. Pig Cost'!G7+'Villa Pig Cost'!G7+'Richlands Pig Cost'!G7+'Porta Pig Cost'!G7</f>
        <v>0</v>
      </c>
      <c r="H7" s="1057">
        <f>+'Grasmere Pig Cost'!H7+'Learig Pig Cost'!H7+'Lionhead Pig Cost'!H7+'Lionhead Ext. Pig Cost'!H7+'Villa Pig Cost'!H7+'Richlands Pig Cost'!H7+'Porta Pig Cost'!H7</f>
        <v>0</v>
      </c>
      <c r="I7" s="1057">
        <f>+'Grasmere Pig Cost'!I7+'Learig Pig Cost'!I7+'Lionhead Pig Cost'!I7+'Lionhead Ext. Pig Cost'!I7+'Villa Pig Cost'!I7+'Richlands Pig Cost'!I7+'Porta Pig Cost'!I7</f>
        <v>0</v>
      </c>
      <c r="J7" s="1057">
        <f>+'Grasmere Pig Cost'!J7+'Learig Pig Cost'!J7+'Lionhead Pig Cost'!J7+'Lionhead Ext. Pig Cost'!J7+'Villa Pig Cost'!J7+'Richlands Pig Cost'!J7+'Porta Pig Cost'!J7</f>
        <v>0</v>
      </c>
      <c r="K7" s="1057">
        <f>+'Grasmere Pig Cost'!K7+'Learig Pig Cost'!K7+'Lionhead Pig Cost'!K7+'Lionhead Ext. Pig Cost'!K7+'Villa Pig Cost'!K7+'Richlands Pig Cost'!K7+'Porta Pig Cost'!K7</f>
        <v>0</v>
      </c>
      <c r="L7" s="1057">
        <f>+'Grasmere Pig Cost'!L7+'Learig Pig Cost'!L7+'Lionhead Pig Cost'!L7+'Lionhead Ext. Pig Cost'!L7+'Villa Pig Cost'!L7+'Richlands Pig Cost'!L7+'Porta Pig Cost'!L7</f>
        <v>0</v>
      </c>
      <c r="M7" s="1057">
        <f>+'Grasmere Pig Cost'!M7+'Learig Pig Cost'!M7+'Lionhead Pig Cost'!M7+'Lionhead Ext. Pig Cost'!M7+'Villa Pig Cost'!M7+'Richlands Pig Cost'!M7+'Porta Pig Cost'!M7</f>
        <v>0</v>
      </c>
      <c r="N7" s="1057">
        <f>+'Grasmere Pig Cost'!N7+'Learig Pig Cost'!N7+'Lionhead Pig Cost'!N7+'Lionhead Ext. Pig Cost'!N7+'Villa Pig Cost'!N7+'Richlands Pig Cost'!N7+'Porta Pig Cost'!N7</f>
        <v>0</v>
      </c>
      <c r="O7" s="1057">
        <f>+'Grasmere Pig Cost'!O7+'Learig Pig Cost'!O7+'Lionhead Pig Cost'!O7+'Lionhead Ext. Pig Cost'!O7+'Villa Pig Cost'!O7+'Richlands Pig Cost'!O7+'Porta Pig Cost'!O7</f>
        <v>0</v>
      </c>
      <c r="P7" s="1057">
        <f>+'Grasmere Pig Cost'!P7+'Learig Pig Cost'!P7+'Lionhead Pig Cost'!P7+'Lionhead Ext. Pig Cost'!P7+'Villa Pig Cost'!P7+'Richlands Pig Cost'!P7+'Porta Pig Cost'!P7</f>
        <v>0</v>
      </c>
      <c r="Q7" s="1057">
        <f>+'Grasmere Pig Cost'!Q7+'Learig Pig Cost'!Q7+'Lionhead Pig Cost'!Q7+'Lionhead Ext. Pig Cost'!Q7+'Villa Pig Cost'!Q7+'Richlands Pig Cost'!Q7+'Porta Pig Cost'!Q7</f>
        <v>0</v>
      </c>
      <c r="R7" s="1057">
        <f>+'Grasmere Pig Cost'!R7+'Learig Pig Cost'!R7+'Lionhead Pig Cost'!R7+'Lionhead Ext. Pig Cost'!R7+'Villa Pig Cost'!R7+'Richlands Pig Cost'!R7+'Porta Pig Cost'!R7+'Multiplier Pig Cost '!R7</f>
        <v>0</v>
      </c>
      <c r="S7" s="1057">
        <f>+'Grasmere Pig Cost'!S7+'Learig Pig Cost'!S7+'Lionhead Pig Cost'!S7+'Lionhead Ext. Pig Cost'!S7+'Villa Pig Cost'!S7+'Richlands Pig Cost'!S7+'Porta Pig Cost'!S7+'Multiplier Pig Cost '!S7</f>
        <v>0</v>
      </c>
      <c r="T7" s="1057">
        <f>+'Grasmere Pig Cost'!T7+'Learig Pig Cost'!T7+'Lionhead Pig Cost'!T7+'Lionhead Ext. Pig Cost'!T7+'Villa Pig Cost'!T7+'Richlands Pig Cost'!T7+'Porta Pig Cost'!T7+'Multiplier Pig Cost '!T7</f>
        <v>0</v>
      </c>
      <c r="U7" s="1057">
        <f>+'Grasmere Pig Cost'!U7+'Learig Pig Cost'!U7+'Lionhead Pig Cost'!U7+'Lionhead Ext. Pig Cost'!U7+'Villa Pig Cost'!U7+'Richlands Pig Cost'!U7+'Porta Pig Cost'!U7+'Multiplier Pig Cost '!U7</f>
        <v>0</v>
      </c>
      <c r="V7" s="1057">
        <f>+'Grasmere Pig Cost'!V7+'Learig Pig Cost'!V7+'Lionhead Pig Cost'!V7+'Lionhead Ext. Pig Cost'!V7+'Villa Pig Cost'!V7+'Richlands Pig Cost'!V7+'Porta Pig Cost'!V7+'Multiplier Pig Cost '!V7</f>
        <v>19</v>
      </c>
      <c r="W7" s="1057">
        <f>+'Grasmere Pig Cost'!W7+'Learig Pig Cost'!W7+'Lionhead Pig Cost'!W7+'Lionhead Ext. Pig Cost'!W7+'Villa Pig Cost'!W7+'Richlands Pig Cost'!W7+'Porta Pig Cost'!W7+'Multiplier Pig Cost '!W7</f>
        <v>2688</v>
      </c>
      <c r="X7" s="1057">
        <f>+'Grasmere Pig Cost'!X7+'Learig Pig Cost'!X7+'Lionhead Pig Cost'!X7+'Lionhead Ext. Pig Cost'!X7+'Villa Pig Cost'!X7+'Richlands Pig Cost'!X7+'Porta Pig Cost'!X7+'Multiplier Pig Cost '!X7</f>
        <v>4115</v>
      </c>
      <c r="Y7" s="1057">
        <f>+'Grasmere Pig Cost'!Y7+'Learig Pig Cost'!Y7+'Lionhead Pig Cost'!Y7+'Lionhead Ext. Pig Cost'!Y7+'Villa Pig Cost'!Y7+'Richlands Pig Cost'!Y7+'Porta Pig Cost'!Y7+'Multiplier Pig Cost '!Y7</f>
        <v>3903</v>
      </c>
      <c r="Z7" s="1057">
        <f>+'Grasmere Pig Cost'!Z7+'Learig Pig Cost'!Z7+'Lionhead Pig Cost'!Z7+'Lionhead Ext. Pig Cost'!Z7+'Villa Pig Cost'!Z7+'Richlands Pig Cost'!Z7+'Porta Pig Cost'!Z7+'Multiplier Pig Cost '!Z7</f>
        <v>3995</v>
      </c>
      <c r="AA7" s="1057">
        <f>+'Grasmere Pig Cost'!AA7+'Learig Pig Cost'!AA7+'Lionhead Pig Cost'!AA7+'Lionhead Ext. Pig Cost'!AA7+'Villa Pig Cost'!AA7+'Richlands Pig Cost'!AA7+'Porta Pig Cost'!AA7+'Multiplier Pig Cost '!AA7</f>
        <v>3931</v>
      </c>
      <c r="AB7" s="1057">
        <f>+'Grasmere Pig Cost'!AB7+'Learig Pig Cost'!AB7+'Lionhead Pig Cost'!AB7+'Lionhead Ext. Pig Cost'!AB7+'Villa Pig Cost'!AB7+'Richlands Pig Cost'!AB7+'Porta Pig Cost'!AB7+'Multiplier Pig Cost '!AB7</f>
        <v>3894</v>
      </c>
      <c r="AC7" s="1057">
        <f>+'Grasmere Pig Cost'!AC7+'Learig Pig Cost'!AC7+'Lionhead Pig Cost'!AC7+'Lionhead Ext. Pig Cost'!AC7+'Villa Pig Cost'!AC7+'Richlands Pig Cost'!AC7+'Porta Pig Cost'!AC7+'Multiplier Pig Cost '!AC7</f>
        <v>3943</v>
      </c>
      <c r="AD7" s="1057">
        <f>+'Grasmere Pig Cost'!AD7+'Learig Pig Cost'!AD7+'Lionhead Pig Cost'!AD7+'Lionhead Ext. Pig Cost'!AD7+'Villa Pig Cost'!AD7+'Richlands Pig Cost'!AD7+'Porta Pig Cost'!AD7+'Multiplier Pig Cost '!AD7</f>
        <v>3945</v>
      </c>
      <c r="AE7" s="1057">
        <f>+'Grasmere Pig Cost'!AE7+'Learig Pig Cost'!AE7+'Lionhead Pig Cost'!AE7+'Lionhead Ext. Pig Cost'!AE7+'Villa Pig Cost'!AE7+'Richlands Pig Cost'!AE7+'Porta Pig Cost'!AE7+'Multiplier Pig Cost '!AE7</f>
        <v>3752</v>
      </c>
      <c r="AF7" s="1057">
        <f>+'Grasmere Pig Cost'!AF7+'Learig Pig Cost'!AF7+'Lionhead Pig Cost'!AF7+'Lionhead Ext. Pig Cost'!AF7+'Villa Pig Cost'!AF7+'Richlands Pig Cost'!AF7+'Porta Pig Cost'!AF7+'Multiplier Pig Cost '!AF7</f>
        <v>3811</v>
      </c>
      <c r="AG7" s="1057">
        <f>+'Grasmere Pig Cost'!AG7+'Learig Pig Cost'!AG7+'Lionhead Pig Cost'!AG7+'Lionhead Ext. Pig Cost'!AG7+'Villa Pig Cost'!AG7+'Richlands Pig Cost'!AG7+'Porta Pig Cost'!AG7+'Multiplier Pig Cost '!AG7</f>
        <v>3824</v>
      </c>
      <c r="AH7" s="1057">
        <f>+'Grasmere Pig Cost'!AH7+'Learig Pig Cost'!AH7+'Lionhead Pig Cost'!AH7+'Lionhead Ext. Pig Cost'!AH7+'Villa Pig Cost'!AH7+'Richlands Pig Cost'!AH7+'Porta Pig Cost'!AH7+'Multiplier Pig Cost '!AH7</f>
        <v>3678</v>
      </c>
      <c r="AI7" s="1057">
        <f>+'Grasmere Pig Cost'!AI7+'Learig Pig Cost'!AI7+'Lionhead Pig Cost'!AI7+'Lionhead Ext. Pig Cost'!AI7+'Villa Pig Cost'!AI7+'Richlands Pig Cost'!AI7+'Porta Pig Cost'!AI7+'Multiplier Pig Cost '!AI7</f>
        <v>3741</v>
      </c>
      <c r="AJ7" s="1057">
        <f>+'Grasmere Pig Cost'!AJ7+'Learig Pig Cost'!AJ7+'Lionhead Pig Cost'!AJ7+'Lionhead Ext. Pig Cost'!AJ7+'Villa Pig Cost'!AJ7+'Richlands Pig Cost'!AJ7+'Porta Pig Cost'!AJ7+'Multiplier Pig Cost '!AJ7</f>
        <v>3902</v>
      </c>
      <c r="AK7" s="1057">
        <f>+'Grasmere Pig Cost'!AK7+'Learig Pig Cost'!AK7+'Lionhead Pig Cost'!AK7+'Lionhead Ext. Pig Cost'!AK7+'Villa Pig Cost'!AK7+'Richlands Pig Cost'!AK7+'Porta Pig Cost'!AK7+'Multiplier Pig Cost '!AK7</f>
        <v>3849</v>
      </c>
      <c r="AL7" s="1057">
        <f>+'Grasmere Pig Cost'!AL7+'Learig Pig Cost'!AL7+'Lionhead Pig Cost'!AL7+'Lionhead Ext. Pig Cost'!AL7+'Villa Pig Cost'!AL7+'Richlands Pig Cost'!AL7+'Porta Pig Cost'!AL7+'Multiplier Pig Cost '!AL7</f>
        <v>3734</v>
      </c>
      <c r="AM7" s="1057">
        <f>+'Grasmere Pig Cost'!AM7+'Learig Pig Cost'!AM7+'Lionhead Pig Cost'!AM7+'Lionhead Ext. Pig Cost'!AM7+'Villa Pig Cost'!AM7+'Richlands Pig Cost'!AM7+'Porta Pig Cost'!AM7+'Multiplier Pig Cost '!AM7</f>
        <v>3858</v>
      </c>
      <c r="AN7" s="1057">
        <f>+'Grasmere Pig Cost'!AN7+'Learig Pig Cost'!AN7+'Lionhead Pig Cost'!AN7+'Lionhead Ext. Pig Cost'!AN7+'Villa Pig Cost'!AN7+'Richlands Pig Cost'!AN7+'Porta Pig Cost'!AN7+'Multiplier Pig Cost '!AN7</f>
        <v>3760</v>
      </c>
      <c r="AO7" s="1057">
        <f>+'Grasmere Pig Cost'!AO7+'Learig Pig Cost'!AO7+'Lionhead Pig Cost'!AO7+'Lionhead Ext. Pig Cost'!AO7+'Villa Pig Cost'!AO7+'Richlands Pig Cost'!AO7+'Porta Pig Cost'!AO7+'Multiplier Pig Cost '!AO7</f>
        <v>3774</v>
      </c>
      <c r="AP7" s="1057">
        <f>+'Grasmere Pig Cost'!AP7+'Learig Pig Cost'!AP7+'Lionhead Pig Cost'!AP7+'Lionhead Ext. Pig Cost'!AP7+'Villa Pig Cost'!AP7+'Richlands Pig Cost'!AP7+'Porta Pig Cost'!AP7+'Multiplier Pig Cost '!AP7</f>
        <v>3804</v>
      </c>
      <c r="AQ7" s="1057">
        <f>+'Grasmere Pig Cost'!AQ7+'Learig Pig Cost'!AQ7+'Lionhead Pig Cost'!AQ7+'Lionhead Ext. Pig Cost'!AQ7+'Villa Pig Cost'!AQ7+'Richlands Pig Cost'!AQ7+'Porta Pig Cost'!AQ7+'Multiplier Pig Cost '!AQ7</f>
        <v>3909</v>
      </c>
      <c r="AR7" s="1057">
        <f>+'Grasmere Pig Cost'!AR7+'Learig Pig Cost'!AR7+'Lionhead Pig Cost'!AR7+'Lionhead Ext. Pig Cost'!AR7+'Villa Pig Cost'!AR7+'Richlands Pig Cost'!AR7+'Porta Pig Cost'!AR7+'Multiplier Pig Cost '!AR7</f>
        <v>3175</v>
      </c>
      <c r="AS7" s="1057">
        <f>+'Grasmere Pig Cost'!AS7+'Learig Pig Cost'!AS7+'Lionhead Pig Cost'!AS7+'Lionhead Ext. Pig Cost'!AS7+'Villa Pig Cost'!AS7+'Richlands Pig Cost'!AS7+'Porta Pig Cost'!AS7+'Multiplier Pig Cost '!AS7</f>
        <v>2222</v>
      </c>
      <c r="AT7" s="1057">
        <f>+'Grasmere Pig Cost'!AT7+'Learig Pig Cost'!AT7+'Lionhead Pig Cost'!AT7+'Lionhead Ext. Pig Cost'!AT7+'Villa Pig Cost'!AT7+'Richlands Pig Cost'!AT7+'Porta Pig Cost'!AT7+'Multiplier Pig Cost '!AT7</f>
        <v>15</v>
      </c>
      <c r="AU7" s="1057">
        <f>SUM(V7:AT7)</f>
        <v>85241</v>
      </c>
      <c r="AV7" s="818">
        <f>SUM('Summary Total Pigs'!C186:C188)</f>
        <v>85241</v>
      </c>
      <c r="AW7" s="818">
        <f>+AU7-AV7</f>
        <v>0</v>
      </c>
      <c r="AX7" s="818"/>
    </row>
    <row r="8" spans="1:50" ht="15.6">
      <c r="A8" s="1066" t="s">
        <v>1787</v>
      </c>
      <c r="B8" s="1057">
        <f>+'Grasmere Pig Cost'!B8+'Learig Pig Cost'!B8+'Lionhead Pig Cost'!B8+'Lionhead Ext. Pig Cost'!B8+'Villa Pig Cost'!B8+'Richlands Pig Cost'!B8+'Porta Pig Cost'!B8</f>
        <v>0</v>
      </c>
      <c r="C8" s="1057">
        <f>+'Grasmere Pig Cost'!C8+'Learig Pig Cost'!C8+'Lionhead Pig Cost'!C8+'Lionhead Ext. Pig Cost'!C8+'Villa Pig Cost'!C8+'Richlands Pig Cost'!C8+'Porta Pig Cost'!C8</f>
        <v>0</v>
      </c>
      <c r="D8" s="1057">
        <f>+'Grasmere Pig Cost'!D8+'Learig Pig Cost'!D8+'Lionhead Pig Cost'!D8+'Lionhead Ext. Pig Cost'!D8+'Villa Pig Cost'!D8+'Richlands Pig Cost'!D8+'Porta Pig Cost'!D8</f>
        <v>0</v>
      </c>
      <c r="E8" s="1057">
        <f>+'Grasmere Pig Cost'!E8+'Learig Pig Cost'!E8+'Lionhead Pig Cost'!E8+'Lionhead Ext. Pig Cost'!E8+'Villa Pig Cost'!E8+'Richlands Pig Cost'!E8+'Porta Pig Cost'!E8</f>
        <v>0</v>
      </c>
      <c r="F8" s="1057">
        <f>+'Grasmere Pig Cost'!F8+'Learig Pig Cost'!F8+'Lionhead Pig Cost'!F8+'Lionhead Ext. Pig Cost'!F8+'Villa Pig Cost'!F8+'Richlands Pig Cost'!F8+'Porta Pig Cost'!F8</f>
        <v>0</v>
      </c>
      <c r="G8" s="1057">
        <f>+'Grasmere Pig Cost'!G8+'Learig Pig Cost'!G8+'Lionhead Pig Cost'!G8+'Lionhead Ext. Pig Cost'!G8+'Villa Pig Cost'!G8+'Richlands Pig Cost'!G8+'Porta Pig Cost'!G8</f>
        <v>0</v>
      </c>
      <c r="H8" s="1057">
        <f>+'Grasmere Pig Cost'!H8+'Learig Pig Cost'!H8+'Lionhead Pig Cost'!H8+'Lionhead Ext. Pig Cost'!H8+'Villa Pig Cost'!H8+'Richlands Pig Cost'!H8+'Porta Pig Cost'!H8</f>
        <v>0</v>
      </c>
      <c r="I8" s="1057">
        <f>+'Grasmere Pig Cost'!I8+'Learig Pig Cost'!I8+'Lionhead Pig Cost'!I8+'Lionhead Ext. Pig Cost'!I8+'Villa Pig Cost'!I8+'Richlands Pig Cost'!I8+'Porta Pig Cost'!I8</f>
        <v>0</v>
      </c>
      <c r="J8" s="1057">
        <f>+'Grasmere Pig Cost'!J8+'Learig Pig Cost'!J8+'Lionhead Pig Cost'!J8+'Lionhead Ext. Pig Cost'!J8+'Villa Pig Cost'!J8+'Richlands Pig Cost'!J8+'Porta Pig Cost'!J8</f>
        <v>0</v>
      </c>
      <c r="K8" s="1057">
        <f>+'Grasmere Pig Cost'!K8+'Learig Pig Cost'!K8+'Lionhead Pig Cost'!K8+'Lionhead Ext. Pig Cost'!K8+'Villa Pig Cost'!K8+'Richlands Pig Cost'!K8+'Porta Pig Cost'!K8+'Multiplier Pig Cost '!K8</f>
        <v>0</v>
      </c>
      <c r="L8" s="1057">
        <f>+'Grasmere Pig Cost'!L8+'Learig Pig Cost'!L8+'Lionhead Pig Cost'!L8+'Lionhead Ext. Pig Cost'!L8+'Villa Pig Cost'!L8+'Richlands Pig Cost'!L8+'Porta Pig Cost'!L8+'Multiplier Pig Cost '!L8</f>
        <v>0</v>
      </c>
      <c r="M8" s="1057">
        <f>+'Grasmere Pig Cost'!M8+'Learig Pig Cost'!M8+'Lionhead Pig Cost'!M8+'Lionhead Ext. Pig Cost'!M8+'Villa Pig Cost'!M8+'Richlands Pig Cost'!M8+'Porta Pig Cost'!M8+'Multiplier Pig Cost '!M8</f>
        <v>0</v>
      </c>
      <c r="N8" s="1057">
        <f>+'Grasmere Pig Cost'!N8+'Learig Pig Cost'!N8+'Lionhead Pig Cost'!N8+'Lionhead Ext. Pig Cost'!N8+'Villa Pig Cost'!N8+'Richlands Pig Cost'!N8+'Porta Pig Cost'!N8+'Multiplier Pig Cost '!N8</f>
        <v>0</v>
      </c>
      <c r="O8" s="1057">
        <f>+'Grasmere Pig Cost'!O8+'Learig Pig Cost'!O8+'Lionhead Pig Cost'!O8+'Lionhead Ext. Pig Cost'!O8+'Villa Pig Cost'!O8+'Richlands Pig Cost'!O8+'Porta Pig Cost'!O8+'Multiplier Pig Cost '!O8</f>
        <v>0</v>
      </c>
      <c r="P8" s="1057">
        <f>+'Grasmere Pig Cost'!P8+'Learig Pig Cost'!P8+'Lionhead Pig Cost'!P8+'Lionhead Ext. Pig Cost'!P8+'Villa Pig Cost'!P8+'Richlands Pig Cost'!P8+'Porta Pig Cost'!P8+'Multiplier Pig Cost '!P8</f>
        <v>0</v>
      </c>
      <c r="Q8" s="1057">
        <f>+'Grasmere Pig Cost'!Q8+'Learig Pig Cost'!Q8+'Lionhead Pig Cost'!Q8+'Lionhead Ext. Pig Cost'!Q8+'Villa Pig Cost'!Q8+'Richlands Pig Cost'!Q8+'Porta Pig Cost'!Q8+'Multiplier Pig Cost '!Q8</f>
        <v>0</v>
      </c>
      <c r="R8" s="1057">
        <f>+'Grasmere Pig Cost'!R8+'Learig Pig Cost'!R8+'Lionhead Pig Cost'!R8+'Lionhead Ext. Pig Cost'!R8+'Villa Pig Cost'!R8+'Richlands Pig Cost'!R8+'Porta Pig Cost'!R8+'Multiplier Pig Cost '!R8</f>
        <v>0</v>
      </c>
      <c r="S8" s="1057">
        <f>+'Grasmere Pig Cost'!S8+'Learig Pig Cost'!S8+'Lionhead Pig Cost'!S8+'Lionhead Ext. Pig Cost'!S8+'Villa Pig Cost'!S8+'Richlands Pig Cost'!S8+'Porta Pig Cost'!S8+'Multiplier Pig Cost '!S8</f>
        <v>2441</v>
      </c>
      <c r="T8" s="1057">
        <f>+'Grasmere Pig Cost'!T8+'Learig Pig Cost'!T8+'Lionhead Pig Cost'!T8+'Lionhead Ext. Pig Cost'!T8+'Villa Pig Cost'!T8+'Richlands Pig Cost'!T8+'Porta Pig Cost'!T8+'Multiplier Pig Cost '!T8</f>
        <v>4383</v>
      </c>
      <c r="U8" s="1057">
        <f>+'Grasmere Pig Cost'!U8+'Learig Pig Cost'!U8+'Lionhead Pig Cost'!U8+'Lionhead Ext. Pig Cost'!U8+'Villa Pig Cost'!U8+'Richlands Pig Cost'!U8+'Porta Pig Cost'!U8+'Multiplier Pig Cost '!U8</f>
        <v>4274</v>
      </c>
      <c r="V8" s="1057">
        <f>+'Grasmere Pig Cost'!V8+'Learig Pig Cost'!V8+'Lionhead Pig Cost'!V8+'Lionhead Ext. Pig Cost'!V8+'Villa Pig Cost'!V8+'Richlands Pig Cost'!V8+'Porta Pig Cost'!V8+'Multiplier Pig Cost '!V8</f>
        <v>4354</v>
      </c>
      <c r="W8" s="1057">
        <f>+'Grasmere Pig Cost'!W8+'Learig Pig Cost'!W8+'Lionhead Pig Cost'!W8+'Lionhead Ext. Pig Cost'!W8+'Villa Pig Cost'!W8+'Richlands Pig Cost'!W8+'Porta Pig Cost'!W8+'Multiplier Pig Cost '!W8</f>
        <v>1639</v>
      </c>
      <c r="X8" s="1057">
        <f>+'Grasmere Pig Cost'!X8+'Learig Pig Cost'!X8+'Lionhead Pig Cost'!X8+'Lionhead Ext. Pig Cost'!X8+'Villa Pig Cost'!X8+'Richlands Pig Cost'!X8+'Porta Pig Cost'!X8+'Multiplier Pig Cost '!X8</f>
        <v>0</v>
      </c>
      <c r="Y8" s="1057">
        <f>+'Grasmere Pig Cost'!Y8+'Learig Pig Cost'!Y8+'Lionhead Pig Cost'!Y8+'Lionhead Ext. Pig Cost'!Y8+'Villa Pig Cost'!Y8+'Richlands Pig Cost'!Y8+'Porta Pig Cost'!Y8+'Multiplier Pig Cost '!Y8</f>
        <v>0</v>
      </c>
      <c r="Z8" s="1057">
        <f>+'Grasmere Pig Cost'!Z8+'Learig Pig Cost'!Z8+'Lionhead Pig Cost'!Z8+'Lionhead Ext. Pig Cost'!Z8+'Villa Pig Cost'!Z8+'Richlands Pig Cost'!Z8+'Porta Pig Cost'!Z8+'Multiplier Pig Cost '!Z8</f>
        <v>0</v>
      </c>
      <c r="AA8" s="1057">
        <f>+'Grasmere Pig Cost'!AA8+'Learig Pig Cost'!AA8+'Lionhead Pig Cost'!AA8+'Lionhead Ext. Pig Cost'!AA8+'Villa Pig Cost'!AA8+'Richlands Pig Cost'!AA8+'Porta Pig Cost'!AA8+'Multiplier Pig Cost '!AA8</f>
        <v>0</v>
      </c>
      <c r="AB8" s="1057">
        <f>+'Grasmere Pig Cost'!AB8+'Learig Pig Cost'!AB8+'Lionhead Pig Cost'!AB8+'Lionhead Ext. Pig Cost'!AB8+'Villa Pig Cost'!AB8+'Richlands Pig Cost'!AB8+'Porta Pig Cost'!AB8+'Multiplier Pig Cost '!AB8</f>
        <v>0</v>
      </c>
      <c r="AC8" s="1057">
        <f>+'Grasmere Pig Cost'!AC8+'Learig Pig Cost'!AC8+'Lionhead Pig Cost'!AC8+'Lionhead Ext. Pig Cost'!AC8+'Villa Pig Cost'!AC8+'Richlands Pig Cost'!AC8+'Porta Pig Cost'!AC8+'Multiplier Pig Cost '!AC8</f>
        <v>0</v>
      </c>
      <c r="AD8" s="1057">
        <f>+'Grasmere Pig Cost'!AD8+'Learig Pig Cost'!AD8+'Lionhead Pig Cost'!AD8+'Lionhead Ext. Pig Cost'!AD8+'Villa Pig Cost'!AD8+'Richlands Pig Cost'!AD8+'Porta Pig Cost'!AD8+'Multiplier Pig Cost '!AD8</f>
        <v>0</v>
      </c>
      <c r="AE8" s="1057">
        <f>+'Grasmere Pig Cost'!AE8+'Learig Pig Cost'!AE8+'Lionhead Pig Cost'!AE8+'Lionhead Ext. Pig Cost'!AE8+'Villa Pig Cost'!AE8+'Richlands Pig Cost'!AE8+'Porta Pig Cost'!AE8+'Multiplier Pig Cost '!AE8</f>
        <v>0</v>
      </c>
      <c r="AF8" s="1057">
        <f>+'Grasmere Pig Cost'!AF8+'Learig Pig Cost'!AF8+'Lionhead Pig Cost'!AF8+'Lionhead Ext. Pig Cost'!AF8+'Villa Pig Cost'!AF8+'Richlands Pig Cost'!AF8+'Porta Pig Cost'!AF8+'Multiplier Pig Cost '!AF8</f>
        <v>0</v>
      </c>
      <c r="AG8" s="1057">
        <f>+'Grasmere Pig Cost'!AG8+'Learig Pig Cost'!AG8+'Lionhead Pig Cost'!AG8+'Lionhead Ext. Pig Cost'!AG8+'Villa Pig Cost'!AG8+'Richlands Pig Cost'!AG8+'Porta Pig Cost'!AG8+'Multiplier Pig Cost '!AG8</f>
        <v>0</v>
      </c>
      <c r="AH8" s="1057">
        <f>+'Grasmere Pig Cost'!AH8+'Learig Pig Cost'!AH8+'Lionhead Pig Cost'!AH8+'Lionhead Ext. Pig Cost'!AH8+'Villa Pig Cost'!AH8+'Richlands Pig Cost'!AH8+'Porta Pig Cost'!AH8+'Multiplier Pig Cost '!AH8</f>
        <v>0</v>
      </c>
      <c r="AI8" s="1057">
        <f>+'Grasmere Pig Cost'!AI8+'Learig Pig Cost'!AI8+'Lionhead Pig Cost'!AI8+'Lionhead Ext. Pig Cost'!AI8+'Villa Pig Cost'!AI8+'Richlands Pig Cost'!AI8+'Porta Pig Cost'!AI8+'Multiplier Pig Cost '!AI8</f>
        <v>0</v>
      </c>
      <c r="AJ8" s="1057">
        <f>+'Grasmere Pig Cost'!AJ8+'Learig Pig Cost'!AJ8+'Lionhead Pig Cost'!AJ8+'Lionhead Ext. Pig Cost'!AJ8+'Villa Pig Cost'!AJ8+'Richlands Pig Cost'!AJ8+'Porta Pig Cost'!AJ8+'Multiplier Pig Cost '!AJ8</f>
        <v>0</v>
      </c>
      <c r="AK8" s="1057">
        <f>+'Grasmere Pig Cost'!AK8+'Learig Pig Cost'!AK8+'Lionhead Pig Cost'!AK8+'Lionhead Ext. Pig Cost'!AK8+'Villa Pig Cost'!AK8+'Richlands Pig Cost'!AK8+'Porta Pig Cost'!AK8+'Multiplier Pig Cost '!AK8</f>
        <v>0</v>
      </c>
      <c r="AL8" s="1057">
        <f>+'Grasmere Pig Cost'!AL8+'Learig Pig Cost'!AL8+'Lionhead Pig Cost'!AL8+'Lionhead Ext. Pig Cost'!AL8+'Villa Pig Cost'!AL8+'Richlands Pig Cost'!AL8+'Porta Pig Cost'!AL8+'Multiplier Pig Cost '!AL8</f>
        <v>0</v>
      </c>
      <c r="AM8" s="1057">
        <f>+'Grasmere Pig Cost'!AM8+'Learig Pig Cost'!AM8+'Lionhead Pig Cost'!AM8+'Lionhead Ext. Pig Cost'!AM8+'Villa Pig Cost'!AM8+'Richlands Pig Cost'!AM8+'Porta Pig Cost'!AM8+'Multiplier Pig Cost '!AM8</f>
        <v>0</v>
      </c>
      <c r="AN8" s="1057">
        <f>+'Grasmere Pig Cost'!AN8+'Learig Pig Cost'!AN8+'Lionhead Pig Cost'!AN8+'Lionhead Ext. Pig Cost'!AN8+'Villa Pig Cost'!AN8+'Richlands Pig Cost'!AN8+'Porta Pig Cost'!AN8+'Multiplier Pig Cost '!AN8</f>
        <v>0</v>
      </c>
      <c r="AO8" s="1057">
        <f>+'Grasmere Pig Cost'!AO8+'Learig Pig Cost'!AO8+'Lionhead Pig Cost'!AO8+'Lionhead Ext. Pig Cost'!AO8+'Villa Pig Cost'!AO8+'Richlands Pig Cost'!AO8+'Porta Pig Cost'!AO8+'Multiplier Pig Cost '!AO8</f>
        <v>0</v>
      </c>
      <c r="AP8" s="1057">
        <f>+'Grasmere Pig Cost'!AP8+'Learig Pig Cost'!AP8+'Lionhead Pig Cost'!AP8+'Lionhead Ext. Pig Cost'!AP8+'Villa Pig Cost'!AP8+'Richlands Pig Cost'!AP8+'Porta Pig Cost'!AP8+'Multiplier Pig Cost '!AP8</f>
        <v>0</v>
      </c>
      <c r="AQ8" s="1057">
        <f>+'Grasmere Pig Cost'!AQ8+'Learig Pig Cost'!AQ8+'Lionhead Pig Cost'!AQ8+'Lionhead Ext. Pig Cost'!AQ8+'Villa Pig Cost'!AQ8+'Richlands Pig Cost'!AQ8+'Porta Pig Cost'!AQ8+'Multiplier Pig Cost '!AQ8</f>
        <v>0</v>
      </c>
      <c r="AR8" s="1057">
        <f>+'Grasmere Pig Cost'!AR8+'Learig Pig Cost'!AR8+'Lionhead Pig Cost'!AR8+'Lionhead Ext. Pig Cost'!AR8+'Villa Pig Cost'!AR8+'Richlands Pig Cost'!AR8+'Porta Pig Cost'!AR8+'Multiplier Pig Cost '!AR8</f>
        <v>0</v>
      </c>
      <c r="AS8" s="1057">
        <f>+'Grasmere Pig Cost'!AS8+'Learig Pig Cost'!AS8+'Lionhead Pig Cost'!AS8+'Lionhead Ext. Pig Cost'!AS8+'Villa Pig Cost'!AS8+'Richlands Pig Cost'!AS8+'Porta Pig Cost'!AS8+'Multiplier Pig Cost '!AS8</f>
        <v>0</v>
      </c>
      <c r="AT8" s="1057">
        <f>+'Grasmere Pig Cost'!AT8+'Learig Pig Cost'!AT8+'Lionhead Pig Cost'!AT8+'Lionhead Ext. Pig Cost'!AT8+'Villa Pig Cost'!AT8+'Richlands Pig Cost'!AT8+'Porta Pig Cost'!AT8+'Multiplier Pig Cost '!AT8</f>
        <v>0</v>
      </c>
      <c r="AU8" s="1057">
        <f t="shared" ref="AU8:AU13" si="5">SUM(B8:AT8)</f>
        <v>17091</v>
      </c>
      <c r="AV8" s="1057">
        <f>SUM('Summary Total Pigs'!J186)</f>
        <v>17091</v>
      </c>
      <c r="AW8" s="818">
        <f>+AU8-AV8</f>
        <v>0</v>
      </c>
      <c r="AX8" s="818"/>
    </row>
    <row r="9" spans="1:50" ht="15.6">
      <c r="A9" s="1066" t="s">
        <v>212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>
        <f>+'Grasmere Pig Cost'!K9+'Learig Pig Cost'!K9+'Lionhead Pig Cost'!K9+'Lionhead Ext. Pig Cost'!K9+'Villa Pig Cost'!K9+'Richlands Pig Cost'!K9+'Porta Pig Cost'!K9+'Multiplier Pig Cost '!K9</f>
        <v>0</v>
      </c>
      <c r="L9" s="1057">
        <f>+'Grasmere Pig Cost'!L9+'Learig Pig Cost'!L9+'Lionhead Pig Cost'!L9+'Lionhead Ext. Pig Cost'!L9+'Villa Pig Cost'!L9+'Richlands Pig Cost'!L9+'Porta Pig Cost'!L9+'Multiplier Pig Cost '!L9</f>
        <v>0</v>
      </c>
      <c r="M9" s="1057">
        <f>+'Grasmere Pig Cost'!M9+'Learig Pig Cost'!M9+'Lionhead Pig Cost'!M9+'Lionhead Ext. Pig Cost'!M9+'Villa Pig Cost'!M9+'Richlands Pig Cost'!M9+'Porta Pig Cost'!M9+'Multiplier Pig Cost '!M9</f>
        <v>0</v>
      </c>
      <c r="N9" s="1057">
        <f>+'Grasmere Pig Cost'!N9+'Learig Pig Cost'!N9+'Lionhead Pig Cost'!N9+'Lionhead Ext. Pig Cost'!N9+'Villa Pig Cost'!N9+'Richlands Pig Cost'!N9+'Porta Pig Cost'!N9+'Multiplier Pig Cost '!N9</f>
        <v>0</v>
      </c>
      <c r="O9" s="1057">
        <f>+'Grasmere Pig Cost'!O9+'Learig Pig Cost'!O9+'Lionhead Pig Cost'!O9+'Lionhead Ext. Pig Cost'!O9+'Villa Pig Cost'!O9+'Richlands Pig Cost'!O9+'Porta Pig Cost'!O9+'Multiplier Pig Cost '!O9</f>
        <v>0</v>
      </c>
      <c r="P9" s="1057">
        <f>+'Grasmere Pig Cost'!P9+'Learig Pig Cost'!P9+'Lionhead Pig Cost'!P9+'Lionhead Ext. Pig Cost'!P9+'Villa Pig Cost'!P9+'Richlands Pig Cost'!P9+'Porta Pig Cost'!P9+'Multiplier Pig Cost '!P9</f>
        <v>0</v>
      </c>
      <c r="Q9" s="1057">
        <f>+'Grasmere Pig Cost'!Q9+'Learig Pig Cost'!Q9+'Lionhead Pig Cost'!Q9+'Lionhead Ext. Pig Cost'!Q9+'Villa Pig Cost'!Q9+'Richlands Pig Cost'!Q9+'Porta Pig Cost'!Q9+'Multiplier Pig Cost '!Q9</f>
        <v>0</v>
      </c>
      <c r="R9" s="1057">
        <f>+'Grasmere Pig Cost'!R9+'Learig Pig Cost'!R9+'Lionhead Pig Cost'!R9+'Lionhead Ext. Pig Cost'!R9+'Villa Pig Cost'!R9+'Richlands Pig Cost'!R9+'Porta Pig Cost'!R9+'Multiplier Pig Cost '!R9</f>
        <v>0</v>
      </c>
      <c r="S9" s="1057">
        <f>+'Grasmere Pig Cost'!S9+'Learig Pig Cost'!S9+'Lionhead Pig Cost'!S9+'Lionhead Ext. Pig Cost'!S9+'Villa Pig Cost'!S9+'Richlands Pig Cost'!S9+'Porta Pig Cost'!S9+'Multiplier Pig Cost '!S9</f>
        <v>13</v>
      </c>
      <c r="T9" s="1057">
        <f>+'Grasmere Pig Cost'!T9+'Learig Pig Cost'!T9+'Lionhead Pig Cost'!T9+'Lionhead Ext. Pig Cost'!T9+'Villa Pig Cost'!T9+'Richlands Pig Cost'!T9+'Porta Pig Cost'!T9+'Multiplier Pig Cost '!T9</f>
        <v>9</v>
      </c>
      <c r="U9" s="1057">
        <f>+'Grasmere Pig Cost'!U9+'Learig Pig Cost'!U9+'Lionhead Pig Cost'!U9+'Lionhead Ext. Pig Cost'!U9+'Villa Pig Cost'!U9+'Richlands Pig Cost'!U9+'Porta Pig Cost'!U9+'Multiplier Pig Cost '!U9</f>
        <v>1</v>
      </c>
      <c r="V9" s="1057">
        <f>+'Grasmere Pig Cost'!V9+'Learig Pig Cost'!V9+'Lionhead Pig Cost'!V9+'Lionhead Ext. Pig Cost'!V9+'Villa Pig Cost'!V9+'Richlands Pig Cost'!V9+'Porta Pig Cost'!V9+'Multiplier Pig Cost '!V9</f>
        <v>19</v>
      </c>
      <c r="W9" s="1057">
        <f>+'Grasmere Pig Cost'!W9+'Learig Pig Cost'!W9+'Lionhead Pig Cost'!W9+'Lionhead Ext. Pig Cost'!W9+'Villa Pig Cost'!W9+'Richlands Pig Cost'!W9+'Porta Pig Cost'!W9+'Multiplier Pig Cost '!W9</f>
        <v>77</v>
      </c>
      <c r="X9" s="1057">
        <f>+'Grasmere Pig Cost'!X9+'Learig Pig Cost'!X9+'Lionhead Pig Cost'!X9+'Lionhead Ext. Pig Cost'!X9+'Villa Pig Cost'!X9+'Richlands Pig Cost'!X9+'Porta Pig Cost'!X9+'Multiplier Pig Cost '!X9</f>
        <v>81</v>
      </c>
      <c r="Y9" s="1057">
        <f>+'Grasmere Pig Cost'!Y9+'Learig Pig Cost'!Y9+'Lionhead Pig Cost'!Y9+'Lionhead Ext. Pig Cost'!Y9+'Villa Pig Cost'!Y9+'Richlands Pig Cost'!Y9+'Porta Pig Cost'!Y9+'Multiplier Pig Cost '!Y9</f>
        <v>56</v>
      </c>
      <c r="Z9" s="1057">
        <f>+'Grasmere Pig Cost'!Z9+'Learig Pig Cost'!Z9+'Lionhead Pig Cost'!Z9+'Lionhead Ext. Pig Cost'!Z9+'Villa Pig Cost'!Z9+'Richlands Pig Cost'!Z9+'Porta Pig Cost'!Z9+'Multiplier Pig Cost '!Z9</f>
        <v>77</v>
      </c>
      <c r="AA9" s="1057">
        <f>+'Grasmere Pig Cost'!AA9+'Learig Pig Cost'!AA9+'Lionhead Pig Cost'!AA9+'Lionhead Ext. Pig Cost'!AA9+'Villa Pig Cost'!AA9+'Richlands Pig Cost'!AA9+'Porta Pig Cost'!AA9+'Multiplier Pig Cost '!AA9</f>
        <v>0</v>
      </c>
      <c r="AB9" s="1057">
        <f>+'Grasmere Pig Cost'!AB9+'Learig Pig Cost'!AB9+'Lionhead Pig Cost'!AB9+'Lionhead Ext. Pig Cost'!AB9+'Villa Pig Cost'!AB9+'Richlands Pig Cost'!AB9+'Porta Pig Cost'!AB9+'Multiplier Pig Cost '!AB9</f>
        <v>0</v>
      </c>
      <c r="AC9" s="1057">
        <f>+'Grasmere Pig Cost'!AC9+'Learig Pig Cost'!AC9+'Lionhead Pig Cost'!AC9+'Lionhead Ext. Pig Cost'!AC9+'Villa Pig Cost'!AC9+'Richlands Pig Cost'!AC9+'Porta Pig Cost'!AC9+'Multiplier Pig Cost '!AC9</f>
        <v>0</v>
      </c>
      <c r="AD9" s="1057">
        <f>+'Grasmere Pig Cost'!AD9+'Learig Pig Cost'!AD9+'Lionhead Pig Cost'!AD9+'Lionhead Ext. Pig Cost'!AD9+'Villa Pig Cost'!AD9+'Richlands Pig Cost'!AD9+'Porta Pig Cost'!AD9+'Multiplier Pig Cost '!AD9</f>
        <v>0</v>
      </c>
      <c r="AE9" s="1057">
        <f>+'Grasmere Pig Cost'!AE9+'Learig Pig Cost'!AE9+'Lionhead Pig Cost'!AE9+'Lionhead Ext. Pig Cost'!AE9+'Villa Pig Cost'!AE9+'Richlands Pig Cost'!AE9+'Porta Pig Cost'!AE9+'Multiplier Pig Cost '!AE9</f>
        <v>0</v>
      </c>
      <c r="AF9" s="1057">
        <f>+'Grasmere Pig Cost'!AF9+'Learig Pig Cost'!AF9+'Lionhead Pig Cost'!AF9+'Lionhead Ext. Pig Cost'!AF9+'Villa Pig Cost'!AF9+'Richlands Pig Cost'!AF9+'Porta Pig Cost'!AF9+'Multiplier Pig Cost '!AF9</f>
        <v>0</v>
      </c>
      <c r="AG9" s="1057">
        <f>+'Grasmere Pig Cost'!AG9+'Learig Pig Cost'!AG9+'Lionhead Pig Cost'!AG9+'Lionhead Ext. Pig Cost'!AG9+'Villa Pig Cost'!AG9+'Richlands Pig Cost'!AG9+'Porta Pig Cost'!AG9+'Multiplier Pig Cost '!AG9</f>
        <v>0</v>
      </c>
      <c r="AH9" s="1057">
        <f>+'Grasmere Pig Cost'!AH9+'Learig Pig Cost'!AH9+'Lionhead Pig Cost'!AH9+'Lionhead Ext. Pig Cost'!AH9+'Villa Pig Cost'!AH9+'Richlands Pig Cost'!AH9+'Porta Pig Cost'!AH9+'Multiplier Pig Cost '!AH9</f>
        <v>0</v>
      </c>
      <c r="AI9" s="1057">
        <f>+'Grasmere Pig Cost'!AI9+'Learig Pig Cost'!AI9+'Lionhead Pig Cost'!AI9+'Lionhead Ext. Pig Cost'!AI9+'Villa Pig Cost'!AI9+'Richlands Pig Cost'!AI9+'Porta Pig Cost'!AI9+'Multiplier Pig Cost '!AI9</f>
        <v>0</v>
      </c>
      <c r="AJ9" s="1057">
        <f>+'Grasmere Pig Cost'!AJ9+'Learig Pig Cost'!AJ9+'Lionhead Pig Cost'!AJ9+'Lionhead Ext. Pig Cost'!AJ9+'Villa Pig Cost'!AJ9+'Richlands Pig Cost'!AJ9+'Porta Pig Cost'!AJ9+'Multiplier Pig Cost '!AJ9</f>
        <v>0</v>
      </c>
      <c r="AK9" s="1057">
        <f>+'Grasmere Pig Cost'!AK9+'Learig Pig Cost'!AK9+'Lionhead Pig Cost'!AK9+'Lionhead Ext. Pig Cost'!AK9+'Villa Pig Cost'!AK9+'Richlands Pig Cost'!AK9+'Porta Pig Cost'!AK9+'Multiplier Pig Cost '!AK9</f>
        <v>0</v>
      </c>
      <c r="AL9" s="1057">
        <f>+'Grasmere Pig Cost'!AL9+'Learig Pig Cost'!AL9+'Lionhead Pig Cost'!AL9+'Lionhead Ext. Pig Cost'!AL9+'Villa Pig Cost'!AL9+'Richlands Pig Cost'!AL9+'Porta Pig Cost'!AL9+'Multiplier Pig Cost '!AL9</f>
        <v>0</v>
      </c>
      <c r="AM9" s="1057">
        <f>+'Grasmere Pig Cost'!AM9+'Learig Pig Cost'!AM9+'Lionhead Pig Cost'!AM9+'Lionhead Ext. Pig Cost'!AM9+'Villa Pig Cost'!AM9+'Richlands Pig Cost'!AM9+'Porta Pig Cost'!AM9+'Multiplier Pig Cost '!AM9</f>
        <v>0</v>
      </c>
      <c r="AN9" s="1057">
        <f>+'Grasmere Pig Cost'!AN9+'Learig Pig Cost'!AN9+'Lionhead Pig Cost'!AN9+'Lionhead Ext. Pig Cost'!AN9+'Villa Pig Cost'!AN9+'Richlands Pig Cost'!AN9+'Porta Pig Cost'!AN9+'Multiplier Pig Cost '!AN9</f>
        <v>5</v>
      </c>
      <c r="AO9" s="1057">
        <f>+'Grasmere Pig Cost'!AO9+'Learig Pig Cost'!AO9+'Lionhead Pig Cost'!AO9+'Lionhead Ext. Pig Cost'!AO9+'Villa Pig Cost'!AO9+'Richlands Pig Cost'!AO9+'Porta Pig Cost'!AO9+'Multiplier Pig Cost '!AO9</f>
        <v>41</v>
      </c>
      <c r="AP9" s="1057">
        <f>+'Grasmere Pig Cost'!AP9+'Learig Pig Cost'!AP9+'Lionhead Pig Cost'!AP9+'Lionhead Ext. Pig Cost'!AP9+'Villa Pig Cost'!AP9+'Richlands Pig Cost'!AP9+'Porta Pig Cost'!AP9+'Multiplier Pig Cost '!AP9</f>
        <v>6</v>
      </c>
      <c r="AQ9" s="1057">
        <f>+'Grasmere Pig Cost'!AQ9+'Learig Pig Cost'!AQ9+'Lionhead Pig Cost'!AQ9+'Lionhead Ext. Pig Cost'!AQ9+'Villa Pig Cost'!AQ9+'Richlands Pig Cost'!AQ9+'Porta Pig Cost'!AQ9+'Multiplier Pig Cost '!AQ9</f>
        <v>0</v>
      </c>
      <c r="AR9" s="1057">
        <f>+'Grasmere Pig Cost'!AR9+'Learig Pig Cost'!AR9+'Lionhead Pig Cost'!AR9+'Lionhead Ext. Pig Cost'!AR9+'Villa Pig Cost'!AR9+'Richlands Pig Cost'!AR9+'Porta Pig Cost'!AR9+'Multiplier Pig Cost '!AR9</f>
        <v>0</v>
      </c>
      <c r="AS9" s="1057">
        <f>+'Grasmere Pig Cost'!AS9+'Learig Pig Cost'!AS9+'Lionhead Pig Cost'!AS9+'Lionhead Ext. Pig Cost'!AS9+'Villa Pig Cost'!AS9+'Richlands Pig Cost'!AS9+'Porta Pig Cost'!AS9+'Multiplier Pig Cost '!AS9</f>
        <v>0</v>
      </c>
      <c r="AT9" s="1057">
        <f>+'Grasmere Pig Cost'!AT9+'Learig Pig Cost'!AT9+'Lionhead Pig Cost'!AT9+'Lionhead Ext. Pig Cost'!AT9+'Villa Pig Cost'!AT9+'Richlands Pig Cost'!AT9+'Porta Pig Cost'!AT9+'Multiplier Pig Cost '!AT9</f>
        <v>0</v>
      </c>
      <c r="AU9" s="1057">
        <f t="shared" si="5"/>
        <v>385</v>
      </c>
      <c r="AV9" s="1057">
        <f>+'Grasmere Pig Cost'!AV9+'Learig Pig Cost'!AV9+'Lionhead Pig Cost'!AV9+'Lionhead Ext. Pig Cost'!AV9+'Villa Pig Cost'!AV9+'Richlands Pig Cost'!AV9+'Porta Pig Cost'!AV9+'Multiplier Pig Cost '!AV9</f>
        <v>27419</v>
      </c>
      <c r="AW9" s="818"/>
      <c r="AX9" s="818"/>
    </row>
    <row r="10" spans="1:50" ht="15.6">
      <c r="A10" s="1066" t="s">
        <v>1788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>
        <f>+'Grasmere Pig Cost'!K10+'Learig Pig Cost'!K10+'Lionhead Pig Cost'!K10+'Lionhead Ext. Pig Cost'!K10+'Villa Pig Cost'!K10+'Richlands Pig Cost'!K10+'Porta Pig Cost'!K10+'Multiplier Pig Cost '!K10</f>
        <v>0</v>
      </c>
      <c r="L10" s="1057">
        <f>+'Grasmere Pig Cost'!L10+'Learig Pig Cost'!L10+'Lionhead Pig Cost'!L10+'Lionhead Ext. Pig Cost'!L10+'Villa Pig Cost'!L10+'Richlands Pig Cost'!L10+'Porta Pig Cost'!L10+'Multiplier Pig Cost '!L10</f>
        <v>0</v>
      </c>
      <c r="M10" s="1057">
        <f>+'Grasmere Pig Cost'!M10+'Learig Pig Cost'!M10+'Lionhead Pig Cost'!M10+'Lionhead Ext. Pig Cost'!M10+'Villa Pig Cost'!M10+'Richlands Pig Cost'!M10+'Porta Pig Cost'!M10+'Multiplier Pig Cost '!M10</f>
        <v>0</v>
      </c>
      <c r="N10" s="1057">
        <f>+'Grasmere Pig Cost'!N10+'Learig Pig Cost'!N10+'Lionhead Pig Cost'!N10+'Lionhead Ext. Pig Cost'!N10+'Villa Pig Cost'!N10+'Richlands Pig Cost'!N10+'Porta Pig Cost'!N10+'Multiplier Pig Cost '!N10</f>
        <v>0</v>
      </c>
      <c r="O10" s="1057">
        <f>+'Grasmere Pig Cost'!O10+'Learig Pig Cost'!O10+'Lionhead Pig Cost'!O10+'Lionhead Ext. Pig Cost'!O10+'Villa Pig Cost'!O10+'Richlands Pig Cost'!O10+'Porta Pig Cost'!O10+'Multiplier Pig Cost '!O10</f>
        <v>0</v>
      </c>
      <c r="P10" s="1057">
        <f>+'Grasmere Pig Cost'!P10+'Learig Pig Cost'!P10+'Lionhead Pig Cost'!P10+'Lionhead Ext. Pig Cost'!P10+'Villa Pig Cost'!P10+'Richlands Pig Cost'!P10+'Porta Pig Cost'!P10+'Multiplier Pig Cost '!P10</f>
        <v>0</v>
      </c>
      <c r="Q10" s="1057">
        <f>+'Grasmere Pig Cost'!Q10+'Learig Pig Cost'!Q10+'Lionhead Pig Cost'!Q10+'Lionhead Ext. Pig Cost'!Q10+'Villa Pig Cost'!Q10+'Richlands Pig Cost'!Q10+'Porta Pig Cost'!Q10+'Multiplier Pig Cost '!Q10</f>
        <v>0</v>
      </c>
      <c r="R10" s="1057">
        <f>+'Grasmere Pig Cost'!R10+'Learig Pig Cost'!R10+'Lionhead Pig Cost'!R10+'Lionhead Ext. Pig Cost'!R10+'Villa Pig Cost'!R10+'Richlands Pig Cost'!R10+'Porta Pig Cost'!R10+'Multiplier Pig Cost '!R10</f>
        <v>0</v>
      </c>
      <c r="S10" s="1057">
        <f>+'Grasmere Pig Cost'!S10+'Learig Pig Cost'!S10+'Lionhead Pig Cost'!S10+'Lionhead Ext. Pig Cost'!S10+'Villa Pig Cost'!S10+'Richlands Pig Cost'!S10+'Porta Pig Cost'!S10+'Multiplier Pig Cost '!S10</f>
        <v>0</v>
      </c>
      <c r="T10" s="1057">
        <f>+'Grasmere Pig Cost'!T10+'Learig Pig Cost'!T10+'Lionhead Pig Cost'!T10+'Lionhead Ext. Pig Cost'!T10+'Villa Pig Cost'!T10+'Richlands Pig Cost'!T10+'Porta Pig Cost'!T10+'Multiplier Pig Cost '!T10</f>
        <v>-14</v>
      </c>
      <c r="U10" s="1057">
        <f>+'Grasmere Pig Cost'!U10+'Learig Pig Cost'!U10+'Lionhead Pig Cost'!U10+'Lionhead Ext. Pig Cost'!U10+'Villa Pig Cost'!U10+'Richlands Pig Cost'!U10+'Porta Pig Cost'!U10+'Multiplier Pig Cost '!U10</f>
        <v>-25</v>
      </c>
      <c r="V10" s="1057">
        <f>+'Grasmere Pig Cost'!V10+'Learig Pig Cost'!V10+'Lionhead Pig Cost'!V10+'Lionhead Ext. Pig Cost'!V10+'Villa Pig Cost'!V10+'Richlands Pig Cost'!V10+'Porta Pig Cost'!V10+'Multiplier Pig Cost '!V10</f>
        <v>-75</v>
      </c>
      <c r="W10" s="1057">
        <f>+'Grasmere Pig Cost'!W10+'Learig Pig Cost'!W10+'Lionhead Pig Cost'!W10+'Lionhead Ext. Pig Cost'!W10+'Villa Pig Cost'!W10+'Richlands Pig Cost'!W10+'Porta Pig Cost'!W10+'Multiplier Pig Cost '!W10</f>
        <v>-81</v>
      </c>
      <c r="X10" s="1057">
        <f>+'Grasmere Pig Cost'!X10+'Learig Pig Cost'!X10+'Lionhead Pig Cost'!X10+'Lionhead Ext. Pig Cost'!X10+'Villa Pig Cost'!X10+'Richlands Pig Cost'!X10+'Porta Pig Cost'!X10+'Multiplier Pig Cost '!X10</f>
        <v>-86</v>
      </c>
      <c r="Y10" s="1057">
        <f>+'Grasmere Pig Cost'!Y10+'Learig Pig Cost'!Y10+'Lionhead Pig Cost'!Y10+'Lionhead Ext. Pig Cost'!Y10+'Villa Pig Cost'!Y10+'Richlands Pig Cost'!Y10+'Porta Pig Cost'!Y10+'Multiplier Pig Cost '!Y10</f>
        <v>-20</v>
      </c>
      <c r="Z10" s="1057">
        <f>+'Grasmere Pig Cost'!Z10+'Learig Pig Cost'!Z10+'Lionhead Pig Cost'!Z10+'Lionhead Ext. Pig Cost'!Z10+'Villa Pig Cost'!Z10+'Richlands Pig Cost'!Z10+'Porta Pig Cost'!Z10+'Multiplier Pig Cost '!Z10</f>
        <v>-32</v>
      </c>
      <c r="AA10" s="1057">
        <f>+'Grasmere Pig Cost'!AA10+'Learig Pig Cost'!AA10+'Lionhead Pig Cost'!AA10+'Lionhead Ext. Pig Cost'!AA10+'Villa Pig Cost'!AA10+'Richlands Pig Cost'!AA10+'Porta Pig Cost'!AA10+'Multiplier Pig Cost '!AA10</f>
        <v>0</v>
      </c>
      <c r="AB10" s="1057">
        <f>+'Grasmere Pig Cost'!AB10+'Learig Pig Cost'!AB10+'Lionhead Pig Cost'!AB10+'Lionhead Ext. Pig Cost'!AB10+'Villa Pig Cost'!AB10+'Richlands Pig Cost'!AB10+'Porta Pig Cost'!AB10+'Multiplier Pig Cost '!AB10</f>
        <v>0</v>
      </c>
      <c r="AC10" s="1057">
        <f>+'Grasmere Pig Cost'!AC10+'Learig Pig Cost'!AC10+'Lionhead Pig Cost'!AC10+'Lionhead Ext. Pig Cost'!AC10+'Villa Pig Cost'!AC10+'Richlands Pig Cost'!AC10+'Porta Pig Cost'!AC10+'Multiplier Pig Cost '!AC10</f>
        <v>0</v>
      </c>
      <c r="AD10" s="1057">
        <f>+'Grasmere Pig Cost'!AD10+'Learig Pig Cost'!AD10+'Lionhead Pig Cost'!AD10+'Lionhead Ext. Pig Cost'!AD10+'Villa Pig Cost'!AD10+'Richlands Pig Cost'!AD10+'Porta Pig Cost'!AD10+'Multiplier Pig Cost '!AD10</f>
        <v>0</v>
      </c>
      <c r="AE10" s="1057">
        <f>+'Grasmere Pig Cost'!AE10+'Learig Pig Cost'!AE10+'Lionhead Pig Cost'!AE10+'Lionhead Ext. Pig Cost'!AE10+'Villa Pig Cost'!AE10+'Richlands Pig Cost'!AE10+'Porta Pig Cost'!AE10+'Multiplier Pig Cost '!AE10</f>
        <v>0</v>
      </c>
      <c r="AF10" s="1057">
        <f>+'Grasmere Pig Cost'!AF10+'Learig Pig Cost'!AF10+'Lionhead Pig Cost'!AF10+'Lionhead Ext. Pig Cost'!AF10+'Villa Pig Cost'!AF10+'Richlands Pig Cost'!AF10+'Porta Pig Cost'!AF10+'Multiplier Pig Cost '!AF10</f>
        <v>0</v>
      </c>
      <c r="AG10" s="1057">
        <f>+'Grasmere Pig Cost'!AG10+'Learig Pig Cost'!AG10+'Lionhead Pig Cost'!AG10+'Lionhead Ext. Pig Cost'!AG10+'Villa Pig Cost'!AG10+'Richlands Pig Cost'!AG10+'Porta Pig Cost'!AG10+'Multiplier Pig Cost '!AG10</f>
        <v>0</v>
      </c>
      <c r="AH10" s="1057">
        <f>+'Grasmere Pig Cost'!AH10+'Learig Pig Cost'!AH10+'Lionhead Pig Cost'!AH10+'Lionhead Ext. Pig Cost'!AH10+'Villa Pig Cost'!AH10+'Richlands Pig Cost'!AH10+'Porta Pig Cost'!AH10+'Multiplier Pig Cost '!AH10</f>
        <v>0</v>
      </c>
      <c r="AI10" s="1057">
        <f>+'Grasmere Pig Cost'!AI10+'Learig Pig Cost'!AI10+'Lionhead Pig Cost'!AI10+'Lionhead Ext. Pig Cost'!AI10+'Villa Pig Cost'!AI10+'Richlands Pig Cost'!AI10+'Porta Pig Cost'!AI10+'Multiplier Pig Cost '!AI10</f>
        <v>0</v>
      </c>
      <c r="AJ10" s="1057">
        <f>+'Grasmere Pig Cost'!AJ10+'Learig Pig Cost'!AJ10+'Lionhead Pig Cost'!AJ10+'Lionhead Ext. Pig Cost'!AJ10+'Villa Pig Cost'!AJ10+'Richlands Pig Cost'!AJ10+'Porta Pig Cost'!AJ10+'Multiplier Pig Cost '!AJ10</f>
        <v>0</v>
      </c>
      <c r="AK10" s="1057">
        <f>+'Grasmere Pig Cost'!AK10+'Learig Pig Cost'!AK10+'Lionhead Pig Cost'!AK10+'Lionhead Ext. Pig Cost'!AK10+'Villa Pig Cost'!AK10+'Richlands Pig Cost'!AK10+'Porta Pig Cost'!AK10+'Multiplier Pig Cost '!AK10</f>
        <v>0</v>
      </c>
      <c r="AL10" s="1057">
        <f>+'Grasmere Pig Cost'!AL10+'Learig Pig Cost'!AL10+'Lionhead Pig Cost'!AL10+'Lionhead Ext. Pig Cost'!AL10+'Villa Pig Cost'!AL10+'Richlands Pig Cost'!AL10+'Porta Pig Cost'!AL10+'Multiplier Pig Cost '!AL10</f>
        <v>0</v>
      </c>
      <c r="AM10" s="1057">
        <f>+'Grasmere Pig Cost'!AM10+'Learig Pig Cost'!AM10+'Lionhead Pig Cost'!AM10+'Lionhead Ext. Pig Cost'!AM10+'Villa Pig Cost'!AM10+'Richlands Pig Cost'!AM10+'Porta Pig Cost'!AM10+'Multiplier Pig Cost '!AM10</f>
        <v>0</v>
      </c>
      <c r="AN10" s="1057">
        <f>+'Grasmere Pig Cost'!AN10+'Learig Pig Cost'!AN10+'Lionhead Pig Cost'!AN10+'Lionhead Ext. Pig Cost'!AN10+'Villa Pig Cost'!AN10+'Richlands Pig Cost'!AN10+'Porta Pig Cost'!AN10+'Multiplier Pig Cost '!AN10</f>
        <v>0</v>
      </c>
      <c r="AO10" s="1057">
        <f>+'Grasmere Pig Cost'!AO10+'Learig Pig Cost'!AO10+'Lionhead Pig Cost'!AO10+'Lionhead Ext. Pig Cost'!AO10+'Villa Pig Cost'!AO10+'Richlands Pig Cost'!AO10+'Porta Pig Cost'!AO10+'Multiplier Pig Cost '!AO10</f>
        <v>-5</v>
      </c>
      <c r="AP10" s="1057">
        <f>+'Grasmere Pig Cost'!AP10+'Learig Pig Cost'!AP10+'Lionhead Pig Cost'!AP10+'Lionhead Ext. Pig Cost'!AP10+'Villa Pig Cost'!AP10+'Richlands Pig Cost'!AP10+'Porta Pig Cost'!AP10+'Multiplier Pig Cost '!AP10</f>
        <v>0</v>
      </c>
      <c r="AQ10" s="1057">
        <f>+'Grasmere Pig Cost'!AQ10+'Learig Pig Cost'!AQ10+'Lionhead Pig Cost'!AQ10+'Lionhead Ext. Pig Cost'!AQ10+'Villa Pig Cost'!AQ10+'Richlands Pig Cost'!AQ10+'Porta Pig Cost'!AQ10+'Multiplier Pig Cost '!AQ10</f>
        <v>-6</v>
      </c>
      <c r="AR10" s="1057">
        <f>+'Grasmere Pig Cost'!AR10+'Learig Pig Cost'!AR10+'Lionhead Pig Cost'!AR10+'Lionhead Ext. Pig Cost'!AR10+'Villa Pig Cost'!AR10+'Richlands Pig Cost'!AR10+'Porta Pig Cost'!AR10+'Multiplier Pig Cost '!AR10</f>
        <v>0</v>
      </c>
      <c r="AS10" s="1057">
        <f>+'Grasmere Pig Cost'!AS10+'Learig Pig Cost'!AS10+'Lionhead Pig Cost'!AS10+'Lionhead Ext. Pig Cost'!AS10+'Villa Pig Cost'!AS10+'Richlands Pig Cost'!AS10+'Porta Pig Cost'!AS10+'Multiplier Pig Cost '!AS10</f>
        <v>-41</v>
      </c>
      <c r="AT10" s="1057">
        <f>+'Grasmere Pig Cost'!AT10+'Learig Pig Cost'!AT10+'Lionhead Pig Cost'!AT10+'Lionhead Ext. Pig Cost'!AT10+'Villa Pig Cost'!AT10+'Richlands Pig Cost'!AT10+'Porta Pig Cost'!AT10+'Multiplier Pig Cost '!AT10</f>
        <v>0</v>
      </c>
      <c r="AU10" s="1057">
        <f t="shared" si="5"/>
        <v>-385</v>
      </c>
      <c r="AV10" s="1057">
        <f>+'Grasmere Pig Cost'!AV10+'Learig Pig Cost'!AV10+'Lionhead Pig Cost'!AV10+'Lionhead Ext. Pig Cost'!AV10+'Villa Pig Cost'!AV10+'Richlands Pig Cost'!AV10+'Porta Pig Cost'!AV10+'Multiplier Pig Cost '!AV10</f>
        <v>-27419</v>
      </c>
      <c r="AW10" s="818"/>
      <c r="AX10" s="818"/>
    </row>
    <row r="11" spans="1:50" s="1559" customFormat="1" ht="15.6">
      <c r="A11" s="1066" t="s">
        <v>1789</v>
      </c>
      <c r="B11" s="1086">
        <f t="shared" ref="B11:AS11" si="6">SUM(B7:B10)</f>
        <v>0</v>
      </c>
      <c r="C11" s="1086">
        <f t="shared" si="6"/>
        <v>0</v>
      </c>
      <c r="D11" s="1086">
        <f t="shared" si="6"/>
        <v>0</v>
      </c>
      <c r="E11" s="1086">
        <f t="shared" si="6"/>
        <v>0</v>
      </c>
      <c r="F11" s="1086">
        <f t="shared" si="6"/>
        <v>0</v>
      </c>
      <c r="G11" s="1086">
        <f t="shared" si="6"/>
        <v>0</v>
      </c>
      <c r="H11" s="1086">
        <f t="shared" si="6"/>
        <v>0</v>
      </c>
      <c r="I11" s="1086">
        <f t="shared" si="6"/>
        <v>0</v>
      </c>
      <c r="J11" s="1086">
        <f t="shared" si="6"/>
        <v>0</v>
      </c>
      <c r="K11" s="1086">
        <f t="shared" si="6"/>
        <v>0</v>
      </c>
      <c r="L11" s="1086">
        <f t="shared" si="6"/>
        <v>0</v>
      </c>
      <c r="M11" s="1086">
        <f t="shared" si="6"/>
        <v>0</v>
      </c>
      <c r="N11" s="1086">
        <f t="shared" ref="N11:S11" si="7">SUM(N7:N10)</f>
        <v>0</v>
      </c>
      <c r="O11" s="1086">
        <f t="shared" si="7"/>
        <v>0</v>
      </c>
      <c r="P11" s="1086">
        <f t="shared" si="7"/>
        <v>0</v>
      </c>
      <c r="Q11" s="1086">
        <f t="shared" si="7"/>
        <v>0</v>
      </c>
      <c r="R11" s="1086">
        <f t="shared" si="7"/>
        <v>0</v>
      </c>
      <c r="S11" s="1086">
        <f t="shared" si="7"/>
        <v>2454</v>
      </c>
      <c r="T11" s="1086">
        <f t="shared" si="6"/>
        <v>4378</v>
      </c>
      <c r="U11" s="1086">
        <f t="shared" si="6"/>
        <v>4250</v>
      </c>
      <c r="V11" s="1086">
        <f t="shared" si="6"/>
        <v>4317</v>
      </c>
      <c r="W11" s="1086">
        <f t="shared" si="6"/>
        <v>4323</v>
      </c>
      <c r="X11" s="1086">
        <f t="shared" si="6"/>
        <v>4110</v>
      </c>
      <c r="Y11" s="1086">
        <f t="shared" si="6"/>
        <v>3939</v>
      </c>
      <c r="Z11" s="1086">
        <f t="shared" si="6"/>
        <v>4040</v>
      </c>
      <c r="AA11" s="1086">
        <f t="shared" si="6"/>
        <v>3931</v>
      </c>
      <c r="AB11" s="1086">
        <f t="shared" si="6"/>
        <v>3894</v>
      </c>
      <c r="AC11" s="1086">
        <f t="shared" si="6"/>
        <v>3943</v>
      </c>
      <c r="AD11" s="1086">
        <f t="shared" si="6"/>
        <v>3945</v>
      </c>
      <c r="AE11" s="1086">
        <f t="shared" si="6"/>
        <v>3752</v>
      </c>
      <c r="AF11" s="1086">
        <f t="shared" si="6"/>
        <v>3811</v>
      </c>
      <c r="AG11" s="1086">
        <f t="shared" si="6"/>
        <v>3824</v>
      </c>
      <c r="AH11" s="1086">
        <f t="shared" si="6"/>
        <v>3678</v>
      </c>
      <c r="AI11" s="1086">
        <f t="shared" si="6"/>
        <v>3741</v>
      </c>
      <c r="AJ11" s="1086">
        <f t="shared" si="6"/>
        <v>3902</v>
      </c>
      <c r="AK11" s="1086">
        <f t="shared" si="6"/>
        <v>3849</v>
      </c>
      <c r="AL11" s="1086">
        <f t="shared" si="6"/>
        <v>3734</v>
      </c>
      <c r="AM11" s="1086">
        <f t="shared" si="6"/>
        <v>3858</v>
      </c>
      <c r="AN11" s="1086">
        <f t="shared" si="6"/>
        <v>3765</v>
      </c>
      <c r="AO11" s="1086">
        <f t="shared" si="6"/>
        <v>3810</v>
      </c>
      <c r="AP11" s="1086">
        <f t="shared" si="6"/>
        <v>3810</v>
      </c>
      <c r="AQ11" s="1086">
        <f t="shared" si="6"/>
        <v>3903</v>
      </c>
      <c r="AR11" s="1086">
        <f t="shared" si="6"/>
        <v>3175</v>
      </c>
      <c r="AS11" s="1086">
        <f t="shared" si="6"/>
        <v>2181</v>
      </c>
      <c r="AT11" s="1086">
        <f t="shared" ref="AT11" si="8">SUM(AT7:AT10)</f>
        <v>15</v>
      </c>
      <c r="AU11" s="1086">
        <f t="shared" si="5"/>
        <v>102332</v>
      </c>
      <c r="AV11" s="1088">
        <f>SUM(AV7:AV10)</f>
        <v>102332</v>
      </c>
      <c r="AW11" s="1088">
        <f>+AU11-AV11</f>
        <v>0</v>
      </c>
    </row>
    <row r="12" spans="1:50" ht="20.25" customHeight="1">
      <c r="A12" s="142" t="s">
        <v>1828</v>
      </c>
      <c r="B12" s="807">
        <f>'Learig Pig Cost'!B15+'Lionhead Pig Cost'!B12+'Lionhead Ext. Pig Cost'!B12+'Villa Pig Cost'!B16+'Richlands Pig Cost'!B14+'Porta Pig Cost'!B14</f>
        <v>0</v>
      </c>
      <c r="C12" s="807">
        <f>'Learig Pig Cost'!C15+'Lionhead Pig Cost'!C12+'Lionhead Ext. Pig Cost'!C12+'Villa Pig Cost'!C16+'Richlands Pig Cost'!C14+'Porta Pig Cost'!C14</f>
        <v>0</v>
      </c>
      <c r="D12" s="807">
        <f>'Learig Pig Cost'!D15+'Lionhead Pig Cost'!D12+'Lionhead Ext. Pig Cost'!D12+'Villa Pig Cost'!D16+'Richlands Pig Cost'!D14+'Porta Pig Cost'!D14</f>
        <v>0</v>
      </c>
      <c r="E12" s="807">
        <f>'Learig Pig Cost'!E15+'Lionhead Pig Cost'!E12+'Lionhead Ext. Pig Cost'!E12+'Villa Pig Cost'!E16+'Richlands Pig Cost'!E14+'Porta Pig Cost'!E14</f>
        <v>0</v>
      </c>
      <c r="F12" s="807">
        <f>'Learig Pig Cost'!F15+'Lionhead Pig Cost'!F12+'Lionhead Ext. Pig Cost'!F12+'Villa Pig Cost'!F16+'Richlands Pig Cost'!F14+'Porta Pig Cost'!F14</f>
        <v>0</v>
      </c>
      <c r="G12" s="807">
        <f>'Learig Pig Cost'!G15+'Lionhead Pig Cost'!G12+'Lionhead Ext. Pig Cost'!G12+'Villa Pig Cost'!G16+'Richlands Pig Cost'!G14+'Porta Pig Cost'!G14</f>
        <v>0</v>
      </c>
      <c r="H12" s="807">
        <f>'Learig Pig Cost'!H15+'Lionhead Pig Cost'!H12+'Lionhead Ext. Pig Cost'!H12+'Villa Pig Cost'!H16+'Richlands Pig Cost'!H14+'Porta Pig Cost'!H14</f>
        <v>0</v>
      </c>
      <c r="I12" s="807">
        <f>'Learig Pig Cost'!I15+'Lionhead Pig Cost'!I12+'Lionhead Ext. Pig Cost'!I12+'Villa Pig Cost'!I16+'Richlands Pig Cost'!I14+'Porta Pig Cost'!I14</f>
        <v>0</v>
      </c>
      <c r="J12" s="807">
        <f>'Learig Pig Cost'!J15+'Lionhead Pig Cost'!J12+'Lionhead Ext. Pig Cost'!J12+'Villa Pig Cost'!J16+'Richlands Pig Cost'!J14+'Porta Pig Cost'!J14</f>
        <v>0</v>
      </c>
      <c r="K12" s="807">
        <f>'Learig Pig Cost'!K15+'Lionhead Pig Cost'!K12+'Lionhead Ext. Pig Cost'!K12+'Villa Pig Cost'!K16+'Richlands Pig Cost'!K14+'Porta Pig Cost'!K14</f>
        <v>0</v>
      </c>
      <c r="L12" s="807">
        <f>'Learig Pig Cost'!L15+'Lionhead Pig Cost'!L12+'Lionhead Ext. Pig Cost'!L12+'Villa Pig Cost'!L16+'Richlands Pig Cost'!L14+'Porta Pig Cost'!L14</f>
        <v>0</v>
      </c>
      <c r="M12" s="807">
        <f>'Learig Pig Cost'!M15+'Lionhead Pig Cost'!M12+'Lionhead Ext. Pig Cost'!M12+'Villa Pig Cost'!M16+'Richlands Pig Cost'!M14+'Porta Pig Cost'!M14+'Multiplier Pig Cost '!M16</f>
        <v>0</v>
      </c>
      <c r="N12" s="807">
        <f>'Learig Pig Cost'!N15+'Lionhead Pig Cost'!N12+'Lionhead Ext. Pig Cost'!N12+'Villa Pig Cost'!N16+'Richlands Pig Cost'!N14+'Porta Pig Cost'!N14+'Multiplier Pig Cost '!N16</f>
        <v>0</v>
      </c>
      <c r="O12" s="807">
        <f>'Learig Pig Cost'!O15+'Lionhead Pig Cost'!O12+'Lionhead Ext. Pig Cost'!O12+'Villa Pig Cost'!O16+'Richlands Pig Cost'!O14+'Porta Pig Cost'!O14+'Multiplier Pig Cost '!O16</f>
        <v>0</v>
      </c>
      <c r="P12" s="807">
        <f>'Learig Pig Cost'!P15+'Lionhead Pig Cost'!P12+'Lionhead Ext. Pig Cost'!P12+'Villa Pig Cost'!P16+'Richlands Pig Cost'!P14+'Porta Pig Cost'!P14+'Multiplier Pig Cost '!P16</f>
        <v>0</v>
      </c>
      <c r="Q12" s="807">
        <f>'Learig Pig Cost'!Q15+'Lionhead Pig Cost'!Q12+'Lionhead Ext. Pig Cost'!Q12+'Villa Pig Cost'!Q16+'Richlands Pig Cost'!Q14+'Porta Pig Cost'!Q14+'Multiplier Pig Cost '!Q16</f>
        <v>0</v>
      </c>
      <c r="R12" s="807">
        <f>'Learig Pig Cost'!R15+'Lionhead Pig Cost'!R12+'Lionhead Ext. Pig Cost'!R12+'Villa Pig Cost'!R16+'Richlands Pig Cost'!R14+'Porta Pig Cost'!R14+'Multiplier Pig Cost '!R16</f>
        <v>0</v>
      </c>
      <c r="S12" s="807">
        <f>'Learig Pig Cost'!S15+'Lionhead Pig Cost'!S12+'Lionhead Ext. Pig Cost'!S12+'Villa Pig Cost'!S16+'Richlands Pig Cost'!S14+'Porta Pig Cost'!S14+'Multiplier Pig Cost '!S16</f>
        <v>0</v>
      </c>
      <c r="T12" s="807">
        <f>'Learig Pig Cost'!T15+'Lionhead Pig Cost'!T12+'Lionhead Ext. Pig Cost'!T12+'Villa Pig Cost'!T16+'Richlands Pig Cost'!T14+'Porta Pig Cost'!T14+'Multiplier Pig Cost '!T16</f>
        <v>0</v>
      </c>
      <c r="U12" s="807">
        <f>'Learig Pig Cost'!U15+'Lionhead Pig Cost'!U12+'Lionhead Ext. Pig Cost'!U12+'Villa Pig Cost'!U16+'Richlands Pig Cost'!U14+'Porta Pig Cost'!U14+'Multiplier Pig Cost '!U16</f>
        <v>0</v>
      </c>
      <c r="V12" s="807">
        <f>'Learig Pig Cost'!V15+'Lionhead Pig Cost'!V12+'Lionhead Ext. Pig Cost'!V12+'Villa Pig Cost'!V16+'Richlands Pig Cost'!V14+'Porta Pig Cost'!V14+'Multiplier Pig Cost '!V16</f>
        <v>0</v>
      </c>
      <c r="W12" s="807">
        <f>'Learig Pig Cost'!W15+'Lionhead Pig Cost'!W12+'Lionhead Ext. Pig Cost'!W12+'Villa Pig Cost'!W16+'Richlands Pig Cost'!W14+'Porta Pig Cost'!W14+'Multiplier Pig Cost '!W16</f>
        <v>311</v>
      </c>
      <c r="X12" s="807">
        <f>'Learig Pig Cost'!X15+'Lionhead Pig Cost'!X12+'Lionhead Ext. Pig Cost'!X12+'Villa Pig Cost'!X16+'Richlands Pig Cost'!X14+'Porta Pig Cost'!X14+'Multiplier Pig Cost '!X16</f>
        <v>320</v>
      </c>
      <c r="Y12" s="807">
        <f>'Learig Pig Cost'!Y15+'Lionhead Pig Cost'!Y12+'Lionhead Ext. Pig Cost'!Y12+'Villa Pig Cost'!Y16+'Richlands Pig Cost'!Y14+'Porta Pig Cost'!Y14+'Multiplier Pig Cost '!Y16</f>
        <v>292</v>
      </c>
      <c r="Z12" s="807">
        <f>'Learig Pig Cost'!Z15+'Lionhead Pig Cost'!Z12+'Lionhead Ext. Pig Cost'!Z12+'Villa Pig Cost'!Z16+'Richlands Pig Cost'!Z14+'Porta Pig Cost'!Z14+'Multiplier Pig Cost '!Z16</f>
        <v>279</v>
      </c>
      <c r="AA12" s="807">
        <f>'Learig Pig Cost'!AA15+'Lionhead Pig Cost'!AA12+'Lionhead Ext. Pig Cost'!AA12+'Villa Pig Cost'!AA16+'Richlands Pig Cost'!AA14+'Porta Pig Cost'!AA14+'Multiplier Pig Cost '!AA16</f>
        <v>-1</v>
      </c>
      <c r="AB12" s="807">
        <f>'Learig Pig Cost'!AB15+'Lionhead Pig Cost'!AB12+'Lionhead Ext. Pig Cost'!AB12+'Villa Pig Cost'!AB16+'Richlands Pig Cost'!AB14+'Porta Pig Cost'!AB14+'Multiplier Pig Cost '!AB16</f>
        <v>-1</v>
      </c>
      <c r="AC12" s="807">
        <f>'Learig Pig Cost'!AC15+'Lionhead Pig Cost'!AC12+'Lionhead Ext. Pig Cost'!AC12+'Villa Pig Cost'!AC16+'Richlands Pig Cost'!AC14+'Porta Pig Cost'!AC14+'Multiplier Pig Cost '!AC16</f>
        <v>-1</v>
      </c>
      <c r="AD12" s="807">
        <f>'Learig Pig Cost'!AD15+'Lionhead Pig Cost'!AD12+'Lionhead Ext. Pig Cost'!AD12+'Villa Pig Cost'!AD16+'Richlands Pig Cost'!AD14+'Porta Pig Cost'!AD14+'Multiplier Pig Cost '!AD16</f>
        <v>-1</v>
      </c>
      <c r="AE12" s="807">
        <f>'Learig Pig Cost'!AE15+'Lionhead Pig Cost'!AE12+'Lionhead Ext. Pig Cost'!AE12+'Villa Pig Cost'!AE16+'Richlands Pig Cost'!AE14+'Porta Pig Cost'!AE14+'Multiplier Pig Cost '!AE16</f>
        <v>0</v>
      </c>
      <c r="AF12" s="807">
        <f>'Learig Pig Cost'!AF15+'Lionhead Pig Cost'!AF12+'Lionhead Ext. Pig Cost'!AF12+'Villa Pig Cost'!AF16+'Richlands Pig Cost'!AF14+'Porta Pig Cost'!AF14+'Multiplier Pig Cost '!AF16</f>
        <v>-1</v>
      </c>
      <c r="AG12" s="807">
        <f>'Learig Pig Cost'!AG15+'Lionhead Pig Cost'!AG12+'Lionhead Ext. Pig Cost'!AG12+'Villa Pig Cost'!AG16+'Richlands Pig Cost'!AG14+'Porta Pig Cost'!AG14+'Multiplier Pig Cost '!AG16</f>
        <v>0</v>
      </c>
      <c r="AH12" s="807">
        <f>'Learig Pig Cost'!AH15+'Lionhead Pig Cost'!AH12+'Lionhead Ext. Pig Cost'!AH12+'Villa Pig Cost'!AH16+'Richlands Pig Cost'!AH14+'Porta Pig Cost'!AH14+'Multiplier Pig Cost '!AH16</f>
        <v>-1</v>
      </c>
      <c r="AI12" s="807">
        <f>'Learig Pig Cost'!AI15+'Lionhead Pig Cost'!AI12+'Lionhead Ext. Pig Cost'!AI12+'Villa Pig Cost'!AI16+'Richlands Pig Cost'!AI14+'Porta Pig Cost'!AI14+'Multiplier Pig Cost '!AI16</f>
        <v>0</v>
      </c>
      <c r="AJ12" s="807">
        <f>'Learig Pig Cost'!AJ15+'Lionhead Pig Cost'!AJ12+'Lionhead Ext. Pig Cost'!AJ12+'Villa Pig Cost'!AJ16+'Richlands Pig Cost'!AJ14+'Porta Pig Cost'!AJ14+'Multiplier Pig Cost '!AJ16</f>
        <v>-1</v>
      </c>
      <c r="AK12" s="807">
        <f>'Learig Pig Cost'!AK15+'Lionhead Pig Cost'!AK12+'Lionhead Ext. Pig Cost'!AK12+'Villa Pig Cost'!AK16+'Richlands Pig Cost'!AK14+'Porta Pig Cost'!AK14+'Multiplier Pig Cost '!AK16</f>
        <v>0</v>
      </c>
      <c r="AL12" s="807">
        <f>'Learig Pig Cost'!AL15+'Lionhead Pig Cost'!AL12+'Lionhead Ext. Pig Cost'!AL12+'Villa Pig Cost'!AL16+'Richlands Pig Cost'!AL14+'Porta Pig Cost'!AL14+'Multiplier Pig Cost '!AL16</f>
        <v>-1</v>
      </c>
      <c r="AM12" s="807">
        <f>'Learig Pig Cost'!AM15+'Lionhead Pig Cost'!AM12+'Lionhead Ext. Pig Cost'!AM12+'Villa Pig Cost'!AM16+'Richlands Pig Cost'!AM14+'Porta Pig Cost'!AM14+'Multiplier Pig Cost '!AM16</f>
        <v>0</v>
      </c>
      <c r="AN12" s="807">
        <f>'Learig Pig Cost'!AN15+'Lionhead Pig Cost'!AN12+'Lionhead Ext. Pig Cost'!AN12+'Villa Pig Cost'!AN16+'Richlands Pig Cost'!AN14+'Porta Pig Cost'!AN14+'Multiplier Pig Cost '!AN16</f>
        <v>-1</v>
      </c>
      <c r="AO12" s="807">
        <f>'Learig Pig Cost'!AO15+'Lionhead Pig Cost'!AO12+'Lionhead Ext. Pig Cost'!AO12+'Villa Pig Cost'!AO16+'Richlands Pig Cost'!AO14+'Porta Pig Cost'!AO14+'Multiplier Pig Cost '!AO16</f>
        <v>0</v>
      </c>
      <c r="AP12" s="807">
        <f>'Learig Pig Cost'!AP15+'Lionhead Pig Cost'!AP12+'Lionhead Ext. Pig Cost'!AP12+'Villa Pig Cost'!AP16+'Richlands Pig Cost'!AP14+'Porta Pig Cost'!AP14+'Multiplier Pig Cost '!AP16</f>
        <v>-1</v>
      </c>
      <c r="AQ12" s="807">
        <f>'Learig Pig Cost'!AQ15+'Lionhead Pig Cost'!AQ12+'Lionhead Ext. Pig Cost'!AQ12+'Villa Pig Cost'!AQ16+'Richlands Pig Cost'!AQ14+'Porta Pig Cost'!AQ14+'Multiplier Pig Cost '!AQ16</f>
        <v>0</v>
      </c>
      <c r="AR12" s="807">
        <f>'Learig Pig Cost'!AR15+'Lionhead Pig Cost'!AR12+'Lionhead Ext. Pig Cost'!AR12+'Villa Pig Cost'!AR16+'Richlands Pig Cost'!AR14+'Porta Pig Cost'!AR14+'Multiplier Pig Cost '!AR16</f>
        <v>0</v>
      </c>
      <c r="AS12" s="807">
        <f>'Learig Pig Cost'!AS15+'Lionhead Pig Cost'!AS12+'Lionhead Ext. Pig Cost'!AS12+'Villa Pig Cost'!AS16+'Richlands Pig Cost'!AS14+'Porta Pig Cost'!AS14+'Multiplier Pig Cost '!AS16</f>
        <v>0</v>
      </c>
      <c r="AT12" s="807">
        <f>'Learig Pig Cost'!AT15+'Lionhead Pig Cost'!AT12+'Lionhead Ext. Pig Cost'!AT12+'Villa Pig Cost'!AT16+'Richlands Pig Cost'!AT14+'Porta Pig Cost'!AT14+'Multiplier Pig Cost '!AT16</f>
        <v>0</v>
      </c>
      <c r="AU12" s="1631">
        <f t="shared" si="5"/>
        <v>1192</v>
      </c>
      <c r="AV12" s="1631">
        <f>+'Learig Pig Cost'!AU15+'Lionhead Pig Cost'!AU12+'Lionhead Ext. Pig Cost'!AU12+'Villa Pig Cost'!AU16+'Richlands Pig Cost'!AU14+'Porta Pig Cost'!AU14+'Multiplier Pig Cost '!AU16</f>
        <v>1192</v>
      </c>
      <c r="AW12" s="818">
        <f>+AU12-AV12</f>
        <v>0</v>
      </c>
    </row>
    <row r="13" spans="1:50" ht="15.6">
      <c r="A13" s="142" t="s">
        <v>1835</v>
      </c>
      <c r="B13" s="807">
        <f>'Grasmere Pig Cost'!B12+'Learig Pig Cost'!B12+'Lionhead Ext. Pig Cost'!B13+'Villa Pig Cost'!B12+'Richlands Pig Cost'!B12+'Porta Pig Cost'!B12</f>
        <v>0</v>
      </c>
      <c r="C13" s="807">
        <f>'Grasmere Pig Cost'!C12+'Learig Pig Cost'!C12+'Lionhead Ext. Pig Cost'!C13+'Villa Pig Cost'!C12+'Richlands Pig Cost'!C12+'Porta Pig Cost'!C12</f>
        <v>0</v>
      </c>
      <c r="D13" s="807">
        <f>'Grasmere Pig Cost'!D12+'Learig Pig Cost'!D12+'Lionhead Ext. Pig Cost'!D13+'Villa Pig Cost'!D12+'Richlands Pig Cost'!D12+'Porta Pig Cost'!D12</f>
        <v>0</v>
      </c>
      <c r="E13" s="807">
        <f>'Grasmere Pig Cost'!E12+'Learig Pig Cost'!E12+'Lionhead Ext. Pig Cost'!E13+'Villa Pig Cost'!E12+'Richlands Pig Cost'!E12+'Porta Pig Cost'!E12</f>
        <v>0</v>
      </c>
      <c r="F13" s="807">
        <f>'Grasmere Pig Cost'!F12+'Learig Pig Cost'!F12+'Lionhead Ext. Pig Cost'!F13+'Villa Pig Cost'!F12+'Richlands Pig Cost'!F12+'Porta Pig Cost'!F12</f>
        <v>0</v>
      </c>
      <c r="G13" s="807">
        <f>'Grasmere Pig Cost'!G12+'Learig Pig Cost'!G12+'Lionhead Ext. Pig Cost'!G13+'Villa Pig Cost'!G12+'Richlands Pig Cost'!G12+'Porta Pig Cost'!G12</f>
        <v>0</v>
      </c>
      <c r="H13" s="807">
        <f>'Grasmere Pig Cost'!H12+'Learig Pig Cost'!H12+'Lionhead Ext. Pig Cost'!H13+'Villa Pig Cost'!H12+'Richlands Pig Cost'!H12+'Porta Pig Cost'!H12</f>
        <v>0</v>
      </c>
      <c r="I13" s="807">
        <f>'Grasmere Pig Cost'!I12+'Learig Pig Cost'!I12+'Lionhead Ext. Pig Cost'!I13+'Villa Pig Cost'!I12+'Richlands Pig Cost'!I12+'Porta Pig Cost'!I12</f>
        <v>0</v>
      </c>
      <c r="J13" s="807">
        <f>'Grasmere Pig Cost'!J12+'Learig Pig Cost'!J12+'Lionhead Ext. Pig Cost'!J13+'Villa Pig Cost'!J12+'Richlands Pig Cost'!J12+'Porta Pig Cost'!J12</f>
        <v>0</v>
      </c>
      <c r="K13" s="807">
        <f>'Grasmere Pig Cost'!K12+'Learig Pig Cost'!K12+'Lionhead Ext. Pig Cost'!K13+'Villa Pig Cost'!K12+'Richlands Pig Cost'!K12+'Porta Pig Cost'!K12</f>
        <v>0</v>
      </c>
      <c r="L13" s="807">
        <f>'Grasmere Pig Cost'!L12+'Learig Pig Cost'!L12+'Lionhead Ext. Pig Cost'!L13+'Villa Pig Cost'!L12+'Richlands Pig Cost'!L12+'Porta Pig Cost'!L12</f>
        <v>0</v>
      </c>
      <c r="M13" s="807">
        <f>'Grasmere Pig Cost'!M12+'Learig Pig Cost'!M12+'Lionhead Ext. Pig Cost'!M13+'Villa Pig Cost'!M12+'Richlands Pig Cost'!M12+'Porta Pig Cost'!M12+'Multiplier Pig Cost '!M12</f>
        <v>0</v>
      </c>
      <c r="N13" s="807">
        <f>'Grasmere Pig Cost'!N12+'Learig Pig Cost'!N12+'Lionhead Ext. Pig Cost'!N13+'Villa Pig Cost'!N12+'Richlands Pig Cost'!N12+'Porta Pig Cost'!N12+'Multiplier Pig Cost '!N12</f>
        <v>0</v>
      </c>
      <c r="O13" s="807">
        <f>'Grasmere Pig Cost'!O12+'Learig Pig Cost'!O12+'Lionhead Ext. Pig Cost'!O13+'Villa Pig Cost'!O12+'Richlands Pig Cost'!O12+'Porta Pig Cost'!O12+'Multiplier Pig Cost '!O12</f>
        <v>0</v>
      </c>
      <c r="P13" s="807">
        <f>'Grasmere Pig Cost'!P12+'Learig Pig Cost'!P12+'Lionhead Ext. Pig Cost'!P13+'Villa Pig Cost'!P12+'Richlands Pig Cost'!P12+'Porta Pig Cost'!P12+'Multiplier Pig Cost '!P12</f>
        <v>0</v>
      </c>
      <c r="Q13" s="807">
        <f>'Grasmere Pig Cost'!Q12+'Learig Pig Cost'!Q12+'Lionhead Ext. Pig Cost'!Q13+'Villa Pig Cost'!Q12+'Richlands Pig Cost'!Q12+'Porta Pig Cost'!Q12+'Multiplier Pig Cost '!Q12</f>
        <v>0</v>
      </c>
      <c r="R13" s="807">
        <f>'Grasmere Pig Cost'!R12+'Learig Pig Cost'!R12+'Lionhead Ext. Pig Cost'!R13+'Villa Pig Cost'!R12+'Richlands Pig Cost'!R12+'Porta Pig Cost'!R12+'Multiplier Pig Cost '!R12</f>
        <v>0</v>
      </c>
      <c r="S13" s="807">
        <f>'Grasmere Pig Cost'!S12+'Learig Pig Cost'!S12+'Lionhead Ext. Pig Cost'!S13+'Villa Pig Cost'!S12+'Richlands Pig Cost'!S12+'Porta Pig Cost'!S12+'Multiplier Pig Cost '!S12</f>
        <v>0</v>
      </c>
      <c r="T13" s="807">
        <f>'Grasmere Pig Cost'!T12+'Learig Pig Cost'!T12+'Lionhead Ext. Pig Cost'!T13+'Villa Pig Cost'!T12+'Richlands Pig Cost'!T12+'Porta Pig Cost'!T12+'Multiplier Pig Cost '!T12</f>
        <v>0</v>
      </c>
      <c r="U13" s="807">
        <f>'Grasmere Pig Cost'!U12+'Learig Pig Cost'!U12+'Lionhead Ext. Pig Cost'!U13+'Villa Pig Cost'!U12+'Richlands Pig Cost'!U12+'Porta Pig Cost'!U12+'Multiplier Pig Cost '!U12</f>
        <v>0</v>
      </c>
      <c r="V13" s="807">
        <f>'Grasmere Pig Cost'!V12+'Learig Pig Cost'!V12+'Lionhead Ext. Pig Cost'!V13+'Villa Pig Cost'!V12+'Richlands Pig Cost'!V12+'Porta Pig Cost'!V12+'Multiplier Pig Cost '!V12</f>
        <v>0</v>
      </c>
      <c r="W13" s="807">
        <f>'Grasmere Pig Cost'!W12+'Learig Pig Cost'!W12+'Lionhead Ext. Pig Cost'!W13+'Villa Pig Cost'!W12+'Richlands Pig Cost'!W12+'Porta Pig Cost'!W12+'Multiplier Pig Cost '!W12</f>
        <v>24</v>
      </c>
      <c r="X13" s="807">
        <f>'Grasmere Pig Cost'!X12+'Learig Pig Cost'!X12+'Lionhead Ext. Pig Cost'!X13+'Villa Pig Cost'!X12+'Richlands Pig Cost'!X12+'Porta Pig Cost'!X12+'Multiplier Pig Cost '!X12</f>
        <v>33</v>
      </c>
      <c r="Y13" s="807">
        <f>'Grasmere Pig Cost'!Y12+'Learig Pig Cost'!Y12+'Lionhead Ext. Pig Cost'!Y13+'Villa Pig Cost'!Y12+'Richlands Pig Cost'!Y12+'Porta Pig Cost'!Y12+'Multiplier Pig Cost '!Y12</f>
        <v>27</v>
      </c>
      <c r="Z13" s="807">
        <f>'Grasmere Pig Cost'!Z12+'Learig Pig Cost'!Z12+'Lionhead Ext. Pig Cost'!Z13+'Villa Pig Cost'!Z12+'Richlands Pig Cost'!Z12+'Porta Pig Cost'!Z12+'Multiplier Pig Cost '!Z12</f>
        <v>0</v>
      </c>
      <c r="AA13" s="807">
        <f>'Grasmere Pig Cost'!AA12+'Learig Pig Cost'!AA12+'Lionhead Ext. Pig Cost'!AA13+'Villa Pig Cost'!AA12+'Richlands Pig Cost'!AA12+'Porta Pig Cost'!AA12+'Multiplier Pig Cost '!AA12</f>
        <v>0</v>
      </c>
      <c r="AB13" s="807">
        <f>'Grasmere Pig Cost'!AB12+'Learig Pig Cost'!AB12+'Lionhead Ext. Pig Cost'!AB13+'Villa Pig Cost'!AB12+'Richlands Pig Cost'!AB12+'Porta Pig Cost'!AB12+'Multiplier Pig Cost '!AB12</f>
        <v>0</v>
      </c>
      <c r="AC13" s="807">
        <f>'Grasmere Pig Cost'!AC12+'Learig Pig Cost'!AC12+'Lionhead Ext. Pig Cost'!AC13+'Villa Pig Cost'!AC12+'Richlands Pig Cost'!AC12+'Porta Pig Cost'!AC12+'Multiplier Pig Cost '!AC12</f>
        <v>5</v>
      </c>
      <c r="AD13" s="807">
        <f>'Grasmere Pig Cost'!AD12+'Learig Pig Cost'!AD12+'Lionhead Ext. Pig Cost'!AD13+'Villa Pig Cost'!AD12+'Richlands Pig Cost'!AD12+'Porta Pig Cost'!AD12+'Multiplier Pig Cost '!AD12</f>
        <v>0</v>
      </c>
      <c r="AE13" s="807">
        <f>'Grasmere Pig Cost'!AE12+'Learig Pig Cost'!AE12+'Lionhead Ext. Pig Cost'!AE13+'Villa Pig Cost'!AE12+'Richlands Pig Cost'!AE12+'Porta Pig Cost'!AE12+'Multiplier Pig Cost '!AE12</f>
        <v>30</v>
      </c>
      <c r="AF13" s="807">
        <f>'Grasmere Pig Cost'!AF12+'Learig Pig Cost'!AF12+'Lionhead Ext. Pig Cost'!AF13+'Villa Pig Cost'!AF12+'Richlands Pig Cost'!AF12+'Porta Pig Cost'!AF12+'Multiplier Pig Cost '!AF12</f>
        <v>0</v>
      </c>
      <c r="AG13" s="807">
        <f>'Grasmere Pig Cost'!AG12+'Learig Pig Cost'!AG12+'Lionhead Ext. Pig Cost'!AG13+'Villa Pig Cost'!AG12+'Richlands Pig Cost'!AG12+'Porta Pig Cost'!AG12+'Multiplier Pig Cost '!AG12</f>
        <v>0</v>
      </c>
      <c r="AH13" s="807">
        <f>'Grasmere Pig Cost'!AH12+'Learig Pig Cost'!AH12+'Lionhead Ext. Pig Cost'!AH13+'Villa Pig Cost'!AH12+'Richlands Pig Cost'!AH12+'Porta Pig Cost'!AH12+'Multiplier Pig Cost '!AH12</f>
        <v>0</v>
      </c>
      <c r="AI13" s="807">
        <f>'Grasmere Pig Cost'!AI12+'Learig Pig Cost'!AI12+'Lionhead Ext. Pig Cost'!AI13+'Villa Pig Cost'!AI12+'Richlands Pig Cost'!AI12+'Porta Pig Cost'!AI12+'Multiplier Pig Cost '!AI12</f>
        <v>0</v>
      </c>
      <c r="AJ13" s="807">
        <f>'Grasmere Pig Cost'!AJ12+'Learig Pig Cost'!AJ12+'Lionhead Ext. Pig Cost'!AJ13+'Villa Pig Cost'!AJ12+'Richlands Pig Cost'!AJ12+'Porta Pig Cost'!AJ12+'Multiplier Pig Cost '!AJ12</f>
        <v>0</v>
      </c>
      <c r="AK13" s="807">
        <f>'Grasmere Pig Cost'!AK12+'Learig Pig Cost'!AK12+'Lionhead Ext. Pig Cost'!AK13+'Villa Pig Cost'!AK12+'Richlands Pig Cost'!AK12+'Porta Pig Cost'!AK12+'Multiplier Pig Cost '!AK12</f>
        <v>0</v>
      </c>
      <c r="AL13" s="807">
        <f>'Grasmere Pig Cost'!AL12+'Learig Pig Cost'!AL12+'Lionhead Ext. Pig Cost'!AL13+'Villa Pig Cost'!AL12+'Richlands Pig Cost'!AL12+'Porta Pig Cost'!AL12+'Multiplier Pig Cost '!AL12</f>
        <v>0</v>
      </c>
      <c r="AM13" s="807">
        <f>'Grasmere Pig Cost'!AM12+'Learig Pig Cost'!AM12+'Lionhead Ext. Pig Cost'!AM13+'Villa Pig Cost'!AM12+'Richlands Pig Cost'!AM12+'Porta Pig Cost'!AM12+'Multiplier Pig Cost '!AM12</f>
        <v>0</v>
      </c>
      <c r="AN13" s="807">
        <f>'Grasmere Pig Cost'!AN12+'Learig Pig Cost'!AN12+'Lionhead Ext. Pig Cost'!AN13+'Villa Pig Cost'!AN12+'Richlands Pig Cost'!AN12+'Porta Pig Cost'!AN12+'Multiplier Pig Cost '!AN12</f>
        <v>0</v>
      </c>
      <c r="AO13" s="807">
        <f>'Grasmere Pig Cost'!AO12+'Learig Pig Cost'!AO12+'Lionhead Ext. Pig Cost'!AO13+'Villa Pig Cost'!AO12+'Richlands Pig Cost'!AO12+'Porta Pig Cost'!AO12+'Multiplier Pig Cost '!AO12</f>
        <v>0</v>
      </c>
      <c r="AP13" s="807">
        <f>'Grasmere Pig Cost'!AP12+'Learig Pig Cost'!AP12+'Lionhead Ext. Pig Cost'!AP13+'Villa Pig Cost'!AP12+'Richlands Pig Cost'!AP12+'Porta Pig Cost'!AP12+'Multiplier Pig Cost '!AP12</f>
        <v>0</v>
      </c>
      <c r="AQ13" s="807">
        <f>'Grasmere Pig Cost'!AQ12+'Learig Pig Cost'!AQ12+'Lionhead Ext. Pig Cost'!AQ13+'Villa Pig Cost'!AQ12+'Richlands Pig Cost'!AQ12+'Porta Pig Cost'!AQ12+'Multiplier Pig Cost '!AQ12</f>
        <v>0</v>
      </c>
      <c r="AR13" s="807">
        <f>'Grasmere Pig Cost'!AR12+'Learig Pig Cost'!AR12+'Lionhead Ext. Pig Cost'!AR13+'Villa Pig Cost'!AR12+'Richlands Pig Cost'!AR12+'Porta Pig Cost'!AR12+'Multiplier Pig Cost '!AR12</f>
        <v>0</v>
      </c>
      <c r="AS13" s="807">
        <f>'Grasmere Pig Cost'!AS12+'Learig Pig Cost'!AS12+'Lionhead Ext. Pig Cost'!AS13+'Villa Pig Cost'!AS12+'Richlands Pig Cost'!AS12+'Porta Pig Cost'!AS12+'Multiplier Pig Cost '!AS12</f>
        <v>0</v>
      </c>
      <c r="AT13" s="807">
        <f>'Grasmere Pig Cost'!AT12+'Learig Pig Cost'!AT12+'Lionhead Ext. Pig Cost'!AT13+'Villa Pig Cost'!AT12+'Richlands Pig Cost'!AT12+'Porta Pig Cost'!AT12+'Multiplier Pig Cost '!AT12</f>
        <v>0</v>
      </c>
      <c r="AU13" s="1631">
        <f t="shared" si="5"/>
        <v>119</v>
      </c>
      <c r="AV13" s="1631">
        <f>+'Grasmere Pig Cost'!AU12+'Learig Pig Cost'!AU12+'Lionhead Ext. Pig Cost'!AU13+'Villa Pig Cost'!AU12+'Richlands Pig Cost'!AU12+'Porta Pig Cost'!AU12+'Multiplier Pig Cost '!AU12</f>
        <v>119</v>
      </c>
      <c r="AW13" s="818">
        <f t="shared" ref="AW13:AW28" si="9">+AU13-AV13</f>
        <v>0</v>
      </c>
    </row>
    <row r="14" spans="1:50" ht="15.6">
      <c r="A14" s="142" t="s">
        <v>1791</v>
      </c>
      <c r="B14" s="807">
        <f>+'Grasmere Pig Cost'!B13+'Learig Pig Cost'!B13+'Lionhead Pig Cost'!B13+'Villa Pig Cost'!B13+'Richlands Pig Cost'!B13+'Porta Pig Cost'!B13</f>
        <v>0</v>
      </c>
      <c r="C14" s="807">
        <f>+'Grasmere Pig Cost'!C13+'Learig Pig Cost'!C13+'Lionhead Pig Cost'!C13+'Villa Pig Cost'!C13+'Richlands Pig Cost'!C13+'Porta Pig Cost'!C13</f>
        <v>0</v>
      </c>
      <c r="D14" s="807">
        <f>+'Grasmere Pig Cost'!D13+'Learig Pig Cost'!D13+'Lionhead Pig Cost'!D13+'Villa Pig Cost'!D13+'Richlands Pig Cost'!D13+'Porta Pig Cost'!D13</f>
        <v>0</v>
      </c>
      <c r="E14" s="807">
        <f>+'Grasmere Pig Cost'!E13+'Learig Pig Cost'!E13+'Lionhead Pig Cost'!E13+'Villa Pig Cost'!E13+'Richlands Pig Cost'!E13+'Porta Pig Cost'!E13</f>
        <v>0</v>
      </c>
      <c r="F14" s="807">
        <f>+'Grasmere Pig Cost'!F13+'Learig Pig Cost'!F13+'Lionhead Pig Cost'!F13+'Villa Pig Cost'!F13+'Richlands Pig Cost'!F13+'Porta Pig Cost'!F13</f>
        <v>0</v>
      </c>
      <c r="G14" s="807">
        <f>+'Grasmere Pig Cost'!G13+'Learig Pig Cost'!G13+'Lionhead Pig Cost'!G13+'Villa Pig Cost'!G13+'Richlands Pig Cost'!G13+'Porta Pig Cost'!G13</f>
        <v>0</v>
      </c>
      <c r="H14" s="807">
        <f>+'Grasmere Pig Cost'!H13+'Learig Pig Cost'!H13+'Lionhead Pig Cost'!H13+'Villa Pig Cost'!H13+'Richlands Pig Cost'!H13+'Porta Pig Cost'!H13</f>
        <v>0</v>
      </c>
      <c r="I14" s="807">
        <f>+'Grasmere Pig Cost'!I13+'Learig Pig Cost'!I13+'Lionhead Pig Cost'!I13+'Villa Pig Cost'!I13+'Richlands Pig Cost'!I13+'Porta Pig Cost'!I13</f>
        <v>0</v>
      </c>
      <c r="J14" s="807">
        <f>+'Grasmere Pig Cost'!J13+'Learig Pig Cost'!J13+'Lionhead Pig Cost'!J13+'Villa Pig Cost'!J13+'Richlands Pig Cost'!J13+'Porta Pig Cost'!J13</f>
        <v>0</v>
      </c>
      <c r="K14" s="807">
        <f>+'Grasmere Pig Cost'!K13+'Learig Pig Cost'!K13+'Lionhead Pig Cost'!K13+'Villa Pig Cost'!K13+'Richlands Pig Cost'!K13+'Porta Pig Cost'!K13</f>
        <v>0</v>
      </c>
      <c r="L14" s="807">
        <f>+'Grasmere Pig Cost'!L13+'Learig Pig Cost'!L13+'Lionhead Pig Cost'!L13+'Villa Pig Cost'!L13+'Richlands Pig Cost'!L13+'Porta Pig Cost'!L13</f>
        <v>0</v>
      </c>
      <c r="M14" s="807">
        <f>+'Grasmere Pig Cost'!M13+'Learig Pig Cost'!M13+'Lionhead Pig Cost'!M13+'Villa Pig Cost'!M13+'Richlands Pig Cost'!M13+'Porta Pig Cost'!M13+'Multiplier Pig Cost '!M13</f>
        <v>0</v>
      </c>
      <c r="N14" s="807">
        <f>+'Grasmere Pig Cost'!N13+'Learig Pig Cost'!N13+'Lionhead Pig Cost'!N13+'Villa Pig Cost'!N13+'Richlands Pig Cost'!N13+'Porta Pig Cost'!N13+'Multiplier Pig Cost '!N13</f>
        <v>0</v>
      </c>
      <c r="O14" s="807">
        <f>+'Grasmere Pig Cost'!O13+'Learig Pig Cost'!O13+'Lionhead Pig Cost'!O13+'Villa Pig Cost'!O13+'Richlands Pig Cost'!O13+'Porta Pig Cost'!O13+'Multiplier Pig Cost '!O13</f>
        <v>0</v>
      </c>
      <c r="P14" s="807">
        <f>+'Grasmere Pig Cost'!P13+'Learig Pig Cost'!P13+'Lionhead Pig Cost'!P13+'Villa Pig Cost'!P13+'Richlands Pig Cost'!P13+'Porta Pig Cost'!P13+'Multiplier Pig Cost '!P13</f>
        <v>0</v>
      </c>
      <c r="Q14" s="807">
        <f>+'Grasmere Pig Cost'!Q13+'Learig Pig Cost'!Q13+'Lionhead Pig Cost'!Q13+'Villa Pig Cost'!Q13+'Richlands Pig Cost'!Q13+'Porta Pig Cost'!Q13+'Multiplier Pig Cost '!Q13</f>
        <v>0</v>
      </c>
      <c r="R14" s="807">
        <f>+'Grasmere Pig Cost'!R13+'Learig Pig Cost'!R13+'Lionhead Pig Cost'!R13+'Villa Pig Cost'!R13+'Richlands Pig Cost'!R13+'Porta Pig Cost'!R13+'Multiplier Pig Cost '!R13</f>
        <v>0</v>
      </c>
      <c r="S14" s="807">
        <f>+'Grasmere Pig Cost'!S13+'Learig Pig Cost'!S13+'Lionhead Pig Cost'!S13+'Villa Pig Cost'!S13+'Richlands Pig Cost'!S13+'Porta Pig Cost'!S13+'Multiplier Pig Cost '!S13</f>
        <v>0</v>
      </c>
      <c r="T14" s="807">
        <f>+'Grasmere Pig Cost'!T13+'Learig Pig Cost'!T13+'Lionhead Pig Cost'!T13+'Villa Pig Cost'!T13+'Richlands Pig Cost'!T13+'Porta Pig Cost'!T13+'Multiplier Pig Cost '!T13</f>
        <v>0</v>
      </c>
      <c r="U14" s="807">
        <f>+'Grasmere Pig Cost'!U13+'Learig Pig Cost'!U13+'Lionhead Pig Cost'!U13+'Villa Pig Cost'!U13+'Richlands Pig Cost'!U13+'Porta Pig Cost'!U13+'Multiplier Pig Cost '!U13</f>
        <v>0</v>
      </c>
      <c r="V14" s="807">
        <f>+'Grasmere Pig Cost'!V13+'Learig Pig Cost'!V13+'Lionhead Pig Cost'!V13+'Villa Pig Cost'!V13+'Richlands Pig Cost'!V13+'Porta Pig Cost'!V13+'Multiplier Pig Cost '!V13</f>
        <v>0</v>
      </c>
      <c r="W14" s="807">
        <f>+'Grasmere Pig Cost'!W13+'Learig Pig Cost'!W13+'Lionhead Pig Cost'!W13+'Villa Pig Cost'!W13+'Richlands Pig Cost'!W13+'Porta Pig Cost'!W13+'Multiplier Pig Cost '!W13</f>
        <v>-104</v>
      </c>
      <c r="X14" s="807">
        <f>+'Grasmere Pig Cost'!X13+'Learig Pig Cost'!X13+'Lionhead Pig Cost'!X13+'Villa Pig Cost'!X13+'Richlands Pig Cost'!X13+'Porta Pig Cost'!X13+'Multiplier Pig Cost '!X13</f>
        <v>-93</v>
      </c>
      <c r="Y14" s="807">
        <f>+'Grasmere Pig Cost'!Y13+'Learig Pig Cost'!Y13+'Lionhead Pig Cost'!Y13+'Villa Pig Cost'!Y13+'Richlands Pig Cost'!Y13+'Porta Pig Cost'!Y13+'Multiplier Pig Cost '!Y13</f>
        <v>-137</v>
      </c>
      <c r="Z14" s="807">
        <f>+'Grasmere Pig Cost'!Z13+'Learig Pig Cost'!Z13+'Lionhead Pig Cost'!Z13+'Villa Pig Cost'!Z13+'Richlands Pig Cost'!Z13+'Porta Pig Cost'!Z13+'Multiplier Pig Cost '!Z13</f>
        <v>-140</v>
      </c>
      <c r="AA14" s="807">
        <f>+'Grasmere Pig Cost'!AA13+'Learig Pig Cost'!AA13+'Lionhead Pig Cost'!AA13+'Villa Pig Cost'!AA13+'Richlands Pig Cost'!AA13+'Porta Pig Cost'!AA13+'Multiplier Pig Cost '!AA13</f>
        <v>0</v>
      </c>
      <c r="AB14" s="807">
        <f>+'Grasmere Pig Cost'!AB13+'Learig Pig Cost'!AB13+'Lionhead Pig Cost'!AB13+'Villa Pig Cost'!AB13+'Richlands Pig Cost'!AB13+'Porta Pig Cost'!AB13+'Multiplier Pig Cost '!AB13</f>
        <v>-40</v>
      </c>
      <c r="AC14" s="807">
        <f>+'Grasmere Pig Cost'!AC13+'Learig Pig Cost'!AC13+'Lionhead Pig Cost'!AC13+'Villa Pig Cost'!AC13+'Richlands Pig Cost'!AC13+'Porta Pig Cost'!AC13+'Multiplier Pig Cost '!AC13</f>
        <v>-116</v>
      </c>
      <c r="AD14" s="807">
        <f>+'Grasmere Pig Cost'!AD13+'Learig Pig Cost'!AD13+'Lionhead Pig Cost'!AD13+'Villa Pig Cost'!AD13+'Richlands Pig Cost'!AD13+'Porta Pig Cost'!AD13+'Multiplier Pig Cost '!AD13</f>
        <v>-90</v>
      </c>
      <c r="AE14" s="807">
        <f>+'Grasmere Pig Cost'!AE13+'Learig Pig Cost'!AE13+'Lionhead Pig Cost'!AE13+'Villa Pig Cost'!AE13+'Richlands Pig Cost'!AE13+'Porta Pig Cost'!AE13+'Multiplier Pig Cost '!AE13</f>
        <v>-170</v>
      </c>
      <c r="AF14" s="807">
        <f>+'Grasmere Pig Cost'!AF13+'Learig Pig Cost'!AF13+'Lionhead Pig Cost'!AF13+'Villa Pig Cost'!AF13+'Richlands Pig Cost'!AF13+'Porta Pig Cost'!AF13+'Multiplier Pig Cost '!AF13</f>
        <v>0</v>
      </c>
      <c r="AG14" s="807">
        <f>+'Grasmere Pig Cost'!AG13+'Learig Pig Cost'!AG13+'Lionhead Pig Cost'!AG13+'Villa Pig Cost'!AG13+'Richlands Pig Cost'!AG13+'Porta Pig Cost'!AG13+'Multiplier Pig Cost '!AG13</f>
        <v>0</v>
      </c>
      <c r="AH14" s="807">
        <f>+'Grasmere Pig Cost'!AH13+'Learig Pig Cost'!AH13+'Lionhead Pig Cost'!AH13+'Villa Pig Cost'!AH13+'Richlands Pig Cost'!AH13+'Porta Pig Cost'!AH13+'Multiplier Pig Cost '!AH13</f>
        <v>0</v>
      </c>
      <c r="AI14" s="807">
        <f>+'Grasmere Pig Cost'!AI13+'Learig Pig Cost'!AI13+'Lionhead Pig Cost'!AI13+'Villa Pig Cost'!AI13+'Richlands Pig Cost'!AI13+'Porta Pig Cost'!AI13+'Multiplier Pig Cost '!AI13</f>
        <v>0</v>
      </c>
      <c r="AJ14" s="807">
        <f>+'Grasmere Pig Cost'!AJ13+'Learig Pig Cost'!AJ13+'Lionhead Pig Cost'!AJ13+'Villa Pig Cost'!AJ13+'Richlands Pig Cost'!AJ13+'Porta Pig Cost'!AJ13+'Multiplier Pig Cost '!AJ13</f>
        <v>0</v>
      </c>
      <c r="AK14" s="807">
        <f>+'Grasmere Pig Cost'!AK13+'Learig Pig Cost'!AK13+'Lionhead Pig Cost'!AK13+'Villa Pig Cost'!AK13+'Richlands Pig Cost'!AK13+'Porta Pig Cost'!AK13+'Multiplier Pig Cost '!AK13</f>
        <v>0</v>
      </c>
      <c r="AL14" s="807">
        <f>+'Grasmere Pig Cost'!AL13+'Learig Pig Cost'!AL13+'Lionhead Pig Cost'!AL13+'Villa Pig Cost'!AL13+'Richlands Pig Cost'!AL13+'Porta Pig Cost'!AL13+'Multiplier Pig Cost '!AL13</f>
        <v>0</v>
      </c>
      <c r="AM14" s="807">
        <f>+'Grasmere Pig Cost'!AM13+'Learig Pig Cost'!AM13+'Lionhead Pig Cost'!AM13+'Villa Pig Cost'!AM13+'Richlands Pig Cost'!AM13+'Porta Pig Cost'!AM13+'Multiplier Pig Cost '!AM13</f>
        <v>0</v>
      </c>
      <c r="AN14" s="807">
        <f>+'Grasmere Pig Cost'!AN13+'Learig Pig Cost'!AN13+'Lionhead Pig Cost'!AN13+'Villa Pig Cost'!AN13+'Richlands Pig Cost'!AN13+'Porta Pig Cost'!AN13+'Multiplier Pig Cost '!AN13</f>
        <v>0</v>
      </c>
      <c r="AO14" s="807">
        <f>+'Grasmere Pig Cost'!AO13+'Learig Pig Cost'!AO13+'Lionhead Pig Cost'!AO13+'Villa Pig Cost'!AO13+'Richlands Pig Cost'!AO13+'Porta Pig Cost'!AO13+'Multiplier Pig Cost '!AO13</f>
        <v>0</v>
      </c>
      <c r="AP14" s="807">
        <f>+'Grasmere Pig Cost'!AP13+'Learig Pig Cost'!AP13+'Lionhead Pig Cost'!AP13+'Villa Pig Cost'!AP13+'Richlands Pig Cost'!AP13+'Porta Pig Cost'!AP13+'Multiplier Pig Cost '!AP13</f>
        <v>0</v>
      </c>
      <c r="AQ14" s="807">
        <f>+'Grasmere Pig Cost'!AQ13+'Learig Pig Cost'!AQ13+'Lionhead Pig Cost'!AQ13+'Villa Pig Cost'!AQ13+'Richlands Pig Cost'!AQ13+'Porta Pig Cost'!AQ13+'Multiplier Pig Cost '!AQ13</f>
        <v>0</v>
      </c>
      <c r="AR14" s="807">
        <f>+'Grasmere Pig Cost'!AR13+'Learig Pig Cost'!AR13+'Lionhead Pig Cost'!AR13+'Villa Pig Cost'!AR13+'Richlands Pig Cost'!AR13+'Porta Pig Cost'!AR13+'Multiplier Pig Cost '!AR13</f>
        <v>0</v>
      </c>
      <c r="AS14" s="807">
        <f>+'Grasmere Pig Cost'!AS13+'Learig Pig Cost'!AS13+'Lionhead Pig Cost'!AS13+'Villa Pig Cost'!AS13+'Richlands Pig Cost'!AS13+'Porta Pig Cost'!AS13+'Multiplier Pig Cost '!AS13</f>
        <v>0</v>
      </c>
      <c r="AT14" s="807">
        <f>+'Grasmere Pig Cost'!AT13+'Learig Pig Cost'!AT13+'Lionhead Pig Cost'!AT13+'Villa Pig Cost'!AT13+'Richlands Pig Cost'!AT13+'Porta Pig Cost'!AT13+'Multiplier Pig Cost '!AT13</f>
        <v>0</v>
      </c>
      <c r="AU14" s="1631">
        <f t="shared" ref="AU14:AU17" si="10">SUM(B14:AT14)</f>
        <v>-890</v>
      </c>
      <c r="AV14" s="1631">
        <f>+'Grasmere Pig Cost'!AU13+'Learig Pig Cost'!AU13+'Lionhead Pig Cost'!AU13+'Villa Pig Cost'!AU13+'Richlands Pig Cost'!AU13+'Porta Pig Cost'!AU13+'Multiplier Pig Cost '!AU13</f>
        <v>-890</v>
      </c>
      <c r="AW14" s="818">
        <f t="shared" si="9"/>
        <v>0</v>
      </c>
    </row>
    <row r="15" spans="1:50" ht="15.6">
      <c r="A15" s="142" t="s">
        <v>1792</v>
      </c>
      <c r="B15" s="807">
        <f>+'Grasmere Pig Cost'!B14+'Learig Pig Cost'!B14+'Lionhead Pig Cost'!B14+'Lionhead Ext. Pig Cost'!B14+'Villa Pig Cost'!B14+'Porta Pig Cost'!B17</f>
        <v>0</v>
      </c>
      <c r="C15" s="807">
        <f>+'Grasmere Pig Cost'!C14+'Learig Pig Cost'!C14+'Lionhead Pig Cost'!C14+'Lionhead Ext. Pig Cost'!C14+'Villa Pig Cost'!C14+'Porta Pig Cost'!C17</f>
        <v>0</v>
      </c>
      <c r="D15" s="807">
        <f>+'Grasmere Pig Cost'!D14+'Learig Pig Cost'!D14+'Lionhead Pig Cost'!D14+'Lionhead Ext. Pig Cost'!D14+'Villa Pig Cost'!D14+'Porta Pig Cost'!D17</f>
        <v>0</v>
      </c>
      <c r="E15" s="807">
        <f>+'Grasmere Pig Cost'!E14+'Learig Pig Cost'!E14+'Lionhead Pig Cost'!E14+'Lionhead Ext. Pig Cost'!E14+'Villa Pig Cost'!E14+'Porta Pig Cost'!E17</f>
        <v>0</v>
      </c>
      <c r="F15" s="807">
        <f>+'Grasmere Pig Cost'!F14+'Learig Pig Cost'!F14+'Lionhead Pig Cost'!F14+'Lionhead Ext. Pig Cost'!F14+'Villa Pig Cost'!F14+'Porta Pig Cost'!F17</f>
        <v>0</v>
      </c>
      <c r="G15" s="807">
        <f>+'Grasmere Pig Cost'!G14+'Learig Pig Cost'!G14+'Lionhead Pig Cost'!G14+'Lionhead Ext. Pig Cost'!G14+'Villa Pig Cost'!G14+'Porta Pig Cost'!G17</f>
        <v>0</v>
      </c>
      <c r="H15" s="807">
        <f>+'Grasmere Pig Cost'!H14+'Learig Pig Cost'!H14+'Lionhead Pig Cost'!H14+'Lionhead Ext. Pig Cost'!H14+'Villa Pig Cost'!H14+'Porta Pig Cost'!H17</f>
        <v>0</v>
      </c>
      <c r="I15" s="807">
        <f>+'Grasmere Pig Cost'!I14+'Learig Pig Cost'!I14+'Lionhead Pig Cost'!I14+'Lionhead Ext. Pig Cost'!I14+'Villa Pig Cost'!I14+'Porta Pig Cost'!I17</f>
        <v>0</v>
      </c>
      <c r="J15" s="807">
        <f>+'Grasmere Pig Cost'!J14+'Learig Pig Cost'!J14+'Lionhead Pig Cost'!J14+'Lionhead Ext. Pig Cost'!J14+'Villa Pig Cost'!J14+'Porta Pig Cost'!J17</f>
        <v>0</v>
      </c>
      <c r="K15" s="807">
        <f>+'Grasmere Pig Cost'!K14+'Learig Pig Cost'!K14+'Lionhead Pig Cost'!K14+'Lionhead Ext. Pig Cost'!K14+'Villa Pig Cost'!K14+'Porta Pig Cost'!K17</f>
        <v>0</v>
      </c>
      <c r="L15" s="807">
        <f>+'Grasmere Pig Cost'!L14+'Learig Pig Cost'!L14+'Lionhead Pig Cost'!L14+'Lionhead Ext. Pig Cost'!L14+'Villa Pig Cost'!L14+'Porta Pig Cost'!L17</f>
        <v>0</v>
      </c>
      <c r="M15" s="807">
        <f>+'Grasmere Pig Cost'!M14+'Learig Pig Cost'!M14+'Lionhead Pig Cost'!M14+'Lionhead Ext. Pig Cost'!M14+'Villa Pig Cost'!M14+'Porta Pig Cost'!M17+'Multiplier Pig Cost '!M14</f>
        <v>0</v>
      </c>
      <c r="N15" s="807">
        <f>+'Grasmere Pig Cost'!N14+'Learig Pig Cost'!N14+'Lionhead Pig Cost'!N14+'Lionhead Ext. Pig Cost'!N14+'Villa Pig Cost'!N14+'Porta Pig Cost'!N17+'Multiplier Pig Cost '!N14</f>
        <v>0</v>
      </c>
      <c r="O15" s="807">
        <f>+'Grasmere Pig Cost'!O14+'Learig Pig Cost'!O14+'Lionhead Pig Cost'!O14+'Lionhead Ext. Pig Cost'!O14+'Villa Pig Cost'!O14+'Porta Pig Cost'!O17+'Multiplier Pig Cost '!O14</f>
        <v>0</v>
      </c>
      <c r="P15" s="807">
        <f>+'Grasmere Pig Cost'!P14+'Learig Pig Cost'!P14+'Lionhead Pig Cost'!P14+'Lionhead Ext. Pig Cost'!P14+'Villa Pig Cost'!P14+'Porta Pig Cost'!P17+'Multiplier Pig Cost '!P14</f>
        <v>0</v>
      </c>
      <c r="Q15" s="807">
        <f>+'Grasmere Pig Cost'!Q14+'Learig Pig Cost'!Q14+'Lionhead Pig Cost'!Q14+'Lionhead Ext. Pig Cost'!Q14+'Villa Pig Cost'!Q14+'Porta Pig Cost'!Q17+'Multiplier Pig Cost '!Q14</f>
        <v>0</v>
      </c>
      <c r="R15" s="807">
        <f>+'Grasmere Pig Cost'!R14+'Learig Pig Cost'!R14+'Lionhead Pig Cost'!R14+'Lionhead Ext. Pig Cost'!R14+'Villa Pig Cost'!R14+'Porta Pig Cost'!R17+'Multiplier Pig Cost '!R14</f>
        <v>0</v>
      </c>
      <c r="S15" s="807">
        <f>+'Grasmere Pig Cost'!S14+'Learig Pig Cost'!S14+'Lionhead Pig Cost'!S14+'Lionhead Ext. Pig Cost'!S14+'Villa Pig Cost'!S14+'Porta Pig Cost'!S17+'Multiplier Pig Cost '!S14</f>
        <v>0</v>
      </c>
      <c r="T15" s="807">
        <f>+'Grasmere Pig Cost'!T14+'Learig Pig Cost'!T14+'Lionhead Pig Cost'!T14+'Lionhead Ext. Pig Cost'!T14+'Villa Pig Cost'!T14+'Porta Pig Cost'!T17+'Multiplier Pig Cost '!T14</f>
        <v>0</v>
      </c>
      <c r="U15" s="807">
        <f>+'Grasmere Pig Cost'!U14+'Learig Pig Cost'!U14+'Lionhead Pig Cost'!U14+'Lionhead Ext. Pig Cost'!U14+'Villa Pig Cost'!U14+'Porta Pig Cost'!U17+'Multiplier Pig Cost '!U14</f>
        <v>0</v>
      </c>
      <c r="V15" s="807">
        <f>+'Grasmere Pig Cost'!V14+'Learig Pig Cost'!V14+'Lionhead Pig Cost'!V14+'Lionhead Ext. Pig Cost'!V14+'Villa Pig Cost'!V14+'Porta Pig Cost'!V17+'Multiplier Pig Cost '!V14</f>
        <v>0</v>
      </c>
      <c r="W15" s="807">
        <f>+'Grasmere Pig Cost'!W14+'Learig Pig Cost'!W14+'Lionhead Pig Cost'!W14+'Lionhead Ext. Pig Cost'!W14+'Villa Pig Cost'!W14+'Porta Pig Cost'!W17+'Multiplier Pig Cost '!W14</f>
        <v>0</v>
      </c>
      <c r="X15" s="807">
        <f>+'Grasmere Pig Cost'!X14+'Learig Pig Cost'!X14+'Lionhead Pig Cost'!X14+'Lionhead Ext. Pig Cost'!X14+'Villa Pig Cost'!X14+'Porta Pig Cost'!X17+'Multiplier Pig Cost '!X14</f>
        <v>0</v>
      </c>
      <c r="Y15" s="807">
        <f>+'Grasmere Pig Cost'!Y14+'Learig Pig Cost'!Y14+'Lionhead Pig Cost'!Y14+'Lionhead Ext. Pig Cost'!Y14+'Villa Pig Cost'!Y14+'Porta Pig Cost'!Y17+'Multiplier Pig Cost '!Y14</f>
        <v>0</v>
      </c>
      <c r="Z15" s="807">
        <f>+'Grasmere Pig Cost'!Z14+'Learig Pig Cost'!Z14+'Lionhead Pig Cost'!Z14+'Lionhead Ext. Pig Cost'!Z14+'Villa Pig Cost'!Z14+'Porta Pig Cost'!Z17+'Multiplier Pig Cost '!Z14</f>
        <v>0</v>
      </c>
      <c r="AA15" s="807">
        <f>+'Grasmere Pig Cost'!AA14+'Learig Pig Cost'!AA14+'Lionhead Pig Cost'!AA14+'Lionhead Ext. Pig Cost'!AA14+'Villa Pig Cost'!AA14+'Porta Pig Cost'!AA17+'Multiplier Pig Cost '!AA14</f>
        <v>0</v>
      </c>
      <c r="AB15" s="807">
        <f>+'Grasmere Pig Cost'!AB14+'Learig Pig Cost'!AB14+'Lionhead Pig Cost'!AB14+'Lionhead Ext. Pig Cost'!AB14+'Villa Pig Cost'!AB14+'Porta Pig Cost'!AB17+'Multiplier Pig Cost '!AB14</f>
        <v>40</v>
      </c>
      <c r="AC15" s="807">
        <f>+'Grasmere Pig Cost'!AC14+'Learig Pig Cost'!AC14+'Lionhead Pig Cost'!AC14+'Lionhead Ext. Pig Cost'!AC14+'Villa Pig Cost'!AC14+'Porta Pig Cost'!AC17+'Multiplier Pig Cost '!AC14</f>
        <v>110</v>
      </c>
      <c r="AD15" s="807">
        <f>+'Grasmere Pig Cost'!AD14+'Learig Pig Cost'!AD14+'Lionhead Pig Cost'!AD14+'Lionhead Ext. Pig Cost'!AD14+'Villa Pig Cost'!AD14+'Porta Pig Cost'!AD17+'Multiplier Pig Cost '!AD14</f>
        <v>90</v>
      </c>
      <c r="AE15" s="807">
        <f>+'Grasmere Pig Cost'!AE14+'Learig Pig Cost'!AE14+'Lionhead Pig Cost'!AE14+'Lionhead Ext. Pig Cost'!AE14+'Villa Pig Cost'!AE14+'Porta Pig Cost'!AE17+'Multiplier Pig Cost '!AE14</f>
        <v>140</v>
      </c>
      <c r="AF15" s="807">
        <f>+'Grasmere Pig Cost'!AF14+'Learig Pig Cost'!AF14+'Lionhead Pig Cost'!AF14+'Lionhead Ext. Pig Cost'!AF14+'Villa Pig Cost'!AF14+'Porta Pig Cost'!AF17+'Multiplier Pig Cost '!AF14</f>
        <v>0</v>
      </c>
      <c r="AG15" s="807">
        <f>+'Grasmere Pig Cost'!AG14+'Learig Pig Cost'!AG14+'Lionhead Pig Cost'!AG14+'Lionhead Ext. Pig Cost'!AG14+'Villa Pig Cost'!AG14+'Porta Pig Cost'!AG17+'Multiplier Pig Cost '!AG14</f>
        <v>0</v>
      </c>
      <c r="AH15" s="807">
        <f>+'Grasmere Pig Cost'!AH14+'Learig Pig Cost'!AH14+'Lionhead Pig Cost'!AH14+'Lionhead Ext. Pig Cost'!AH14+'Villa Pig Cost'!AH14+'Porta Pig Cost'!AH17+'Multiplier Pig Cost '!AH14</f>
        <v>0</v>
      </c>
      <c r="AI15" s="807">
        <f>+'Grasmere Pig Cost'!AI14+'Learig Pig Cost'!AI14+'Lionhead Pig Cost'!AI14+'Lionhead Ext. Pig Cost'!AI14+'Villa Pig Cost'!AI14+'Porta Pig Cost'!AI17+'Multiplier Pig Cost '!AI14</f>
        <v>0</v>
      </c>
      <c r="AJ15" s="807">
        <f>+'Grasmere Pig Cost'!AJ14+'Learig Pig Cost'!AJ14+'Lionhead Pig Cost'!AJ14+'Lionhead Ext. Pig Cost'!AJ14+'Villa Pig Cost'!AJ14+'Porta Pig Cost'!AJ17+'Multiplier Pig Cost '!AJ14</f>
        <v>0</v>
      </c>
      <c r="AK15" s="807">
        <f>+'Grasmere Pig Cost'!AK14+'Learig Pig Cost'!AK14+'Lionhead Pig Cost'!AK14+'Lionhead Ext. Pig Cost'!AK14+'Villa Pig Cost'!AK14+'Porta Pig Cost'!AK17+'Multiplier Pig Cost '!AK14</f>
        <v>0</v>
      </c>
      <c r="AL15" s="807">
        <f>+'Grasmere Pig Cost'!AL14+'Learig Pig Cost'!AL14+'Lionhead Pig Cost'!AL14+'Lionhead Ext. Pig Cost'!AL14+'Villa Pig Cost'!AL14+'Porta Pig Cost'!AL17+'Multiplier Pig Cost '!AL14</f>
        <v>0</v>
      </c>
      <c r="AM15" s="807">
        <f>+'Grasmere Pig Cost'!AM14+'Learig Pig Cost'!AM14+'Lionhead Pig Cost'!AM14+'Lionhead Ext. Pig Cost'!AM14+'Villa Pig Cost'!AM14+'Porta Pig Cost'!AM17+'Multiplier Pig Cost '!AM14</f>
        <v>0</v>
      </c>
      <c r="AN15" s="807">
        <f>+'Grasmere Pig Cost'!AN14+'Learig Pig Cost'!AN14+'Lionhead Pig Cost'!AN14+'Lionhead Ext. Pig Cost'!AN14+'Villa Pig Cost'!AN14+'Porta Pig Cost'!AN17+'Multiplier Pig Cost '!AN14</f>
        <v>0</v>
      </c>
      <c r="AO15" s="807">
        <f>+'Grasmere Pig Cost'!AO14+'Learig Pig Cost'!AO14+'Lionhead Pig Cost'!AO14+'Lionhead Ext. Pig Cost'!AO14+'Villa Pig Cost'!AO14+'Porta Pig Cost'!AO17+'Multiplier Pig Cost '!AO14</f>
        <v>0</v>
      </c>
      <c r="AP15" s="807">
        <f>+'Grasmere Pig Cost'!AP14+'Learig Pig Cost'!AP14+'Lionhead Pig Cost'!AP14+'Lionhead Ext. Pig Cost'!AP14+'Villa Pig Cost'!AP14+'Porta Pig Cost'!AP17+'Multiplier Pig Cost '!AP14</f>
        <v>0</v>
      </c>
      <c r="AQ15" s="807">
        <f>+'Grasmere Pig Cost'!AQ14+'Learig Pig Cost'!AQ14+'Lionhead Pig Cost'!AQ14+'Lionhead Ext. Pig Cost'!AQ14+'Villa Pig Cost'!AQ14+'Porta Pig Cost'!AQ17+'Multiplier Pig Cost '!AQ14</f>
        <v>0</v>
      </c>
      <c r="AR15" s="807">
        <f>+'Grasmere Pig Cost'!AR14+'Learig Pig Cost'!AR14+'Lionhead Pig Cost'!AR14+'Lionhead Ext. Pig Cost'!AR14+'Villa Pig Cost'!AR14+'Porta Pig Cost'!AR17+'Multiplier Pig Cost '!AR14</f>
        <v>0</v>
      </c>
      <c r="AS15" s="807">
        <f>+'Grasmere Pig Cost'!AS14+'Learig Pig Cost'!AS14+'Lionhead Pig Cost'!AS14+'Lionhead Ext. Pig Cost'!AS14+'Villa Pig Cost'!AS14+'Porta Pig Cost'!AS17+'Multiplier Pig Cost '!AS14</f>
        <v>0</v>
      </c>
      <c r="AT15" s="807">
        <f>+'Grasmere Pig Cost'!AT14+'Learig Pig Cost'!AT14+'Lionhead Pig Cost'!AT14+'Lionhead Ext. Pig Cost'!AT14+'Villa Pig Cost'!AT14+'Porta Pig Cost'!AT17+'Multiplier Pig Cost '!AT14</f>
        <v>0</v>
      </c>
      <c r="AU15" s="1631">
        <f t="shared" si="10"/>
        <v>380</v>
      </c>
      <c r="AV15" s="1631">
        <f>+'Grasmere Pig Cost'!AU14+'Learig Pig Cost'!AU14+'Lionhead Pig Cost'!AU14+'Lionhead Ext. Pig Cost'!AU14+'Villa Pig Cost'!AU14+'Porta Pig Cost'!AU17+'Multiplier Pig Cost '!AU14</f>
        <v>380</v>
      </c>
      <c r="AW15" s="818">
        <f t="shared" si="9"/>
        <v>0</v>
      </c>
    </row>
    <row r="16" spans="1:50" ht="15.6">
      <c r="A16" s="142" t="s">
        <v>1793</v>
      </c>
      <c r="B16" s="807">
        <f>+'Grasmere Pig Cost'!B15+'Lionhead Pig Cost'!B15+'Lionhead Ext. Pig Cost'!B15+'Villa Pig Cost'!B15+'Richlands Pig Cost'!B15+'Porta Pig Cost'!B15</f>
        <v>0</v>
      </c>
      <c r="C16" s="807">
        <f>+'Grasmere Pig Cost'!C15+'Lionhead Pig Cost'!C15+'Lionhead Ext. Pig Cost'!C15+'Villa Pig Cost'!C15+'Richlands Pig Cost'!C15+'Porta Pig Cost'!C15</f>
        <v>0</v>
      </c>
      <c r="D16" s="807">
        <f>+'Grasmere Pig Cost'!D15+'Lionhead Pig Cost'!D15+'Lionhead Ext. Pig Cost'!D15+'Villa Pig Cost'!D15+'Richlands Pig Cost'!D15+'Porta Pig Cost'!D15</f>
        <v>0</v>
      </c>
      <c r="E16" s="807">
        <f>+'Grasmere Pig Cost'!E15+'Lionhead Pig Cost'!E15+'Lionhead Ext. Pig Cost'!E15+'Villa Pig Cost'!E15+'Richlands Pig Cost'!E15+'Porta Pig Cost'!E15</f>
        <v>0</v>
      </c>
      <c r="F16" s="807">
        <f>+'Grasmere Pig Cost'!F15+'Lionhead Pig Cost'!F15+'Lionhead Ext. Pig Cost'!F15+'Villa Pig Cost'!F15+'Richlands Pig Cost'!F15+'Porta Pig Cost'!F15</f>
        <v>0</v>
      </c>
      <c r="G16" s="807">
        <f>+'Grasmere Pig Cost'!G15+'Lionhead Pig Cost'!G15+'Lionhead Ext. Pig Cost'!G15+'Villa Pig Cost'!G15+'Richlands Pig Cost'!G15+'Porta Pig Cost'!G15</f>
        <v>0</v>
      </c>
      <c r="H16" s="807">
        <f>+'Grasmere Pig Cost'!H15+'Lionhead Pig Cost'!H15+'Lionhead Ext. Pig Cost'!H15+'Villa Pig Cost'!H15+'Richlands Pig Cost'!H15+'Porta Pig Cost'!H15</f>
        <v>0</v>
      </c>
      <c r="I16" s="807">
        <f>+'Grasmere Pig Cost'!I15+'Lionhead Pig Cost'!I15+'Lionhead Ext. Pig Cost'!I15+'Villa Pig Cost'!I15+'Richlands Pig Cost'!I15+'Porta Pig Cost'!I15</f>
        <v>0</v>
      </c>
      <c r="J16" s="807">
        <f>+'Grasmere Pig Cost'!J15+'Lionhead Pig Cost'!J15+'Lionhead Ext. Pig Cost'!J15+'Villa Pig Cost'!J15+'Richlands Pig Cost'!J15+'Porta Pig Cost'!J15</f>
        <v>0</v>
      </c>
      <c r="K16" s="807">
        <f>+'Grasmere Pig Cost'!K15+'Lionhead Pig Cost'!K15+'Lionhead Ext. Pig Cost'!K15+'Villa Pig Cost'!K15+'Richlands Pig Cost'!K15+'Porta Pig Cost'!K15</f>
        <v>0</v>
      </c>
      <c r="L16" s="807">
        <f>+'Grasmere Pig Cost'!L15+'Lionhead Pig Cost'!L15+'Lionhead Ext. Pig Cost'!L15+'Villa Pig Cost'!L15+'Richlands Pig Cost'!L15+'Porta Pig Cost'!L15</f>
        <v>0</v>
      </c>
      <c r="M16" s="807">
        <f>+'Grasmere Pig Cost'!M15+'Lionhead Pig Cost'!M15+'Lionhead Ext. Pig Cost'!M15+'Villa Pig Cost'!M15+'Richlands Pig Cost'!M15+'Porta Pig Cost'!M15+'Multiplier Pig Cost '!M15</f>
        <v>0</v>
      </c>
      <c r="N16" s="807">
        <f>+'Grasmere Pig Cost'!N15+'Lionhead Pig Cost'!N15+'Lionhead Ext. Pig Cost'!N15+'Villa Pig Cost'!N15+'Richlands Pig Cost'!N15+'Porta Pig Cost'!N15+'Multiplier Pig Cost '!N15</f>
        <v>0</v>
      </c>
      <c r="O16" s="807">
        <f>+'Grasmere Pig Cost'!O15+'Lionhead Pig Cost'!O15+'Lionhead Ext. Pig Cost'!O15+'Villa Pig Cost'!O15+'Richlands Pig Cost'!O15+'Porta Pig Cost'!O15+'Multiplier Pig Cost '!O15</f>
        <v>0</v>
      </c>
      <c r="P16" s="807">
        <f>+'Grasmere Pig Cost'!P15+'Lionhead Pig Cost'!P15+'Lionhead Ext. Pig Cost'!P15+'Villa Pig Cost'!P15+'Richlands Pig Cost'!P15+'Porta Pig Cost'!P15+'Multiplier Pig Cost '!P15</f>
        <v>0</v>
      </c>
      <c r="Q16" s="807">
        <f>+'Grasmere Pig Cost'!Q15+'Lionhead Pig Cost'!Q15+'Lionhead Ext. Pig Cost'!Q15+'Villa Pig Cost'!Q15+'Richlands Pig Cost'!Q15+'Porta Pig Cost'!Q15+'Multiplier Pig Cost '!Q15</f>
        <v>0</v>
      </c>
      <c r="R16" s="807">
        <f>+'Grasmere Pig Cost'!R15+'Lionhead Pig Cost'!R15+'Lionhead Ext. Pig Cost'!R15+'Villa Pig Cost'!R15+'Richlands Pig Cost'!R15+'Porta Pig Cost'!R15+'Multiplier Pig Cost '!R15</f>
        <v>0</v>
      </c>
      <c r="S16" s="807">
        <f>+'Grasmere Pig Cost'!S15+'Lionhead Pig Cost'!S15+'Lionhead Ext. Pig Cost'!S15+'Villa Pig Cost'!S15+'Richlands Pig Cost'!S15+'Porta Pig Cost'!S15+'Multiplier Pig Cost '!S15</f>
        <v>0</v>
      </c>
      <c r="T16" s="807">
        <f>+'Grasmere Pig Cost'!T15+'Lionhead Pig Cost'!T15+'Lionhead Ext. Pig Cost'!T15+'Villa Pig Cost'!T15+'Richlands Pig Cost'!T15+'Porta Pig Cost'!T15+'Multiplier Pig Cost '!T15</f>
        <v>0</v>
      </c>
      <c r="U16" s="807">
        <f>+'Grasmere Pig Cost'!U15+'Lionhead Pig Cost'!U15+'Lionhead Ext. Pig Cost'!U15+'Villa Pig Cost'!U15+'Richlands Pig Cost'!U15+'Porta Pig Cost'!U15+'Multiplier Pig Cost '!U15</f>
        <v>0</v>
      </c>
      <c r="V16" s="807">
        <f>+'Grasmere Pig Cost'!V15+'Lionhead Pig Cost'!V15+'Lionhead Ext. Pig Cost'!V15+'Villa Pig Cost'!V15+'Richlands Pig Cost'!V15+'Porta Pig Cost'!V15+'Multiplier Pig Cost '!V15</f>
        <v>0</v>
      </c>
      <c r="W16" s="807">
        <f>+'Grasmere Pig Cost'!W15+'Lionhead Pig Cost'!W15+'Lionhead Ext. Pig Cost'!W15+'Villa Pig Cost'!W15+'Richlands Pig Cost'!W15+'Porta Pig Cost'!W15+'Multiplier Pig Cost '!W15</f>
        <v>-401</v>
      </c>
      <c r="X16" s="807">
        <f>+'Grasmere Pig Cost'!X15+'Lionhead Pig Cost'!X15+'Lionhead Ext. Pig Cost'!X15+'Villa Pig Cost'!X15+'Richlands Pig Cost'!X15+'Porta Pig Cost'!X15+'Multiplier Pig Cost '!X15</f>
        <v>-420</v>
      </c>
      <c r="Y16" s="807">
        <f>+'Grasmere Pig Cost'!Y15+'Lionhead Pig Cost'!Y15+'Lionhead Ext. Pig Cost'!Y15+'Villa Pig Cost'!Y15+'Richlands Pig Cost'!Y15+'Porta Pig Cost'!Y15+'Multiplier Pig Cost '!Y15</f>
        <v>-328</v>
      </c>
      <c r="Z16" s="807">
        <f>+'Grasmere Pig Cost'!Z15+'Lionhead Pig Cost'!Z15+'Lionhead Ext. Pig Cost'!Z15+'Villa Pig Cost'!Z15+'Richlands Pig Cost'!Z15+'Porta Pig Cost'!Z15+'Multiplier Pig Cost '!Z15</f>
        <v>-352</v>
      </c>
      <c r="AA16" s="807">
        <f>+'Grasmere Pig Cost'!AA15+'Lionhead Pig Cost'!AA15+'Lionhead Ext. Pig Cost'!AA15+'Villa Pig Cost'!AA15+'Richlands Pig Cost'!AA15+'Porta Pig Cost'!AA15+'Multiplier Pig Cost '!AA15</f>
        <v>0</v>
      </c>
      <c r="AB16" s="807">
        <f>+'Grasmere Pig Cost'!AB15+'Lionhead Pig Cost'!AB15+'Lionhead Ext. Pig Cost'!AB15+'Villa Pig Cost'!AB15+'Richlands Pig Cost'!AB15+'Porta Pig Cost'!AB15+'Multiplier Pig Cost '!AB15</f>
        <v>0</v>
      </c>
      <c r="AC16" s="807">
        <f>+'Grasmere Pig Cost'!AC15+'Lionhead Pig Cost'!AC15+'Lionhead Ext. Pig Cost'!AC15+'Villa Pig Cost'!AC15+'Richlands Pig Cost'!AC15+'Porta Pig Cost'!AC15+'Multiplier Pig Cost '!AC15</f>
        <v>0</v>
      </c>
      <c r="AD16" s="807">
        <f>+'Grasmere Pig Cost'!AD15+'Lionhead Pig Cost'!AD15+'Lionhead Ext. Pig Cost'!AD15+'Villa Pig Cost'!AD15+'Richlands Pig Cost'!AD15+'Porta Pig Cost'!AD15+'Multiplier Pig Cost '!AD15</f>
        <v>0</v>
      </c>
      <c r="AE16" s="807">
        <f>+'Grasmere Pig Cost'!AE15+'Lionhead Pig Cost'!AE15+'Lionhead Ext. Pig Cost'!AE15+'Villa Pig Cost'!AE15+'Richlands Pig Cost'!AE15+'Porta Pig Cost'!AE15+'Multiplier Pig Cost '!AE15</f>
        <v>0</v>
      </c>
      <c r="AF16" s="807">
        <f>+'Grasmere Pig Cost'!AF15+'Lionhead Pig Cost'!AF15+'Lionhead Ext. Pig Cost'!AF15+'Villa Pig Cost'!AF15+'Richlands Pig Cost'!AF15+'Porta Pig Cost'!AF15+'Multiplier Pig Cost '!AF15</f>
        <v>0</v>
      </c>
      <c r="AG16" s="807">
        <f>+'Grasmere Pig Cost'!AG15+'Lionhead Pig Cost'!AG15+'Lionhead Ext. Pig Cost'!AG15+'Villa Pig Cost'!AG15+'Richlands Pig Cost'!AG15+'Porta Pig Cost'!AG15+'Multiplier Pig Cost '!AG15</f>
        <v>0</v>
      </c>
      <c r="AH16" s="807">
        <f>+'Grasmere Pig Cost'!AH15+'Lionhead Pig Cost'!AH15+'Lionhead Ext. Pig Cost'!AH15+'Villa Pig Cost'!AH15+'Richlands Pig Cost'!AH15+'Porta Pig Cost'!AH15+'Multiplier Pig Cost '!AH15</f>
        <v>0</v>
      </c>
      <c r="AI16" s="807">
        <f>+'Grasmere Pig Cost'!AI15+'Lionhead Pig Cost'!AI15+'Lionhead Ext. Pig Cost'!AI15+'Villa Pig Cost'!AI15+'Richlands Pig Cost'!AI15+'Porta Pig Cost'!AI15+'Multiplier Pig Cost '!AI15</f>
        <v>0</v>
      </c>
      <c r="AJ16" s="807">
        <f>+'Grasmere Pig Cost'!AJ15+'Lionhead Pig Cost'!AJ15+'Lionhead Ext. Pig Cost'!AJ15+'Villa Pig Cost'!AJ15+'Richlands Pig Cost'!AJ15+'Porta Pig Cost'!AJ15+'Multiplier Pig Cost '!AJ15</f>
        <v>0</v>
      </c>
      <c r="AK16" s="807">
        <f>+'Grasmere Pig Cost'!AK15+'Lionhead Pig Cost'!AK15+'Lionhead Ext. Pig Cost'!AK15+'Villa Pig Cost'!AK15+'Richlands Pig Cost'!AK15+'Porta Pig Cost'!AK15+'Multiplier Pig Cost '!AK15</f>
        <v>0</v>
      </c>
      <c r="AL16" s="807">
        <f>+'Grasmere Pig Cost'!AL15+'Lionhead Pig Cost'!AL15+'Lionhead Ext. Pig Cost'!AL15+'Villa Pig Cost'!AL15+'Richlands Pig Cost'!AL15+'Porta Pig Cost'!AL15+'Multiplier Pig Cost '!AL15</f>
        <v>0</v>
      </c>
      <c r="AM16" s="807">
        <f>+'Grasmere Pig Cost'!AM15+'Lionhead Pig Cost'!AM15+'Lionhead Ext. Pig Cost'!AM15+'Villa Pig Cost'!AM15+'Richlands Pig Cost'!AM15+'Porta Pig Cost'!AM15+'Multiplier Pig Cost '!AM15</f>
        <v>0</v>
      </c>
      <c r="AN16" s="807">
        <f>+'Grasmere Pig Cost'!AN15+'Lionhead Pig Cost'!AN15+'Lionhead Ext. Pig Cost'!AN15+'Villa Pig Cost'!AN15+'Richlands Pig Cost'!AN15+'Porta Pig Cost'!AN15+'Multiplier Pig Cost '!AN15</f>
        <v>0</v>
      </c>
      <c r="AO16" s="807">
        <f>+'Grasmere Pig Cost'!AO15+'Lionhead Pig Cost'!AO15+'Lionhead Ext. Pig Cost'!AO15+'Villa Pig Cost'!AO15+'Richlands Pig Cost'!AO15+'Porta Pig Cost'!AO15+'Multiplier Pig Cost '!AO15</f>
        <v>0</v>
      </c>
      <c r="AP16" s="807">
        <f>+'Grasmere Pig Cost'!AP15+'Lionhead Pig Cost'!AP15+'Lionhead Ext. Pig Cost'!AP15+'Villa Pig Cost'!AP15+'Richlands Pig Cost'!AP15+'Porta Pig Cost'!AP15+'Multiplier Pig Cost '!AP15</f>
        <v>0</v>
      </c>
      <c r="AQ16" s="807">
        <f>+'Grasmere Pig Cost'!AQ15+'Lionhead Pig Cost'!AQ15+'Lionhead Ext. Pig Cost'!AQ15+'Villa Pig Cost'!AQ15+'Richlands Pig Cost'!AQ15+'Porta Pig Cost'!AQ15+'Multiplier Pig Cost '!AQ15</f>
        <v>0</v>
      </c>
      <c r="AR16" s="807">
        <f>+'Grasmere Pig Cost'!AR15+'Lionhead Pig Cost'!AR15+'Lionhead Ext. Pig Cost'!AR15+'Villa Pig Cost'!AR15+'Richlands Pig Cost'!AR15+'Porta Pig Cost'!AR15+'Multiplier Pig Cost '!AR15</f>
        <v>0</v>
      </c>
      <c r="AS16" s="807">
        <f>+'Grasmere Pig Cost'!AS15+'Lionhead Pig Cost'!AS15+'Lionhead Ext. Pig Cost'!AS15+'Villa Pig Cost'!AS15+'Richlands Pig Cost'!AS15+'Porta Pig Cost'!AS15+'Multiplier Pig Cost '!AS15</f>
        <v>0</v>
      </c>
      <c r="AT16" s="807">
        <f>+'Grasmere Pig Cost'!AT15+'Lionhead Pig Cost'!AT15+'Lionhead Ext. Pig Cost'!AT15+'Villa Pig Cost'!AT15+'Richlands Pig Cost'!AT15+'Porta Pig Cost'!AT15+'Multiplier Pig Cost '!AT15</f>
        <v>0</v>
      </c>
      <c r="AU16" s="1631">
        <f>SUM(B16:AT16)</f>
        <v>-1501</v>
      </c>
      <c r="AV16" s="1631">
        <f>+'Grasmere Pig Cost'!AU15+'Lionhead Pig Cost'!AU15+'Lionhead Ext. Pig Cost'!AU15+'Villa Pig Cost'!AU15+'Richlands Pig Cost'!AU15+'Porta Pig Cost'!AU15+'Multiplier Pig Cost '!AU15</f>
        <v>-1501</v>
      </c>
      <c r="AW16" s="818">
        <f t="shared" si="9"/>
        <v>0</v>
      </c>
    </row>
    <row r="17" spans="1:54" ht="15.6">
      <c r="A17" s="142" t="s">
        <v>1794</v>
      </c>
      <c r="B17" s="807">
        <f>+'Grasmere Pig Cost'!B16+'Learig Pig Cost'!B16+'Lionhead Pig Cost'!B16+'Lionhead Ext. Pig Cost'!B16+'Richlands Pig Cost'!B16+'Porta Pig Cost'!B16</f>
        <v>0</v>
      </c>
      <c r="C17" s="807">
        <f>+'Grasmere Pig Cost'!C16+'Learig Pig Cost'!C16+'Lionhead Pig Cost'!C16+'Lionhead Ext. Pig Cost'!C16+'Richlands Pig Cost'!C16+'Porta Pig Cost'!C16</f>
        <v>0</v>
      </c>
      <c r="D17" s="807">
        <f>+'Grasmere Pig Cost'!D16+'Learig Pig Cost'!D16+'Lionhead Pig Cost'!D16+'Lionhead Ext. Pig Cost'!D16+'Richlands Pig Cost'!D16+'Porta Pig Cost'!D16</f>
        <v>0</v>
      </c>
      <c r="E17" s="807">
        <f>+'Grasmere Pig Cost'!E16+'Learig Pig Cost'!E16+'Lionhead Pig Cost'!E16+'Lionhead Ext. Pig Cost'!E16+'Richlands Pig Cost'!E16+'Porta Pig Cost'!E16</f>
        <v>0</v>
      </c>
      <c r="F17" s="807">
        <f>+'Grasmere Pig Cost'!F16+'Learig Pig Cost'!F16+'Lionhead Pig Cost'!F16+'Lionhead Ext. Pig Cost'!F16+'Richlands Pig Cost'!F16+'Porta Pig Cost'!F16</f>
        <v>0</v>
      </c>
      <c r="G17" s="807">
        <f>+'Grasmere Pig Cost'!G16+'Learig Pig Cost'!G16+'Lionhead Pig Cost'!G16+'Lionhead Ext. Pig Cost'!G16+'Richlands Pig Cost'!G16+'Porta Pig Cost'!G16</f>
        <v>0</v>
      </c>
      <c r="H17" s="807">
        <f>+'Grasmere Pig Cost'!H16+'Learig Pig Cost'!H16+'Lionhead Pig Cost'!H16+'Lionhead Ext. Pig Cost'!H16+'Richlands Pig Cost'!H16+'Porta Pig Cost'!H16</f>
        <v>0</v>
      </c>
      <c r="I17" s="807">
        <f>+'Grasmere Pig Cost'!I16+'Learig Pig Cost'!I16+'Lionhead Pig Cost'!I16+'Lionhead Ext. Pig Cost'!I16+'Richlands Pig Cost'!I16+'Porta Pig Cost'!I16</f>
        <v>0</v>
      </c>
      <c r="J17" s="807">
        <f>+'Grasmere Pig Cost'!J16+'Learig Pig Cost'!J16+'Lionhead Pig Cost'!J16+'Lionhead Ext. Pig Cost'!J16+'Richlands Pig Cost'!J16+'Porta Pig Cost'!J16</f>
        <v>0</v>
      </c>
      <c r="K17" s="807">
        <f>+'Grasmere Pig Cost'!K16+'Learig Pig Cost'!K16+'Lionhead Pig Cost'!K16+'Lionhead Ext. Pig Cost'!K16+'Richlands Pig Cost'!K16+'Porta Pig Cost'!K16</f>
        <v>0</v>
      </c>
      <c r="L17" s="807">
        <f>+'Grasmere Pig Cost'!L16+'Learig Pig Cost'!L16+'Lionhead Pig Cost'!L16+'Lionhead Ext. Pig Cost'!L16+'Richlands Pig Cost'!L16+'Porta Pig Cost'!L16</f>
        <v>0</v>
      </c>
      <c r="M17" s="807">
        <f>+'Grasmere Pig Cost'!M16+'Learig Pig Cost'!M16+'Lionhead Pig Cost'!M16+'Lionhead Ext. Pig Cost'!M16+'Richlands Pig Cost'!M16+'Porta Pig Cost'!M16+'Multiplier Pig Cost '!M18</f>
        <v>0</v>
      </c>
      <c r="N17" s="807">
        <f>+'Grasmere Pig Cost'!N16+'Learig Pig Cost'!N16+'Lionhead Pig Cost'!N16+'Lionhead Ext. Pig Cost'!N16+'Richlands Pig Cost'!N16+'Porta Pig Cost'!N16+'Multiplier Pig Cost '!N18</f>
        <v>0</v>
      </c>
      <c r="O17" s="807">
        <f>+'Grasmere Pig Cost'!O16+'Learig Pig Cost'!O16+'Lionhead Pig Cost'!O16+'Lionhead Ext. Pig Cost'!O16+'Richlands Pig Cost'!O16+'Porta Pig Cost'!O16+'Multiplier Pig Cost '!O18</f>
        <v>0</v>
      </c>
      <c r="P17" s="807">
        <f>+'Grasmere Pig Cost'!P16+'Learig Pig Cost'!P16+'Lionhead Pig Cost'!P16+'Lionhead Ext. Pig Cost'!P16+'Richlands Pig Cost'!P16+'Porta Pig Cost'!P16+'Multiplier Pig Cost '!P18</f>
        <v>0</v>
      </c>
      <c r="Q17" s="807">
        <f>+'Grasmere Pig Cost'!Q16+'Learig Pig Cost'!Q16+'Lionhead Pig Cost'!Q16+'Lionhead Ext. Pig Cost'!Q16+'Richlands Pig Cost'!Q16+'Porta Pig Cost'!Q16+'Multiplier Pig Cost '!Q18</f>
        <v>0</v>
      </c>
      <c r="R17" s="807">
        <f>+'Grasmere Pig Cost'!R16+'Learig Pig Cost'!R16+'Lionhead Pig Cost'!R16+'Lionhead Ext. Pig Cost'!R16+'Richlands Pig Cost'!R16+'Porta Pig Cost'!R16+'Multiplier Pig Cost '!R18</f>
        <v>0</v>
      </c>
      <c r="S17" s="807">
        <f>+'Grasmere Pig Cost'!S16+'Learig Pig Cost'!S16+'Lionhead Pig Cost'!S16+'Lionhead Ext. Pig Cost'!S16+'Richlands Pig Cost'!S16+'Porta Pig Cost'!S16+'Multiplier Pig Cost '!S18</f>
        <v>0</v>
      </c>
      <c r="T17" s="807">
        <f>+'Grasmere Pig Cost'!T16+'Learig Pig Cost'!T16+'Lionhead Pig Cost'!T16+'Lionhead Ext. Pig Cost'!T16+'Richlands Pig Cost'!T16+'Porta Pig Cost'!T16+'Multiplier Pig Cost '!T18</f>
        <v>0</v>
      </c>
      <c r="U17" s="807">
        <f>+'Grasmere Pig Cost'!U16+'Learig Pig Cost'!U16+'Lionhead Pig Cost'!U16+'Lionhead Ext. Pig Cost'!U16+'Richlands Pig Cost'!U16+'Porta Pig Cost'!U16+'Multiplier Pig Cost '!U18</f>
        <v>0</v>
      </c>
      <c r="V17" s="807">
        <f>+'Grasmere Pig Cost'!V16+'Learig Pig Cost'!V16+'Lionhead Pig Cost'!V16+'Lionhead Ext. Pig Cost'!V16+'Richlands Pig Cost'!V16+'Porta Pig Cost'!V16+'Multiplier Pig Cost '!V18</f>
        <v>0</v>
      </c>
      <c r="W17" s="807">
        <f>+'Grasmere Pig Cost'!W16+'Learig Pig Cost'!W16+'Lionhead Pig Cost'!W16+'Lionhead Ext. Pig Cost'!W16+'Richlands Pig Cost'!W16+'Porta Pig Cost'!W16+'Multiplier Pig Cost '!W18</f>
        <v>90</v>
      </c>
      <c r="X17" s="807">
        <f>+'Grasmere Pig Cost'!X16+'Learig Pig Cost'!X16+'Lionhead Pig Cost'!X16+'Lionhead Ext. Pig Cost'!X16+'Richlands Pig Cost'!X16+'Porta Pig Cost'!X16+'Multiplier Pig Cost '!X18</f>
        <v>100</v>
      </c>
      <c r="Y17" s="807">
        <f>+'Grasmere Pig Cost'!Y16+'Learig Pig Cost'!Y16+'Lionhead Pig Cost'!Y16+'Lionhead Ext. Pig Cost'!Y16+'Richlands Pig Cost'!Y16+'Porta Pig Cost'!Y16+'Multiplier Pig Cost '!Y18</f>
        <v>110</v>
      </c>
      <c r="Z17" s="807">
        <f>+'Grasmere Pig Cost'!Z16+'Learig Pig Cost'!Z16+'Lionhead Pig Cost'!Z16+'Lionhead Ext. Pig Cost'!Z16+'Richlands Pig Cost'!Z16+'Porta Pig Cost'!Z16+'Multiplier Pig Cost '!Z18</f>
        <v>140</v>
      </c>
      <c r="AA17" s="807">
        <f>+'Grasmere Pig Cost'!AA16+'Learig Pig Cost'!AA16+'Lionhead Pig Cost'!AA16+'Lionhead Ext. Pig Cost'!AA16+'Richlands Pig Cost'!AA16+'Porta Pig Cost'!AA16+'Multiplier Pig Cost '!AA18</f>
        <v>0</v>
      </c>
      <c r="AB17" s="807">
        <f>+'Grasmere Pig Cost'!AB16+'Learig Pig Cost'!AB16+'Lionhead Pig Cost'!AB16+'Lionhead Ext. Pig Cost'!AB16+'Richlands Pig Cost'!AB16+'Porta Pig Cost'!AB16+'Multiplier Pig Cost '!AB18</f>
        <v>0</v>
      </c>
      <c r="AC17" s="807">
        <f>+'Grasmere Pig Cost'!AC16+'Learig Pig Cost'!AC16+'Lionhead Pig Cost'!AC16+'Lionhead Ext. Pig Cost'!AC16+'Richlands Pig Cost'!AC16+'Porta Pig Cost'!AC16+'Multiplier Pig Cost '!AC18</f>
        <v>0</v>
      </c>
      <c r="AD17" s="807">
        <f>+'Grasmere Pig Cost'!AD16+'Learig Pig Cost'!AD16+'Lionhead Pig Cost'!AD16+'Lionhead Ext. Pig Cost'!AD16+'Richlands Pig Cost'!AD16+'Porta Pig Cost'!AD16+'Multiplier Pig Cost '!AD18</f>
        <v>0</v>
      </c>
      <c r="AE17" s="807">
        <f>+'Grasmere Pig Cost'!AE16+'Learig Pig Cost'!AE16+'Lionhead Pig Cost'!AE16+'Lionhead Ext. Pig Cost'!AE16+'Richlands Pig Cost'!AE16+'Porta Pig Cost'!AE16+'Multiplier Pig Cost '!AE18</f>
        <v>0</v>
      </c>
      <c r="AF17" s="807">
        <f>+'Grasmere Pig Cost'!AF16+'Learig Pig Cost'!AF16+'Lionhead Pig Cost'!AF16+'Lionhead Ext. Pig Cost'!AF16+'Richlands Pig Cost'!AF16+'Porta Pig Cost'!AF16+'Multiplier Pig Cost '!AF18</f>
        <v>0</v>
      </c>
      <c r="AG17" s="807">
        <f>+'Grasmere Pig Cost'!AG16+'Learig Pig Cost'!AG16+'Lionhead Pig Cost'!AG16+'Lionhead Ext. Pig Cost'!AG16+'Richlands Pig Cost'!AG16+'Porta Pig Cost'!AG16+'Multiplier Pig Cost '!AG18</f>
        <v>0</v>
      </c>
      <c r="AH17" s="807">
        <f>+'Grasmere Pig Cost'!AH16+'Learig Pig Cost'!AH16+'Lionhead Pig Cost'!AH16+'Lionhead Ext. Pig Cost'!AH16+'Richlands Pig Cost'!AH16+'Porta Pig Cost'!AH16+'Multiplier Pig Cost '!AH18</f>
        <v>0</v>
      </c>
      <c r="AI17" s="807">
        <f>+'Grasmere Pig Cost'!AI16+'Learig Pig Cost'!AI16+'Lionhead Pig Cost'!AI16+'Lionhead Ext. Pig Cost'!AI16+'Richlands Pig Cost'!AI16+'Porta Pig Cost'!AI16+'Multiplier Pig Cost '!AI18</f>
        <v>0</v>
      </c>
      <c r="AJ17" s="807">
        <f>+'Grasmere Pig Cost'!AJ16+'Learig Pig Cost'!AJ16+'Lionhead Pig Cost'!AJ16+'Lionhead Ext. Pig Cost'!AJ16+'Richlands Pig Cost'!AJ16+'Porta Pig Cost'!AJ16+'Multiplier Pig Cost '!AJ18</f>
        <v>0</v>
      </c>
      <c r="AK17" s="807">
        <f>+'Grasmere Pig Cost'!AK16+'Learig Pig Cost'!AK16+'Lionhead Pig Cost'!AK16+'Lionhead Ext. Pig Cost'!AK16+'Richlands Pig Cost'!AK16+'Porta Pig Cost'!AK16+'Multiplier Pig Cost '!AK18</f>
        <v>0</v>
      </c>
      <c r="AL17" s="807">
        <f>+'Grasmere Pig Cost'!AL16+'Learig Pig Cost'!AL16+'Lionhead Pig Cost'!AL16+'Lionhead Ext. Pig Cost'!AL16+'Richlands Pig Cost'!AL16+'Porta Pig Cost'!AL16+'Multiplier Pig Cost '!AL18</f>
        <v>0</v>
      </c>
      <c r="AM17" s="807">
        <f>+'Grasmere Pig Cost'!AM16+'Learig Pig Cost'!AM16+'Lionhead Pig Cost'!AM16+'Lionhead Ext. Pig Cost'!AM16+'Richlands Pig Cost'!AM16+'Porta Pig Cost'!AM16+'Multiplier Pig Cost '!AM18</f>
        <v>0</v>
      </c>
      <c r="AN17" s="807">
        <f>+'Grasmere Pig Cost'!AN16+'Learig Pig Cost'!AN16+'Lionhead Pig Cost'!AN16+'Lionhead Ext. Pig Cost'!AN16+'Richlands Pig Cost'!AN16+'Porta Pig Cost'!AN16+'Multiplier Pig Cost '!AN18</f>
        <v>0</v>
      </c>
      <c r="AO17" s="807">
        <f>+'Grasmere Pig Cost'!AO16+'Learig Pig Cost'!AO16+'Lionhead Pig Cost'!AO16+'Lionhead Ext. Pig Cost'!AO16+'Richlands Pig Cost'!AO16+'Porta Pig Cost'!AO16+'Multiplier Pig Cost '!AO18</f>
        <v>0</v>
      </c>
      <c r="AP17" s="807">
        <f>+'Grasmere Pig Cost'!AP16+'Learig Pig Cost'!AP16+'Lionhead Pig Cost'!AP16+'Lionhead Ext. Pig Cost'!AP16+'Richlands Pig Cost'!AP16+'Porta Pig Cost'!AP16+'Multiplier Pig Cost '!AP18</f>
        <v>0</v>
      </c>
      <c r="AQ17" s="807">
        <f>+'Grasmere Pig Cost'!AQ16+'Learig Pig Cost'!AQ16+'Lionhead Pig Cost'!AQ16+'Lionhead Ext. Pig Cost'!AQ16+'Richlands Pig Cost'!AQ16+'Porta Pig Cost'!AQ16+'Multiplier Pig Cost '!AQ18</f>
        <v>0</v>
      </c>
      <c r="AR17" s="807">
        <f>+'Grasmere Pig Cost'!AR16+'Learig Pig Cost'!AR16+'Lionhead Pig Cost'!AR16+'Lionhead Ext. Pig Cost'!AR16+'Richlands Pig Cost'!AR16+'Porta Pig Cost'!AR16+'Multiplier Pig Cost '!AR18</f>
        <v>0</v>
      </c>
      <c r="AS17" s="807">
        <f>+'Grasmere Pig Cost'!AS16+'Learig Pig Cost'!AS16+'Lionhead Pig Cost'!AS16+'Lionhead Ext. Pig Cost'!AS16+'Richlands Pig Cost'!AS16+'Porta Pig Cost'!AS16+'Multiplier Pig Cost '!AS18</f>
        <v>0</v>
      </c>
      <c r="AT17" s="807">
        <f>+'Grasmere Pig Cost'!AT16+'Learig Pig Cost'!AT16+'Lionhead Pig Cost'!AT16+'Lionhead Ext. Pig Cost'!AT16+'Richlands Pig Cost'!AT16+'Porta Pig Cost'!AT16+'Multiplier Pig Cost '!AT18</f>
        <v>0</v>
      </c>
      <c r="AU17" s="1631">
        <f t="shared" si="10"/>
        <v>440</v>
      </c>
      <c r="AV17" s="1631">
        <f>+'Grasmere Pig Cost'!AU16+'Learig Pig Cost'!AU16+'Lionhead Pig Cost'!AU16+'Lionhead Ext. Pig Cost'!AU16+'Richlands Pig Cost'!AU16+'Porta Pig Cost'!AU16+'Multiplier Pig Cost '!AU18</f>
        <v>440</v>
      </c>
      <c r="AW17" s="818">
        <f t="shared" si="9"/>
        <v>0</v>
      </c>
      <c r="BB17" s="142">
        <f>205+351+197</f>
        <v>753</v>
      </c>
    </row>
    <row r="18" spans="1:54" ht="15.6">
      <c r="A18" s="142" t="s">
        <v>1795</v>
      </c>
      <c r="B18" s="807">
        <f>'Grasmere Pig Cost'!B17+'Learig Pig Cost'!B17+'Lionhead Pig Cost'!B17+'Lionhead Ext. Pig Cost'!B17+'Villa Pig Cost'!B17+'Richlands Pig Cost'!B17</f>
        <v>0</v>
      </c>
      <c r="C18" s="807">
        <f>'Grasmere Pig Cost'!C17+'Learig Pig Cost'!C17+'Lionhead Pig Cost'!C17+'Lionhead Ext. Pig Cost'!C17+'Villa Pig Cost'!C17+'Richlands Pig Cost'!C17</f>
        <v>0</v>
      </c>
      <c r="D18" s="807">
        <f>'Grasmere Pig Cost'!D17+'Learig Pig Cost'!D17+'Lionhead Pig Cost'!D17+'Lionhead Ext. Pig Cost'!D17+'Villa Pig Cost'!D17+'Richlands Pig Cost'!D17</f>
        <v>0</v>
      </c>
      <c r="E18" s="807">
        <f>'Grasmere Pig Cost'!E17+'Learig Pig Cost'!E17+'Lionhead Pig Cost'!E17+'Lionhead Ext. Pig Cost'!E17+'Villa Pig Cost'!E17+'Richlands Pig Cost'!E17</f>
        <v>0</v>
      </c>
      <c r="F18" s="807">
        <f>'Grasmere Pig Cost'!F17+'Learig Pig Cost'!F17+'Lionhead Pig Cost'!F17+'Lionhead Ext. Pig Cost'!F17+'Villa Pig Cost'!F17+'Richlands Pig Cost'!F17</f>
        <v>0</v>
      </c>
      <c r="G18" s="807">
        <f>'Grasmere Pig Cost'!G17+'Learig Pig Cost'!G17+'Lionhead Pig Cost'!G17+'Lionhead Ext. Pig Cost'!G17+'Villa Pig Cost'!G17+'Richlands Pig Cost'!G17</f>
        <v>0</v>
      </c>
      <c r="H18" s="807">
        <f>'Grasmere Pig Cost'!H17+'Learig Pig Cost'!H17+'Lionhead Pig Cost'!H17+'Lionhead Ext. Pig Cost'!H17+'Villa Pig Cost'!H17+'Richlands Pig Cost'!H17</f>
        <v>0</v>
      </c>
      <c r="I18" s="807">
        <f>'Grasmere Pig Cost'!I17+'Learig Pig Cost'!I17+'Lionhead Pig Cost'!I17+'Lionhead Ext. Pig Cost'!I17+'Villa Pig Cost'!I17+'Richlands Pig Cost'!I17</f>
        <v>0</v>
      </c>
      <c r="J18" s="807">
        <f>'Grasmere Pig Cost'!J17+'Learig Pig Cost'!J17+'Lionhead Pig Cost'!J17+'Lionhead Ext. Pig Cost'!J17+'Villa Pig Cost'!J17+'Richlands Pig Cost'!J17</f>
        <v>0</v>
      </c>
      <c r="K18" s="807">
        <f>'Grasmere Pig Cost'!K17+'Learig Pig Cost'!K17+'Lionhead Pig Cost'!K17+'Lionhead Ext. Pig Cost'!K17+'Villa Pig Cost'!K17+'Richlands Pig Cost'!K17</f>
        <v>0</v>
      </c>
      <c r="L18" s="807">
        <f>'Grasmere Pig Cost'!L17+'Learig Pig Cost'!L17+'Lionhead Pig Cost'!L17+'Lionhead Ext. Pig Cost'!L17+'Villa Pig Cost'!L17+'Richlands Pig Cost'!L17</f>
        <v>0</v>
      </c>
      <c r="M18" s="807">
        <f>'Grasmere Pig Cost'!M17+'Learig Pig Cost'!M17+'Lionhead Pig Cost'!M17+'Lionhead Ext. Pig Cost'!M17+'Villa Pig Cost'!M17+'Richlands Pig Cost'!M17+'Multiplier Pig Cost '!M17</f>
        <v>0</v>
      </c>
      <c r="N18" s="807">
        <f>'Grasmere Pig Cost'!N17+'Learig Pig Cost'!N17+'Lionhead Pig Cost'!N17+'Lionhead Ext. Pig Cost'!N17+'Villa Pig Cost'!N17+'Richlands Pig Cost'!N17+'Multiplier Pig Cost '!N17</f>
        <v>0</v>
      </c>
      <c r="O18" s="807">
        <f>'Grasmere Pig Cost'!O17+'Learig Pig Cost'!O17+'Lionhead Pig Cost'!O17+'Lionhead Ext. Pig Cost'!O17+'Villa Pig Cost'!O17+'Richlands Pig Cost'!O17+'Multiplier Pig Cost '!O17</f>
        <v>0</v>
      </c>
      <c r="P18" s="807">
        <f>'Grasmere Pig Cost'!P17+'Learig Pig Cost'!P17+'Lionhead Pig Cost'!P17+'Lionhead Ext. Pig Cost'!P17+'Villa Pig Cost'!P17+'Richlands Pig Cost'!P17+'Multiplier Pig Cost '!P17</f>
        <v>0</v>
      </c>
      <c r="Q18" s="807">
        <f>'Grasmere Pig Cost'!Q17+'Learig Pig Cost'!Q17+'Lionhead Pig Cost'!Q17+'Lionhead Ext. Pig Cost'!Q17+'Villa Pig Cost'!Q17+'Richlands Pig Cost'!Q17+'Multiplier Pig Cost '!Q17</f>
        <v>0</v>
      </c>
      <c r="R18" s="807">
        <f>'Grasmere Pig Cost'!R17+'Learig Pig Cost'!R17+'Lionhead Pig Cost'!R17+'Lionhead Ext. Pig Cost'!R17+'Villa Pig Cost'!R17+'Richlands Pig Cost'!R17+'Multiplier Pig Cost '!R17</f>
        <v>0</v>
      </c>
      <c r="S18" s="807">
        <f>'Grasmere Pig Cost'!S17+'Learig Pig Cost'!S17+'Lionhead Pig Cost'!S17+'Lionhead Ext. Pig Cost'!S17+'Villa Pig Cost'!S17+'Richlands Pig Cost'!S17+'Multiplier Pig Cost '!S17</f>
        <v>0</v>
      </c>
      <c r="T18" s="807">
        <f>'Grasmere Pig Cost'!T17+'Learig Pig Cost'!T17+'Lionhead Pig Cost'!T17+'Lionhead Ext. Pig Cost'!T17+'Villa Pig Cost'!T17+'Richlands Pig Cost'!T17+'Multiplier Pig Cost '!T17</f>
        <v>0</v>
      </c>
      <c r="U18" s="807">
        <f>'Grasmere Pig Cost'!U17+'Learig Pig Cost'!U17+'Lionhead Pig Cost'!U17+'Lionhead Ext. Pig Cost'!U17+'Villa Pig Cost'!U17+'Richlands Pig Cost'!U17+'Multiplier Pig Cost '!U17</f>
        <v>0</v>
      </c>
      <c r="V18" s="807">
        <f>'Grasmere Pig Cost'!V17+'Learig Pig Cost'!V17+'Lionhead Pig Cost'!V17+'Lionhead Ext. Pig Cost'!V17+'Villa Pig Cost'!V17+'Richlands Pig Cost'!V17+'Multiplier Pig Cost '!V17</f>
        <v>0</v>
      </c>
      <c r="W18" s="807">
        <f>'Grasmere Pig Cost'!W17+'Learig Pig Cost'!W17+'Lionhead Pig Cost'!W17+'Lionhead Ext. Pig Cost'!W17+'Villa Pig Cost'!W17+'Richlands Pig Cost'!W17+'Multiplier Pig Cost '!W17</f>
        <v>80</v>
      </c>
      <c r="X18" s="807">
        <f>'Grasmere Pig Cost'!X17+'Learig Pig Cost'!X17+'Lionhead Pig Cost'!X17+'Lionhead Ext. Pig Cost'!X17+'Villa Pig Cost'!X17+'Richlands Pig Cost'!X17+'Multiplier Pig Cost '!X17</f>
        <v>60</v>
      </c>
      <c r="Y18" s="807">
        <f>'Grasmere Pig Cost'!Y17+'Learig Pig Cost'!Y17+'Lionhead Pig Cost'!Y17+'Lionhead Ext. Pig Cost'!Y17+'Villa Pig Cost'!Y17+'Richlands Pig Cost'!Y17+'Multiplier Pig Cost '!Y17</f>
        <v>48</v>
      </c>
      <c r="Z18" s="807">
        <f>'Grasmere Pig Cost'!Z17+'Learig Pig Cost'!Z17+'Lionhead Pig Cost'!Z17+'Lionhead Ext. Pig Cost'!Z17+'Villa Pig Cost'!Z17+'Richlands Pig Cost'!Z17+'Multiplier Pig Cost '!Z17</f>
        <v>60</v>
      </c>
      <c r="AA18" s="807">
        <f>'Grasmere Pig Cost'!AA17+'Learig Pig Cost'!AA17+'Lionhead Pig Cost'!AA17+'Lionhead Ext. Pig Cost'!AA17+'Villa Pig Cost'!AA17+'Richlands Pig Cost'!AA17+'Multiplier Pig Cost '!AA17</f>
        <v>0</v>
      </c>
      <c r="AB18" s="807">
        <f>'Grasmere Pig Cost'!AB17+'Learig Pig Cost'!AB17+'Lionhead Pig Cost'!AB17+'Lionhead Ext. Pig Cost'!AB17+'Villa Pig Cost'!AB17+'Richlands Pig Cost'!AB17+'Multiplier Pig Cost '!AB17</f>
        <v>0</v>
      </c>
      <c r="AC18" s="807">
        <f>'Grasmere Pig Cost'!AC17+'Learig Pig Cost'!AC17+'Lionhead Pig Cost'!AC17+'Lionhead Ext. Pig Cost'!AC17+'Villa Pig Cost'!AC17+'Richlands Pig Cost'!AC17+'Multiplier Pig Cost '!AC17</f>
        <v>0</v>
      </c>
      <c r="AD18" s="807">
        <f>'Grasmere Pig Cost'!AD17+'Learig Pig Cost'!AD17+'Lionhead Pig Cost'!AD17+'Lionhead Ext. Pig Cost'!AD17+'Villa Pig Cost'!AD17+'Richlands Pig Cost'!AD17+'Multiplier Pig Cost '!AD17</f>
        <v>0</v>
      </c>
      <c r="AE18" s="807">
        <f>'Grasmere Pig Cost'!AE17+'Learig Pig Cost'!AE17+'Lionhead Pig Cost'!AE17+'Lionhead Ext. Pig Cost'!AE17+'Villa Pig Cost'!AE17+'Richlands Pig Cost'!AE17+'Multiplier Pig Cost '!AE17</f>
        <v>0</v>
      </c>
      <c r="AF18" s="807">
        <f>'Grasmere Pig Cost'!AF17+'Learig Pig Cost'!AF17+'Lionhead Pig Cost'!AF17+'Lionhead Ext. Pig Cost'!AF17+'Villa Pig Cost'!AF17+'Richlands Pig Cost'!AF17+'Multiplier Pig Cost '!AF17</f>
        <v>0</v>
      </c>
      <c r="AG18" s="807">
        <f>'Grasmere Pig Cost'!AG17+'Learig Pig Cost'!AG17+'Lionhead Pig Cost'!AG17+'Lionhead Ext. Pig Cost'!AG17+'Villa Pig Cost'!AG17+'Richlands Pig Cost'!AG17+'Multiplier Pig Cost '!AG17</f>
        <v>0</v>
      </c>
      <c r="AH18" s="807">
        <f>'Grasmere Pig Cost'!AH17+'Learig Pig Cost'!AH17+'Lionhead Pig Cost'!AH17+'Lionhead Ext. Pig Cost'!AH17+'Villa Pig Cost'!AH17+'Richlands Pig Cost'!AH17+'Multiplier Pig Cost '!AH17</f>
        <v>0</v>
      </c>
      <c r="AI18" s="807">
        <f>'Grasmere Pig Cost'!AI17+'Learig Pig Cost'!AI17+'Lionhead Pig Cost'!AI17+'Lionhead Ext. Pig Cost'!AI17+'Villa Pig Cost'!AI17+'Richlands Pig Cost'!AI17+'Multiplier Pig Cost '!AI17</f>
        <v>0</v>
      </c>
      <c r="AJ18" s="807">
        <f>'Grasmere Pig Cost'!AJ17+'Learig Pig Cost'!AJ17+'Lionhead Pig Cost'!AJ17+'Lionhead Ext. Pig Cost'!AJ17+'Villa Pig Cost'!AJ17+'Richlands Pig Cost'!AJ17+'Multiplier Pig Cost '!AJ17</f>
        <v>0</v>
      </c>
      <c r="AK18" s="807">
        <f>'Grasmere Pig Cost'!AK17+'Learig Pig Cost'!AK17+'Lionhead Pig Cost'!AK17+'Lionhead Ext. Pig Cost'!AK17+'Villa Pig Cost'!AK17+'Richlands Pig Cost'!AK17+'Multiplier Pig Cost '!AK17</f>
        <v>0</v>
      </c>
      <c r="AL18" s="807">
        <f>'Grasmere Pig Cost'!AL17+'Learig Pig Cost'!AL17+'Lionhead Pig Cost'!AL17+'Lionhead Ext. Pig Cost'!AL17+'Villa Pig Cost'!AL17+'Richlands Pig Cost'!AL17+'Multiplier Pig Cost '!AL17</f>
        <v>0</v>
      </c>
      <c r="AM18" s="807">
        <f>'Grasmere Pig Cost'!AM17+'Learig Pig Cost'!AM17+'Lionhead Pig Cost'!AM17+'Lionhead Ext. Pig Cost'!AM17+'Villa Pig Cost'!AM17+'Richlands Pig Cost'!AM17+'Multiplier Pig Cost '!AM17</f>
        <v>0</v>
      </c>
      <c r="AN18" s="807">
        <f>'Grasmere Pig Cost'!AN17+'Learig Pig Cost'!AN17+'Lionhead Pig Cost'!AN17+'Lionhead Ext. Pig Cost'!AN17+'Villa Pig Cost'!AN17+'Richlands Pig Cost'!AN17+'Multiplier Pig Cost '!AN17</f>
        <v>0</v>
      </c>
      <c r="AO18" s="807">
        <f>'Grasmere Pig Cost'!AO17+'Learig Pig Cost'!AO17+'Lionhead Pig Cost'!AO17+'Lionhead Ext. Pig Cost'!AO17+'Villa Pig Cost'!AO17+'Richlands Pig Cost'!AO17+'Multiplier Pig Cost '!AO17</f>
        <v>0</v>
      </c>
      <c r="AP18" s="807">
        <f>'Grasmere Pig Cost'!AP17+'Learig Pig Cost'!AP17+'Lionhead Pig Cost'!AP17+'Lionhead Ext. Pig Cost'!AP17+'Villa Pig Cost'!AP17+'Richlands Pig Cost'!AP17+'Multiplier Pig Cost '!AP17</f>
        <v>0</v>
      </c>
      <c r="AQ18" s="807">
        <f>'Grasmere Pig Cost'!AQ17+'Learig Pig Cost'!AQ17+'Lionhead Pig Cost'!AQ17+'Lionhead Ext. Pig Cost'!AQ17+'Villa Pig Cost'!AQ17+'Richlands Pig Cost'!AQ17+'Multiplier Pig Cost '!AQ17</f>
        <v>0</v>
      </c>
      <c r="AR18" s="807">
        <f>'Grasmere Pig Cost'!AR17+'Learig Pig Cost'!AR17+'Lionhead Pig Cost'!AR17+'Lionhead Ext. Pig Cost'!AR17+'Villa Pig Cost'!AR17+'Richlands Pig Cost'!AR17+'Multiplier Pig Cost '!AR17</f>
        <v>0</v>
      </c>
      <c r="AS18" s="807">
        <f>'Grasmere Pig Cost'!AS17+'Learig Pig Cost'!AS17+'Lionhead Pig Cost'!AS17+'Lionhead Ext. Pig Cost'!AS17+'Villa Pig Cost'!AS17+'Richlands Pig Cost'!AS17+'Multiplier Pig Cost '!AS17</f>
        <v>0</v>
      </c>
      <c r="AT18" s="807">
        <f>'Grasmere Pig Cost'!AT17+'Learig Pig Cost'!AT17+'Lionhead Pig Cost'!AT17+'Lionhead Ext. Pig Cost'!AT17+'Villa Pig Cost'!AT17+'Richlands Pig Cost'!AT17+'Multiplier Pig Cost '!AT17</f>
        <v>0</v>
      </c>
      <c r="AU18" s="1631">
        <f>SUM(B18:AT18)</f>
        <v>248</v>
      </c>
      <c r="AV18" s="1631">
        <f>+'Grasmere Pig Cost'!AU17+'Learig Pig Cost'!AU17+'Lionhead Pig Cost'!AU17+'Lionhead Ext. Pig Cost'!AU17+'Richlands Pig Cost'!AU17+'Porta Pig Cost'!AU17+'Multiplier Pig Cost '!AU17</f>
        <v>248</v>
      </c>
      <c r="AW18" s="818"/>
    </row>
    <row r="19" spans="1:54" ht="15.6">
      <c r="A19" s="142" t="s">
        <v>1796</v>
      </c>
      <c r="B19" s="807">
        <f>'Grasmere Pig Cost'!B18+'Learig Pig Cost'!B18+'Lionhead Pig Cost'!B18+'Lionhead Ext. Pig Cost'!B18+'Villa Pig Cost'!B18+'Richlands Pig Cost'!B18</f>
        <v>0</v>
      </c>
      <c r="C19" s="807">
        <f>'Grasmere Pig Cost'!C18+'Learig Pig Cost'!C18+'Lionhead Pig Cost'!C18+'Lionhead Ext. Pig Cost'!C18+'Villa Pig Cost'!C18+'Richlands Pig Cost'!C18</f>
        <v>0</v>
      </c>
      <c r="D19" s="807">
        <f>'Grasmere Pig Cost'!D18+'Learig Pig Cost'!D18+'Lionhead Pig Cost'!D18+'Lionhead Ext. Pig Cost'!D18+'Villa Pig Cost'!D18+'Richlands Pig Cost'!D18</f>
        <v>0</v>
      </c>
      <c r="E19" s="807">
        <f>'Grasmere Pig Cost'!E18+'Learig Pig Cost'!E18+'Lionhead Pig Cost'!E18+'Lionhead Ext. Pig Cost'!E18+'Villa Pig Cost'!E18+'Richlands Pig Cost'!E18</f>
        <v>0</v>
      </c>
      <c r="F19" s="807">
        <f>'Grasmere Pig Cost'!F18+'Learig Pig Cost'!F18+'Lionhead Pig Cost'!F18+'Lionhead Ext. Pig Cost'!F18+'Villa Pig Cost'!F18+'Richlands Pig Cost'!F18</f>
        <v>0</v>
      </c>
      <c r="G19" s="807">
        <f>'Grasmere Pig Cost'!G18+'Learig Pig Cost'!G18+'Lionhead Pig Cost'!G18+'Lionhead Ext. Pig Cost'!G18+'Villa Pig Cost'!G18+'Richlands Pig Cost'!G18</f>
        <v>0</v>
      </c>
      <c r="H19" s="807">
        <f>'Grasmere Pig Cost'!H18+'Learig Pig Cost'!H18+'Lionhead Pig Cost'!H18+'Lionhead Ext. Pig Cost'!H18+'Villa Pig Cost'!H18+'Richlands Pig Cost'!H18</f>
        <v>0</v>
      </c>
      <c r="I19" s="807">
        <f>'Grasmere Pig Cost'!I18+'Learig Pig Cost'!I18+'Lionhead Pig Cost'!I18+'Lionhead Ext. Pig Cost'!I18+'Villa Pig Cost'!I18+'Richlands Pig Cost'!I18</f>
        <v>0</v>
      </c>
      <c r="J19" s="807">
        <f>'Grasmere Pig Cost'!J18+'Learig Pig Cost'!J18+'Lionhead Pig Cost'!J18+'Lionhead Ext. Pig Cost'!J18+'Villa Pig Cost'!J18+'Richlands Pig Cost'!J18</f>
        <v>0</v>
      </c>
      <c r="K19" s="807">
        <f>'Grasmere Pig Cost'!K18+'Learig Pig Cost'!K18+'Lionhead Pig Cost'!K18+'Lionhead Ext. Pig Cost'!K18+'Villa Pig Cost'!K18+'Richlands Pig Cost'!K18</f>
        <v>0</v>
      </c>
      <c r="L19" s="807">
        <f>'Grasmere Pig Cost'!L18+'Learig Pig Cost'!L18+'Lionhead Pig Cost'!L18+'Lionhead Ext. Pig Cost'!L18+'Villa Pig Cost'!L18+'Richlands Pig Cost'!L18</f>
        <v>0</v>
      </c>
      <c r="M19" s="807">
        <f>'Grasmere Pig Cost'!M18+'Learig Pig Cost'!M18+'Lionhead Pig Cost'!M18+'Lionhead Ext. Pig Cost'!M18+'Villa Pig Cost'!M18+'Richlands Pig Cost'!M18+'Porta Pig Cost'!M18</f>
        <v>0</v>
      </c>
      <c r="N19" s="807">
        <f>'Grasmere Pig Cost'!N18+'Learig Pig Cost'!N18+'Lionhead Pig Cost'!N18+'Lionhead Ext. Pig Cost'!N18+'Villa Pig Cost'!N18+'Richlands Pig Cost'!N18+'Porta Pig Cost'!N18</f>
        <v>0</v>
      </c>
      <c r="O19" s="807">
        <f>'Grasmere Pig Cost'!O18+'Learig Pig Cost'!O18+'Lionhead Pig Cost'!O18+'Lionhead Ext. Pig Cost'!O18+'Villa Pig Cost'!O18+'Richlands Pig Cost'!O18+'Porta Pig Cost'!O18</f>
        <v>0</v>
      </c>
      <c r="P19" s="807">
        <f>'Grasmere Pig Cost'!P18+'Learig Pig Cost'!P18+'Lionhead Pig Cost'!P18+'Lionhead Ext. Pig Cost'!P18+'Villa Pig Cost'!P18+'Richlands Pig Cost'!P18+'Porta Pig Cost'!P18</f>
        <v>0</v>
      </c>
      <c r="Q19" s="807">
        <f>'Grasmere Pig Cost'!Q18+'Learig Pig Cost'!Q18+'Lionhead Pig Cost'!Q18+'Lionhead Ext. Pig Cost'!Q18+'Villa Pig Cost'!Q18+'Richlands Pig Cost'!Q18+'Porta Pig Cost'!Q18</f>
        <v>0</v>
      </c>
      <c r="R19" s="807">
        <f>'Grasmere Pig Cost'!R18+'Learig Pig Cost'!R18+'Lionhead Pig Cost'!R18+'Lionhead Ext. Pig Cost'!R18+'Villa Pig Cost'!R18+'Richlands Pig Cost'!R18+'Porta Pig Cost'!R18</f>
        <v>0</v>
      </c>
      <c r="S19" s="807">
        <f>'Grasmere Pig Cost'!S18+'Learig Pig Cost'!S18+'Lionhead Pig Cost'!S18+'Lionhead Ext. Pig Cost'!S18+'Villa Pig Cost'!S18+'Richlands Pig Cost'!S18+'Porta Pig Cost'!S18</f>
        <v>0</v>
      </c>
      <c r="T19" s="807">
        <f>'Grasmere Pig Cost'!T18+'Learig Pig Cost'!T18+'Lionhead Pig Cost'!T18+'Lionhead Ext. Pig Cost'!T18+'Villa Pig Cost'!T18+'Richlands Pig Cost'!T18+'Porta Pig Cost'!T18</f>
        <v>0</v>
      </c>
      <c r="U19" s="807">
        <f>'Grasmere Pig Cost'!U18+'Learig Pig Cost'!U18+'Lionhead Pig Cost'!U18+'Lionhead Ext. Pig Cost'!U18+'Villa Pig Cost'!U18+'Richlands Pig Cost'!U18+'Porta Pig Cost'!U18</f>
        <v>0</v>
      </c>
      <c r="V19" s="807">
        <f>'Grasmere Pig Cost'!V18+'Learig Pig Cost'!V18+'Lionhead Pig Cost'!V18+'Lionhead Ext. Pig Cost'!V18+'Villa Pig Cost'!V18+'Richlands Pig Cost'!V18+'Porta Pig Cost'!V18</f>
        <v>0</v>
      </c>
      <c r="W19" s="807">
        <f>'Grasmere Pig Cost'!W18+'Learig Pig Cost'!W18+'Lionhead Pig Cost'!W18+'Lionhead Ext. Pig Cost'!W18+'Villa Pig Cost'!W18+'Richlands Pig Cost'!W18+'Porta Pig Cost'!W18</f>
        <v>0</v>
      </c>
      <c r="X19" s="807">
        <f>'Grasmere Pig Cost'!X18+'Learig Pig Cost'!X18+'Lionhead Pig Cost'!X18+'Lionhead Ext. Pig Cost'!X18+'Villa Pig Cost'!X18+'Richlands Pig Cost'!X18+'Porta Pig Cost'!X18</f>
        <v>0</v>
      </c>
      <c r="Y19" s="807">
        <f>'Grasmere Pig Cost'!Y18+'Learig Pig Cost'!Y18+'Lionhead Pig Cost'!Y18+'Lionhead Ext. Pig Cost'!Y18+'Villa Pig Cost'!Y18+'Richlands Pig Cost'!Y18+'Porta Pig Cost'!Y18</f>
        <v>0</v>
      </c>
      <c r="Z19" s="807">
        <f>'Grasmere Pig Cost'!Z18+'Learig Pig Cost'!Z18+'Lionhead Pig Cost'!Z18+'Lionhead Ext. Pig Cost'!Z18+'Villa Pig Cost'!Z18+'Richlands Pig Cost'!Z18+'Porta Pig Cost'!Z18</f>
        <v>0</v>
      </c>
      <c r="AA19" s="807">
        <f>'Grasmere Pig Cost'!AA18+'Learig Pig Cost'!AA18+'Lionhead Pig Cost'!AA18+'Lionhead Ext. Pig Cost'!AA18+'Villa Pig Cost'!AA18+'Richlands Pig Cost'!AA18+'Porta Pig Cost'!AA18</f>
        <v>0</v>
      </c>
      <c r="AB19" s="807">
        <f>'Grasmere Pig Cost'!AB18+'Learig Pig Cost'!AB18+'Lionhead Pig Cost'!AB18+'Lionhead Ext. Pig Cost'!AB18+'Villa Pig Cost'!AB18+'Richlands Pig Cost'!AB18+'Porta Pig Cost'!AB18</f>
        <v>0</v>
      </c>
      <c r="AC19" s="807">
        <f>'Grasmere Pig Cost'!AC18+'Learig Pig Cost'!AC18+'Lionhead Pig Cost'!AC18+'Lionhead Ext. Pig Cost'!AC18+'Villa Pig Cost'!AC18+'Richlands Pig Cost'!AC18+'Porta Pig Cost'!AC18</f>
        <v>0</v>
      </c>
      <c r="AD19" s="807">
        <f>'Grasmere Pig Cost'!AD18+'Learig Pig Cost'!AD18+'Lionhead Pig Cost'!AD18+'Lionhead Ext. Pig Cost'!AD18+'Villa Pig Cost'!AD18+'Richlands Pig Cost'!AD18+'Porta Pig Cost'!AD18</f>
        <v>0</v>
      </c>
      <c r="AE19" s="807">
        <f>'Grasmere Pig Cost'!AE18+'Learig Pig Cost'!AE18+'Lionhead Pig Cost'!AE18+'Lionhead Ext. Pig Cost'!AE18+'Villa Pig Cost'!AE18+'Richlands Pig Cost'!AE18+'Porta Pig Cost'!AE18</f>
        <v>0</v>
      </c>
      <c r="AF19" s="807">
        <f>'Grasmere Pig Cost'!AF18+'Learig Pig Cost'!AF18+'Lionhead Pig Cost'!AF18+'Lionhead Ext. Pig Cost'!AF18+'Villa Pig Cost'!AF18+'Richlands Pig Cost'!AF18+'Porta Pig Cost'!AF18</f>
        <v>0</v>
      </c>
      <c r="AG19" s="807">
        <f>'Grasmere Pig Cost'!AG18+'Learig Pig Cost'!AG18+'Lionhead Pig Cost'!AG18+'Lionhead Ext. Pig Cost'!AG18+'Villa Pig Cost'!AG18+'Richlands Pig Cost'!AG18+'Porta Pig Cost'!AG18</f>
        <v>0</v>
      </c>
      <c r="AH19" s="807">
        <f>'Grasmere Pig Cost'!AH18+'Learig Pig Cost'!AH18+'Lionhead Pig Cost'!AH18+'Lionhead Ext. Pig Cost'!AH18+'Villa Pig Cost'!AH18+'Richlands Pig Cost'!AH18+'Porta Pig Cost'!AH18</f>
        <v>0</v>
      </c>
      <c r="AI19" s="807">
        <f>'Grasmere Pig Cost'!AI18+'Learig Pig Cost'!AI18+'Lionhead Pig Cost'!AI18+'Lionhead Ext. Pig Cost'!AI18+'Villa Pig Cost'!AI18+'Richlands Pig Cost'!AI18+'Porta Pig Cost'!AI18</f>
        <v>0</v>
      </c>
      <c r="AJ19" s="807">
        <f>'Grasmere Pig Cost'!AJ18+'Learig Pig Cost'!AJ18+'Lionhead Pig Cost'!AJ18+'Lionhead Ext. Pig Cost'!AJ18+'Villa Pig Cost'!AJ18+'Richlands Pig Cost'!AJ18+'Porta Pig Cost'!AJ18</f>
        <v>0</v>
      </c>
      <c r="AK19" s="807">
        <f>'Grasmere Pig Cost'!AK18+'Learig Pig Cost'!AK18+'Lionhead Pig Cost'!AK18+'Lionhead Ext. Pig Cost'!AK18+'Villa Pig Cost'!AK18+'Richlands Pig Cost'!AK18+'Porta Pig Cost'!AK18</f>
        <v>0</v>
      </c>
      <c r="AL19" s="807">
        <f>'Grasmere Pig Cost'!AL18+'Learig Pig Cost'!AL18+'Lionhead Pig Cost'!AL18+'Lionhead Ext. Pig Cost'!AL18+'Villa Pig Cost'!AL18+'Richlands Pig Cost'!AL18+'Porta Pig Cost'!AL18</f>
        <v>0</v>
      </c>
      <c r="AM19" s="807">
        <f>'Grasmere Pig Cost'!AM18+'Learig Pig Cost'!AM18+'Lionhead Pig Cost'!AM18+'Lionhead Ext. Pig Cost'!AM18+'Villa Pig Cost'!AM18+'Richlands Pig Cost'!AM18+'Porta Pig Cost'!AM18</f>
        <v>0</v>
      </c>
      <c r="AN19" s="807">
        <f>'Grasmere Pig Cost'!AN18+'Learig Pig Cost'!AN18+'Lionhead Pig Cost'!AN18+'Lionhead Ext. Pig Cost'!AN18+'Villa Pig Cost'!AN18+'Richlands Pig Cost'!AN18+'Porta Pig Cost'!AN18</f>
        <v>0</v>
      </c>
      <c r="AO19" s="807">
        <f>'Grasmere Pig Cost'!AO18+'Learig Pig Cost'!AO18+'Lionhead Pig Cost'!AO18+'Lionhead Ext. Pig Cost'!AO18+'Villa Pig Cost'!AO18+'Richlands Pig Cost'!AO18+'Porta Pig Cost'!AO18</f>
        <v>0</v>
      </c>
      <c r="AP19" s="807">
        <f>'Grasmere Pig Cost'!AP18+'Learig Pig Cost'!AP18+'Lionhead Pig Cost'!AP18+'Lionhead Ext. Pig Cost'!AP18+'Villa Pig Cost'!AP18+'Richlands Pig Cost'!AP18+'Porta Pig Cost'!AP18</f>
        <v>0</v>
      </c>
      <c r="AQ19" s="807">
        <f>'Grasmere Pig Cost'!AQ18+'Learig Pig Cost'!AQ18+'Lionhead Pig Cost'!AQ18+'Lionhead Ext. Pig Cost'!AQ18+'Villa Pig Cost'!AQ18+'Richlands Pig Cost'!AQ18+'Porta Pig Cost'!AQ18</f>
        <v>0</v>
      </c>
      <c r="AR19" s="807">
        <f>'Grasmere Pig Cost'!AR18+'Learig Pig Cost'!AR18+'Lionhead Pig Cost'!AR18+'Lionhead Ext. Pig Cost'!AR18+'Villa Pig Cost'!AR18+'Richlands Pig Cost'!AR18+'Porta Pig Cost'!AR18</f>
        <v>0</v>
      </c>
      <c r="AS19" s="807">
        <f>'Grasmere Pig Cost'!AS18+'Learig Pig Cost'!AS18+'Lionhead Pig Cost'!AS18+'Lionhead Ext. Pig Cost'!AS18+'Villa Pig Cost'!AS18+'Richlands Pig Cost'!AS18+'Porta Pig Cost'!AS18</f>
        <v>0</v>
      </c>
      <c r="AT19" s="807">
        <f>'Grasmere Pig Cost'!AT18+'Learig Pig Cost'!AT18+'Lionhead Pig Cost'!AT18+'Lionhead Ext. Pig Cost'!AT18+'Villa Pig Cost'!AT18+'Richlands Pig Cost'!AT18+'Porta Pig Cost'!AT18</f>
        <v>0</v>
      </c>
      <c r="AU19" s="1631">
        <f>SUM(B19:AT19)</f>
        <v>0</v>
      </c>
      <c r="AV19" s="1631">
        <f>'Grasmere Pig Cost'!AU18+'Learig Pig Cost'!AU18+'Lionhead Pig Cost'!AU18+'Lionhead Ext. Pig Cost'!AU18+'Villa Pig Cost'!AU18+'Richlands Pig Cost'!AU18+'Porta Pig Cost'!AU18</f>
        <v>0</v>
      </c>
      <c r="AW19" s="818"/>
    </row>
    <row r="20" spans="1:54" ht="15.6">
      <c r="B20" s="807">
        <f>'Grasmere Pig Cost'!B19+'Learig Pig Cost'!B19+'Lionhead Pig Cost'!B19+'Lionhead Ext. Pig Cost'!B19+'Villa Pig Cost'!B19+'Richlands Pig Cost'!B19</f>
        <v>0</v>
      </c>
      <c r="C20" s="807">
        <f>'Grasmere Pig Cost'!C19+'Learig Pig Cost'!C19+'Lionhead Pig Cost'!C19+'Lionhead Ext. Pig Cost'!C19+'Villa Pig Cost'!C19+'Richlands Pig Cost'!C19</f>
        <v>0</v>
      </c>
      <c r="D20" s="807">
        <f>'Grasmere Pig Cost'!D19+'Learig Pig Cost'!D19+'Lionhead Pig Cost'!D19+'Lionhead Ext. Pig Cost'!D19+'Villa Pig Cost'!D19+'Richlands Pig Cost'!D19</f>
        <v>0</v>
      </c>
      <c r="E20" s="807">
        <f>'Grasmere Pig Cost'!E19+'Learig Pig Cost'!E19+'Lionhead Pig Cost'!E19+'Lionhead Ext. Pig Cost'!E19+'Villa Pig Cost'!E19+'Richlands Pig Cost'!E19</f>
        <v>0</v>
      </c>
      <c r="F20" s="807">
        <f>'Grasmere Pig Cost'!F19+'Learig Pig Cost'!F19+'Lionhead Pig Cost'!F19+'Lionhead Ext. Pig Cost'!F19+'Villa Pig Cost'!F19+'Richlands Pig Cost'!F19</f>
        <v>0</v>
      </c>
      <c r="G20" s="807">
        <f>'Grasmere Pig Cost'!G19+'Learig Pig Cost'!G19+'Lionhead Pig Cost'!G19+'Lionhead Ext. Pig Cost'!G19+'Villa Pig Cost'!G19+'Richlands Pig Cost'!G19</f>
        <v>0</v>
      </c>
      <c r="H20" s="807">
        <f>'Grasmere Pig Cost'!H19+'Learig Pig Cost'!H19+'Lionhead Pig Cost'!H19+'Lionhead Ext. Pig Cost'!H19+'Villa Pig Cost'!H19+'Richlands Pig Cost'!H19</f>
        <v>0</v>
      </c>
      <c r="I20" s="807">
        <f>'Grasmere Pig Cost'!I19+'Learig Pig Cost'!I19+'Lionhead Pig Cost'!I19+'Lionhead Ext. Pig Cost'!I19+'Villa Pig Cost'!I19+'Richlands Pig Cost'!I19</f>
        <v>0</v>
      </c>
      <c r="J20" s="807">
        <f>'Grasmere Pig Cost'!J19+'Learig Pig Cost'!J19+'Lionhead Pig Cost'!J19+'Lionhead Ext. Pig Cost'!J19+'Villa Pig Cost'!J19+'Richlands Pig Cost'!J19</f>
        <v>0</v>
      </c>
      <c r="K20" s="807">
        <f>'Grasmere Pig Cost'!K19+'Learig Pig Cost'!K19+'Lionhead Pig Cost'!K19+'Lionhead Ext. Pig Cost'!K19+'Villa Pig Cost'!K19+'Richlands Pig Cost'!K19</f>
        <v>0</v>
      </c>
      <c r="L20" s="807">
        <f>'Grasmere Pig Cost'!L19+'Learig Pig Cost'!L19+'Lionhead Pig Cost'!L19+'Lionhead Ext. Pig Cost'!L19+'Villa Pig Cost'!L19+'Richlands Pig Cost'!L19</f>
        <v>0</v>
      </c>
      <c r="M20" s="807">
        <f>'Grasmere Pig Cost'!M19+'Learig Pig Cost'!M19+'Lionhead Pig Cost'!M19+'Lionhead Ext. Pig Cost'!M19+'Villa Pig Cost'!M19+'Richlands Pig Cost'!M19</f>
        <v>0</v>
      </c>
      <c r="N20" s="807">
        <f>'Grasmere Pig Cost'!N19+'Learig Pig Cost'!N19+'Lionhead Pig Cost'!N19+'Lionhead Ext. Pig Cost'!N19+'Villa Pig Cost'!N19+'Richlands Pig Cost'!N19</f>
        <v>0</v>
      </c>
      <c r="O20" s="807">
        <f>'Grasmere Pig Cost'!O19+'Learig Pig Cost'!O19+'Lionhead Pig Cost'!O19+'Lionhead Ext. Pig Cost'!O19+'Villa Pig Cost'!O19+'Richlands Pig Cost'!O19</f>
        <v>0</v>
      </c>
      <c r="P20" s="807">
        <f>'Grasmere Pig Cost'!P19+'Learig Pig Cost'!P19+'Lionhead Pig Cost'!P19+'Lionhead Ext. Pig Cost'!P19+'Villa Pig Cost'!P19+'Richlands Pig Cost'!P19</f>
        <v>0</v>
      </c>
      <c r="Q20" s="807">
        <f>'Grasmere Pig Cost'!Q19+'Learig Pig Cost'!Q19+'Lionhead Pig Cost'!Q19+'Lionhead Ext. Pig Cost'!Q19+'Villa Pig Cost'!Q19+'Richlands Pig Cost'!Q19</f>
        <v>0</v>
      </c>
      <c r="R20" s="807">
        <f>'Grasmere Pig Cost'!R19+'Learig Pig Cost'!R19+'Lionhead Pig Cost'!R19+'Lionhead Ext. Pig Cost'!R19+'Villa Pig Cost'!R19+'Richlands Pig Cost'!R19</f>
        <v>0</v>
      </c>
      <c r="S20" s="807">
        <f>'Grasmere Pig Cost'!S19+'Learig Pig Cost'!S19+'Lionhead Pig Cost'!S19+'Lionhead Ext. Pig Cost'!S19+'Villa Pig Cost'!S19+'Richlands Pig Cost'!S19</f>
        <v>0</v>
      </c>
      <c r="T20" s="807">
        <f>'Grasmere Pig Cost'!T19+'Learig Pig Cost'!T19+'Lionhead Pig Cost'!T19+'Lionhead Ext. Pig Cost'!T19+'Villa Pig Cost'!T19+'Richlands Pig Cost'!T19</f>
        <v>0</v>
      </c>
      <c r="U20" s="807">
        <f>'Grasmere Pig Cost'!U19+'Learig Pig Cost'!U19+'Lionhead Pig Cost'!U19+'Lionhead Ext. Pig Cost'!U19+'Villa Pig Cost'!U19+'Richlands Pig Cost'!U19</f>
        <v>0</v>
      </c>
      <c r="V20" s="807">
        <f>'Grasmere Pig Cost'!V19+'Learig Pig Cost'!V19+'Lionhead Pig Cost'!V19+'Lionhead Ext. Pig Cost'!V19+'Villa Pig Cost'!V19+'Richlands Pig Cost'!V19</f>
        <v>0</v>
      </c>
      <c r="W20" s="807">
        <f>'Grasmere Pig Cost'!W19+'Learig Pig Cost'!W19+'Lionhead Pig Cost'!W19+'Lionhead Ext. Pig Cost'!W19+'Villa Pig Cost'!W19+'Richlands Pig Cost'!W19</f>
        <v>0</v>
      </c>
      <c r="X20" s="807">
        <f>'Grasmere Pig Cost'!X19+'Learig Pig Cost'!X19+'Lionhead Pig Cost'!X19+'Lionhead Ext. Pig Cost'!X19+'Villa Pig Cost'!X19+'Richlands Pig Cost'!X19</f>
        <v>0</v>
      </c>
      <c r="Y20" s="807">
        <f>'Grasmere Pig Cost'!Y19+'Learig Pig Cost'!Y19+'Lionhead Pig Cost'!Y19+'Lionhead Ext. Pig Cost'!Y19+'Villa Pig Cost'!Y19+'Richlands Pig Cost'!Y19</f>
        <v>0</v>
      </c>
      <c r="Z20" s="807">
        <f>'Grasmere Pig Cost'!Z19+'Learig Pig Cost'!Z19+'Lionhead Pig Cost'!Z19+'Lionhead Ext. Pig Cost'!Z19+'Villa Pig Cost'!Z19+'Richlands Pig Cost'!Z19</f>
        <v>0</v>
      </c>
      <c r="AA20" s="807">
        <f>'Grasmere Pig Cost'!AA19+'Learig Pig Cost'!AA19+'Lionhead Pig Cost'!AA19+'Lionhead Ext. Pig Cost'!AA19+'Villa Pig Cost'!AA19+'Richlands Pig Cost'!AA19</f>
        <v>0</v>
      </c>
      <c r="AB20" s="807">
        <f>'Grasmere Pig Cost'!AB19+'Learig Pig Cost'!AB19+'Lionhead Pig Cost'!AB19+'Lionhead Ext. Pig Cost'!AB19+'Villa Pig Cost'!AB19+'Richlands Pig Cost'!AB19</f>
        <v>0</v>
      </c>
      <c r="AC20" s="807">
        <f>'Grasmere Pig Cost'!AC19+'Learig Pig Cost'!AC19+'Lionhead Pig Cost'!AC19+'Lionhead Ext. Pig Cost'!AC19+'Villa Pig Cost'!AC19+'Richlands Pig Cost'!AC19</f>
        <v>0</v>
      </c>
      <c r="AD20" s="807">
        <f>'Grasmere Pig Cost'!AD19+'Learig Pig Cost'!AD19+'Lionhead Pig Cost'!AD19+'Lionhead Ext. Pig Cost'!AD19+'Villa Pig Cost'!AD19+'Richlands Pig Cost'!AD19</f>
        <v>0</v>
      </c>
      <c r="AE20" s="807">
        <f>'Grasmere Pig Cost'!AE19+'Learig Pig Cost'!AE19+'Lionhead Pig Cost'!AE19+'Lionhead Ext. Pig Cost'!AE19+'Villa Pig Cost'!AE19+'Richlands Pig Cost'!AE19</f>
        <v>0</v>
      </c>
      <c r="AF20" s="807">
        <f>'Grasmere Pig Cost'!AF19+'Learig Pig Cost'!AF19+'Lionhead Pig Cost'!AF19+'Lionhead Ext. Pig Cost'!AF19+'Villa Pig Cost'!AF19+'Richlands Pig Cost'!AF19</f>
        <v>0</v>
      </c>
      <c r="AG20" s="807">
        <f>'Grasmere Pig Cost'!AG19+'Learig Pig Cost'!AG19+'Lionhead Pig Cost'!AG19+'Lionhead Ext. Pig Cost'!AG19+'Villa Pig Cost'!AG19+'Richlands Pig Cost'!AG19</f>
        <v>0</v>
      </c>
      <c r="AH20" s="807">
        <f>'Grasmere Pig Cost'!AH19+'Learig Pig Cost'!AH19+'Lionhead Pig Cost'!AH19+'Lionhead Ext. Pig Cost'!AH19+'Villa Pig Cost'!AH19+'Richlands Pig Cost'!AH19</f>
        <v>0</v>
      </c>
      <c r="AI20" s="807">
        <f>'Grasmere Pig Cost'!AI19+'Learig Pig Cost'!AI19+'Lionhead Pig Cost'!AI19+'Lionhead Ext. Pig Cost'!AI19+'Villa Pig Cost'!AI19+'Richlands Pig Cost'!AI19</f>
        <v>0</v>
      </c>
      <c r="AJ20" s="807">
        <f>'Grasmere Pig Cost'!AJ19+'Learig Pig Cost'!AJ19+'Lionhead Pig Cost'!AJ19+'Lionhead Ext. Pig Cost'!AJ19+'Villa Pig Cost'!AJ19+'Richlands Pig Cost'!AJ19</f>
        <v>0</v>
      </c>
      <c r="AK20" s="807">
        <f>'Grasmere Pig Cost'!AK19+'Learig Pig Cost'!AK19+'Lionhead Pig Cost'!AK19+'Lionhead Ext. Pig Cost'!AK19+'Villa Pig Cost'!AK19+'Richlands Pig Cost'!AK19</f>
        <v>0</v>
      </c>
      <c r="AL20" s="807">
        <f>'Grasmere Pig Cost'!AL19+'Learig Pig Cost'!AL19+'Lionhead Pig Cost'!AL19+'Lionhead Ext. Pig Cost'!AL19+'Villa Pig Cost'!AL19+'Richlands Pig Cost'!AL19</f>
        <v>0</v>
      </c>
      <c r="AM20" s="807">
        <f>'Grasmere Pig Cost'!AM19+'Learig Pig Cost'!AM19+'Lionhead Pig Cost'!AM19+'Lionhead Ext. Pig Cost'!AM19+'Villa Pig Cost'!AM19+'Richlands Pig Cost'!AM19</f>
        <v>0</v>
      </c>
      <c r="AN20" s="807">
        <f>'Grasmere Pig Cost'!AN19+'Learig Pig Cost'!AN19+'Lionhead Pig Cost'!AN19+'Lionhead Ext. Pig Cost'!AN19+'Villa Pig Cost'!AN19+'Richlands Pig Cost'!AN19</f>
        <v>0</v>
      </c>
      <c r="AO20" s="807">
        <f>'Grasmere Pig Cost'!AO19+'Learig Pig Cost'!AO19+'Lionhead Pig Cost'!AO19+'Lionhead Ext. Pig Cost'!AO19+'Villa Pig Cost'!AO19+'Richlands Pig Cost'!AO19</f>
        <v>0</v>
      </c>
      <c r="AP20" s="807">
        <f>'Grasmere Pig Cost'!AP19+'Learig Pig Cost'!AP19+'Lionhead Pig Cost'!AP19+'Lionhead Ext. Pig Cost'!AP19+'Villa Pig Cost'!AP19+'Richlands Pig Cost'!AP19</f>
        <v>0</v>
      </c>
      <c r="AQ20" s="807">
        <f>'Grasmere Pig Cost'!AQ19+'Learig Pig Cost'!AQ19+'Lionhead Pig Cost'!AQ19+'Lionhead Ext. Pig Cost'!AQ19+'Villa Pig Cost'!AQ19+'Richlands Pig Cost'!AQ19</f>
        <v>0</v>
      </c>
      <c r="AR20" s="807">
        <f>'Grasmere Pig Cost'!AR19+'Learig Pig Cost'!AR19+'Lionhead Pig Cost'!AR19+'Lionhead Ext. Pig Cost'!AR19+'Villa Pig Cost'!AR19+'Richlands Pig Cost'!AR19</f>
        <v>0</v>
      </c>
      <c r="AS20" s="807">
        <f>'Grasmere Pig Cost'!AS19+'Learig Pig Cost'!AS19+'Lionhead Pig Cost'!AS19+'Lionhead Ext. Pig Cost'!AS19+'Villa Pig Cost'!AS19+'Richlands Pig Cost'!AS19</f>
        <v>0</v>
      </c>
      <c r="AT20" s="807">
        <f>'Grasmere Pig Cost'!AT19+'Learig Pig Cost'!AT19+'Lionhead Pig Cost'!AT19+'Lionhead Ext. Pig Cost'!AT19+'Villa Pig Cost'!AT19+'Richlands Pig Cost'!AT19</f>
        <v>0</v>
      </c>
      <c r="AU20" s="1631"/>
      <c r="AV20" s="1631"/>
      <c r="AW20" s="818"/>
    </row>
    <row r="21" spans="1:54" ht="15.6">
      <c r="A21" s="142" t="s">
        <v>1797</v>
      </c>
      <c r="B21" s="807">
        <f>+'Grasmere Pig Cost'!B20+'Learig Pig Cost'!B20+'Lionhead Pig Cost'!B20+'Lionhead Ext. Pig Cost'!B20+'Villa Pig Cost'!B20+'Richlands Pig Cost'!B20+'Porta Pig Cost'!B20</f>
        <v>0</v>
      </c>
      <c r="C21" s="807">
        <f>+'Grasmere Pig Cost'!C20+'Learig Pig Cost'!C20+'Lionhead Pig Cost'!C20+'Lionhead Ext. Pig Cost'!C20+'Villa Pig Cost'!C20+'Richlands Pig Cost'!C20+'Porta Pig Cost'!C20</f>
        <v>0</v>
      </c>
      <c r="D21" s="807">
        <f>+'Grasmere Pig Cost'!D20+'Learig Pig Cost'!D20+'Lionhead Pig Cost'!D20+'Lionhead Ext. Pig Cost'!D20+'Villa Pig Cost'!D20+'Richlands Pig Cost'!D20+'Porta Pig Cost'!D20</f>
        <v>0</v>
      </c>
      <c r="E21" s="807">
        <f>+'Grasmere Pig Cost'!E20+'Learig Pig Cost'!E20+'Lionhead Pig Cost'!E20+'Lionhead Ext. Pig Cost'!E20+'Villa Pig Cost'!E20+'Richlands Pig Cost'!E20+'Porta Pig Cost'!E20</f>
        <v>0</v>
      </c>
      <c r="F21" s="807">
        <f>+'Grasmere Pig Cost'!F20+'Learig Pig Cost'!F20+'Lionhead Pig Cost'!F20+'Lionhead Ext. Pig Cost'!F20+'Villa Pig Cost'!F20+'Richlands Pig Cost'!F20+'Porta Pig Cost'!F20</f>
        <v>0</v>
      </c>
      <c r="G21" s="807">
        <f>+'Grasmere Pig Cost'!G20+'Learig Pig Cost'!G20+'Lionhead Pig Cost'!G20+'Lionhead Ext. Pig Cost'!G20+'Villa Pig Cost'!G20+'Richlands Pig Cost'!G20+'Porta Pig Cost'!G20</f>
        <v>0</v>
      </c>
      <c r="H21" s="807">
        <f>+'Grasmere Pig Cost'!H20+'Learig Pig Cost'!H20+'Lionhead Pig Cost'!H20+'Lionhead Ext. Pig Cost'!H20+'Villa Pig Cost'!H20+'Richlands Pig Cost'!H20+'Porta Pig Cost'!H20</f>
        <v>0</v>
      </c>
      <c r="I21" s="807">
        <f>+'Grasmere Pig Cost'!I20+'Learig Pig Cost'!I20+'Lionhead Pig Cost'!I20+'Lionhead Ext. Pig Cost'!I20+'Villa Pig Cost'!I20+'Richlands Pig Cost'!I20+'Porta Pig Cost'!I20</f>
        <v>0</v>
      </c>
      <c r="J21" s="807">
        <f>+'Grasmere Pig Cost'!J20+'Learig Pig Cost'!J20+'Lionhead Pig Cost'!J20+'Lionhead Ext. Pig Cost'!J20+'Villa Pig Cost'!J20+'Richlands Pig Cost'!J20+'Porta Pig Cost'!J20</f>
        <v>0</v>
      </c>
      <c r="K21" s="807">
        <f>+'Grasmere Pig Cost'!K20+'Learig Pig Cost'!K20+'Lionhead Pig Cost'!K20+'Lionhead Ext. Pig Cost'!K20+'Villa Pig Cost'!K20+'Richlands Pig Cost'!K20+'Porta Pig Cost'!K20</f>
        <v>0</v>
      </c>
      <c r="L21" s="807">
        <f>+'Grasmere Pig Cost'!L20+'Learig Pig Cost'!L20+'Lionhead Pig Cost'!L20+'Lionhead Ext. Pig Cost'!L20+'Villa Pig Cost'!L20+'Richlands Pig Cost'!L20+'Porta Pig Cost'!L20</f>
        <v>0</v>
      </c>
      <c r="M21" s="807">
        <f>+'Grasmere Pig Cost'!M20+'Learig Pig Cost'!M20+'Lionhead Pig Cost'!M20+'Lionhead Ext. Pig Cost'!M20+'Villa Pig Cost'!M20+'Richlands Pig Cost'!M20+'Porta Pig Cost'!M20+'Multiplier Pig Cost '!M20</f>
        <v>0</v>
      </c>
      <c r="N21" s="807">
        <f>+'Grasmere Pig Cost'!N20+'Learig Pig Cost'!N20+'Lionhead Pig Cost'!N20+'Lionhead Ext. Pig Cost'!N20+'Villa Pig Cost'!N20+'Richlands Pig Cost'!N20+'Porta Pig Cost'!N20+'Multiplier Pig Cost '!N20</f>
        <v>0</v>
      </c>
      <c r="O21" s="807">
        <f>+'Grasmere Pig Cost'!O20+'Learig Pig Cost'!O20+'Lionhead Pig Cost'!O20+'Lionhead Ext. Pig Cost'!O20+'Villa Pig Cost'!O20+'Richlands Pig Cost'!O20+'Porta Pig Cost'!O20+'Multiplier Pig Cost '!O20</f>
        <v>0</v>
      </c>
      <c r="P21" s="807">
        <f>+'Grasmere Pig Cost'!P20+'Learig Pig Cost'!P20+'Lionhead Pig Cost'!P20+'Lionhead Ext. Pig Cost'!P20+'Villa Pig Cost'!P20+'Richlands Pig Cost'!P20+'Porta Pig Cost'!P20+'Multiplier Pig Cost '!P20</f>
        <v>0</v>
      </c>
      <c r="Q21" s="807">
        <f>+'Grasmere Pig Cost'!Q20+'Learig Pig Cost'!Q20+'Lionhead Pig Cost'!Q20+'Lionhead Ext. Pig Cost'!Q20+'Villa Pig Cost'!Q20+'Richlands Pig Cost'!Q20+'Porta Pig Cost'!Q20+'Multiplier Pig Cost '!Q20</f>
        <v>0</v>
      </c>
      <c r="R21" s="807">
        <f>+'Grasmere Pig Cost'!R20+'Learig Pig Cost'!R20+'Lionhead Pig Cost'!R20+'Lionhead Ext. Pig Cost'!R20+'Villa Pig Cost'!R20+'Richlands Pig Cost'!R20+'Porta Pig Cost'!R20+'Multiplier Pig Cost '!R20</f>
        <v>0</v>
      </c>
      <c r="S21" s="807">
        <f>+'Grasmere Pig Cost'!S20+'Learig Pig Cost'!S20+'Lionhead Pig Cost'!S20+'Lionhead Ext. Pig Cost'!S20+'Villa Pig Cost'!S20+'Richlands Pig Cost'!S20+'Porta Pig Cost'!S20+'Multiplier Pig Cost '!S20</f>
        <v>0</v>
      </c>
      <c r="T21" s="807">
        <f>+'Grasmere Pig Cost'!T20+'Learig Pig Cost'!T20+'Lionhead Pig Cost'!T20+'Lionhead Ext. Pig Cost'!T20+'Villa Pig Cost'!T20+'Richlands Pig Cost'!T20+'Porta Pig Cost'!T20+'Multiplier Pig Cost '!T20</f>
        <v>0</v>
      </c>
      <c r="U21" s="807">
        <f>+'Grasmere Pig Cost'!U20+'Learig Pig Cost'!U20+'Lionhead Pig Cost'!U20+'Lionhead Ext. Pig Cost'!U20+'Villa Pig Cost'!U20+'Richlands Pig Cost'!U20+'Porta Pig Cost'!U20+'Multiplier Pig Cost '!U20</f>
        <v>0</v>
      </c>
      <c r="V21" s="807">
        <f>+'Grasmere Pig Cost'!V20+'Learig Pig Cost'!V20+'Lionhead Pig Cost'!V20+'Lionhead Ext. Pig Cost'!V20+'Villa Pig Cost'!V20+'Richlands Pig Cost'!V20+'Porta Pig Cost'!V20+'Multiplier Pig Cost '!V20</f>
        <v>0</v>
      </c>
      <c r="W21" s="807">
        <f>+'Grasmere Pig Cost'!W20+'Learig Pig Cost'!W20+'Lionhead Pig Cost'!W20+'Lionhead Ext. Pig Cost'!W20+'Villa Pig Cost'!W20+'Richlands Pig Cost'!W20+'Porta Pig Cost'!W20+'Multiplier Pig Cost '!W20</f>
        <v>0</v>
      </c>
      <c r="X21" s="807">
        <f>+'Grasmere Pig Cost'!X20+'Learig Pig Cost'!X20+'Lionhead Pig Cost'!X20+'Lionhead Ext. Pig Cost'!X20+'Villa Pig Cost'!X20+'Richlands Pig Cost'!X20+'Porta Pig Cost'!X20+'Multiplier Pig Cost '!X20</f>
        <v>0</v>
      </c>
      <c r="Y21" s="807">
        <f>+'Grasmere Pig Cost'!Y20+'Learig Pig Cost'!Y20+'Lionhead Pig Cost'!Y20+'Lionhead Ext. Pig Cost'!Y20+'Villa Pig Cost'!Y20+'Richlands Pig Cost'!Y20+'Porta Pig Cost'!Y20+'Multiplier Pig Cost '!Y20</f>
        <v>0</v>
      </c>
      <c r="Z21" s="807">
        <f>+'Grasmere Pig Cost'!Z20+'Learig Pig Cost'!Z20+'Lionhead Pig Cost'!Z20+'Lionhead Ext. Pig Cost'!Z20+'Villa Pig Cost'!Z20+'Richlands Pig Cost'!Z20+'Porta Pig Cost'!Z20+'Multiplier Pig Cost '!Z20</f>
        <v>0</v>
      </c>
      <c r="AA21" s="807">
        <f>+'Grasmere Pig Cost'!AA20+'Learig Pig Cost'!AA20+'Lionhead Pig Cost'!AA20+'Lionhead Ext. Pig Cost'!AA20+'Villa Pig Cost'!AA20+'Richlands Pig Cost'!AA20+'Porta Pig Cost'!AA20+'Multiplier Pig Cost '!AA20</f>
        <v>0</v>
      </c>
      <c r="AB21" s="807">
        <f>+'Grasmere Pig Cost'!AB20+'Learig Pig Cost'!AB20+'Lionhead Pig Cost'!AB20+'Lionhead Ext. Pig Cost'!AB20+'Villa Pig Cost'!AB20+'Richlands Pig Cost'!AB20+'Porta Pig Cost'!AB20+'Multiplier Pig Cost '!AB20</f>
        <v>0</v>
      </c>
      <c r="AC21" s="807">
        <f>+'Grasmere Pig Cost'!AC20+'Learig Pig Cost'!AC20+'Lionhead Pig Cost'!AC20+'Lionhead Ext. Pig Cost'!AC20+'Villa Pig Cost'!AC20+'Richlands Pig Cost'!AC20+'Porta Pig Cost'!AC20+'Multiplier Pig Cost '!AC20</f>
        <v>0</v>
      </c>
      <c r="AD21" s="807">
        <f>+'Grasmere Pig Cost'!AD20+'Learig Pig Cost'!AD20+'Lionhead Pig Cost'!AD20+'Lionhead Ext. Pig Cost'!AD20+'Villa Pig Cost'!AD20+'Richlands Pig Cost'!AD20+'Porta Pig Cost'!AD20+'Multiplier Pig Cost '!AD20</f>
        <v>0</v>
      </c>
      <c r="AE21" s="807">
        <f>+'Grasmere Pig Cost'!AE20+'Learig Pig Cost'!AE20+'Lionhead Pig Cost'!AE20+'Lionhead Ext. Pig Cost'!AE20+'Villa Pig Cost'!AE20+'Richlands Pig Cost'!AE20+'Porta Pig Cost'!AE20+'Multiplier Pig Cost '!AE20</f>
        <v>0</v>
      </c>
      <c r="AF21" s="807">
        <f>+'Grasmere Pig Cost'!AF20+'Learig Pig Cost'!AF20+'Lionhead Pig Cost'!AF20+'Lionhead Ext. Pig Cost'!AF20+'Villa Pig Cost'!AF20+'Richlands Pig Cost'!AF20+'Porta Pig Cost'!AF20+'Multiplier Pig Cost '!AF20</f>
        <v>0</v>
      </c>
      <c r="AG21" s="807">
        <f>+'Grasmere Pig Cost'!AG20+'Learig Pig Cost'!AG20+'Lionhead Pig Cost'!AG20+'Lionhead Ext. Pig Cost'!AG20+'Villa Pig Cost'!AG20+'Richlands Pig Cost'!AG20+'Porta Pig Cost'!AG20+'Multiplier Pig Cost '!AG20</f>
        <v>0</v>
      </c>
      <c r="AH21" s="807">
        <f>+'Grasmere Pig Cost'!AH20+'Learig Pig Cost'!AH20+'Lionhead Pig Cost'!AH20+'Lionhead Ext. Pig Cost'!AH20+'Villa Pig Cost'!AH20+'Richlands Pig Cost'!AH20+'Porta Pig Cost'!AH20+'Multiplier Pig Cost '!AH20</f>
        <v>0</v>
      </c>
      <c r="AI21" s="807">
        <f>+'Grasmere Pig Cost'!AI20+'Learig Pig Cost'!AI20+'Lionhead Pig Cost'!AI20+'Lionhead Ext. Pig Cost'!AI20+'Villa Pig Cost'!AI20+'Richlands Pig Cost'!AI20+'Porta Pig Cost'!AI20+'Multiplier Pig Cost '!AI20</f>
        <v>0</v>
      </c>
      <c r="AJ21" s="807">
        <f>+'Grasmere Pig Cost'!AJ20+'Learig Pig Cost'!AJ20+'Lionhead Pig Cost'!AJ20+'Lionhead Ext. Pig Cost'!AJ20+'Villa Pig Cost'!AJ20+'Richlands Pig Cost'!AJ20+'Porta Pig Cost'!AJ20+'Multiplier Pig Cost '!AJ20</f>
        <v>0</v>
      </c>
      <c r="AK21" s="807">
        <f>+'Grasmere Pig Cost'!AK20+'Learig Pig Cost'!AK20+'Lionhead Pig Cost'!AK20+'Lionhead Ext. Pig Cost'!AK20+'Villa Pig Cost'!AK20+'Richlands Pig Cost'!AK20+'Porta Pig Cost'!AK20+'Multiplier Pig Cost '!AK20</f>
        <v>0</v>
      </c>
      <c r="AL21" s="807">
        <f>+'Grasmere Pig Cost'!AL20+'Learig Pig Cost'!AL20+'Lionhead Pig Cost'!AL20+'Lionhead Ext. Pig Cost'!AL20+'Villa Pig Cost'!AL20+'Richlands Pig Cost'!AL20+'Porta Pig Cost'!AL20+'Multiplier Pig Cost '!AL20</f>
        <v>0</v>
      </c>
      <c r="AM21" s="807">
        <f>+'Grasmere Pig Cost'!AM20+'Learig Pig Cost'!AM20+'Lionhead Pig Cost'!AM20+'Lionhead Ext. Pig Cost'!AM20+'Villa Pig Cost'!AM20+'Richlands Pig Cost'!AM20+'Porta Pig Cost'!AM20+'Multiplier Pig Cost '!AM20</f>
        <v>0</v>
      </c>
      <c r="AN21" s="807">
        <f>+'Grasmere Pig Cost'!AN20+'Learig Pig Cost'!AN20+'Lionhead Pig Cost'!AN20+'Lionhead Ext. Pig Cost'!AN20+'Villa Pig Cost'!AN20+'Richlands Pig Cost'!AN20+'Porta Pig Cost'!AN20+'Multiplier Pig Cost '!AN20</f>
        <v>0</v>
      </c>
      <c r="AO21" s="807">
        <f>+'Grasmere Pig Cost'!AO20+'Learig Pig Cost'!AO20+'Lionhead Pig Cost'!AO20+'Lionhead Ext. Pig Cost'!AO20+'Villa Pig Cost'!AO20+'Richlands Pig Cost'!AO20+'Porta Pig Cost'!AO20+'Multiplier Pig Cost '!AO20</f>
        <v>0</v>
      </c>
      <c r="AP21" s="807">
        <f>+'Grasmere Pig Cost'!AP20+'Learig Pig Cost'!AP20+'Lionhead Pig Cost'!AP20+'Lionhead Ext. Pig Cost'!AP20+'Villa Pig Cost'!AP20+'Richlands Pig Cost'!AP20+'Porta Pig Cost'!AP20+'Multiplier Pig Cost '!AP20</f>
        <v>-2</v>
      </c>
      <c r="AQ21" s="807">
        <f>+'Grasmere Pig Cost'!AQ20+'Learig Pig Cost'!AQ20+'Lionhead Pig Cost'!AQ20+'Lionhead Ext. Pig Cost'!AQ20+'Villa Pig Cost'!AQ20+'Richlands Pig Cost'!AQ20+'Porta Pig Cost'!AQ20+'Multiplier Pig Cost '!AQ20</f>
        <v>0</v>
      </c>
      <c r="AR21" s="807">
        <f>+'Grasmere Pig Cost'!AR20+'Learig Pig Cost'!AR20+'Lionhead Pig Cost'!AR20+'Lionhead Ext. Pig Cost'!AR20+'Villa Pig Cost'!AR20+'Richlands Pig Cost'!AR20+'Porta Pig Cost'!AR20+'Multiplier Pig Cost '!AR20</f>
        <v>-2</v>
      </c>
      <c r="AS21" s="807">
        <f>+'Grasmere Pig Cost'!AS20+'Learig Pig Cost'!AS20+'Lionhead Pig Cost'!AS20+'Lionhead Ext. Pig Cost'!AS20+'Villa Pig Cost'!AS20+'Richlands Pig Cost'!AS20+'Porta Pig Cost'!AS20+'Multiplier Pig Cost '!AS20</f>
        <v>0</v>
      </c>
      <c r="AT21" s="807">
        <f>+'Grasmere Pig Cost'!AT20+'Learig Pig Cost'!AT20+'Lionhead Pig Cost'!AT20+'Lionhead Ext. Pig Cost'!AT20+'Villa Pig Cost'!AT20+'Richlands Pig Cost'!AT20+'Porta Pig Cost'!AT20+'Multiplier Pig Cost '!AT20</f>
        <v>0</v>
      </c>
      <c r="AU21" s="807">
        <f>SUM(B21:AT21)</f>
        <v>-4</v>
      </c>
      <c r="AV21" s="1632">
        <f>+'Grasmere Pig Cost'!AU20+'Learig Pig Cost'!AU20+'Lionhead Pig Cost'!AU20+'Lionhead Ext. Pig Cost'!AU20+'Villa Pig Cost'!AU20+'Richlands Pig Cost'!AU20+'Porta Pig Cost'!AU20+'Multiplier Pig Cost '!AU20</f>
        <v>-4</v>
      </c>
      <c r="AW21" s="818">
        <f t="shared" si="9"/>
        <v>0</v>
      </c>
    </row>
    <row r="22" spans="1:54" ht="15.6">
      <c r="A22" s="142" t="s">
        <v>1798</v>
      </c>
      <c r="B22" s="807">
        <f>+'Grasmere Pig Cost'!B21+'Learig Pig Cost'!B21+'Lionhead Pig Cost'!B21+'Lionhead Ext. Pig Cost'!B21+'Villa Pig Cost'!B21+'Richlands Pig Cost'!B21+'Porta Pig Cost'!B21</f>
        <v>0</v>
      </c>
      <c r="C22" s="807">
        <f>+'Grasmere Pig Cost'!C21+'Learig Pig Cost'!C21+'Lionhead Pig Cost'!C21+'Lionhead Ext. Pig Cost'!C21+'Villa Pig Cost'!C21+'Richlands Pig Cost'!C21+'Porta Pig Cost'!C21</f>
        <v>0</v>
      </c>
      <c r="D22" s="807">
        <f>+'Grasmere Pig Cost'!D21+'Learig Pig Cost'!D21+'Lionhead Pig Cost'!D21+'Lionhead Ext. Pig Cost'!D21+'Villa Pig Cost'!D21+'Richlands Pig Cost'!D21+'Porta Pig Cost'!D21</f>
        <v>0</v>
      </c>
      <c r="E22" s="807">
        <f>+'Grasmere Pig Cost'!E21+'Learig Pig Cost'!E21+'Lionhead Pig Cost'!E21+'Lionhead Ext. Pig Cost'!E21+'Villa Pig Cost'!E21+'Richlands Pig Cost'!E21+'Porta Pig Cost'!E21</f>
        <v>0</v>
      </c>
      <c r="F22" s="807">
        <f>+'Grasmere Pig Cost'!F21+'Learig Pig Cost'!F21+'Lionhead Pig Cost'!F21+'Lionhead Ext. Pig Cost'!F21+'Villa Pig Cost'!F21+'Richlands Pig Cost'!F21+'Porta Pig Cost'!F21</f>
        <v>0</v>
      </c>
      <c r="G22" s="807">
        <f>+'Grasmere Pig Cost'!G21+'Learig Pig Cost'!G21+'Lionhead Pig Cost'!G21+'Lionhead Ext. Pig Cost'!G21+'Villa Pig Cost'!G21+'Richlands Pig Cost'!G21+'Porta Pig Cost'!G21</f>
        <v>0</v>
      </c>
      <c r="H22" s="807">
        <f>+'Grasmere Pig Cost'!H21+'Learig Pig Cost'!H21+'Lionhead Pig Cost'!H21+'Lionhead Ext. Pig Cost'!H21+'Villa Pig Cost'!H21+'Richlands Pig Cost'!H21+'Porta Pig Cost'!H21</f>
        <v>0</v>
      </c>
      <c r="I22" s="807">
        <f>+'Grasmere Pig Cost'!I21+'Learig Pig Cost'!I21+'Lionhead Pig Cost'!I21+'Lionhead Ext. Pig Cost'!I21+'Villa Pig Cost'!I21+'Richlands Pig Cost'!I21+'Porta Pig Cost'!I21</f>
        <v>0</v>
      </c>
      <c r="J22" s="807">
        <f>+'Grasmere Pig Cost'!J21+'Learig Pig Cost'!J21+'Lionhead Pig Cost'!J21+'Lionhead Ext. Pig Cost'!J21+'Villa Pig Cost'!J21+'Richlands Pig Cost'!J21+'Porta Pig Cost'!J21</f>
        <v>0</v>
      </c>
      <c r="K22" s="807">
        <f>+'Grasmere Pig Cost'!K21+'Learig Pig Cost'!K21+'Lionhead Pig Cost'!K21+'Lionhead Ext. Pig Cost'!K21+'Villa Pig Cost'!K21+'Richlands Pig Cost'!K21+'Porta Pig Cost'!K21</f>
        <v>0</v>
      </c>
      <c r="L22" s="807">
        <f>+'Grasmere Pig Cost'!L21+'Learig Pig Cost'!L21+'Lionhead Pig Cost'!L21+'Lionhead Ext. Pig Cost'!L21+'Villa Pig Cost'!L21+'Richlands Pig Cost'!L21+'Porta Pig Cost'!L21</f>
        <v>0</v>
      </c>
      <c r="M22" s="807">
        <f>+'Grasmere Pig Cost'!M21+'Learig Pig Cost'!M21+'Lionhead Pig Cost'!M21+'Lionhead Ext. Pig Cost'!M21+'Villa Pig Cost'!M21+'Richlands Pig Cost'!M21+'Porta Pig Cost'!M21+'Multiplier Pig Cost '!M21</f>
        <v>0</v>
      </c>
      <c r="N22" s="807">
        <f>+'Grasmere Pig Cost'!N21+'Learig Pig Cost'!N21+'Lionhead Pig Cost'!N21+'Lionhead Ext. Pig Cost'!N21+'Villa Pig Cost'!N21+'Richlands Pig Cost'!N21+'Porta Pig Cost'!N21+'Multiplier Pig Cost '!N21</f>
        <v>0</v>
      </c>
      <c r="O22" s="807">
        <f>+'Grasmere Pig Cost'!O21+'Learig Pig Cost'!O21+'Lionhead Pig Cost'!O21+'Lionhead Ext. Pig Cost'!O21+'Villa Pig Cost'!O21+'Richlands Pig Cost'!O21+'Porta Pig Cost'!O21+'Multiplier Pig Cost '!O21</f>
        <v>0</v>
      </c>
      <c r="P22" s="807">
        <f>+'Grasmere Pig Cost'!P21+'Learig Pig Cost'!P21+'Lionhead Pig Cost'!P21+'Lionhead Ext. Pig Cost'!P21+'Villa Pig Cost'!P21+'Richlands Pig Cost'!P21+'Porta Pig Cost'!P21+'Multiplier Pig Cost '!P21</f>
        <v>0</v>
      </c>
      <c r="Q22" s="807">
        <f>+'Grasmere Pig Cost'!Q21+'Learig Pig Cost'!Q21+'Lionhead Pig Cost'!Q21+'Lionhead Ext. Pig Cost'!Q21+'Villa Pig Cost'!Q21+'Richlands Pig Cost'!Q21+'Porta Pig Cost'!Q21+'Multiplier Pig Cost '!Q21</f>
        <v>0</v>
      </c>
      <c r="R22" s="807">
        <f>+'Grasmere Pig Cost'!R21+'Learig Pig Cost'!R21+'Lionhead Pig Cost'!R21+'Lionhead Ext. Pig Cost'!R21+'Villa Pig Cost'!R21+'Richlands Pig Cost'!R21+'Porta Pig Cost'!R21+'Multiplier Pig Cost '!R21</f>
        <v>0</v>
      </c>
      <c r="S22" s="807">
        <f>+'Grasmere Pig Cost'!S21+'Learig Pig Cost'!S21+'Lionhead Pig Cost'!S21+'Lionhead Ext. Pig Cost'!S21+'Villa Pig Cost'!S21+'Richlands Pig Cost'!S21+'Porta Pig Cost'!S21+'Multiplier Pig Cost '!S21</f>
        <v>0</v>
      </c>
      <c r="T22" s="807">
        <f>+'Grasmere Pig Cost'!T21+'Learig Pig Cost'!T21+'Lionhead Pig Cost'!T21+'Lionhead Ext. Pig Cost'!T21+'Villa Pig Cost'!T21+'Richlands Pig Cost'!T21+'Porta Pig Cost'!T21+'Multiplier Pig Cost '!T21</f>
        <v>0</v>
      </c>
      <c r="U22" s="807">
        <f>+'Grasmere Pig Cost'!U21+'Learig Pig Cost'!U21+'Lionhead Pig Cost'!U21+'Lionhead Ext. Pig Cost'!U21+'Villa Pig Cost'!U21+'Richlands Pig Cost'!U21+'Porta Pig Cost'!U21+'Multiplier Pig Cost '!U21</f>
        <v>0</v>
      </c>
      <c r="V22" s="807">
        <f>+'Grasmere Pig Cost'!V21+'Learig Pig Cost'!V21+'Lionhead Pig Cost'!V21+'Lionhead Ext. Pig Cost'!V21+'Villa Pig Cost'!V21+'Richlands Pig Cost'!V21+'Porta Pig Cost'!V21+'Multiplier Pig Cost '!V21</f>
        <v>0</v>
      </c>
      <c r="W22" s="807">
        <f>+'Grasmere Pig Cost'!W21+'Learig Pig Cost'!W21+'Lionhead Pig Cost'!W21+'Lionhead Ext. Pig Cost'!W21+'Villa Pig Cost'!W21+'Richlands Pig Cost'!W21+'Porta Pig Cost'!W21+'Multiplier Pig Cost '!W21</f>
        <v>12</v>
      </c>
      <c r="X22" s="807">
        <f>+'Grasmere Pig Cost'!X21+'Learig Pig Cost'!X21+'Lionhead Pig Cost'!X21+'Lionhead Ext. Pig Cost'!X21+'Villa Pig Cost'!X21+'Richlands Pig Cost'!X21+'Porta Pig Cost'!X21+'Multiplier Pig Cost '!X21</f>
        <v>9</v>
      </c>
      <c r="Y22" s="807">
        <f>+'Grasmere Pig Cost'!Y21+'Learig Pig Cost'!Y21+'Lionhead Pig Cost'!Y21+'Lionhead Ext. Pig Cost'!Y21+'Villa Pig Cost'!Y21+'Richlands Pig Cost'!Y21+'Porta Pig Cost'!Y21+'Multiplier Pig Cost '!Y21</f>
        <v>10</v>
      </c>
      <c r="Z22" s="807">
        <f>+'Grasmere Pig Cost'!Z21+'Learig Pig Cost'!Z21+'Lionhead Pig Cost'!Z21+'Lionhead Ext. Pig Cost'!Z21+'Villa Pig Cost'!Z21+'Richlands Pig Cost'!Z21+'Porta Pig Cost'!Z21+'Multiplier Pig Cost '!Z21</f>
        <v>14</v>
      </c>
      <c r="AA22" s="807">
        <f>+'Grasmere Pig Cost'!AA21+'Learig Pig Cost'!AA21+'Lionhead Pig Cost'!AA21+'Lionhead Ext. Pig Cost'!AA21+'Villa Pig Cost'!AA21+'Richlands Pig Cost'!AA21+'Porta Pig Cost'!AA21+'Multiplier Pig Cost '!AA21</f>
        <v>0</v>
      </c>
      <c r="AB22" s="807">
        <f>+'Grasmere Pig Cost'!AB21+'Learig Pig Cost'!AB21+'Lionhead Pig Cost'!AB21+'Lionhead Ext. Pig Cost'!AB21+'Villa Pig Cost'!AB21+'Richlands Pig Cost'!AB21+'Porta Pig Cost'!AB21+'Multiplier Pig Cost '!AB21</f>
        <v>0</v>
      </c>
      <c r="AC22" s="807">
        <f>+'Grasmere Pig Cost'!AC21+'Learig Pig Cost'!AC21+'Lionhead Pig Cost'!AC21+'Lionhead Ext. Pig Cost'!AC21+'Villa Pig Cost'!AC21+'Richlands Pig Cost'!AC21+'Porta Pig Cost'!AC21+'Multiplier Pig Cost '!AC21</f>
        <v>8</v>
      </c>
      <c r="AD22" s="807">
        <f>+'Grasmere Pig Cost'!AD21+'Learig Pig Cost'!AD21+'Lionhead Pig Cost'!AD21+'Lionhead Ext. Pig Cost'!AD21+'Villa Pig Cost'!AD21+'Richlands Pig Cost'!AD21+'Porta Pig Cost'!AD21+'Multiplier Pig Cost '!AD21</f>
        <v>8</v>
      </c>
      <c r="AE22" s="807">
        <f>+'Grasmere Pig Cost'!AE21+'Learig Pig Cost'!AE21+'Lionhead Pig Cost'!AE21+'Lionhead Ext. Pig Cost'!AE21+'Villa Pig Cost'!AE21+'Richlands Pig Cost'!AE21+'Porta Pig Cost'!AE21+'Multiplier Pig Cost '!AE21</f>
        <v>8</v>
      </c>
      <c r="AF22" s="807">
        <f>+'Grasmere Pig Cost'!AF21+'Learig Pig Cost'!AF21+'Lionhead Pig Cost'!AF21+'Lionhead Ext. Pig Cost'!AF21+'Villa Pig Cost'!AF21+'Richlands Pig Cost'!AF21+'Porta Pig Cost'!AF21+'Multiplier Pig Cost '!AF21</f>
        <v>8</v>
      </c>
      <c r="AG22" s="807">
        <f>+'Grasmere Pig Cost'!AG21+'Learig Pig Cost'!AG21+'Lionhead Pig Cost'!AG21+'Lionhead Ext. Pig Cost'!AG21+'Villa Pig Cost'!AG21+'Richlands Pig Cost'!AG21+'Porta Pig Cost'!AG21+'Multiplier Pig Cost '!AG21</f>
        <v>0</v>
      </c>
      <c r="AH22" s="807">
        <f>+'Grasmere Pig Cost'!AH21+'Learig Pig Cost'!AH21+'Lionhead Pig Cost'!AH21+'Lionhead Ext. Pig Cost'!AH21+'Villa Pig Cost'!AH21+'Richlands Pig Cost'!AH21+'Porta Pig Cost'!AH21+'Multiplier Pig Cost '!AH21</f>
        <v>0</v>
      </c>
      <c r="AI22" s="807">
        <f>+'Grasmere Pig Cost'!AI21+'Learig Pig Cost'!AI21+'Lionhead Pig Cost'!AI21+'Lionhead Ext. Pig Cost'!AI21+'Villa Pig Cost'!AI21+'Richlands Pig Cost'!AI21+'Porta Pig Cost'!AI21+'Multiplier Pig Cost '!AI21</f>
        <v>0</v>
      </c>
      <c r="AJ22" s="807">
        <f>+'Grasmere Pig Cost'!AJ21+'Learig Pig Cost'!AJ21+'Lionhead Pig Cost'!AJ21+'Lionhead Ext. Pig Cost'!AJ21+'Villa Pig Cost'!AJ21+'Richlands Pig Cost'!AJ21+'Porta Pig Cost'!AJ21+'Multiplier Pig Cost '!AJ21</f>
        <v>0</v>
      </c>
      <c r="AK22" s="807">
        <f>+'Grasmere Pig Cost'!AK21+'Learig Pig Cost'!AK21+'Lionhead Pig Cost'!AK21+'Lionhead Ext. Pig Cost'!AK21+'Villa Pig Cost'!AK21+'Richlands Pig Cost'!AK21+'Porta Pig Cost'!AK21+'Multiplier Pig Cost '!AK21</f>
        <v>0</v>
      </c>
      <c r="AL22" s="807">
        <f>+'Grasmere Pig Cost'!AL21+'Learig Pig Cost'!AL21+'Lionhead Pig Cost'!AL21+'Lionhead Ext. Pig Cost'!AL21+'Villa Pig Cost'!AL21+'Richlands Pig Cost'!AL21+'Porta Pig Cost'!AL21+'Multiplier Pig Cost '!AL21</f>
        <v>0</v>
      </c>
      <c r="AM22" s="807">
        <f>+'Grasmere Pig Cost'!AM21+'Learig Pig Cost'!AM21+'Lionhead Pig Cost'!AM21+'Lionhead Ext. Pig Cost'!AM21+'Villa Pig Cost'!AM21+'Richlands Pig Cost'!AM21+'Porta Pig Cost'!AM21+'Multiplier Pig Cost '!AM21</f>
        <v>0</v>
      </c>
      <c r="AN22" s="807">
        <f>+'Grasmere Pig Cost'!AN21+'Learig Pig Cost'!AN21+'Lionhead Pig Cost'!AN21+'Lionhead Ext. Pig Cost'!AN21+'Villa Pig Cost'!AN21+'Richlands Pig Cost'!AN21+'Porta Pig Cost'!AN21+'Multiplier Pig Cost '!AN21</f>
        <v>0</v>
      </c>
      <c r="AO22" s="807">
        <f>+'Grasmere Pig Cost'!AO21+'Learig Pig Cost'!AO21+'Lionhead Pig Cost'!AO21+'Lionhead Ext. Pig Cost'!AO21+'Villa Pig Cost'!AO21+'Richlands Pig Cost'!AO21+'Porta Pig Cost'!AO21+'Multiplier Pig Cost '!AO21</f>
        <v>0</v>
      </c>
      <c r="AP22" s="807">
        <f>+'Grasmere Pig Cost'!AP21+'Learig Pig Cost'!AP21+'Lionhead Pig Cost'!AP21+'Lionhead Ext. Pig Cost'!AP21+'Villa Pig Cost'!AP21+'Richlands Pig Cost'!AP21+'Porta Pig Cost'!AP21+'Multiplier Pig Cost '!AP21</f>
        <v>0</v>
      </c>
      <c r="AQ22" s="807">
        <f>+'Grasmere Pig Cost'!AQ21+'Learig Pig Cost'!AQ21+'Lionhead Pig Cost'!AQ21+'Lionhead Ext. Pig Cost'!AQ21+'Villa Pig Cost'!AQ21+'Richlands Pig Cost'!AQ21+'Porta Pig Cost'!AQ21+'Multiplier Pig Cost '!AQ21</f>
        <v>0</v>
      </c>
      <c r="AR22" s="807">
        <f>+'Grasmere Pig Cost'!AR21+'Learig Pig Cost'!AR21+'Lionhead Pig Cost'!AR21+'Lionhead Ext. Pig Cost'!AR21+'Villa Pig Cost'!AR21+'Richlands Pig Cost'!AR21+'Porta Pig Cost'!AR21+'Multiplier Pig Cost '!AR21</f>
        <v>0</v>
      </c>
      <c r="AS22" s="807">
        <f>+'Grasmere Pig Cost'!AS21+'Learig Pig Cost'!AS21+'Lionhead Pig Cost'!AS21+'Lionhead Ext. Pig Cost'!AS21+'Villa Pig Cost'!AS21+'Richlands Pig Cost'!AS21+'Porta Pig Cost'!AS21+'Multiplier Pig Cost '!AS21</f>
        <v>0</v>
      </c>
      <c r="AT22" s="807">
        <f>+'Grasmere Pig Cost'!AT21+'Learig Pig Cost'!AT21+'Lionhead Pig Cost'!AT21+'Lionhead Ext. Pig Cost'!AT21+'Villa Pig Cost'!AT21+'Richlands Pig Cost'!AT21+'Porta Pig Cost'!AT21+'Multiplier Pig Cost '!AT21</f>
        <v>0</v>
      </c>
      <c r="AU22" s="1632">
        <f t="shared" ref="AU22:AU23" si="11">SUM(B22:AT22)</f>
        <v>77</v>
      </c>
      <c r="AV22" s="1632">
        <f>+'Grasmere Pig Cost'!AU21+'Learig Pig Cost'!AU21+'Lionhead Pig Cost'!AU21+'Lionhead Ext. Pig Cost'!AU21+'Villa Pig Cost'!AU21+'Richlands Pig Cost'!AU21+'Porta Pig Cost'!AU21+'Multiplier Pig Cost '!AU21</f>
        <v>77</v>
      </c>
      <c r="AW22" s="818">
        <f t="shared" si="9"/>
        <v>0</v>
      </c>
      <c r="AX22" s="818"/>
    </row>
    <row r="23" spans="1:54" ht="15.6">
      <c r="A23" s="142" t="s">
        <v>1799</v>
      </c>
      <c r="B23" s="807">
        <f>+'Grasmere Pig Cost'!B22+'Learig Pig Cost'!B22+'Lionhead Pig Cost'!B22+'Lionhead Ext. Pig Cost'!B22+'Villa Pig Cost'!B22+'Richlands Pig Cost'!B22+'Porta Pig Cost'!B22</f>
        <v>0</v>
      </c>
      <c r="C23" s="807">
        <f>+'Grasmere Pig Cost'!C22+'Learig Pig Cost'!C22+'Lionhead Pig Cost'!C22+'Lionhead Ext. Pig Cost'!C22+'Villa Pig Cost'!C22+'Richlands Pig Cost'!C22+'Porta Pig Cost'!C22</f>
        <v>0</v>
      </c>
      <c r="D23" s="807">
        <f>+'Grasmere Pig Cost'!D22+'Learig Pig Cost'!D22+'Lionhead Pig Cost'!D22+'Lionhead Ext. Pig Cost'!D22+'Villa Pig Cost'!D22+'Richlands Pig Cost'!D22+'Porta Pig Cost'!D22</f>
        <v>0</v>
      </c>
      <c r="E23" s="807">
        <f>+'Grasmere Pig Cost'!E22+'Learig Pig Cost'!E22+'Lionhead Pig Cost'!E22+'Lionhead Ext. Pig Cost'!E22+'Villa Pig Cost'!E22+'Richlands Pig Cost'!E22+'Porta Pig Cost'!E22</f>
        <v>0</v>
      </c>
      <c r="F23" s="807">
        <f>+'Grasmere Pig Cost'!F22+'Learig Pig Cost'!F22+'Lionhead Pig Cost'!F22+'Lionhead Ext. Pig Cost'!F22+'Villa Pig Cost'!F22+'Richlands Pig Cost'!F22+'Porta Pig Cost'!F22</f>
        <v>0</v>
      </c>
      <c r="G23" s="807">
        <f>+'Grasmere Pig Cost'!G22+'Learig Pig Cost'!G22+'Lionhead Pig Cost'!G22+'Lionhead Ext. Pig Cost'!G22+'Villa Pig Cost'!G22+'Richlands Pig Cost'!G22+'Porta Pig Cost'!G22</f>
        <v>0</v>
      </c>
      <c r="H23" s="807">
        <f>+'Grasmere Pig Cost'!H22+'Learig Pig Cost'!H22+'Lionhead Pig Cost'!H22+'Lionhead Ext. Pig Cost'!H22+'Villa Pig Cost'!H22+'Richlands Pig Cost'!H22+'Porta Pig Cost'!H22</f>
        <v>0</v>
      </c>
      <c r="I23" s="807">
        <f>+'Grasmere Pig Cost'!I22+'Learig Pig Cost'!I22+'Lionhead Pig Cost'!I22+'Lionhead Ext. Pig Cost'!I22+'Villa Pig Cost'!I22+'Richlands Pig Cost'!I22+'Porta Pig Cost'!I22</f>
        <v>0</v>
      </c>
      <c r="J23" s="807">
        <f>+'Grasmere Pig Cost'!J22+'Learig Pig Cost'!J22+'Lionhead Pig Cost'!J22+'Lionhead Ext. Pig Cost'!J22+'Villa Pig Cost'!J22+'Richlands Pig Cost'!J22+'Porta Pig Cost'!J22</f>
        <v>0</v>
      </c>
      <c r="K23" s="807">
        <f>+'Grasmere Pig Cost'!K22+'Learig Pig Cost'!K22+'Lionhead Pig Cost'!K22+'Lionhead Ext. Pig Cost'!K22+'Villa Pig Cost'!K22+'Richlands Pig Cost'!K22+'Porta Pig Cost'!K22</f>
        <v>0</v>
      </c>
      <c r="L23" s="807">
        <f>+'Grasmere Pig Cost'!L22+'Learig Pig Cost'!L22+'Lionhead Pig Cost'!L22+'Lionhead Ext. Pig Cost'!L22+'Villa Pig Cost'!L22+'Richlands Pig Cost'!L22+'Porta Pig Cost'!L22</f>
        <v>0</v>
      </c>
      <c r="M23" s="807">
        <f>+'Grasmere Pig Cost'!M22+'Learig Pig Cost'!M22+'Lionhead Pig Cost'!M22+'Lionhead Ext. Pig Cost'!M22+'Villa Pig Cost'!M22+'Richlands Pig Cost'!M22+'Porta Pig Cost'!M22+'Multiplier Pig Cost '!M22</f>
        <v>0</v>
      </c>
      <c r="N23" s="807">
        <f>+'Grasmere Pig Cost'!N22+'Learig Pig Cost'!N22+'Lionhead Pig Cost'!N22+'Lionhead Ext. Pig Cost'!N22+'Villa Pig Cost'!N22+'Richlands Pig Cost'!N22+'Porta Pig Cost'!N22+'Multiplier Pig Cost '!N22</f>
        <v>0</v>
      </c>
      <c r="O23" s="807">
        <f>+'Grasmere Pig Cost'!O22+'Learig Pig Cost'!O22+'Lionhead Pig Cost'!O22+'Lionhead Ext. Pig Cost'!O22+'Villa Pig Cost'!O22+'Richlands Pig Cost'!O22+'Porta Pig Cost'!O22+'Multiplier Pig Cost '!O22</f>
        <v>0</v>
      </c>
      <c r="P23" s="807">
        <f>+'Grasmere Pig Cost'!P22+'Learig Pig Cost'!P22+'Lionhead Pig Cost'!P22+'Lionhead Ext. Pig Cost'!P22+'Villa Pig Cost'!P22+'Richlands Pig Cost'!P22+'Porta Pig Cost'!P22+'Multiplier Pig Cost '!P22</f>
        <v>0</v>
      </c>
      <c r="Q23" s="807">
        <f>+'Grasmere Pig Cost'!Q22+'Learig Pig Cost'!Q22+'Lionhead Pig Cost'!Q22+'Lionhead Ext. Pig Cost'!Q22+'Villa Pig Cost'!Q22+'Richlands Pig Cost'!Q22+'Porta Pig Cost'!Q22+'Multiplier Pig Cost '!Q22</f>
        <v>0</v>
      </c>
      <c r="R23" s="807">
        <f>+'Grasmere Pig Cost'!R22+'Learig Pig Cost'!R22+'Lionhead Pig Cost'!R22+'Lionhead Ext. Pig Cost'!R22+'Villa Pig Cost'!R22+'Richlands Pig Cost'!R22+'Porta Pig Cost'!R22+'Multiplier Pig Cost '!R22</f>
        <v>0</v>
      </c>
      <c r="S23" s="807">
        <f>+'Grasmere Pig Cost'!S22+'Learig Pig Cost'!S22+'Lionhead Pig Cost'!S22+'Lionhead Ext. Pig Cost'!S22+'Villa Pig Cost'!S22+'Richlands Pig Cost'!S22+'Porta Pig Cost'!S22+'Multiplier Pig Cost '!S22</f>
        <v>0</v>
      </c>
      <c r="T23" s="807">
        <f>+'Grasmere Pig Cost'!T22+'Learig Pig Cost'!T22+'Lionhead Pig Cost'!T22+'Lionhead Ext. Pig Cost'!T22+'Villa Pig Cost'!T22+'Richlands Pig Cost'!T22+'Porta Pig Cost'!T22+'Multiplier Pig Cost '!T22</f>
        <v>0</v>
      </c>
      <c r="U23" s="807">
        <f>+'Grasmere Pig Cost'!U22+'Learig Pig Cost'!U22+'Lionhead Pig Cost'!U22+'Lionhead Ext. Pig Cost'!U22+'Villa Pig Cost'!U22+'Richlands Pig Cost'!U22+'Porta Pig Cost'!U22+'Multiplier Pig Cost '!U22</f>
        <v>0</v>
      </c>
      <c r="V23" s="807">
        <f>+'Grasmere Pig Cost'!V22+'Learig Pig Cost'!V22+'Lionhead Pig Cost'!V22+'Lionhead Ext. Pig Cost'!V22+'Villa Pig Cost'!V22+'Richlands Pig Cost'!V22+'Porta Pig Cost'!V22+'Multiplier Pig Cost '!V22</f>
        <v>0</v>
      </c>
      <c r="W23" s="807">
        <f>+'Grasmere Pig Cost'!W22+'Learig Pig Cost'!W22+'Lionhead Pig Cost'!W22+'Lionhead Ext. Pig Cost'!W22+'Villa Pig Cost'!W22+'Richlands Pig Cost'!W22+'Porta Pig Cost'!W22+'Multiplier Pig Cost '!W22</f>
        <v>0</v>
      </c>
      <c r="X23" s="807">
        <f>+'Grasmere Pig Cost'!X22+'Learig Pig Cost'!X22+'Lionhead Pig Cost'!X22+'Lionhead Ext. Pig Cost'!X22+'Villa Pig Cost'!X22+'Richlands Pig Cost'!X22+'Porta Pig Cost'!X22+'Multiplier Pig Cost '!X22</f>
        <v>0</v>
      </c>
      <c r="Y23" s="807">
        <f>+'Grasmere Pig Cost'!Y22+'Learig Pig Cost'!Y22+'Lionhead Pig Cost'!Y22+'Lionhead Ext. Pig Cost'!Y22+'Villa Pig Cost'!Y22+'Richlands Pig Cost'!Y22+'Porta Pig Cost'!Y22+'Multiplier Pig Cost '!Y22</f>
        <v>0</v>
      </c>
      <c r="Z23" s="807">
        <f>+'Grasmere Pig Cost'!Z22+'Learig Pig Cost'!Z22+'Lionhead Pig Cost'!Z22+'Lionhead Ext. Pig Cost'!Z22+'Villa Pig Cost'!Z22+'Richlands Pig Cost'!Z22+'Porta Pig Cost'!Z22+'Multiplier Pig Cost '!Z22</f>
        <v>0</v>
      </c>
      <c r="AA23" s="807">
        <f>+'Grasmere Pig Cost'!AA22+'Learig Pig Cost'!AA22+'Lionhead Pig Cost'!AA22+'Lionhead Ext. Pig Cost'!AA22+'Villa Pig Cost'!AA22+'Richlands Pig Cost'!AA22+'Porta Pig Cost'!AA22+'Multiplier Pig Cost '!AA22</f>
        <v>-2</v>
      </c>
      <c r="AB23" s="807">
        <f>+'Grasmere Pig Cost'!AB22+'Learig Pig Cost'!AB22+'Lionhead Pig Cost'!AB22+'Lionhead Ext. Pig Cost'!AB22+'Villa Pig Cost'!AB22+'Richlands Pig Cost'!AB22+'Porta Pig Cost'!AB22+'Multiplier Pig Cost '!AB22</f>
        <v>-1</v>
      </c>
      <c r="AC23" s="807">
        <f>+'Grasmere Pig Cost'!AC22+'Learig Pig Cost'!AC22+'Lionhead Pig Cost'!AC22+'Lionhead Ext. Pig Cost'!AC22+'Villa Pig Cost'!AC22+'Richlands Pig Cost'!AC22+'Porta Pig Cost'!AC22+'Multiplier Pig Cost '!AC22</f>
        <v>2</v>
      </c>
      <c r="AD23" s="807">
        <f>+'Grasmere Pig Cost'!AD22+'Learig Pig Cost'!AD22+'Lionhead Pig Cost'!AD22+'Lionhead Ext. Pig Cost'!AD22+'Villa Pig Cost'!AD22+'Richlands Pig Cost'!AD22+'Porta Pig Cost'!AD22+'Multiplier Pig Cost '!AD22</f>
        <v>-1</v>
      </c>
      <c r="AE23" s="807">
        <f>+'Grasmere Pig Cost'!AE22+'Learig Pig Cost'!AE22+'Lionhead Pig Cost'!AE22+'Lionhead Ext. Pig Cost'!AE22+'Villa Pig Cost'!AE22+'Richlands Pig Cost'!AE22+'Porta Pig Cost'!AE22+'Multiplier Pig Cost '!AE22</f>
        <v>-4</v>
      </c>
      <c r="AF23" s="807">
        <f>+'Grasmere Pig Cost'!AF22+'Learig Pig Cost'!AF22+'Lionhead Pig Cost'!AF22+'Lionhead Ext. Pig Cost'!AF22+'Villa Pig Cost'!AF22+'Richlands Pig Cost'!AF22+'Porta Pig Cost'!AF22+'Multiplier Pig Cost '!AF22</f>
        <v>-5</v>
      </c>
      <c r="AG23" s="807">
        <f>+'Grasmere Pig Cost'!AG22+'Learig Pig Cost'!AG22+'Lionhead Pig Cost'!AG22+'Lionhead Ext. Pig Cost'!AG22+'Villa Pig Cost'!AG22+'Richlands Pig Cost'!AG22+'Porta Pig Cost'!AG22+'Multiplier Pig Cost '!AG22</f>
        <v>-8</v>
      </c>
      <c r="AH23" s="807">
        <f>+'Grasmere Pig Cost'!AH22+'Learig Pig Cost'!AH22+'Lionhead Pig Cost'!AH22+'Lionhead Ext. Pig Cost'!AH22+'Villa Pig Cost'!AH22+'Richlands Pig Cost'!AH22+'Porta Pig Cost'!AH22+'Multiplier Pig Cost '!AH22</f>
        <v>-1</v>
      </c>
      <c r="AI23" s="807">
        <f>+'Grasmere Pig Cost'!AI22+'Learig Pig Cost'!AI22+'Lionhead Pig Cost'!AI22+'Lionhead Ext. Pig Cost'!AI22+'Villa Pig Cost'!AI22+'Richlands Pig Cost'!AI22+'Porta Pig Cost'!AI22+'Multiplier Pig Cost '!AI22</f>
        <v>-2</v>
      </c>
      <c r="AJ23" s="807">
        <f>+'Grasmere Pig Cost'!AJ22+'Learig Pig Cost'!AJ22+'Lionhead Pig Cost'!AJ22+'Lionhead Ext. Pig Cost'!AJ22+'Villa Pig Cost'!AJ22+'Richlands Pig Cost'!AJ22+'Porta Pig Cost'!AJ22+'Multiplier Pig Cost '!AJ22</f>
        <v>-3</v>
      </c>
      <c r="AK23" s="807">
        <f>+'Grasmere Pig Cost'!AK22+'Learig Pig Cost'!AK22+'Lionhead Pig Cost'!AK22+'Lionhead Ext. Pig Cost'!AK22+'Villa Pig Cost'!AK22+'Richlands Pig Cost'!AK22+'Porta Pig Cost'!AK22+'Multiplier Pig Cost '!AK22</f>
        <v>-2</v>
      </c>
      <c r="AL23" s="807">
        <f>+'Grasmere Pig Cost'!AL22+'Learig Pig Cost'!AL22+'Lionhead Pig Cost'!AL22+'Lionhead Ext. Pig Cost'!AL22+'Villa Pig Cost'!AL22+'Richlands Pig Cost'!AL22+'Porta Pig Cost'!AL22+'Multiplier Pig Cost '!AL22</f>
        <v>-4</v>
      </c>
      <c r="AM23" s="807">
        <f>+'Grasmere Pig Cost'!AM22+'Learig Pig Cost'!AM22+'Lionhead Pig Cost'!AM22+'Lionhead Ext. Pig Cost'!AM22+'Villa Pig Cost'!AM22+'Richlands Pig Cost'!AM22+'Porta Pig Cost'!AM22+'Multiplier Pig Cost '!AM22</f>
        <v>-3</v>
      </c>
      <c r="AN23" s="807">
        <f>+'Grasmere Pig Cost'!AN22+'Learig Pig Cost'!AN22+'Lionhead Pig Cost'!AN22+'Lionhead Ext. Pig Cost'!AN22+'Villa Pig Cost'!AN22+'Richlands Pig Cost'!AN22+'Porta Pig Cost'!AN22+'Multiplier Pig Cost '!AN22</f>
        <v>0</v>
      </c>
      <c r="AO23" s="807">
        <f>+'Grasmere Pig Cost'!AO22+'Learig Pig Cost'!AO22+'Lionhead Pig Cost'!AO22+'Lionhead Ext. Pig Cost'!AO22+'Villa Pig Cost'!AO22+'Richlands Pig Cost'!AO22+'Porta Pig Cost'!AO22+'Multiplier Pig Cost '!AO22</f>
        <v>44</v>
      </c>
      <c r="AP23" s="807">
        <f>+'Grasmere Pig Cost'!AP22+'Learig Pig Cost'!AP22+'Lionhead Pig Cost'!AP22+'Lionhead Ext. Pig Cost'!AP22+'Villa Pig Cost'!AP22+'Richlands Pig Cost'!AP22+'Porta Pig Cost'!AP22+'Multiplier Pig Cost '!AP22</f>
        <v>-2</v>
      </c>
      <c r="AQ23" s="807">
        <f>+'Grasmere Pig Cost'!AQ22+'Learig Pig Cost'!AQ22+'Lionhead Pig Cost'!AQ22+'Lionhead Ext. Pig Cost'!AQ22+'Villa Pig Cost'!AQ22+'Richlands Pig Cost'!AQ22+'Porta Pig Cost'!AQ22+'Multiplier Pig Cost '!AQ22</f>
        <v>-5</v>
      </c>
      <c r="AR23" s="807">
        <f>+'Grasmere Pig Cost'!AR22+'Learig Pig Cost'!AR22+'Lionhead Pig Cost'!AR22+'Lionhead Ext. Pig Cost'!AR22+'Villa Pig Cost'!AR22+'Richlands Pig Cost'!AR22+'Porta Pig Cost'!AR22+'Multiplier Pig Cost '!AR22</f>
        <v>-1</v>
      </c>
      <c r="AS23" s="807">
        <f>+'Grasmere Pig Cost'!AS22+'Learig Pig Cost'!AS22+'Lionhead Pig Cost'!AS22+'Lionhead Ext. Pig Cost'!AS22+'Villa Pig Cost'!AS22+'Richlands Pig Cost'!AS22+'Porta Pig Cost'!AS22+'Multiplier Pig Cost '!AS22</f>
        <v>-2</v>
      </c>
      <c r="AT23" s="807">
        <f>+'Grasmere Pig Cost'!AT22+'Learig Pig Cost'!AT22+'Lionhead Pig Cost'!AT22+'Lionhead Ext. Pig Cost'!AT22+'Villa Pig Cost'!AT22+'Richlands Pig Cost'!AT22+'Porta Pig Cost'!AT22+'Multiplier Pig Cost '!AT22</f>
        <v>0</v>
      </c>
      <c r="AU23" s="1632">
        <f t="shared" si="11"/>
        <v>0</v>
      </c>
      <c r="AV23" s="1632">
        <f>+'Grasmere Pig Cost'!AU22+'Learig Pig Cost'!AU22+'Lionhead Pig Cost'!AU22+'Lionhead Ext. Pig Cost'!AU22+'Villa Pig Cost'!AU22+'Richlands Pig Cost'!AU22+'Porta Pig Cost'!AU22+'Multiplier Pig Cost '!AU55</f>
        <v>0</v>
      </c>
      <c r="AW23" s="818"/>
      <c r="AX23" s="818"/>
    </row>
    <row r="24" spans="1:54" ht="15.6">
      <c r="A24" s="142" t="s">
        <v>1800</v>
      </c>
      <c r="B24" s="807">
        <f>+'Grasmere Pig Cost'!B23+'Learig Pig Cost'!B23+'Lionhead Pig Cost'!B23+'Lionhead Ext. Pig Cost'!B23+'Villa Pig Cost'!B23+'Richlands Pig Cost'!B23+'Porta Pig Cost'!B23</f>
        <v>0</v>
      </c>
      <c r="C24" s="807">
        <f>+'Grasmere Pig Cost'!C23+'Learig Pig Cost'!C23+'Lionhead Pig Cost'!C23+'Lionhead Ext. Pig Cost'!C23+'Villa Pig Cost'!C23+'Richlands Pig Cost'!C23+'Porta Pig Cost'!C23</f>
        <v>0</v>
      </c>
      <c r="D24" s="807">
        <f>+'Grasmere Pig Cost'!D23+'Learig Pig Cost'!D23+'Lionhead Pig Cost'!D23+'Lionhead Ext. Pig Cost'!D23+'Villa Pig Cost'!D23+'Richlands Pig Cost'!D23+'Porta Pig Cost'!D23</f>
        <v>0</v>
      </c>
      <c r="E24" s="807">
        <f>+'Grasmere Pig Cost'!E23+'Learig Pig Cost'!E23+'Lionhead Pig Cost'!E23+'Lionhead Ext. Pig Cost'!E23+'Villa Pig Cost'!E23+'Richlands Pig Cost'!E23+'Porta Pig Cost'!E23</f>
        <v>0</v>
      </c>
      <c r="F24" s="807">
        <f>+'Grasmere Pig Cost'!F23+'Learig Pig Cost'!F23+'Lionhead Pig Cost'!F23+'Lionhead Ext. Pig Cost'!F23+'Villa Pig Cost'!F23+'Richlands Pig Cost'!F23+'Porta Pig Cost'!F23</f>
        <v>0</v>
      </c>
      <c r="G24" s="807">
        <f>+'Grasmere Pig Cost'!G23+'Learig Pig Cost'!G23+'Lionhead Pig Cost'!G23+'Lionhead Ext. Pig Cost'!G23+'Villa Pig Cost'!G23+'Richlands Pig Cost'!G23+'Porta Pig Cost'!G23</f>
        <v>0</v>
      </c>
      <c r="H24" s="807">
        <f>+'Grasmere Pig Cost'!H23+'Learig Pig Cost'!H23+'Lionhead Pig Cost'!H23+'Lionhead Ext. Pig Cost'!H23+'Villa Pig Cost'!H23+'Richlands Pig Cost'!H23+'Porta Pig Cost'!H23</f>
        <v>0</v>
      </c>
      <c r="I24" s="807">
        <f>+'Grasmere Pig Cost'!I23+'Learig Pig Cost'!I23+'Lionhead Pig Cost'!I23+'Lionhead Ext. Pig Cost'!I23+'Villa Pig Cost'!I23+'Richlands Pig Cost'!I23+'Porta Pig Cost'!I23</f>
        <v>0</v>
      </c>
      <c r="J24" s="807">
        <f>+'Grasmere Pig Cost'!J23+'Learig Pig Cost'!J23+'Lionhead Pig Cost'!J23+'Lionhead Ext. Pig Cost'!J23+'Villa Pig Cost'!J23+'Richlands Pig Cost'!J23+'Porta Pig Cost'!J23</f>
        <v>0</v>
      </c>
      <c r="K24" s="807">
        <f>+'Grasmere Pig Cost'!K23+'Learig Pig Cost'!K23+'Lionhead Pig Cost'!K23+'Lionhead Ext. Pig Cost'!K23+'Villa Pig Cost'!K23+'Richlands Pig Cost'!K23+'Porta Pig Cost'!K23</f>
        <v>0</v>
      </c>
      <c r="L24" s="807">
        <f>+'Grasmere Pig Cost'!L23+'Learig Pig Cost'!L23+'Lionhead Pig Cost'!L23+'Lionhead Ext. Pig Cost'!L23+'Villa Pig Cost'!L23+'Richlands Pig Cost'!L23+'Porta Pig Cost'!L23</f>
        <v>0</v>
      </c>
      <c r="M24" s="807">
        <f>+'Grasmere Pig Cost'!M23+'Learig Pig Cost'!M23+'Lionhead Pig Cost'!M23+'Lionhead Ext. Pig Cost'!M23+'Villa Pig Cost'!M23+'Richlands Pig Cost'!M23+'Porta Pig Cost'!M23+'Multiplier Pig Cost '!M23</f>
        <v>0</v>
      </c>
      <c r="N24" s="807">
        <f>+'Grasmere Pig Cost'!N23+'Learig Pig Cost'!N23+'Lionhead Pig Cost'!N23+'Lionhead Ext. Pig Cost'!N23+'Villa Pig Cost'!N23+'Richlands Pig Cost'!N23+'Porta Pig Cost'!N23+'Multiplier Pig Cost '!N23</f>
        <v>0</v>
      </c>
      <c r="O24" s="807">
        <f>+'Grasmere Pig Cost'!O23+'Learig Pig Cost'!O23+'Lionhead Pig Cost'!O23+'Lionhead Ext. Pig Cost'!O23+'Villa Pig Cost'!O23+'Richlands Pig Cost'!O23+'Porta Pig Cost'!O23+'Multiplier Pig Cost '!O23</f>
        <v>0</v>
      </c>
      <c r="P24" s="807">
        <f>+'Grasmere Pig Cost'!P23+'Learig Pig Cost'!P23+'Lionhead Pig Cost'!P23+'Lionhead Ext. Pig Cost'!P23+'Villa Pig Cost'!P23+'Richlands Pig Cost'!P23+'Porta Pig Cost'!P23+'Multiplier Pig Cost '!P23</f>
        <v>0</v>
      </c>
      <c r="Q24" s="807">
        <f>+'Grasmere Pig Cost'!Q23+'Learig Pig Cost'!Q23+'Lionhead Pig Cost'!Q23+'Lionhead Ext. Pig Cost'!Q23+'Villa Pig Cost'!Q23+'Richlands Pig Cost'!Q23+'Porta Pig Cost'!Q23+'Multiplier Pig Cost '!Q23</f>
        <v>0</v>
      </c>
      <c r="R24" s="807">
        <f>+'Grasmere Pig Cost'!R23+'Learig Pig Cost'!R23+'Lionhead Pig Cost'!R23+'Lionhead Ext. Pig Cost'!R23+'Villa Pig Cost'!R23+'Richlands Pig Cost'!R23+'Porta Pig Cost'!R23+'Multiplier Pig Cost '!R23</f>
        <v>0</v>
      </c>
      <c r="S24" s="807">
        <f>+'Grasmere Pig Cost'!S23+'Learig Pig Cost'!S23+'Lionhead Pig Cost'!S23+'Lionhead Ext. Pig Cost'!S23+'Villa Pig Cost'!S23+'Richlands Pig Cost'!S23+'Porta Pig Cost'!S23+'Multiplier Pig Cost '!S23</f>
        <v>0</v>
      </c>
      <c r="T24" s="807">
        <f>+'Grasmere Pig Cost'!T23+'Learig Pig Cost'!T23+'Lionhead Pig Cost'!T23+'Lionhead Ext. Pig Cost'!T23+'Villa Pig Cost'!T23+'Richlands Pig Cost'!T23+'Porta Pig Cost'!T23+'Multiplier Pig Cost '!T23</f>
        <v>0</v>
      </c>
      <c r="U24" s="807">
        <f>+'Grasmere Pig Cost'!U23+'Learig Pig Cost'!U23+'Lionhead Pig Cost'!U23+'Lionhead Ext. Pig Cost'!U23+'Villa Pig Cost'!U23+'Richlands Pig Cost'!U23+'Porta Pig Cost'!U23+'Multiplier Pig Cost '!U23</f>
        <v>0</v>
      </c>
      <c r="V24" s="807">
        <f>+'Grasmere Pig Cost'!V23+'Learig Pig Cost'!V23+'Lionhead Pig Cost'!V23+'Lionhead Ext. Pig Cost'!V23+'Villa Pig Cost'!V23+'Richlands Pig Cost'!V23+'Porta Pig Cost'!V23+'Multiplier Pig Cost '!V23</f>
        <v>0</v>
      </c>
      <c r="W24" s="807">
        <f>+'Grasmere Pig Cost'!W23+'Learig Pig Cost'!W23+'Lionhead Pig Cost'!W23+'Lionhead Ext. Pig Cost'!W23+'Villa Pig Cost'!W23+'Richlands Pig Cost'!W23+'Porta Pig Cost'!W23+'Multiplier Pig Cost '!W23</f>
        <v>-89</v>
      </c>
      <c r="X24" s="807">
        <f>+'Grasmere Pig Cost'!X23+'Learig Pig Cost'!X23+'Lionhead Pig Cost'!X23+'Lionhead Ext. Pig Cost'!X23+'Villa Pig Cost'!X23+'Richlands Pig Cost'!X23+'Porta Pig Cost'!X23+'Multiplier Pig Cost '!X23</f>
        <v>-69</v>
      </c>
      <c r="Y24" s="807">
        <f>+'Grasmere Pig Cost'!Y23+'Learig Pig Cost'!Y23+'Lionhead Pig Cost'!Y23+'Lionhead Ext. Pig Cost'!Y23+'Villa Pig Cost'!Y23+'Richlands Pig Cost'!Y23+'Porta Pig Cost'!Y23+'Multiplier Pig Cost '!Y23</f>
        <v>-50</v>
      </c>
      <c r="Z24" s="807">
        <f>+'Grasmere Pig Cost'!Z23+'Learig Pig Cost'!Z23+'Lionhead Pig Cost'!Z23+'Lionhead Ext. Pig Cost'!Z23+'Villa Pig Cost'!Z23+'Richlands Pig Cost'!Z23+'Porta Pig Cost'!Z23+'Multiplier Pig Cost '!Z23</f>
        <v>-79</v>
      </c>
      <c r="AA24" s="807">
        <f>+'Grasmere Pig Cost'!AA23+'Learig Pig Cost'!AA23+'Lionhead Pig Cost'!AA23+'Lionhead Ext. Pig Cost'!AA23+'Villa Pig Cost'!AA23+'Richlands Pig Cost'!AA23+'Porta Pig Cost'!AA23+'Multiplier Pig Cost '!AA23</f>
        <v>0</v>
      </c>
      <c r="AB24" s="807">
        <f>+'Grasmere Pig Cost'!AB23+'Learig Pig Cost'!AB23+'Lionhead Pig Cost'!AB23+'Lionhead Ext. Pig Cost'!AB23+'Villa Pig Cost'!AB23+'Richlands Pig Cost'!AB23+'Porta Pig Cost'!AB23+'Multiplier Pig Cost '!AB23</f>
        <v>0</v>
      </c>
      <c r="AC24" s="807">
        <f>+'Grasmere Pig Cost'!AC23+'Learig Pig Cost'!AC23+'Lionhead Pig Cost'!AC23+'Lionhead Ext. Pig Cost'!AC23+'Villa Pig Cost'!AC23+'Richlands Pig Cost'!AC23+'Porta Pig Cost'!AC23+'Multiplier Pig Cost '!AC23</f>
        <v>-14</v>
      </c>
      <c r="AD24" s="807">
        <f>+'Grasmere Pig Cost'!AD23+'Learig Pig Cost'!AD23+'Lionhead Pig Cost'!AD23+'Lionhead Ext. Pig Cost'!AD23+'Villa Pig Cost'!AD23+'Richlands Pig Cost'!AD23+'Porta Pig Cost'!AD23+'Multiplier Pig Cost '!AD23</f>
        <v>-13</v>
      </c>
      <c r="AE24" s="807">
        <f>+'Grasmere Pig Cost'!AE23+'Learig Pig Cost'!AE23+'Lionhead Pig Cost'!AE23+'Lionhead Ext. Pig Cost'!AE23+'Villa Pig Cost'!AE23+'Richlands Pig Cost'!AE23+'Porta Pig Cost'!AE23+'Multiplier Pig Cost '!AE23</f>
        <v>-12</v>
      </c>
      <c r="AF24" s="807">
        <f>+'Grasmere Pig Cost'!AF23+'Learig Pig Cost'!AF23+'Lionhead Pig Cost'!AF23+'Lionhead Ext. Pig Cost'!AF23+'Villa Pig Cost'!AF23+'Richlands Pig Cost'!AF23+'Porta Pig Cost'!AF23+'Multiplier Pig Cost '!AF23</f>
        <v>-14</v>
      </c>
      <c r="AG24" s="807">
        <f>+'Grasmere Pig Cost'!AG23+'Learig Pig Cost'!AG23+'Lionhead Pig Cost'!AG23+'Lionhead Ext. Pig Cost'!AG23+'Villa Pig Cost'!AG23+'Richlands Pig Cost'!AG23+'Porta Pig Cost'!AG23+'Multiplier Pig Cost '!AG23</f>
        <v>0</v>
      </c>
      <c r="AH24" s="807">
        <f>+'Grasmere Pig Cost'!AH23+'Learig Pig Cost'!AH23+'Lionhead Pig Cost'!AH23+'Lionhead Ext. Pig Cost'!AH23+'Villa Pig Cost'!AH23+'Richlands Pig Cost'!AH23+'Porta Pig Cost'!AH23+'Multiplier Pig Cost '!AH23</f>
        <v>0</v>
      </c>
      <c r="AI24" s="807">
        <f>+'Grasmere Pig Cost'!AI23+'Learig Pig Cost'!AI23+'Lionhead Pig Cost'!AI23+'Lionhead Ext. Pig Cost'!AI23+'Villa Pig Cost'!AI23+'Richlands Pig Cost'!AI23+'Porta Pig Cost'!AI23+'Multiplier Pig Cost '!AI23</f>
        <v>0</v>
      </c>
      <c r="AJ24" s="807">
        <f>+'Grasmere Pig Cost'!AJ23+'Learig Pig Cost'!AJ23+'Lionhead Pig Cost'!AJ23+'Lionhead Ext. Pig Cost'!AJ23+'Villa Pig Cost'!AJ23+'Richlands Pig Cost'!AJ23+'Porta Pig Cost'!AJ23+'Multiplier Pig Cost '!AJ23</f>
        <v>0</v>
      </c>
      <c r="AK24" s="807">
        <f>+'Grasmere Pig Cost'!AK23+'Learig Pig Cost'!AK23+'Lionhead Pig Cost'!AK23+'Lionhead Ext. Pig Cost'!AK23+'Villa Pig Cost'!AK23+'Richlands Pig Cost'!AK23+'Porta Pig Cost'!AK23+'Multiplier Pig Cost '!AK23</f>
        <v>0</v>
      </c>
      <c r="AL24" s="807">
        <f>+'Grasmere Pig Cost'!AL23+'Learig Pig Cost'!AL23+'Lionhead Pig Cost'!AL23+'Lionhead Ext. Pig Cost'!AL23+'Villa Pig Cost'!AL23+'Richlands Pig Cost'!AL23+'Porta Pig Cost'!AL23+'Multiplier Pig Cost '!AL23</f>
        <v>0</v>
      </c>
      <c r="AM24" s="807">
        <f>+'Grasmere Pig Cost'!AM23+'Learig Pig Cost'!AM23+'Lionhead Pig Cost'!AM23+'Lionhead Ext. Pig Cost'!AM23+'Villa Pig Cost'!AM23+'Richlands Pig Cost'!AM23+'Porta Pig Cost'!AM23+'Multiplier Pig Cost '!AM23</f>
        <v>0</v>
      </c>
      <c r="AN24" s="807">
        <f>+'Grasmere Pig Cost'!AN23+'Learig Pig Cost'!AN23+'Lionhead Pig Cost'!AN23+'Lionhead Ext. Pig Cost'!AN23+'Villa Pig Cost'!AN23+'Richlands Pig Cost'!AN23+'Porta Pig Cost'!AN23+'Multiplier Pig Cost '!AN23</f>
        <v>0</v>
      </c>
      <c r="AO24" s="807">
        <f>+'Grasmere Pig Cost'!AO23+'Learig Pig Cost'!AO23+'Lionhead Pig Cost'!AO23+'Lionhead Ext. Pig Cost'!AO23+'Villa Pig Cost'!AO23+'Richlands Pig Cost'!AO23+'Porta Pig Cost'!AO23+'Multiplier Pig Cost '!AO23</f>
        <v>0</v>
      </c>
      <c r="AP24" s="807">
        <f>+'Grasmere Pig Cost'!AP23+'Learig Pig Cost'!AP23+'Lionhead Pig Cost'!AP23+'Lionhead Ext. Pig Cost'!AP23+'Villa Pig Cost'!AP23+'Richlands Pig Cost'!AP23+'Porta Pig Cost'!AP23+'Multiplier Pig Cost '!AP23</f>
        <v>0</v>
      </c>
      <c r="AQ24" s="807">
        <f>+'Grasmere Pig Cost'!AQ23+'Learig Pig Cost'!AQ23+'Lionhead Pig Cost'!AQ23+'Lionhead Ext. Pig Cost'!AQ23+'Villa Pig Cost'!AQ23+'Richlands Pig Cost'!AQ23+'Porta Pig Cost'!AQ23+'Multiplier Pig Cost '!AQ23</f>
        <v>0</v>
      </c>
      <c r="AR24" s="807">
        <f>+'Grasmere Pig Cost'!AR23+'Learig Pig Cost'!AR23+'Lionhead Pig Cost'!AR23+'Lionhead Ext. Pig Cost'!AR23+'Villa Pig Cost'!AR23+'Richlands Pig Cost'!AR23+'Porta Pig Cost'!AR23+'Multiplier Pig Cost '!AR23</f>
        <v>0</v>
      </c>
      <c r="AS24" s="807">
        <f>+'Grasmere Pig Cost'!AS23+'Learig Pig Cost'!AS23+'Lionhead Pig Cost'!AS23+'Lionhead Ext. Pig Cost'!AS23+'Villa Pig Cost'!AS23+'Richlands Pig Cost'!AS23+'Porta Pig Cost'!AS23+'Multiplier Pig Cost '!AS23</f>
        <v>0</v>
      </c>
      <c r="AT24" s="807">
        <f>+'Grasmere Pig Cost'!AT23+'Learig Pig Cost'!AT23+'Lionhead Pig Cost'!AT23+'Lionhead Ext. Pig Cost'!AT23+'Villa Pig Cost'!AT23+'Richlands Pig Cost'!AT23+'Porta Pig Cost'!AT23+'Multiplier Pig Cost '!AT23</f>
        <v>0</v>
      </c>
      <c r="AU24" s="1633">
        <f>SUM(B24:AT24)</f>
        <v>-340</v>
      </c>
      <c r="AV24" s="1633">
        <f>+'Grasmere Pig Cost'!AU23+'Learig Pig Cost'!AU23+'Lionhead Pig Cost'!AU23+'Lionhead Ext. Pig Cost'!AU23+'Villa Pig Cost'!AU23+'Richlands Pig Cost'!AU23+'Porta Pig Cost'!AU23+'Multiplier Pig Cost '!AV23</f>
        <v>-340</v>
      </c>
      <c r="AW24" s="818">
        <f t="shared" si="9"/>
        <v>0</v>
      </c>
      <c r="AZ24" s="142">
        <v>-17211.922188686684</v>
      </c>
    </row>
    <row r="25" spans="1:54" ht="15.6">
      <c r="A25" s="142" t="s">
        <v>169</v>
      </c>
      <c r="B25" s="807">
        <f>+'Grasmere Pig Cost'!B24+'Learig Pig Cost'!B24+'Lionhead Pig Cost'!B24+'Lionhead Ext. Pig Cost'!B24+'Villa Pig Cost'!B24+'Richlands Pig Cost'!B24+'Porta Pig Cost'!B24</f>
        <v>0</v>
      </c>
      <c r="C25" s="807">
        <f>+'Grasmere Pig Cost'!C24+'Learig Pig Cost'!C24+'Lionhead Pig Cost'!C24+'Lionhead Ext. Pig Cost'!C24+'Villa Pig Cost'!C24+'Richlands Pig Cost'!C24+'Porta Pig Cost'!C24</f>
        <v>0</v>
      </c>
      <c r="D25" s="807">
        <f>+'Grasmere Pig Cost'!D24+'Learig Pig Cost'!D24+'Lionhead Pig Cost'!D24+'Lionhead Ext. Pig Cost'!D24+'Villa Pig Cost'!D24+'Richlands Pig Cost'!D24+'Porta Pig Cost'!D24</f>
        <v>0</v>
      </c>
      <c r="E25" s="807">
        <f>+'Grasmere Pig Cost'!E24+'Learig Pig Cost'!E24+'Lionhead Pig Cost'!E24+'Lionhead Ext. Pig Cost'!E24+'Villa Pig Cost'!E24+'Richlands Pig Cost'!E24+'Porta Pig Cost'!E24</f>
        <v>0</v>
      </c>
      <c r="F25" s="807">
        <f>+'Grasmere Pig Cost'!F24+'Learig Pig Cost'!F24+'Lionhead Pig Cost'!F24+'Lionhead Ext. Pig Cost'!F24+'Villa Pig Cost'!F24+'Richlands Pig Cost'!F24+'Porta Pig Cost'!F24</f>
        <v>0</v>
      </c>
      <c r="G25" s="807">
        <f>+'Grasmere Pig Cost'!G24+'Learig Pig Cost'!G24+'Lionhead Pig Cost'!G24+'Lionhead Ext. Pig Cost'!G24+'Villa Pig Cost'!G24+'Richlands Pig Cost'!G24+'Porta Pig Cost'!G24</f>
        <v>0</v>
      </c>
      <c r="H25" s="807">
        <f>+'Grasmere Pig Cost'!H24+'Learig Pig Cost'!H24+'Lionhead Pig Cost'!H24+'Lionhead Ext. Pig Cost'!H24+'Villa Pig Cost'!H24+'Richlands Pig Cost'!H24+'Porta Pig Cost'!H24</f>
        <v>0</v>
      </c>
      <c r="I25" s="807">
        <f>+'Grasmere Pig Cost'!I24+'Learig Pig Cost'!I24+'Lionhead Pig Cost'!I24+'Lionhead Ext. Pig Cost'!I24+'Villa Pig Cost'!I24+'Richlands Pig Cost'!I24+'Porta Pig Cost'!I24</f>
        <v>0</v>
      </c>
      <c r="J25" s="807">
        <f>+'Grasmere Pig Cost'!J24+'Learig Pig Cost'!J24+'Lionhead Pig Cost'!J24+'Lionhead Ext. Pig Cost'!J24+'Villa Pig Cost'!J24+'Richlands Pig Cost'!J24+'Porta Pig Cost'!J24</f>
        <v>0</v>
      </c>
      <c r="K25" s="807">
        <f>+'Grasmere Pig Cost'!K24+'Learig Pig Cost'!K24+'Lionhead Pig Cost'!K24+'Lionhead Ext. Pig Cost'!K24+'Villa Pig Cost'!K24+'Richlands Pig Cost'!K24+'Porta Pig Cost'!K24</f>
        <v>0</v>
      </c>
      <c r="L25" s="807">
        <f>+'Grasmere Pig Cost'!L24+'Learig Pig Cost'!L24+'Lionhead Pig Cost'!L24+'Lionhead Ext. Pig Cost'!L24+'Villa Pig Cost'!L24+'Richlands Pig Cost'!L24+'Porta Pig Cost'!L24</f>
        <v>0</v>
      </c>
      <c r="M25" s="807">
        <f>+'Grasmere Pig Cost'!M24+'Learig Pig Cost'!M24+'Lionhead Pig Cost'!M24+'Lionhead Ext. Pig Cost'!M24+'Villa Pig Cost'!M24+'Richlands Pig Cost'!M24+'Porta Pig Cost'!M24+'Multiplier Pig Cost '!M24</f>
        <v>0</v>
      </c>
      <c r="N25" s="807">
        <f>+'Grasmere Pig Cost'!N24+'Learig Pig Cost'!N24+'Lionhead Pig Cost'!N24+'Lionhead Ext. Pig Cost'!N24+'Villa Pig Cost'!N24+'Richlands Pig Cost'!N24+'Porta Pig Cost'!N24+'Multiplier Pig Cost '!N24</f>
        <v>0</v>
      </c>
      <c r="O25" s="807">
        <f>+'Grasmere Pig Cost'!O24+'Learig Pig Cost'!O24+'Lionhead Pig Cost'!O24+'Lionhead Ext. Pig Cost'!O24+'Villa Pig Cost'!O24+'Richlands Pig Cost'!O24+'Porta Pig Cost'!O24+'Multiplier Pig Cost '!O24</f>
        <v>0</v>
      </c>
      <c r="P25" s="807">
        <f>+'Grasmere Pig Cost'!P24+'Learig Pig Cost'!P24+'Lionhead Pig Cost'!P24+'Lionhead Ext. Pig Cost'!P24+'Villa Pig Cost'!P24+'Richlands Pig Cost'!P24+'Porta Pig Cost'!P24+'Multiplier Pig Cost '!P24</f>
        <v>0</v>
      </c>
      <c r="Q25" s="807">
        <f>+'Grasmere Pig Cost'!Q24+'Learig Pig Cost'!Q24+'Lionhead Pig Cost'!Q24+'Lionhead Ext. Pig Cost'!Q24+'Villa Pig Cost'!Q24+'Richlands Pig Cost'!Q24+'Porta Pig Cost'!Q24+'Multiplier Pig Cost '!Q24</f>
        <v>0</v>
      </c>
      <c r="R25" s="807">
        <f>+'Grasmere Pig Cost'!R24+'Learig Pig Cost'!R24+'Lionhead Pig Cost'!R24+'Lionhead Ext. Pig Cost'!R24+'Villa Pig Cost'!R24+'Richlands Pig Cost'!R24+'Porta Pig Cost'!R24+'Multiplier Pig Cost '!R24</f>
        <v>0</v>
      </c>
      <c r="S25" s="807">
        <f>+'Grasmere Pig Cost'!S24+'Learig Pig Cost'!S24+'Lionhead Pig Cost'!S24+'Lionhead Ext. Pig Cost'!S24+'Villa Pig Cost'!S24+'Richlands Pig Cost'!S24+'Porta Pig Cost'!S24+'Multiplier Pig Cost '!S24</f>
        <v>-47</v>
      </c>
      <c r="T25" s="807">
        <f>+'Grasmere Pig Cost'!T24+'Learig Pig Cost'!T24+'Lionhead Pig Cost'!T24+'Lionhead Ext. Pig Cost'!T24+'Villa Pig Cost'!T24+'Richlands Pig Cost'!T24+'Porta Pig Cost'!T24+'Multiplier Pig Cost '!T24</f>
        <v>-233</v>
      </c>
      <c r="U25" s="807">
        <f>+'Grasmere Pig Cost'!U24+'Learig Pig Cost'!U24+'Lionhead Pig Cost'!U24+'Lionhead Ext. Pig Cost'!U24+'Villa Pig Cost'!U24+'Richlands Pig Cost'!U24+'Porta Pig Cost'!U24+'Multiplier Pig Cost '!U24</f>
        <v>-286</v>
      </c>
      <c r="V25" s="807">
        <f>+'Grasmere Pig Cost'!V24+'Learig Pig Cost'!V24+'Lionhead Pig Cost'!V24+'Lionhead Ext. Pig Cost'!V24+'Villa Pig Cost'!V24+'Richlands Pig Cost'!V24+'Porta Pig Cost'!V24+'Multiplier Pig Cost '!V24</f>
        <v>-366</v>
      </c>
      <c r="W25" s="807">
        <f>+'Grasmere Pig Cost'!W24+'Learig Pig Cost'!W24+'Lionhead Pig Cost'!W24+'Lionhead Ext. Pig Cost'!W24+'Villa Pig Cost'!W24+'Richlands Pig Cost'!W24+'Porta Pig Cost'!W24+'Multiplier Pig Cost '!W24</f>
        <v>-282</v>
      </c>
      <c r="X25" s="807">
        <f>+'Grasmere Pig Cost'!X24+'Learig Pig Cost'!X24+'Lionhead Pig Cost'!X24+'Lionhead Ext. Pig Cost'!X24+'Villa Pig Cost'!X24+'Richlands Pig Cost'!X24+'Porta Pig Cost'!X24+'Multiplier Pig Cost '!X24</f>
        <v>-171</v>
      </c>
      <c r="Y25" s="807">
        <f>+'Grasmere Pig Cost'!Y24+'Learig Pig Cost'!Y24+'Lionhead Pig Cost'!Y24+'Lionhead Ext. Pig Cost'!Y24+'Villa Pig Cost'!Y24+'Richlands Pig Cost'!Y24+'Porta Pig Cost'!Y24+'Multiplier Pig Cost '!Y24</f>
        <v>-72</v>
      </c>
      <c r="Z25" s="807">
        <f>+'Grasmere Pig Cost'!Z24+'Learig Pig Cost'!Z24+'Lionhead Pig Cost'!Z24+'Lionhead Ext. Pig Cost'!Z24+'Villa Pig Cost'!Z24+'Richlands Pig Cost'!Z24+'Porta Pig Cost'!Z24+'Multiplier Pig Cost '!Z24</f>
        <v>-91</v>
      </c>
      <c r="AA25" s="807">
        <f>+'Grasmere Pig Cost'!AA24+'Learig Pig Cost'!AA24+'Lionhead Pig Cost'!AA24+'Lionhead Ext. Pig Cost'!AA24+'Villa Pig Cost'!AA24+'Richlands Pig Cost'!AA24+'Porta Pig Cost'!AA24+'Multiplier Pig Cost '!AA24</f>
        <v>-19</v>
      </c>
      <c r="AB25" s="807">
        <f>+'Grasmere Pig Cost'!AB24+'Learig Pig Cost'!AB24+'Lionhead Pig Cost'!AB24+'Lionhead Ext. Pig Cost'!AB24+'Villa Pig Cost'!AB24+'Richlands Pig Cost'!AB24+'Porta Pig Cost'!AB24+'Multiplier Pig Cost '!AB24</f>
        <v>-28</v>
      </c>
      <c r="AC25" s="807">
        <f>+'Grasmere Pig Cost'!AC24+'Learig Pig Cost'!AC24+'Lionhead Pig Cost'!AC24+'Lionhead Ext. Pig Cost'!AC24+'Villa Pig Cost'!AC24+'Richlands Pig Cost'!AC24+'Porta Pig Cost'!AC24+'Multiplier Pig Cost '!AC24</f>
        <v>-15</v>
      </c>
      <c r="AD25" s="807">
        <f>+'Grasmere Pig Cost'!AD24+'Learig Pig Cost'!AD24+'Lionhead Pig Cost'!AD24+'Lionhead Ext. Pig Cost'!AD24+'Villa Pig Cost'!AD24+'Richlands Pig Cost'!AD24+'Porta Pig Cost'!AD24+'Multiplier Pig Cost '!AD24</f>
        <v>-18</v>
      </c>
      <c r="AE25" s="807">
        <f>+'Grasmere Pig Cost'!AE24+'Learig Pig Cost'!AE24+'Lionhead Pig Cost'!AE24+'Lionhead Ext. Pig Cost'!AE24+'Villa Pig Cost'!AE24+'Richlands Pig Cost'!AE24+'Porta Pig Cost'!AE24+'Multiplier Pig Cost '!AE24</f>
        <v>-22</v>
      </c>
      <c r="AF25" s="807">
        <f>+'Grasmere Pig Cost'!AF24+'Learig Pig Cost'!AF24+'Lionhead Pig Cost'!AF24+'Lionhead Ext. Pig Cost'!AF24+'Villa Pig Cost'!AF24+'Richlands Pig Cost'!AF24+'Porta Pig Cost'!AF24+'Multiplier Pig Cost '!AF24</f>
        <v>-16</v>
      </c>
      <c r="AG25" s="807">
        <f>+'Grasmere Pig Cost'!AG24+'Learig Pig Cost'!AG24+'Lionhead Pig Cost'!AG24+'Lionhead Ext. Pig Cost'!AG24+'Villa Pig Cost'!AG24+'Richlands Pig Cost'!AG24+'Porta Pig Cost'!AG24+'Multiplier Pig Cost '!AG24</f>
        <v>-21</v>
      </c>
      <c r="AH25" s="807">
        <f>+'Grasmere Pig Cost'!AH24+'Learig Pig Cost'!AH24+'Lionhead Pig Cost'!AH24+'Lionhead Ext. Pig Cost'!AH24+'Villa Pig Cost'!AH24+'Richlands Pig Cost'!AH24+'Porta Pig Cost'!AH24+'Multiplier Pig Cost '!AH24</f>
        <v>-19</v>
      </c>
      <c r="AI25" s="807">
        <f>+'Grasmere Pig Cost'!AI24+'Learig Pig Cost'!AI24+'Lionhead Pig Cost'!AI24+'Lionhead Ext. Pig Cost'!AI24+'Villa Pig Cost'!AI24+'Richlands Pig Cost'!AI24+'Porta Pig Cost'!AI24+'Multiplier Pig Cost '!AI24</f>
        <v>-16</v>
      </c>
      <c r="AJ25" s="807">
        <f>+'Grasmere Pig Cost'!AJ24+'Learig Pig Cost'!AJ24+'Lionhead Pig Cost'!AJ24+'Lionhead Ext. Pig Cost'!AJ24+'Villa Pig Cost'!AJ24+'Richlands Pig Cost'!AJ24+'Porta Pig Cost'!AJ24+'Multiplier Pig Cost '!AJ24</f>
        <v>-23</v>
      </c>
      <c r="AK25" s="807">
        <f>+'Grasmere Pig Cost'!AK24+'Learig Pig Cost'!AK24+'Lionhead Pig Cost'!AK24+'Lionhead Ext. Pig Cost'!AK24+'Villa Pig Cost'!AK24+'Richlands Pig Cost'!AK24+'Porta Pig Cost'!AK24+'Multiplier Pig Cost '!AK24</f>
        <v>-21</v>
      </c>
      <c r="AL25" s="807">
        <f>+'Grasmere Pig Cost'!AL24+'Learig Pig Cost'!AL24+'Lionhead Pig Cost'!AL24+'Lionhead Ext. Pig Cost'!AL24+'Villa Pig Cost'!AL24+'Richlands Pig Cost'!AL24+'Porta Pig Cost'!AL24+'Multiplier Pig Cost '!AL24</f>
        <v>-17</v>
      </c>
      <c r="AM25" s="807">
        <f>+'Grasmere Pig Cost'!AM24+'Learig Pig Cost'!AM24+'Lionhead Pig Cost'!AM24+'Lionhead Ext. Pig Cost'!AM24+'Villa Pig Cost'!AM24+'Richlands Pig Cost'!AM24+'Porta Pig Cost'!AM24+'Multiplier Pig Cost '!AM24</f>
        <v>-25</v>
      </c>
      <c r="AN25" s="807">
        <f>+'Grasmere Pig Cost'!AN24+'Learig Pig Cost'!AN24+'Lionhead Pig Cost'!AN24+'Lionhead Ext. Pig Cost'!AN24+'Villa Pig Cost'!AN24+'Richlands Pig Cost'!AN24+'Porta Pig Cost'!AN24+'Multiplier Pig Cost '!AN24</f>
        <v>-19</v>
      </c>
      <c r="AO25" s="807">
        <f>+'Grasmere Pig Cost'!AO24+'Learig Pig Cost'!AO24+'Lionhead Pig Cost'!AO24+'Lionhead Ext. Pig Cost'!AO24+'Villa Pig Cost'!AO24+'Richlands Pig Cost'!AO24+'Porta Pig Cost'!AO24+'Multiplier Pig Cost '!AO24</f>
        <v>-59</v>
      </c>
      <c r="AP25" s="807">
        <f>+'Grasmere Pig Cost'!AP24+'Learig Pig Cost'!AP24+'Lionhead Pig Cost'!AP24+'Lionhead Ext. Pig Cost'!AP24+'Villa Pig Cost'!AP24+'Richlands Pig Cost'!AP24+'Porta Pig Cost'!AP24+'Multiplier Pig Cost '!AP24</f>
        <v>-36</v>
      </c>
      <c r="AQ25" s="807">
        <f>+'Grasmere Pig Cost'!AQ24+'Learig Pig Cost'!AQ24+'Lionhead Pig Cost'!AQ24+'Lionhead Ext. Pig Cost'!AQ24+'Villa Pig Cost'!AQ24+'Richlands Pig Cost'!AQ24+'Porta Pig Cost'!AQ24+'Multiplier Pig Cost '!AQ24</f>
        <v>-16</v>
      </c>
      <c r="AR25" s="807">
        <f>+'Grasmere Pig Cost'!AR24+'Learig Pig Cost'!AR24+'Lionhead Pig Cost'!AR24+'Lionhead Ext. Pig Cost'!AR24+'Villa Pig Cost'!AR24+'Richlands Pig Cost'!AR24+'Porta Pig Cost'!AR24+'Multiplier Pig Cost '!AR24</f>
        <v>-23</v>
      </c>
      <c r="AS25" s="807">
        <f>+'Grasmere Pig Cost'!AS24+'Learig Pig Cost'!AS24+'Lionhead Pig Cost'!AS24+'Lionhead Ext. Pig Cost'!AS24+'Villa Pig Cost'!AS24+'Richlands Pig Cost'!AS24+'Porta Pig Cost'!AS24+'Multiplier Pig Cost '!AS24</f>
        <v>-4</v>
      </c>
      <c r="AT25" s="807">
        <f>+'Grasmere Pig Cost'!AT24+'Learig Pig Cost'!AT24+'Lionhead Pig Cost'!AT24+'Lionhead Ext. Pig Cost'!AT24+'Villa Pig Cost'!AT24+'Richlands Pig Cost'!AT24+'Porta Pig Cost'!AT24+'Multiplier Pig Cost '!AT24</f>
        <v>-3</v>
      </c>
      <c r="AU25" s="1086">
        <f>SUM(B25:AT25)</f>
        <v>-1968</v>
      </c>
      <c r="AV25" s="1086">
        <f>SUM('Summary Total Pigs'!W186:W188,'Summary Total Pigs'!Y186:Y188)</f>
        <v>-1968</v>
      </c>
      <c r="AW25" s="818">
        <f>+AU25-AV25</f>
        <v>0</v>
      </c>
      <c r="AX25" s="817"/>
    </row>
    <row r="26" spans="1:54" ht="15.6">
      <c r="A26" s="142" t="s">
        <v>229</v>
      </c>
      <c r="B26" s="807">
        <f>+'Grasmere Pig Cost'!B25+'Learig Pig Cost'!B25+'Lionhead Pig Cost'!B25+'Lionhead Ext. Pig Cost'!B25+'Villa Pig Cost'!B25+'Richlands Pig Cost'!B25+'Porta Pig Cost'!B25</f>
        <v>0</v>
      </c>
      <c r="C26" s="807">
        <f>+'Grasmere Pig Cost'!C25+'Learig Pig Cost'!C25+'Lionhead Pig Cost'!C25+'Lionhead Ext. Pig Cost'!C25+'Villa Pig Cost'!C25+'Richlands Pig Cost'!C25+'Porta Pig Cost'!C25</f>
        <v>0</v>
      </c>
      <c r="D26" s="807">
        <f>+'Grasmere Pig Cost'!D25+'Learig Pig Cost'!D25+'Lionhead Pig Cost'!D25+'Lionhead Ext. Pig Cost'!D25+'Villa Pig Cost'!D25+'Richlands Pig Cost'!D25+'Porta Pig Cost'!D25</f>
        <v>0</v>
      </c>
      <c r="E26" s="807">
        <f>+'Grasmere Pig Cost'!E25+'Learig Pig Cost'!E25+'Lionhead Pig Cost'!E25+'Lionhead Ext. Pig Cost'!E25+'Villa Pig Cost'!E25+'Richlands Pig Cost'!E25+'Porta Pig Cost'!E25</f>
        <v>0</v>
      </c>
      <c r="F26" s="807">
        <f>+'Grasmere Pig Cost'!F25+'Learig Pig Cost'!F25+'Lionhead Pig Cost'!F25+'Lionhead Ext. Pig Cost'!F25+'Villa Pig Cost'!F25+'Richlands Pig Cost'!F25+'Porta Pig Cost'!F25</f>
        <v>0</v>
      </c>
      <c r="G26" s="807">
        <f>+'Grasmere Pig Cost'!G25+'Learig Pig Cost'!G25+'Lionhead Pig Cost'!G25+'Lionhead Ext. Pig Cost'!G25+'Villa Pig Cost'!G25+'Richlands Pig Cost'!G25+'Porta Pig Cost'!G25</f>
        <v>0</v>
      </c>
      <c r="H26" s="807">
        <f>+'Grasmere Pig Cost'!H25+'Learig Pig Cost'!H25+'Lionhead Pig Cost'!H25+'Lionhead Ext. Pig Cost'!H25+'Villa Pig Cost'!H25+'Richlands Pig Cost'!H25+'Porta Pig Cost'!H25</f>
        <v>0</v>
      </c>
      <c r="I26" s="807">
        <f>+'Grasmere Pig Cost'!I25+'Learig Pig Cost'!I25+'Lionhead Pig Cost'!I25+'Lionhead Ext. Pig Cost'!I25+'Villa Pig Cost'!I25+'Richlands Pig Cost'!I25+'Porta Pig Cost'!I25</f>
        <v>0</v>
      </c>
      <c r="J26" s="807">
        <f>+'Grasmere Pig Cost'!J25+'Learig Pig Cost'!J25+'Lionhead Pig Cost'!J25+'Lionhead Ext. Pig Cost'!J25+'Villa Pig Cost'!J25+'Richlands Pig Cost'!J25+'Porta Pig Cost'!J25</f>
        <v>0</v>
      </c>
      <c r="K26" s="807">
        <f>+'Grasmere Pig Cost'!K25+'Learig Pig Cost'!K25+'Lionhead Pig Cost'!K25+'Lionhead Ext. Pig Cost'!K25+'Villa Pig Cost'!K25+'Richlands Pig Cost'!K25+'Porta Pig Cost'!K25</f>
        <v>0</v>
      </c>
      <c r="L26" s="807">
        <f>+'Grasmere Pig Cost'!L25+'Learig Pig Cost'!L25+'Lionhead Pig Cost'!L25+'Lionhead Ext. Pig Cost'!L25+'Villa Pig Cost'!L25+'Richlands Pig Cost'!L25+'Porta Pig Cost'!L25</f>
        <v>0</v>
      </c>
      <c r="M26" s="807">
        <f>+'Grasmere Pig Cost'!M25+'Learig Pig Cost'!M25+'Lionhead Pig Cost'!M25+'Lionhead Ext. Pig Cost'!M25+'Villa Pig Cost'!M25+'Richlands Pig Cost'!M25+'Porta Pig Cost'!M25+'Multiplier Pig Cost '!M25</f>
        <v>0</v>
      </c>
      <c r="N26" s="807">
        <f>+'Grasmere Pig Cost'!N25+'Learig Pig Cost'!N25+'Lionhead Pig Cost'!N25+'Lionhead Ext. Pig Cost'!N25+'Villa Pig Cost'!N25+'Richlands Pig Cost'!N25+'Porta Pig Cost'!N25+'Multiplier Pig Cost '!N25</f>
        <v>0</v>
      </c>
      <c r="O26" s="807">
        <f>+'Grasmere Pig Cost'!O25+'Learig Pig Cost'!O25+'Lionhead Pig Cost'!O25+'Lionhead Ext. Pig Cost'!O25+'Villa Pig Cost'!O25+'Richlands Pig Cost'!O25+'Porta Pig Cost'!O25+'Multiplier Pig Cost '!O25</f>
        <v>0</v>
      </c>
      <c r="P26" s="807">
        <f>+'Grasmere Pig Cost'!P25+'Learig Pig Cost'!P25+'Lionhead Pig Cost'!P25+'Lionhead Ext. Pig Cost'!P25+'Villa Pig Cost'!P25+'Richlands Pig Cost'!P25+'Porta Pig Cost'!P25+'Multiplier Pig Cost '!P25</f>
        <v>0</v>
      </c>
      <c r="Q26" s="807">
        <f>+'Grasmere Pig Cost'!Q25+'Learig Pig Cost'!Q25+'Lionhead Pig Cost'!Q25+'Lionhead Ext. Pig Cost'!Q25+'Villa Pig Cost'!Q25+'Richlands Pig Cost'!Q25+'Porta Pig Cost'!Q25+'Multiplier Pig Cost '!Q25</f>
        <v>0</v>
      </c>
      <c r="R26" s="807">
        <f>+'Grasmere Pig Cost'!R25+'Learig Pig Cost'!R25+'Lionhead Pig Cost'!R25+'Lionhead Ext. Pig Cost'!R25+'Villa Pig Cost'!R25+'Richlands Pig Cost'!R25+'Porta Pig Cost'!R25+'Multiplier Pig Cost '!R25</f>
        <v>0</v>
      </c>
      <c r="S26" s="807">
        <f>+'Grasmere Pig Cost'!S25+'Learig Pig Cost'!S25+'Lionhead Pig Cost'!S25+'Lionhead Ext. Pig Cost'!S25+'Villa Pig Cost'!S25+'Richlands Pig Cost'!S25+'Porta Pig Cost'!S25+'Multiplier Pig Cost '!S25</f>
        <v>0</v>
      </c>
      <c r="T26" s="807">
        <f>+'Grasmere Pig Cost'!T25+'Learig Pig Cost'!T25+'Lionhead Pig Cost'!T25+'Lionhead Ext. Pig Cost'!T25+'Villa Pig Cost'!T25+'Richlands Pig Cost'!T25+'Porta Pig Cost'!T25+'Multiplier Pig Cost '!T25</f>
        <v>0</v>
      </c>
      <c r="U26" s="807">
        <f>+'Grasmere Pig Cost'!U25+'Learig Pig Cost'!U25+'Lionhead Pig Cost'!U25+'Lionhead Ext. Pig Cost'!U25+'Villa Pig Cost'!U25+'Richlands Pig Cost'!U25+'Porta Pig Cost'!U25+'Multiplier Pig Cost '!U25</f>
        <v>0</v>
      </c>
      <c r="V26" s="807">
        <f>+'Grasmere Pig Cost'!V25+'Learig Pig Cost'!V25+'Lionhead Pig Cost'!V25+'Lionhead Ext. Pig Cost'!V25+'Villa Pig Cost'!V25+'Richlands Pig Cost'!V25+'Porta Pig Cost'!V25+'Multiplier Pig Cost '!V25</f>
        <v>0</v>
      </c>
      <c r="W26" s="807">
        <f>+'Grasmere Pig Cost'!W25+'Learig Pig Cost'!W25+'Lionhead Pig Cost'!W25+'Lionhead Ext. Pig Cost'!W25+'Villa Pig Cost'!W25+'Richlands Pig Cost'!W25+'Porta Pig Cost'!W25+'Multiplier Pig Cost '!W25</f>
        <v>0</v>
      </c>
      <c r="X26" s="807">
        <f>+'Grasmere Pig Cost'!X25+'Learig Pig Cost'!X25+'Lionhead Pig Cost'!X25+'Lionhead Ext. Pig Cost'!X25+'Villa Pig Cost'!X25+'Richlands Pig Cost'!X25+'Porta Pig Cost'!X25+'Multiplier Pig Cost '!X25</f>
        <v>0</v>
      </c>
      <c r="Y26" s="807">
        <f>+'Grasmere Pig Cost'!Y25+'Learig Pig Cost'!Y25+'Lionhead Pig Cost'!Y25+'Lionhead Ext. Pig Cost'!Y25+'Villa Pig Cost'!Y25+'Richlands Pig Cost'!Y25+'Porta Pig Cost'!Y25+'Multiplier Pig Cost '!Y25</f>
        <v>0</v>
      </c>
      <c r="Z26" s="807">
        <f>+'Grasmere Pig Cost'!Z25+'Learig Pig Cost'!Z25+'Lionhead Pig Cost'!Z25+'Lionhead Ext. Pig Cost'!Z25+'Villa Pig Cost'!Z25+'Richlands Pig Cost'!Z25+'Porta Pig Cost'!Z25+'Multiplier Pig Cost '!Z25</f>
        <v>0</v>
      </c>
      <c r="AA26" s="807">
        <f>+'Grasmere Pig Cost'!AA25+'Learig Pig Cost'!AA25+'Lionhead Pig Cost'!AA25+'Lionhead Ext. Pig Cost'!AA25+'Villa Pig Cost'!AA25+'Richlands Pig Cost'!AA25+'Porta Pig Cost'!AA25+'Multiplier Pig Cost '!AA25</f>
        <v>0</v>
      </c>
      <c r="AB26" s="807">
        <f>+'Grasmere Pig Cost'!AB25+'Learig Pig Cost'!AB25+'Lionhead Pig Cost'!AB25+'Lionhead Ext. Pig Cost'!AB25+'Villa Pig Cost'!AB25+'Richlands Pig Cost'!AB25+'Porta Pig Cost'!AB25+'Multiplier Pig Cost '!AB25</f>
        <v>0</v>
      </c>
      <c r="AC26" s="807">
        <f>+'Grasmere Pig Cost'!AC25+'Learig Pig Cost'!AC25+'Lionhead Pig Cost'!AC25+'Lionhead Ext. Pig Cost'!AC25+'Villa Pig Cost'!AC25+'Richlands Pig Cost'!AC25+'Porta Pig Cost'!AC25+'Multiplier Pig Cost '!AC25</f>
        <v>0</v>
      </c>
      <c r="AD26" s="807">
        <f>+'Grasmere Pig Cost'!AD25+'Learig Pig Cost'!AD25+'Lionhead Pig Cost'!AD25+'Lionhead Ext. Pig Cost'!AD25+'Villa Pig Cost'!AD25+'Richlands Pig Cost'!AD25+'Porta Pig Cost'!AD25+'Multiplier Pig Cost '!AD25</f>
        <v>0</v>
      </c>
      <c r="AE26" s="807">
        <f>+'Grasmere Pig Cost'!AE25+'Learig Pig Cost'!AE25+'Lionhead Pig Cost'!AE25+'Lionhead Ext. Pig Cost'!AE25+'Villa Pig Cost'!AE25+'Richlands Pig Cost'!AE25+'Porta Pig Cost'!AE25+'Multiplier Pig Cost '!AE25</f>
        <v>0</v>
      </c>
      <c r="AF26" s="807">
        <f>+'Grasmere Pig Cost'!AF25+'Learig Pig Cost'!AF25+'Lionhead Pig Cost'!AF25+'Lionhead Ext. Pig Cost'!AF25+'Villa Pig Cost'!AF25+'Richlands Pig Cost'!AF25+'Porta Pig Cost'!AF25+'Multiplier Pig Cost '!AF25</f>
        <v>-1</v>
      </c>
      <c r="AG26" s="807">
        <f>+'Grasmere Pig Cost'!AG25+'Learig Pig Cost'!AG25+'Lionhead Pig Cost'!AG25+'Lionhead Ext. Pig Cost'!AG25+'Villa Pig Cost'!AG25+'Richlands Pig Cost'!AG25+'Porta Pig Cost'!AG25+'Multiplier Pig Cost '!AG25</f>
        <v>0</v>
      </c>
      <c r="AH26" s="807">
        <f>+'Grasmere Pig Cost'!AH25+'Learig Pig Cost'!AH25+'Lionhead Pig Cost'!AH25+'Lionhead Ext. Pig Cost'!AH25+'Villa Pig Cost'!AH25+'Richlands Pig Cost'!AH25+'Porta Pig Cost'!AH25+'Multiplier Pig Cost '!AH25</f>
        <v>-1</v>
      </c>
      <c r="AI26" s="807">
        <f>+'Grasmere Pig Cost'!AI25+'Learig Pig Cost'!AI25+'Lionhead Pig Cost'!AI25+'Lionhead Ext. Pig Cost'!AI25+'Villa Pig Cost'!AI25+'Richlands Pig Cost'!AI25+'Porta Pig Cost'!AI25+'Multiplier Pig Cost '!AI25</f>
        <v>0</v>
      </c>
      <c r="AJ26" s="807">
        <f>+'Grasmere Pig Cost'!AJ25+'Learig Pig Cost'!AJ25+'Lionhead Pig Cost'!AJ25+'Lionhead Ext. Pig Cost'!AJ25+'Villa Pig Cost'!AJ25+'Richlands Pig Cost'!AJ25+'Porta Pig Cost'!AJ25+'Multiplier Pig Cost '!AJ25</f>
        <v>0</v>
      </c>
      <c r="AK26" s="807">
        <f>+'Grasmere Pig Cost'!AK25+'Learig Pig Cost'!AK25+'Lionhead Pig Cost'!AK25+'Lionhead Ext. Pig Cost'!AK25+'Villa Pig Cost'!AK25+'Richlands Pig Cost'!AK25+'Porta Pig Cost'!AK25+'Multiplier Pig Cost '!AK25</f>
        <v>-1</v>
      </c>
      <c r="AL26" s="807">
        <f>+'Grasmere Pig Cost'!AL25+'Learig Pig Cost'!AL25+'Lionhead Pig Cost'!AL25+'Lionhead Ext. Pig Cost'!AL25+'Villa Pig Cost'!AL25+'Richlands Pig Cost'!AL25+'Porta Pig Cost'!AL25+'Multiplier Pig Cost '!AL25</f>
        <v>0</v>
      </c>
      <c r="AM26" s="807">
        <f>+'Grasmere Pig Cost'!AM25+'Learig Pig Cost'!AM25+'Lionhead Pig Cost'!AM25+'Lionhead Ext. Pig Cost'!AM25+'Villa Pig Cost'!AM25+'Richlands Pig Cost'!AM25+'Porta Pig Cost'!AM25+'Multiplier Pig Cost '!AM25</f>
        <v>-2</v>
      </c>
      <c r="AN26" s="807">
        <f>+'Grasmere Pig Cost'!AN25+'Learig Pig Cost'!AN25+'Lionhead Pig Cost'!AN25+'Lionhead Ext. Pig Cost'!AN25+'Villa Pig Cost'!AN25+'Richlands Pig Cost'!AN25+'Porta Pig Cost'!AN25+'Multiplier Pig Cost '!AN25</f>
        <v>-3</v>
      </c>
      <c r="AO26" s="807">
        <f>+'Grasmere Pig Cost'!AO25+'Learig Pig Cost'!AO25+'Lionhead Pig Cost'!AO25+'Lionhead Ext. Pig Cost'!AO25+'Villa Pig Cost'!AO25+'Richlands Pig Cost'!AO25+'Porta Pig Cost'!AO25+'Multiplier Pig Cost '!AO25</f>
        <v>-8</v>
      </c>
      <c r="AP26" s="807">
        <f>+'Grasmere Pig Cost'!AP25+'Learig Pig Cost'!AP25+'Lionhead Pig Cost'!AP25+'Lionhead Ext. Pig Cost'!AP25+'Villa Pig Cost'!AP25+'Richlands Pig Cost'!AP25+'Porta Pig Cost'!AP25+'Multiplier Pig Cost '!AP25</f>
        <v>-14</v>
      </c>
      <c r="AQ26" s="807">
        <f>+'Grasmere Pig Cost'!AQ25+'Learig Pig Cost'!AQ25+'Lionhead Pig Cost'!AQ25+'Lionhead Ext. Pig Cost'!AQ25+'Villa Pig Cost'!AQ25+'Richlands Pig Cost'!AQ25+'Porta Pig Cost'!AQ25+'Multiplier Pig Cost '!AQ25</f>
        <v>-12</v>
      </c>
      <c r="AR26" s="807">
        <f>+'Grasmere Pig Cost'!AR25+'Learig Pig Cost'!AR25+'Lionhead Pig Cost'!AR25+'Lionhead Ext. Pig Cost'!AR25+'Villa Pig Cost'!AR25+'Richlands Pig Cost'!AR25+'Porta Pig Cost'!AR25+'Multiplier Pig Cost '!AR25</f>
        <v>-2</v>
      </c>
      <c r="AS26" s="807">
        <f>+'Grasmere Pig Cost'!AS25+'Learig Pig Cost'!AS25+'Lionhead Pig Cost'!AS25+'Lionhead Ext. Pig Cost'!AS25+'Villa Pig Cost'!AS25+'Richlands Pig Cost'!AS25+'Porta Pig Cost'!AS25+'Multiplier Pig Cost '!AS25</f>
        <v>-6</v>
      </c>
      <c r="AT26" s="807">
        <f>+'Grasmere Pig Cost'!AT25+'Learig Pig Cost'!AT25+'Lionhead Pig Cost'!AT25+'Lionhead Ext. Pig Cost'!AT25+'Villa Pig Cost'!AT25+'Richlands Pig Cost'!AT25+'Porta Pig Cost'!AT25+'Multiplier Pig Cost '!AT25</f>
        <v>-1</v>
      </c>
      <c r="AU26" s="1086">
        <f t="shared" ref="AU26:AU28" si="12">SUM(B26:AT26)</f>
        <v>-51</v>
      </c>
      <c r="AV26" s="1086">
        <f>SUM('Summary Total Pigs'!Z186:Z188)</f>
        <v>-51</v>
      </c>
      <c r="AW26" s="818">
        <f t="shared" si="9"/>
        <v>0</v>
      </c>
      <c r="AX26" s="817"/>
    </row>
    <row r="27" spans="1:54" ht="15.6">
      <c r="A27" s="142" t="s">
        <v>231</v>
      </c>
      <c r="B27" s="807">
        <f>+'Grasmere Pig Cost'!B26+'Learig Pig Cost'!B26+'Lionhead Pig Cost'!B26+'Lionhead Ext. Pig Cost'!B26+'Villa Pig Cost'!B26+'Richlands Pig Cost'!B26+'Porta Pig Cost'!B26</f>
        <v>0</v>
      </c>
      <c r="C27" s="807">
        <f>+'Grasmere Pig Cost'!C26+'Learig Pig Cost'!C26+'Lionhead Pig Cost'!C26+'Lionhead Ext. Pig Cost'!C26+'Villa Pig Cost'!C26+'Richlands Pig Cost'!C26+'Porta Pig Cost'!C26</f>
        <v>0</v>
      </c>
      <c r="D27" s="807">
        <f>+'Grasmere Pig Cost'!D26+'Learig Pig Cost'!D26+'Lionhead Pig Cost'!D26+'Lionhead Ext. Pig Cost'!D26+'Villa Pig Cost'!D26+'Richlands Pig Cost'!D26+'Porta Pig Cost'!D26</f>
        <v>0</v>
      </c>
      <c r="E27" s="807">
        <f>+'Grasmere Pig Cost'!E26+'Learig Pig Cost'!E26+'Lionhead Pig Cost'!E26+'Lionhead Ext. Pig Cost'!E26+'Villa Pig Cost'!E26+'Richlands Pig Cost'!E26+'Porta Pig Cost'!E26</f>
        <v>0</v>
      </c>
      <c r="F27" s="807">
        <f>+'Grasmere Pig Cost'!F26+'Learig Pig Cost'!F26+'Lionhead Pig Cost'!F26+'Lionhead Ext. Pig Cost'!F26+'Villa Pig Cost'!F26+'Richlands Pig Cost'!F26+'Porta Pig Cost'!F26</f>
        <v>0</v>
      </c>
      <c r="G27" s="807">
        <f>+'Grasmere Pig Cost'!G26+'Learig Pig Cost'!G26+'Lionhead Pig Cost'!G26+'Lionhead Ext. Pig Cost'!G26+'Villa Pig Cost'!G26+'Richlands Pig Cost'!G26+'Porta Pig Cost'!G26</f>
        <v>0</v>
      </c>
      <c r="H27" s="807">
        <f>+'Grasmere Pig Cost'!H26+'Learig Pig Cost'!H26+'Lionhead Pig Cost'!H26+'Lionhead Ext. Pig Cost'!H26+'Villa Pig Cost'!H26+'Richlands Pig Cost'!H26+'Porta Pig Cost'!H26</f>
        <v>0</v>
      </c>
      <c r="I27" s="807">
        <f>+'Grasmere Pig Cost'!I26+'Learig Pig Cost'!I26+'Lionhead Pig Cost'!I26+'Lionhead Ext. Pig Cost'!I26+'Villa Pig Cost'!I26+'Richlands Pig Cost'!I26+'Porta Pig Cost'!I26</f>
        <v>0</v>
      </c>
      <c r="J27" s="807">
        <f>+'Grasmere Pig Cost'!J26+'Learig Pig Cost'!J26+'Lionhead Pig Cost'!J26+'Lionhead Ext. Pig Cost'!J26+'Villa Pig Cost'!J26+'Richlands Pig Cost'!J26+'Porta Pig Cost'!J26</f>
        <v>0</v>
      </c>
      <c r="K27" s="807">
        <f>+'Grasmere Pig Cost'!K26+'Learig Pig Cost'!K26+'Lionhead Pig Cost'!K26+'Lionhead Ext. Pig Cost'!K26+'Villa Pig Cost'!K26+'Richlands Pig Cost'!K26+'Porta Pig Cost'!K26</f>
        <v>0</v>
      </c>
      <c r="L27" s="807">
        <f>+'Grasmere Pig Cost'!L26+'Learig Pig Cost'!L26+'Lionhead Pig Cost'!L26+'Lionhead Ext. Pig Cost'!L26+'Villa Pig Cost'!L26+'Richlands Pig Cost'!L26+'Porta Pig Cost'!L26</f>
        <v>0</v>
      </c>
      <c r="M27" s="807">
        <f>+'Grasmere Pig Cost'!M26+'Learig Pig Cost'!M26+'Lionhead Pig Cost'!M26+'Lionhead Ext. Pig Cost'!M26+'Villa Pig Cost'!M26+'Richlands Pig Cost'!M26+'Porta Pig Cost'!M26+'Multiplier Pig Cost '!M26</f>
        <v>0</v>
      </c>
      <c r="N27" s="807">
        <f>+'Grasmere Pig Cost'!N26+'Learig Pig Cost'!N26+'Lionhead Pig Cost'!N26+'Lionhead Ext. Pig Cost'!N26+'Villa Pig Cost'!N26+'Richlands Pig Cost'!N26+'Porta Pig Cost'!N26+'Multiplier Pig Cost '!N26</f>
        <v>0</v>
      </c>
      <c r="O27" s="807">
        <f>+'Grasmere Pig Cost'!O26+'Learig Pig Cost'!O26+'Lionhead Pig Cost'!O26+'Lionhead Ext. Pig Cost'!O26+'Villa Pig Cost'!O26+'Richlands Pig Cost'!O26+'Porta Pig Cost'!O26+'Multiplier Pig Cost '!O26</f>
        <v>0</v>
      </c>
      <c r="P27" s="807">
        <f>+'Grasmere Pig Cost'!P26+'Learig Pig Cost'!P26+'Lionhead Pig Cost'!P26+'Lionhead Ext. Pig Cost'!P26+'Villa Pig Cost'!P26+'Richlands Pig Cost'!P26+'Porta Pig Cost'!P26+'Multiplier Pig Cost '!P26</f>
        <v>0</v>
      </c>
      <c r="Q27" s="807">
        <f>+'Grasmere Pig Cost'!Q26+'Learig Pig Cost'!Q26+'Lionhead Pig Cost'!Q26+'Lionhead Ext. Pig Cost'!Q26+'Villa Pig Cost'!Q26+'Richlands Pig Cost'!Q26+'Porta Pig Cost'!Q26+'Multiplier Pig Cost '!Q26</f>
        <v>0</v>
      </c>
      <c r="R27" s="807">
        <f>+'Grasmere Pig Cost'!R26+'Learig Pig Cost'!R26+'Lionhead Pig Cost'!R26+'Lionhead Ext. Pig Cost'!R26+'Villa Pig Cost'!R26+'Richlands Pig Cost'!R26+'Porta Pig Cost'!R26+'Multiplier Pig Cost '!R26</f>
        <v>0</v>
      </c>
      <c r="S27" s="807">
        <f>+'Grasmere Pig Cost'!S26+'Learig Pig Cost'!S26+'Lionhead Pig Cost'!S26+'Lionhead Ext. Pig Cost'!S26+'Villa Pig Cost'!S26+'Richlands Pig Cost'!S26+'Porta Pig Cost'!S26+'Multiplier Pig Cost '!S26</f>
        <v>0</v>
      </c>
      <c r="T27" s="807">
        <f>+'Grasmere Pig Cost'!T26+'Learig Pig Cost'!T26+'Lionhead Pig Cost'!T26+'Lionhead Ext. Pig Cost'!T26+'Villa Pig Cost'!T26+'Richlands Pig Cost'!T26+'Porta Pig Cost'!T26+'Multiplier Pig Cost '!T26</f>
        <v>0</v>
      </c>
      <c r="U27" s="807">
        <f>+'Grasmere Pig Cost'!U26+'Learig Pig Cost'!U26+'Lionhead Pig Cost'!U26+'Lionhead Ext. Pig Cost'!U26+'Villa Pig Cost'!U26+'Richlands Pig Cost'!U26+'Porta Pig Cost'!U26+'Multiplier Pig Cost '!U26</f>
        <v>0</v>
      </c>
      <c r="V27" s="807">
        <f>+'Grasmere Pig Cost'!V26+'Learig Pig Cost'!V26+'Lionhead Pig Cost'!V26+'Lionhead Ext. Pig Cost'!V26+'Villa Pig Cost'!V26+'Richlands Pig Cost'!V26+'Porta Pig Cost'!V26+'Multiplier Pig Cost '!V26</f>
        <v>0</v>
      </c>
      <c r="W27" s="807">
        <f>+'Grasmere Pig Cost'!W26+'Learig Pig Cost'!W26+'Lionhead Pig Cost'!W26+'Lionhead Ext. Pig Cost'!W26+'Villa Pig Cost'!W26+'Richlands Pig Cost'!W26+'Porta Pig Cost'!W26+'Multiplier Pig Cost '!W26</f>
        <v>0</v>
      </c>
      <c r="X27" s="807">
        <f>+'Grasmere Pig Cost'!X26+'Learig Pig Cost'!X26+'Lionhead Pig Cost'!X26+'Lionhead Ext. Pig Cost'!X26+'Villa Pig Cost'!X26+'Richlands Pig Cost'!X26+'Porta Pig Cost'!X26+'Multiplier Pig Cost '!X26</f>
        <v>0</v>
      </c>
      <c r="Y27" s="807">
        <f>+'Grasmere Pig Cost'!Y26+'Learig Pig Cost'!Y26+'Lionhead Pig Cost'!Y26+'Lionhead Ext. Pig Cost'!Y26+'Villa Pig Cost'!Y26+'Richlands Pig Cost'!Y26+'Porta Pig Cost'!Y26+'Multiplier Pig Cost '!Y26</f>
        <v>0</v>
      </c>
      <c r="Z27" s="807">
        <f>+'Grasmere Pig Cost'!Z26+'Learig Pig Cost'!Z26+'Lionhead Pig Cost'!Z26+'Lionhead Ext. Pig Cost'!Z26+'Villa Pig Cost'!Z26+'Richlands Pig Cost'!Z26+'Porta Pig Cost'!Z26+'Multiplier Pig Cost '!Z26</f>
        <v>0</v>
      </c>
      <c r="AA27" s="807">
        <f>+'Grasmere Pig Cost'!AA26+'Learig Pig Cost'!AA26+'Lionhead Pig Cost'!AA26+'Lionhead Ext. Pig Cost'!AA26+'Villa Pig Cost'!AA26+'Richlands Pig Cost'!AA26+'Porta Pig Cost'!AA26+'Multiplier Pig Cost '!AA26</f>
        <v>0</v>
      </c>
      <c r="AB27" s="807">
        <f>+'Grasmere Pig Cost'!AB26+'Learig Pig Cost'!AB26+'Lionhead Pig Cost'!AB26+'Lionhead Ext. Pig Cost'!AB26+'Villa Pig Cost'!AB26+'Richlands Pig Cost'!AB26+'Porta Pig Cost'!AB26+'Multiplier Pig Cost '!AB26</f>
        <v>0</v>
      </c>
      <c r="AC27" s="807">
        <f>+'Grasmere Pig Cost'!AC26+'Learig Pig Cost'!AC26+'Lionhead Pig Cost'!AC26+'Lionhead Ext. Pig Cost'!AC26+'Villa Pig Cost'!AC26+'Richlands Pig Cost'!AC26+'Porta Pig Cost'!AC26+'Multiplier Pig Cost '!AC26</f>
        <v>0</v>
      </c>
      <c r="AD27" s="807">
        <f>+'Grasmere Pig Cost'!AD26+'Learig Pig Cost'!AD26+'Lionhead Pig Cost'!AD26+'Lionhead Ext. Pig Cost'!AD26+'Villa Pig Cost'!AD26+'Richlands Pig Cost'!AD26+'Porta Pig Cost'!AD26+'Multiplier Pig Cost '!AD26</f>
        <v>0</v>
      </c>
      <c r="AE27" s="807">
        <f>+'Grasmere Pig Cost'!AE26+'Learig Pig Cost'!AE26+'Lionhead Pig Cost'!AE26+'Lionhead Ext. Pig Cost'!AE26+'Villa Pig Cost'!AE26+'Richlands Pig Cost'!AE26+'Porta Pig Cost'!AE26+'Multiplier Pig Cost '!AE26</f>
        <v>0</v>
      </c>
      <c r="AF27" s="807">
        <f>+'Grasmere Pig Cost'!AF26+'Learig Pig Cost'!AF26+'Lionhead Pig Cost'!AF26+'Lionhead Ext. Pig Cost'!AF26+'Villa Pig Cost'!AF26+'Richlands Pig Cost'!AF26+'Porta Pig Cost'!AF26+'Multiplier Pig Cost '!AF26</f>
        <v>0</v>
      </c>
      <c r="AG27" s="807">
        <f>+'Grasmere Pig Cost'!AG26+'Learig Pig Cost'!AG26+'Lionhead Pig Cost'!AG26+'Lionhead Ext. Pig Cost'!AG26+'Villa Pig Cost'!AG26+'Richlands Pig Cost'!AG26+'Porta Pig Cost'!AG26+'Multiplier Pig Cost '!AG26</f>
        <v>0</v>
      </c>
      <c r="AH27" s="807">
        <f>+'Grasmere Pig Cost'!AH26+'Learig Pig Cost'!AH26+'Lionhead Pig Cost'!AH26+'Lionhead Ext. Pig Cost'!AH26+'Villa Pig Cost'!AH26+'Richlands Pig Cost'!AH26+'Porta Pig Cost'!AH26+'Multiplier Pig Cost '!AH26</f>
        <v>0</v>
      </c>
      <c r="AI27" s="807">
        <f>+'Grasmere Pig Cost'!AI26+'Learig Pig Cost'!AI26+'Lionhead Pig Cost'!AI26+'Lionhead Ext. Pig Cost'!AI26+'Villa Pig Cost'!AI26+'Richlands Pig Cost'!AI26+'Porta Pig Cost'!AI26+'Multiplier Pig Cost '!AI26</f>
        <v>0</v>
      </c>
      <c r="AJ27" s="807">
        <f>+'Grasmere Pig Cost'!AJ26+'Learig Pig Cost'!AJ26+'Lionhead Pig Cost'!AJ26+'Lionhead Ext. Pig Cost'!AJ26+'Villa Pig Cost'!AJ26+'Richlands Pig Cost'!AJ26+'Porta Pig Cost'!AJ26+'Multiplier Pig Cost '!AJ26</f>
        <v>0</v>
      </c>
      <c r="AK27" s="807">
        <f>+'Grasmere Pig Cost'!AK26+'Learig Pig Cost'!AK26+'Lionhead Pig Cost'!AK26+'Lionhead Ext. Pig Cost'!AK26+'Villa Pig Cost'!AK26+'Richlands Pig Cost'!AK26+'Porta Pig Cost'!AK26+'Multiplier Pig Cost '!AK26</f>
        <v>0</v>
      </c>
      <c r="AL27" s="807">
        <f>+'Grasmere Pig Cost'!AL26+'Learig Pig Cost'!AL26+'Lionhead Pig Cost'!AL26+'Lionhead Ext. Pig Cost'!AL26+'Villa Pig Cost'!AL26+'Richlands Pig Cost'!AL26+'Porta Pig Cost'!AL26+'Multiplier Pig Cost '!AL26</f>
        <v>0</v>
      </c>
      <c r="AM27" s="807">
        <f>+'Grasmere Pig Cost'!AM26+'Learig Pig Cost'!AM26+'Lionhead Pig Cost'!AM26+'Lionhead Ext. Pig Cost'!AM26+'Villa Pig Cost'!AM26+'Richlands Pig Cost'!AM26+'Porta Pig Cost'!AM26+'Multiplier Pig Cost '!AM26</f>
        <v>0</v>
      </c>
      <c r="AN27" s="807">
        <f>+'Grasmere Pig Cost'!AN26+'Learig Pig Cost'!AN26+'Lionhead Pig Cost'!AN26+'Lionhead Ext. Pig Cost'!AN26+'Villa Pig Cost'!AN26+'Richlands Pig Cost'!AN26+'Porta Pig Cost'!AN26+'Multiplier Pig Cost '!AN26</f>
        <v>0</v>
      </c>
      <c r="AO27" s="807">
        <f>+'Grasmere Pig Cost'!AO26+'Learig Pig Cost'!AO26+'Lionhead Pig Cost'!AO26+'Lionhead Ext. Pig Cost'!AO26+'Villa Pig Cost'!AO26+'Richlands Pig Cost'!AO26+'Porta Pig Cost'!AO26+'Multiplier Pig Cost '!AO26</f>
        <v>0</v>
      </c>
      <c r="AP27" s="807">
        <f>+'Grasmere Pig Cost'!AP26+'Learig Pig Cost'!AP26+'Lionhead Pig Cost'!AP26+'Lionhead Ext. Pig Cost'!AP26+'Villa Pig Cost'!AP26+'Richlands Pig Cost'!AP26+'Porta Pig Cost'!AP26+'Multiplier Pig Cost '!AP26</f>
        <v>0</v>
      </c>
      <c r="AQ27" s="807">
        <f>+'Grasmere Pig Cost'!AQ26+'Learig Pig Cost'!AQ26+'Lionhead Pig Cost'!AQ26+'Lionhead Ext. Pig Cost'!AQ26+'Villa Pig Cost'!AQ26+'Richlands Pig Cost'!AQ26+'Porta Pig Cost'!AQ26+'Multiplier Pig Cost '!AQ26</f>
        <v>0</v>
      </c>
      <c r="AR27" s="807">
        <f>+'Grasmere Pig Cost'!AR26+'Learig Pig Cost'!AR26+'Lionhead Pig Cost'!AR26+'Lionhead Ext. Pig Cost'!AR26+'Villa Pig Cost'!AR26+'Richlands Pig Cost'!AR26+'Porta Pig Cost'!AR26+'Multiplier Pig Cost '!AR26</f>
        <v>0</v>
      </c>
      <c r="AS27" s="807">
        <f>+'Grasmere Pig Cost'!AS26+'Learig Pig Cost'!AS26+'Lionhead Pig Cost'!AS26+'Lionhead Ext. Pig Cost'!AS26+'Villa Pig Cost'!AS26+'Richlands Pig Cost'!AS26+'Porta Pig Cost'!AS26+'Multiplier Pig Cost '!AS26</f>
        <v>0</v>
      </c>
      <c r="AT27" s="807">
        <f>+'Grasmere Pig Cost'!AT26+'Learig Pig Cost'!AT26+'Lionhead Pig Cost'!AT26+'Lionhead Ext. Pig Cost'!AT26+'Villa Pig Cost'!AT26+'Richlands Pig Cost'!AT26+'Porta Pig Cost'!AT26+'Multiplier Pig Cost '!AT26</f>
        <v>0</v>
      </c>
      <c r="AU27" s="1086">
        <f t="shared" si="12"/>
        <v>0</v>
      </c>
      <c r="AV27" s="1086">
        <f>SUM('Summary Total Pigs'!AB186:AB188)</f>
        <v>0</v>
      </c>
      <c r="AW27" s="818">
        <f t="shared" si="9"/>
        <v>0</v>
      </c>
      <c r="AX27" s="817"/>
    </row>
    <row r="28" spans="1:54" ht="15.6">
      <c r="A28" s="142" t="s">
        <v>232</v>
      </c>
      <c r="B28" s="807">
        <f>+'Grasmere Pig Cost'!B27+'Learig Pig Cost'!B27+'Lionhead Pig Cost'!B27+'Lionhead Ext. Pig Cost'!B27+'Villa Pig Cost'!B27+'Richlands Pig Cost'!B27+'Porta Pig Cost'!B27</f>
        <v>0</v>
      </c>
      <c r="C28" s="807">
        <f>+'Grasmere Pig Cost'!C27+'Learig Pig Cost'!C27+'Lionhead Pig Cost'!C27+'Lionhead Ext. Pig Cost'!C27+'Villa Pig Cost'!C27+'Richlands Pig Cost'!C27+'Porta Pig Cost'!C27</f>
        <v>0</v>
      </c>
      <c r="D28" s="807">
        <f>+'Grasmere Pig Cost'!D27+'Learig Pig Cost'!D27+'Lionhead Pig Cost'!D27+'Lionhead Ext. Pig Cost'!D27+'Villa Pig Cost'!D27+'Richlands Pig Cost'!D27+'Porta Pig Cost'!D27</f>
        <v>0</v>
      </c>
      <c r="E28" s="807">
        <f>+'Grasmere Pig Cost'!E27+'Learig Pig Cost'!E27+'Lionhead Pig Cost'!E27+'Lionhead Ext. Pig Cost'!E27+'Villa Pig Cost'!E27+'Richlands Pig Cost'!E27+'Porta Pig Cost'!E27</f>
        <v>0</v>
      </c>
      <c r="F28" s="807">
        <f>+'Grasmere Pig Cost'!F27+'Learig Pig Cost'!F27+'Lionhead Pig Cost'!F27+'Lionhead Ext. Pig Cost'!F27+'Villa Pig Cost'!F27+'Richlands Pig Cost'!F27+'Porta Pig Cost'!F27</f>
        <v>0</v>
      </c>
      <c r="G28" s="807">
        <f>+'Grasmere Pig Cost'!G27+'Learig Pig Cost'!G27+'Lionhead Pig Cost'!G27+'Lionhead Ext. Pig Cost'!G27+'Villa Pig Cost'!G27+'Richlands Pig Cost'!G27+'Porta Pig Cost'!G27</f>
        <v>0</v>
      </c>
      <c r="H28" s="807">
        <f>+'Grasmere Pig Cost'!H27+'Learig Pig Cost'!H27+'Lionhead Pig Cost'!H27+'Lionhead Ext. Pig Cost'!H27+'Villa Pig Cost'!H27+'Richlands Pig Cost'!H27+'Porta Pig Cost'!H27</f>
        <v>0</v>
      </c>
      <c r="I28" s="807">
        <f>+'Grasmere Pig Cost'!I27+'Learig Pig Cost'!I27+'Lionhead Pig Cost'!I27+'Lionhead Ext. Pig Cost'!I27+'Villa Pig Cost'!I27+'Richlands Pig Cost'!I27+'Porta Pig Cost'!I27</f>
        <v>0</v>
      </c>
      <c r="J28" s="807">
        <f>+'Grasmere Pig Cost'!J27+'Learig Pig Cost'!J27+'Lionhead Pig Cost'!J27+'Lionhead Ext. Pig Cost'!J27+'Villa Pig Cost'!J27+'Richlands Pig Cost'!J27+'Porta Pig Cost'!J27</f>
        <v>0</v>
      </c>
      <c r="K28" s="807">
        <f>+'Grasmere Pig Cost'!K27+'Learig Pig Cost'!K27+'Lionhead Pig Cost'!K27+'Lionhead Ext. Pig Cost'!K27+'Villa Pig Cost'!K27+'Richlands Pig Cost'!K27+'Porta Pig Cost'!K27</f>
        <v>0</v>
      </c>
      <c r="L28" s="807">
        <f>+'Grasmere Pig Cost'!L27+'Learig Pig Cost'!L27+'Lionhead Pig Cost'!L27+'Lionhead Ext. Pig Cost'!L27+'Villa Pig Cost'!L27+'Richlands Pig Cost'!L27+'Porta Pig Cost'!L27</f>
        <v>0</v>
      </c>
      <c r="M28" s="807">
        <f>+'Grasmere Pig Cost'!M27+'Learig Pig Cost'!M27+'Lionhead Pig Cost'!M27+'Lionhead Ext. Pig Cost'!M27+'Villa Pig Cost'!M27+'Richlands Pig Cost'!M27+'Porta Pig Cost'!M27+'Multiplier Pig Cost '!M27</f>
        <v>0</v>
      </c>
      <c r="N28" s="807">
        <f>+'Grasmere Pig Cost'!N27+'Learig Pig Cost'!N27+'Lionhead Pig Cost'!N27+'Lionhead Ext. Pig Cost'!N27+'Villa Pig Cost'!N27+'Richlands Pig Cost'!N27+'Porta Pig Cost'!N27+'Multiplier Pig Cost '!N27</f>
        <v>0</v>
      </c>
      <c r="O28" s="807">
        <f>+'Grasmere Pig Cost'!O27+'Learig Pig Cost'!O27+'Lionhead Pig Cost'!O27+'Lionhead Ext. Pig Cost'!O27+'Villa Pig Cost'!O27+'Richlands Pig Cost'!O27+'Porta Pig Cost'!O27+'Multiplier Pig Cost '!O27</f>
        <v>0</v>
      </c>
      <c r="P28" s="807">
        <f>+'Grasmere Pig Cost'!P27+'Learig Pig Cost'!P27+'Lionhead Pig Cost'!P27+'Lionhead Ext. Pig Cost'!P27+'Villa Pig Cost'!P27+'Richlands Pig Cost'!P27+'Porta Pig Cost'!P27+'Multiplier Pig Cost '!P27</f>
        <v>0</v>
      </c>
      <c r="Q28" s="807">
        <f>+'Grasmere Pig Cost'!Q27+'Learig Pig Cost'!Q27+'Lionhead Pig Cost'!Q27+'Lionhead Ext. Pig Cost'!Q27+'Villa Pig Cost'!Q27+'Richlands Pig Cost'!Q27+'Porta Pig Cost'!Q27+'Multiplier Pig Cost '!Q27</f>
        <v>0</v>
      </c>
      <c r="R28" s="807">
        <f>+'Grasmere Pig Cost'!R27+'Learig Pig Cost'!R27+'Lionhead Pig Cost'!R27+'Lionhead Ext. Pig Cost'!R27+'Villa Pig Cost'!R27+'Richlands Pig Cost'!R27+'Porta Pig Cost'!R27+'Multiplier Pig Cost '!R27</f>
        <v>0</v>
      </c>
      <c r="S28" s="807">
        <f>+'Grasmere Pig Cost'!S27+'Learig Pig Cost'!S27+'Lionhead Pig Cost'!S27+'Lionhead Ext. Pig Cost'!S27+'Villa Pig Cost'!S27+'Richlands Pig Cost'!S27+'Porta Pig Cost'!S27+'Multiplier Pig Cost '!S27</f>
        <v>0</v>
      </c>
      <c r="T28" s="807">
        <f>+'Grasmere Pig Cost'!T27+'Learig Pig Cost'!T27+'Lionhead Pig Cost'!T27+'Lionhead Ext. Pig Cost'!T27+'Villa Pig Cost'!T27+'Richlands Pig Cost'!T27+'Porta Pig Cost'!T27+'Multiplier Pig Cost '!T27</f>
        <v>0</v>
      </c>
      <c r="U28" s="807">
        <f>+'Grasmere Pig Cost'!U27+'Learig Pig Cost'!U27+'Lionhead Pig Cost'!U27+'Lionhead Ext. Pig Cost'!U27+'Villa Pig Cost'!U27+'Richlands Pig Cost'!U27+'Porta Pig Cost'!U27+'Multiplier Pig Cost '!U27</f>
        <v>0</v>
      </c>
      <c r="V28" s="807">
        <f>+'Grasmere Pig Cost'!V27+'Learig Pig Cost'!V27+'Lionhead Pig Cost'!V27+'Lionhead Ext. Pig Cost'!V27+'Villa Pig Cost'!V27+'Richlands Pig Cost'!V27+'Porta Pig Cost'!V27+'Multiplier Pig Cost '!V27</f>
        <v>0</v>
      </c>
      <c r="W28" s="807">
        <f>+'Grasmere Pig Cost'!W27+'Learig Pig Cost'!W27+'Lionhead Pig Cost'!W27+'Lionhead Ext. Pig Cost'!W27+'Villa Pig Cost'!W27+'Richlands Pig Cost'!W27+'Porta Pig Cost'!W27+'Multiplier Pig Cost '!W27</f>
        <v>0</v>
      </c>
      <c r="X28" s="807">
        <f>+'Grasmere Pig Cost'!X27+'Learig Pig Cost'!X27+'Lionhead Pig Cost'!X27+'Lionhead Ext. Pig Cost'!X27+'Villa Pig Cost'!X27+'Richlands Pig Cost'!X27+'Porta Pig Cost'!X27+'Multiplier Pig Cost '!X27</f>
        <v>0</v>
      </c>
      <c r="Y28" s="807">
        <f>+'Grasmere Pig Cost'!Y27+'Learig Pig Cost'!Y27+'Lionhead Pig Cost'!Y27+'Lionhead Ext. Pig Cost'!Y27+'Villa Pig Cost'!Y27+'Richlands Pig Cost'!Y27+'Porta Pig Cost'!Y27+'Multiplier Pig Cost '!Y27</f>
        <v>0</v>
      </c>
      <c r="Z28" s="807">
        <f>+'Grasmere Pig Cost'!Z27+'Learig Pig Cost'!Z27+'Lionhead Pig Cost'!Z27+'Lionhead Ext. Pig Cost'!Z27+'Villa Pig Cost'!Z27+'Richlands Pig Cost'!Z27+'Porta Pig Cost'!Z27+'Multiplier Pig Cost '!Z27</f>
        <v>0</v>
      </c>
      <c r="AA28" s="807">
        <f>+'Grasmere Pig Cost'!AA27+'Learig Pig Cost'!AA27+'Lionhead Pig Cost'!AA27+'Lionhead Ext. Pig Cost'!AA27+'Villa Pig Cost'!AA27+'Richlands Pig Cost'!AA27+'Porta Pig Cost'!AA27+'Multiplier Pig Cost '!AA27</f>
        <v>0</v>
      </c>
      <c r="AB28" s="807">
        <f>+'Grasmere Pig Cost'!AB27+'Learig Pig Cost'!AB27+'Lionhead Pig Cost'!AB27+'Lionhead Ext. Pig Cost'!AB27+'Villa Pig Cost'!AB27+'Richlands Pig Cost'!AB27+'Porta Pig Cost'!AB27+'Multiplier Pig Cost '!AB27</f>
        <v>0</v>
      </c>
      <c r="AC28" s="807">
        <f>+'Grasmere Pig Cost'!AC27+'Learig Pig Cost'!AC27+'Lionhead Pig Cost'!AC27+'Lionhead Ext. Pig Cost'!AC27+'Villa Pig Cost'!AC27+'Richlands Pig Cost'!AC27+'Porta Pig Cost'!AC27+'Multiplier Pig Cost '!AC27</f>
        <v>0</v>
      </c>
      <c r="AD28" s="807">
        <f>+'Grasmere Pig Cost'!AD27+'Learig Pig Cost'!AD27+'Lionhead Pig Cost'!AD27+'Lionhead Ext. Pig Cost'!AD27+'Villa Pig Cost'!AD27+'Richlands Pig Cost'!AD27+'Porta Pig Cost'!AD27+'Multiplier Pig Cost '!AD27</f>
        <v>0</v>
      </c>
      <c r="AE28" s="807">
        <f>+'Grasmere Pig Cost'!AE27+'Learig Pig Cost'!AE27+'Lionhead Pig Cost'!AE27+'Lionhead Ext. Pig Cost'!AE27+'Villa Pig Cost'!AE27+'Richlands Pig Cost'!AE27+'Porta Pig Cost'!AE27+'Multiplier Pig Cost '!AE27</f>
        <v>0</v>
      </c>
      <c r="AF28" s="807">
        <f>+'Grasmere Pig Cost'!AF27+'Learig Pig Cost'!AF27+'Lionhead Pig Cost'!AF27+'Lionhead Ext. Pig Cost'!AF27+'Villa Pig Cost'!AF27+'Richlands Pig Cost'!AF27+'Porta Pig Cost'!AF27+'Multiplier Pig Cost '!AF27</f>
        <v>0</v>
      </c>
      <c r="AG28" s="807">
        <f>+'Grasmere Pig Cost'!AG27+'Learig Pig Cost'!AG27+'Lionhead Pig Cost'!AG27+'Lionhead Ext. Pig Cost'!AG27+'Villa Pig Cost'!AG27+'Richlands Pig Cost'!AG27+'Porta Pig Cost'!AG27+'Multiplier Pig Cost '!AG27</f>
        <v>0</v>
      </c>
      <c r="AH28" s="807">
        <f>+'Grasmere Pig Cost'!AH27+'Learig Pig Cost'!AH27+'Lionhead Pig Cost'!AH27+'Lionhead Ext. Pig Cost'!AH27+'Villa Pig Cost'!AH27+'Richlands Pig Cost'!AH27+'Porta Pig Cost'!AH27+'Multiplier Pig Cost '!AH27</f>
        <v>0</v>
      </c>
      <c r="AI28" s="807">
        <f>+'Grasmere Pig Cost'!AI27+'Learig Pig Cost'!AI27+'Lionhead Pig Cost'!AI27+'Lionhead Ext. Pig Cost'!AI27+'Villa Pig Cost'!AI27+'Richlands Pig Cost'!AI27+'Porta Pig Cost'!AI27+'Multiplier Pig Cost '!AI27</f>
        <v>0</v>
      </c>
      <c r="AJ28" s="807">
        <f>+'Grasmere Pig Cost'!AJ27+'Learig Pig Cost'!AJ27+'Lionhead Pig Cost'!AJ27+'Lionhead Ext. Pig Cost'!AJ27+'Villa Pig Cost'!AJ27+'Richlands Pig Cost'!AJ27+'Porta Pig Cost'!AJ27+'Multiplier Pig Cost '!AJ27</f>
        <v>0</v>
      </c>
      <c r="AK28" s="807">
        <f>+'Grasmere Pig Cost'!AK27+'Learig Pig Cost'!AK27+'Lionhead Pig Cost'!AK27+'Lionhead Ext. Pig Cost'!AK27+'Villa Pig Cost'!AK27+'Richlands Pig Cost'!AK27+'Porta Pig Cost'!AK27+'Multiplier Pig Cost '!AK27</f>
        <v>0</v>
      </c>
      <c r="AL28" s="807">
        <f>+'Grasmere Pig Cost'!AL27+'Learig Pig Cost'!AL27+'Lionhead Pig Cost'!AL27+'Lionhead Ext. Pig Cost'!AL27+'Villa Pig Cost'!AL27+'Richlands Pig Cost'!AL27+'Porta Pig Cost'!AL27+'Multiplier Pig Cost '!AL27</f>
        <v>0</v>
      </c>
      <c r="AM28" s="807">
        <f>+'Grasmere Pig Cost'!AM27+'Learig Pig Cost'!AM27+'Lionhead Pig Cost'!AM27+'Lionhead Ext. Pig Cost'!AM27+'Villa Pig Cost'!AM27+'Richlands Pig Cost'!AM27+'Porta Pig Cost'!AM27+'Multiplier Pig Cost '!AM27</f>
        <v>0</v>
      </c>
      <c r="AN28" s="807">
        <f>+'Grasmere Pig Cost'!AN27+'Learig Pig Cost'!AN27+'Lionhead Pig Cost'!AN27+'Lionhead Ext. Pig Cost'!AN27+'Villa Pig Cost'!AN27+'Richlands Pig Cost'!AN27+'Porta Pig Cost'!AN27+'Multiplier Pig Cost '!AN27</f>
        <v>0</v>
      </c>
      <c r="AO28" s="807">
        <f>+'Grasmere Pig Cost'!AO27+'Learig Pig Cost'!AO27+'Lionhead Pig Cost'!AO27+'Lionhead Ext. Pig Cost'!AO27+'Villa Pig Cost'!AO27+'Richlands Pig Cost'!AO27+'Porta Pig Cost'!AO27+'Multiplier Pig Cost '!AO27</f>
        <v>-15</v>
      </c>
      <c r="AP28" s="807">
        <f>+'Grasmere Pig Cost'!AP27+'Learig Pig Cost'!AP27+'Lionhead Pig Cost'!AP27+'Lionhead Ext. Pig Cost'!AP27+'Villa Pig Cost'!AP27+'Richlands Pig Cost'!AP27+'Porta Pig Cost'!AP27+'Multiplier Pig Cost '!AP27</f>
        <v>0</v>
      </c>
      <c r="AQ28" s="807">
        <f>+'Grasmere Pig Cost'!AQ27+'Learig Pig Cost'!AQ27+'Lionhead Pig Cost'!AQ27+'Lionhead Ext. Pig Cost'!AQ27+'Villa Pig Cost'!AQ27+'Richlands Pig Cost'!AQ27+'Porta Pig Cost'!AQ27+'Multiplier Pig Cost '!AQ27</f>
        <v>-3</v>
      </c>
      <c r="AR28" s="807">
        <f>+'Grasmere Pig Cost'!AR27+'Learig Pig Cost'!AR27+'Lionhead Pig Cost'!AR27+'Lionhead Ext. Pig Cost'!AR27+'Villa Pig Cost'!AR27+'Richlands Pig Cost'!AR27+'Porta Pig Cost'!AR27+'Multiplier Pig Cost '!AR27</f>
        <v>0</v>
      </c>
      <c r="AS28" s="807">
        <f>+'Grasmere Pig Cost'!AS27+'Learig Pig Cost'!AS27+'Lionhead Pig Cost'!AS27+'Lionhead Ext. Pig Cost'!AS27+'Villa Pig Cost'!AS27+'Richlands Pig Cost'!AS27+'Porta Pig Cost'!AS27+'Multiplier Pig Cost '!AS27</f>
        <v>0</v>
      </c>
      <c r="AT28" s="807">
        <f>+'Grasmere Pig Cost'!AT27+'Learig Pig Cost'!AT27+'Lionhead Pig Cost'!AT27+'Lionhead Ext. Pig Cost'!AT27+'Villa Pig Cost'!AT27+'Richlands Pig Cost'!AT27+'Porta Pig Cost'!AT27+'Multiplier Pig Cost '!AT27</f>
        <v>0</v>
      </c>
      <c r="AU28" s="1086">
        <f t="shared" si="12"/>
        <v>-18</v>
      </c>
      <c r="AV28" s="1086">
        <f>SUM('Summary Total Pigs'!AC186:AC188,'Summary Total Pigs'!AA186:AA188)</f>
        <v>-18</v>
      </c>
      <c r="AW28" s="818">
        <f t="shared" si="9"/>
        <v>0</v>
      </c>
      <c r="AX28" s="818"/>
      <c r="AZ28" s="1091"/>
    </row>
    <row r="29" spans="1:54" ht="16.149999999999999" thickBot="1">
      <c r="A29" s="1560" t="s">
        <v>1801</v>
      </c>
      <c r="B29" s="807">
        <f>+'Grasmere Pig Cost'!B28+'Learig Pig Cost'!B28+'Lionhead Pig Cost'!B28+'Lionhead Ext. Pig Cost'!B28+'Villa Pig Cost'!B28+'Richlands Pig Cost'!B28+'Porta Pig Cost'!B28</f>
        <v>0</v>
      </c>
      <c r="C29" s="807">
        <f>+'Grasmere Pig Cost'!C28+'Learig Pig Cost'!C28+'Lionhead Pig Cost'!C28+'Lionhead Ext. Pig Cost'!C28+'Villa Pig Cost'!C28+'Richlands Pig Cost'!C28+'Porta Pig Cost'!C28</f>
        <v>0</v>
      </c>
      <c r="D29" s="807">
        <f>+'Grasmere Pig Cost'!D28+'Learig Pig Cost'!D28+'Lionhead Pig Cost'!D28+'Lionhead Ext. Pig Cost'!D28+'Villa Pig Cost'!D28+'Richlands Pig Cost'!D28+'Porta Pig Cost'!D28</f>
        <v>0</v>
      </c>
      <c r="E29" s="807">
        <f>+'Grasmere Pig Cost'!E28+'Learig Pig Cost'!E28+'Lionhead Pig Cost'!E28+'Lionhead Ext. Pig Cost'!E28+'Villa Pig Cost'!E28+'Richlands Pig Cost'!E28+'Porta Pig Cost'!E28</f>
        <v>0</v>
      </c>
      <c r="F29" s="807">
        <f>+'Grasmere Pig Cost'!F28+'Learig Pig Cost'!F28+'Lionhead Pig Cost'!F28+'Lionhead Ext. Pig Cost'!F28+'Villa Pig Cost'!F28+'Richlands Pig Cost'!F28+'Porta Pig Cost'!F28</f>
        <v>0</v>
      </c>
      <c r="G29" s="807">
        <f>+'Grasmere Pig Cost'!G28+'Learig Pig Cost'!G28+'Lionhead Pig Cost'!G28+'Lionhead Ext. Pig Cost'!G28+'Villa Pig Cost'!G28+'Richlands Pig Cost'!G28+'Porta Pig Cost'!G28</f>
        <v>0</v>
      </c>
      <c r="H29" s="807">
        <f>+'Grasmere Pig Cost'!H28+'Learig Pig Cost'!H28+'Lionhead Pig Cost'!H28+'Lionhead Ext. Pig Cost'!H28+'Villa Pig Cost'!H28+'Richlands Pig Cost'!H28+'Porta Pig Cost'!H28</f>
        <v>0</v>
      </c>
      <c r="I29" s="807">
        <f>+'Grasmere Pig Cost'!I28+'Learig Pig Cost'!I28+'Lionhead Pig Cost'!I28+'Lionhead Ext. Pig Cost'!I28+'Villa Pig Cost'!I28+'Richlands Pig Cost'!I28+'Porta Pig Cost'!I28</f>
        <v>0</v>
      </c>
      <c r="J29" s="807">
        <f>+'Grasmere Pig Cost'!J28+'Learig Pig Cost'!J28+'Lionhead Pig Cost'!J28+'Lionhead Ext. Pig Cost'!J28+'Villa Pig Cost'!J28+'Richlands Pig Cost'!J28+'Porta Pig Cost'!J28</f>
        <v>0</v>
      </c>
      <c r="K29" s="807">
        <f>+'Grasmere Pig Cost'!K28+'Learig Pig Cost'!K28+'Lionhead Pig Cost'!K28+'Lionhead Ext. Pig Cost'!K28+'Villa Pig Cost'!K28+'Richlands Pig Cost'!K28+'Porta Pig Cost'!K28</f>
        <v>0</v>
      </c>
      <c r="L29" s="807">
        <f>+'Grasmere Pig Cost'!L28+'Learig Pig Cost'!L28+'Lionhead Pig Cost'!L28+'Lionhead Ext. Pig Cost'!L28+'Villa Pig Cost'!L28+'Richlands Pig Cost'!L28+'Porta Pig Cost'!L28</f>
        <v>0</v>
      </c>
      <c r="M29" s="807">
        <f>+'Grasmere Pig Cost'!M28+'Learig Pig Cost'!M28+'Lionhead Pig Cost'!M28+'Lionhead Ext. Pig Cost'!M28+'Villa Pig Cost'!M28+'Richlands Pig Cost'!M28+'Porta Pig Cost'!M28+'Multiplier Pig Cost '!M28</f>
        <v>0</v>
      </c>
      <c r="N29" s="807">
        <f>+'Grasmere Pig Cost'!N28+'Learig Pig Cost'!N28+'Lionhead Pig Cost'!N28+'Lionhead Ext. Pig Cost'!N28+'Villa Pig Cost'!N28+'Richlands Pig Cost'!N28+'Porta Pig Cost'!N28+'Multiplier Pig Cost '!N28</f>
        <v>0</v>
      </c>
      <c r="O29" s="807">
        <f>+'Grasmere Pig Cost'!O28+'Learig Pig Cost'!O28+'Lionhead Pig Cost'!O28+'Lionhead Ext. Pig Cost'!O28+'Villa Pig Cost'!O28+'Richlands Pig Cost'!O28+'Porta Pig Cost'!O28+'Multiplier Pig Cost '!O28</f>
        <v>0</v>
      </c>
      <c r="P29" s="807">
        <f>+'Grasmere Pig Cost'!P28+'Learig Pig Cost'!P28+'Lionhead Pig Cost'!P28+'Lionhead Ext. Pig Cost'!P28+'Villa Pig Cost'!P28+'Richlands Pig Cost'!P28+'Porta Pig Cost'!P28+'Multiplier Pig Cost '!P28</f>
        <v>0</v>
      </c>
      <c r="Q29" s="807">
        <f>+'Grasmere Pig Cost'!Q28+'Learig Pig Cost'!Q28+'Lionhead Pig Cost'!Q28+'Lionhead Ext. Pig Cost'!Q28+'Villa Pig Cost'!Q28+'Richlands Pig Cost'!Q28+'Porta Pig Cost'!Q28+'Multiplier Pig Cost '!Q28</f>
        <v>0</v>
      </c>
      <c r="R29" s="807">
        <f>+'Grasmere Pig Cost'!R28+'Learig Pig Cost'!R28+'Lionhead Pig Cost'!R28+'Lionhead Ext. Pig Cost'!R28+'Villa Pig Cost'!R28+'Richlands Pig Cost'!R28+'Porta Pig Cost'!R28+'Multiplier Pig Cost '!R28</f>
        <v>0</v>
      </c>
      <c r="S29" s="807">
        <f>+'Grasmere Pig Cost'!S28+'Learig Pig Cost'!S28+'Lionhead Pig Cost'!S28+'Lionhead Ext. Pig Cost'!S28+'Villa Pig Cost'!S28+'Richlands Pig Cost'!S28+'Porta Pig Cost'!S28+'Multiplier Pig Cost '!S28</f>
        <v>0</v>
      </c>
      <c r="T29" s="807">
        <f>+'Grasmere Pig Cost'!T28+'Learig Pig Cost'!T28+'Lionhead Pig Cost'!T28+'Lionhead Ext. Pig Cost'!T28+'Villa Pig Cost'!T28+'Richlands Pig Cost'!T28+'Porta Pig Cost'!T28+'Multiplier Pig Cost '!T28</f>
        <v>0</v>
      </c>
      <c r="U29" s="807">
        <f>+'Grasmere Pig Cost'!U28+'Learig Pig Cost'!U28+'Lionhead Pig Cost'!U28+'Lionhead Ext. Pig Cost'!U28+'Villa Pig Cost'!U28+'Richlands Pig Cost'!U28+'Porta Pig Cost'!U28+'Multiplier Pig Cost '!U28</f>
        <v>0</v>
      </c>
      <c r="V29" s="807">
        <f>+'Grasmere Pig Cost'!V28+'Learig Pig Cost'!V28+'Lionhead Pig Cost'!V28+'Lionhead Ext. Pig Cost'!V28+'Villa Pig Cost'!V28+'Richlands Pig Cost'!V28+'Porta Pig Cost'!V28+'Multiplier Pig Cost '!V28</f>
        <v>0</v>
      </c>
      <c r="W29" s="807">
        <f>+'Grasmere Pig Cost'!W28+'Learig Pig Cost'!W28+'Lionhead Pig Cost'!W28+'Lionhead Ext. Pig Cost'!W28+'Villa Pig Cost'!W28+'Richlands Pig Cost'!W28+'Porta Pig Cost'!W28+'Multiplier Pig Cost '!W28</f>
        <v>0</v>
      </c>
      <c r="X29" s="807">
        <f>+'Grasmere Pig Cost'!X28+'Learig Pig Cost'!X28+'Lionhead Pig Cost'!X28+'Lionhead Ext. Pig Cost'!X28+'Villa Pig Cost'!X28+'Richlands Pig Cost'!X28+'Porta Pig Cost'!X28+'Multiplier Pig Cost '!X28</f>
        <v>0</v>
      </c>
      <c r="Y29" s="807">
        <f>+'Grasmere Pig Cost'!Y28+'Learig Pig Cost'!Y28+'Lionhead Pig Cost'!Y28+'Lionhead Ext. Pig Cost'!Y28+'Villa Pig Cost'!Y28+'Richlands Pig Cost'!Y28+'Porta Pig Cost'!Y28+'Multiplier Pig Cost '!Y28</f>
        <v>0</v>
      </c>
      <c r="Z29" s="807">
        <f>+'Grasmere Pig Cost'!Z28+'Learig Pig Cost'!Z28+'Lionhead Pig Cost'!Z28+'Lionhead Ext. Pig Cost'!Z28+'Villa Pig Cost'!Z28+'Richlands Pig Cost'!Z28+'Porta Pig Cost'!Z28+'Multiplier Pig Cost '!Z28</f>
        <v>0</v>
      </c>
      <c r="AA29" s="807">
        <f>+'Grasmere Pig Cost'!AA28+'Learig Pig Cost'!AA28+'Lionhead Pig Cost'!AA28+'Lionhead Ext. Pig Cost'!AA28+'Villa Pig Cost'!AA28+'Richlands Pig Cost'!AA28+'Porta Pig Cost'!AA28+'Multiplier Pig Cost '!AA28</f>
        <v>0</v>
      </c>
      <c r="AB29" s="807">
        <f>+'Grasmere Pig Cost'!AB28+'Learig Pig Cost'!AB28+'Lionhead Pig Cost'!AB28+'Lionhead Ext. Pig Cost'!AB28+'Villa Pig Cost'!AB28+'Richlands Pig Cost'!AB28+'Porta Pig Cost'!AB28+'Multiplier Pig Cost '!AB28</f>
        <v>0</v>
      </c>
      <c r="AC29" s="807">
        <f>+'Grasmere Pig Cost'!AC28+'Learig Pig Cost'!AC28+'Lionhead Pig Cost'!AC28+'Lionhead Ext. Pig Cost'!AC28+'Villa Pig Cost'!AC28+'Richlands Pig Cost'!AC28+'Porta Pig Cost'!AC28+'Multiplier Pig Cost '!AC28</f>
        <v>0</v>
      </c>
      <c r="AD29" s="807">
        <f>+'Grasmere Pig Cost'!AD28+'Learig Pig Cost'!AD28+'Lionhead Pig Cost'!AD28+'Lionhead Ext. Pig Cost'!AD28+'Villa Pig Cost'!AD28+'Richlands Pig Cost'!AD28+'Porta Pig Cost'!AD28+'Multiplier Pig Cost '!AD28</f>
        <v>0</v>
      </c>
      <c r="AE29" s="807">
        <f>+'Grasmere Pig Cost'!AE28+'Learig Pig Cost'!AE28+'Lionhead Pig Cost'!AE28+'Lionhead Ext. Pig Cost'!AE28+'Villa Pig Cost'!AE28+'Richlands Pig Cost'!AE28+'Porta Pig Cost'!AE28+'Multiplier Pig Cost '!AE28</f>
        <v>0</v>
      </c>
      <c r="AF29" s="807">
        <f>+'Grasmere Pig Cost'!AF28+'Learig Pig Cost'!AF28+'Lionhead Pig Cost'!AF28+'Lionhead Ext. Pig Cost'!AF28+'Villa Pig Cost'!AF28+'Richlands Pig Cost'!AF28+'Porta Pig Cost'!AF28+'Multiplier Pig Cost '!AF28</f>
        <v>0</v>
      </c>
      <c r="AG29" s="807">
        <f>+'Grasmere Pig Cost'!AG28+'Learig Pig Cost'!AG28+'Lionhead Pig Cost'!AG28+'Lionhead Ext. Pig Cost'!AG28+'Villa Pig Cost'!AG28+'Richlands Pig Cost'!AG28+'Porta Pig Cost'!AG28+'Multiplier Pig Cost '!AG28</f>
        <v>0</v>
      </c>
      <c r="AH29" s="807">
        <f>+'Grasmere Pig Cost'!AH28+'Learig Pig Cost'!AH28+'Lionhead Pig Cost'!AH28+'Lionhead Ext. Pig Cost'!AH28+'Villa Pig Cost'!AH28+'Richlands Pig Cost'!AH28+'Porta Pig Cost'!AH28+'Multiplier Pig Cost '!AH28</f>
        <v>0</v>
      </c>
      <c r="AI29" s="807">
        <f>+'Grasmere Pig Cost'!AI28+'Learig Pig Cost'!AI28+'Lionhead Pig Cost'!AI28+'Lionhead Ext. Pig Cost'!AI28+'Villa Pig Cost'!AI28+'Richlands Pig Cost'!AI28+'Porta Pig Cost'!AI28+'Multiplier Pig Cost '!AI28</f>
        <v>0</v>
      </c>
      <c r="AJ29" s="807">
        <f>+'Grasmere Pig Cost'!AJ28+'Learig Pig Cost'!AJ28+'Lionhead Pig Cost'!AJ28+'Lionhead Ext. Pig Cost'!AJ28+'Villa Pig Cost'!AJ28+'Richlands Pig Cost'!AJ28+'Porta Pig Cost'!AJ28+'Multiplier Pig Cost '!AJ28</f>
        <v>0</v>
      </c>
      <c r="AK29" s="807">
        <f>+'Grasmere Pig Cost'!AK28+'Learig Pig Cost'!AK28+'Lionhead Pig Cost'!AK28+'Lionhead Ext. Pig Cost'!AK28+'Villa Pig Cost'!AK28+'Richlands Pig Cost'!AK28+'Porta Pig Cost'!AK28+'Multiplier Pig Cost '!AK28</f>
        <v>0</v>
      </c>
      <c r="AL29" s="807">
        <f>+'Grasmere Pig Cost'!AL28+'Learig Pig Cost'!AL28+'Lionhead Pig Cost'!AL28+'Lionhead Ext. Pig Cost'!AL28+'Villa Pig Cost'!AL28+'Richlands Pig Cost'!AL28+'Porta Pig Cost'!AL28+'Multiplier Pig Cost '!AL28</f>
        <v>0</v>
      </c>
      <c r="AM29" s="807">
        <f>+'Grasmere Pig Cost'!AM28+'Learig Pig Cost'!AM28+'Lionhead Pig Cost'!AM28+'Lionhead Ext. Pig Cost'!AM28+'Villa Pig Cost'!AM28+'Richlands Pig Cost'!AM28+'Porta Pig Cost'!AM28+'Multiplier Pig Cost '!AM28</f>
        <v>0</v>
      </c>
      <c r="AN29" s="807">
        <f>+'Grasmere Pig Cost'!AN28+'Learig Pig Cost'!AN28+'Lionhead Pig Cost'!AN28+'Lionhead Ext. Pig Cost'!AN28+'Villa Pig Cost'!AN28+'Richlands Pig Cost'!AN28+'Porta Pig Cost'!AN28+'Multiplier Pig Cost '!AN28</f>
        <v>-610</v>
      </c>
      <c r="AO29" s="807">
        <f>+'Grasmere Pig Cost'!AO28+'Learig Pig Cost'!AO28+'Lionhead Pig Cost'!AO28+'Lionhead Ext. Pig Cost'!AO28+'Villa Pig Cost'!AO28+'Richlands Pig Cost'!AO28+'Porta Pig Cost'!AO28+'Multiplier Pig Cost '!AO28</f>
        <v>-2169</v>
      </c>
      <c r="AP29" s="807">
        <f>+'Grasmere Pig Cost'!AP28+'Learig Pig Cost'!AP28+'Lionhead Pig Cost'!AP28+'Lionhead Ext. Pig Cost'!AP28+'Villa Pig Cost'!AP28+'Richlands Pig Cost'!AP28+'Porta Pig Cost'!AP28+'Multiplier Pig Cost '!AP28</f>
        <v>-3755</v>
      </c>
      <c r="AQ29" s="807">
        <f>+'Grasmere Pig Cost'!AQ28+'Learig Pig Cost'!AQ28+'Lionhead Pig Cost'!AQ28+'Lionhead Ext. Pig Cost'!AQ28+'Villa Pig Cost'!AQ28+'Richlands Pig Cost'!AQ28+'Porta Pig Cost'!AQ28+'Multiplier Pig Cost '!AQ28</f>
        <v>-3867</v>
      </c>
      <c r="AR29" s="807">
        <f>+'Grasmere Pig Cost'!AR28+'Learig Pig Cost'!AR28+'Lionhead Pig Cost'!AR28+'Lionhead Ext. Pig Cost'!AR28+'Villa Pig Cost'!AR28+'Richlands Pig Cost'!AR28+'Porta Pig Cost'!AR28+'Multiplier Pig Cost '!AR28</f>
        <v>-3147</v>
      </c>
      <c r="AS29" s="807">
        <f>+'Grasmere Pig Cost'!AS28+'Learig Pig Cost'!AS28+'Lionhead Pig Cost'!AS28+'Lionhead Ext. Pig Cost'!AS28+'Villa Pig Cost'!AS28+'Richlands Pig Cost'!AS28+'Porta Pig Cost'!AS28+'Multiplier Pig Cost '!AS28</f>
        <v>-2169</v>
      </c>
      <c r="AT29" s="807">
        <f>+'Grasmere Pig Cost'!AT28+'Learig Pig Cost'!AT28+'Lionhead Pig Cost'!AT28+'Lionhead Ext. Pig Cost'!AT28+'Villa Pig Cost'!AT28+'Richlands Pig Cost'!AT28+'Porta Pig Cost'!AT28+'Multiplier Pig Cost '!AT28</f>
        <v>-11</v>
      </c>
      <c r="AU29" s="1086">
        <f>SUM(B29:AT29)</f>
        <v>-15728</v>
      </c>
      <c r="AV29" s="1086">
        <f>SUM('Summary Total Pigs'!X186:X188)</f>
        <v>-15728</v>
      </c>
      <c r="AW29" s="818">
        <f>+AU29-AV29</f>
        <v>0</v>
      </c>
      <c r="AX29" s="818"/>
      <c r="AY29" s="818">
        <f>'Grasmere Pig Cost'!AU28+'Learig Pig Cost'!AU28+'Lionhead Pig Cost'!AU28+'Lionhead Ext. Pig Cost'!AU28+'Villa Pig Cost'!AU28+'Richlands Pig Cost'!AU28</f>
        <v>-11800</v>
      </c>
      <c r="BA29" s="818"/>
    </row>
    <row r="30" spans="1:54" ht="16.149999999999999" thickBot="1">
      <c r="A30" s="1070" t="s">
        <v>1802</v>
      </c>
      <c r="B30" s="1071">
        <f t="shared" ref="B30:AS30" si="13">SUM(B11:B29)</f>
        <v>0</v>
      </c>
      <c r="C30" s="1071">
        <f t="shared" si="13"/>
        <v>0</v>
      </c>
      <c r="D30" s="1071">
        <f t="shared" si="13"/>
        <v>0</v>
      </c>
      <c r="E30" s="1071">
        <f t="shared" si="13"/>
        <v>0</v>
      </c>
      <c r="F30" s="1071">
        <f t="shared" si="13"/>
        <v>0</v>
      </c>
      <c r="G30" s="1071">
        <f t="shared" si="13"/>
        <v>0</v>
      </c>
      <c r="H30" s="1071">
        <f t="shared" si="13"/>
        <v>0</v>
      </c>
      <c r="I30" s="1071">
        <f t="shared" si="13"/>
        <v>0</v>
      </c>
      <c r="J30" s="1071">
        <f t="shared" si="13"/>
        <v>0</v>
      </c>
      <c r="K30" s="1071">
        <f t="shared" si="13"/>
        <v>0</v>
      </c>
      <c r="L30" s="1071">
        <f t="shared" si="13"/>
        <v>0</v>
      </c>
      <c r="M30" s="1071">
        <f t="shared" si="13"/>
        <v>0</v>
      </c>
      <c r="N30" s="1071">
        <f t="shared" si="13"/>
        <v>0</v>
      </c>
      <c r="O30" s="1071">
        <f t="shared" si="13"/>
        <v>0</v>
      </c>
      <c r="P30" s="1071">
        <f t="shared" si="13"/>
        <v>0</v>
      </c>
      <c r="Q30" s="1071">
        <f t="shared" si="13"/>
        <v>0</v>
      </c>
      <c r="R30" s="1071">
        <f t="shared" si="13"/>
        <v>0</v>
      </c>
      <c r="S30" s="1071">
        <f>SUM(S11:S29)</f>
        <v>2407</v>
      </c>
      <c r="T30" s="1071">
        <f t="shared" si="13"/>
        <v>4145</v>
      </c>
      <c r="U30" s="1071">
        <f t="shared" si="13"/>
        <v>3964</v>
      </c>
      <c r="V30" s="1071">
        <f t="shared" si="13"/>
        <v>3951</v>
      </c>
      <c r="W30" s="1071">
        <f t="shared" si="13"/>
        <v>3964</v>
      </c>
      <c r="X30" s="1071">
        <f t="shared" si="13"/>
        <v>3879</v>
      </c>
      <c r="Y30" s="1071">
        <f t="shared" si="13"/>
        <v>3839</v>
      </c>
      <c r="Z30" s="1071">
        <f t="shared" si="13"/>
        <v>3871</v>
      </c>
      <c r="AA30" s="1071">
        <f t="shared" si="13"/>
        <v>3909</v>
      </c>
      <c r="AB30" s="1071">
        <f t="shared" si="13"/>
        <v>3864</v>
      </c>
      <c r="AC30" s="1071">
        <f t="shared" si="13"/>
        <v>3922</v>
      </c>
      <c r="AD30" s="1071">
        <f t="shared" si="13"/>
        <v>3920</v>
      </c>
      <c r="AE30" s="1071">
        <f t="shared" si="13"/>
        <v>3722</v>
      </c>
      <c r="AF30" s="1071">
        <f t="shared" si="13"/>
        <v>3782</v>
      </c>
      <c r="AG30" s="1071">
        <f t="shared" si="13"/>
        <v>3795</v>
      </c>
      <c r="AH30" s="1071">
        <f t="shared" si="13"/>
        <v>3656</v>
      </c>
      <c r="AI30" s="1071">
        <f t="shared" si="13"/>
        <v>3723</v>
      </c>
      <c r="AJ30" s="1071">
        <f t="shared" si="13"/>
        <v>3875</v>
      </c>
      <c r="AK30" s="1071">
        <f t="shared" si="13"/>
        <v>3825</v>
      </c>
      <c r="AL30" s="1071">
        <f t="shared" si="13"/>
        <v>3712</v>
      </c>
      <c r="AM30" s="1071">
        <f t="shared" si="13"/>
        <v>3828</v>
      </c>
      <c r="AN30" s="1071">
        <f t="shared" si="13"/>
        <v>3132</v>
      </c>
      <c r="AO30" s="1071">
        <f t="shared" si="13"/>
        <v>1603</v>
      </c>
      <c r="AP30" s="1071">
        <f t="shared" si="13"/>
        <v>0</v>
      </c>
      <c r="AQ30" s="1071">
        <f t="shared" si="13"/>
        <v>0</v>
      </c>
      <c r="AR30" s="1071">
        <f t="shared" si="13"/>
        <v>0</v>
      </c>
      <c r="AS30" s="1071">
        <f t="shared" si="13"/>
        <v>0</v>
      </c>
      <c r="AT30" s="1071">
        <f t="shared" ref="AT30" si="14">SUM(AT11:AT29)</f>
        <v>0</v>
      </c>
      <c r="AU30" s="1072">
        <f>SUM(AU11:AU29)</f>
        <v>84288</v>
      </c>
      <c r="AV30" s="1072">
        <f>SUM(AV11:AV29)</f>
        <v>84288</v>
      </c>
      <c r="AW30" s="818">
        <f>+AU30-AV30</f>
        <v>0</v>
      </c>
      <c r="AX30" s="1561">
        <f>SUM('Summary Total Pigs'!AF186:AF188)-AV30</f>
        <v>0</v>
      </c>
      <c r="AY30" s="817"/>
      <c r="BA30" s="1059">
        <f>AU33/AU7</f>
        <v>175.17232582280613</v>
      </c>
    </row>
    <row r="31" spans="1:54">
      <c r="AS31" s="1059"/>
      <c r="AT31" s="1059"/>
      <c r="AV31" s="1057">
        <f>SUM('Summary Total Pigs'!AE186:AE188)</f>
        <v>84288</v>
      </c>
      <c r="AW31" s="818"/>
      <c r="AY31" s="817"/>
      <c r="BA31" s="1059">
        <f>AU63/AU30</f>
        <v>175.11503183364164</v>
      </c>
    </row>
    <row r="32" spans="1:54" ht="15.6">
      <c r="A32" s="1559" t="s">
        <v>199</v>
      </c>
      <c r="B32" s="1057"/>
      <c r="C32" s="1057"/>
      <c r="D32" s="1057"/>
      <c r="E32" s="1057"/>
      <c r="F32" s="1057"/>
      <c r="G32" s="1057"/>
      <c r="H32" s="1057"/>
      <c r="I32" s="1057"/>
      <c r="J32" s="1057"/>
      <c r="K32" s="1057"/>
      <c r="L32" s="1057"/>
      <c r="M32" s="1057"/>
      <c r="N32" s="1057"/>
      <c r="O32" s="1057"/>
      <c r="P32" s="1057"/>
      <c r="Q32" s="1057"/>
      <c r="R32" s="1057"/>
      <c r="S32" s="1057"/>
      <c r="T32" s="1057"/>
      <c r="U32" s="1057"/>
      <c r="V32" s="1057"/>
      <c r="W32" s="1057"/>
      <c r="X32" s="1057"/>
      <c r="Y32" s="1057"/>
      <c r="Z32" s="1057"/>
      <c r="AA32" s="1057"/>
      <c r="AB32" s="1057"/>
      <c r="AC32" s="1057"/>
      <c r="AD32" s="1057"/>
      <c r="AE32" s="1057"/>
      <c r="AF32" s="1057"/>
      <c r="AG32" s="1057"/>
      <c r="AH32" s="1057"/>
      <c r="AI32" s="1057"/>
      <c r="AJ32" s="1057"/>
      <c r="AK32" s="1057"/>
      <c r="AL32" s="1057"/>
      <c r="AM32" s="1057"/>
      <c r="AN32" s="1057"/>
      <c r="AO32" s="1057"/>
      <c r="AP32" s="1057"/>
      <c r="AQ32" s="1057"/>
      <c r="AR32" s="1057"/>
      <c r="AS32" s="1057"/>
      <c r="AT32" s="1057"/>
      <c r="AV32" s="1564">
        <f>AV30-AV31</f>
        <v>0</v>
      </c>
      <c r="AW32" s="818"/>
      <c r="BA32" s="1992">
        <f>BA31/BA30-1</f>
        <v>-3.2707214964111664E-4</v>
      </c>
    </row>
    <row r="33" spans="1:61" ht="15.6">
      <c r="A33" s="142" t="s">
        <v>1803</v>
      </c>
      <c r="B33" s="1057">
        <f>+'Grasmere Pig Cost'!B33+'Lionhead Pig Cost'!B33+'Villa Pig Cost'!B33+'Richlands Pig Cost'!B33+'Learig Pig Cost'!B33+'Lionhead Ext. Pig Cost'!B33+'Porta Pig Cost'!B33+'Multiplier Pig Cost '!B33</f>
        <v>0</v>
      </c>
      <c r="C33" s="1057">
        <f>+'Grasmere Pig Cost'!C33+'Lionhead Pig Cost'!C33+'Villa Pig Cost'!C33+'Richlands Pig Cost'!C33+'Learig Pig Cost'!C33+'Lionhead Ext. Pig Cost'!C33+'Porta Pig Cost'!C33+'Multiplier Pig Cost '!C33</f>
        <v>0</v>
      </c>
      <c r="D33" s="1057">
        <f>+'Grasmere Pig Cost'!D33+'Lionhead Pig Cost'!D33+'Villa Pig Cost'!D33+'Richlands Pig Cost'!D33+'Learig Pig Cost'!D33+'Lionhead Ext. Pig Cost'!D33+'Porta Pig Cost'!D33+'Multiplier Pig Cost '!D33</f>
        <v>0</v>
      </c>
      <c r="E33" s="1057">
        <f>+'Grasmere Pig Cost'!E33+'Lionhead Pig Cost'!E33+'Villa Pig Cost'!E33+'Richlands Pig Cost'!E33+'Learig Pig Cost'!E33+'Lionhead Ext. Pig Cost'!E33+'Porta Pig Cost'!E33+'Multiplier Pig Cost '!E33</f>
        <v>0</v>
      </c>
      <c r="F33" s="1057">
        <f>+'Grasmere Pig Cost'!F33+'Lionhead Pig Cost'!F33+'Villa Pig Cost'!F33+'Richlands Pig Cost'!F33+'Learig Pig Cost'!F33+'Lionhead Ext. Pig Cost'!F33+'Porta Pig Cost'!F33+'Multiplier Pig Cost '!F33</f>
        <v>33665.179372197308</v>
      </c>
      <c r="G33" s="1057">
        <f>+'Grasmere Pig Cost'!G33+'Lionhead Pig Cost'!G33+'Villa Pig Cost'!G33+'Richlands Pig Cost'!G33+'Learig Pig Cost'!G33+'Lionhead Ext. Pig Cost'!G33+'Porta Pig Cost'!G33+'Multiplier Pig Cost '!G33</f>
        <v>33665.179372197308</v>
      </c>
      <c r="H33" s="1057">
        <f>+'Grasmere Pig Cost'!H33+'Lionhead Pig Cost'!H33+'Villa Pig Cost'!H33+'Richlands Pig Cost'!H33+'Learig Pig Cost'!H33+'Lionhead Ext. Pig Cost'!H33+'Porta Pig Cost'!H33+'Multiplier Pig Cost '!H33</f>
        <v>33665.179372197308</v>
      </c>
      <c r="I33" s="1057">
        <f>+'Grasmere Pig Cost'!I33+'Lionhead Pig Cost'!I33+'Villa Pig Cost'!I33+'Richlands Pig Cost'!I33+'Learig Pig Cost'!I33+'Lionhead Ext. Pig Cost'!I33+'Porta Pig Cost'!I33+'Multiplier Pig Cost '!I33</f>
        <v>33665.179372197308</v>
      </c>
      <c r="J33" s="1057">
        <f>+'Grasmere Pig Cost'!J33+'Lionhead Pig Cost'!J33+'Villa Pig Cost'!J33+'Richlands Pig Cost'!J33+'Learig Pig Cost'!J33+'Lionhead Ext. Pig Cost'!J33+'Porta Pig Cost'!J33+'Multiplier Pig Cost '!J33</f>
        <v>30971.965022421522</v>
      </c>
      <c r="K33" s="1057">
        <f>+'Grasmere Pig Cost'!K33+'Lionhead Pig Cost'!K33+'Villa Pig Cost'!K33+'Richlands Pig Cost'!K33+'Learig Pig Cost'!K33+'Lionhead Ext. Pig Cost'!K33+'Porta Pig Cost'!K33+'Multiplier Pig Cost '!K33</f>
        <v>58448.893273542599</v>
      </c>
      <c r="L33" s="1057">
        <f>+'Grasmere Pig Cost'!L33+'Lionhead Pig Cost'!L33+'Villa Pig Cost'!L33+'Richlands Pig Cost'!L33+'Learig Pig Cost'!L33+'Lionhead Ext. Pig Cost'!L33+'Porta Pig Cost'!L33+'Multiplier Pig Cost '!L33</f>
        <v>58448.893273542599</v>
      </c>
      <c r="M33" s="1057">
        <f>+'Grasmere Pig Cost'!M33+'Lionhead Pig Cost'!M33+'Villa Pig Cost'!M33+'Richlands Pig Cost'!M33+'Learig Pig Cost'!M33+'Lionhead Ext. Pig Cost'!M33+'Porta Pig Cost'!M33+'Multiplier Pig Cost '!M33</f>
        <v>58448.893273542599</v>
      </c>
      <c r="N33" s="1057">
        <f>+'Grasmere Pig Cost'!N33+'Lionhead Pig Cost'!N33+'Villa Pig Cost'!N33+'Richlands Pig Cost'!N33+'Learig Pig Cost'!N33+'Lionhead Ext. Pig Cost'!N33+'Porta Pig Cost'!N33+'Multiplier Pig Cost '!N33</f>
        <v>58448.893273542599</v>
      </c>
      <c r="O33" s="1057">
        <f>+'Grasmere Pig Cost'!O33+'Lionhead Pig Cost'!O33+'Villa Pig Cost'!O33+'Richlands Pig Cost'!O33+'Learig Pig Cost'!O33+'Lionhead Ext. Pig Cost'!O33+'Porta Pig Cost'!O33+'Multiplier Pig Cost '!O33</f>
        <v>84127.045067264582</v>
      </c>
      <c r="P33" s="1057">
        <f>+'Grasmere Pig Cost'!P33+'Lionhead Pig Cost'!P33+'Villa Pig Cost'!P33+'Richlands Pig Cost'!P33+'Learig Pig Cost'!P33+'Lionhead Ext. Pig Cost'!P33+'Porta Pig Cost'!P33+'Multiplier Pig Cost '!P33</f>
        <v>84127.045067264582</v>
      </c>
      <c r="Q33" s="1057">
        <f>+'Grasmere Pig Cost'!Q33+'Lionhead Pig Cost'!Q33+'Villa Pig Cost'!Q33+'Richlands Pig Cost'!Q33+'Learig Pig Cost'!Q33+'Lionhead Ext. Pig Cost'!Q33+'Porta Pig Cost'!Q33+'Multiplier Pig Cost '!Q33</f>
        <v>84127.045067264582</v>
      </c>
      <c r="R33" s="1057">
        <f>+'Grasmere Pig Cost'!R33+'Lionhead Pig Cost'!R33+'Villa Pig Cost'!R33+'Richlands Pig Cost'!R33+'Learig Pig Cost'!R33+'Lionhead Ext. Pig Cost'!R33+'Porta Pig Cost'!R33+'Multiplier Pig Cost '!R33</f>
        <v>90860.080941704044</v>
      </c>
      <c r="S33" s="1057">
        <f>+'Grasmere Pig Cost'!S33+'Lionhead Pig Cost'!S33+'Villa Pig Cost'!S33+'Richlands Pig Cost'!S33+'Learig Pig Cost'!S33+'Lionhead Ext. Pig Cost'!S33+'Porta Pig Cost'!S33+'Multiplier Pig Cost '!S33</f>
        <v>120547.16255605382</v>
      </c>
      <c r="T33" s="1057">
        <f>+'Grasmere Pig Cost'!T33+'Lionhead Pig Cost'!T33+'Villa Pig Cost'!T33+'Richlands Pig Cost'!T33+'Learig Pig Cost'!T33+'Lionhead Ext. Pig Cost'!T33+'Porta Pig Cost'!T33+'Multiplier Pig Cost '!T33</f>
        <v>120547.16255605382</v>
      </c>
      <c r="U33" s="1057">
        <f>+'Grasmere Pig Cost'!U33+'Lionhead Pig Cost'!U33+'Villa Pig Cost'!U33+'Richlands Pig Cost'!U33+'Learig Pig Cost'!U33+'Lionhead Ext. Pig Cost'!U33+'Porta Pig Cost'!U33+'Multiplier Pig Cost '!U33</f>
        <v>120547.16255605382</v>
      </c>
      <c r="V33" s="1057">
        <f>+'Grasmere Pig Cost'!V33+'Lionhead Pig Cost'!V33+'Villa Pig Cost'!V33+'Richlands Pig Cost'!V33+'Learig Pig Cost'!V33+'Lionhead Ext. Pig Cost'!V33+'Porta Pig Cost'!V33+'Multiplier Pig Cost '!V33</f>
        <v>150172.52040358743</v>
      </c>
      <c r="W33" s="1057">
        <f>+'Grasmere Pig Cost'!W33+'Lionhead Pig Cost'!W33+'Villa Pig Cost'!W33+'Richlands Pig Cost'!W33+'Learig Pig Cost'!W33+'Lionhead Ext. Pig Cost'!W33+'Porta Pig Cost'!W33+'Multiplier Pig Cost '!W33</f>
        <v>138858.34846032047</v>
      </c>
      <c r="X33" s="1057">
        <f>+'Grasmere Pig Cost'!X33+'Lionhead Pig Cost'!X33+'Villa Pig Cost'!X33+'Richlands Pig Cost'!X33+'Learig Pig Cost'!X33+'Lionhead Ext. Pig Cost'!X33+'Porta Pig Cost'!X33+'Multiplier Pig Cost '!X33</f>
        <v>198696.60864217626</v>
      </c>
      <c r="Y33" s="1057">
        <f>+'Grasmere Pig Cost'!Y33+'Lionhead Pig Cost'!Y33+'Villa Pig Cost'!Y33+'Richlands Pig Cost'!Y33+'Learig Pig Cost'!Y33+'Lionhead Ext. Pig Cost'!Y33+'Porta Pig Cost'!Y33+'Multiplier Pig Cost '!Y33</f>
        <v>211172.40589458492</v>
      </c>
      <c r="Z33" s="1057">
        <f>+'Grasmere Pig Cost'!Z33+'Lionhead Pig Cost'!Z33+'Villa Pig Cost'!Z33+'Richlands Pig Cost'!Z33+'Learig Pig Cost'!Z33+'Lionhead Ext. Pig Cost'!Z33+'Porta Pig Cost'!Z33+'Multiplier Pig Cost '!Z33</f>
        <v>188986.36300771651</v>
      </c>
      <c r="AA33" s="1057">
        <f>+'Grasmere Pig Cost'!AA33+'Lionhead Pig Cost'!AA33+'Villa Pig Cost'!AA33+'Richlands Pig Cost'!AA33+'Learig Pig Cost'!AA33+'Lionhead Ext. Pig Cost'!AA33+'Porta Pig Cost'!AA33+'Multiplier Pig Cost '!AA33</f>
        <v>181989.84014555081</v>
      </c>
      <c r="AB33" s="1057">
        <f>+'Grasmere Pig Cost'!AB33+'Lionhead Pig Cost'!AB33+'Villa Pig Cost'!AB33+'Richlands Pig Cost'!AB33+'Learig Pig Cost'!AB33+'Lionhead Ext. Pig Cost'!AB33+'Porta Pig Cost'!AB33+'Multiplier Pig Cost '!AB33</f>
        <v>217185.06721410525</v>
      </c>
      <c r="AC33" s="1057">
        <f>+'Grasmere Pig Cost'!AC33+'Lionhead Pig Cost'!AC33+'Villa Pig Cost'!AC33+'Richlands Pig Cost'!AC33+'Learig Pig Cost'!AC33+'Lionhead Ext. Pig Cost'!AC33+'Porta Pig Cost'!AC33+'Multiplier Pig Cost '!AC33</f>
        <v>295779.98649852013</v>
      </c>
      <c r="AD33" s="1057">
        <f>+'Grasmere Pig Cost'!AD33+'Lionhead Pig Cost'!AD33+'Villa Pig Cost'!AD33+'Richlands Pig Cost'!AD33+'Learig Pig Cost'!AD33+'Lionhead Ext. Pig Cost'!AD33+'Porta Pig Cost'!AD33+'Multiplier Pig Cost '!AD33</f>
        <v>368093.40511201142</v>
      </c>
      <c r="AE33" s="1057">
        <f>+'Grasmere Pig Cost'!AE33+'Lionhead Pig Cost'!AE33+'Villa Pig Cost'!AE33+'Richlands Pig Cost'!AE33+'Learig Pig Cost'!AE33+'Lionhead Ext. Pig Cost'!AE33+'Porta Pig Cost'!AE33+'Multiplier Pig Cost '!AE33</f>
        <v>399583.81810591416</v>
      </c>
      <c r="AF33" s="1057">
        <f>+'Grasmere Pig Cost'!AF33+'Lionhead Pig Cost'!AF33+'Villa Pig Cost'!AF33+'Richlands Pig Cost'!AF33+'Learig Pig Cost'!AF33+'Lionhead Ext. Pig Cost'!AF33+'Porta Pig Cost'!AF33+'Multiplier Pig Cost '!AF33</f>
        <v>396157.64493597718</v>
      </c>
      <c r="AG33" s="1057">
        <f>+'Grasmere Pig Cost'!AG33+'Lionhead Pig Cost'!AG33+'Villa Pig Cost'!AG33+'Richlands Pig Cost'!AG33+'Learig Pig Cost'!AG33+'Lionhead Ext. Pig Cost'!AG33+'Porta Pig Cost'!AG33+'Multiplier Pig Cost '!AG33</f>
        <v>480865.23647289409</v>
      </c>
      <c r="AH33" s="1057">
        <f>+'Grasmere Pig Cost'!AH33+'Lionhead Pig Cost'!AH33+'Villa Pig Cost'!AH33+'Richlands Pig Cost'!AH33+'Learig Pig Cost'!AH33+'Lionhead Ext. Pig Cost'!AH33+'Porta Pig Cost'!AH33+'Multiplier Pig Cost '!AH33</f>
        <v>565391.65951576806</v>
      </c>
      <c r="AI33" s="1057">
        <f>+'Grasmere Pig Cost'!AI33+'Lionhead Pig Cost'!AI33+'Villa Pig Cost'!AI33+'Richlands Pig Cost'!AI33+'Learig Pig Cost'!AI33+'Lionhead Ext. Pig Cost'!AI33+'Porta Pig Cost'!AI33+'Multiplier Pig Cost '!AI33</f>
        <v>622306.20072520978</v>
      </c>
      <c r="AJ33" s="1057">
        <f>+'Grasmere Pig Cost'!AJ33+'Lionhead Pig Cost'!AJ33+'Villa Pig Cost'!AJ33+'Richlands Pig Cost'!AJ33+'Learig Pig Cost'!AJ33+'Lionhead Ext. Pig Cost'!AJ33+'Porta Pig Cost'!AJ33+'Multiplier Pig Cost '!AJ33</f>
        <v>672176.51407648541</v>
      </c>
      <c r="AK33" s="1057">
        <f>+'Grasmere Pig Cost'!AK33+'Lionhead Pig Cost'!AK33+'Villa Pig Cost'!AK33+'Richlands Pig Cost'!AK33+'Learig Pig Cost'!AK33+'Lionhead Ext. Pig Cost'!AK33+'Porta Pig Cost'!AK33+'Multiplier Pig Cost '!AK33</f>
        <v>755228.32709150924</v>
      </c>
      <c r="AL33" s="1057">
        <f>+'Grasmere Pig Cost'!AL33+'Lionhead Pig Cost'!AL33+'Villa Pig Cost'!AL33+'Richlands Pig Cost'!AL33+'Learig Pig Cost'!AL33+'Lionhead Ext. Pig Cost'!AL33+'Porta Pig Cost'!AL33+'Multiplier Pig Cost '!AL33</f>
        <v>883126.20855850761</v>
      </c>
      <c r="AM33" s="1057">
        <f>+'Grasmere Pig Cost'!AM33+'Lionhead Pig Cost'!AM33+'Villa Pig Cost'!AM33+'Richlands Pig Cost'!AM33+'Learig Pig Cost'!AM33+'Lionhead Ext. Pig Cost'!AM33+'Porta Pig Cost'!AM33+'Multiplier Pig Cost '!AM33</f>
        <v>987458.2795909585</v>
      </c>
      <c r="AN33" s="1057">
        <f>+'Grasmere Pig Cost'!AN33+'Lionhead Pig Cost'!AN33+'Villa Pig Cost'!AN33+'Richlands Pig Cost'!AN33+'Learig Pig Cost'!AN33+'Lionhead Ext. Pig Cost'!AN33+'Porta Pig Cost'!AN33+'Multiplier Pig Cost '!AN33</f>
        <v>972710.06149696314</v>
      </c>
      <c r="AO33" s="1057">
        <f>+'Grasmere Pig Cost'!AO33+'Lionhead Pig Cost'!AO33+'Villa Pig Cost'!AO33+'Richlands Pig Cost'!AO33+'Learig Pig Cost'!AO33+'Lionhead Ext. Pig Cost'!AO33+'Porta Pig Cost'!AO33+'Multiplier Pig Cost '!AO33</f>
        <v>1021625.7984112133</v>
      </c>
      <c r="AP33" s="1057">
        <f>+'Grasmere Pig Cost'!AP33+'Lionhead Pig Cost'!AP33+'Villa Pig Cost'!AP33+'Richlands Pig Cost'!AP33+'Learig Pig Cost'!AP33+'Lionhead Ext. Pig Cost'!AP33+'Porta Pig Cost'!AP33+'Multiplier Pig Cost '!AP33</f>
        <v>1085159.3921940278</v>
      </c>
      <c r="AQ33" s="1057">
        <f>+'Grasmere Pig Cost'!AQ33+'Lionhead Pig Cost'!AQ33+'Villa Pig Cost'!AQ33+'Richlands Pig Cost'!AQ33+'Learig Pig Cost'!AQ33+'Lionhead Ext. Pig Cost'!AQ33+'Porta Pig Cost'!AQ33+'Multiplier Pig Cost '!AQ33</f>
        <v>1331842.50104678</v>
      </c>
      <c r="AR33" s="1057">
        <f>+'Grasmere Pig Cost'!AR33+'Lionhead Pig Cost'!AR33+'Villa Pig Cost'!AR33+'Richlands Pig Cost'!AR33+'Learig Pig Cost'!AR33+'Lionhead Ext. Pig Cost'!AR33+'Porta Pig Cost'!AR33+'Multiplier Pig Cost '!AR33</f>
        <v>1070802.4628517176</v>
      </c>
      <c r="AS33" s="1057">
        <f>+'Grasmere Pig Cost'!AS33+'Lionhead Pig Cost'!AS33+'Villa Pig Cost'!AS33+'Richlands Pig Cost'!AS33+'Learig Pig Cost'!AS33+'Lionhead Ext. Pig Cost'!AS33+'Porta Pig Cost'!AS33+'Multiplier Pig Cost '!AS33</f>
        <v>628166.02567307174</v>
      </c>
      <c r="AT33" s="1057">
        <f>+'Grasmere Pig Cost'!AT33+'Lionhead Pig Cost'!AT33+'Villa Pig Cost'!AT33+'Richlands Pig Cost'!AT33+'Learig Pig Cost'!AT33+'Lionhead Ext. Pig Cost'!AT33+'Porta Pig Cost'!AT33+'Multiplier Pig Cost '!AT33</f>
        <v>4018.589919204991</v>
      </c>
      <c r="AU33" s="1057">
        <f>SUM(B33:AT33)</f>
        <v>14931864.225461816</v>
      </c>
      <c r="AV33" s="1057">
        <f>+'Grasmere Pig Cost'!AU33+'Lionhead Pig Cost'!AU33+'Villa Pig Cost'!AU33+'Richlands Pig Cost'!AU33+'Learig Pig Cost'!AU33+'Lionhead Ext. Pig Cost'!AU33+'Porta Pig Cost'!AU33+'Multiplier Pig Cost '!AU33</f>
        <v>14931864.225461816</v>
      </c>
      <c r="AW33" s="818">
        <f>+AU33-AV33</f>
        <v>0</v>
      </c>
      <c r="AX33" s="1578">
        <f>+'[2]Triple C Pigs'!$AV$63-AV33</f>
        <v>0</v>
      </c>
      <c r="AY33" s="817"/>
      <c r="AZ33" s="142">
        <f>SUM('Feed Cost &amp; Allocation'!P72:R72,'Feed Cost &amp; Allocation'!W72:X72,'Feed Cost &amp; Allocation'!AB72)</f>
        <v>120105.5</v>
      </c>
      <c r="BD33" s="1059">
        <f>SUM(B33:AI33)</f>
        <v>5519550.0645513777</v>
      </c>
      <c r="BE33" s="1059"/>
      <c r="BF33" s="1087">
        <f>+'[29]Bio Assets USD New'!$M$45</f>
        <v>0</v>
      </c>
    </row>
    <row r="34" spans="1:61" ht="15.6">
      <c r="A34" s="1066" t="s">
        <v>212</v>
      </c>
      <c r="B34" s="1057">
        <f>+'Grasmere Pig Cost'!B34+'Lionhead Pig Cost'!B34+'Villa Pig Cost'!B34+'Richlands Pig Cost'!B34+'Learig Pig Cost'!B34+'Lionhead Ext. Pig Cost'!B34+'Porta Pig Cost'!B34+'Multiplier Pig Cost '!B34</f>
        <v>0</v>
      </c>
      <c r="C34" s="1057">
        <f>+'Grasmere Pig Cost'!C34+'Lionhead Pig Cost'!C34+'Villa Pig Cost'!C34+'Richlands Pig Cost'!C34+'Learig Pig Cost'!C34+'Lionhead Ext. Pig Cost'!C34+'Porta Pig Cost'!C34+'Multiplier Pig Cost '!C34</f>
        <v>0</v>
      </c>
      <c r="D34" s="1057">
        <f>+'Grasmere Pig Cost'!D34+'Lionhead Pig Cost'!D34+'Villa Pig Cost'!D34+'Richlands Pig Cost'!D34+'Learig Pig Cost'!D34+'Lionhead Ext. Pig Cost'!D34+'Porta Pig Cost'!D34+'Multiplier Pig Cost '!D34</f>
        <v>0</v>
      </c>
      <c r="E34" s="1057">
        <f>+'Grasmere Pig Cost'!E34+'Lionhead Pig Cost'!E34+'Villa Pig Cost'!E34+'Richlands Pig Cost'!E34+'Learig Pig Cost'!E34+'Lionhead Ext. Pig Cost'!E34+'Porta Pig Cost'!E34+'Multiplier Pig Cost '!E34</f>
        <v>0</v>
      </c>
      <c r="F34" s="1057">
        <f>+'Grasmere Pig Cost'!F34+'Lionhead Pig Cost'!F34+'Villa Pig Cost'!F34+'Richlands Pig Cost'!F34+'Learig Pig Cost'!F34+'Lionhead Ext. Pig Cost'!F34+'Porta Pig Cost'!F34+'Multiplier Pig Cost '!F34</f>
        <v>0</v>
      </c>
      <c r="G34" s="1057">
        <f>+'Grasmere Pig Cost'!G34+'Lionhead Pig Cost'!G34+'Villa Pig Cost'!G34+'Richlands Pig Cost'!G34+'Learig Pig Cost'!G34+'Lionhead Ext. Pig Cost'!G34+'Porta Pig Cost'!G34+'Multiplier Pig Cost '!G34</f>
        <v>0</v>
      </c>
      <c r="H34" s="1057">
        <f>+'Grasmere Pig Cost'!H34+'Lionhead Pig Cost'!H34+'Villa Pig Cost'!H34+'Richlands Pig Cost'!H34+'Learig Pig Cost'!H34+'Lionhead Ext. Pig Cost'!H34+'Porta Pig Cost'!H34+'Multiplier Pig Cost '!H34</f>
        <v>0</v>
      </c>
      <c r="I34" s="1057">
        <f>+'Grasmere Pig Cost'!I34+'Lionhead Pig Cost'!I34+'Villa Pig Cost'!I34+'Richlands Pig Cost'!I34+'Learig Pig Cost'!I34+'Lionhead Ext. Pig Cost'!I34+'Porta Pig Cost'!I34+'Multiplier Pig Cost '!I34</f>
        <v>0</v>
      </c>
      <c r="J34" s="1057">
        <f>+'Grasmere Pig Cost'!J34+'Lionhead Pig Cost'!J34+'Villa Pig Cost'!J34+'Richlands Pig Cost'!J34+'Learig Pig Cost'!J34+'Lionhead Ext. Pig Cost'!J34+'Porta Pig Cost'!J34+'Multiplier Pig Cost '!J34</f>
        <v>0</v>
      </c>
      <c r="K34" s="1057">
        <f>+'Grasmere Pig Cost'!K34+'Lionhead Pig Cost'!K34+'Villa Pig Cost'!K34+'Richlands Pig Cost'!K34+'Learig Pig Cost'!K34+'Lionhead Ext. Pig Cost'!K34+'Porta Pig Cost'!K34+'Multiplier Pig Cost '!K34</f>
        <v>0</v>
      </c>
      <c r="L34" s="1057">
        <f>+'Grasmere Pig Cost'!L34+'Lionhead Pig Cost'!L34+'Villa Pig Cost'!L34+'Richlands Pig Cost'!L34+'Learig Pig Cost'!L34+'Lionhead Ext. Pig Cost'!L34+'Porta Pig Cost'!L34+'Multiplier Pig Cost '!L34</f>
        <v>0</v>
      </c>
      <c r="M34" s="1057">
        <f>+'Grasmere Pig Cost'!M34+'Lionhead Pig Cost'!M34+'Villa Pig Cost'!M34+'Richlands Pig Cost'!M34+'Learig Pig Cost'!M34+'Lionhead Ext. Pig Cost'!M34+'Porta Pig Cost'!M34+'Multiplier Pig Cost '!M34</f>
        <v>0</v>
      </c>
      <c r="N34" s="1057">
        <f>+'Grasmere Pig Cost'!N34+'Lionhead Pig Cost'!N34+'Villa Pig Cost'!N34+'Richlands Pig Cost'!N34+'Learig Pig Cost'!N34+'Lionhead Ext. Pig Cost'!N34+'Porta Pig Cost'!N34+'Multiplier Pig Cost '!N34</f>
        <v>0</v>
      </c>
      <c r="O34" s="1057">
        <f>+'Grasmere Pig Cost'!O34+'Lionhead Pig Cost'!O34+'Villa Pig Cost'!O34+'Richlands Pig Cost'!O34+'Learig Pig Cost'!O34+'Lionhead Ext. Pig Cost'!O34+'Porta Pig Cost'!O34+'Multiplier Pig Cost '!O34</f>
        <v>0</v>
      </c>
      <c r="P34" s="1057">
        <f>+'Grasmere Pig Cost'!P34+'Lionhead Pig Cost'!P34+'Villa Pig Cost'!P34+'Richlands Pig Cost'!P34+'Learig Pig Cost'!P34+'Lionhead Ext. Pig Cost'!P34+'Porta Pig Cost'!P34+'Multiplier Pig Cost '!P34</f>
        <v>0</v>
      </c>
      <c r="Q34" s="1057">
        <f>+'Grasmere Pig Cost'!Q34+'Lionhead Pig Cost'!Q34+'Villa Pig Cost'!Q34+'Richlands Pig Cost'!Q34+'Learig Pig Cost'!Q34+'Lionhead Ext. Pig Cost'!Q34+'Porta Pig Cost'!Q34+'Multiplier Pig Cost '!Q34</f>
        <v>0</v>
      </c>
      <c r="R34" s="1057">
        <f>+'Grasmere Pig Cost'!R34+'Lionhead Pig Cost'!R34+'Villa Pig Cost'!R34+'Richlands Pig Cost'!R34+'Learig Pig Cost'!R34+'Lionhead Ext. Pig Cost'!R34+'Porta Pig Cost'!R34+'Multiplier Pig Cost '!R34</f>
        <v>0</v>
      </c>
      <c r="S34" s="1057">
        <f>+'Grasmere Pig Cost'!S34+'Lionhead Pig Cost'!S34+'Villa Pig Cost'!S34+'Richlands Pig Cost'!S34+'Learig Pig Cost'!S34+'Lionhead Ext. Pig Cost'!S34+'Porta Pig Cost'!S34+'Multiplier Pig Cost '!S34</f>
        <v>252.11753803462528</v>
      </c>
      <c r="T34" s="1057">
        <f>+'Grasmere Pig Cost'!T34+'Lionhead Pig Cost'!T34+'Villa Pig Cost'!T34+'Richlands Pig Cost'!T34+'Learig Pig Cost'!T34+'Lionhead Ext. Pig Cost'!T34+'Porta Pig Cost'!T34+'Multiplier Pig Cost '!T34</f>
        <v>145.25314112869108</v>
      </c>
      <c r="U34" s="1057">
        <f>+'Grasmere Pig Cost'!U34+'Lionhead Pig Cost'!U34+'Villa Pig Cost'!U34+'Richlands Pig Cost'!U34+'Learig Pig Cost'!U34+'Lionhead Ext. Pig Cost'!U34+'Porta Pig Cost'!U34+'Multiplier Pig Cost '!U34</f>
        <v>106.31598591120967</v>
      </c>
      <c r="V34" s="1057">
        <f>+'Grasmere Pig Cost'!V34+'Lionhead Pig Cost'!V34+'Villa Pig Cost'!V34+'Richlands Pig Cost'!V34+'Learig Pig Cost'!V34+'Lionhead Ext. Pig Cost'!V34+'Porta Pig Cost'!V34+'Multiplier Pig Cost '!V34</f>
        <v>701.5343841453556</v>
      </c>
      <c r="W34" s="1057">
        <f>+'Grasmere Pig Cost'!W34+'Lionhead Pig Cost'!W34+'Villa Pig Cost'!W34+'Richlands Pig Cost'!W34+'Learig Pig Cost'!W34+'Lionhead Ext. Pig Cost'!W34+'Porta Pig Cost'!W34+'Multiplier Pig Cost '!W34</f>
        <v>2886.3526889953478</v>
      </c>
      <c r="X34" s="1057">
        <f>+'Grasmere Pig Cost'!X34+'Lionhead Pig Cost'!X34+'Villa Pig Cost'!X34+'Richlands Pig Cost'!X34+'Learig Pig Cost'!X34+'Lionhead Ext. Pig Cost'!X34+'Porta Pig Cost'!X34+'Multiplier Pig Cost '!X34</f>
        <v>1344.1555439798224</v>
      </c>
      <c r="Y34" s="1057">
        <f>+'Grasmere Pig Cost'!Y34+'Lionhead Pig Cost'!Y34+'Villa Pig Cost'!Y34+'Richlands Pig Cost'!Y34+'Learig Pig Cost'!Y34+'Lionhead Ext. Pig Cost'!Y34+'Porta Pig Cost'!Y34+'Multiplier Pig Cost '!Y34</f>
        <v>5420.0638232221036</v>
      </c>
      <c r="Z34" s="1057">
        <f>+'Grasmere Pig Cost'!Z34+'Lionhead Pig Cost'!Z34+'Villa Pig Cost'!Z34+'Richlands Pig Cost'!Z34+'Learig Pig Cost'!Z34+'Lionhead Ext. Pig Cost'!Z34+'Porta Pig Cost'!Z34+'Multiplier Pig Cost '!Z34</f>
        <v>189.50216227001147</v>
      </c>
      <c r="AA34" s="1057">
        <f>+'Grasmere Pig Cost'!AA34+'Lionhead Pig Cost'!AA34+'Villa Pig Cost'!AA34+'Richlands Pig Cost'!AA34+'Learig Pig Cost'!AA34+'Lionhead Ext. Pig Cost'!AA34+'Porta Pig Cost'!AA34+'Multiplier Pig Cost '!AA34</f>
        <v>0</v>
      </c>
      <c r="AB34" s="1057">
        <f>+'Grasmere Pig Cost'!AB34+'Lionhead Pig Cost'!AB34+'Villa Pig Cost'!AB34+'Richlands Pig Cost'!AB34+'Learig Pig Cost'!AB34+'Lionhead Ext. Pig Cost'!AB34+'Porta Pig Cost'!AB34+'Multiplier Pig Cost '!AB34</f>
        <v>0</v>
      </c>
      <c r="AC34" s="1057">
        <f>+'Grasmere Pig Cost'!AC34+'Lionhead Pig Cost'!AC34+'Villa Pig Cost'!AC34+'Richlands Pig Cost'!AC34+'Learig Pig Cost'!AC34+'Lionhead Ext. Pig Cost'!AC34+'Porta Pig Cost'!AC34+'Multiplier Pig Cost '!AC34</f>
        <v>0</v>
      </c>
      <c r="AD34" s="1057">
        <f>+'Grasmere Pig Cost'!AD34+'Lionhead Pig Cost'!AD34+'Villa Pig Cost'!AD34+'Richlands Pig Cost'!AD34+'Learig Pig Cost'!AD34+'Lionhead Ext. Pig Cost'!AD34+'Porta Pig Cost'!AD34+'Multiplier Pig Cost '!AD34</f>
        <v>0</v>
      </c>
      <c r="AE34" s="1057">
        <f>+'Grasmere Pig Cost'!AE34+'Lionhead Pig Cost'!AE34+'Villa Pig Cost'!AE34+'Richlands Pig Cost'!AE34+'Learig Pig Cost'!AE34+'Lionhead Ext. Pig Cost'!AE34+'Porta Pig Cost'!AE34+'Multiplier Pig Cost '!AE34</f>
        <v>0</v>
      </c>
      <c r="AF34" s="1057">
        <f>+'Grasmere Pig Cost'!AF34+'Lionhead Pig Cost'!AF34+'Villa Pig Cost'!AF34+'Richlands Pig Cost'!AF34+'Learig Pig Cost'!AF34+'Lionhead Ext. Pig Cost'!AF34+'Porta Pig Cost'!AF34+'Multiplier Pig Cost '!AF34</f>
        <v>0</v>
      </c>
      <c r="AG34" s="1057">
        <f>+'Grasmere Pig Cost'!AG34+'Lionhead Pig Cost'!AG34+'Villa Pig Cost'!AG34+'Richlands Pig Cost'!AG34+'Learig Pig Cost'!AG34+'Lionhead Ext. Pig Cost'!AG34+'Porta Pig Cost'!AG34+'Multiplier Pig Cost '!AG34</f>
        <v>0</v>
      </c>
      <c r="AH34" s="1057">
        <f>+'Grasmere Pig Cost'!AH34+'Lionhead Pig Cost'!AH34+'Villa Pig Cost'!AH34+'Richlands Pig Cost'!AH34+'Learig Pig Cost'!AH34+'Lionhead Ext. Pig Cost'!AH34+'Porta Pig Cost'!AH34+'Multiplier Pig Cost '!AH34</f>
        <v>0</v>
      </c>
      <c r="AI34" s="1057">
        <f>+'Grasmere Pig Cost'!AI34+'Lionhead Pig Cost'!AI34+'Villa Pig Cost'!AI34+'Richlands Pig Cost'!AI34+'Learig Pig Cost'!AI34+'Lionhead Ext. Pig Cost'!AI34+'Porta Pig Cost'!AI34+'Multiplier Pig Cost '!AI34</f>
        <v>0</v>
      </c>
      <c r="AJ34" s="1057">
        <f>+'Grasmere Pig Cost'!AJ34+'Lionhead Pig Cost'!AJ34+'Villa Pig Cost'!AJ34+'Richlands Pig Cost'!AJ34+'Learig Pig Cost'!AJ34+'Lionhead Ext. Pig Cost'!AJ34+'Porta Pig Cost'!AJ34+'Multiplier Pig Cost '!AJ34</f>
        <v>0</v>
      </c>
      <c r="AK34" s="1057">
        <f>+'Grasmere Pig Cost'!AK34+'Lionhead Pig Cost'!AK34+'Villa Pig Cost'!AK34+'Richlands Pig Cost'!AK34+'Learig Pig Cost'!AK34+'Lionhead Ext. Pig Cost'!AK34+'Porta Pig Cost'!AK34+'Multiplier Pig Cost '!AK34</f>
        <v>0</v>
      </c>
      <c r="AL34" s="1057">
        <f>+'Grasmere Pig Cost'!AL34+'Lionhead Pig Cost'!AL34+'Villa Pig Cost'!AL34+'Richlands Pig Cost'!AL34+'Learig Pig Cost'!AL34+'Lionhead Ext. Pig Cost'!AL34+'Porta Pig Cost'!AL34+'Multiplier Pig Cost '!AL34</f>
        <v>0</v>
      </c>
      <c r="AM34" s="1057">
        <f>+'Grasmere Pig Cost'!AM34+'Lionhead Pig Cost'!AM34+'Villa Pig Cost'!AM34+'Richlands Pig Cost'!AM34+'Learig Pig Cost'!AM34+'Lionhead Ext. Pig Cost'!AM34+'Porta Pig Cost'!AM34+'Multiplier Pig Cost '!AM34</f>
        <v>0</v>
      </c>
      <c r="AN34" s="1057">
        <f>+'Grasmere Pig Cost'!AN34+'Lionhead Pig Cost'!AN34+'Villa Pig Cost'!AN34+'Richlands Pig Cost'!AN34+'Learig Pig Cost'!AN34+'Lionhead Ext. Pig Cost'!AN34+'Porta Pig Cost'!AN34+'Multiplier Pig Cost '!AN34</f>
        <v>1459.4254504295316</v>
      </c>
      <c r="AO34" s="1057">
        <f>+'Grasmere Pig Cost'!AO34+'Lionhead Pig Cost'!AO34+'Villa Pig Cost'!AO34+'Richlands Pig Cost'!AO34+'Learig Pig Cost'!AO34+'Lionhead Ext. Pig Cost'!AO34+'Porta Pig Cost'!AO34+'Multiplier Pig Cost '!AO34</f>
        <v>0</v>
      </c>
      <c r="AP34" s="1057">
        <f>+'Grasmere Pig Cost'!AP34+'Lionhead Pig Cost'!AP34+'Villa Pig Cost'!AP34+'Richlands Pig Cost'!AP34+'Learig Pig Cost'!AP34+'Lionhead Ext. Pig Cost'!AP34+'Porta Pig Cost'!AP34+'Multiplier Pig Cost '!AP34</f>
        <v>12955.849088993968</v>
      </c>
      <c r="AQ34" s="1057">
        <f>+'Grasmere Pig Cost'!AQ34+'Lionhead Pig Cost'!AQ34+'Villa Pig Cost'!AQ34+'Richlands Pig Cost'!AQ34+'Learig Pig Cost'!AQ34+'Lionhead Ext. Pig Cost'!AQ34+'Porta Pig Cost'!AQ34+'Multiplier Pig Cost '!AQ34</f>
        <v>0</v>
      </c>
      <c r="AR34" s="1057">
        <f>+'Grasmere Pig Cost'!AR34+'Lionhead Pig Cost'!AR34+'Villa Pig Cost'!AR34+'Richlands Pig Cost'!AR34+'Learig Pig Cost'!AR34+'Lionhead Ext. Pig Cost'!AR34+'Porta Pig Cost'!AR34+'Multiplier Pig Cost '!AR34</f>
        <v>0</v>
      </c>
      <c r="AS34" s="1057">
        <f>+'Grasmere Pig Cost'!AS34+'Lionhead Pig Cost'!AS34+'Villa Pig Cost'!AS34+'Richlands Pig Cost'!AS34+'Learig Pig Cost'!AS34+'Lionhead Ext. Pig Cost'!AS34+'Porta Pig Cost'!AS34+'Multiplier Pig Cost '!AS34</f>
        <v>0</v>
      </c>
      <c r="AT34" s="1057">
        <f>+'Grasmere Pig Cost'!AT34+'Lionhead Pig Cost'!AT34+'Villa Pig Cost'!AT34+'Richlands Pig Cost'!AT34+'Learig Pig Cost'!AT34+'Lionhead Ext. Pig Cost'!AT34+'Porta Pig Cost'!AT34+'Multiplier Pig Cost '!AT34</f>
        <v>0</v>
      </c>
      <c r="AU34" s="1057">
        <f t="shared" ref="AU34:AU35" si="15">SUM(B34:AT34)</f>
        <v>25460.569807110667</v>
      </c>
      <c r="AV34" s="1057">
        <f>+'Grasmere Pig Cost'!AU34+'Lionhead Pig Cost'!AU34+'Villa Pig Cost'!AU34+'Richlands Pig Cost'!AU34+'Learig Pig Cost'!AU34+'Lionhead Ext. Pig Cost'!AU34+'Porta Pig Cost'!AU34+'Multiplier Pig Cost '!AU34</f>
        <v>25460.569807110664</v>
      </c>
      <c r="AW34" s="818">
        <f>+AU34-AV34</f>
        <v>0</v>
      </c>
      <c r="AX34" s="1086"/>
      <c r="AZ34" s="1091">
        <f>AX40-AZ33</f>
        <v>10866.899999999994</v>
      </c>
      <c r="BA34" s="1091"/>
      <c r="BD34" s="1059">
        <f t="shared" ref="BD34:BD63" si="16">SUM(B34:AI34)</f>
        <v>11045.295267687166</v>
      </c>
      <c r="BE34" s="1059"/>
      <c r="BI34" s="142">
        <v>1510017</v>
      </c>
    </row>
    <row r="35" spans="1:61" s="1059" customFormat="1" ht="15.6">
      <c r="A35" s="1066" t="s">
        <v>1788</v>
      </c>
      <c r="B35" s="1057">
        <f>+'Grasmere Pig Cost'!B35+'Lionhead Pig Cost'!B35+'Villa Pig Cost'!B35+'Richlands Pig Cost'!B35+'Learig Pig Cost'!B35+'Lionhead Ext. Pig Cost'!B35+'Porta Pig Cost'!B35+'Multiplier Pig Cost '!B35</f>
        <v>0</v>
      </c>
      <c r="C35" s="1057">
        <f>+'Grasmere Pig Cost'!C35+'Lionhead Pig Cost'!C35+'Villa Pig Cost'!C35+'Richlands Pig Cost'!C35+'Learig Pig Cost'!C35+'Lionhead Ext. Pig Cost'!C35+'Porta Pig Cost'!C35+'Multiplier Pig Cost '!C35</f>
        <v>0</v>
      </c>
      <c r="D35" s="1057">
        <f>+'Grasmere Pig Cost'!D35+'Lionhead Pig Cost'!D35+'Villa Pig Cost'!D35+'Richlands Pig Cost'!D35+'Learig Pig Cost'!D35+'Lionhead Ext. Pig Cost'!D35+'Porta Pig Cost'!D35+'Multiplier Pig Cost '!D35</f>
        <v>0</v>
      </c>
      <c r="E35" s="1057">
        <f>+'Grasmere Pig Cost'!E35+'Lionhead Pig Cost'!E35+'Villa Pig Cost'!E35+'Richlands Pig Cost'!E35+'Learig Pig Cost'!E35+'Lionhead Ext. Pig Cost'!E35+'Porta Pig Cost'!E35+'Multiplier Pig Cost '!E35</f>
        <v>0</v>
      </c>
      <c r="F35" s="1057">
        <f>+'Grasmere Pig Cost'!F35+'Lionhead Pig Cost'!F35+'Villa Pig Cost'!F35+'Richlands Pig Cost'!F35+'Learig Pig Cost'!F35+'Lionhead Ext. Pig Cost'!F35+'Porta Pig Cost'!F35+'Multiplier Pig Cost '!F35</f>
        <v>0</v>
      </c>
      <c r="G35" s="1057">
        <f>+'Grasmere Pig Cost'!G35+'Lionhead Pig Cost'!G35+'Villa Pig Cost'!G35+'Richlands Pig Cost'!G35+'Learig Pig Cost'!G35+'Lionhead Ext. Pig Cost'!G35+'Porta Pig Cost'!G35+'Multiplier Pig Cost '!G35</f>
        <v>0</v>
      </c>
      <c r="H35" s="1057">
        <f>+'Grasmere Pig Cost'!H35+'Lionhead Pig Cost'!H35+'Villa Pig Cost'!H35+'Richlands Pig Cost'!H35+'Learig Pig Cost'!H35+'Lionhead Ext. Pig Cost'!H35+'Porta Pig Cost'!H35+'Multiplier Pig Cost '!H35</f>
        <v>0</v>
      </c>
      <c r="I35" s="1057">
        <f>+'Grasmere Pig Cost'!I35+'Lionhead Pig Cost'!I35+'Villa Pig Cost'!I35+'Richlands Pig Cost'!I35+'Learig Pig Cost'!I35+'Lionhead Ext. Pig Cost'!I35+'Porta Pig Cost'!I35+'Multiplier Pig Cost '!I35</f>
        <v>0</v>
      </c>
      <c r="J35" s="1057">
        <f>+'Grasmere Pig Cost'!J35+'Lionhead Pig Cost'!J35+'Villa Pig Cost'!J35+'Richlands Pig Cost'!J35+'Learig Pig Cost'!J35+'Lionhead Ext. Pig Cost'!J35+'Porta Pig Cost'!J35+'Multiplier Pig Cost '!J35</f>
        <v>0</v>
      </c>
      <c r="K35" s="1057">
        <f>+'Grasmere Pig Cost'!K35+'Lionhead Pig Cost'!K35+'Villa Pig Cost'!K35+'Richlands Pig Cost'!K35+'Learig Pig Cost'!K35+'Lionhead Ext. Pig Cost'!K35+'Porta Pig Cost'!K35+'Multiplier Pig Cost '!K35</f>
        <v>0</v>
      </c>
      <c r="L35" s="1057">
        <f>+'Grasmere Pig Cost'!L35+'Lionhead Pig Cost'!L35+'Villa Pig Cost'!L35+'Richlands Pig Cost'!L35+'Learig Pig Cost'!L35+'Lionhead Ext. Pig Cost'!L35+'Porta Pig Cost'!L35+'Multiplier Pig Cost '!L35</f>
        <v>0</v>
      </c>
      <c r="M35" s="1057">
        <f>+'Grasmere Pig Cost'!M35+'Lionhead Pig Cost'!M35+'Villa Pig Cost'!M35+'Richlands Pig Cost'!M35+'Learig Pig Cost'!M35+'Lionhead Ext. Pig Cost'!M35+'Porta Pig Cost'!M35+'Multiplier Pig Cost '!M35</f>
        <v>0</v>
      </c>
      <c r="N35" s="1057">
        <f>+'Grasmere Pig Cost'!N35+'Lionhead Pig Cost'!N35+'Villa Pig Cost'!N35+'Richlands Pig Cost'!N35+'Learig Pig Cost'!N35+'Lionhead Ext. Pig Cost'!N35+'Porta Pig Cost'!N35+'Multiplier Pig Cost '!N35</f>
        <v>0</v>
      </c>
      <c r="O35" s="1057">
        <f>+'Grasmere Pig Cost'!O35+'Lionhead Pig Cost'!O35+'Villa Pig Cost'!O35+'Richlands Pig Cost'!O35+'Learig Pig Cost'!O35+'Lionhead Ext. Pig Cost'!O35+'Porta Pig Cost'!O35+'Multiplier Pig Cost '!O35</f>
        <v>0</v>
      </c>
      <c r="P35" s="1057">
        <f>+'Grasmere Pig Cost'!P35+'Lionhead Pig Cost'!P35+'Villa Pig Cost'!P35+'Richlands Pig Cost'!P35+'Learig Pig Cost'!P35+'Lionhead Ext. Pig Cost'!P35+'Porta Pig Cost'!P35+'Multiplier Pig Cost '!P35</f>
        <v>0</v>
      </c>
      <c r="Q35" s="1057">
        <f>+'Grasmere Pig Cost'!Q35+'Lionhead Pig Cost'!Q35+'Villa Pig Cost'!Q35+'Richlands Pig Cost'!Q35+'Learig Pig Cost'!Q35+'Lionhead Ext. Pig Cost'!Q35+'Porta Pig Cost'!Q35+'Multiplier Pig Cost '!Q35</f>
        <v>0</v>
      </c>
      <c r="R35" s="1057">
        <f>+'Grasmere Pig Cost'!R35+'Lionhead Pig Cost'!R35+'Villa Pig Cost'!R35+'Richlands Pig Cost'!R35+'Learig Pig Cost'!R35+'Lionhead Ext. Pig Cost'!R35+'Porta Pig Cost'!R35+'Multiplier Pig Cost '!R35</f>
        <v>0</v>
      </c>
      <c r="S35" s="1057">
        <f>+'Grasmere Pig Cost'!S35+'Lionhead Pig Cost'!S35+'Villa Pig Cost'!S35+'Richlands Pig Cost'!S35+'Learig Pig Cost'!S35+'Lionhead Ext. Pig Cost'!S35+'Porta Pig Cost'!S35+'Multiplier Pig Cost '!S35</f>
        <v>0</v>
      </c>
      <c r="T35" s="1057">
        <f>+'Grasmere Pig Cost'!T35+'Lionhead Pig Cost'!T35+'Villa Pig Cost'!T35+'Richlands Pig Cost'!T35+'Learig Pig Cost'!T35+'Lionhead Ext. Pig Cost'!T35+'Porta Pig Cost'!T35+'Multiplier Pig Cost '!T35</f>
        <v>-358.43352394583496</v>
      </c>
      <c r="U35" s="1057">
        <f>+'Grasmere Pig Cost'!U35+'Lionhead Pig Cost'!U35+'Villa Pig Cost'!U35+'Richlands Pig Cost'!U35+'Learig Pig Cost'!U35+'Lionhead Ext. Pig Cost'!U35+'Porta Pig Cost'!U35+'Multiplier Pig Cost '!U35</f>
        <v>-736.07130806862165</v>
      </c>
      <c r="V35" s="1057">
        <f>+'Grasmere Pig Cost'!V35+'Lionhead Pig Cost'!V35+'Villa Pig Cost'!V35+'Richlands Pig Cost'!V35+'Learig Pig Cost'!V35+'Lionhead Ext. Pig Cost'!V35+'Porta Pig Cost'!V35+'Multiplier Pig Cost '!V35</f>
        <v>-2672.6062658146338</v>
      </c>
      <c r="W35" s="1057">
        <f>+'Grasmere Pig Cost'!W35+'Lionhead Pig Cost'!W35+'Villa Pig Cost'!W35+'Richlands Pig Cost'!W35+'Learig Pig Cost'!W35+'Lionhead Ext. Pig Cost'!W35+'Porta Pig Cost'!W35+'Multiplier Pig Cost '!W35</f>
        <v>-3213.2362239431868</v>
      </c>
      <c r="X35" s="1057">
        <f>+'Grasmere Pig Cost'!X35+'Lionhead Pig Cost'!X35+'Villa Pig Cost'!X35+'Richlands Pig Cost'!X35+'Learig Pig Cost'!X35+'Lionhead Ext. Pig Cost'!X35+'Porta Pig Cost'!X35+'Multiplier Pig Cost '!X35</f>
        <v>-4153.4206467169915</v>
      </c>
      <c r="Y35" s="1057">
        <f>+'Grasmere Pig Cost'!Y35+'Lionhead Pig Cost'!Y35+'Villa Pig Cost'!Y35+'Richlands Pig Cost'!Y35+'Learig Pig Cost'!Y35+'Lionhead Ext. Pig Cost'!Y35+'Porta Pig Cost'!Y35+'Multiplier Pig Cost '!Y35</f>
        <v>-1184.0717275086026</v>
      </c>
      <c r="Z35" s="1057">
        <f>+'Grasmere Pig Cost'!Z35+'Lionhead Pig Cost'!Z35+'Villa Pig Cost'!Z35+'Richlands Pig Cost'!Z35+'Learig Pig Cost'!Z35+'Lionhead Ext. Pig Cost'!Z35+'Porta Pig Cost'!Z35+'Multiplier Pig Cost '!Z35</f>
        <v>-1480.3895996858266</v>
      </c>
      <c r="AA35" s="1057">
        <f>+'Grasmere Pig Cost'!AA35+'Lionhead Pig Cost'!AA35+'Villa Pig Cost'!AA35+'Richlands Pig Cost'!AA35+'Learig Pig Cost'!AA35+'Lionhead Ext. Pig Cost'!AA35+'Porta Pig Cost'!AA35+'Multiplier Pig Cost '!AA35</f>
        <v>0</v>
      </c>
      <c r="AB35" s="1057">
        <f>+'Grasmere Pig Cost'!AB35+'Lionhead Pig Cost'!AB35+'Villa Pig Cost'!AB35+'Richlands Pig Cost'!AB35+'Learig Pig Cost'!AB35+'Lionhead Ext. Pig Cost'!AB35+'Porta Pig Cost'!AB35+'Multiplier Pig Cost '!AB35</f>
        <v>0</v>
      </c>
      <c r="AC35" s="1057">
        <f>+'Grasmere Pig Cost'!AC35+'Lionhead Pig Cost'!AC35+'Villa Pig Cost'!AC35+'Richlands Pig Cost'!AC35+'Learig Pig Cost'!AC35+'Lionhead Ext. Pig Cost'!AC35+'Porta Pig Cost'!AC35+'Multiplier Pig Cost '!AC35</f>
        <v>0</v>
      </c>
      <c r="AD35" s="1057">
        <f>+'Grasmere Pig Cost'!AD35+'Lionhead Pig Cost'!AD35+'Villa Pig Cost'!AD35+'Richlands Pig Cost'!AD35+'Learig Pig Cost'!AD35+'Lionhead Ext. Pig Cost'!AD35+'Porta Pig Cost'!AD35+'Multiplier Pig Cost '!AD35</f>
        <v>0</v>
      </c>
      <c r="AE35" s="1057">
        <f>+'Grasmere Pig Cost'!AE35+'Lionhead Pig Cost'!AE35+'Villa Pig Cost'!AE35+'Richlands Pig Cost'!AE35+'Learig Pig Cost'!AE35+'Lionhead Ext. Pig Cost'!AE35+'Porta Pig Cost'!AE35+'Multiplier Pig Cost '!AE35</f>
        <v>0</v>
      </c>
      <c r="AF35" s="1057">
        <f>+'Grasmere Pig Cost'!AF35+'Lionhead Pig Cost'!AF35+'Villa Pig Cost'!AF35+'Richlands Pig Cost'!AF35+'Learig Pig Cost'!AF35+'Lionhead Ext. Pig Cost'!AF35+'Porta Pig Cost'!AF35+'Multiplier Pig Cost '!AF35</f>
        <v>0</v>
      </c>
      <c r="AG35" s="1057">
        <f>+'Grasmere Pig Cost'!AG35+'Lionhead Pig Cost'!AG35+'Villa Pig Cost'!AG35+'Richlands Pig Cost'!AG35+'Learig Pig Cost'!AG35+'Lionhead Ext. Pig Cost'!AG35+'Porta Pig Cost'!AG35+'Multiplier Pig Cost '!AG35</f>
        <v>0</v>
      </c>
      <c r="AH35" s="1057">
        <f>+'Grasmere Pig Cost'!AH35+'Lionhead Pig Cost'!AH35+'Villa Pig Cost'!AH35+'Richlands Pig Cost'!AH35+'Learig Pig Cost'!AH35+'Lionhead Ext. Pig Cost'!AH35+'Porta Pig Cost'!AH35+'Multiplier Pig Cost '!AH35</f>
        <v>0</v>
      </c>
      <c r="AI35" s="1057">
        <f>+'Grasmere Pig Cost'!AI35+'Lionhead Pig Cost'!AI35+'Villa Pig Cost'!AI35+'Richlands Pig Cost'!AI35+'Learig Pig Cost'!AI35+'Lionhead Ext. Pig Cost'!AI35+'Porta Pig Cost'!AI35+'Multiplier Pig Cost '!AI35</f>
        <v>0</v>
      </c>
      <c r="AJ35" s="1057">
        <f>+'Grasmere Pig Cost'!AJ35+'Lionhead Pig Cost'!AJ35+'Villa Pig Cost'!AJ35+'Richlands Pig Cost'!AJ35+'Learig Pig Cost'!AJ35+'Lionhead Ext. Pig Cost'!AJ35+'Porta Pig Cost'!AJ35+'Multiplier Pig Cost '!AJ35</f>
        <v>0</v>
      </c>
      <c r="AK35" s="1057">
        <f>+'Grasmere Pig Cost'!AK35+'Lionhead Pig Cost'!AK35+'Villa Pig Cost'!AK35+'Richlands Pig Cost'!AK35+'Learig Pig Cost'!AK35+'Lionhead Ext. Pig Cost'!AK35+'Porta Pig Cost'!AK35+'Multiplier Pig Cost '!AK35</f>
        <v>0</v>
      </c>
      <c r="AL35" s="1057">
        <f>+'Grasmere Pig Cost'!AL35+'Lionhead Pig Cost'!AL35+'Villa Pig Cost'!AL35+'Richlands Pig Cost'!AL35+'Learig Pig Cost'!AL35+'Lionhead Ext. Pig Cost'!AL35+'Porta Pig Cost'!AL35+'Multiplier Pig Cost '!AL35</f>
        <v>0</v>
      </c>
      <c r="AM35" s="1057">
        <f>+'Grasmere Pig Cost'!AM35+'Lionhead Pig Cost'!AM35+'Villa Pig Cost'!AM35+'Richlands Pig Cost'!AM35+'Learig Pig Cost'!AM35+'Lionhead Ext. Pig Cost'!AM35+'Porta Pig Cost'!AM35+'Multiplier Pig Cost '!AM35</f>
        <v>0</v>
      </c>
      <c r="AN35" s="1057">
        <f>+'Grasmere Pig Cost'!AN35+'Lionhead Pig Cost'!AN35+'Villa Pig Cost'!AN35+'Richlands Pig Cost'!AN35+'Learig Pig Cost'!AN35+'Lionhead Ext. Pig Cost'!AN35+'Porta Pig Cost'!AN35+'Multiplier Pig Cost '!AN35</f>
        <v>0</v>
      </c>
      <c r="AO35" s="1057">
        <f>+'Grasmere Pig Cost'!AO35+'Lionhead Pig Cost'!AO35+'Villa Pig Cost'!AO35+'Richlands Pig Cost'!AO35+'Learig Pig Cost'!AO35+'Lionhead Ext. Pig Cost'!AO35+'Porta Pig Cost'!AO35+'Multiplier Pig Cost '!AO35</f>
        <v>-1459.4254504295316</v>
      </c>
      <c r="AP35" s="1057">
        <f>+'Grasmere Pig Cost'!AP35+'Lionhead Pig Cost'!AP35+'Villa Pig Cost'!AP35+'Richlands Pig Cost'!AP35+'Learig Pig Cost'!AP35+'Lionhead Ext. Pig Cost'!AP35+'Porta Pig Cost'!AP35+'Multiplier Pig Cost '!AP35</f>
        <v>0</v>
      </c>
      <c r="AQ35" s="1057">
        <f>+'Grasmere Pig Cost'!AQ35+'Lionhead Pig Cost'!AQ35+'Villa Pig Cost'!AQ35+'Richlands Pig Cost'!AQ35+'Learig Pig Cost'!AQ35+'Lionhead Ext. Pig Cost'!AQ35+'Porta Pig Cost'!AQ35+'Multiplier Pig Cost '!AQ35</f>
        <v>-1928.066903605541</v>
      </c>
      <c r="AR35" s="1057">
        <f>+'Grasmere Pig Cost'!AR35+'Lionhead Pig Cost'!AR35+'Villa Pig Cost'!AR35+'Richlands Pig Cost'!AR35+'Learig Pig Cost'!AR35+'Lionhead Ext. Pig Cost'!AR35+'Porta Pig Cost'!AR35+'Multiplier Pig Cost '!AR35</f>
        <v>0</v>
      </c>
      <c r="AS35" s="1057">
        <f>+'Grasmere Pig Cost'!AS35+'Lionhead Pig Cost'!AS35+'Villa Pig Cost'!AS35+'Richlands Pig Cost'!AS35+'Learig Pig Cost'!AS35+'Lionhead Ext. Pig Cost'!AS35+'Porta Pig Cost'!AS35+'Multiplier Pig Cost '!AS35</f>
        <v>-11027.782185388427</v>
      </c>
      <c r="AT35" s="1057">
        <f>+'Grasmere Pig Cost'!AT35+'Lionhead Pig Cost'!AT35+'Villa Pig Cost'!AT35+'Richlands Pig Cost'!AT35+'Learig Pig Cost'!AT35+'Lionhead Ext. Pig Cost'!AT35+'Porta Pig Cost'!AT35+'Multiplier Pig Cost '!AT35</f>
        <v>0</v>
      </c>
      <c r="AU35" s="1057">
        <f t="shared" si="15"/>
        <v>-28213.503835107196</v>
      </c>
      <c r="AV35" s="1057">
        <f>+'Grasmere Pig Cost'!AU35+'Lionhead Pig Cost'!AU35+'Villa Pig Cost'!AU35+'Richlands Pig Cost'!AU35+'Learig Pig Cost'!AU35+'Lionhead Ext. Pig Cost'!AU35+'Porta Pig Cost'!AU35+'Multiplier Pig Cost '!AU35</f>
        <v>-28213.503835107196</v>
      </c>
      <c r="AW35" s="818">
        <f>+AU35-AV35</f>
        <v>0</v>
      </c>
      <c r="BA35" s="1059">
        <f>+'Non Current'!AA7</f>
        <v>130972.4</v>
      </c>
      <c r="BD35" s="1059">
        <f t="shared" si="16"/>
        <v>-13798.229295683697</v>
      </c>
      <c r="BI35" s="1059">
        <f>+BF33-BI34</f>
        <v>-1510017</v>
      </c>
    </row>
    <row r="36" spans="1:61" ht="15.6">
      <c r="A36" s="1059" t="s">
        <v>1804</v>
      </c>
      <c r="B36" s="1057">
        <f>IFERROR(SUM(B33:B35),0)</f>
        <v>0</v>
      </c>
      <c r="C36" s="1057">
        <f t="shared" ref="C36:AS36" si="17">IFERROR(SUM(C33:C35),0)</f>
        <v>0</v>
      </c>
      <c r="D36" s="1057">
        <f t="shared" si="17"/>
        <v>0</v>
      </c>
      <c r="E36" s="1057">
        <f t="shared" si="17"/>
        <v>0</v>
      </c>
      <c r="F36" s="1057">
        <f t="shared" si="17"/>
        <v>33665.179372197308</v>
      </c>
      <c r="G36" s="1057">
        <f t="shared" si="17"/>
        <v>33665.179372197308</v>
      </c>
      <c r="H36" s="1057">
        <f t="shared" si="17"/>
        <v>33665.179372197308</v>
      </c>
      <c r="I36" s="1057">
        <f t="shared" si="17"/>
        <v>33665.179372197308</v>
      </c>
      <c r="J36" s="1057">
        <f t="shared" si="17"/>
        <v>30971.965022421522</v>
      </c>
      <c r="K36" s="1057">
        <f t="shared" si="17"/>
        <v>58448.893273542599</v>
      </c>
      <c r="L36" s="1057">
        <f t="shared" si="17"/>
        <v>58448.893273542599</v>
      </c>
      <c r="M36" s="1057">
        <f t="shared" si="17"/>
        <v>58448.893273542599</v>
      </c>
      <c r="N36" s="1057">
        <f t="shared" si="17"/>
        <v>58448.893273542599</v>
      </c>
      <c r="O36" s="1057">
        <f t="shared" si="17"/>
        <v>84127.045067264582</v>
      </c>
      <c r="P36" s="1057">
        <f t="shared" si="17"/>
        <v>84127.045067264582</v>
      </c>
      <c r="Q36" s="1057">
        <f t="shared" si="17"/>
        <v>84127.045067264582</v>
      </c>
      <c r="R36" s="1057">
        <f t="shared" si="17"/>
        <v>90860.080941704044</v>
      </c>
      <c r="S36" s="1057">
        <f t="shared" si="17"/>
        <v>120799.28009408845</v>
      </c>
      <c r="T36" s="1057">
        <f t="shared" si="17"/>
        <v>120333.98217323668</v>
      </c>
      <c r="U36" s="1057">
        <f t="shared" si="17"/>
        <v>119917.4072338964</v>
      </c>
      <c r="V36" s="1057">
        <f t="shared" si="17"/>
        <v>148201.44852191815</v>
      </c>
      <c r="W36" s="1057">
        <f t="shared" si="17"/>
        <v>138531.46492537262</v>
      </c>
      <c r="X36" s="1057">
        <f t="shared" si="17"/>
        <v>195887.34353943908</v>
      </c>
      <c r="Y36" s="1057">
        <f t="shared" si="17"/>
        <v>215408.39799029843</v>
      </c>
      <c r="Z36" s="1057">
        <f t="shared" si="17"/>
        <v>187695.47557030071</v>
      </c>
      <c r="AA36" s="1057">
        <f t="shared" si="17"/>
        <v>181989.84014555081</v>
      </c>
      <c r="AB36" s="1057">
        <f t="shared" si="17"/>
        <v>217185.06721410525</v>
      </c>
      <c r="AC36" s="1057">
        <f t="shared" si="17"/>
        <v>295779.98649852013</v>
      </c>
      <c r="AD36" s="1057">
        <f t="shared" si="17"/>
        <v>368093.40511201142</v>
      </c>
      <c r="AE36" s="1057">
        <f t="shared" si="17"/>
        <v>399583.81810591416</v>
      </c>
      <c r="AF36" s="1057">
        <f t="shared" si="17"/>
        <v>396157.64493597718</v>
      </c>
      <c r="AG36" s="1057">
        <f t="shared" si="17"/>
        <v>480865.23647289409</v>
      </c>
      <c r="AH36" s="1057">
        <f t="shared" si="17"/>
        <v>565391.65951576806</v>
      </c>
      <c r="AI36" s="1057">
        <f t="shared" si="17"/>
        <v>622306.20072520978</v>
      </c>
      <c r="AJ36" s="1057">
        <f t="shared" si="17"/>
        <v>672176.51407648541</v>
      </c>
      <c r="AK36" s="1057">
        <f t="shared" si="17"/>
        <v>755228.32709150924</v>
      </c>
      <c r="AL36" s="1057">
        <f t="shared" si="17"/>
        <v>883126.20855850761</v>
      </c>
      <c r="AM36" s="1057">
        <f t="shared" si="17"/>
        <v>987458.2795909585</v>
      </c>
      <c r="AN36" s="1057">
        <f t="shared" si="17"/>
        <v>974169.4869473927</v>
      </c>
      <c r="AO36" s="1057">
        <f t="shared" si="17"/>
        <v>1020166.3729607838</v>
      </c>
      <c r="AP36" s="1057">
        <f t="shared" si="17"/>
        <v>1098115.2412830216</v>
      </c>
      <c r="AQ36" s="1057">
        <f t="shared" si="17"/>
        <v>1329914.4341431744</v>
      </c>
      <c r="AR36" s="1057">
        <f t="shared" si="17"/>
        <v>1070802.4628517176</v>
      </c>
      <c r="AS36" s="1057">
        <f t="shared" si="17"/>
        <v>617138.24348768336</v>
      </c>
      <c r="AT36" s="1057">
        <f>IFERROR(SUM(AT33:AT35),0)</f>
        <v>4018.589919204991</v>
      </c>
      <c r="AU36" s="1057">
        <f>IFERROR(SUM(AU33:AU35),0)</f>
        <v>14929111.291433821</v>
      </c>
      <c r="AV36" s="1057">
        <f>+'Grasmere Pig Cost'!AU36+'Lionhead Pig Cost'!AU36+'Villa Pig Cost'!AU36+'Richlands Pig Cost'!AU36+'Learig Pig Cost'!AU36+'Lionhead Ext. Pig Cost'!AU36+'Porta Pig Cost'!AU36+'Multiplier Pig Cost '!AU36</f>
        <v>14929111.291433821</v>
      </c>
      <c r="AW36" s="818"/>
      <c r="AX36" s="1578"/>
      <c r="AY36" s="817"/>
      <c r="BD36" s="1059">
        <f t="shared" si="16"/>
        <v>5516797.1305233808</v>
      </c>
      <c r="BE36" s="1059"/>
    </row>
    <row r="37" spans="1:61" ht="15.6">
      <c r="A37" s="1059" t="s">
        <v>1805</v>
      </c>
      <c r="B37" s="1057"/>
      <c r="C37" s="1057"/>
      <c r="D37" s="1057"/>
      <c r="E37" s="1057"/>
      <c r="F37" s="1057"/>
      <c r="G37" s="1057"/>
      <c r="H37" s="1057"/>
      <c r="I37" s="1057"/>
      <c r="J37" s="1057"/>
      <c r="K37" s="1057"/>
      <c r="L37" s="1057"/>
      <c r="M37" s="1057"/>
      <c r="N37" s="1057"/>
      <c r="O37" s="1057"/>
      <c r="P37" s="1057"/>
      <c r="Q37" s="1057"/>
      <c r="R37" s="1057"/>
      <c r="S37" s="1057">
        <f>IFERROR(S36/S11,)</f>
        <v>49.225460511038484</v>
      </c>
      <c r="T37" s="1057">
        <f t="shared" ref="T37:AT37" si="18">IFERROR(T36/T11,)</f>
        <v>27.486062625225372</v>
      </c>
      <c r="U37" s="1057">
        <f t="shared" si="18"/>
        <v>28.215860525622684</v>
      </c>
      <c r="V37" s="1057">
        <f t="shared" si="18"/>
        <v>34.329730952494359</v>
      </c>
      <c r="W37" s="1057">
        <f t="shared" si="18"/>
        <v>32.0452151111202</v>
      </c>
      <c r="X37" s="1057">
        <f t="shared" si="18"/>
        <v>47.661154145848926</v>
      </c>
      <c r="Y37" s="1057">
        <f t="shared" si="18"/>
        <v>54.686061942193049</v>
      </c>
      <c r="Z37" s="1057">
        <f t="shared" si="18"/>
        <v>46.459276131262556</v>
      </c>
      <c r="AA37" s="1057">
        <f t="shared" si="18"/>
        <v>46.296067195510254</v>
      </c>
      <c r="AB37" s="1057">
        <f t="shared" si="18"/>
        <v>55.774285365717837</v>
      </c>
      <c r="AC37" s="1057">
        <f t="shared" si="18"/>
        <v>75.013945345807798</v>
      </c>
      <c r="AD37" s="1057">
        <f t="shared" si="18"/>
        <v>93.306313082892629</v>
      </c>
      <c r="AE37" s="1057">
        <f t="shared" si="18"/>
        <v>106.49888542268501</v>
      </c>
      <c r="AF37" s="1057">
        <f t="shared" si="18"/>
        <v>103.95110074415565</v>
      </c>
      <c r="AG37" s="1057">
        <f t="shared" si="18"/>
        <v>125.74927732031749</v>
      </c>
      <c r="AH37" s="1057">
        <f t="shared" si="18"/>
        <v>153.72258279384667</v>
      </c>
      <c r="AI37" s="1057">
        <f t="shared" si="18"/>
        <v>166.3475543237663</v>
      </c>
      <c r="AJ37" s="1057">
        <f t="shared" si="18"/>
        <v>172.26461150089324</v>
      </c>
      <c r="AK37" s="1057">
        <f t="shared" si="18"/>
        <v>196.21416656053759</v>
      </c>
      <c r="AL37" s="1057">
        <f t="shared" si="18"/>
        <v>236.50942918010381</v>
      </c>
      <c r="AM37" s="1057">
        <f t="shared" si="18"/>
        <v>255.95082415525104</v>
      </c>
      <c r="AN37" s="1057">
        <f t="shared" si="18"/>
        <v>258.74355563011756</v>
      </c>
      <c r="AO37" s="1057">
        <f t="shared" si="18"/>
        <v>267.76020287684611</v>
      </c>
      <c r="AP37" s="1057">
        <f t="shared" si="18"/>
        <v>288.21922343386393</v>
      </c>
      <c r="AQ37" s="1057">
        <f t="shared" si="18"/>
        <v>340.74159214531755</v>
      </c>
      <c r="AR37" s="1057">
        <f t="shared" si="18"/>
        <v>337.26061822101343</v>
      </c>
      <c r="AS37" s="1057">
        <f t="shared" si="18"/>
        <v>282.96113869219778</v>
      </c>
      <c r="AT37" s="1057">
        <f t="shared" si="18"/>
        <v>267.90599461366605</v>
      </c>
      <c r="AU37" s="1057">
        <f>IFERROR(AU36/AU11,)</f>
        <v>145.88898185742309</v>
      </c>
      <c r="AV37" s="1057">
        <f>IFERROR(AV36/AV11,)</f>
        <v>145.88898185742309</v>
      </c>
      <c r="AW37" s="818"/>
      <c r="AX37" s="1578"/>
      <c r="AY37" s="817"/>
      <c r="BD37" s="1059">
        <f t="shared" si="16"/>
        <v>1246.7688335395051</v>
      </c>
      <c r="BE37" s="1059"/>
    </row>
    <row r="38" spans="1:61" ht="15.6">
      <c r="B38" s="1057"/>
      <c r="C38" s="1057"/>
      <c r="D38" s="1057"/>
      <c r="E38" s="1057"/>
      <c r="F38" s="1057"/>
      <c r="G38" s="1057"/>
      <c r="H38" s="1057"/>
      <c r="I38" s="1057"/>
      <c r="J38" s="1057"/>
      <c r="K38" s="1057"/>
      <c r="L38" s="1057"/>
      <c r="M38" s="1057"/>
      <c r="N38" s="1057"/>
      <c r="O38" s="1057"/>
      <c r="P38" s="1057"/>
      <c r="Q38" s="1057"/>
      <c r="R38" s="1057"/>
      <c r="S38" s="1057"/>
      <c r="T38" s="1057"/>
      <c r="U38" s="1057"/>
      <c r="V38" s="1057"/>
      <c r="W38" s="1057"/>
      <c r="X38" s="1057"/>
      <c r="Y38" s="1057"/>
      <c r="Z38" s="1057"/>
      <c r="AA38" s="1057"/>
      <c r="AB38" s="1057"/>
      <c r="AC38" s="1057"/>
      <c r="AD38" s="1057"/>
      <c r="AE38" s="1057"/>
      <c r="AF38" s="1057"/>
      <c r="AG38" s="1057"/>
      <c r="AH38" s="1057"/>
      <c r="AI38" s="1057"/>
      <c r="AJ38" s="1057"/>
      <c r="AK38" s="1057"/>
      <c r="AL38" s="1057"/>
      <c r="AM38" s="1057"/>
      <c r="AN38" s="1057"/>
      <c r="AO38" s="1057"/>
      <c r="AP38" s="1057"/>
      <c r="AQ38" s="1057"/>
      <c r="AR38" s="1057"/>
      <c r="AS38" s="1057"/>
      <c r="AT38" s="1057"/>
      <c r="AV38" s="818"/>
      <c r="AW38" s="818"/>
      <c r="AX38" s="1578"/>
      <c r="AY38" s="817"/>
      <c r="AZ38" s="142">
        <f>SUM(AZ24:AZ37)</f>
        <v>113760.47781131331</v>
      </c>
      <c r="BD38" s="1059">
        <f t="shared" si="16"/>
        <v>0</v>
      </c>
      <c r="BE38" s="1059"/>
      <c r="BI38" s="818">
        <f>+BF33</f>
        <v>0</v>
      </c>
    </row>
    <row r="39" spans="1:61" ht="15.6">
      <c r="A39" s="1687" t="s">
        <v>1806</v>
      </c>
      <c r="B39" s="1057">
        <f>IFERROR(B36+SUM(B45:B57),0)</f>
        <v>0</v>
      </c>
      <c r="C39" s="1057">
        <f t="shared" ref="C39:AT39" si="19">IFERROR(C36+SUM(C45:C57),0)</f>
        <v>0</v>
      </c>
      <c r="D39" s="1057">
        <f t="shared" si="19"/>
        <v>0</v>
      </c>
      <c r="E39" s="1057">
        <f t="shared" si="19"/>
        <v>0</v>
      </c>
      <c r="F39" s="1057">
        <f t="shared" si="19"/>
        <v>33665.179372197308</v>
      </c>
      <c r="G39" s="1057">
        <f t="shared" si="19"/>
        <v>33665.179372197308</v>
      </c>
      <c r="H39" s="1057">
        <f t="shared" si="19"/>
        <v>33665.179372197308</v>
      </c>
      <c r="I39" s="1057">
        <f t="shared" si="19"/>
        <v>33665.179372197308</v>
      </c>
      <c r="J39" s="1057">
        <f t="shared" si="19"/>
        <v>30971.965022421522</v>
      </c>
      <c r="K39" s="1057">
        <f t="shared" si="19"/>
        <v>58448.893273542599</v>
      </c>
      <c r="L39" s="1057">
        <f t="shared" si="19"/>
        <v>58448.893273542599</v>
      </c>
      <c r="M39" s="1057">
        <f t="shared" si="19"/>
        <v>58448.893273542599</v>
      </c>
      <c r="N39" s="1057">
        <f t="shared" si="19"/>
        <v>58448.893273542599</v>
      </c>
      <c r="O39" s="1057">
        <f t="shared" si="19"/>
        <v>84127.045067264582</v>
      </c>
      <c r="P39" s="1057">
        <f t="shared" si="19"/>
        <v>84127.045067264582</v>
      </c>
      <c r="Q39" s="1057">
        <f t="shared" si="19"/>
        <v>84127.045067264582</v>
      </c>
      <c r="R39" s="1057">
        <f t="shared" si="19"/>
        <v>90860.080941704044</v>
      </c>
      <c r="S39" s="1057">
        <f t="shared" si="19"/>
        <v>120799.28009408845</v>
      </c>
      <c r="T39" s="1057">
        <f t="shared" si="19"/>
        <v>120333.98217323668</v>
      </c>
      <c r="U39" s="1057">
        <f t="shared" si="19"/>
        <v>119917.4072338964</v>
      </c>
      <c r="V39" s="1057">
        <f t="shared" si="19"/>
        <v>148201.44852191815</v>
      </c>
      <c r="W39" s="1057">
        <f t="shared" si="19"/>
        <v>137633.50455615408</v>
      </c>
      <c r="X39" s="1057">
        <f t="shared" si="19"/>
        <v>193762.3727195824</v>
      </c>
      <c r="Y39" s="1057">
        <f t="shared" si="19"/>
        <v>213390.17773026478</v>
      </c>
      <c r="Z39" s="1057">
        <f t="shared" si="19"/>
        <v>187041.84437116235</v>
      </c>
      <c r="AA39" s="1057">
        <f t="shared" si="19"/>
        <v>181892.34661072446</v>
      </c>
      <c r="AB39" s="1057">
        <f t="shared" si="19"/>
        <v>218950.5166492968</v>
      </c>
      <c r="AC39" s="1057">
        <f t="shared" si="19"/>
        <v>296426.50360582268</v>
      </c>
      <c r="AD39" s="1057">
        <f t="shared" si="19"/>
        <v>368975.09988922923</v>
      </c>
      <c r="AE39" s="1057">
        <f t="shared" si="19"/>
        <v>399813.77594536229</v>
      </c>
      <c r="AF39" s="1057">
        <f t="shared" si="19"/>
        <v>395405.8296722098</v>
      </c>
      <c r="AG39" s="1057">
        <f t="shared" si="19"/>
        <v>479920.12341190613</v>
      </c>
      <c r="AH39" s="1057">
        <f t="shared" si="19"/>
        <v>565229.80256323563</v>
      </c>
      <c r="AI39" s="1057">
        <f t="shared" si="19"/>
        <v>621992.93868909206</v>
      </c>
      <c r="AJ39" s="1057">
        <f t="shared" si="19"/>
        <v>671663.75093672867</v>
      </c>
      <c r="AK39" s="1057">
        <f t="shared" si="19"/>
        <v>754831.1513132829</v>
      </c>
      <c r="AL39" s="1057">
        <f t="shared" si="19"/>
        <v>881907.39680777374</v>
      </c>
      <c r="AM39" s="1057">
        <f t="shared" si="19"/>
        <v>986571.17650169274</v>
      </c>
      <c r="AN39" s="1057">
        <f t="shared" si="19"/>
        <v>974169.4869473927</v>
      </c>
      <c r="AO39" s="1057">
        <f t="shared" si="19"/>
        <v>1030537.2382901716</v>
      </c>
      <c r="AP39" s="1057">
        <f t="shared" si="19"/>
        <v>1097036.7086154206</v>
      </c>
      <c r="AQ39" s="1057">
        <f t="shared" si="19"/>
        <v>1328304.179978207</v>
      </c>
      <c r="AR39" s="1057">
        <f t="shared" si="19"/>
        <v>1069810.8743417831</v>
      </c>
      <c r="AS39" s="1057">
        <f t="shared" si="19"/>
        <v>616497.93217658054</v>
      </c>
      <c r="AT39" s="1057">
        <f t="shared" si="19"/>
        <v>4018.589919204991</v>
      </c>
      <c r="AU39" s="1057">
        <f>IFERROR(AU36+SUM(AU45:AU57),0)</f>
        <v>14927704.9120143</v>
      </c>
      <c r="AV39" s="1057">
        <f>IFERROR(AV36+SUM(AV45:AV57),0)</f>
        <v>14927704.9120143</v>
      </c>
      <c r="AW39" s="818"/>
      <c r="AX39" s="1578"/>
      <c r="AY39" s="817"/>
      <c r="BD39" s="1059">
        <f t="shared" si="16"/>
        <v>5512356.4261860624</v>
      </c>
      <c r="BE39" s="1059"/>
    </row>
    <row r="40" spans="1:61" ht="15.6">
      <c r="A40" s="1559" t="s">
        <v>1807</v>
      </c>
      <c r="B40" s="1057">
        <f>+'Grasmere Pig Cost'!B40+'Learig Pig Cost'!B40+'Lionhead Pig Cost'!B40+'Lionhead Ext. Pig Cost'!B40+'Villa Pig Cost'!B40+'Richlands Pig Cost'!B40+'Porta Pig Cost'!B40+'Multiplier Pig Cost '!B40</f>
        <v>25844.730941704041</v>
      </c>
      <c r="C40" s="1057">
        <f>+'Grasmere Pig Cost'!C40+'Learig Pig Cost'!C40+'Lionhead Pig Cost'!C40+'Lionhead Ext. Pig Cost'!C40+'Villa Pig Cost'!C40+'Richlands Pig Cost'!C40+'Porta Pig Cost'!C40+'Multiplier Pig Cost '!C40</f>
        <v>25844.730941704041</v>
      </c>
      <c r="D40" s="1057">
        <f>+'Grasmere Pig Cost'!D40+'Learig Pig Cost'!D40+'Lionhead Pig Cost'!D40+'Lionhead Ext. Pig Cost'!D40+'Villa Pig Cost'!D40+'Richlands Pig Cost'!D40+'Porta Pig Cost'!D40+'Multiplier Pig Cost '!D40</f>
        <v>25844.730941704041</v>
      </c>
      <c r="E40" s="1057">
        <f>+'Grasmere Pig Cost'!E40+'Learig Pig Cost'!E40+'Lionhead Pig Cost'!E40+'Lionhead Ext. Pig Cost'!E40+'Villa Pig Cost'!E40+'Richlands Pig Cost'!E40+'Porta Pig Cost'!E40+'Multiplier Pig Cost '!E40</f>
        <v>25844.730941704041</v>
      </c>
      <c r="F40" s="1057">
        <f>+'Grasmere Pig Cost'!F40+'Learig Pig Cost'!F40+'Lionhead Pig Cost'!F40+'Lionhead Ext. Pig Cost'!F40+'Villa Pig Cost'!F40+'Richlands Pig Cost'!F40+'Porta Pig Cost'!F40+'Multiplier Pig Cost '!F40</f>
        <v>23777.152466367712</v>
      </c>
      <c r="G40" s="1057">
        <f>+'Grasmere Pig Cost'!G40+'Learig Pig Cost'!G40+'Lionhead Pig Cost'!G40+'Lionhead Ext. Pig Cost'!G40+'Villa Pig Cost'!G40+'Richlands Pig Cost'!G40+'Porta Pig Cost'!G40+'Multiplier Pig Cost '!G40</f>
        <v>23777.152466367712</v>
      </c>
      <c r="H40" s="1057">
        <f>+'Grasmere Pig Cost'!H40+'Learig Pig Cost'!H40+'Lionhead Pig Cost'!H40+'Lionhead Ext. Pig Cost'!H40+'Villa Pig Cost'!H40+'Richlands Pig Cost'!H40+'Porta Pig Cost'!H40+'Multiplier Pig Cost '!H40</f>
        <v>23777.152466367712</v>
      </c>
      <c r="I40" s="1057">
        <f>+'Grasmere Pig Cost'!I40+'Learig Pig Cost'!I40+'Lionhead Pig Cost'!I40+'Lionhead Ext. Pig Cost'!I40+'Villa Pig Cost'!I40+'Richlands Pig Cost'!I40+'Porta Pig Cost'!I40+'Multiplier Pig Cost '!I40</f>
        <v>23777.152466367712</v>
      </c>
      <c r="J40" s="1057">
        <f>+'Grasmere Pig Cost'!J40+'Learig Pig Cost'!J40+'Lionhead Pig Cost'!J40+'Lionhead Ext. Pig Cost'!J40+'Villa Pig Cost'!J40+'Richlands Pig Cost'!J40+'Porta Pig Cost'!J40+'Multiplier Pig Cost '!J40</f>
        <v>23777.152466367712</v>
      </c>
      <c r="K40" s="1057">
        <f>+'Grasmere Pig Cost'!K40+'Learig Pig Cost'!K40+'Lionhead Pig Cost'!K40+'Lionhead Ext. Pig Cost'!K40+'Villa Pig Cost'!K40+'Richlands Pig Cost'!K40+'Porta Pig Cost'!K40+'Multiplier Pig Cost '!K40</f>
        <v>23777.152466367712</v>
      </c>
      <c r="L40" s="1057">
        <f>+'Grasmere Pig Cost'!L40+'Learig Pig Cost'!L40+'Lionhead Pig Cost'!L40+'Lionhead Ext. Pig Cost'!L40+'Villa Pig Cost'!L40+'Richlands Pig Cost'!L40+'Porta Pig Cost'!L40+'Multiplier Pig Cost '!L40</f>
        <v>23777.152466367712</v>
      </c>
      <c r="M40" s="1057">
        <f>+'Grasmere Pig Cost'!M40+'Learig Pig Cost'!M40+'Lionhead Pig Cost'!M40+'Lionhead Ext. Pig Cost'!M40+'Villa Pig Cost'!M40+'Richlands Pig Cost'!M40+'Porta Pig Cost'!M40+'Multiplier Pig Cost '!M40</f>
        <v>23777.152466367712</v>
      </c>
      <c r="N40" s="1057">
        <f>+'Grasmere Pig Cost'!N40+'Learig Pig Cost'!N40+'Lionhead Pig Cost'!N40+'Lionhead Ext. Pig Cost'!N40+'Villa Pig Cost'!N40+'Richlands Pig Cost'!N40+'Porta Pig Cost'!N40+'Multiplier Pig Cost '!N40</f>
        <v>28946.098654708516</v>
      </c>
      <c r="O40" s="1057">
        <f>+'Grasmere Pig Cost'!O40+'Learig Pig Cost'!O40+'Lionhead Pig Cost'!O40+'Lionhead Ext. Pig Cost'!O40+'Villa Pig Cost'!O40+'Richlands Pig Cost'!O40+'Porta Pig Cost'!O40+'Multiplier Pig Cost '!O40</f>
        <v>28946.098654708516</v>
      </c>
      <c r="P40" s="1057">
        <f>+'Grasmere Pig Cost'!P40+'Learig Pig Cost'!P40+'Lionhead Pig Cost'!P40+'Lionhead Ext. Pig Cost'!P40+'Villa Pig Cost'!P40+'Richlands Pig Cost'!P40+'Porta Pig Cost'!P40+'Multiplier Pig Cost '!P40</f>
        <v>28946.098654708516</v>
      </c>
      <c r="Q40" s="1057">
        <f>+'Grasmere Pig Cost'!Q40+'Learig Pig Cost'!Q40+'Lionhead Pig Cost'!Q40+'Lionhead Ext. Pig Cost'!Q40+'Villa Pig Cost'!Q40+'Richlands Pig Cost'!Q40+'Porta Pig Cost'!Q40+'Multiplier Pig Cost '!Q40</f>
        <v>28946.098654708516</v>
      </c>
      <c r="R40" s="1057">
        <f>+'Grasmere Pig Cost'!R40+'Learig Pig Cost'!R40+'Lionhead Pig Cost'!R40+'Lionhead Ext. Pig Cost'!R40+'Villa Pig Cost'!R40+'Richlands Pig Cost'!R40+'Porta Pig Cost'!R40+'Multiplier Pig Cost '!R40</f>
        <v>51689.461883408083</v>
      </c>
      <c r="S40" s="1057">
        <f>+'Grasmere Pig Cost'!S40+'Learig Pig Cost'!S40+'Lionhead Pig Cost'!S40+'Lionhead Ext. Pig Cost'!S40+'Villa Pig Cost'!S40+'Richlands Pig Cost'!S40+'Porta Pig Cost'!S40+'Multiplier Pig Cost '!S40</f>
        <v>48463.203412980787</v>
      </c>
      <c r="T40" s="1057">
        <f>+'Grasmere Pig Cost'!T40+'Learig Pig Cost'!T40+'Lionhead Pig Cost'!T40+'Lionhead Ext. Pig Cost'!T40+'Villa Pig Cost'!T40+'Richlands Pig Cost'!T40+'Porta Pig Cost'!T40+'Multiplier Pig Cost '!T40</f>
        <v>84441.878673928804</v>
      </c>
      <c r="U40" s="1057">
        <f>+'Grasmere Pig Cost'!U40+'Learig Pig Cost'!U40+'Lionhead Pig Cost'!U40+'Lionhead Ext. Pig Cost'!U40+'Villa Pig Cost'!U40+'Richlands Pig Cost'!U40+'Porta Pig Cost'!U40+'Multiplier Pig Cost '!U40</f>
        <v>101804.91791309039</v>
      </c>
      <c r="V40" s="1057">
        <f>+'Grasmere Pig Cost'!V40+'Learig Pig Cost'!V40+'Lionhead Pig Cost'!V40+'Lionhead Ext. Pig Cost'!V40+'Villa Pig Cost'!V40+'Richlands Pig Cost'!V40+'Porta Pig Cost'!V40+'Multiplier Pig Cost '!V40</f>
        <v>61332.348052060173</v>
      </c>
      <c r="W40" s="1057">
        <f>+'Grasmere Pig Cost'!W40+'Learig Pig Cost'!W40+'Lionhead Pig Cost'!W40+'Lionhead Ext. Pig Cost'!W40+'Villa Pig Cost'!W40+'Richlands Pig Cost'!W40+'Porta Pig Cost'!W40+'Multiplier Pig Cost '!W40</f>
        <v>45138.140757053479</v>
      </c>
      <c r="X40" s="1057">
        <f>+'Grasmere Pig Cost'!X40+'Learig Pig Cost'!X40+'Lionhead Pig Cost'!X40+'Lionhead Ext. Pig Cost'!X40+'Villa Pig Cost'!X40+'Richlands Pig Cost'!X40+'Porta Pig Cost'!X40+'Multiplier Pig Cost '!X40</f>
        <v>79324.69955197633</v>
      </c>
      <c r="Y40" s="1057">
        <f>+'Grasmere Pig Cost'!Y40+'Learig Pig Cost'!Y40+'Lionhead Pig Cost'!Y40+'Lionhead Ext. Pig Cost'!Y40+'Villa Pig Cost'!Y40+'Richlands Pig Cost'!Y40+'Porta Pig Cost'!Y40+'Multiplier Pig Cost '!Y40</f>
        <v>82269.099902749702</v>
      </c>
      <c r="Z40" s="1057">
        <f>+'Grasmere Pig Cost'!Z40+'Learig Pig Cost'!Z40+'Lionhead Pig Cost'!Z40+'Lionhead Ext. Pig Cost'!Z40+'Villa Pig Cost'!Z40+'Richlands Pig Cost'!Z40+'Porta Pig Cost'!Z40+'Multiplier Pig Cost '!Z40</f>
        <v>148898.9539322099</v>
      </c>
      <c r="AA40" s="1057">
        <f>+'Grasmere Pig Cost'!AA40+'Learig Pig Cost'!AA40+'Lionhead Pig Cost'!AA40+'Lionhead Ext. Pig Cost'!AA40+'Villa Pig Cost'!AA40+'Richlands Pig Cost'!AA40+'Porta Pig Cost'!AA40+'Multiplier Pig Cost '!AA40</f>
        <v>177318.69193118828</v>
      </c>
      <c r="AB40" s="1057">
        <f>+'Grasmere Pig Cost'!AB40+'Learig Pig Cost'!AB40+'Lionhead Pig Cost'!AB40+'Lionhead Ext. Pig Cost'!AB40+'Villa Pig Cost'!AB40+'Richlands Pig Cost'!AB40+'Porta Pig Cost'!AB40+'Multiplier Pig Cost '!AB40</f>
        <v>181604.17650997522</v>
      </c>
      <c r="AC40" s="1057">
        <f>+'Grasmere Pig Cost'!AC40+'Learig Pig Cost'!AC40+'Lionhead Pig Cost'!AC40+'Lionhead Ext. Pig Cost'!AC40+'Villa Pig Cost'!AC40+'Richlands Pig Cost'!AC40+'Porta Pig Cost'!AC40+'Multiplier Pig Cost '!AC40</f>
        <v>189983.58936278691</v>
      </c>
      <c r="AD40" s="1057">
        <f>+'Grasmere Pig Cost'!AD40+'Learig Pig Cost'!AD40+'Lionhead Pig Cost'!AD40+'Lionhead Ext. Pig Cost'!AD40+'Villa Pig Cost'!AD40+'Richlands Pig Cost'!AD40+'Porta Pig Cost'!AD40+'Multiplier Pig Cost '!AD40</f>
        <v>252108.99186686616</v>
      </c>
      <c r="AE40" s="1057">
        <f>+'Grasmere Pig Cost'!AE40+'Learig Pig Cost'!AE40+'Lionhead Pig Cost'!AE40+'Lionhead Ext. Pig Cost'!AE40+'Villa Pig Cost'!AE40+'Richlands Pig Cost'!AE40+'Porta Pig Cost'!AE40+'Multiplier Pig Cost '!AE40</f>
        <v>244712.00813313382</v>
      </c>
      <c r="AF40" s="1057">
        <f>+'Grasmere Pig Cost'!AF40+'Learig Pig Cost'!AF40+'Lionhead Pig Cost'!AF40+'Lionhead Ext. Pig Cost'!AF40+'Villa Pig Cost'!AF40+'Richlands Pig Cost'!AF40+'Porta Pig Cost'!AF40+'Multiplier Pig Cost '!AF40</f>
        <v>269097.41083720594</v>
      </c>
      <c r="AG40" s="1057">
        <f>+'Grasmere Pig Cost'!AG40+'Learig Pig Cost'!AG40+'Lionhead Pig Cost'!AG40+'Lionhead Ext. Pig Cost'!AG40+'Villa Pig Cost'!AG40+'Richlands Pig Cost'!AG40+'Porta Pig Cost'!AG40+'Multiplier Pig Cost '!AG40</f>
        <v>268673.58916279406</v>
      </c>
      <c r="AH40" s="1057">
        <f>+'Grasmere Pig Cost'!AH40+'Learig Pig Cost'!AH40+'Lionhead Pig Cost'!AH40+'Lionhead Ext. Pig Cost'!AH40+'Villa Pig Cost'!AH40+'Richlands Pig Cost'!AH40+'Porta Pig Cost'!AH40+'Multiplier Pig Cost '!AH40</f>
        <v>329403.33910759795</v>
      </c>
      <c r="AI40" s="1057">
        <f>+'Grasmere Pig Cost'!AI40+'Learig Pig Cost'!AI40+'Lionhead Pig Cost'!AI40+'Lionhead Ext. Pig Cost'!AI40+'Villa Pig Cost'!AI40+'Richlands Pig Cost'!AI40+'Porta Pig Cost'!AI40+'Multiplier Pig Cost '!AI40</f>
        <v>329881.4394599151</v>
      </c>
      <c r="AJ40" s="1057">
        <f>+'Grasmere Pig Cost'!AJ40+'Learig Pig Cost'!AJ40+'Lionhead Pig Cost'!AJ40+'Lionhead Ext. Pig Cost'!AJ40+'Villa Pig Cost'!AJ40+'Richlands Pig Cost'!AJ40+'Porta Pig Cost'!AJ40+'Multiplier Pig Cost '!AJ40</f>
        <v>320181.99661501858</v>
      </c>
      <c r="AK40" s="1057">
        <f>+'Grasmere Pig Cost'!AK40+'Learig Pig Cost'!AK40+'Lionhead Pig Cost'!AK40+'Lionhead Ext. Pig Cost'!AK40+'Villa Pig Cost'!AK40+'Richlands Pig Cost'!AK40+'Porta Pig Cost'!AK40+'Multiplier Pig Cost '!AK40</f>
        <v>314382.88719497452</v>
      </c>
      <c r="AL40" s="1057">
        <f>+'Grasmere Pig Cost'!AL40+'Learig Pig Cost'!AL40+'Lionhead Pig Cost'!AL40+'Lionhead Ext. Pig Cost'!AL40+'Villa Pig Cost'!AL40+'Richlands Pig Cost'!AL40+'Porta Pig Cost'!AL40+'Multiplier Pig Cost '!AL40</f>
        <v>306606.62262342084</v>
      </c>
      <c r="AM40" s="1057">
        <f>+'Grasmere Pig Cost'!AM40+'Learig Pig Cost'!AM40+'Lionhead Pig Cost'!AM40+'Lionhead Ext. Pig Cost'!AM40+'Villa Pig Cost'!AM40+'Richlands Pig Cost'!AM40+'Porta Pig Cost'!AM40+'Multiplier Pig Cost '!AM40</f>
        <v>316523.47878362547</v>
      </c>
      <c r="AN40" s="1057">
        <f>+'Grasmere Pig Cost'!AN40+'Learig Pig Cost'!AN40+'Lionhead Pig Cost'!AN40+'Lionhead Ext. Pig Cost'!AN40+'Villa Pig Cost'!AN40+'Richlands Pig Cost'!AN40+'Porta Pig Cost'!AN40+'Multiplier Pig Cost '!AN40</f>
        <v>199338.42342358967</v>
      </c>
      <c r="AO40" s="1057">
        <f>+'Grasmere Pig Cost'!AO40+'Learig Pig Cost'!AO40+'Lionhead Pig Cost'!AO40+'Lionhead Ext. Pig Cost'!AO40+'Villa Pig Cost'!AO40+'Richlands Pig Cost'!AO40+'Porta Pig Cost'!AO40+'Multiplier Pig Cost '!AO40</f>
        <v>78503.912791857918</v>
      </c>
      <c r="AP40" s="1057">
        <f>+'Grasmere Pig Cost'!AP40+'Learig Pig Cost'!AP40+'Lionhead Pig Cost'!AP40+'Lionhead Ext. Pig Cost'!AP40+'Villa Pig Cost'!AP40+'Richlands Pig Cost'!AP40+'Porta Pig Cost'!AP40+'Multiplier Pig Cost '!AP40</f>
        <v>0</v>
      </c>
      <c r="AQ40" s="1057">
        <f>+'Grasmere Pig Cost'!AQ40+'Learig Pig Cost'!AQ40+'Lionhead Pig Cost'!AQ40+'Lionhead Ext. Pig Cost'!AQ40+'Villa Pig Cost'!AQ40+'Richlands Pig Cost'!AQ40+'Porta Pig Cost'!AQ40+'Multiplier Pig Cost '!AQ40</f>
        <v>0</v>
      </c>
      <c r="AR40" s="1057">
        <f>+'Grasmere Pig Cost'!AR40+'Learig Pig Cost'!AR40+'Lionhead Pig Cost'!AR40+'Lionhead Ext. Pig Cost'!AR40+'Villa Pig Cost'!AR40+'Richlands Pig Cost'!AR40+'Porta Pig Cost'!AR40+'Multiplier Pig Cost '!AR40</f>
        <v>0</v>
      </c>
      <c r="AS40" s="1057">
        <f>+'Grasmere Pig Cost'!AS40+'Learig Pig Cost'!AS40+'Lionhead Pig Cost'!AS40+'Lionhead Ext. Pig Cost'!AS40+'Villa Pig Cost'!AS40+'Richlands Pig Cost'!AS40+'Porta Pig Cost'!AS40+'Multiplier Pig Cost '!AS40</f>
        <v>0</v>
      </c>
      <c r="AT40" s="1057">
        <f>+'Grasmere Pig Cost'!AT40+'Learig Pig Cost'!AT40+'Lionhead Pig Cost'!AT40+'Lionhead Ext. Pig Cost'!AT40+'Villa Pig Cost'!AT40+'Richlands Pig Cost'!AT40+'Porta Pig Cost'!AT40+'Multiplier Pig Cost '!AT40</f>
        <v>0</v>
      </c>
      <c r="AU40" s="1057">
        <f>SUM(B40:AT40)</f>
        <v>4891063.7999999989</v>
      </c>
      <c r="AV40" s="1057">
        <f>+'Grasmere Pig Cost'!AU40+'Lionhead Pig Cost'!AU40+'Villa Pig Cost'!AU40+'Richlands Pig Cost'!AU40+'Learig Pig Cost'!AU40+'Lionhead Ext. Pig Cost'!AU40+'Porta Pig Cost'!AU40+'Multiplier Pig Cost '!AU40</f>
        <v>4891063.8</v>
      </c>
      <c r="AW40" s="818">
        <f>+AU40-AV40</f>
        <v>0</v>
      </c>
      <c r="AX40" s="1684">
        <f>'Grasmere Pig Cost'!AW40+'Lionhead Pig Cost'!AW40+'Villa Pig Cost'!AW40+'Richlands Pig Cost'!AW40+'Porta Pig Cost'!AW40+'Multiplier Pig Cost '!AW40</f>
        <v>130972.4</v>
      </c>
      <c r="AY40" s="818">
        <f>'Feed Cost &amp; Allocation'!AY72-'Triple C Pigs'!AU40</f>
        <v>130972.4000000013</v>
      </c>
      <c r="AZ40" s="142">
        <f>+'Feed Cost &amp; Allocation'!Z72</f>
        <v>52615.5</v>
      </c>
      <c r="BA40" s="1091">
        <f>+AZ40-AV40</f>
        <v>-4838448.3</v>
      </c>
      <c r="BD40" s="1059">
        <f t="shared" si="16"/>
        <v>3355526.4785675127</v>
      </c>
      <c r="BE40" s="1059"/>
      <c r="BF40" s="142">
        <f>+'[29]Bio Assets USD New'!$M$46</f>
        <v>0</v>
      </c>
    </row>
    <row r="41" spans="1:61" ht="15.6">
      <c r="A41" s="1790" t="s">
        <v>1808</v>
      </c>
      <c r="B41" s="1562">
        <f>IFERROR(SUM(B39:B40),0)</f>
        <v>25844.730941704041</v>
      </c>
      <c r="C41" s="1562">
        <f t="shared" ref="C41:AS41" si="20">IFERROR(SUM(C39:C40),0)</f>
        <v>25844.730941704041</v>
      </c>
      <c r="D41" s="1562">
        <f t="shared" si="20"/>
        <v>25844.730941704041</v>
      </c>
      <c r="E41" s="1562">
        <f t="shared" si="20"/>
        <v>25844.730941704041</v>
      </c>
      <c r="F41" s="1562">
        <f t="shared" si="20"/>
        <v>57442.33183856502</v>
      </c>
      <c r="G41" s="1562">
        <f t="shared" si="20"/>
        <v>57442.33183856502</v>
      </c>
      <c r="H41" s="1562">
        <f t="shared" si="20"/>
        <v>57442.33183856502</v>
      </c>
      <c r="I41" s="1562">
        <f t="shared" si="20"/>
        <v>57442.33183856502</v>
      </c>
      <c r="J41" s="1562">
        <f t="shared" si="20"/>
        <v>54749.117488789234</v>
      </c>
      <c r="K41" s="1562">
        <f t="shared" si="20"/>
        <v>82226.045739910303</v>
      </c>
      <c r="L41" s="1562">
        <f t="shared" si="20"/>
        <v>82226.045739910303</v>
      </c>
      <c r="M41" s="1562">
        <f t="shared" si="20"/>
        <v>82226.045739910303</v>
      </c>
      <c r="N41" s="1562">
        <f t="shared" si="20"/>
        <v>87394.991928251111</v>
      </c>
      <c r="O41" s="1562">
        <f t="shared" si="20"/>
        <v>113073.1437219731</v>
      </c>
      <c r="P41" s="1562">
        <f t="shared" si="20"/>
        <v>113073.1437219731</v>
      </c>
      <c r="Q41" s="1562">
        <f t="shared" si="20"/>
        <v>113073.1437219731</v>
      </c>
      <c r="R41" s="1562">
        <f t="shared" si="20"/>
        <v>142549.54282511212</v>
      </c>
      <c r="S41" s="1562">
        <f t="shared" si="20"/>
        <v>169262.48350706924</v>
      </c>
      <c r="T41" s="1562">
        <f t="shared" si="20"/>
        <v>204775.86084716549</v>
      </c>
      <c r="U41" s="1562">
        <f t="shared" si="20"/>
        <v>221722.32514698681</v>
      </c>
      <c r="V41" s="1562">
        <f t="shared" si="20"/>
        <v>209533.79657397832</v>
      </c>
      <c r="W41" s="1562">
        <f t="shared" si="20"/>
        <v>182771.64531320755</v>
      </c>
      <c r="X41" s="1562">
        <f t="shared" si="20"/>
        <v>273087.07227155875</v>
      </c>
      <c r="Y41" s="1562">
        <f t="shared" si="20"/>
        <v>295659.27763301448</v>
      </c>
      <c r="Z41" s="1562">
        <f t="shared" si="20"/>
        <v>335940.79830337223</v>
      </c>
      <c r="AA41" s="1562">
        <f t="shared" si="20"/>
        <v>359211.03854191274</v>
      </c>
      <c r="AB41" s="1562">
        <f t="shared" si="20"/>
        <v>400554.69315927202</v>
      </c>
      <c r="AC41" s="1562">
        <f t="shared" si="20"/>
        <v>486410.09296860959</v>
      </c>
      <c r="AD41" s="1562">
        <f t="shared" si="20"/>
        <v>621084.09175609541</v>
      </c>
      <c r="AE41" s="1562">
        <f t="shared" si="20"/>
        <v>644525.78407849604</v>
      </c>
      <c r="AF41" s="1562">
        <f t="shared" si="20"/>
        <v>664503.24050941574</v>
      </c>
      <c r="AG41" s="1562">
        <f t="shared" si="20"/>
        <v>748593.71257470013</v>
      </c>
      <c r="AH41" s="1562">
        <f>IFERROR(SUM(AH39:AH40),0)</f>
        <v>894633.14167083357</v>
      </c>
      <c r="AI41" s="1562">
        <f t="shared" si="20"/>
        <v>951874.37814900721</v>
      </c>
      <c r="AJ41" s="1562">
        <f t="shared" si="20"/>
        <v>991845.74755174725</v>
      </c>
      <c r="AK41" s="1562">
        <f t="shared" si="20"/>
        <v>1069214.0385082574</v>
      </c>
      <c r="AL41" s="1562">
        <f t="shared" si="20"/>
        <v>1188514.0194311945</v>
      </c>
      <c r="AM41" s="1562">
        <f t="shared" si="20"/>
        <v>1303094.6552853181</v>
      </c>
      <c r="AN41" s="1562">
        <f>IFERROR(SUM(AN39:AN40),0)</f>
        <v>1173507.9103709823</v>
      </c>
      <c r="AO41" s="1562">
        <f t="shared" si="20"/>
        <v>1109041.1510820296</v>
      </c>
      <c r="AP41" s="1562">
        <f t="shared" si="20"/>
        <v>1097036.7086154206</v>
      </c>
      <c r="AQ41" s="1562">
        <f t="shared" si="20"/>
        <v>1328304.179978207</v>
      </c>
      <c r="AR41" s="1562">
        <f t="shared" si="20"/>
        <v>1069810.8743417831</v>
      </c>
      <c r="AS41" s="1562">
        <f t="shared" si="20"/>
        <v>616497.93217658054</v>
      </c>
      <c r="AT41" s="1562">
        <f>IFERROR(SUM(AT39:AT40),0)</f>
        <v>4018.589919204991</v>
      </c>
      <c r="AU41" s="1562">
        <f>SUM(B41:AT41)</f>
        <v>19818768.712014295</v>
      </c>
      <c r="AV41" s="1086">
        <f>+'Grasmere Pig Cost'!AU41+'Lionhead Pig Cost'!AU41+'Villa Pig Cost'!AU41+'Richlands Pig Cost'!AU41+'Learig Pig Cost'!AU41+'Lionhead Ext. Pig Cost'!AU41+'Porta Pig Cost'!AU41+'Multiplier Pig Cost '!AU41</f>
        <v>19818768.712014299</v>
      </c>
      <c r="AW41" s="818">
        <f>+AU41-AV41</f>
        <v>0</v>
      </c>
      <c r="AX41" s="1578"/>
      <c r="AY41" s="1059">
        <f>SUM('[79]Bio Assets USD New'!$C$7,'[79]Bio Assets USD New'!$C$20)</f>
        <v>57221.227328709581</v>
      </c>
      <c r="AZ41" s="142" t="s">
        <v>1839</v>
      </c>
      <c r="BA41" s="1091">
        <f>+BA40-BA35</f>
        <v>-4969420.7</v>
      </c>
      <c r="BD41" s="1059">
        <f t="shared" si="16"/>
        <v>8867882.9047535732</v>
      </c>
      <c r="BE41" s="1059"/>
    </row>
    <row r="42" spans="1:61" ht="13.5" customHeight="1">
      <c r="AX42" s="1059"/>
      <c r="AY42" s="818">
        <f>AY40-AY41</f>
        <v>73751.172671291715</v>
      </c>
      <c r="AZ42" s="142" t="s">
        <v>1840</v>
      </c>
      <c r="BD42" s="1059">
        <f t="shared" si="16"/>
        <v>0</v>
      </c>
      <c r="BE42" s="1059"/>
    </row>
    <row r="43" spans="1:61" s="131" customFormat="1" ht="19.5" customHeight="1">
      <c r="A43" s="1790" t="s">
        <v>1809</v>
      </c>
      <c r="B43" s="1499">
        <v>0</v>
      </c>
      <c r="C43" s="1499">
        <v>0</v>
      </c>
      <c r="D43" s="1499">
        <v>0</v>
      </c>
      <c r="E43" s="1499">
        <v>0</v>
      </c>
      <c r="F43" s="1499">
        <v>0</v>
      </c>
      <c r="G43" s="1499">
        <v>0</v>
      </c>
      <c r="H43" s="1499">
        <v>0</v>
      </c>
      <c r="I43" s="1499">
        <v>0</v>
      </c>
      <c r="J43" s="1499">
        <v>0</v>
      </c>
      <c r="K43" s="1499">
        <v>0</v>
      </c>
      <c r="L43" s="1499">
        <v>0</v>
      </c>
      <c r="M43" s="1499">
        <v>0</v>
      </c>
      <c r="N43" s="1499">
        <v>0</v>
      </c>
      <c r="O43" s="1499">
        <v>0</v>
      </c>
      <c r="P43" s="1499">
        <v>0</v>
      </c>
      <c r="Q43" s="1499">
        <v>0</v>
      </c>
      <c r="R43" s="1499">
        <v>0</v>
      </c>
      <c r="S43" s="1499">
        <f>IFERROR(S41/SUM(S11:S23),0)</f>
        <v>68.974117158544914</v>
      </c>
      <c r="T43" s="1499">
        <f t="shared" ref="T43:AT43" si="21">IFERROR(T41/SUM(T11:T23),0)</f>
        <v>46.773837562166626</v>
      </c>
      <c r="U43" s="1499">
        <f t="shared" si="21"/>
        <v>52.169958858114541</v>
      </c>
      <c r="V43" s="1499">
        <f t="shared" si="21"/>
        <v>48.536899831822637</v>
      </c>
      <c r="W43" s="1499">
        <f t="shared" si="21"/>
        <v>42.161855896933695</v>
      </c>
      <c r="X43" s="1499">
        <f t="shared" si="21"/>
        <v>66.299362046991689</v>
      </c>
      <c r="Y43" s="1499">
        <f t="shared" si="21"/>
        <v>74.642584608183412</v>
      </c>
      <c r="Z43" s="1499">
        <f t="shared" si="21"/>
        <v>83.133085449980754</v>
      </c>
      <c r="AA43" s="1499">
        <f t="shared" si="21"/>
        <v>91.448838732666175</v>
      </c>
      <c r="AB43" s="1499">
        <f t="shared" si="21"/>
        <v>102.91744428552724</v>
      </c>
      <c r="AC43" s="1499">
        <f t="shared" si="21"/>
        <v>123.11062844054912</v>
      </c>
      <c r="AD43" s="1499">
        <f t="shared" si="21"/>
        <v>157.1966822971641</v>
      </c>
      <c r="AE43" s="1499">
        <f t="shared" si="21"/>
        <v>171.59898404645796</v>
      </c>
      <c r="AF43" s="1499">
        <f t="shared" si="21"/>
        <v>174.27307645145967</v>
      </c>
      <c r="AG43" s="1499">
        <f t="shared" si="21"/>
        <v>196.17235654473274</v>
      </c>
      <c r="AH43" s="1499">
        <f t="shared" si="21"/>
        <v>243.37136606932361</v>
      </c>
      <c r="AI43" s="1499">
        <f t="shared" si="21"/>
        <v>254.57993531666415</v>
      </c>
      <c r="AJ43" s="1499">
        <f t="shared" si="21"/>
        <v>254.44990958228507</v>
      </c>
      <c r="AK43" s="1499">
        <f t="shared" si="21"/>
        <v>277.93450442117427</v>
      </c>
      <c r="AL43" s="1499">
        <f t="shared" si="21"/>
        <v>318.72191456991004</v>
      </c>
      <c r="AM43" s="1499">
        <f t="shared" si="21"/>
        <v>338.02714793393466</v>
      </c>
      <c r="AN43" s="1499">
        <f t="shared" si="21"/>
        <v>311.77149584776362</v>
      </c>
      <c r="AO43" s="1499">
        <f t="shared" si="21"/>
        <v>287.7636614120471</v>
      </c>
      <c r="AP43" s="1499">
        <f>IFERROR(AP41/SUM(AP11:AP23),0)</f>
        <v>288.31450949156914</v>
      </c>
      <c r="AQ43" s="1499">
        <f t="shared" si="21"/>
        <v>340.76556695182325</v>
      </c>
      <c r="AR43" s="1499">
        <f t="shared" si="21"/>
        <v>337.26698434482444</v>
      </c>
      <c r="AS43" s="1499">
        <f t="shared" si="21"/>
        <v>282.92699962211128</v>
      </c>
      <c r="AT43" s="1499">
        <f t="shared" si="21"/>
        <v>267.90599461366605</v>
      </c>
      <c r="AU43" s="1499">
        <f>IFERROR(AU41/SUM(AU11:AU23),0)</f>
        <v>193.55589456324452</v>
      </c>
      <c r="AV43" s="1499">
        <f>IFERROR(AV41/SUM(AV11:AV23),0)</f>
        <v>193.55589456324455</v>
      </c>
      <c r="AW43" s="1088">
        <f>+AU43-AV43</f>
        <v>0</v>
      </c>
      <c r="AX43" s="1125">
        <f>'Feed Cost &amp; Allocation'!AY72-'Feed Cost &amp; Allocation'!AB72-'Feed Cost &amp; Allocation'!X72-'Feed Cost &amp; Allocation'!W72-'Feed Cost &amp; Allocation'!R72-'Feed Cost &amp; Allocation'!Q72-'Feed Cost &amp; Allocation'!P72-'Feed Cost &amp; Allocation'!Z80-'Feed Cost &amp; Allocation'!D80-'Feed Cost &amp; Allocation'!C80-'Feed Cost &amp; Allocation'!B80-'Feed Cost &amp; Allocation'!AY78+F107</f>
        <v>4803621.700000002</v>
      </c>
      <c r="AY43" s="1088">
        <f>'Feed Cost &amp; Allocation'!AY78</f>
        <v>0</v>
      </c>
      <c r="BD43" s="1059">
        <f t="shared" si="16"/>
        <v>1997.3610135972831</v>
      </c>
      <c r="BE43" s="1059"/>
    </row>
    <row r="44" spans="1:61">
      <c r="B44" s="1091"/>
      <c r="C44" s="1091"/>
      <c r="D44" s="1091"/>
      <c r="E44" s="1091"/>
      <c r="F44" s="1091"/>
      <c r="G44" s="1091"/>
      <c r="H44" s="1091"/>
      <c r="I44" s="1091"/>
      <c r="J44" s="1091"/>
      <c r="K44" s="1091"/>
      <c r="L44" s="1091"/>
      <c r="M44" s="1091"/>
      <c r="N44" s="1091"/>
      <c r="O44" s="1091"/>
      <c r="P44" s="1091"/>
      <c r="Q44" s="1091"/>
      <c r="R44" s="1091"/>
      <c r="S44" s="1091"/>
      <c r="T44" s="1091"/>
      <c r="U44" s="1091"/>
      <c r="V44" s="1091"/>
      <c r="W44" s="1091"/>
      <c r="X44" s="1091"/>
      <c r="Y44" s="1091"/>
      <c r="Z44" s="1091"/>
      <c r="AA44" s="1091"/>
      <c r="AB44" s="1091"/>
      <c r="AC44" s="1091"/>
      <c r="AD44" s="1091"/>
      <c r="AE44" s="1091"/>
      <c r="AF44" s="1091"/>
      <c r="AG44" s="1091"/>
      <c r="AH44" s="1091"/>
      <c r="AI44" s="1091"/>
      <c r="AJ44" s="1091"/>
      <c r="AK44" s="1091"/>
      <c r="AL44" s="1091"/>
      <c r="AM44" s="1091"/>
      <c r="AN44" s="1091"/>
      <c r="AO44" s="1091"/>
      <c r="AP44" s="1091"/>
      <c r="AQ44" s="1091"/>
      <c r="AR44" s="1091"/>
      <c r="AS44" s="1091"/>
      <c r="AT44" s="1091"/>
      <c r="AU44" s="1091"/>
      <c r="AV44" s="1091"/>
      <c r="AW44" s="818"/>
      <c r="AX44" s="1059"/>
      <c r="BD44" s="1059">
        <f t="shared" si="16"/>
        <v>0</v>
      </c>
      <c r="BE44" s="1059"/>
    </row>
    <row r="45" spans="1:61" ht="15.6">
      <c r="A45" s="142" t="str">
        <f t="shared" ref="A45:A51" si="22">+A12</f>
        <v>Transfers Grasmere</v>
      </c>
      <c r="B45" s="807">
        <f>+'Learig Pig Cost'!B48+'Lionhead Pig Cost'!B45+'Lionhead Ext. Pig Cost'!B45+'Villa Pig Cost'!B49+'Richlands Pig Cost'!B47+'Porta Pig Cost'!B47</f>
        <v>0</v>
      </c>
      <c r="C45" s="807">
        <f>+'Learig Pig Cost'!C48+'Lionhead Pig Cost'!C45+'Lionhead Ext. Pig Cost'!C45+'Villa Pig Cost'!C49+'Richlands Pig Cost'!C47+'Porta Pig Cost'!C47</f>
        <v>0</v>
      </c>
      <c r="D45" s="807">
        <f>+'Learig Pig Cost'!D48+'Lionhead Pig Cost'!D45+'Lionhead Ext. Pig Cost'!D45+'Villa Pig Cost'!D49+'Richlands Pig Cost'!D47+'Porta Pig Cost'!D47</f>
        <v>0</v>
      </c>
      <c r="E45" s="807">
        <f>+'Learig Pig Cost'!E48+'Lionhead Pig Cost'!E45+'Lionhead Ext. Pig Cost'!E45+'Villa Pig Cost'!E49+'Richlands Pig Cost'!E47+'Porta Pig Cost'!E47</f>
        <v>0</v>
      </c>
      <c r="F45" s="807">
        <f>+'Learig Pig Cost'!F48+'Lionhead Pig Cost'!F45+'Lionhead Ext. Pig Cost'!F45+'Villa Pig Cost'!F49+'Richlands Pig Cost'!F47+'Porta Pig Cost'!F47</f>
        <v>0</v>
      </c>
      <c r="G45" s="807">
        <f>+'Learig Pig Cost'!G48+'Lionhead Pig Cost'!G45+'Lionhead Ext. Pig Cost'!G45+'Villa Pig Cost'!G49+'Richlands Pig Cost'!G47+'Porta Pig Cost'!G47</f>
        <v>0</v>
      </c>
      <c r="H45" s="807">
        <f>+'Learig Pig Cost'!H48+'Lionhead Pig Cost'!H45+'Lionhead Ext. Pig Cost'!H45+'Villa Pig Cost'!H49+'Richlands Pig Cost'!H47+'Porta Pig Cost'!H47</f>
        <v>0</v>
      </c>
      <c r="I45" s="807">
        <f>+'Learig Pig Cost'!I48+'Lionhead Pig Cost'!I45+'Lionhead Ext. Pig Cost'!I45+'Villa Pig Cost'!I49+'Richlands Pig Cost'!I47+'Porta Pig Cost'!I47</f>
        <v>0</v>
      </c>
      <c r="J45" s="807">
        <f>+'Learig Pig Cost'!J48+'Lionhead Pig Cost'!J45+'Lionhead Ext. Pig Cost'!J45+'Villa Pig Cost'!J49+'Richlands Pig Cost'!J47+'Porta Pig Cost'!J47</f>
        <v>0</v>
      </c>
      <c r="K45" s="807">
        <f>+'Learig Pig Cost'!K48+'Lionhead Pig Cost'!K45+'Lionhead Ext. Pig Cost'!K45+'Villa Pig Cost'!K49+'Richlands Pig Cost'!K47+'Porta Pig Cost'!K47</f>
        <v>0</v>
      </c>
      <c r="L45" s="807">
        <f>+'Learig Pig Cost'!L48+'Lionhead Pig Cost'!L45+'Lionhead Ext. Pig Cost'!L45+'Villa Pig Cost'!L49+'Richlands Pig Cost'!L47+'Porta Pig Cost'!L47</f>
        <v>0</v>
      </c>
      <c r="M45" s="807">
        <f>+'Learig Pig Cost'!M48+'Lionhead Pig Cost'!M45+'Lionhead Ext. Pig Cost'!M45+'Villa Pig Cost'!M49+'Richlands Pig Cost'!M47+'Porta Pig Cost'!M47+'Multiplier Pig Cost '!M49</f>
        <v>0</v>
      </c>
      <c r="N45" s="807">
        <f>+'Learig Pig Cost'!N48+'Lionhead Pig Cost'!N45+'Lionhead Ext. Pig Cost'!N45+'Villa Pig Cost'!N49+'Richlands Pig Cost'!N47+'Porta Pig Cost'!N47+'Multiplier Pig Cost '!N49</f>
        <v>0</v>
      </c>
      <c r="O45" s="807">
        <f>+'Learig Pig Cost'!O48+'Lionhead Pig Cost'!O45+'Lionhead Ext. Pig Cost'!O45+'Villa Pig Cost'!O49+'Richlands Pig Cost'!O47+'Porta Pig Cost'!O47+'Multiplier Pig Cost '!O49</f>
        <v>0</v>
      </c>
      <c r="P45" s="807">
        <f>+'Learig Pig Cost'!P48+'Lionhead Pig Cost'!P45+'Lionhead Ext. Pig Cost'!P45+'Villa Pig Cost'!P49+'Richlands Pig Cost'!P47+'Porta Pig Cost'!P47+'Multiplier Pig Cost '!P49</f>
        <v>0</v>
      </c>
      <c r="Q45" s="807">
        <f>+'Learig Pig Cost'!Q48+'Lionhead Pig Cost'!Q45+'Lionhead Ext. Pig Cost'!Q45+'Villa Pig Cost'!Q49+'Richlands Pig Cost'!Q47+'Porta Pig Cost'!Q47+'Multiplier Pig Cost '!Q49</f>
        <v>0</v>
      </c>
      <c r="R45" s="807">
        <f>+'Learig Pig Cost'!R48+'Lionhead Pig Cost'!R45+'Lionhead Ext. Pig Cost'!R45+'Villa Pig Cost'!R49+'Richlands Pig Cost'!R47+'Porta Pig Cost'!R47+'Multiplier Pig Cost '!R49</f>
        <v>0</v>
      </c>
      <c r="S45" s="807">
        <f>+'Learig Pig Cost'!S48+'Lionhead Pig Cost'!S45+'Lionhead Ext. Pig Cost'!S45+'Villa Pig Cost'!S49+'Richlands Pig Cost'!S47+'Porta Pig Cost'!S47+'Multiplier Pig Cost '!S49</f>
        <v>0</v>
      </c>
      <c r="T45" s="807">
        <f>+'Learig Pig Cost'!T48+'Lionhead Pig Cost'!T45+'Lionhead Ext. Pig Cost'!T45+'Villa Pig Cost'!T49+'Richlands Pig Cost'!T47+'Porta Pig Cost'!T47+'Multiplier Pig Cost '!T49</f>
        <v>0</v>
      </c>
      <c r="U45" s="807">
        <f>+'Learig Pig Cost'!U48+'Lionhead Pig Cost'!U45+'Lionhead Ext. Pig Cost'!U45+'Villa Pig Cost'!U49+'Richlands Pig Cost'!U47+'Porta Pig Cost'!U47+'Multiplier Pig Cost '!U49</f>
        <v>0</v>
      </c>
      <c r="V45" s="807">
        <f>+'Learig Pig Cost'!V48+'Lionhead Pig Cost'!V45+'Lionhead Ext. Pig Cost'!V45+'Villa Pig Cost'!V49+'Richlands Pig Cost'!V47+'Porta Pig Cost'!V47+'Multiplier Pig Cost '!V49</f>
        <v>0</v>
      </c>
      <c r="W45" s="807">
        <f>+'Learig Pig Cost'!W48+'Lionhead Pig Cost'!W45+'Lionhead Ext. Pig Cost'!W45+'Villa Pig Cost'!W49+'Richlands Pig Cost'!W47+'Porta Pig Cost'!W47+'Multiplier Pig Cost '!W49</f>
        <v>9822.3409312384483</v>
      </c>
      <c r="X45" s="807">
        <f>+'Learig Pig Cost'!X48+'Lionhead Pig Cost'!X45+'Lionhead Ext. Pig Cost'!X45+'Villa Pig Cost'!X49+'Richlands Pig Cost'!X47+'Porta Pig Cost'!X47+'Multiplier Pig Cost '!X49</f>
        <v>15272.84125360088</v>
      </c>
      <c r="Y45" s="807">
        <f>+'Learig Pig Cost'!Y48+'Lionhead Pig Cost'!Y45+'Lionhead Ext. Pig Cost'!Y45+'Villa Pig Cost'!Y49+'Richlands Pig Cost'!Y47+'Porta Pig Cost'!Y47+'Multiplier Pig Cost '!Y49</f>
        <v>16470.382867535121</v>
      </c>
      <c r="Z45" s="807">
        <f>+'Learig Pig Cost'!Z48+'Lionhead Pig Cost'!Z45+'Lionhead Ext. Pig Cost'!Z45+'Villa Pig Cost'!Z49+'Richlands Pig Cost'!Z47+'Porta Pig Cost'!Z47+'Multiplier Pig Cost '!Z49</f>
        <v>12850.748552750299</v>
      </c>
      <c r="AA45" s="807">
        <f>+'Learig Pig Cost'!AA48+'Lionhead Pig Cost'!AA45+'Lionhead Ext. Pig Cost'!AA45+'Villa Pig Cost'!AA49+'Richlands Pig Cost'!AA47+'Porta Pig Cost'!AA47+'Multiplier Pig Cost '!AA49</f>
        <v>0</v>
      </c>
      <c r="AB45" s="807">
        <f>+'Learig Pig Cost'!AB48+'Lionhead Pig Cost'!AB45+'Lionhead Ext. Pig Cost'!AB45+'Villa Pig Cost'!AB49+'Richlands Pig Cost'!AB47+'Porta Pig Cost'!AB47+'Multiplier Pig Cost '!AB49</f>
        <v>0</v>
      </c>
      <c r="AC45" s="807">
        <f>+'Learig Pig Cost'!AC48+'Lionhead Pig Cost'!AC45+'Lionhead Ext. Pig Cost'!AC45+'Villa Pig Cost'!AC49+'Richlands Pig Cost'!AC47+'Porta Pig Cost'!AC47+'Multiplier Pig Cost '!AC49</f>
        <v>0</v>
      </c>
      <c r="AD45" s="807">
        <f>+'Learig Pig Cost'!AD48+'Lionhead Pig Cost'!AD45+'Lionhead Ext. Pig Cost'!AD45+'Villa Pig Cost'!AD49+'Richlands Pig Cost'!AD47+'Porta Pig Cost'!AD47+'Multiplier Pig Cost '!AD49</f>
        <v>0</v>
      </c>
      <c r="AE45" s="807">
        <f>+'Learig Pig Cost'!AE48+'Lionhead Pig Cost'!AE45+'Lionhead Ext. Pig Cost'!AE45+'Villa Pig Cost'!AE49+'Richlands Pig Cost'!AE47+'Porta Pig Cost'!AE47+'Multiplier Pig Cost '!AE49</f>
        <v>0</v>
      </c>
      <c r="AF45" s="807">
        <f>+'Learig Pig Cost'!AF48+'Lionhead Pig Cost'!AF45+'Lionhead Ext. Pig Cost'!AF45+'Villa Pig Cost'!AF49+'Richlands Pig Cost'!AF47+'Porta Pig Cost'!AF47+'Multiplier Pig Cost '!AF49</f>
        <v>0</v>
      </c>
      <c r="AG45" s="807">
        <f>+'Learig Pig Cost'!AG48+'Lionhead Pig Cost'!AG45+'Lionhead Ext. Pig Cost'!AG45+'Villa Pig Cost'!AG49+'Richlands Pig Cost'!AG47+'Porta Pig Cost'!AG47+'Multiplier Pig Cost '!AG49</f>
        <v>0</v>
      </c>
      <c r="AH45" s="807">
        <f>+'Learig Pig Cost'!AH48+'Lionhead Pig Cost'!AH45+'Lionhead Ext. Pig Cost'!AH45+'Villa Pig Cost'!AH49+'Richlands Pig Cost'!AH47+'Porta Pig Cost'!AH47+'Multiplier Pig Cost '!AH49</f>
        <v>0</v>
      </c>
      <c r="AI45" s="807">
        <f>+'Learig Pig Cost'!AI48+'Lionhead Pig Cost'!AI45+'Lionhead Ext. Pig Cost'!AI45+'Villa Pig Cost'!AI49+'Richlands Pig Cost'!AI47+'Porta Pig Cost'!AI47+'Multiplier Pig Cost '!AI49</f>
        <v>0</v>
      </c>
      <c r="AJ45" s="807">
        <f>+'Learig Pig Cost'!AJ48+'Lionhead Pig Cost'!AJ45+'Lionhead Ext. Pig Cost'!AJ45+'Villa Pig Cost'!AJ49+'Richlands Pig Cost'!AJ47+'Porta Pig Cost'!AJ47+'Multiplier Pig Cost '!AJ49</f>
        <v>0</v>
      </c>
      <c r="AK45" s="807">
        <f>+'Learig Pig Cost'!AK48+'Lionhead Pig Cost'!AK45+'Lionhead Ext. Pig Cost'!AK45+'Villa Pig Cost'!AK49+'Richlands Pig Cost'!AK47+'Porta Pig Cost'!AK47+'Multiplier Pig Cost '!AK49</f>
        <v>0</v>
      </c>
      <c r="AL45" s="807">
        <f>+'Learig Pig Cost'!AL48+'Lionhead Pig Cost'!AL45+'Lionhead Ext. Pig Cost'!AL45+'Villa Pig Cost'!AL49+'Richlands Pig Cost'!AL47+'Porta Pig Cost'!AL47+'Multiplier Pig Cost '!AL49</f>
        <v>0</v>
      </c>
      <c r="AM45" s="807">
        <f>+'Learig Pig Cost'!AM48+'Lionhead Pig Cost'!AM45+'Lionhead Ext. Pig Cost'!AM45+'Villa Pig Cost'!AM49+'Richlands Pig Cost'!AM47+'Porta Pig Cost'!AM47+'Multiplier Pig Cost '!AM49</f>
        <v>0</v>
      </c>
      <c r="AN45" s="807">
        <f>+'Learig Pig Cost'!AN48+'Lionhead Pig Cost'!AN45+'Lionhead Ext. Pig Cost'!AN45+'Villa Pig Cost'!AN49+'Richlands Pig Cost'!AN47+'Porta Pig Cost'!AN47+'Multiplier Pig Cost '!AN49</f>
        <v>0</v>
      </c>
      <c r="AO45" s="807">
        <f>+'Learig Pig Cost'!AO48+'Lionhead Pig Cost'!AO45+'Lionhead Ext. Pig Cost'!AO45+'Villa Pig Cost'!AO49+'Richlands Pig Cost'!AO47+'Porta Pig Cost'!AO47+'Multiplier Pig Cost '!AO49</f>
        <v>0</v>
      </c>
      <c r="AP45" s="807">
        <f>+'Learig Pig Cost'!AP48+'Lionhead Pig Cost'!AP45+'Lionhead Ext. Pig Cost'!AP45+'Villa Pig Cost'!AP49+'Richlands Pig Cost'!AP47+'Porta Pig Cost'!AP47+'Multiplier Pig Cost '!AP49</f>
        <v>0</v>
      </c>
      <c r="AQ45" s="807">
        <f>+'Learig Pig Cost'!AQ48+'Lionhead Pig Cost'!AQ45+'Lionhead Ext. Pig Cost'!AQ45+'Villa Pig Cost'!AQ49+'Richlands Pig Cost'!AQ47+'Porta Pig Cost'!AQ47+'Multiplier Pig Cost '!AQ49</f>
        <v>0</v>
      </c>
      <c r="AR45" s="807">
        <f>+'Learig Pig Cost'!AR48+'Lionhead Pig Cost'!AR45+'Lionhead Ext. Pig Cost'!AR45+'Villa Pig Cost'!AR49+'Richlands Pig Cost'!AR47+'Porta Pig Cost'!AR47+'Multiplier Pig Cost '!AR49</f>
        <v>0</v>
      </c>
      <c r="AS45" s="807">
        <f>+'Learig Pig Cost'!AS48+'Lionhead Pig Cost'!AS45+'Lionhead Ext. Pig Cost'!AS45+'Villa Pig Cost'!AS49+'Richlands Pig Cost'!AS47+'Porta Pig Cost'!AS47+'Multiplier Pig Cost '!AS49</f>
        <v>0</v>
      </c>
      <c r="AT45" s="807">
        <f>+'Learig Pig Cost'!AT48+'Lionhead Pig Cost'!AT45+'Lionhead Ext. Pig Cost'!AT45+'Villa Pig Cost'!AT49+'Richlands Pig Cost'!AT47+'Porta Pig Cost'!AT47+'Multiplier Pig Cost '!AT49</f>
        <v>0</v>
      </c>
      <c r="AU45" s="1631">
        <f>SUM(B45:AT45)</f>
        <v>54416.313605124757</v>
      </c>
      <c r="AV45" s="1631">
        <f>+'Learig Pig Cost'!AU48+'Lionhead Pig Cost'!AU45+'Lionhead Ext. Pig Cost'!AU45+'Villa Pig Cost'!AU49+'Richlands Pig Cost'!AU47+'Porta Pig Cost'!AU47+'Multiplier Pig Cost '!AU49</f>
        <v>54416.313605124757</v>
      </c>
      <c r="AW45" s="818">
        <f t="shared" ref="AW45:AW61" si="23">+AU45-AV45</f>
        <v>0</v>
      </c>
      <c r="AX45" s="1059"/>
      <c r="BD45" s="1059">
        <f t="shared" si="16"/>
        <v>54416.313605124757</v>
      </c>
      <c r="BE45" s="1059"/>
    </row>
    <row r="46" spans="1:61" ht="15.6">
      <c r="A46" s="142" t="str">
        <f t="shared" si="22"/>
        <v>Transfer Lionshead</v>
      </c>
      <c r="B46" s="807">
        <f>+'Grasmere Pig Cost'!B45+'Learig Pig Cost'!B45+'Lionhead Ext. Pig Cost'!B46+'Villa Pig Cost'!B45+'Richlands Pig Cost'!B45+'Porta Pig Cost'!B45</f>
        <v>0</v>
      </c>
      <c r="C46" s="807">
        <f>+'Grasmere Pig Cost'!C45+'Learig Pig Cost'!C45+'Lionhead Ext. Pig Cost'!C46+'Villa Pig Cost'!C45+'Richlands Pig Cost'!C45+'Porta Pig Cost'!C45</f>
        <v>0</v>
      </c>
      <c r="D46" s="807">
        <f>+'Grasmere Pig Cost'!D45+'Learig Pig Cost'!D45+'Lionhead Ext. Pig Cost'!D46+'Villa Pig Cost'!D45+'Richlands Pig Cost'!D45+'Porta Pig Cost'!D45</f>
        <v>0</v>
      </c>
      <c r="E46" s="807">
        <f>+'Grasmere Pig Cost'!E45+'Learig Pig Cost'!E45+'Lionhead Ext. Pig Cost'!E46+'Villa Pig Cost'!E45+'Richlands Pig Cost'!E45+'Porta Pig Cost'!E45</f>
        <v>0</v>
      </c>
      <c r="F46" s="807">
        <f>+'Grasmere Pig Cost'!F45+'Learig Pig Cost'!F45+'Lionhead Ext. Pig Cost'!F46+'Villa Pig Cost'!F45+'Richlands Pig Cost'!F45+'Porta Pig Cost'!F45</f>
        <v>0</v>
      </c>
      <c r="G46" s="807">
        <f>+'Grasmere Pig Cost'!G45+'Learig Pig Cost'!G45+'Lionhead Ext. Pig Cost'!G46+'Villa Pig Cost'!G45+'Richlands Pig Cost'!G45+'Porta Pig Cost'!G45</f>
        <v>0</v>
      </c>
      <c r="H46" s="807">
        <f>+'Grasmere Pig Cost'!H45+'Learig Pig Cost'!H45+'Lionhead Ext. Pig Cost'!H46+'Villa Pig Cost'!H45+'Richlands Pig Cost'!H45+'Porta Pig Cost'!H45</f>
        <v>0</v>
      </c>
      <c r="I46" s="807">
        <f>+'Grasmere Pig Cost'!I45+'Learig Pig Cost'!I45+'Lionhead Ext. Pig Cost'!I46+'Villa Pig Cost'!I45+'Richlands Pig Cost'!I45+'Porta Pig Cost'!I45</f>
        <v>0</v>
      </c>
      <c r="J46" s="807">
        <f>+'Grasmere Pig Cost'!J45+'Learig Pig Cost'!J45+'Lionhead Ext. Pig Cost'!J46+'Villa Pig Cost'!J45+'Richlands Pig Cost'!J45+'Porta Pig Cost'!J45</f>
        <v>0</v>
      </c>
      <c r="K46" s="807">
        <f>+'Grasmere Pig Cost'!K45+'Learig Pig Cost'!K45+'Lionhead Ext. Pig Cost'!K46+'Villa Pig Cost'!K45+'Richlands Pig Cost'!K45+'Porta Pig Cost'!K45</f>
        <v>0</v>
      </c>
      <c r="L46" s="807">
        <f>+'Grasmere Pig Cost'!L45+'Learig Pig Cost'!L45+'Lionhead Ext. Pig Cost'!L46+'Villa Pig Cost'!L45+'Richlands Pig Cost'!L45+'Porta Pig Cost'!L45</f>
        <v>0</v>
      </c>
      <c r="M46" s="807">
        <f>+'Grasmere Pig Cost'!M45+'Learig Pig Cost'!M45+'Lionhead Ext. Pig Cost'!M46+'Villa Pig Cost'!M45+'Richlands Pig Cost'!M45+'Porta Pig Cost'!M45+'Multiplier Pig Cost '!M45</f>
        <v>0</v>
      </c>
      <c r="N46" s="807">
        <f>+'Grasmere Pig Cost'!N45+'Learig Pig Cost'!N45+'Lionhead Ext. Pig Cost'!N46+'Villa Pig Cost'!N45+'Richlands Pig Cost'!N45+'Porta Pig Cost'!N45+'Multiplier Pig Cost '!N45</f>
        <v>0</v>
      </c>
      <c r="O46" s="807">
        <f>+'Grasmere Pig Cost'!O45+'Learig Pig Cost'!O45+'Lionhead Ext. Pig Cost'!O46+'Villa Pig Cost'!O45+'Richlands Pig Cost'!O45+'Porta Pig Cost'!O45+'Multiplier Pig Cost '!O45</f>
        <v>0</v>
      </c>
      <c r="P46" s="807">
        <f>+'Grasmere Pig Cost'!P45+'Learig Pig Cost'!P45+'Lionhead Ext. Pig Cost'!P46+'Villa Pig Cost'!P45+'Richlands Pig Cost'!P45+'Porta Pig Cost'!P45+'Multiplier Pig Cost '!P45</f>
        <v>0</v>
      </c>
      <c r="Q46" s="807">
        <f>+'Grasmere Pig Cost'!Q45+'Learig Pig Cost'!Q45+'Lionhead Ext. Pig Cost'!Q46+'Villa Pig Cost'!Q45+'Richlands Pig Cost'!Q45+'Porta Pig Cost'!Q45+'Multiplier Pig Cost '!Q45</f>
        <v>0</v>
      </c>
      <c r="R46" s="807">
        <f>+'Grasmere Pig Cost'!R45+'Learig Pig Cost'!R45+'Lionhead Ext. Pig Cost'!R46+'Villa Pig Cost'!R45+'Richlands Pig Cost'!R45+'Porta Pig Cost'!R45+'Multiplier Pig Cost '!R45</f>
        <v>0</v>
      </c>
      <c r="S46" s="807">
        <f>+'Grasmere Pig Cost'!S45+'Learig Pig Cost'!S45+'Lionhead Ext. Pig Cost'!S46+'Villa Pig Cost'!S45+'Richlands Pig Cost'!S45+'Porta Pig Cost'!S45+'Multiplier Pig Cost '!S45</f>
        <v>0</v>
      </c>
      <c r="T46" s="807">
        <f>+'Grasmere Pig Cost'!T45+'Learig Pig Cost'!T45+'Lionhead Ext. Pig Cost'!T46+'Villa Pig Cost'!T45+'Richlands Pig Cost'!T45+'Porta Pig Cost'!T45+'Multiplier Pig Cost '!T45</f>
        <v>0</v>
      </c>
      <c r="U46" s="807">
        <f>+'Grasmere Pig Cost'!U45+'Learig Pig Cost'!U45+'Lionhead Ext. Pig Cost'!U46+'Villa Pig Cost'!U45+'Richlands Pig Cost'!U45+'Porta Pig Cost'!U45+'Multiplier Pig Cost '!U45</f>
        <v>0</v>
      </c>
      <c r="V46" s="807">
        <f>+'Grasmere Pig Cost'!V45+'Learig Pig Cost'!V45+'Lionhead Ext. Pig Cost'!V46+'Villa Pig Cost'!V45+'Richlands Pig Cost'!V45+'Porta Pig Cost'!V45+'Multiplier Pig Cost '!V45</f>
        <v>0</v>
      </c>
      <c r="W46" s="807">
        <f>+'Grasmere Pig Cost'!W45+'Learig Pig Cost'!W45+'Lionhead Ext. Pig Cost'!W46+'Villa Pig Cost'!W45+'Richlands Pig Cost'!W45+'Porta Pig Cost'!W45+'Multiplier Pig Cost '!W45</f>
        <v>665.53168842400032</v>
      </c>
      <c r="X46" s="807">
        <f>+'Grasmere Pig Cost'!X45+'Learig Pig Cost'!X45+'Lionhead Ext. Pig Cost'!X46+'Villa Pig Cost'!X45+'Richlands Pig Cost'!X45+'Porta Pig Cost'!X45+'Multiplier Pig Cost '!X45</f>
        <v>1462.9103818125568</v>
      </c>
      <c r="Y46" s="807">
        <f>+'Grasmere Pig Cost'!Y45+'Learig Pig Cost'!Y45+'Lionhead Ext. Pig Cost'!Y46+'Villa Pig Cost'!Y45+'Richlands Pig Cost'!Y45+'Porta Pig Cost'!Y45+'Multiplier Pig Cost '!Y45</f>
        <v>1275.9536640415415</v>
      </c>
      <c r="Z46" s="807">
        <f>+'Grasmere Pig Cost'!Z45+'Learig Pig Cost'!Z45+'Lionhead Ext. Pig Cost'!Z46+'Villa Pig Cost'!Z45+'Richlands Pig Cost'!Z45+'Porta Pig Cost'!Z45+'Multiplier Pig Cost '!Z45</f>
        <v>0</v>
      </c>
      <c r="AA46" s="807">
        <f>+'Grasmere Pig Cost'!AA45+'Learig Pig Cost'!AA45+'Lionhead Ext. Pig Cost'!AA46+'Villa Pig Cost'!AA45+'Richlands Pig Cost'!AA45+'Porta Pig Cost'!AA45+'Multiplier Pig Cost '!AA45</f>
        <v>0</v>
      </c>
      <c r="AB46" s="807">
        <f>+'Grasmere Pig Cost'!AB45+'Learig Pig Cost'!AB45+'Lionhead Ext. Pig Cost'!AB46+'Villa Pig Cost'!AB45+'Richlands Pig Cost'!AB45+'Porta Pig Cost'!AB45+'Multiplier Pig Cost '!AB45</f>
        <v>0</v>
      </c>
      <c r="AC46" s="807">
        <f>+'Grasmere Pig Cost'!AC45+'Learig Pig Cost'!AC45+'Lionhead Ext. Pig Cost'!AC46+'Villa Pig Cost'!AC45+'Richlands Pig Cost'!AC45+'Porta Pig Cost'!AC45+'Multiplier Pig Cost '!AC45</f>
        <v>488.6204584261132</v>
      </c>
      <c r="AD46" s="807">
        <f>+'Grasmere Pig Cost'!AD45+'Learig Pig Cost'!AD45+'Lionhead Ext. Pig Cost'!AD46+'Villa Pig Cost'!AD45+'Richlands Pig Cost'!AD45+'Porta Pig Cost'!AD45+'Multiplier Pig Cost '!AD45</f>
        <v>0</v>
      </c>
      <c r="AE46" s="807">
        <f>+'Grasmere Pig Cost'!AE45+'Learig Pig Cost'!AE45+'Lionhead Ext. Pig Cost'!AE46+'Villa Pig Cost'!AE45+'Richlands Pig Cost'!AE45+'Porta Pig Cost'!AE45+'Multiplier Pig Cost '!AE45</f>
        <v>2783.553596082274</v>
      </c>
      <c r="AF46" s="807">
        <f>+'Grasmere Pig Cost'!AF45+'Learig Pig Cost'!AF45+'Lionhead Ext. Pig Cost'!AF46+'Villa Pig Cost'!AF45+'Richlands Pig Cost'!AF45+'Porta Pig Cost'!AF45+'Multiplier Pig Cost '!AF45</f>
        <v>0</v>
      </c>
      <c r="AG46" s="807">
        <f>+'Grasmere Pig Cost'!AG45+'Learig Pig Cost'!AG45+'Lionhead Ext. Pig Cost'!AG46+'Villa Pig Cost'!AG45+'Richlands Pig Cost'!AG45+'Porta Pig Cost'!AG45+'Multiplier Pig Cost '!AG45</f>
        <v>0</v>
      </c>
      <c r="AH46" s="807">
        <f>+'Grasmere Pig Cost'!AH45+'Learig Pig Cost'!AH45+'Lionhead Ext. Pig Cost'!AH46+'Villa Pig Cost'!AH45+'Richlands Pig Cost'!AH45+'Porta Pig Cost'!AH45+'Multiplier Pig Cost '!AH45</f>
        <v>0</v>
      </c>
      <c r="AI46" s="807">
        <f>+'Grasmere Pig Cost'!AI45+'Learig Pig Cost'!AI45+'Lionhead Ext. Pig Cost'!AI46+'Villa Pig Cost'!AI45+'Richlands Pig Cost'!AI45+'Porta Pig Cost'!AI45+'Multiplier Pig Cost '!AI45</f>
        <v>0</v>
      </c>
      <c r="AJ46" s="807">
        <f>+'Grasmere Pig Cost'!AJ45+'Learig Pig Cost'!AJ45+'Lionhead Ext. Pig Cost'!AJ46+'Villa Pig Cost'!AJ45+'Richlands Pig Cost'!AJ45+'Porta Pig Cost'!AJ45+'Multiplier Pig Cost '!AJ45</f>
        <v>0</v>
      </c>
      <c r="AK46" s="807">
        <f>+'Grasmere Pig Cost'!AK45+'Learig Pig Cost'!AK45+'Lionhead Ext. Pig Cost'!AK46+'Villa Pig Cost'!AK45+'Richlands Pig Cost'!AK45+'Porta Pig Cost'!AK45+'Multiplier Pig Cost '!AK45</f>
        <v>0</v>
      </c>
      <c r="AL46" s="807">
        <f>+'Grasmere Pig Cost'!AL45+'Learig Pig Cost'!AL45+'Lionhead Ext. Pig Cost'!AL46+'Villa Pig Cost'!AL45+'Richlands Pig Cost'!AL45+'Porta Pig Cost'!AL45+'Multiplier Pig Cost '!AL45</f>
        <v>0</v>
      </c>
      <c r="AM46" s="807">
        <f>+'Grasmere Pig Cost'!AM45+'Learig Pig Cost'!AM45+'Lionhead Ext. Pig Cost'!AM46+'Villa Pig Cost'!AM45+'Richlands Pig Cost'!AM45+'Porta Pig Cost'!AM45+'Multiplier Pig Cost '!AM45</f>
        <v>0</v>
      </c>
      <c r="AN46" s="807">
        <f>+'Grasmere Pig Cost'!AN45+'Learig Pig Cost'!AN45+'Lionhead Ext. Pig Cost'!AN46+'Villa Pig Cost'!AN45+'Richlands Pig Cost'!AN45+'Porta Pig Cost'!AN45+'Multiplier Pig Cost '!AN45</f>
        <v>0</v>
      </c>
      <c r="AO46" s="807">
        <f>+'Grasmere Pig Cost'!AO45+'Learig Pig Cost'!AO45+'Lionhead Ext. Pig Cost'!AO46+'Villa Pig Cost'!AO45+'Richlands Pig Cost'!AO45+'Porta Pig Cost'!AO45+'Multiplier Pig Cost '!AO45</f>
        <v>0</v>
      </c>
      <c r="AP46" s="807">
        <f>+'Grasmere Pig Cost'!AP45+'Learig Pig Cost'!AP45+'Lionhead Ext. Pig Cost'!AP46+'Villa Pig Cost'!AP45+'Richlands Pig Cost'!AP45+'Porta Pig Cost'!AP45+'Multiplier Pig Cost '!AP45</f>
        <v>0</v>
      </c>
      <c r="AQ46" s="807">
        <f>+'Grasmere Pig Cost'!AQ45+'Learig Pig Cost'!AQ45+'Lionhead Ext. Pig Cost'!AQ46+'Villa Pig Cost'!AQ45+'Richlands Pig Cost'!AQ45+'Porta Pig Cost'!AQ45+'Multiplier Pig Cost '!AQ45</f>
        <v>0</v>
      </c>
      <c r="AR46" s="807">
        <f>+'Grasmere Pig Cost'!AR45+'Learig Pig Cost'!AR45+'Lionhead Ext. Pig Cost'!AR46+'Villa Pig Cost'!AR45+'Richlands Pig Cost'!AR45+'Porta Pig Cost'!AR45+'Multiplier Pig Cost '!AR45</f>
        <v>0</v>
      </c>
      <c r="AS46" s="807">
        <f>+'Grasmere Pig Cost'!AS45+'Learig Pig Cost'!AS45+'Lionhead Ext. Pig Cost'!AS46+'Villa Pig Cost'!AS45+'Richlands Pig Cost'!AS45+'Porta Pig Cost'!AS45+'Multiplier Pig Cost '!AS45</f>
        <v>0</v>
      </c>
      <c r="AT46" s="807">
        <f>+'Grasmere Pig Cost'!AT45+'Learig Pig Cost'!AT45+'Lionhead Ext. Pig Cost'!AT46+'Villa Pig Cost'!AT45+'Richlands Pig Cost'!AT45+'Porta Pig Cost'!AT45+'Multiplier Pig Cost '!AT45</f>
        <v>0</v>
      </c>
      <c r="AU46" s="1631">
        <f t="shared" ref="AU46:AU52" si="24">SUM(B46:AT46)</f>
        <v>6676.5697887864862</v>
      </c>
      <c r="AV46" s="1631">
        <f>+'Grasmere Pig Cost'!AU45+'Learig Pig Cost'!AU45+'Lionhead Ext. Pig Cost'!AU46+'Villa Pig Cost'!AU45+'Richlands Pig Cost'!AU45+'Porta Pig Cost'!AU45+'Multiplier Pig Cost '!AU45</f>
        <v>6676.5697887864862</v>
      </c>
      <c r="AW46" s="818">
        <f t="shared" si="23"/>
        <v>0</v>
      </c>
      <c r="AX46" s="1059"/>
      <c r="BA46" s="1059"/>
      <c r="BD46" s="1059">
        <f t="shared" si="16"/>
        <v>6676.5697887864862</v>
      </c>
      <c r="BE46" s="1059"/>
    </row>
    <row r="47" spans="1:61" ht="15.6">
      <c r="A47" s="142" t="str">
        <f t="shared" si="22"/>
        <v>Transfers Lionshead Ext.</v>
      </c>
      <c r="B47" s="818">
        <f>+'Grasmere Pig Cost'!B46+'Learig Pig Cost'!B46+'Lionhead Pig Cost'!B46+'Villa Pig Cost'!B46+'Richlands Pig Cost'!B46+'Porta Pig Cost'!B46</f>
        <v>0</v>
      </c>
      <c r="C47" s="818">
        <f>+'Grasmere Pig Cost'!C46+'Learig Pig Cost'!C46+'Lionhead Pig Cost'!C46+'Villa Pig Cost'!C46+'Richlands Pig Cost'!C46+'Porta Pig Cost'!C46</f>
        <v>0</v>
      </c>
      <c r="D47" s="818">
        <f>+'Grasmere Pig Cost'!D46+'Learig Pig Cost'!D46+'Lionhead Pig Cost'!D46+'Villa Pig Cost'!D46+'Richlands Pig Cost'!D46+'Porta Pig Cost'!D46</f>
        <v>0</v>
      </c>
      <c r="E47" s="818">
        <f>+'Grasmere Pig Cost'!E46+'Learig Pig Cost'!E46+'Lionhead Pig Cost'!E46+'Villa Pig Cost'!E46+'Richlands Pig Cost'!E46+'Porta Pig Cost'!E46</f>
        <v>0</v>
      </c>
      <c r="F47" s="818">
        <f>+'Grasmere Pig Cost'!F46+'Learig Pig Cost'!F46+'Lionhead Pig Cost'!F46+'Villa Pig Cost'!F46+'Richlands Pig Cost'!F46+'Porta Pig Cost'!F46</f>
        <v>0</v>
      </c>
      <c r="G47" s="818">
        <f>+'Grasmere Pig Cost'!G46+'Learig Pig Cost'!G46+'Lionhead Pig Cost'!G46+'Villa Pig Cost'!G46+'Richlands Pig Cost'!G46+'Porta Pig Cost'!G46</f>
        <v>0</v>
      </c>
      <c r="H47" s="818">
        <f>+'Grasmere Pig Cost'!H46+'Learig Pig Cost'!H46+'Lionhead Pig Cost'!H46+'Villa Pig Cost'!H46+'Richlands Pig Cost'!H46+'Porta Pig Cost'!H46</f>
        <v>0</v>
      </c>
      <c r="I47" s="818">
        <f>+'Grasmere Pig Cost'!I46+'Learig Pig Cost'!I46+'Lionhead Pig Cost'!I46+'Villa Pig Cost'!I46+'Richlands Pig Cost'!I46+'Porta Pig Cost'!I46</f>
        <v>0</v>
      </c>
      <c r="J47" s="818">
        <f>+'Grasmere Pig Cost'!J46+'Learig Pig Cost'!J46+'Lionhead Pig Cost'!J46+'Villa Pig Cost'!J46+'Richlands Pig Cost'!J46+'Porta Pig Cost'!J46</f>
        <v>0</v>
      </c>
      <c r="K47" s="818">
        <f>+'Grasmere Pig Cost'!K46+'Learig Pig Cost'!K46+'Lionhead Pig Cost'!K46+'Villa Pig Cost'!K46+'Richlands Pig Cost'!K46+'Porta Pig Cost'!K46</f>
        <v>0</v>
      </c>
      <c r="L47" s="818">
        <f>+'Grasmere Pig Cost'!L46+'Learig Pig Cost'!L46+'Lionhead Pig Cost'!L46+'Villa Pig Cost'!L46+'Richlands Pig Cost'!L46+'Porta Pig Cost'!L46</f>
        <v>0</v>
      </c>
      <c r="M47" s="818">
        <f>+'Grasmere Pig Cost'!M46+'Learig Pig Cost'!M46+'Lionhead Pig Cost'!M46+'Villa Pig Cost'!M46+'Richlands Pig Cost'!M46+'Porta Pig Cost'!M46+'Multiplier Pig Cost '!M46</f>
        <v>0</v>
      </c>
      <c r="N47" s="818">
        <f>+'Grasmere Pig Cost'!N46+'Learig Pig Cost'!N46+'Lionhead Pig Cost'!N46+'Villa Pig Cost'!N46+'Richlands Pig Cost'!N46+'Porta Pig Cost'!N46+'Multiplier Pig Cost '!N46</f>
        <v>0</v>
      </c>
      <c r="O47" s="818">
        <f>+'Grasmere Pig Cost'!O46+'Learig Pig Cost'!O46+'Lionhead Pig Cost'!O46+'Villa Pig Cost'!O46+'Richlands Pig Cost'!O46+'Porta Pig Cost'!O46+'Multiplier Pig Cost '!O46</f>
        <v>0</v>
      </c>
      <c r="P47" s="818">
        <f>+'Grasmere Pig Cost'!P46+'Learig Pig Cost'!P46+'Lionhead Pig Cost'!P46+'Villa Pig Cost'!P46+'Richlands Pig Cost'!P46+'Porta Pig Cost'!P46+'Multiplier Pig Cost '!P46</f>
        <v>0</v>
      </c>
      <c r="Q47" s="818">
        <f>+'Grasmere Pig Cost'!Q46+'Learig Pig Cost'!Q46+'Lionhead Pig Cost'!Q46+'Villa Pig Cost'!Q46+'Richlands Pig Cost'!Q46+'Porta Pig Cost'!Q46+'Multiplier Pig Cost '!Q46</f>
        <v>0</v>
      </c>
      <c r="R47" s="818">
        <f>+'Grasmere Pig Cost'!R46+'Learig Pig Cost'!R46+'Lionhead Pig Cost'!R46+'Villa Pig Cost'!R46+'Richlands Pig Cost'!R46+'Porta Pig Cost'!R46+'Multiplier Pig Cost '!R46</f>
        <v>0</v>
      </c>
      <c r="S47" s="818">
        <f>+'Grasmere Pig Cost'!S46+'Learig Pig Cost'!S46+'Lionhead Pig Cost'!S46+'Villa Pig Cost'!S46+'Richlands Pig Cost'!S46+'Porta Pig Cost'!S46+'Multiplier Pig Cost '!S46</f>
        <v>0</v>
      </c>
      <c r="T47" s="818">
        <f>+'Grasmere Pig Cost'!T46+'Learig Pig Cost'!T46+'Lionhead Pig Cost'!T46+'Villa Pig Cost'!T46+'Richlands Pig Cost'!T46+'Porta Pig Cost'!T46+'Multiplier Pig Cost '!T46</f>
        <v>0</v>
      </c>
      <c r="U47" s="818">
        <f>+'Grasmere Pig Cost'!U46+'Learig Pig Cost'!U46+'Lionhead Pig Cost'!U46+'Villa Pig Cost'!U46+'Richlands Pig Cost'!U46+'Porta Pig Cost'!U46+'Multiplier Pig Cost '!U46</f>
        <v>0</v>
      </c>
      <c r="V47" s="818">
        <f>+'Grasmere Pig Cost'!V46+'Learig Pig Cost'!V46+'Lionhead Pig Cost'!V46+'Villa Pig Cost'!V46+'Richlands Pig Cost'!V46+'Porta Pig Cost'!V46+'Multiplier Pig Cost '!V46</f>
        <v>0</v>
      </c>
      <c r="W47" s="818">
        <f>+'Grasmere Pig Cost'!W46+'Learig Pig Cost'!W46+'Lionhead Pig Cost'!W46+'Villa Pig Cost'!W46+'Richlands Pig Cost'!W46+'Porta Pig Cost'!W46+'Multiplier Pig Cost '!W46</f>
        <v>-3238.7101371319159</v>
      </c>
      <c r="X47" s="818">
        <f>+'Grasmere Pig Cost'!X46+'Learig Pig Cost'!X46+'Lionhead Pig Cost'!X46+'Villa Pig Cost'!X46+'Richlands Pig Cost'!X46+'Porta Pig Cost'!X46+'Multiplier Pig Cost '!X46</f>
        <v>-4163.6850200540557</v>
      </c>
      <c r="Y47" s="818">
        <f>+'Grasmere Pig Cost'!Y46+'Learig Pig Cost'!Y46+'Lionhead Pig Cost'!Y46+'Villa Pig Cost'!Y46+'Richlands Pig Cost'!Y46+'Porta Pig Cost'!Y46+'Multiplier Pig Cost '!Y46</f>
        <v>-7023.1315010622193</v>
      </c>
      <c r="Z47" s="818">
        <f>+'Grasmere Pig Cost'!Z46+'Learig Pig Cost'!Z46+'Lionhead Pig Cost'!Z46+'Villa Pig Cost'!Z46+'Richlands Pig Cost'!Z46+'Porta Pig Cost'!Z46+'Multiplier Pig Cost '!Z46</f>
        <v>-3510.1487560871997</v>
      </c>
      <c r="AA47" s="818">
        <f>+'Grasmere Pig Cost'!AA46+'Learig Pig Cost'!AA46+'Lionhead Pig Cost'!AA46+'Villa Pig Cost'!AA46+'Richlands Pig Cost'!AA46+'Porta Pig Cost'!AA46+'Multiplier Pig Cost '!AA46</f>
        <v>0</v>
      </c>
      <c r="AB47" s="818">
        <f>+'Grasmere Pig Cost'!AB46+'Learig Pig Cost'!AB46+'Lionhead Pig Cost'!AB46+'Villa Pig Cost'!AB46+'Richlands Pig Cost'!AB46+'Porta Pig Cost'!AB46+'Multiplier Pig Cost '!AB46</f>
        <v>-2118.9791652287931</v>
      </c>
      <c r="AC47" s="818">
        <f>+'Grasmere Pig Cost'!AC46+'Learig Pig Cost'!AC46+'Lionhead Pig Cost'!AC46+'Villa Pig Cost'!AC46+'Richlands Pig Cost'!AC46+'Porta Pig Cost'!AC46+'Multiplier Pig Cost '!AC46</f>
        <v>-8262.7458341280253</v>
      </c>
      <c r="AD47" s="818">
        <f>+'Grasmere Pig Cost'!AD46+'Learig Pig Cost'!AD46+'Lionhead Pig Cost'!AD46+'Villa Pig Cost'!AD46+'Richlands Pig Cost'!AD46+'Porta Pig Cost'!AD46+'Multiplier Pig Cost '!AD46</f>
        <v>-7998.866518299742</v>
      </c>
      <c r="AE47" s="818">
        <f>+'Grasmere Pig Cost'!AE46+'Learig Pig Cost'!AE46+'Lionhead Pig Cost'!AE46+'Villa Pig Cost'!AE46+'Richlands Pig Cost'!AE46+'Porta Pig Cost'!AE46+'Multiplier Pig Cost '!AE46</f>
        <v>-19862.221113538668</v>
      </c>
      <c r="AF47" s="818">
        <f>+'Grasmere Pig Cost'!AF46+'Learig Pig Cost'!AF46+'Lionhead Pig Cost'!AF46+'Villa Pig Cost'!AF46+'Richlands Pig Cost'!AF46+'Porta Pig Cost'!AF46+'Multiplier Pig Cost '!AF46</f>
        <v>0</v>
      </c>
      <c r="AG47" s="818">
        <f>+'Grasmere Pig Cost'!AG46+'Learig Pig Cost'!AG46+'Lionhead Pig Cost'!AG46+'Villa Pig Cost'!AG46+'Richlands Pig Cost'!AG46+'Porta Pig Cost'!AG46+'Multiplier Pig Cost '!AG46</f>
        <v>0</v>
      </c>
      <c r="AH47" s="818">
        <f>+'Grasmere Pig Cost'!AH46+'Learig Pig Cost'!AH46+'Lionhead Pig Cost'!AH46+'Villa Pig Cost'!AH46+'Richlands Pig Cost'!AH46+'Porta Pig Cost'!AH46+'Multiplier Pig Cost '!AH46</f>
        <v>0</v>
      </c>
      <c r="AI47" s="818">
        <f>+'Grasmere Pig Cost'!AI46+'Learig Pig Cost'!AI46+'Lionhead Pig Cost'!AI46+'Villa Pig Cost'!AI46+'Richlands Pig Cost'!AI46+'Porta Pig Cost'!AI46+'Multiplier Pig Cost '!AI46</f>
        <v>0</v>
      </c>
      <c r="AJ47" s="818">
        <f>+'Grasmere Pig Cost'!AJ46+'Learig Pig Cost'!AJ46+'Lionhead Pig Cost'!AJ46+'Villa Pig Cost'!AJ46+'Richlands Pig Cost'!AJ46+'Porta Pig Cost'!AJ46+'Multiplier Pig Cost '!AJ46</f>
        <v>0</v>
      </c>
      <c r="AK47" s="818">
        <f>+'Grasmere Pig Cost'!AK46+'Learig Pig Cost'!AK46+'Lionhead Pig Cost'!AK46+'Villa Pig Cost'!AK46+'Richlands Pig Cost'!AK46+'Porta Pig Cost'!AK46+'Multiplier Pig Cost '!AK46</f>
        <v>0</v>
      </c>
      <c r="AL47" s="818">
        <f>+'Grasmere Pig Cost'!AL46+'Learig Pig Cost'!AL46+'Lionhead Pig Cost'!AL46+'Villa Pig Cost'!AL46+'Richlands Pig Cost'!AL46+'Porta Pig Cost'!AL46+'Multiplier Pig Cost '!AL46</f>
        <v>0</v>
      </c>
      <c r="AM47" s="818">
        <f>+'Grasmere Pig Cost'!AM46+'Learig Pig Cost'!AM46+'Lionhead Pig Cost'!AM46+'Villa Pig Cost'!AM46+'Richlands Pig Cost'!AM46+'Porta Pig Cost'!AM46+'Multiplier Pig Cost '!AM46</f>
        <v>0</v>
      </c>
      <c r="AN47" s="818">
        <f>+'Grasmere Pig Cost'!AN46+'Learig Pig Cost'!AN46+'Lionhead Pig Cost'!AN46+'Villa Pig Cost'!AN46+'Richlands Pig Cost'!AN46+'Porta Pig Cost'!AN46+'Multiplier Pig Cost '!AN46</f>
        <v>0</v>
      </c>
      <c r="AO47" s="818">
        <f>+'Grasmere Pig Cost'!AO46+'Learig Pig Cost'!AO46+'Lionhead Pig Cost'!AO46+'Villa Pig Cost'!AO46+'Richlands Pig Cost'!AO46+'Porta Pig Cost'!AO46+'Multiplier Pig Cost '!AO46</f>
        <v>0</v>
      </c>
      <c r="AP47" s="818">
        <f>+'Grasmere Pig Cost'!AP46+'Learig Pig Cost'!AP46+'Lionhead Pig Cost'!AP46+'Villa Pig Cost'!AP46+'Richlands Pig Cost'!AP46+'Porta Pig Cost'!AP46+'Multiplier Pig Cost '!AP46</f>
        <v>0</v>
      </c>
      <c r="AQ47" s="818">
        <f>+'Grasmere Pig Cost'!AQ46+'Learig Pig Cost'!AQ46+'Lionhead Pig Cost'!AQ46+'Villa Pig Cost'!AQ46+'Richlands Pig Cost'!AQ46+'Porta Pig Cost'!AQ46+'Multiplier Pig Cost '!AQ46</f>
        <v>0</v>
      </c>
      <c r="AR47" s="818">
        <f>+'Grasmere Pig Cost'!AR46+'Learig Pig Cost'!AR46+'Lionhead Pig Cost'!AR46+'Villa Pig Cost'!AR46+'Richlands Pig Cost'!AR46+'Porta Pig Cost'!AR46+'Multiplier Pig Cost '!AR46</f>
        <v>0</v>
      </c>
      <c r="AS47" s="818">
        <f>+'Grasmere Pig Cost'!AS46+'Learig Pig Cost'!AS46+'Lionhead Pig Cost'!AS46+'Villa Pig Cost'!AS46+'Richlands Pig Cost'!AS46+'Porta Pig Cost'!AS46+'Multiplier Pig Cost '!AS46</f>
        <v>0</v>
      </c>
      <c r="AT47" s="818">
        <f>+'Grasmere Pig Cost'!AT46+'Learig Pig Cost'!AT46+'Lionhead Pig Cost'!AT46+'Villa Pig Cost'!AT46+'Richlands Pig Cost'!AT46+'Porta Pig Cost'!AT46+'Multiplier Pig Cost '!AT46</f>
        <v>0</v>
      </c>
      <c r="AU47" s="1631">
        <f t="shared" si="24"/>
        <v>-56178.488045530619</v>
      </c>
      <c r="AV47" s="1631">
        <f>+'Grasmere Pig Cost'!AU46+'Learig Pig Cost'!AU46+'Lionhead Pig Cost'!AU46+'Villa Pig Cost'!AU46+'Richlands Pig Cost'!AU46+'Porta Pig Cost'!AU46+'Multiplier Pig Cost '!AU46</f>
        <v>-56178.488045530619</v>
      </c>
      <c r="AW47" s="818">
        <f t="shared" si="23"/>
        <v>0</v>
      </c>
      <c r="AX47" s="1059"/>
      <c r="AY47" s="1059">
        <f>SUM(AV40:AX40)</f>
        <v>5022036.2</v>
      </c>
      <c r="BA47" s="142">
        <f>+'Feed Cost &amp; Allocation'!Z73+'Feed Cost &amp; Allocation'!Z74+'Feed Cost &amp; Allocation'!Z75+'Feed Cost &amp; Allocation'!Z76+'Feed Cost &amp; Allocation'!Z77+'Feed Cost &amp; Allocation'!Z79</f>
        <v>37249.5</v>
      </c>
      <c r="BD47" s="1059">
        <f t="shared" si="16"/>
        <v>-56178.488045530619</v>
      </c>
      <c r="BE47" s="1059"/>
    </row>
    <row r="48" spans="1:61" ht="15.6">
      <c r="A48" s="142" t="str">
        <f t="shared" si="22"/>
        <v>Transfers  Richlands</v>
      </c>
      <c r="B48" s="807">
        <f>+'Grasmere Pig Cost'!B47+'Learig Pig Cost'!B47+'Lionhead Pig Cost'!B47+'Lionhead Ext. Pig Cost'!B47+'Villa Pig Cost'!B47+'Porta Pig Cost'!B50</f>
        <v>0</v>
      </c>
      <c r="C48" s="807">
        <f>+'Grasmere Pig Cost'!C47+'Learig Pig Cost'!C47+'Lionhead Pig Cost'!C47+'Lionhead Ext. Pig Cost'!C47+'Villa Pig Cost'!C47+'Porta Pig Cost'!C50</f>
        <v>0</v>
      </c>
      <c r="D48" s="807">
        <f>+'Grasmere Pig Cost'!D47+'Learig Pig Cost'!D47+'Lionhead Pig Cost'!D47+'Lionhead Ext. Pig Cost'!D47+'Villa Pig Cost'!D47+'Porta Pig Cost'!D50</f>
        <v>0</v>
      </c>
      <c r="E48" s="807">
        <f>+'Grasmere Pig Cost'!E47+'Learig Pig Cost'!E47+'Lionhead Pig Cost'!E47+'Lionhead Ext. Pig Cost'!E47+'Villa Pig Cost'!E47+'Porta Pig Cost'!E50</f>
        <v>0</v>
      </c>
      <c r="F48" s="807">
        <f>+'Grasmere Pig Cost'!F47+'Learig Pig Cost'!F47+'Lionhead Pig Cost'!F47+'Lionhead Ext. Pig Cost'!F47+'Villa Pig Cost'!F47+'Porta Pig Cost'!F50</f>
        <v>0</v>
      </c>
      <c r="G48" s="807">
        <f>+'Grasmere Pig Cost'!G47+'Learig Pig Cost'!G47+'Lionhead Pig Cost'!G47+'Lionhead Ext. Pig Cost'!G47+'Villa Pig Cost'!G47+'Porta Pig Cost'!G50</f>
        <v>0</v>
      </c>
      <c r="H48" s="807">
        <f>+'Grasmere Pig Cost'!H47+'Learig Pig Cost'!H47+'Lionhead Pig Cost'!H47+'Lionhead Ext. Pig Cost'!H47+'Villa Pig Cost'!H47+'Porta Pig Cost'!H50</f>
        <v>0</v>
      </c>
      <c r="I48" s="807">
        <f>+'Grasmere Pig Cost'!I47+'Learig Pig Cost'!I47+'Lionhead Pig Cost'!I47+'Lionhead Ext. Pig Cost'!I47+'Villa Pig Cost'!I47+'Porta Pig Cost'!I50</f>
        <v>0</v>
      </c>
      <c r="J48" s="807">
        <f>+'Grasmere Pig Cost'!J47+'Learig Pig Cost'!J47+'Lionhead Pig Cost'!J47+'Lionhead Ext. Pig Cost'!J47+'Villa Pig Cost'!J47+'Porta Pig Cost'!J50</f>
        <v>0</v>
      </c>
      <c r="K48" s="807">
        <f>+'Grasmere Pig Cost'!K47+'Learig Pig Cost'!K47+'Lionhead Pig Cost'!K47+'Lionhead Ext. Pig Cost'!K47+'Villa Pig Cost'!K47+'Porta Pig Cost'!K50</f>
        <v>0</v>
      </c>
      <c r="L48" s="807">
        <f>+'Grasmere Pig Cost'!L47+'Learig Pig Cost'!L47+'Lionhead Pig Cost'!L47+'Lionhead Ext. Pig Cost'!L47+'Villa Pig Cost'!L47+'Porta Pig Cost'!L50</f>
        <v>0</v>
      </c>
      <c r="M48" s="807">
        <f>+'Grasmere Pig Cost'!M47+'Learig Pig Cost'!M47+'Lionhead Pig Cost'!M47+'Lionhead Ext. Pig Cost'!M47+'Villa Pig Cost'!M47+'Porta Pig Cost'!M50+'Multiplier Pig Cost '!M47</f>
        <v>0</v>
      </c>
      <c r="N48" s="807">
        <f>+'Grasmere Pig Cost'!N47+'Learig Pig Cost'!N47+'Lionhead Pig Cost'!N47+'Lionhead Ext. Pig Cost'!N47+'Villa Pig Cost'!N47+'Porta Pig Cost'!N50+'Multiplier Pig Cost '!N47</f>
        <v>0</v>
      </c>
      <c r="O48" s="807">
        <f>+'Grasmere Pig Cost'!O47+'Learig Pig Cost'!O47+'Lionhead Pig Cost'!O47+'Lionhead Ext. Pig Cost'!O47+'Villa Pig Cost'!O47+'Porta Pig Cost'!O50+'Multiplier Pig Cost '!O47</f>
        <v>0</v>
      </c>
      <c r="P48" s="807">
        <f>+'Grasmere Pig Cost'!P47+'Learig Pig Cost'!P47+'Lionhead Pig Cost'!P47+'Lionhead Ext. Pig Cost'!P47+'Villa Pig Cost'!P47+'Porta Pig Cost'!P50+'Multiplier Pig Cost '!P47</f>
        <v>0</v>
      </c>
      <c r="Q48" s="807">
        <f>+'Grasmere Pig Cost'!Q47+'Learig Pig Cost'!Q47+'Lionhead Pig Cost'!Q47+'Lionhead Ext. Pig Cost'!Q47+'Villa Pig Cost'!Q47+'Porta Pig Cost'!Q50+'Multiplier Pig Cost '!Q47</f>
        <v>0</v>
      </c>
      <c r="R48" s="807">
        <f>+'Grasmere Pig Cost'!R47+'Learig Pig Cost'!R47+'Lionhead Pig Cost'!R47+'Lionhead Ext. Pig Cost'!R47+'Villa Pig Cost'!R47+'Porta Pig Cost'!R50+'Multiplier Pig Cost '!R47</f>
        <v>0</v>
      </c>
      <c r="S48" s="807">
        <f>+'Grasmere Pig Cost'!S47+'Learig Pig Cost'!S47+'Lionhead Pig Cost'!S47+'Lionhead Ext. Pig Cost'!S47+'Villa Pig Cost'!S47+'Porta Pig Cost'!S50+'Multiplier Pig Cost '!S47</f>
        <v>0</v>
      </c>
      <c r="T48" s="807">
        <f>+'Grasmere Pig Cost'!T47+'Learig Pig Cost'!T47+'Lionhead Pig Cost'!T47+'Lionhead Ext. Pig Cost'!T47+'Villa Pig Cost'!T47+'Porta Pig Cost'!T50+'Multiplier Pig Cost '!T47</f>
        <v>0</v>
      </c>
      <c r="U48" s="807">
        <f>+'Grasmere Pig Cost'!U47+'Learig Pig Cost'!U47+'Lionhead Pig Cost'!U47+'Lionhead Ext. Pig Cost'!U47+'Villa Pig Cost'!U47+'Porta Pig Cost'!U50+'Multiplier Pig Cost '!U47</f>
        <v>0</v>
      </c>
      <c r="V48" s="807">
        <f>+'Grasmere Pig Cost'!V47+'Learig Pig Cost'!V47+'Lionhead Pig Cost'!V47+'Lionhead Ext. Pig Cost'!V47+'Villa Pig Cost'!V47+'Porta Pig Cost'!V50+'Multiplier Pig Cost '!V47</f>
        <v>0</v>
      </c>
      <c r="W48" s="807">
        <f>+'Grasmere Pig Cost'!W47+'Learig Pig Cost'!W47+'Lionhead Pig Cost'!W47+'Lionhead Ext. Pig Cost'!W47+'Villa Pig Cost'!W47+'Porta Pig Cost'!W50+'Multiplier Pig Cost '!W47</f>
        <v>0</v>
      </c>
      <c r="X48" s="807">
        <f>+'Grasmere Pig Cost'!X47+'Learig Pig Cost'!X47+'Lionhead Pig Cost'!X47+'Lionhead Ext. Pig Cost'!X47+'Villa Pig Cost'!X47+'Porta Pig Cost'!X50+'Multiplier Pig Cost '!X47</f>
        <v>0</v>
      </c>
      <c r="Y48" s="807">
        <f>+'Grasmere Pig Cost'!Y47+'Learig Pig Cost'!Y47+'Lionhead Pig Cost'!Y47+'Lionhead Ext. Pig Cost'!Y47+'Villa Pig Cost'!Y47+'Porta Pig Cost'!Y50+'Multiplier Pig Cost '!Y47</f>
        <v>0</v>
      </c>
      <c r="Z48" s="807">
        <f>+'Grasmere Pig Cost'!Z47+'Learig Pig Cost'!Z47+'Lionhead Pig Cost'!Z47+'Lionhead Ext. Pig Cost'!Z47+'Villa Pig Cost'!Z47+'Porta Pig Cost'!Z50+'Multiplier Pig Cost '!Z47</f>
        <v>0</v>
      </c>
      <c r="AA48" s="807">
        <f>+'Grasmere Pig Cost'!AA47+'Learig Pig Cost'!AA47+'Lionhead Pig Cost'!AA47+'Lionhead Ext. Pig Cost'!AA47+'Villa Pig Cost'!AA47+'Porta Pig Cost'!AA50+'Multiplier Pig Cost '!AA47</f>
        <v>0</v>
      </c>
      <c r="AB48" s="807">
        <f>+'Grasmere Pig Cost'!AB47+'Learig Pig Cost'!AB47+'Lionhead Pig Cost'!AB47+'Lionhead Ext. Pig Cost'!AB47+'Villa Pig Cost'!AB47+'Porta Pig Cost'!AB50+'Multiplier Pig Cost '!AB47</f>
        <v>2118.9791652287931</v>
      </c>
      <c r="AC48" s="807">
        <f>+'Grasmere Pig Cost'!AC47+'Learig Pig Cost'!AC47+'Lionhead Pig Cost'!AC47+'Lionhead Ext. Pig Cost'!AC47+'Villa Pig Cost'!AC47+'Porta Pig Cost'!AC50+'Multiplier Pig Cost '!AC47</f>
        <v>7774.1253757019113</v>
      </c>
      <c r="AD48" s="807">
        <f>+'Grasmere Pig Cost'!AD47+'Learig Pig Cost'!AD47+'Lionhead Pig Cost'!AD47+'Lionhead Ext. Pig Cost'!AD47+'Villa Pig Cost'!AD47+'Porta Pig Cost'!AD50+'Multiplier Pig Cost '!AD47</f>
        <v>7998.866518299742</v>
      </c>
      <c r="AE48" s="807">
        <f>+'Grasmere Pig Cost'!AE47+'Learig Pig Cost'!AE47+'Lionhead Pig Cost'!AE47+'Lionhead Ext. Pig Cost'!AE47+'Villa Pig Cost'!AE47+'Porta Pig Cost'!AE50+'Multiplier Pig Cost '!AE47</f>
        <v>17078.667517456393</v>
      </c>
      <c r="AF48" s="807">
        <f>+'Grasmere Pig Cost'!AF47+'Learig Pig Cost'!AF47+'Lionhead Pig Cost'!AF47+'Lionhead Ext. Pig Cost'!AF47+'Villa Pig Cost'!AF47+'Porta Pig Cost'!AF50+'Multiplier Pig Cost '!AF47</f>
        <v>0</v>
      </c>
      <c r="AG48" s="807">
        <f>+'Grasmere Pig Cost'!AG47+'Learig Pig Cost'!AG47+'Lionhead Pig Cost'!AG47+'Lionhead Ext. Pig Cost'!AG47+'Villa Pig Cost'!AG47+'Porta Pig Cost'!AG50+'Multiplier Pig Cost '!AG47</f>
        <v>0</v>
      </c>
      <c r="AH48" s="807">
        <f>+'Grasmere Pig Cost'!AH47+'Learig Pig Cost'!AH47+'Lionhead Pig Cost'!AH47+'Lionhead Ext. Pig Cost'!AH47+'Villa Pig Cost'!AH47+'Porta Pig Cost'!AH50+'Multiplier Pig Cost '!AH47</f>
        <v>0</v>
      </c>
      <c r="AI48" s="807">
        <f>+'Grasmere Pig Cost'!AI47+'Learig Pig Cost'!AI47+'Lionhead Pig Cost'!AI47+'Lionhead Ext. Pig Cost'!AI47+'Villa Pig Cost'!AI47+'Porta Pig Cost'!AI50+'Multiplier Pig Cost '!AI47</f>
        <v>0</v>
      </c>
      <c r="AJ48" s="807">
        <f>+'Grasmere Pig Cost'!AJ47+'Learig Pig Cost'!AJ47+'Lionhead Pig Cost'!AJ47+'Lionhead Ext. Pig Cost'!AJ47+'Villa Pig Cost'!AJ47+'Porta Pig Cost'!AJ50+'Multiplier Pig Cost '!AJ47</f>
        <v>0</v>
      </c>
      <c r="AK48" s="807">
        <f>+'Grasmere Pig Cost'!AK47+'Learig Pig Cost'!AK47+'Lionhead Pig Cost'!AK47+'Lionhead Ext. Pig Cost'!AK47+'Villa Pig Cost'!AK47+'Porta Pig Cost'!AK50+'Multiplier Pig Cost '!AK47</f>
        <v>0</v>
      </c>
      <c r="AL48" s="807">
        <f>+'Grasmere Pig Cost'!AL47+'Learig Pig Cost'!AL47+'Lionhead Pig Cost'!AL47+'Lionhead Ext. Pig Cost'!AL47+'Villa Pig Cost'!AL47+'Porta Pig Cost'!AL50+'Multiplier Pig Cost '!AL47</f>
        <v>0</v>
      </c>
      <c r="AM48" s="807">
        <f>+'Grasmere Pig Cost'!AM47+'Learig Pig Cost'!AM47+'Lionhead Pig Cost'!AM47+'Lionhead Ext. Pig Cost'!AM47+'Villa Pig Cost'!AM47+'Porta Pig Cost'!AM50+'Multiplier Pig Cost '!AM47</f>
        <v>0</v>
      </c>
      <c r="AN48" s="807">
        <f>+'Grasmere Pig Cost'!AN47+'Learig Pig Cost'!AN47+'Lionhead Pig Cost'!AN47+'Lionhead Ext. Pig Cost'!AN47+'Villa Pig Cost'!AN47+'Porta Pig Cost'!AN50+'Multiplier Pig Cost '!AN47</f>
        <v>0</v>
      </c>
      <c r="AO48" s="807">
        <f>+'Grasmere Pig Cost'!AO47+'Learig Pig Cost'!AO47+'Lionhead Pig Cost'!AO47+'Lionhead Ext. Pig Cost'!AO47+'Villa Pig Cost'!AO47+'Porta Pig Cost'!AO50+'Multiplier Pig Cost '!AO47</f>
        <v>0</v>
      </c>
      <c r="AP48" s="807">
        <f>+'Grasmere Pig Cost'!AP47+'Learig Pig Cost'!AP47+'Lionhead Pig Cost'!AP47+'Lionhead Ext. Pig Cost'!AP47+'Villa Pig Cost'!AP47+'Porta Pig Cost'!AP50+'Multiplier Pig Cost '!AP47</f>
        <v>0</v>
      </c>
      <c r="AQ48" s="807">
        <f>+'Grasmere Pig Cost'!AQ47+'Learig Pig Cost'!AQ47+'Lionhead Pig Cost'!AQ47+'Lionhead Ext. Pig Cost'!AQ47+'Villa Pig Cost'!AQ47+'Porta Pig Cost'!AQ50+'Multiplier Pig Cost '!AQ47</f>
        <v>0</v>
      </c>
      <c r="AR48" s="807">
        <f>+'Grasmere Pig Cost'!AR47+'Learig Pig Cost'!AR47+'Lionhead Pig Cost'!AR47+'Lionhead Ext. Pig Cost'!AR47+'Villa Pig Cost'!AR47+'Porta Pig Cost'!AR50+'Multiplier Pig Cost '!AR47</f>
        <v>0</v>
      </c>
      <c r="AS48" s="807">
        <f>+'Grasmere Pig Cost'!AS47+'Learig Pig Cost'!AS47+'Lionhead Pig Cost'!AS47+'Lionhead Ext. Pig Cost'!AS47+'Villa Pig Cost'!AS47+'Porta Pig Cost'!AS50+'Multiplier Pig Cost '!AS47</f>
        <v>0</v>
      </c>
      <c r="AT48" s="807">
        <f>+'Grasmere Pig Cost'!AT47+'Learig Pig Cost'!AT47+'Lionhead Pig Cost'!AT47+'Lionhead Ext. Pig Cost'!AT47+'Villa Pig Cost'!AT47+'Porta Pig Cost'!AT50+'Multiplier Pig Cost '!AT47</f>
        <v>0</v>
      </c>
      <c r="AU48" s="1631">
        <f>SUM(B48:AT48)</f>
        <v>34970.638576686841</v>
      </c>
      <c r="AV48" s="1631">
        <f>+'Grasmere Pig Cost'!AU47+'Learig Pig Cost'!AU47+'Lionhead Pig Cost'!AU47+'Lionhead Ext. Pig Cost'!AU47+'Villa Pig Cost'!AU47+'Porta Pig Cost'!AU50+'Multiplier Pig Cost '!AU47</f>
        <v>34970.638576686841</v>
      </c>
      <c r="AW48" s="818">
        <f t="shared" si="23"/>
        <v>0</v>
      </c>
      <c r="AX48" s="1059"/>
      <c r="AY48" s="1059">
        <f>'Feed Cost &amp; Allocation'!AY72-'Triple C Pigs'!AY47</f>
        <v>0</v>
      </c>
      <c r="BD48" s="1059">
        <f t="shared" si="16"/>
        <v>34970.638576686841</v>
      </c>
      <c r="BE48" s="1059"/>
    </row>
    <row r="49" spans="1:58" ht="15.6">
      <c r="A49" s="142" t="str">
        <f t="shared" si="22"/>
        <v>Transfers Learig</v>
      </c>
      <c r="B49" s="807">
        <f>+'Grasmere Pig Cost'!B48+'Lionhead Pig Cost'!B48+'Lionhead Ext. Pig Cost'!B48+'Villa Pig Cost'!B48+'Richlands Pig Cost'!B48+'Porta Pig Cost'!B48</f>
        <v>0</v>
      </c>
      <c r="C49" s="807">
        <f>+'Grasmere Pig Cost'!C48+'Lionhead Pig Cost'!C48+'Lionhead Ext. Pig Cost'!C48+'Villa Pig Cost'!C48+'Richlands Pig Cost'!C48+'Porta Pig Cost'!C48</f>
        <v>0</v>
      </c>
      <c r="D49" s="807">
        <f>+'Grasmere Pig Cost'!D48+'Lionhead Pig Cost'!D48+'Lionhead Ext. Pig Cost'!D48+'Villa Pig Cost'!D48+'Richlands Pig Cost'!D48+'Porta Pig Cost'!D48</f>
        <v>0</v>
      </c>
      <c r="E49" s="807">
        <f>+'Grasmere Pig Cost'!E48+'Lionhead Pig Cost'!E48+'Lionhead Ext. Pig Cost'!E48+'Villa Pig Cost'!E48+'Richlands Pig Cost'!E48+'Porta Pig Cost'!E48</f>
        <v>0</v>
      </c>
      <c r="F49" s="807">
        <f>+'Grasmere Pig Cost'!F48+'Lionhead Pig Cost'!F48+'Lionhead Ext. Pig Cost'!F48+'Villa Pig Cost'!F48+'Richlands Pig Cost'!F48+'Porta Pig Cost'!F48</f>
        <v>0</v>
      </c>
      <c r="G49" s="807">
        <f>+'Grasmere Pig Cost'!G48+'Lionhead Pig Cost'!G48+'Lionhead Ext. Pig Cost'!G48+'Villa Pig Cost'!G48+'Richlands Pig Cost'!G48+'Porta Pig Cost'!G48</f>
        <v>0</v>
      </c>
      <c r="H49" s="807">
        <f>+'Grasmere Pig Cost'!H48+'Lionhead Pig Cost'!H48+'Lionhead Ext. Pig Cost'!H48+'Villa Pig Cost'!H48+'Richlands Pig Cost'!H48+'Porta Pig Cost'!H48</f>
        <v>0</v>
      </c>
      <c r="I49" s="807">
        <f>+'Grasmere Pig Cost'!I48+'Lionhead Pig Cost'!I48+'Lionhead Ext. Pig Cost'!I48+'Villa Pig Cost'!I48+'Richlands Pig Cost'!I48+'Porta Pig Cost'!I48</f>
        <v>0</v>
      </c>
      <c r="J49" s="807">
        <f>+'Grasmere Pig Cost'!J48+'Lionhead Pig Cost'!J48+'Lionhead Ext. Pig Cost'!J48+'Villa Pig Cost'!J48+'Richlands Pig Cost'!J48+'Porta Pig Cost'!J48</f>
        <v>0</v>
      </c>
      <c r="K49" s="807">
        <f>+'Grasmere Pig Cost'!K48+'Lionhead Pig Cost'!K48+'Lionhead Ext. Pig Cost'!K48+'Villa Pig Cost'!K48+'Richlands Pig Cost'!K48+'Porta Pig Cost'!K48</f>
        <v>0</v>
      </c>
      <c r="L49" s="807">
        <f>+'Grasmere Pig Cost'!L48+'Lionhead Pig Cost'!L48+'Lionhead Ext. Pig Cost'!L48+'Villa Pig Cost'!L48+'Richlands Pig Cost'!L48+'Porta Pig Cost'!L48</f>
        <v>0</v>
      </c>
      <c r="M49" s="807">
        <f>+'Grasmere Pig Cost'!M48+'Lionhead Pig Cost'!M48+'Lionhead Ext. Pig Cost'!M48+'Villa Pig Cost'!M48+'Richlands Pig Cost'!M48+'Porta Pig Cost'!M48+'Multiplier Pig Cost '!M48</f>
        <v>0</v>
      </c>
      <c r="N49" s="807">
        <f>+'Grasmere Pig Cost'!N48+'Lionhead Pig Cost'!N48+'Lionhead Ext. Pig Cost'!N48+'Villa Pig Cost'!N48+'Richlands Pig Cost'!N48+'Porta Pig Cost'!N48+'Multiplier Pig Cost '!N48</f>
        <v>0</v>
      </c>
      <c r="O49" s="807">
        <f>+'Grasmere Pig Cost'!O48+'Lionhead Pig Cost'!O48+'Lionhead Ext. Pig Cost'!O48+'Villa Pig Cost'!O48+'Richlands Pig Cost'!O48+'Porta Pig Cost'!O48+'Multiplier Pig Cost '!O48</f>
        <v>0</v>
      </c>
      <c r="P49" s="807">
        <f>+'Grasmere Pig Cost'!P48+'Lionhead Pig Cost'!P48+'Lionhead Ext. Pig Cost'!P48+'Villa Pig Cost'!P48+'Richlands Pig Cost'!P48+'Porta Pig Cost'!P48+'Multiplier Pig Cost '!P48</f>
        <v>0</v>
      </c>
      <c r="Q49" s="807">
        <f>+'Grasmere Pig Cost'!Q48+'Lionhead Pig Cost'!Q48+'Lionhead Ext. Pig Cost'!Q48+'Villa Pig Cost'!Q48+'Richlands Pig Cost'!Q48+'Porta Pig Cost'!Q48+'Multiplier Pig Cost '!Q48</f>
        <v>0</v>
      </c>
      <c r="R49" s="807">
        <f>+'Grasmere Pig Cost'!R48+'Lionhead Pig Cost'!R48+'Lionhead Ext. Pig Cost'!R48+'Villa Pig Cost'!R48+'Richlands Pig Cost'!R48+'Porta Pig Cost'!R48+'Multiplier Pig Cost '!R48</f>
        <v>0</v>
      </c>
      <c r="S49" s="807">
        <f>+'Grasmere Pig Cost'!S48+'Lionhead Pig Cost'!S48+'Lionhead Ext. Pig Cost'!S48+'Villa Pig Cost'!S48+'Richlands Pig Cost'!S48+'Porta Pig Cost'!S48+'Multiplier Pig Cost '!S48</f>
        <v>0</v>
      </c>
      <c r="T49" s="807">
        <f>+'Grasmere Pig Cost'!T48+'Lionhead Pig Cost'!T48+'Lionhead Ext. Pig Cost'!T48+'Villa Pig Cost'!T48+'Richlands Pig Cost'!T48+'Porta Pig Cost'!T48+'Multiplier Pig Cost '!T48</f>
        <v>0</v>
      </c>
      <c r="U49" s="807">
        <f>+'Grasmere Pig Cost'!U48+'Lionhead Pig Cost'!U48+'Lionhead Ext. Pig Cost'!U48+'Villa Pig Cost'!U48+'Richlands Pig Cost'!U48+'Porta Pig Cost'!U48+'Multiplier Pig Cost '!U48</f>
        <v>0</v>
      </c>
      <c r="V49" s="807">
        <f>+'Grasmere Pig Cost'!V48+'Lionhead Pig Cost'!V48+'Lionhead Ext. Pig Cost'!V48+'Villa Pig Cost'!V48+'Richlands Pig Cost'!V48+'Porta Pig Cost'!V48+'Multiplier Pig Cost '!V48</f>
        <v>0</v>
      </c>
      <c r="W49" s="807">
        <f>+'Grasmere Pig Cost'!W48+'Lionhead Pig Cost'!W48+'Lionhead Ext. Pig Cost'!W48+'Villa Pig Cost'!W48+'Richlands Pig Cost'!W48+'Porta Pig Cost'!W48+'Multiplier Pig Cost '!W48</f>
        <v>-12721.155615094774</v>
      </c>
      <c r="X49" s="807">
        <f>+'Grasmere Pig Cost'!X48+'Lionhead Pig Cost'!X48+'Lionhead Ext. Pig Cost'!X48+'Villa Pig Cost'!X48+'Richlands Pig Cost'!X48+'Porta Pig Cost'!X48+'Multiplier Pig Cost '!X48</f>
        <v>-19691.971100392791</v>
      </c>
      <c r="Y49" s="807">
        <f>+'Grasmere Pig Cost'!Y48+'Lionhead Pig Cost'!Y48+'Lionhead Ext. Pig Cost'!Y48+'Villa Pig Cost'!Y48+'Richlands Pig Cost'!Y48+'Porta Pig Cost'!Y48+'Multiplier Pig Cost '!Y48</f>
        <v>-18541.334998300354</v>
      </c>
      <c r="Z49" s="807">
        <f>+'Grasmere Pig Cost'!Z48+'Lionhead Pig Cost'!Z48+'Lionhead Ext. Pig Cost'!Z48+'Villa Pig Cost'!Z48+'Richlands Pig Cost'!Z48+'Porta Pig Cost'!Z48+'Multiplier Pig Cost '!Z48</f>
        <v>-16397.480089281416</v>
      </c>
      <c r="AA49" s="807">
        <f>+'Grasmere Pig Cost'!AA48+'Lionhead Pig Cost'!AA48+'Lionhead Ext. Pig Cost'!AA48+'Villa Pig Cost'!AA48+'Richlands Pig Cost'!AA48+'Porta Pig Cost'!AA48+'Multiplier Pig Cost '!AA48</f>
        <v>0</v>
      </c>
      <c r="AB49" s="807">
        <f>+'Grasmere Pig Cost'!AB48+'Lionhead Pig Cost'!AB48+'Lionhead Ext. Pig Cost'!AB48+'Villa Pig Cost'!AB48+'Richlands Pig Cost'!AB48+'Porta Pig Cost'!AB48+'Multiplier Pig Cost '!AB48</f>
        <v>0</v>
      </c>
      <c r="AC49" s="807">
        <f>+'Grasmere Pig Cost'!AC48+'Lionhead Pig Cost'!AC48+'Lionhead Ext. Pig Cost'!AC48+'Villa Pig Cost'!AC48+'Richlands Pig Cost'!AC48+'Porta Pig Cost'!AC48+'Multiplier Pig Cost '!AC48</f>
        <v>0</v>
      </c>
      <c r="AD49" s="807">
        <f>+'Grasmere Pig Cost'!AD48+'Lionhead Pig Cost'!AD48+'Lionhead Ext. Pig Cost'!AD48+'Villa Pig Cost'!AD48+'Richlands Pig Cost'!AD48+'Porta Pig Cost'!AD48+'Multiplier Pig Cost '!AD48</f>
        <v>0</v>
      </c>
      <c r="AE49" s="807">
        <f>+'Grasmere Pig Cost'!AE48+'Lionhead Pig Cost'!AE48+'Lionhead Ext. Pig Cost'!AE48+'Villa Pig Cost'!AE48+'Richlands Pig Cost'!AE48+'Porta Pig Cost'!AE48+'Multiplier Pig Cost '!AE48</f>
        <v>0</v>
      </c>
      <c r="AF49" s="807">
        <f>+'Grasmere Pig Cost'!AF48+'Lionhead Pig Cost'!AF48+'Lionhead Ext. Pig Cost'!AF48+'Villa Pig Cost'!AF48+'Richlands Pig Cost'!AF48+'Porta Pig Cost'!AF48+'Multiplier Pig Cost '!AF48</f>
        <v>0</v>
      </c>
      <c r="AG49" s="807">
        <f>+'Grasmere Pig Cost'!AG48+'Lionhead Pig Cost'!AG48+'Lionhead Ext. Pig Cost'!AG48+'Villa Pig Cost'!AG48+'Richlands Pig Cost'!AG48+'Porta Pig Cost'!AG48+'Multiplier Pig Cost '!AG48</f>
        <v>0</v>
      </c>
      <c r="AH49" s="807">
        <f>+'Grasmere Pig Cost'!AH48+'Lionhead Pig Cost'!AH48+'Lionhead Ext. Pig Cost'!AH48+'Villa Pig Cost'!AH48+'Richlands Pig Cost'!AH48+'Porta Pig Cost'!AH48+'Multiplier Pig Cost '!AH48</f>
        <v>0</v>
      </c>
      <c r="AI49" s="807">
        <f>+'Grasmere Pig Cost'!AI48+'Lionhead Pig Cost'!AI48+'Lionhead Ext. Pig Cost'!AI48+'Villa Pig Cost'!AI48+'Richlands Pig Cost'!AI48+'Porta Pig Cost'!AI48+'Multiplier Pig Cost '!AI48</f>
        <v>0</v>
      </c>
      <c r="AJ49" s="807">
        <f>+'Grasmere Pig Cost'!AJ48+'Lionhead Pig Cost'!AJ48+'Lionhead Ext. Pig Cost'!AJ48+'Villa Pig Cost'!AJ48+'Richlands Pig Cost'!AJ48+'Porta Pig Cost'!AJ48+'Multiplier Pig Cost '!AJ48</f>
        <v>0</v>
      </c>
      <c r="AK49" s="807">
        <f>+'Grasmere Pig Cost'!AK48+'Lionhead Pig Cost'!AK48+'Lionhead Ext. Pig Cost'!AK48+'Villa Pig Cost'!AK48+'Richlands Pig Cost'!AK48+'Porta Pig Cost'!AK48+'Multiplier Pig Cost '!AK48</f>
        <v>0</v>
      </c>
      <c r="AL49" s="807">
        <f>+'Grasmere Pig Cost'!AL48+'Lionhead Pig Cost'!AL48+'Lionhead Ext. Pig Cost'!AL48+'Villa Pig Cost'!AL48+'Richlands Pig Cost'!AL48+'Porta Pig Cost'!AL48+'Multiplier Pig Cost '!AL48</f>
        <v>0</v>
      </c>
      <c r="AM49" s="807">
        <f>+'Grasmere Pig Cost'!AM48+'Lionhead Pig Cost'!AM48+'Lionhead Ext. Pig Cost'!AM48+'Villa Pig Cost'!AM48+'Richlands Pig Cost'!AM48+'Porta Pig Cost'!AM48+'Multiplier Pig Cost '!AM48</f>
        <v>0</v>
      </c>
      <c r="AN49" s="807">
        <f>+'Grasmere Pig Cost'!AN48+'Lionhead Pig Cost'!AN48+'Lionhead Ext. Pig Cost'!AN48+'Villa Pig Cost'!AN48+'Richlands Pig Cost'!AN48+'Porta Pig Cost'!AN48+'Multiplier Pig Cost '!AN48</f>
        <v>0</v>
      </c>
      <c r="AO49" s="807">
        <f>+'Grasmere Pig Cost'!AO48+'Lionhead Pig Cost'!AO48+'Lionhead Ext. Pig Cost'!AO48+'Villa Pig Cost'!AO48+'Richlands Pig Cost'!AO48+'Porta Pig Cost'!AO48+'Multiplier Pig Cost '!AO48</f>
        <v>0</v>
      </c>
      <c r="AP49" s="807">
        <f>+'Grasmere Pig Cost'!AP48+'Lionhead Pig Cost'!AP48+'Lionhead Ext. Pig Cost'!AP48+'Villa Pig Cost'!AP48+'Richlands Pig Cost'!AP48+'Porta Pig Cost'!AP48+'Multiplier Pig Cost '!AP48</f>
        <v>0</v>
      </c>
      <c r="AQ49" s="807">
        <f>+'Grasmere Pig Cost'!AQ48+'Lionhead Pig Cost'!AQ48+'Lionhead Ext. Pig Cost'!AQ48+'Villa Pig Cost'!AQ48+'Richlands Pig Cost'!AQ48+'Porta Pig Cost'!AQ48+'Multiplier Pig Cost '!AQ48</f>
        <v>0</v>
      </c>
      <c r="AR49" s="807">
        <f>+'Grasmere Pig Cost'!AR48+'Lionhead Pig Cost'!AR48+'Lionhead Ext. Pig Cost'!AR48+'Villa Pig Cost'!AR48+'Richlands Pig Cost'!AR48+'Porta Pig Cost'!AR48+'Multiplier Pig Cost '!AR48</f>
        <v>0</v>
      </c>
      <c r="AS49" s="807">
        <f>+'Grasmere Pig Cost'!AS48+'Lionhead Pig Cost'!AS48+'Lionhead Ext. Pig Cost'!AS48+'Villa Pig Cost'!AS48+'Richlands Pig Cost'!AS48+'Porta Pig Cost'!AS48+'Multiplier Pig Cost '!AS48</f>
        <v>0</v>
      </c>
      <c r="AT49" s="807">
        <f>+'Grasmere Pig Cost'!AT48+'Lionhead Pig Cost'!AT48+'Lionhead Ext. Pig Cost'!AT48+'Villa Pig Cost'!AT48+'Richlands Pig Cost'!AT48+'Porta Pig Cost'!AT48+'Multiplier Pig Cost '!AT48</f>
        <v>0</v>
      </c>
      <c r="AU49" s="1631">
        <f>SUM(B49:AT49)</f>
        <v>-67351.941803069349</v>
      </c>
      <c r="AV49" s="1631">
        <f>+'Grasmere Pig Cost'!AU48+'Lionhead Pig Cost'!AU48+'Lionhead Ext. Pig Cost'!AU48+'Villa Pig Cost'!AU48+'Richlands Pig Cost'!AU48+'Porta Pig Cost'!AU48+'Multiplier Pig Cost '!AU48</f>
        <v>-67351.941803069349</v>
      </c>
      <c r="AW49" s="818">
        <f t="shared" si="23"/>
        <v>0</v>
      </c>
      <c r="AX49" s="1059"/>
      <c r="AY49" s="1059"/>
      <c r="BD49" s="1059">
        <f t="shared" si="16"/>
        <v>-67351.941803069349</v>
      </c>
      <c r="BE49" s="1059"/>
    </row>
    <row r="50" spans="1:58" ht="15.6">
      <c r="A50" s="142" t="str">
        <f t="shared" si="22"/>
        <v>Transfers Villa</v>
      </c>
      <c r="B50" s="807">
        <f>+'Grasmere Pig Cost'!B49+'Learig Pig Cost'!B49+'Lionhead Pig Cost'!B49+'Lionhead Ext. Pig Cost'!B49+'Richlands Pig Cost'!B49+'Porta Pig Cost'!B49</f>
        <v>0</v>
      </c>
      <c r="C50" s="807">
        <f>+'Grasmere Pig Cost'!C49+'Learig Pig Cost'!C49+'Lionhead Pig Cost'!C49+'Lionhead Ext. Pig Cost'!C49+'Richlands Pig Cost'!C49+'Porta Pig Cost'!C49</f>
        <v>0</v>
      </c>
      <c r="D50" s="807">
        <f>+'Grasmere Pig Cost'!D49+'Learig Pig Cost'!D49+'Lionhead Pig Cost'!D49+'Lionhead Ext. Pig Cost'!D49+'Richlands Pig Cost'!D49+'Porta Pig Cost'!D49</f>
        <v>0</v>
      </c>
      <c r="E50" s="807">
        <f>+'Grasmere Pig Cost'!E49+'Learig Pig Cost'!E49+'Lionhead Pig Cost'!E49+'Lionhead Ext. Pig Cost'!E49+'Richlands Pig Cost'!E49+'Porta Pig Cost'!E49</f>
        <v>0</v>
      </c>
      <c r="F50" s="807">
        <f>+'Grasmere Pig Cost'!F49+'Learig Pig Cost'!F49+'Lionhead Pig Cost'!F49+'Lionhead Ext. Pig Cost'!F49+'Richlands Pig Cost'!F49+'Porta Pig Cost'!F49</f>
        <v>0</v>
      </c>
      <c r="G50" s="807">
        <f>+'Grasmere Pig Cost'!G49+'Learig Pig Cost'!G49+'Lionhead Pig Cost'!G49+'Lionhead Ext. Pig Cost'!G49+'Richlands Pig Cost'!G49+'Porta Pig Cost'!G49</f>
        <v>0</v>
      </c>
      <c r="H50" s="807">
        <f>+'Grasmere Pig Cost'!H49+'Learig Pig Cost'!H49+'Lionhead Pig Cost'!H49+'Lionhead Ext. Pig Cost'!H49+'Richlands Pig Cost'!H49+'Porta Pig Cost'!H49</f>
        <v>0</v>
      </c>
      <c r="I50" s="807">
        <f>+'Grasmere Pig Cost'!I49+'Learig Pig Cost'!I49+'Lionhead Pig Cost'!I49+'Lionhead Ext. Pig Cost'!I49+'Richlands Pig Cost'!I49+'Porta Pig Cost'!I49</f>
        <v>0</v>
      </c>
      <c r="J50" s="807">
        <f>+'Grasmere Pig Cost'!J49+'Learig Pig Cost'!J49+'Lionhead Pig Cost'!J49+'Lionhead Ext. Pig Cost'!J49+'Richlands Pig Cost'!J49+'Porta Pig Cost'!J49</f>
        <v>0</v>
      </c>
      <c r="K50" s="807">
        <f>+'Grasmere Pig Cost'!K49+'Learig Pig Cost'!K49+'Lionhead Pig Cost'!K49+'Lionhead Ext. Pig Cost'!K49+'Richlands Pig Cost'!K49+'Porta Pig Cost'!K49</f>
        <v>0</v>
      </c>
      <c r="L50" s="807">
        <f>+'Grasmere Pig Cost'!L49+'Learig Pig Cost'!L49+'Lionhead Pig Cost'!L49+'Lionhead Ext. Pig Cost'!L49+'Richlands Pig Cost'!L49+'Porta Pig Cost'!L49</f>
        <v>0</v>
      </c>
      <c r="M50" s="807">
        <f>+'Grasmere Pig Cost'!M49+'Learig Pig Cost'!M49+'Lionhead Pig Cost'!M49+'Lionhead Ext. Pig Cost'!M49+'Richlands Pig Cost'!M49+'Porta Pig Cost'!M49+'Multiplier Pig Cost '!M51</f>
        <v>0</v>
      </c>
      <c r="N50" s="807">
        <f>+'Grasmere Pig Cost'!N49+'Learig Pig Cost'!N49+'Lionhead Pig Cost'!N49+'Lionhead Ext. Pig Cost'!N49+'Richlands Pig Cost'!N49+'Porta Pig Cost'!N49+'Multiplier Pig Cost '!N51</f>
        <v>0</v>
      </c>
      <c r="O50" s="807">
        <f>+'Grasmere Pig Cost'!O49+'Learig Pig Cost'!O49+'Lionhead Pig Cost'!O49+'Lionhead Ext. Pig Cost'!O49+'Richlands Pig Cost'!O49+'Porta Pig Cost'!O49+'Multiplier Pig Cost '!O51</f>
        <v>0</v>
      </c>
      <c r="P50" s="807">
        <f>+'Grasmere Pig Cost'!P49+'Learig Pig Cost'!P49+'Lionhead Pig Cost'!P49+'Lionhead Ext. Pig Cost'!P49+'Richlands Pig Cost'!P49+'Porta Pig Cost'!P49+'Multiplier Pig Cost '!P51</f>
        <v>0</v>
      </c>
      <c r="Q50" s="807">
        <f>+'Grasmere Pig Cost'!Q49+'Learig Pig Cost'!Q49+'Lionhead Pig Cost'!Q49+'Lionhead Ext. Pig Cost'!Q49+'Richlands Pig Cost'!Q49+'Porta Pig Cost'!Q49+'Multiplier Pig Cost '!Q51</f>
        <v>0</v>
      </c>
      <c r="R50" s="807">
        <f>+'Grasmere Pig Cost'!R49+'Learig Pig Cost'!R49+'Lionhead Pig Cost'!R49+'Lionhead Ext. Pig Cost'!R49+'Richlands Pig Cost'!R49+'Porta Pig Cost'!R49+'Multiplier Pig Cost '!R51</f>
        <v>0</v>
      </c>
      <c r="S50" s="807">
        <f>+'Grasmere Pig Cost'!S49+'Learig Pig Cost'!S49+'Lionhead Pig Cost'!S49+'Lionhead Ext. Pig Cost'!S49+'Richlands Pig Cost'!S49+'Porta Pig Cost'!S49+'Multiplier Pig Cost '!S51</f>
        <v>0</v>
      </c>
      <c r="T50" s="807">
        <f>+'Grasmere Pig Cost'!T49+'Learig Pig Cost'!T49+'Lionhead Pig Cost'!T49+'Lionhead Ext. Pig Cost'!T49+'Richlands Pig Cost'!T49+'Porta Pig Cost'!T49+'Multiplier Pig Cost '!T51</f>
        <v>0</v>
      </c>
      <c r="U50" s="807">
        <f>+'Grasmere Pig Cost'!U49+'Learig Pig Cost'!U49+'Lionhead Pig Cost'!U49+'Lionhead Ext. Pig Cost'!U49+'Richlands Pig Cost'!U49+'Porta Pig Cost'!U49+'Multiplier Pig Cost '!U51</f>
        <v>0</v>
      </c>
      <c r="V50" s="807">
        <f>+'Grasmere Pig Cost'!V49+'Learig Pig Cost'!V49+'Lionhead Pig Cost'!V49+'Lionhead Ext. Pig Cost'!V49+'Richlands Pig Cost'!V49+'Porta Pig Cost'!V49+'Multiplier Pig Cost '!V51</f>
        <v>0</v>
      </c>
      <c r="W50" s="807">
        <f>+'Grasmere Pig Cost'!W49+'Learig Pig Cost'!W49+'Lionhead Pig Cost'!W49+'Lionhead Ext. Pig Cost'!W49+'Richlands Pig Cost'!W49+'Porta Pig Cost'!W49+'Multiplier Pig Cost '!W51</f>
        <v>2898.8146838563257</v>
      </c>
      <c r="X50" s="807">
        <f>+'Grasmere Pig Cost'!X49+'Learig Pig Cost'!X49+'Lionhead Pig Cost'!X49+'Lionhead Ext. Pig Cost'!X49+'Richlands Pig Cost'!X49+'Porta Pig Cost'!X49+'Multiplier Pig Cost '!X51</f>
        <v>4419.1298467919114</v>
      </c>
      <c r="Y50" s="807">
        <f>+'Grasmere Pig Cost'!Y49+'Learig Pig Cost'!Y49+'Lionhead Pig Cost'!Y49+'Lionhead Ext. Pig Cost'!Y49+'Richlands Pig Cost'!Y49+'Porta Pig Cost'!Y49+'Multiplier Pig Cost '!Y51</f>
        <v>5747.1778370206775</v>
      </c>
      <c r="Z50" s="807">
        <f>+'Grasmere Pig Cost'!Z49+'Learig Pig Cost'!Z49+'Lionhead Pig Cost'!Z49+'Lionhead Ext. Pig Cost'!Z49+'Richlands Pig Cost'!Z49+'Porta Pig Cost'!Z49+'Multiplier Pig Cost '!Z51</f>
        <v>3510.1487560871997</v>
      </c>
      <c r="AA50" s="807">
        <f>+'Grasmere Pig Cost'!AA49+'Learig Pig Cost'!AA49+'Lionhead Pig Cost'!AA49+'Lionhead Ext. Pig Cost'!AA49+'Richlands Pig Cost'!AA49+'Porta Pig Cost'!AA49+'Multiplier Pig Cost '!AA51</f>
        <v>0</v>
      </c>
      <c r="AB50" s="807">
        <f>+'Grasmere Pig Cost'!AB49+'Learig Pig Cost'!AB49+'Lionhead Pig Cost'!AB49+'Lionhead Ext. Pig Cost'!AB49+'Richlands Pig Cost'!AB49+'Porta Pig Cost'!AB49+'Multiplier Pig Cost '!AB51</f>
        <v>0</v>
      </c>
      <c r="AC50" s="807">
        <f>+'Grasmere Pig Cost'!AC49+'Learig Pig Cost'!AC49+'Lionhead Pig Cost'!AC49+'Lionhead Ext. Pig Cost'!AC49+'Richlands Pig Cost'!AC49+'Porta Pig Cost'!AC49+'Multiplier Pig Cost '!AC51</f>
        <v>0</v>
      </c>
      <c r="AD50" s="807">
        <f>+'Grasmere Pig Cost'!AD49+'Learig Pig Cost'!AD49+'Lionhead Pig Cost'!AD49+'Lionhead Ext. Pig Cost'!AD49+'Richlands Pig Cost'!AD49+'Porta Pig Cost'!AD49+'Multiplier Pig Cost '!AD51</f>
        <v>0</v>
      </c>
      <c r="AE50" s="807">
        <f>+'Grasmere Pig Cost'!AE49+'Learig Pig Cost'!AE49+'Lionhead Pig Cost'!AE49+'Lionhead Ext. Pig Cost'!AE49+'Richlands Pig Cost'!AE49+'Porta Pig Cost'!AE49+'Multiplier Pig Cost '!AE51</f>
        <v>0</v>
      </c>
      <c r="AF50" s="807">
        <f>+'Grasmere Pig Cost'!AF49+'Learig Pig Cost'!AF49+'Lionhead Pig Cost'!AF49+'Lionhead Ext. Pig Cost'!AF49+'Richlands Pig Cost'!AF49+'Porta Pig Cost'!AF49+'Multiplier Pig Cost '!AF51</f>
        <v>0</v>
      </c>
      <c r="AG50" s="807">
        <f>+'Grasmere Pig Cost'!AG49+'Learig Pig Cost'!AG49+'Lionhead Pig Cost'!AG49+'Lionhead Ext. Pig Cost'!AG49+'Richlands Pig Cost'!AG49+'Porta Pig Cost'!AG49+'Multiplier Pig Cost '!AG51</f>
        <v>0</v>
      </c>
      <c r="AH50" s="807">
        <f>+'Grasmere Pig Cost'!AH49+'Learig Pig Cost'!AH49+'Lionhead Pig Cost'!AH49+'Lionhead Ext. Pig Cost'!AH49+'Richlands Pig Cost'!AH49+'Porta Pig Cost'!AH49+'Multiplier Pig Cost '!AH51</f>
        <v>0</v>
      </c>
      <c r="AI50" s="807">
        <f>+'Grasmere Pig Cost'!AI49+'Learig Pig Cost'!AI49+'Lionhead Pig Cost'!AI49+'Lionhead Ext. Pig Cost'!AI49+'Richlands Pig Cost'!AI49+'Porta Pig Cost'!AI49+'Multiplier Pig Cost '!AI51</f>
        <v>0</v>
      </c>
      <c r="AJ50" s="807">
        <f>+'Grasmere Pig Cost'!AJ49+'Learig Pig Cost'!AJ49+'Lionhead Pig Cost'!AJ49+'Lionhead Ext. Pig Cost'!AJ49+'Richlands Pig Cost'!AJ49+'Porta Pig Cost'!AJ49+'Multiplier Pig Cost '!AJ51</f>
        <v>0</v>
      </c>
      <c r="AK50" s="807">
        <f>+'Grasmere Pig Cost'!AK49+'Learig Pig Cost'!AK49+'Lionhead Pig Cost'!AK49+'Lionhead Ext. Pig Cost'!AK49+'Richlands Pig Cost'!AK49+'Porta Pig Cost'!AK49+'Multiplier Pig Cost '!AK51</f>
        <v>0</v>
      </c>
      <c r="AL50" s="807">
        <f>+'Grasmere Pig Cost'!AL49+'Learig Pig Cost'!AL49+'Lionhead Pig Cost'!AL49+'Lionhead Ext. Pig Cost'!AL49+'Richlands Pig Cost'!AL49+'Porta Pig Cost'!AL49+'Multiplier Pig Cost '!AL51</f>
        <v>0</v>
      </c>
      <c r="AM50" s="807">
        <f>+'Grasmere Pig Cost'!AM49+'Learig Pig Cost'!AM49+'Lionhead Pig Cost'!AM49+'Lionhead Ext. Pig Cost'!AM49+'Richlands Pig Cost'!AM49+'Porta Pig Cost'!AM49+'Multiplier Pig Cost '!AM51</f>
        <v>0</v>
      </c>
      <c r="AN50" s="807">
        <f>+'Grasmere Pig Cost'!AN49+'Learig Pig Cost'!AN49+'Lionhead Pig Cost'!AN49+'Lionhead Ext. Pig Cost'!AN49+'Richlands Pig Cost'!AN49+'Porta Pig Cost'!AN49+'Multiplier Pig Cost '!AN51</f>
        <v>0</v>
      </c>
      <c r="AO50" s="807">
        <f>+'Grasmere Pig Cost'!AO49+'Learig Pig Cost'!AO49+'Lionhead Pig Cost'!AO49+'Lionhead Ext. Pig Cost'!AO49+'Richlands Pig Cost'!AO49+'Porta Pig Cost'!AO49+'Multiplier Pig Cost '!AO51</f>
        <v>0</v>
      </c>
      <c r="AP50" s="807">
        <f>+'Grasmere Pig Cost'!AP49+'Learig Pig Cost'!AP49+'Lionhead Pig Cost'!AP49+'Lionhead Ext. Pig Cost'!AP49+'Richlands Pig Cost'!AP49+'Porta Pig Cost'!AP49+'Multiplier Pig Cost '!AP51</f>
        <v>0</v>
      </c>
      <c r="AQ50" s="807">
        <f>+'Grasmere Pig Cost'!AQ49+'Learig Pig Cost'!AQ49+'Lionhead Pig Cost'!AQ49+'Lionhead Ext. Pig Cost'!AQ49+'Richlands Pig Cost'!AQ49+'Porta Pig Cost'!AQ49+'Multiplier Pig Cost '!AQ51</f>
        <v>0</v>
      </c>
      <c r="AR50" s="807">
        <f>+'Grasmere Pig Cost'!AR49+'Learig Pig Cost'!AR49+'Lionhead Pig Cost'!AR49+'Lionhead Ext. Pig Cost'!AR49+'Richlands Pig Cost'!AR49+'Porta Pig Cost'!AR49+'Multiplier Pig Cost '!AR51</f>
        <v>0</v>
      </c>
      <c r="AS50" s="807">
        <f>+'Grasmere Pig Cost'!AS49+'Learig Pig Cost'!AS49+'Lionhead Pig Cost'!AS49+'Lionhead Ext. Pig Cost'!AS49+'Richlands Pig Cost'!AS49+'Porta Pig Cost'!AS49+'Multiplier Pig Cost '!AS51</f>
        <v>0</v>
      </c>
      <c r="AT50" s="807">
        <f>+'Grasmere Pig Cost'!AT49+'Learig Pig Cost'!AT49+'Lionhead Pig Cost'!AT49+'Lionhead Ext. Pig Cost'!AT49+'Richlands Pig Cost'!AT49+'Porta Pig Cost'!AT49+'Multiplier Pig Cost '!AT51</f>
        <v>0</v>
      </c>
      <c r="AU50" s="1631">
        <f t="shared" si="24"/>
        <v>16575.271123756116</v>
      </c>
      <c r="AV50" s="1631">
        <f>+'Grasmere Pig Cost'!AU49+'Learig Pig Cost'!AU49+'Lionhead Pig Cost'!AU49+'Lionhead Ext. Pig Cost'!AU49+'Richlands Pig Cost'!AU49+'Porta Pig Cost'!AU49+'Multiplier Pig Cost '!AU51</f>
        <v>16575.271123756116</v>
      </c>
      <c r="AW50" s="818">
        <f t="shared" si="23"/>
        <v>0</v>
      </c>
      <c r="AX50" s="1059"/>
      <c r="AY50" s="1059"/>
      <c r="AZ50" s="1059"/>
      <c r="BD50" s="1059">
        <f t="shared" si="16"/>
        <v>16575.271123756116</v>
      </c>
      <c r="BE50" s="1059"/>
    </row>
    <row r="51" spans="1:58" ht="15.6">
      <c r="A51" s="142" t="str">
        <f t="shared" si="22"/>
        <v>Transfers Porta</v>
      </c>
      <c r="B51" s="807">
        <f>'Grasmere Pig Cost'!B50+'Learig Pig Cost'!B50+'Lionhead Pig Cost'!B50+'Lionhead Ext. Pig Cost'!B50+'Villa Pig Cost'!B50+'Richlands Pig Cost'!B50</f>
        <v>0</v>
      </c>
      <c r="C51" s="807">
        <f>'Grasmere Pig Cost'!C50+'Learig Pig Cost'!C50+'Lionhead Pig Cost'!C50+'Lionhead Ext. Pig Cost'!C50+'Villa Pig Cost'!C50+'Richlands Pig Cost'!C50</f>
        <v>0</v>
      </c>
      <c r="D51" s="807">
        <f>'Grasmere Pig Cost'!D50+'Learig Pig Cost'!D50+'Lionhead Pig Cost'!D50+'Lionhead Ext. Pig Cost'!D50+'Villa Pig Cost'!D50+'Richlands Pig Cost'!D50</f>
        <v>0</v>
      </c>
      <c r="E51" s="807">
        <f>'Grasmere Pig Cost'!E50+'Learig Pig Cost'!E50+'Lionhead Pig Cost'!E50+'Lionhead Ext. Pig Cost'!E50+'Villa Pig Cost'!E50+'Richlands Pig Cost'!E50</f>
        <v>0</v>
      </c>
      <c r="F51" s="807">
        <f>'Grasmere Pig Cost'!F50+'Learig Pig Cost'!F50+'Lionhead Pig Cost'!F50+'Lionhead Ext. Pig Cost'!F50+'Villa Pig Cost'!F50+'Richlands Pig Cost'!F50</f>
        <v>0</v>
      </c>
      <c r="G51" s="807">
        <f>'Grasmere Pig Cost'!G50+'Learig Pig Cost'!G50+'Lionhead Pig Cost'!G50+'Lionhead Ext. Pig Cost'!G50+'Villa Pig Cost'!G50+'Richlands Pig Cost'!G50</f>
        <v>0</v>
      </c>
      <c r="H51" s="807">
        <f>'Grasmere Pig Cost'!H50+'Learig Pig Cost'!H50+'Lionhead Pig Cost'!H50+'Lionhead Ext. Pig Cost'!H50+'Villa Pig Cost'!H50+'Richlands Pig Cost'!H50</f>
        <v>0</v>
      </c>
      <c r="I51" s="807">
        <f>'Grasmere Pig Cost'!I50+'Learig Pig Cost'!I50+'Lionhead Pig Cost'!I50+'Lionhead Ext. Pig Cost'!I50+'Villa Pig Cost'!I50+'Richlands Pig Cost'!I50</f>
        <v>0</v>
      </c>
      <c r="J51" s="807">
        <f>'Grasmere Pig Cost'!J50+'Learig Pig Cost'!J50+'Lionhead Pig Cost'!J50+'Lionhead Ext. Pig Cost'!J50+'Villa Pig Cost'!J50+'Richlands Pig Cost'!J50</f>
        <v>0</v>
      </c>
      <c r="K51" s="807">
        <f>'Grasmere Pig Cost'!K50+'Learig Pig Cost'!K50+'Lionhead Pig Cost'!K50+'Lionhead Ext. Pig Cost'!K50+'Villa Pig Cost'!K50+'Richlands Pig Cost'!K50</f>
        <v>0</v>
      </c>
      <c r="L51" s="807">
        <f>'Grasmere Pig Cost'!L50+'Learig Pig Cost'!L50+'Lionhead Pig Cost'!L50+'Lionhead Ext. Pig Cost'!L50+'Villa Pig Cost'!L50+'Richlands Pig Cost'!L50</f>
        <v>0</v>
      </c>
      <c r="M51" s="807">
        <f>'Grasmere Pig Cost'!M50+'Learig Pig Cost'!M50+'Lionhead Pig Cost'!M50+'Lionhead Ext. Pig Cost'!M50+'Villa Pig Cost'!M50+'Richlands Pig Cost'!M50+'Multiplier Pig Cost '!M50</f>
        <v>0</v>
      </c>
      <c r="N51" s="807">
        <f>'Grasmere Pig Cost'!N50+'Learig Pig Cost'!N50+'Lionhead Pig Cost'!N50+'Lionhead Ext. Pig Cost'!N50+'Villa Pig Cost'!N50+'Richlands Pig Cost'!N50+'Multiplier Pig Cost '!N50</f>
        <v>0</v>
      </c>
      <c r="O51" s="807">
        <f>'Grasmere Pig Cost'!O50+'Learig Pig Cost'!O50+'Lionhead Pig Cost'!O50+'Lionhead Ext. Pig Cost'!O50+'Villa Pig Cost'!O50+'Richlands Pig Cost'!O50+'Multiplier Pig Cost '!O50</f>
        <v>0</v>
      </c>
      <c r="P51" s="807">
        <f>'Grasmere Pig Cost'!P50+'Learig Pig Cost'!P50+'Lionhead Pig Cost'!P50+'Lionhead Ext. Pig Cost'!P50+'Villa Pig Cost'!P50+'Richlands Pig Cost'!P50+'Multiplier Pig Cost '!P50</f>
        <v>0</v>
      </c>
      <c r="Q51" s="807">
        <f>'Grasmere Pig Cost'!Q50+'Learig Pig Cost'!Q50+'Lionhead Pig Cost'!Q50+'Lionhead Ext. Pig Cost'!Q50+'Villa Pig Cost'!Q50+'Richlands Pig Cost'!Q50+'Multiplier Pig Cost '!Q50</f>
        <v>0</v>
      </c>
      <c r="R51" s="807">
        <f>'Grasmere Pig Cost'!R50+'Learig Pig Cost'!R50+'Lionhead Pig Cost'!R50+'Lionhead Ext. Pig Cost'!R50+'Villa Pig Cost'!R50+'Richlands Pig Cost'!R50+'Multiplier Pig Cost '!R50</f>
        <v>0</v>
      </c>
      <c r="S51" s="807">
        <f>'Grasmere Pig Cost'!S50+'Learig Pig Cost'!S50+'Lionhead Pig Cost'!S50+'Lionhead Ext. Pig Cost'!S50+'Villa Pig Cost'!S50+'Richlands Pig Cost'!S50+'Multiplier Pig Cost '!S50</f>
        <v>0</v>
      </c>
      <c r="T51" s="807">
        <f>'Grasmere Pig Cost'!T50+'Learig Pig Cost'!T50+'Lionhead Pig Cost'!T50+'Lionhead Ext. Pig Cost'!T50+'Villa Pig Cost'!T50+'Richlands Pig Cost'!T50+'Multiplier Pig Cost '!T50</f>
        <v>0</v>
      </c>
      <c r="U51" s="807">
        <f>'Grasmere Pig Cost'!U50+'Learig Pig Cost'!U50+'Lionhead Pig Cost'!U50+'Lionhead Ext. Pig Cost'!U50+'Villa Pig Cost'!U50+'Richlands Pig Cost'!U50+'Multiplier Pig Cost '!U50</f>
        <v>0</v>
      </c>
      <c r="V51" s="807">
        <f>'Grasmere Pig Cost'!V50+'Learig Pig Cost'!V50+'Lionhead Pig Cost'!V50+'Lionhead Ext. Pig Cost'!V50+'Villa Pig Cost'!V50+'Richlands Pig Cost'!V50+'Multiplier Pig Cost '!V50</f>
        <v>0</v>
      </c>
      <c r="W51" s="807">
        <f>'Grasmere Pig Cost'!W50+'Learig Pig Cost'!W50+'Lionhead Pig Cost'!W50+'Lionhead Ext. Pig Cost'!W50+'Villa Pig Cost'!W50+'Richlands Pig Cost'!W50+'Multiplier Pig Cost '!W50</f>
        <v>2573.1784487079153</v>
      </c>
      <c r="X51" s="807">
        <f>'Grasmere Pig Cost'!X50+'Learig Pig Cost'!X50+'Lionhead Pig Cost'!X50+'Lionhead Ext. Pig Cost'!X50+'Villa Pig Cost'!X50+'Richlands Pig Cost'!X50+'Multiplier Pig Cost '!X50</f>
        <v>2700.7746382414989</v>
      </c>
      <c r="Y51" s="807">
        <f>'Grasmere Pig Cost'!Y50+'Learig Pig Cost'!Y50+'Lionhead Pig Cost'!Y50+'Lionhead Ext. Pig Cost'!Y50+'Villa Pig Cost'!Y50+'Richlands Pig Cost'!Y50+'Multiplier Pig Cost '!Y50</f>
        <v>2070.9521307652321</v>
      </c>
      <c r="Z51" s="807">
        <f>'Grasmere Pig Cost'!Z50+'Learig Pig Cost'!Z50+'Lionhead Pig Cost'!Z50+'Lionhead Ext. Pig Cost'!Z50+'Villa Pig Cost'!Z50+'Richlands Pig Cost'!Z50+'Multiplier Pig Cost '!Z50</f>
        <v>3546.7315365311183</v>
      </c>
      <c r="AA51" s="807">
        <f>'Grasmere Pig Cost'!AA50+'Learig Pig Cost'!AA50+'Lionhead Pig Cost'!AA50+'Lionhead Ext. Pig Cost'!AA50+'Villa Pig Cost'!AA50+'Richlands Pig Cost'!AA50+'Multiplier Pig Cost '!AA50</f>
        <v>0</v>
      </c>
      <c r="AB51" s="807">
        <f>'Grasmere Pig Cost'!AB50+'Learig Pig Cost'!AB50+'Lionhead Pig Cost'!AB50+'Lionhead Ext. Pig Cost'!AB50+'Villa Pig Cost'!AB50+'Richlands Pig Cost'!AB50+'Multiplier Pig Cost '!AB50</f>
        <v>0</v>
      </c>
      <c r="AC51" s="807">
        <f>'Grasmere Pig Cost'!AC50+'Learig Pig Cost'!AC50+'Lionhead Pig Cost'!AC50+'Lionhead Ext. Pig Cost'!AC50+'Villa Pig Cost'!AC50+'Richlands Pig Cost'!AC50+'Multiplier Pig Cost '!AC50</f>
        <v>0</v>
      </c>
      <c r="AD51" s="807">
        <f>'Grasmere Pig Cost'!AD50+'Learig Pig Cost'!AD50+'Lionhead Pig Cost'!AD50+'Lionhead Ext. Pig Cost'!AD50+'Villa Pig Cost'!AD50+'Richlands Pig Cost'!AD50+'Multiplier Pig Cost '!AD50</f>
        <v>0</v>
      </c>
      <c r="AE51" s="807">
        <f>'Grasmere Pig Cost'!AE50+'Learig Pig Cost'!AE50+'Lionhead Pig Cost'!AE50+'Lionhead Ext. Pig Cost'!AE50+'Villa Pig Cost'!AE50+'Richlands Pig Cost'!AE50+'Multiplier Pig Cost '!AE50</f>
        <v>0</v>
      </c>
      <c r="AF51" s="807">
        <f>'Grasmere Pig Cost'!AF50+'Learig Pig Cost'!AF50+'Lionhead Pig Cost'!AF50+'Lionhead Ext. Pig Cost'!AF50+'Villa Pig Cost'!AF50+'Richlands Pig Cost'!AF50+'Multiplier Pig Cost '!AF50</f>
        <v>0</v>
      </c>
      <c r="AG51" s="807">
        <f>'Grasmere Pig Cost'!AG50+'Learig Pig Cost'!AG50+'Lionhead Pig Cost'!AG50+'Lionhead Ext. Pig Cost'!AG50+'Villa Pig Cost'!AG50+'Richlands Pig Cost'!AG50+'Multiplier Pig Cost '!AG50</f>
        <v>0</v>
      </c>
      <c r="AH51" s="807">
        <f>'Grasmere Pig Cost'!AH50+'Learig Pig Cost'!AH50+'Lionhead Pig Cost'!AH50+'Lionhead Ext. Pig Cost'!AH50+'Villa Pig Cost'!AH50+'Richlands Pig Cost'!AH50+'Multiplier Pig Cost '!AH50</f>
        <v>0</v>
      </c>
      <c r="AI51" s="807">
        <f>'Grasmere Pig Cost'!AI50+'Learig Pig Cost'!AI50+'Lionhead Pig Cost'!AI50+'Lionhead Ext. Pig Cost'!AI50+'Villa Pig Cost'!AI50+'Richlands Pig Cost'!AI50+'Multiplier Pig Cost '!AI50</f>
        <v>0</v>
      </c>
      <c r="AJ51" s="807">
        <f>'Grasmere Pig Cost'!AJ50+'Learig Pig Cost'!AJ50+'Lionhead Pig Cost'!AJ50+'Lionhead Ext. Pig Cost'!AJ50+'Villa Pig Cost'!AJ50+'Richlands Pig Cost'!AJ50+'Multiplier Pig Cost '!AJ50</f>
        <v>0</v>
      </c>
      <c r="AK51" s="807">
        <f>'Grasmere Pig Cost'!AK50+'Learig Pig Cost'!AK50+'Lionhead Pig Cost'!AK50+'Lionhead Ext. Pig Cost'!AK50+'Villa Pig Cost'!AK50+'Richlands Pig Cost'!AK50+'Multiplier Pig Cost '!AK50</f>
        <v>0</v>
      </c>
      <c r="AL51" s="807">
        <f>'Grasmere Pig Cost'!AL50+'Learig Pig Cost'!AL50+'Lionhead Pig Cost'!AL50+'Lionhead Ext. Pig Cost'!AL50+'Villa Pig Cost'!AL50+'Richlands Pig Cost'!AL50+'Multiplier Pig Cost '!AL50</f>
        <v>0</v>
      </c>
      <c r="AM51" s="807">
        <f>'Grasmere Pig Cost'!AM50+'Learig Pig Cost'!AM50+'Lionhead Pig Cost'!AM50+'Lionhead Ext. Pig Cost'!AM50+'Villa Pig Cost'!AM50+'Richlands Pig Cost'!AM50+'Multiplier Pig Cost '!AM50</f>
        <v>0</v>
      </c>
      <c r="AN51" s="807">
        <f>'Grasmere Pig Cost'!AN50+'Learig Pig Cost'!AN50+'Lionhead Pig Cost'!AN50+'Lionhead Ext. Pig Cost'!AN50+'Villa Pig Cost'!AN50+'Richlands Pig Cost'!AN50+'Multiplier Pig Cost '!AN50</f>
        <v>0</v>
      </c>
      <c r="AO51" s="807">
        <f>'Grasmere Pig Cost'!AO50+'Learig Pig Cost'!AO50+'Lionhead Pig Cost'!AO50+'Lionhead Ext. Pig Cost'!AO50+'Villa Pig Cost'!AO50+'Richlands Pig Cost'!AO50+'Multiplier Pig Cost '!AO50</f>
        <v>0</v>
      </c>
      <c r="AP51" s="807">
        <f>'Grasmere Pig Cost'!AP50+'Learig Pig Cost'!AP50+'Lionhead Pig Cost'!AP50+'Lionhead Ext. Pig Cost'!AP50+'Villa Pig Cost'!AP50+'Richlands Pig Cost'!AP50+'Multiplier Pig Cost '!AP50</f>
        <v>0</v>
      </c>
      <c r="AQ51" s="807">
        <f>'Grasmere Pig Cost'!AQ50+'Learig Pig Cost'!AQ50+'Lionhead Pig Cost'!AQ50+'Lionhead Ext. Pig Cost'!AQ50+'Villa Pig Cost'!AQ50+'Richlands Pig Cost'!AQ50+'Multiplier Pig Cost '!AQ50</f>
        <v>0</v>
      </c>
      <c r="AR51" s="807">
        <f>'Grasmere Pig Cost'!AR50+'Learig Pig Cost'!AR50+'Lionhead Pig Cost'!AR50+'Lionhead Ext. Pig Cost'!AR50+'Villa Pig Cost'!AR50+'Richlands Pig Cost'!AR50+'Multiplier Pig Cost '!AR50</f>
        <v>0</v>
      </c>
      <c r="AS51" s="807">
        <f>'Grasmere Pig Cost'!AS50+'Learig Pig Cost'!AS50+'Lionhead Pig Cost'!AS50+'Lionhead Ext. Pig Cost'!AS50+'Villa Pig Cost'!AS50+'Richlands Pig Cost'!AS50+'Multiplier Pig Cost '!AS50</f>
        <v>0</v>
      </c>
      <c r="AT51" s="807">
        <f>'Grasmere Pig Cost'!AT50+'Learig Pig Cost'!AT50+'Lionhead Pig Cost'!AT50+'Lionhead Ext. Pig Cost'!AT50+'Villa Pig Cost'!AT50+'Richlands Pig Cost'!AT50+'Multiplier Pig Cost '!AT50</f>
        <v>0</v>
      </c>
      <c r="AU51" s="1631">
        <f t="shared" si="24"/>
        <v>10891.636754245765</v>
      </c>
      <c r="AV51" s="1631">
        <f>'Grasmere Pig Cost'!AU50+'Learig Pig Cost'!AU50+'Lionhead Pig Cost'!AU50+'Lionhead Ext. Pig Cost'!AU50+'Villa Pig Cost'!AU50+'Richlands Pig Cost'!AU50+'Multiplier Pig Cost '!AU50</f>
        <v>10891.636754245765</v>
      </c>
      <c r="AW51" s="818"/>
      <c r="AX51" s="1059"/>
      <c r="AY51" s="1059"/>
      <c r="AZ51" s="1059"/>
      <c r="BA51" s="142">
        <f>1517879-1517639</f>
        <v>240</v>
      </c>
      <c r="BD51" s="1059">
        <f t="shared" si="16"/>
        <v>10891.636754245765</v>
      </c>
      <c r="BE51" s="1059"/>
    </row>
    <row r="52" spans="1:58" ht="15.6">
      <c r="A52" s="142" t="str">
        <f t="shared" ref="A52:A53" si="25">+A19</f>
        <v>Transfers Multiplier</v>
      </c>
      <c r="B52" s="807"/>
      <c r="C52" s="807"/>
      <c r="D52" s="807"/>
      <c r="E52" s="807"/>
      <c r="F52" s="807"/>
      <c r="G52" s="807"/>
      <c r="H52" s="807"/>
      <c r="I52" s="807"/>
      <c r="J52" s="807"/>
      <c r="K52" s="807"/>
      <c r="L52" s="807"/>
      <c r="M52" s="807">
        <f>'Grasmere Pig Cost'!M51+'Learig Pig Cost'!M51+'Lionhead Pig Cost'!M51+'Lionhead Ext. Pig Cost'!L51+'Villa Pig Cost'!M51+'Richlands Pig Cost'!M51+'Porta Pig Cost'!M51</f>
        <v>0</v>
      </c>
      <c r="N52" s="807">
        <f>'Grasmere Pig Cost'!N51+'Learig Pig Cost'!N51+'Lionhead Pig Cost'!N51+'Lionhead Ext. Pig Cost'!M51+'Villa Pig Cost'!N51+'Richlands Pig Cost'!N51+'Porta Pig Cost'!N51</f>
        <v>0</v>
      </c>
      <c r="O52" s="807">
        <f>'Grasmere Pig Cost'!O51+'Learig Pig Cost'!O51+'Lionhead Pig Cost'!O51+'Lionhead Ext. Pig Cost'!N51+'Villa Pig Cost'!O51+'Richlands Pig Cost'!O51+'Porta Pig Cost'!O51</f>
        <v>0</v>
      </c>
      <c r="P52" s="807">
        <f>'Grasmere Pig Cost'!P51+'Learig Pig Cost'!P51+'Lionhead Pig Cost'!P51+'Lionhead Ext. Pig Cost'!O51+'Villa Pig Cost'!P51+'Richlands Pig Cost'!P51+'Porta Pig Cost'!P51</f>
        <v>0</v>
      </c>
      <c r="Q52" s="807">
        <f>'Grasmere Pig Cost'!Q51+'Learig Pig Cost'!Q51+'Lionhead Pig Cost'!Q51+'Lionhead Ext. Pig Cost'!P51+'Villa Pig Cost'!Q51+'Richlands Pig Cost'!Q51+'Porta Pig Cost'!Q51</f>
        <v>0</v>
      </c>
      <c r="R52" s="807">
        <f>'Grasmere Pig Cost'!R51+'Learig Pig Cost'!R51+'Lionhead Pig Cost'!R51+'Lionhead Ext. Pig Cost'!Q51+'Villa Pig Cost'!R51+'Richlands Pig Cost'!R51+'Porta Pig Cost'!R51</f>
        <v>0</v>
      </c>
      <c r="S52" s="807">
        <f>'Grasmere Pig Cost'!S51+'Learig Pig Cost'!S51+'Lionhead Pig Cost'!S51+'Lionhead Ext. Pig Cost'!R51+'Villa Pig Cost'!S51+'Richlands Pig Cost'!S51+'Porta Pig Cost'!S51</f>
        <v>0</v>
      </c>
      <c r="T52" s="807">
        <f>'Grasmere Pig Cost'!T51+'Learig Pig Cost'!T51+'Lionhead Pig Cost'!T51+'Lionhead Ext. Pig Cost'!S51+'Villa Pig Cost'!T51+'Richlands Pig Cost'!T51+'Porta Pig Cost'!T51</f>
        <v>0</v>
      </c>
      <c r="U52" s="807">
        <f>'Grasmere Pig Cost'!U51+'Learig Pig Cost'!U51+'Lionhead Pig Cost'!U51+'Lionhead Ext. Pig Cost'!T51+'Villa Pig Cost'!U51+'Richlands Pig Cost'!U51+'Porta Pig Cost'!U51</f>
        <v>0</v>
      </c>
      <c r="V52" s="807">
        <f>'Grasmere Pig Cost'!V51+'Learig Pig Cost'!V51+'Lionhead Pig Cost'!V51+'Lionhead Ext. Pig Cost'!U51+'Villa Pig Cost'!V51+'Richlands Pig Cost'!V51+'Porta Pig Cost'!V51</f>
        <v>0</v>
      </c>
      <c r="W52" s="807">
        <f>'Grasmere Pig Cost'!W51+'Learig Pig Cost'!W51+'Lionhead Pig Cost'!W51+'Lionhead Ext. Pig Cost'!V51+'Villa Pig Cost'!W51+'Richlands Pig Cost'!W51+'Porta Pig Cost'!W51</f>
        <v>0</v>
      </c>
      <c r="X52" s="807">
        <f>'Grasmere Pig Cost'!X51+'Learig Pig Cost'!X51+'Lionhead Pig Cost'!X51+'Lionhead Ext. Pig Cost'!W51+'Villa Pig Cost'!X51+'Richlands Pig Cost'!X51+'Porta Pig Cost'!X51</f>
        <v>0</v>
      </c>
      <c r="Y52" s="807">
        <f>'Grasmere Pig Cost'!Y51+'Learig Pig Cost'!Y51+'Lionhead Pig Cost'!Y51+'Lionhead Ext. Pig Cost'!X51+'Villa Pig Cost'!Y51+'Richlands Pig Cost'!Y51+'Porta Pig Cost'!Y51</f>
        <v>0</v>
      </c>
      <c r="Z52" s="807">
        <f>'Grasmere Pig Cost'!Z51+'Learig Pig Cost'!Z51+'Lionhead Pig Cost'!Z51+'Lionhead Ext. Pig Cost'!Y51+'Villa Pig Cost'!Z51+'Richlands Pig Cost'!Z51+'Porta Pig Cost'!Z51</f>
        <v>0</v>
      </c>
      <c r="AA52" s="807">
        <f>'Grasmere Pig Cost'!AA51+'Learig Pig Cost'!AA51+'Lionhead Pig Cost'!AA51+'Lionhead Ext. Pig Cost'!Z51+'Villa Pig Cost'!AA51+'Richlands Pig Cost'!AA51+'Porta Pig Cost'!AA51</f>
        <v>0</v>
      </c>
      <c r="AB52" s="807">
        <f>'Grasmere Pig Cost'!AB51+'Learig Pig Cost'!AB51+'Lionhead Pig Cost'!AB51+'Lionhead Ext. Pig Cost'!AA51+'Villa Pig Cost'!AB51+'Richlands Pig Cost'!AB51+'Porta Pig Cost'!AB51</f>
        <v>0</v>
      </c>
      <c r="AC52" s="807">
        <f>'Grasmere Pig Cost'!AC51+'Learig Pig Cost'!AC51+'Lionhead Pig Cost'!AC51+'Lionhead Ext. Pig Cost'!AB51+'Villa Pig Cost'!AC51+'Richlands Pig Cost'!AC51+'Porta Pig Cost'!AC51</f>
        <v>0</v>
      </c>
      <c r="AD52" s="807">
        <f>'Grasmere Pig Cost'!AD51+'Learig Pig Cost'!AD51+'Lionhead Pig Cost'!AD51+'Lionhead Ext. Pig Cost'!AC51+'Villa Pig Cost'!AD51+'Richlands Pig Cost'!AD51+'Porta Pig Cost'!AD51</f>
        <v>0</v>
      </c>
      <c r="AE52" s="807">
        <f>'Grasmere Pig Cost'!AE51+'Learig Pig Cost'!AE51+'Lionhead Pig Cost'!AE51+'Lionhead Ext. Pig Cost'!AD51+'Villa Pig Cost'!AE51+'Richlands Pig Cost'!AE51+'Porta Pig Cost'!AE51</f>
        <v>0</v>
      </c>
      <c r="AF52" s="807">
        <f>'Grasmere Pig Cost'!AF51+'Learig Pig Cost'!AF51+'Lionhead Pig Cost'!AF51+'Lionhead Ext. Pig Cost'!AE51+'Villa Pig Cost'!AF51+'Richlands Pig Cost'!AF51+'Porta Pig Cost'!AF51</f>
        <v>0</v>
      </c>
      <c r="AG52" s="807">
        <f>'Grasmere Pig Cost'!AG51+'Learig Pig Cost'!AG51+'Lionhead Pig Cost'!AG51+'Lionhead Ext. Pig Cost'!AF51+'Villa Pig Cost'!AG51+'Richlands Pig Cost'!AG51+'Porta Pig Cost'!AG51</f>
        <v>0</v>
      </c>
      <c r="AH52" s="807">
        <f>'Grasmere Pig Cost'!AH51+'Learig Pig Cost'!AH51+'Lionhead Pig Cost'!AH51+'Lionhead Ext. Pig Cost'!AG51+'Villa Pig Cost'!AH51+'Richlands Pig Cost'!AH51+'Porta Pig Cost'!AH51</f>
        <v>0</v>
      </c>
      <c r="AI52" s="807">
        <f>'Grasmere Pig Cost'!AI51+'Learig Pig Cost'!AI51+'Lionhead Pig Cost'!AI51+'Lionhead Ext. Pig Cost'!AH51+'Villa Pig Cost'!AI51+'Richlands Pig Cost'!AI51+'Porta Pig Cost'!AI51</f>
        <v>0</v>
      </c>
      <c r="AJ52" s="807">
        <f>'Grasmere Pig Cost'!AJ51+'Learig Pig Cost'!AJ51+'Lionhead Pig Cost'!AJ51+'Lionhead Ext. Pig Cost'!AI51+'Villa Pig Cost'!AJ51+'Richlands Pig Cost'!AJ51+'Porta Pig Cost'!AJ51</f>
        <v>0</v>
      </c>
      <c r="AK52" s="807">
        <f>'Grasmere Pig Cost'!AK51+'Learig Pig Cost'!AK51+'Lionhead Pig Cost'!AK51+'Lionhead Ext. Pig Cost'!AJ51+'Villa Pig Cost'!AK51+'Richlands Pig Cost'!AK51+'Porta Pig Cost'!AK51</f>
        <v>0</v>
      </c>
      <c r="AL52" s="807">
        <f>'Grasmere Pig Cost'!AL51+'Learig Pig Cost'!AL51+'Lionhead Pig Cost'!AL51+'Lionhead Ext. Pig Cost'!AK51+'Villa Pig Cost'!AL51+'Richlands Pig Cost'!AL51+'Porta Pig Cost'!AL51</f>
        <v>0</v>
      </c>
      <c r="AM52" s="807">
        <f>'Grasmere Pig Cost'!AM51+'Learig Pig Cost'!AM51+'Lionhead Pig Cost'!AM51+'Lionhead Ext. Pig Cost'!AL51+'Villa Pig Cost'!AM51+'Richlands Pig Cost'!AM51+'Porta Pig Cost'!AM51</f>
        <v>0</v>
      </c>
      <c r="AN52" s="807">
        <f>'Grasmere Pig Cost'!AN51+'Learig Pig Cost'!AN51+'Lionhead Pig Cost'!AN51+'Lionhead Ext. Pig Cost'!AM51+'Villa Pig Cost'!AN51+'Richlands Pig Cost'!AN51+'Porta Pig Cost'!AN51</f>
        <v>0</v>
      </c>
      <c r="AO52" s="807">
        <f>'Grasmere Pig Cost'!AO51+'Learig Pig Cost'!AO51+'Lionhead Pig Cost'!AO51+'Lionhead Ext. Pig Cost'!AN51+'Villa Pig Cost'!AO51+'Richlands Pig Cost'!AO51+'Porta Pig Cost'!AO51</f>
        <v>0</v>
      </c>
      <c r="AP52" s="807">
        <f>'Grasmere Pig Cost'!AP51+'Learig Pig Cost'!AP51+'Lionhead Pig Cost'!AP51+'Lionhead Ext. Pig Cost'!AO51+'Villa Pig Cost'!AP51+'Richlands Pig Cost'!AP51+'Porta Pig Cost'!AP51</f>
        <v>0</v>
      </c>
      <c r="AQ52" s="807">
        <f>'Grasmere Pig Cost'!AQ51+'Learig Pig Cost'!AQ51+'Lionhead Pig Cost'!AQ51+'Lionhead Ext. Pig Cost'!AP51+'Villa Pig Cost'!AQ51+'Richlands Pig Cost'!AQ51+'Porta Pig Cost'!AQ51</f>
        <v>0</v>
      </c>
      <c r="AR52" s="807">
        <f>'Grasmere Pig Cost'!AR51+'Learig Pig Cost'!AR51+'Lionhead Pig Cost'!AR51+'Lionhead Ext. Pig Cost'!AQ51+'Villa Pig Cost'!AR51+'Richlands Pig Cost'!AR51+'Porta Pig Cost'!AR51</f>
        <v>0</v>
      </c>
      <c r="AS52" s="807">
        <f>'Grasmere Pig Cost'!AS51+'Learig Pig Cost'!AS51+'Lionhead Pig Cost'!AS51+'Lionhead Ext. Pig Cost'!AR51+'Villa Pig Cost'!AS51+'Richlands Pig Cost'!AS51+'Porta Pig Cost'!AS51</f>
        <v>0</v>
      </c>
      <c r="AT52" s="807">
        <f>'Grasmere Pig Cost'!AT51+'Learig Pig Cost'!AT51+'Lionhead Pig Cost'!AT51+'Lionhead Ext. Pig Cost'!AS51+'Villa Pig Cost'!AT51+'Richlands Pig Cost'!AT51+'Porta Pig Cost'!AT51</f>
        <v>0</v>
      </c>
      <c r="AU52" s="1631">
        <f t="shared" si="24"/>
        <v>0</v>
      </c>
      <c r="AV52" s="1631">
        <f>'Grasmere Pig Cost'!AU51+'Learig Pig Cost'!AU51+'Lionhead Pig Cost'!AU51+'Lionhead Ext. Pig Cost'!AU51+'Villa Pig Cost'!AU51+'Richlands Pig Cost'!AU51+'Porta Pig Cost'!AU18</f>
        <v>0</v>
      </c>
      <c r="AW52" s="818"/>
      <c r="AX52" s="1059"/>
      <c r="AY52" s="1059">
        <f>67930-AX40</f>
        <v>-63042.399999999994</v>
      </c>
      <c r="AZ52" s="1059"/>
      <c r="BD52" s="1059">
        <f t="shared" si="16"/>
        <v>0</v>
      </c>
      <c r="BE52" s="1059"/>
    </row>
    <row r="53" spans="1:58" ht="15.6">
      <c r="A53" s="142">
        <f t="shared" si="25"/>
        <v>0</v>
      </c>
      <c r="B53" s="807"/>
      <c r="C53" s="807"/>
      <c r="D53" s="807"/>
      <c r="E53" s="807"/>
      <c r="F53" s="807"/>
      <c r="G53" s="807"/>
      <c r="H53" s="807"/>
      <c r="I53" s="807"/>
      <c r="J53" s="807"/>
      <c r="K53" s="807"/>
      <c r="L53" s="807"/>
      <c r="M53" s="807"/>
      <c r="N53" s="807"/>
      <c r="O53" s="807"/>
      <c r="P53" s="807"/>
      <c r="Q53" s="807"/>
      <c r="R53" s="807"/>
      <c r="S53" s="807"/>
      <c r="T53" s="807"/>
      <c r="U53" s="807"/>
      <c r="V53" s="807"/>
      <c r="W53" s="807"/>
      <c r="X53" s="807"/>
      <c r="Y53" s="807"/>
      <c r="Z53" s="807"/>
      <c r="AA53" s="807"/>
      <c r="AB53" s="807"/>
      <c r="AC53" s="807"/>
      <c r="AD53" s="807"/>
      <c r="AE53" s="807"/>
      <c r="AF53" s="807"/>
      <c r="AG53" s="807"/>
      <c r="AH53" s="807"/>
      <c r="AI53" s="807"/>
      <c r="AJ53" s="807"/>
      <c r="AK53" s="807"/>
      <c r="AL53" s="807"/>
      <c r="AM53" s="807"/>
      <c r="AN53" s="807"/>
      <c r="AO53" s="807"/>
      <c r="AP53" s="807"/>
      <c r="AQ53" s="807"/>
      <c r="AR53" s="807"/>
      <c r="AS53" s="807"/>
      <c r="AT53" s="807"/>
      <c r="AU53" s="1631"/>
      <c r="AV53" s="1631"/>
      <c r="AW53" s="818"/>
      <c r="AX53" s="1059"/>
      <c r="AY53" s="1059"/>
      <c r="AZ53" s="1059"/>
      <c r="BD53" s="1059">
        <f t="shared" si="16"/>
        <v>0</v>
      </c>
      <c r="BE53" s="1059"/>
    </row>
    <row r="54" spans="1:58" ht="15.6">
      <c r="A54" s="142" t="str">
        <f>+A21</f>
        <v>Transfers  Boars</v>
      </c>
      <c r="B54" s="807">
        <f>+'Grasmere Pig Cost'!B53+'Learig Pig Cost'!B53+'Lionhead Pig Cost'!B53+'Lionhead Ext. Pig Cost'!B53+'Villa Pig Cost'!B53+'Richlands Pig Cost'!B53+'Porta Pig Cost'!B53</f>
        <v>0</v>
      </c>
      <c r="C54" s="807">
        <f>+'Grasmere Pig Cost'!C53+'Learig Pig Cost'!C53+'Lionhead Pig Cost'!C53+'Lionhead Ext. Pig Cost'!C53+'Villa Pig Cost'!C53+'Richlands Pig Cost'!C53+'Porta Pig Cost'!C53</f>
        <v>0</v>
      </c>
      <c r="D54" s="807">
        <f>+'Grasmere Pig Cost'!D53+'Learig Pig Cost'!D53+'Lionhead Pig Cost'!D53+'Lionhead Ext. Pig Cost'!D53+'Villa Pig Cost'!D53+'Richlands Pig Cost'!D53+'Porta Pig Cost'!D53</f>
        <v>0</v>
      </c>
      <c r="E54" s="807">
        <f>+'Grasmere Pig Cost'!E53+'Learig Pig Cost'!E53+'Lionhead Pig Cost'!E53+'Lionhead Ext. Pig Cost'!E53+'Villa Pig Cost'!E53+'Richlands Pig Cost'!E53+'Porta Pig Cost'!E53</f>
        <v>0</v>
      </c>
      <c r="F54" s="807">
        <f>+'Grasmere Pig Cost'!F53+'Learig Pig Cost'!F53+'Lionhead Pig Cost'!F53+'Lionhead Ext. Pig Cost'!F53+'Villa Pig Cost'!F53+'Richlands Pig Cost'!F53+'Porta Pig Cost'!F53</f>
        <v>0</v>
      </c>
      <c r="G54" s="807">
        <f>+'Grasmere Pig Cost'!G53+'Learig Pig Cost'!G53+'Lionhead Pig Cost'!G53+'Lionhead Ext. Pig Cost'!G53+'Villa Pig Cost'!G53+'Richlands Pig Cost'!G53+'Porta Pig Cost'!G53</f>
        <v>0</v>
      </c>
      <c r="H54" s="807">
        <f>+'Grasmere Pig Cost'!H53+'Learig Pig Cost'!H53+'Lionhead Pig Cost'!H53+'Lionhead Ext. Pig Cost'!H53+'Villa Pig Cost'!H53+'Richlands Pig Cost'!H53+'Porta Pig Cost'!H53</f>
        <v>0</v>
      </c>
      <c r="I54" s="807">
        <f>+'Grasmere Pig Cost'!I53+'Learig Pig Cost'!I53+'Lionhead Pig Cost'!I53+'Lionhead Ext. Pig Cost'!I53+'Villa Pig Cost'!I53+'Richlands Pig Cost'!I53+'Porta Pig Cost'!I53</f>
        <v>0</v>
      </c>
      <c r="J54" s="807">
        <f>+'Grasmere Pig Cost'!J53+'Learig Pig Cost'!J53+'Lionhead Pig Cost'!J53+'Lionhead Ext. Pig Cost'!J53+'Villa Pig Cost'!J53+'Richlands Pig Cost'!J53+'Porta Pig Cost'!J53</f>
        <v>0</v>
      </c>
      <c r="K54" s="807">
        <f>+'Grasmere Pig Cost'!K53+'Learig Pig Cost'!K53+'Lionhead Pig Cost'!K53+'Lionhead Ext. Pig Cost'!K53+'Villa Pig Cost'!K53+'Richlands Pig Cost'!K53+'Porta Pig Cost'!K53</f>
        <v>0</v>
      </c>
      <c r="L54" s="807">
        <f>+'Grasmere Pig Cost'!L53+'Learig Pig Cost'!L53+'Lionhead Pig Cost'!L53+'Lionhead Ext. Pig Cost'!L53+'Villa Pig Cost'!L53+'Richlands Pig Cost'!L53+'Porta Pig Cost'!L53</f>
        <v>0</v>
      </c>
      <c r="M54" s="807">
        <f>+'Grasmere Pig Cost'!M53+'Learig Pig Cost'!M53+'Lionhead Pig Cost'!M53+'Lionhead Ext. Pig Cost'!M53+'Villa Pig Cost'!M53+'Richlands Pig Cost'!M53+'Porta Pig Cost'!M53+'Multiplier Pig Cost '!M53</f>
        <v>0</v>
      </c>
      <c r="N54" s="807">
        <f>+'Grasmere Pig Cost'!N53+'Learig Pig Cost'!N53+'Lionhead Pig Cost'!N53+'Lionhead Ext. Pig Cost'!N53+'Villa Pig Cost'!N53+'Richlands Pig Cost'!N53+'Porta Pig Cost'!N53+'Multiplier Pig Cost '!N53</f>
        <v>0</v>
      </c>
      <c r="O54" s="807">
        <f>+'Grasmere Pig Cost'!O53+'Learig Pig Cost'!O53+'Lionhead Pig Cost'!O53+'Lionhead Ext. Pig Cost'!O53+'Villa Pig Cost'!O53+'Richlands Pig Cost'!O53+'Porta Pig Cost'!O53+'Multiplier Pig Cost '!O53</f>
        <v>0</v>
      </c>
      <c r="P54" s="807">
        <f>+'Grasmere Pig Cost'!P53+'Learig Pig Cost'!P53+'Lionhead Pig Cost'!P53+'Lionhead Ext. Pig Cost'!P53+'Villa Pig Cost'!P53+'Richlands Pig Cost'!P53+'Porta Pig Cost'!P53+'Multiplier Pig Cost '!P53</f>
        <v>0</v>
      </c>
      <c r="Q54" s="807">
        <f>+'Grasmere Pig Cost'!Q53+'Learig Pig Cost'!Q53+'Lionhead Pig Cost'!Q53+'Lionhead Ext. Pig Cost'!Q53+'Villa Pig Cost'!Q53+'Richlands Pig Cost'!Q53+'Porta Pig Cost'!Q53+'Multiplier Pig Cost '!Q53</f>
        <v>0</v>
      </c>
      <c r="R54" s="807">
        <f>+'Grasmere Pig Cost'!R53+'Learig Pig Cost'!R53+'Lionhead Pig Cost'!R53+'Lionhead Ext. Pig Cost'!R53+'Villa Pig Cost'!R53+'Richlands Pig Cost'!R53+'Porta Pig Cost'!R53+'Multiplier Pig Cost '!R53</f>
        <v>0</v>
      </c>
      <c r="S54" s="807">
        <f>+'Grasmere Pig Cost'!S53+'Learig Pig Cost'!S53+'Lionhead Pig Cost'!S53+'Lionhead Ext. Pig Cost'!S53+'Villa Pig Cost'!S53+'Richlands Pig Cost'!S53+'Porta Pig Cost'!S53+'Multiplier Pig Cost '!S53</f>
        <v>0</v>
      </c>
      <c r="T54" s="807">
        <f>+'Grasmere Pig Cost'!T53+'Learig Pig Cost'!T53+'Lionhead Pig Cost'!T53+'Lionhead Ext. Pig Cost'!T53+'Villa Pig Cost'!T53+'Richlands Pig Cost'!T53+'Porta Pig Cost'!T53+'Multiplier Pig Cost '!T53</f>
        <v>0</v>
      </c>
      <c r="U54" s="807">
        <f>+'Grasmere Pig Cost'!U53+'Learig Pig Cost'!U53+'Lionhead Pig Cost'!U53+'Lionhead Ext. Pig Cost'!U53+'Villa Pig Cost'!U53+'Richlands Pig Cost'!U53+'Porta Pig Cost'!U53+'Multiplier Pig Cost '!U53</f>
        <v>0</v>
      </c>
      <c r="V54" s="807">
        <f>+'Grasmere Pig Cost'!V53+'Learig Pig Cost'!V53+'Lionhead Pig Cost'!V53+'Lionhead Ext. Pig Cost'!V53+'Villa Pig Cost'!V53+'Richlands Pig Cost'!V53+'Porta Pig Cost'!V53+'Multiplier Pig Cost '!V53</f>
        <v>0</v>
      </c>
      <c r="W54" s="807">
        <f>+'Grasmere Pig Cost'!W53+'Learig Pig Cost'!W53+'Lionhead Pig Cost'!W53+'Lionhead Ext. Pig Cost'!W53+'Villa Pig Cost'!W53+'Richlands Pig Cost'!W53+'Porta Pig Cost'!W53+'Multiplier Pig Cost '!W53</f>
        <v>0</v>
      </c>
      <c r="X54" s="807">
        <f>+'Grasmere Pig Cost'!X53+'Learig Pig Cost'!X53+'Lionhead Pig Cost'!X53+'Lionhead Ext. Pig Cost'!X53+'Villa Pig Cost'!X53+'Richlands Pig Cost'!X53+'Porta Pig Cost'!X53+'Multiplier Pig Cost '!X53</f>
        <v>0</v>
      </c>
      <c r="Y54" s="807">
        <f>+'Grasmere Pig Cost'!Y53+'Learig Pig Cost'!Y53+'Lionhead Pig Cost'!Y53+'Lionhead Ext. Pig Cost'!Y53+'Villa Pig Cost'!Y53+'Richlands Pig Cost'!Y53+'Porta Pig Cost'!Y53+'Multiplier Pig Cost '!Y53</f>
        <v>0</v>
      </c>
      <c r="Z54" s="807">
        <f>+'Grasmere Pig Cost'!Z53+'Learig Pig Cost'!Z53+'Lionhead Pig Cost'!Z53+'Lionhead Ext. Pig Cost'!Z53+'Villa Pig Cost'!Z53+'Richlands Pig Cost'!Z53+'Porta Pig Cost'!Z53+'Multiplier Pig Cost '!Z53</f>
        <v>0</v>
      </c>
      <c r="AA54" s="807">
        <f>+'Grasmere Pig Cost'!AA53+'Learig Pig Cost'!AA53+'Lionhead Pig Cost'!AA53+'Lionhead Ext. Pig Cost'!AA53+'Villa Pig Cost'!AA53+'Richlands Pig Cost'!AA53+'Porta Pig Cost'!AA53+'Multiplier Pig Cost '!AA53</f>
        <v>0</v>
      </c>
      <c r="AB54" s="807">
        <f>+'Grasmere Pig Cost'!AB53+'Learig Pig Cost'!AB53+'Lionhead Pig Cost'!AB53+'Lionhead Ext. Pig Cost'!AB53+'Villa Pig Cost'!AB53+'Richlands Pig Cost'!AB53+'Porta Pig Cost'!AB53+'Multiplier Pig Cost '!AB53</f>
        <v>0</v>
      </c>
      <c r="AC54" s="807">
        <f>+'Grasmere Pig Cost'!AC53+'Learig Pig Cost'!AC53+'Lionhead Pig Cost'!AC53+'Lionhead Ext. Pig Cost'!AC53+'Villa Pig Cost'!AC53+'Richlands Pig Cost'!AC53+'Porta Pig Cost'!AC53+'Multiplier Pig Cost '!AC53</f>
        <v>0</v>
      </c>
      <c r="AD54" s="807">
        <f>+'Grasmere Pig Cost'!AD53+'Learig Pig Cost'!AD53+'Lionhead Pig Cost'!AD53+'Lionhead Ext. Pig Cost'!AD53+'Villa Pig Cost'!AD53+'Richlands Pig Cost'!AD53+'Porta Pig Cost'!AD53+'Multiplier Pig Cost '!AD53</f>
        <v>0</v>
      </c>
      <c r="AE54" s="807">
        <f>+'Grasmere Pig Cost'!AE53+'Learig Pig Cost'!AE53+'Lionhead Pig Cost'!AE53+'Lionhead Ext. Pig Cost'!AE53+'Villa Pig Cost'!AE53+'Richlands Pig Cost'!AE53+'Porta Pig Cost'!AE53+'Multiplier Pig Cost '!AE53</f>
        <v>0</v>
      </c>
      <c r="AF54" s="807">
        <f>+'Grasmere Pig Cost'!AF53+'Learig Pig Cost'!AF53+'Lionhead Pig Cost'!AF53+'Lionhead Ext. Pig Cost'!AF53+'Villa Pig Cost'!AF53+'Richlands Pig Cost'!AF53+'Porta Pig Cost'!AF53+'Multiplier Pig Cost '!AF53</f>
        <v>0</v>
      </c>
      <c r="AG54" s="807">
        <f>+'Grasmere Pig Cost'!AG53+'Learig Pig Cost'!AG53+'Lionhead Pig Cost'!AG53+'Lionhead Ext. Pig Cost'!AG53+'Villa Pig Cost'!AG53+'Richlands Pig Cost'!AG53+'Porta Pig Cost'!AG53+'Multiplier Pig Cost '!AG53</f>
        <v>0</v>
      </c>
      <c r="AH54" s="807">
        <f>+'Grasmere Pig Cost'!AH53+'Learig Pig Cost'!AH53+'Lionhead Pig Cost'!AH53+'Lionhead Ext. Pig Cost'!AH53+'Villa Pig Cost'!AH53+'Richlands Pig Cost'!AH53+'Porta Pig Cost'!AH53+'Multiplier Pig Cost '!AH53</f>
        <v>0</v>
      </c>
      <c r="AI54" s="807">
        <f>+'Grasmere Pig Cost'!AI53+'Learig Pig Cost'!AI53+'Lionhead Pig Cost'!AI53+'Lionhead Ext. Pig Cost'!AI53+'Villa Pig Cost'!AI53+'Richlands Pig Cost'!AI53+'Porta Pig Cost'!AI53+'Multiplier Pig Cost '!AI53</f>
        <v>0</v>
      </c>
      <c r="AJ54" s="807">
        <f>+'Grasmere Pig Cost'!AJ53+'Learig Pig Cost'!AJ53+'Lionhead Pig Cost'!AJ53+'Lionhead Ext. Pig Cost'!AJ53+'Villa Pig Cost'!AJ53+'Richlands Pig Cost'!AJ53+'Porta Pig Cost'!AJ53+'Multiplier Pig Cost '!AJ53</f>
        <v>0</v>
      </c>
      <c r="AK54" s="807">
        <f>+'Grasmere Pig Cost'!AK53+'Learig Pig Cost'!AK53+'Lionhead Pig Cost'!AK53+'Lionhead Ext. Pig Cost'!AK53+'Villa Pig Cost'!AK53+'Richlands Pig Cost'!AK53+'Porta Pig Cost'!AK53+'Multiplier Pig Cost '!AK53</f>
        <v>0</v>
      </c>
      <c r="AL54" s="807">
        <f>+'Grasmere Pig Cost'!AL53+'Learig Pig Cost'!AL53+'Lionhead Pig Cost'!AL53+'Lionhead Ext. Pig Cost'!AL53+'Villa Pig Cost'!AL53+'Richlands Pig Cost'!AL53+'Porta Pig Cost'!AL53+'Multiplier Pig Cost '!AL53</f>
        <v>0</v>
      </c>
      <c r="AM54" s="807">
        <f>+'Grasmere Pig Cost'!AM53+'Learig Pig Cost'!AM53+'Lionhead Pig Cost'!AM53+'Lionhead Ext. Pig Cost'!AM53+'Villa Pig Cost'!AM53+'Richlands Pig Cost'!AM53+'Porta Pig Cost'!AM53+'Multiplier Pig Cost '!AM53</f>
        <v>0</v>
      </c>
      <c r="AN54" s="807">
        <f>+'Grasmere Pig Cost'!AN53+'Learig Pig Cost'!AN53+'Lionhead Pig Cost'!AN53+'Lionhead Ext. Pig Cost'!AN53+'Villa Pig Cost'!AN53+'Richlands Pig Cost'!AN53+'Porta Pig Cost'!AN53+'Multiplier Pig Cost '!AN53</f>
        <v>0</v>
      </c>
      <c r="AO54" s="807">
        <f>+'Grasmere Pig Cost'!AO53+'Learig Pig Cost'!AO53+'Lionhead Pig Cost'!AO53+'Lionhead Ext. Pig Cost'!AO53+'Villa Pig Cost'!AO53+'Richlands Pig Cost'!AO53+'Porta Pig Cost'!AO53+'Multiplier Pig Cost '!AO53</f>
        <v>0</v>
      </c>
      <c r="AP54" s="807">
        <f>+'Grasmere Pig Cost'!AP53+'Learig Pig Cost'!AP53+'Lionhead Pig Cost'!AP53+'Lionhead Ext. Pig Cost'!AP53+'Villa Pig Cost'!AP53+'Richlands Pig Cost'!AP53+'Porta Pig Cost'!AP53+'Multiplier Pig Cost '!AP53</f>
        <v>-510.56848015285124</v>
      </c>
      <c r="AQ54" s="807">
        <f>+'Grasmere Pig Cost'!AQ53+'Learig Pig Cost'!AQ53+'Lionhead Pig Cost'!AQ53+'Lionhead Ext. Pig Cost'!AQ53+'Villa Pig Cost'!AQ53+'Richlands Pig Cost'!AQ53+'Porta Pig Cost'!AQ53+'Multiplier Pig Cost '!AQ53</f>
        <v>0</v>
      </c>
      <c r="AR54" s="807">
        <f>+'Grasmere Pig Cost'!AR53+'Learig Pig Cost'!AR53+'Lionhead Pig Cost'!AR53+'Lionhead Ext. Pig Cost'!AR53+'Villa Pig Cost'!AR53+'Richlands Pig Cost'!AR53+'Porta Pig Cost'!AR53+'Multiplier Pig Cost '!AR53</f>
        <v>-661.05900662296085</v>
      </c>
      <c r="AS54" s="807">
        <f>+'Grasmere Pig Cost'!AS53+'Learig Pig Cost'!AS53+'Lionhead Pig Cost'!AS53+'Lionhead Ext. Pig Cost'!AS53+'Villa Pig Cost'!AS53+'Richlands Pig Cost'!AS53+'Porta Pig Cost'!AS53+'Multiplier Pig Cost '!AS53</f>
        <v>0</v>
      </c>
      <c r="AT54" s="807">
        <f>+'Grasmere Pig Cost'!AT53+'Learig Pig Cost'!AT53+'Lionhead Pig Cost'!AT53+'Lionhead Ext. Pig Cost'!AT53+'Villa Pig Cost'!AT53+'Richlands Pig Cost'!AT53+'Porta Pig Cost'!AT53+'Multiplier Pig Cost '!AT53</f>
        <v>0</v>
      </c>
      <c r="AU54" s="1632">
        <f>SUM(B54:AT54)</f>
        <v>-1171.627486775812</v>
      </c>
      <c r="AV54" s="1632">
        <f>+'Grasmere Pig Cost'!AU53+'Learig Pig Cost'!AU53+'Lionhead Pig Cost'!AU53+'Lionhead Ext. Pig Cost'!AU53+'Villa Pig Cost'!AU53+'Richlands Pig Cost'!AU53+'Porta Pig Cost'!AU53+'Multiplier Pig Cost '!AU53</f>
        <v>-1171.627486775812</v>
      </c>
      <c r="AW54" s="818">
        <f t="shared" si="23"/>
        <v>0</v>
      </c>
      <c r="AX54" s="1059"/>
      <c r="AY54" s="1059"/>
      <c r="BD54" s="1059">
        <f t="shared" si="16"/>
        <v>0</v>
      </c>
      <c r="BE54" s="1059"/>
    </row>
    <row r="55" spans="1:58" ht="15.6">
      <c r="A55" s="142" t="str">
        <f>+A22</f>
        <v>Transfers Grower</v>
      </c>
      <c r="B55" s="807">
        <f>+'Grasmere Pig Cost'!B54+'Learig Pig Cost'!B54+'Lionhead Pig Cost'!B54+'Lionhead Ext. Pig Cost'!B54+'Villa Pig Cost'!B54+'Richlands Pig Cost'!B54+'Porta Pig Cost'!B54+'Multiplier Pig Cost '!B54</f>
        <v>0</v>
      </c>
      <c r="C55" s="807">
        <f>+'Grasmere Pig Cost'!C54+'Learig Pig Cost'!C54+'Lionhead Pig Cost'!C54+'Lionhead Ext. Pig Cost'!C54+'Villa Pig Cost'!C54+'Richlands Pig Cost'!C54+'Porta Pig Cost'!C54+'Multiplier Pig Cost '!C54</f>
        <v>0</v>
      </c>
      <c r="D55" s="807">
        <f>+'Grasmere Pig Cost'!D54+'Learig Pig Cost'!D54+'Lionhead Pig Cost'!D54+'Lionhead Ext. Pig Cost'!D54+'Villa Pig Cost'!D54+'Richlands Pig Cost'!D54+'Porta Pig Cost'!D54+'Multiplier Pig Cost '!D54</f>
        <v>0</v>
      </c>
      <c r="E55" s="807">
        <f>+'Grasmere Pig Cost'!E54+'Learig Pig Cost'!E54+'Lionhead Pig Cost'!E54+'Lionhead Ext. Pig Cost'!E54+'Villa Pig Cost'!E54+'Richlands Pig Cost'!E54+'Porta Pig Cost'!E54+'Multiplier Pig Cost '!E54</f>
        <v>0</v>
      </c>
      <c r="F55" s="807">
        <f>+'Grasmere Pig Cost'!F54+'Learig Pig Cost'!F54+'Lionhead Pig Cost'!F54+'Lionhead Ext. Pig Cost'!F54+'Villa Pig Cost'!F54+'Richlands Pig Cost'!F54+'Porta Pig Cost'!F54+'Multiplier Pig Cost '!F54</f>
        <v>0</v>
      </c>
      <c r="G55" s="807">
        <f>+'Grasmere Pig Cost'!G54+'Learig Pig Cost'!G54+'Lionhead Pig Cost'!G54+'Lionhead Ext. Pig Cost'!G54+'Villa Pig Cost'!G54+'Richlands Pig Cost'!G54+'Porta Pig Cost'!G54+'Multiplier Pig Cost '!G54</f>
        <v>0</v>
      </c>
      <c r="H55" s="807">
        <f>+'Grasmere Pig Cost'!H54+'Learig Pig Cost'!H54+'Lionhead Pig Cost'!H54+'Lionhead Ext. Pig Cost'!H54+'Villa Pig Cost'!H54+'Richlands Pig Cost'!H54+'Porta Pig Cost'!H54+'Multiplier Pig Cost '!H54</f>
        <v>0</v>
      </c>
      <c r="I55" s="807">
        <f>+'Grasmere Pig Cost'!I54+'Learig Pig Cost'!I54+'Lionhead Pig Cost'!I54+'Lionhead Ext. Pig Cost'!I54+'Villa Pig Cost'!I54+'Richlands Pig Cost'!I54+'Porta Pig Cost'!I54+'Multiplier Pig Cost '!I54</f>
        <v>0</v>
      </c>
      <c r="J55" s="807">
        <f>+'Grasmere Pig Cost'!J54+'Learig Pig Cost'!J54+'Lionhead Pig Cost'!J54+'Lionhead Ext. Pig Cost'!J54+'Villa Pig Cost'!J54+'Richlands Pig Cost'!J54+'Porta Pig Cost'!J54+'Multiplier Pig Cost '!J54</f>
        <v>0</v>
      </c>
      <c r="K55" s="807">
        <f>+'Grasmere Pig Cost'!K54+'Learig Pig Cost'!K54+'Lionhead Pig Cost'!K54+'Lionhead Ext. Pig Cost'!K54+'Villa Pig Cost'!K54+'Richlands Pig Cost'!K54+'Porta Pig Cost'!K54+'Multiplier Pig Cost '!K54</f>
        <v>0</v>
      </c>
      <c r="L55" s="807">
        <f>+'Grasmere Pig Cost'!L54+'Learig Pig Cost'!L54+'Lionhead Pig Cost'!L54+'Lionhead Ext. Pig Cost'!L54+'Villa Pig Cost'!L54+'Richlands Pig Cost'!L54+'Porta Pig Cost'!L54+'Multiplier Pig Cost '!L54</f>
        <v>0</v>
      </c>
      <c r="M55" s="807">
        <f>+'Grasmere Pig Cost'!M54+'Learig Pig Cost'!M54+'Lionhead Pig Cost'!M54+'Lionhead Ext. Pig Cost'!M54+'Villa Pig Cost'!M54+'Richlands Pig Cost'!M54+'Porta Pig Cost'!M54+'Multiplier Pig Cost '!M54</f>
        <v>0</v>
      </c>
      <c r="N55" s="807">
        <f>+'Grasmere Pig Cost'!N54+'Learig Pig Cost'!N54+'Lionhead Pig Cost'!N54+'Lionhead Ext. Pig Cost'!N54+'Villa Pig Cost'!N54+'Richlands Pig Cost'!N54+'Porta Pig Cost'!N54+'Multiplier Pig Cost '!N54</f>
        <v>0</v>
      </c>
      <c r="O55" s="807">
        <f>+'Grasmere Pig Cost'!O54+'Learig Pig Cost'!O54+'Lionhead Pig Cost'!O54+'Lionhead Ext. Pig Cost'!O54+'Villa Pig Cost'!O54+'Richlands Pig Cost'!O54+'Porta Pig Cost'!O54+'Multiplier Pig Cost '!O54</f>
        <v>0</v>
      </c>
      <c r="P55" s="807">
        <f>+'Grasmere Pig Cost'!P54+'Learig Pig Cost'!P54+'Lionhead Pig Cost'!P54+'Lionhead Ext. Pig Cost'!P54+'Villa Pig Cost'!P54+'Richlands Pig Cost'!P54+'Porta Pig Cost'!P54+'Multiplier Pig Cost '!P54</f>
        <v>0</v>
      </c>
      <c r="Q55" s="807">
        <f>+'Grasmere Pig Cost'!Q54+'Learig Pig Cost'!Q54+'Lionhead Pig Cost'!Q54+'Lionhead Ext. Pig Cost'!Q54+'Villa Pig Cost'!Q54+'Richlands Pig Cost'!Q54+'Porta Pig Cost'!Q54+'Multiplier Pig Cost '!Q54</f>
        <v>0</v>
      </c>
      <c r="R55" s="807">
        <f>+'Grasmere Pig Cost'!R54+'Learig Pig Cost'!R54+'Lionhead Pig Cost'!R54+'Lionhead Ext. Pig Cost'!R54+'Villa Pig Cost'!R54+'Richlands Pig Cost'!R54+'Porta Pig Cost'!R54+'Multiplier Pig Cost '!R54</f>
        <v>0</v>
      </c>
      <c r="S55" s="807">
        <f>+'Grasmere Pig Cost'!S54+'Learig Pig Cost'!S54+'Lionhead Pig Cost'!S54+'Lionhead Ext. Pig Cost'!S54+'Villa Pig Cost'!S54+'Richlands Pig Cost'!S54+'Porta Pig Cost'!S54+'Multiplier Pig Cost '!S54</f>
        <v>0</v>
      </c>
      <c r="T55" s="807">
        <f>+'Grasmere Pig Cost'!T54+'Learig Pig Cost'!T54+'Lionhead Pig Cost'!T54+'Lionhead Ext. Pig Cost'!T54+'Villa Pig Cost'!T54+'Richlands Pig Cost'!T54+'Porta Pig Cost'!T54+'Multiplier Pig Cost '!T54</f>
        <v>0</v>
      </c>
      <c r="U55" s="807">
        <f>+'Grasmere Pig Cost'!U54+'Learig Pig Cost'!U54+'Lionhead Pig Cost'!U54+'Lionhead Ext. Pig Cost'!U54+'Villa Pig Cost'!U54+'Richlands Pig Cost'!U54+'Porta Pig Cost'!U54+'Multiplier Pig Cost '!U54</f>
        <v>0</v>
      </c>
      <c r="V55" s="807">
        <f>+'Grasmere Pig Cost'!V54+'Learig Pig Cost'!V54+'Lionhead Pig Cost'!V54+'Lionhead Ext. Pig Cost'!V54+'Villa Pig Cost'!V54+'Richlands Pig Cost'!V54+'Porta Pig Cost'!V54+'Multiplier Pig Cost '!V54</f>
        <v>0</v>
      </c>
      <c r="W55" s="807">
        <f>+'Grasmere Pig Cost'!W54+'Learig Pig Cost'!W54+'Lionhead Pig Cost'!W54+'Lionhead Ext. Pig Cost'!W54+'Villa Pig Cost'!W54+'Richlands Pig Cost'!W54+'Porta Pig Cost'!W54+'Multiplier Pig Cost '!W54</f>
        <v>2027.5351111862997</v>
      </c>
      <c r="X55" s="807">
        <f>+'Grasmere Pig Cost'!X54+'Learig Pig Cost'!X54+'Lionhead Pig Cost'!X54+'Lionhead Ext. Pig Cost'!X54+'Villa Pig Cost'!X54+'Richlands Pig Cost'!X54+'Porta Pig Cost'!X54+'Multiplier Pig Cost '!X54</f>
        <v>1520.6513333897246</v>
      </c>
      <c r="Y55" s="807">
        <f>+'Grasmere Pig Cost'!Y54+'Learig Pig Cost'!Y54+'Lionhead Pig Cost'!Y54+'Lionhead Ext. Pig Cost'!Y54+'Villa Pig Cost'!Y54+'Richlands Pig Cost'!Y54+'Porta Pig Cost'!Y54+'Multiplier Pig Cost '!Y54</f>
        <v>1689.6125926552497</v>
      </c>
      <c r="Z55" s="807">
        <f>+'Grasmere Pig Cost'!Z54+'Learig Pig Cost'!Z54+'Lionhead Pig Cost'!Z54+'Lionhead Ext. Pig Cost'!Z54+'Villa Pig Cost'!Z54+'Richlands Pig Cost'!Z54+'Porta Pig Cost'!Z54+'Multiplier Pig Cost '!Z54</f>
        <v>2365.4576297173498</v>
      </c>
      <c r="AA55" s="807">
        <f>+'Grasmere Pig Cost'!AA54+'Learig Pig Cost'!AA54+'Lionhead Pig Cost'!AA54+'Lionhead Ext. Pig Cost'!AA54+'Villa Pig Cost'!AA54+'Richlands Pig Cost'!AA54+'Porta Pig Cost'!AA54+'Multiplier Pig Cost '!AA54</f>
        <v>0</v>
      </c>
      <c r="AB55" s="807">
        <f>+'Grasmere Pig Cost'!AB54+'Learig Pig Cost'!AB54+'Lionhead Pig Cost'!AB54+'Lionhead Ext. Pig Cost'!AB54+'Villa Pig Cost'!AB54+'Richlands Pig Cost'!AB54+'Porta Pig Cost'!AB54+'Multiplier Pig Cost '!AB54</f>
        <v>1844.4202548464386</v>
      </c>
      <c r="AC55" s="807">
        <f>+'Grasmere Pig Cost'!AC54+'Learig Pig Cost'!AC54+'Lionhead Pig Cost'!AC54+'Lionhead Ext. Pig Cost'!AC54+'Villa Pig Cost'!AC54+'Richlands Pig Cost'!AC54+'Porta Pig Cost'!AC54+'Multiplier Pig Cost '!AC54</f>
        <v>712.19740733265235</v>
      </c>
      <c r="AD55" s="807">
        <f>+'Grasmere Pig Cost'!AD54+'Learig Pig Cost'!AD54+'Lionhead Pig Cost'!AD54+'Lionhead Ext. Pig Cost'!AD54+'Villa Pig Cost'!AD54+'Richlands Pig Cost'!AD54+'Porta Pig Cost'!AD54+'Multiplier Pig Cost '!AD54</f>
        <v>1058.7709692556748</v>
      </c>
      <c r="AE55" s="807">
        <f>+'Grasmere Pig Cost'!AE54+'Learig Pig Cost'!AE54+'Lionhead Pig Cost'!AE54+'Lionhead Ext. Pig Cost'!AE54+'Villa Pig Cost'!AE54+'Richlands Pig Cost'!AE54+'Porta Pig Cost'!AE54+'Multiplier Pig Cost '!AE54</f>
        <v>1051.8310554020698</v>
      </c>
      <c r="AF55" s="807">
        <f>+'Grasmere Pig Cost'!AF54+'Learig Pig Cost'!AF54+'Lionhead Pig Cost'!AF54+'Lionhead Ext. Pig Cost'!AF54+'Villa Pig Cost'!AF54+'Richlands Pig Cost'!AF54+'Porta Pig Cost'!AF54+'Multiplier Pig Cost '!AF54</f>
        <v>773.0175538952642</v>
      </c>
      <c r="AG55" s="807">
        <f>+'Grasmere Pig Cost'!AG54+'Learig Pig Cost'!AG54+'Lionhead Pig Cost'!AG54+'Lionhead Ext. Pig Cost'!AG54+'Villa Pig Cost'!AG54+'Richlands Pig Cost'!AG54+'Porta Pig Cost'!AG54+'Multiplier Pig Cost '!AG54</f>
        <v>0</v>
      </c>
      <c r="AH55" s="807">
        <f>+'Grasmere Pig Cost'!AH54+'Learig Pig Cost'!AH54+'Lionhead Pig Cost'!AH54+'Lionhead Ext. Pig Cost'!AH54+'Villa Pig Cost'!AH54+'Richlands Pig Cost'!AH54+'Porta Pig Cost'!AH54+'Multiplier Pig Cost '!AH54</f>
        <v>0</v>
      </c>
      <c r="AI55" s="807">
        <f>+'Grasmere Pig Cost'!AI54+'Learig Pig Cost'!AI54+'Lionhead Pig Cost'!AI54+'Lionhead Ext. Pig Cost'!AI54+'Villa Pig Cost'!AI54+'Richlands Pig Cost'!AI54+'Porta Pig Cost'!AI54+'Multiplier Pig Cost '!AI54</f>
        <v>0</v>
      </c>
      <c r="AJ55" s="807">
        <f>+'Grasmere Pig Cost'!AJ54+'Learig Pig Cost'!AJ54+'Lionhead Pig Cost'!AJ54+'Lionhead Ext. Pig Cost'!AJ54+'Villa Pig Cost'!AJ54+'Richlands Pig Cost'!AJ54+'Porta Pig Cost'!AJ54+'Multiplier Pig Cost '!AJ54</f>
        <v>0</v>
      </c>
      <c r="AK55" s="807">
        <f>+'Grasmere Pig Cost'!AK54+'Learig Pig Cost'!AK54+'Lionhead Pig Cost'!AK54+'Lionhead Ext. Pig Cost'!AK54+'Villa Pig Cost'!AK54+'Richlands Pig Cost'!AK54+'Porta Pig Cost'!AK54+'Multiplier Pig Cost '!AK54</f>
        <v>0</v>
      </c>
      <c r="AL55" s="807">
        <f>+'Grasmere Pig Cost'!AL54+'Learig Pig Cost'!AL54+'Lionhead Pig Cost'!AL54+'Lionhead Ext. Pig Cost'!AL54+'Villa Pig Cost'!AL54+'Richlands Pig Cost'!AL54+'Porta Pig Cost'!AL54+'Multiplier Pig Cost '!AL54</f>
        <v>0</v>
      </c>
      <c r="AM55" s="807">
        <f>+'Grasmere Pig Cost'!AM54+'Learig Pig Cost'!AM54+'Lionhead Pig Cost'!AM54+'Lionhead Ext. Pig Cost'!AM54+'Villa Pig Cost'!AM54+'Richlands Pig Cost'!AM54+'Porta Pig Cost'!AM54+'Multiplier Pig Cost '!AM54</f>
        <v>0</v>
      </c>
      <c r="AN55" s="807">
        <f>+'Grasmere Pig Cost'!AN54+'Learig Pig Cost'!AN54+'Lionhead Pig Cost'!AN54+'Lionhead Ext. Pig Cost'!AN54+'Villa Pig Cost'!AN54+'Richlands Pig Cost'!AN54+'Porta Pig Cost'!AN54+'Multiplier Pig Cost '!AN54</f>
        <v>0</v>
      </c>
      <c r="AO55" s="807">
        <f>+'Grasmere Pig Cost'!AO54+'Learig Pig Cost'!AO54+'Lionhead Pig Cost'!AO54+'Lionhead Ext. Pig Cost'!AO54+'Villa Pig Cost'!AO54+'Richlands Pig Cost'!AO54+'Porta Pig Cost'!AO54+'Multiplier Pig Cost '!AO54</f>
        <v>0</v>
      </c>
      <c r="AP55" s="807">
        <f>+'Grasmere Pig Cost'!AP54+'Learig Pig Cost'!AP54+'Lionhead Pig Cost'!AP54+'Lionhead Ext. Pig Cost'!AP54+'Villa Pig Cost'!AP54+'Richlands Pig Cost'!AP54+'Porta Pig Cost'!AP54+'Multiplier Pig Cost '!AP54</f>
        <v>0</v>
      </c>
      <c r="AQ55" s="807">
        <f>+'Grasmere Pig Cost'!AQ54+'Learig Pig Cost'!AQ54+'Lionhead Pig Cost'!AQ54+'Lionhead Ext. Pig Cost'!AQ54+'Villa Pig Cost'!AQ54+'Richlands Pig Cost'!AQ54+'Porta Pig Cost'!AQ54+'Multiplier Pig Cost '!AQ54</f>
        <v>0</v>
      </c>
      <c r="AR55" s="807">
        <f>+'Grasmere Pig Cost'!AR54+'Learig Pig Cost'!AR54+'Lionhead Pig Cost'!AR54+'Lionhead Ext. Pig Cost'!AR54+'Villa Pig Cost'!AR54+'Richlands Pig Cost'!AR54+'Porta Pig Cost'!AR54+'Multiplier Pig Cost '!AR54</f>
        <v>0</v>
      </c>
      <c r="AS55" s="807">
        <f>+'Grasmere Pig Cost'!AS54+'Learig Pig Cost'!AS54+'Lionhead Pig Cost'!AS54+'Lionhead Ext. Pig Cost'!AS54+'Villa Pig Cost'!AS54+'Richlands Pig Cost'!AS54+'Porta Pig Cost'!AS54+'Multiplier Pig Cost '!AS54</f>
        <v>0</v>
      </c>
      <c r="AT55" s="807">
        <f>+'Grasmere Pig Cost'!AT54+'Learig Pig Cost'!AT54+'Lionhead Pig Cost'!AT54+'Lionhead Ext. Pig Cost'!AT54+'Villa Pig Cost'!AT54+'Richlands Pig Cost'!AT54+'Porta Pig Cost'!AT54+'Multiplier Pig Cost '!AT54</f>
        <v>0</v>
      </c>
      <c r="AU55" s="1632">
        <f>SUM(B55:AT55)</f>
        <v>13043.493907680724</v>
      </c>
      <c r="AV55" s="1632">
        <f>+'Grasmere Pig Cost'!AU54+'Learig Pig Cost'!AU54+'Lionhead Pig Cost'!AU54+'Lionhead Ext. Pig Cost'!AU54+'Villa Pig Cost'!AU54+'Richlands Pig Cost'!AU54+'Porta Pig Cost'!AU54+'Multiplier Pig Cost '!AU54</f>
        <v>13043.493907680724</v>
      </c>
      <c r="AW55" s="818">
        <f t="shared" si="23"/>
        <v>0</v>
      </c>
      <c r="AX55" s="1059"/>
      <c r="AY55" s="1059"/>
      <c r="AZ55" s="1091"/>
      <c r="BD55" s="1059">
        <f t="shared" si="16"/>
        <v>13043.493907680724</v>
      </c>
      <c r="BE55" s="1059">
        <f>SUM(AI55:AT55)</f>
        <v>0</v>
      </c>
      <c r="BF55" s="1060">
        <f>SUM(BD55:BD57)</f>
        <v>-4440.7043373190045</v>
      </c>
    </row>
    <row r="56" spans="1:58" ht="15.6">
      <c r="A56" s="142" t="s">
        <v>1799</v>
      </c>
      <c r="B56" s="807">
        <f>+'Grasmere Pig Cost'!B55+'Learig Pig Cost'!B55+'Lionhead Pig Cost'!B55+'Lionhead Ext. Pig Cost'!B55+'Villa Pig Cost'!B55+'Richlands Pig Cost'!B55+'Porta Pig Cost'!B55</f>
        <v>0</v>
      </c>
      <c r="C56" s="807">
        <f>+'Grasmere Pig Cost'!C55+'Learig Pig Cost'!C55+'Lionhead Pig Cost'!C55+'Lionhead Ext. Pig Cost'!C55+'Villa Pig Cost'!C55+'Richlands Pig Cost'!C55+'Porta Pig Cost'!C55</f>
        <v>0</v>
      </c>
      <c r="D56" s="807">
        <f>+'Grasmere Pig Cost'!D55+'Learig Pig Cost'!D55+'Lionhead Pig Cost'!D55+'Lionhead Ext. Pig Cost'!D55+'Villa Pig Cost'!D55+'Richlands Pig Cost'!D55+'Porta Pig Cost'!D55</f>
        <v>0</v>
      </c>
      <c r="E56" s="807">
        <f>+'Grasmere Pig Cost'!E55+'Learig Pig Cost'!E55+'Lionhead Pig Cost'!E55+'Lionhead Ext. Pig Cost'!E55+'Villa Pig Cost'!E55+'Richlands Pig Cost'!E55+'Porta Pig Cost'!E55</f>
        <v>0</v>
      </c>
      <c r="F56" s="807">
        <f>+'Grasmere Pig Cost'!F55+'Learig Pig Cost'!F55+'Lionhead Pig Cost'!F55+'Lionhead Ext. Pig Cost'!F55+'Villa Pig Cost'!F55+'Richlands Pig Cost'!F55+'Porta Pig Cost'!F55</f>
        <v>0</v>
      </c>
      <c r="G56" s="807">
        <f>+'Grasmere Pig Cost'!G55+'Learig Pig Cost'!G55+'Lionhead Pig Cost'!G55+'Lionhead Ext. Pig Cost'!G55+'Villa Pig Cost'!G55+'Richlands Pig Cost'!G55+'Porta Pig Cost'!G55</f>
        <v>0</v>
      </c>
      <c r="H56" s="807">
        <f>+'Grasmere Pig Cost'!H55+'Learig Pig Cost'!H55+'Lionhead Pig Cost'!H55+'Lionhead Ext. Pig Cost'!H55+'Villa Pig Cost'!H55+'Richlands Pig Cost'!H55+'Porta Pig Cost'!H55</f>
        <v>0</v>
      </c>
      <c r="I56" s="807">
        <f>+'Grasmere Pig Cost'!I55+'Learig Pig Cost'!I55+'Lionhead Pig Cost'!I55+'Lionhead Ext. Pig Cost'!I55+'Villa Pig Cost'!I55+'Richlands Pig Cost'!I55+'Porta Pig Cost'!I55</f>
        <v>0</v>
      </c>
      <c r="J56" s="807">
        <f>+'Grasmere Pig Cost'!J55+'Learig Pig Cost'!J55+'Lionhead Pig Cost'!J55+'Lionhead Ext. Pig Cost'!J55+'Villa Pig Cost'!J55+'Richlands Pig Cost'!J55+'Porta Pig Cost'!J55</f>
        <v>0</v>
      </c>
      <c r="K56" s="807">
        <f>+'Grasmere Pig Cost'!K55+'Learig Pig Cost'!K55+'Lionhead Pig Cost'!K55+'Lionhead Ext. Pig Cost'!K55+'Villa Pig Cost'!K55+'Richlands Pig Cost'!K55+'Porta Pig Cost'!K55</f>
        <v>0</v>
      </c>
      <c r="L56" s="807">
        <f>+'Grasmere Pig Cost'!L55+'Learig Pig Cost'!L55+'Lionhead Pig Cost'!L55+'Lionhead Ext. Pig Cost'!L55+'Villa Pig Cost'!L55+'Richlands Pig Cost'!L55+'Porta Pig Cost'!L55</f>
        <v>0</v>
      </c>
      <c r="M56" s="807">
        <f>+'Grasmere Pig Cost'!M55+'Learig Pig Cost'!M55+'Lionhead Pig Cost'!M55+'Lionhead Ext. Pig Cost'!M55+'Villa Pig Cost'!M55+'Richlands Pig Cost'!M55+'Porta Pig Cost'!M55+'Multiplier Pig Cost '!M55</f>
        <v>0</v>
      </c>
      <c r="N56" s="807">
        <f>+'Grasmere Pig Cost'!N55+'Learig Pig Cost'!N55+'Lionhead Pig Cost'!N55+'Lionhead Ext. Pig Cost'!N55+'Villa Pig Cost'!N55+'Richlands Pig Cost'!N55+'Porta Pig Cost'!N55+'Multiplier Pig Cost '!N55</f>
        <v>0</v>
      </c>
      <c r="O56" s="807">
        <f>+'Grasmere Pig Cost'!O55+'Learig Pig Cost'!O55+'Lionhead Pig Cost'!O55+'Lionhead Ext. Pig Cost'!O55+'Villa Pig Cost'!O55+'Richlands Pig Cost'!O55+'Porta Pig Cost'!O55+'Multiplier Pig Cost '!O55</f>
        <v>0</v>
      </c>
      <c r="P56" s="807">
        <f>+'Grasmere Pig Cost'!P55+'Learig Pig Cost'!P55+'Lionhead Pig Cost'!P55+'Lionhead Ext. Pig Cost'!P55+'Villa Pig Cost'!P55+'Richlands Pig Cost'!P55+'Porta Pig Cost'!P55+'Multiplier Pig Cost '!P55</f>
        <v>0</v>
      </c>
      <c r="Q56" s="807">
        <f>+'Grasmere Pig Cost'!Q55+'Learig Pig Cost'!Q55+'Lionhead Pig Cost'!Q55+'Lionhead Ext. Pig Cost'!Q55+'Villa Pig Cost'!Q55+'Richlands Pig Cost'!Q55+'Porta Pig Cost'!Q55+'Multiplier Pig Cost '!Q55</f>
        <v>0</v>
      </c>
      <c r="R56" s="807">
        <f>+'Grasmere Pig Cost'!R55+'Learig Pig Cost'!R55+'Lionhead Pig Cost'!R55+'Lionhead Ext. Pig Cost'!R55+'Villa Pig Cost'!R55+'Richlands Pig Cost'!R55+'Porta Pig Cost'!R55+'Multiplier Pig Cost '!R55</f>
        <v>0</v>
      </c>
      <c r="S56" s="807">
        <f>+'Grasmere Pig Cost'!S55+'Learig Pig Cost'!S55+'Lionhead Pig Cost'!S55+'Lionhead Ext. Pig Cost'!S55+'Villa Pig Cost'!S55+'Richlands Pig Cost'!S55+'Porta Pig Cost'!S55+'Multiplier Pig Cost '!S55</f>
        <v>0</v>
      </c>
      <c r="T56" s="807">
        <f>+'Grasmere Pig Cost'!T55+'Learig Pig Cost'!T55+'Lionhead Pig Cost'!T55+'Lionhead Ext. Pig Cost'!T55+'Villa Pig Cost'!T55+'Richlands Pig Cost'!T55+'Porta Pig Cost'!T55+'Multiplier Pig Cost '!T55</f>
        <v>0</v>
      </c>
      <c r="U56" s="807">
        <f>+'Grasmere Pig Cost'!U55+'Learig Pig Cost'!U55+'Lionhead Pig Cost'!U55+'Lionhead Ext. Pig Cost'!U55+'Villa Pig Cost'!U55+'Richlands Pig Cost'!U55+'Porta Pig Cost'!U55+'Multiplier Pig Cost '!U55</f>
        <v>0</v>
      </c>
      <c r="V56" s="807">
        <f>+'Grasmere Pig Cost'!V55+'Learig Pig Cost'!V55+'Lionhead Pig Cost'!V55+'Lionhead Ext. Pig Cost'!V55+'Villa Pig Cost'!V55+'Richlands Pig Cost'!V55+'Porta Pig Cost'!V55+'Multiplier Pig Cost '!V55</f>
        <v>0</v>
      </c>
      <c r="W56" s="807">
        <f>+'Grasmere Pig Cost'!W55+'Learig Pig Cost'!W55+'Lionhead Pig Cost'!W55+'Lionhead Ext. Pig Cost'!W55+'Villa Pig Cost'!W55+'Richlands Pig Cost'!W55+'Porta Pig Cost'!W55+'Multiplier Pig Cost '!W55</f>
        <v>0</v>
      </c>
      <c r="X56" s="807">
        <f>+'Grasmere Pig Cost'!X55+'Learig Pig Cost'!X55+'Lionhead Pig Cost'!X55+'Lionhead Ext. Pig Cost'!X55+'Villa Pig Cost'!X55+'Richlands Pig Cost'!X55+'Porta Pig Cost'!X55+'Multiplier Pig Cost '!X55</f>
        <v>0</v>
      </c>
      <c r="Y56" s="807">
        <f>+'Grasmere Pig Cost'!Y55+'Learig Pig Cost'!Y55+'Lionhead Pig Cost'!Y55+'Lionhead Ext. Pig Cost'!Y55+'Villa Pig Cost'!Y55+'Richlands Pig Cost'!Y55+'Porta Pig Cost'!Y55+'Multiplier Pig Cost '!Y55</f>
        <v>0</v>
      </c>
      <c r="Z56" s="807">
        <f>+'Grasmere Pig Cost'!Z55+'Learig Pig Cost'!Z55+'Lionhead Pig Cost'!Z55+'Lionhead Ext. Pig Cost'!Z55+'Villa Pig Cost'!Z55+'Richlands Pig Cost'!Z55+'Porta Pig Cost'!Z55+'Multiplier Pig Cost '!Z55</f>
        <v>0</v>
      </c>
      <c r="AA56" s="807">
        <f>+'Grasmere Pig Cost'!AA55+'Learig Pig Cost'!AA55+'Lionhead Pig Cost'!AA55+'Lionhead Ext. Pig Cost'!AA55+'Villa Pig Cost'!AA55+'Richlands Pig Cost'!AA55+'Porta Pig Cost'!AA55+'Multiplier Pig Cost '!AA55</f>
        <v>-97.493534826358996</v>
      </c>
      <c r="AB56" s="807">
        <f>+'Grasmere Pig Cost'!AB55+'Learig Pig Cost'!AB55+'Lionhead Pig Cost'!AB55+'Lionhead Ext. Pig Cost'!AB55+'Villa Pig Cost'!AB55+'Richlands Pig Cost'!AB55+'Porta Pig Cost'!AB55+'Multiplier Pig Cost '!AB55</f>
        <v>-78.970819654891514</v>
      </c>
      <c r="AC56" s="807">
        <f>+'Grasmere Pig Cost'!AC55+'Learig Pig Cost'!AC55+'Lionhead Pig Cost'!AC55+'Lionhead Ext. Pig Cost'!AC55+'Villa Pig Cost'!AC55+'Richlands Pig Cost'!AC55+'Porta Pig Cost'!AC55+'Multiplier Pig Cost '!AC55</f>
        <v>211.55643136292389</v>
      </c>
      <c r="AD56" s="807">
        <f>+'Grasmere Pig Cost'!AD55+'Learig Pig Cost'!AD55+'Lionhead Pig Cost'!AD55+'Lionhead Ext. Pig Cost'!AD55+'Villa Pig Cost'!AD55+'Richlands Pig Cost'!AD55+'Porta Pig Cost'!AD55+'Multiplier Pig Cost '!AD55</f>
        <v>-88.597008576349452</v>
      </c>
      <c r="AE56" s="807">
        <f>+'Grasmere Pig Cost'!AE55+'Learig Pig Cost'!AE55+'Lionhead Pig Cost'!AE55+'Lionhead Ext. Pig Cost'!AE55+'Villa Pig Cost'!AE55+'Richlands Pig Cost'!AE55+'Porta Pig Cost'!AE55+'Multiplier Pig Cost '!AE55</f>
        <v>-409.81848414548807</v>
      </c>
      <c r="AF56" s="807">
        <f>+'Grasmere Pig Cost'!AF55+'Learig Pig Cost'!AF55+'Lionhead Pig Cost'!AF55+'Lionhead Ext. Pig Cost'!AF55+'Villa Pig Cost'!AF55+'Richlands Pig Cost'!AF55+'Porta Pig Cost'!AF55+'Multiplier Pig Cost '!AF55</f>
        <v>-484.24220756580576</v>
      </c>
      <c r="AG56" s="807">
        <f>+'Grasmere Pig Cost'!AG55+'Learig Pig Cost'!AG55+'Lionhead Pig Cost'!AG55+'Lionhead Ext. Pig Cost'!AG55+'Villa Pig Cost'!AG55+'Richlands Pig Cost'!AG55+'Porta Pig Cost'!AG55+'Multiplier Pig Cost '!AG55</f>
        <v>-945.11306098797854</v>
      </c>
      <c r="AH56" s="807">
        <f>+'Grasmere Pig Cost'!AH55+'Learig Pig Cost'!AH55+'Lionhead Pig Cost'!AH55+'Lionhead Ext. Pig Cost'!AH55+'Villa Pig Cost'!AH55+'Richlands Pig Cost'!AH55+'Porta Pig Cost'!AH55+'Multiplier Pig Cost '!AH55</f>
        <v>-161.8569525324038</v>
      </c>
      <c r="AI56" s="807">
        <f>+'Grasmere Pig Cost'!AI55+'Learig Pig Cost'!AI55+'Lionhead Pig Cost'!AI55+'Lionhead Ext. Pig Cost'!AI55+'Villa Pig Cost'!AI55+'Richlands Pig Cost'!AI55+'Porta Pig Cost'!AI55+'Multiplier Pig Cost '!AI55</f>
        <v>-313.26203611767073</v>
      </c>
      <c r="AJ56" s="807">
        <f>+'Grasmere Pig Cost'!AJ55+'Learig Pig Cost'!AJ55+'Lionhead Pig Cost'!AJ55+'Lionhead Ext. Pig Cost'!AJ55+'Villa Pig Cost'!AJ55+'Richlands Pig Cost'!AJ55+'Porta Pig Cost'!AJ55+'Multiplier Pig Cost '!AJ55</f>
        <v>-512.76313975671383</v>
      </c>
      <c r="AK56" s="807">
        <f>+'Grasmere Pig Cost'!AK55+'Learig Pig Cost'!AK55+'Lionhead Pig Cost'!AK55+'Lionhead Ext. Pig Cost'!AK55+'Villa Pig Cost'!AK55+'Richlands Pig Cost'!AK55+'Porta Pig Cost'!AK55+'Multiplier Pig Cost '!AK55</f>
        <v>-397.17577822639657</v>
      </c>
      <c r="AL56" s="807">
        <f>+'Grasmere Pig Cost'!AL55+'Learig Pig Cost'!AL55+'Lionhead Pig Cost'!AL55+'Lionhead Ext. Pig Cost'!AL55+'Villa Pig Cost'!AL55+'Richlands Pig Cost'!AL55+'Porta Pig Cost'!AL55+'Multiplier Pig Cost '!AL55</f>
        <v>-1218.8117507338275</v>
      </c>
      <c r="AM56" s="807">
        <f>+'Grasmere Pig Cost'!AM55+'Learig Pig Cost'!AM55+'Lionhead Pig Cost'!AM55+'Lionhead Ext. Pig Cost'!AM55+'Villa Pig Cost'!AM55+'Richlands Pig Cost'!AM55+'Porta Pig Cost'!AM55+'Multiplier Pig Cost '!AM55</f>
        <v>-887.10308926576613</v>
      </c>
      <c r="AN56" s="807">
        <f>+'Grasmere Pig Cost'!AN55+'Learig Pig Cost'!AN55+'Lionhead Pig Cost'!AN55+'Lionhead Ext. Pig Cost'!AN55+'Villa Pig Cost'!AN55+'Richlands Pig Cost'!AN55+'Porta Pig Cost'!AN55+'Multiplier Pig Cost '!AN55</f>
        <v>0</v>
      </c>
      <c r="AO56" s="807">
        <f>+'Grasmere Pig Cost'!AO55+'Learig Pig Cost'!AO55+'Lionhead Pig Cost'!AO55+'Lionhead Ext. Pig Cost'!AO55+'Villa Pig Cost'!AO55+'Richlands Pig Cost'!AO55+'Porta Pig Cost'!AO55+'Multiplier Pig Cost '!AO55</f>
        <v>10370.865329387794</v>
      </c>
      <c r="AP56" s="807">
        <f>+'Grasmere Pig Cost'!AP55+'Learig Pig Cost'!AP55+'Lionhead Pig Cost'!AP55+'Lionhead Ext. Pig Cost'!AP55+'Villa Pig Cost'!AP55+'Richlands Pig Cost'!AP55+'Porta Pig Cost'!AP55+'Multiplier Pig Cost '!AP55</f>
        <v>-567.9641874481988</v>
      </c>
      <c r="AQ56" s="807">
        <f>+'Grasmere Pig Cost'!AQ55+'Learig Pig Cost'!AQ55+'Lionhead Pig Cost'!AQ55+'Lionhead Ext. Pig Cost'!AQ55+'Villa Pig Cost'!AQ55+'Richlands Pig Cost'!AQ55+'Porta Pig Cost'!AQ55+'Multiplier Pig Cost '!AQ55</f>
        <v>-1610.2541649673731</v>
      </c>
      <c r="AR56" s="807">
        <f>+'Grasmere Pig Cost'!AR55+'Learig Pig Cost'!AR55+'Lionhead Pig Cost'!AR55+'Lionhead Ext. Pig Cost'!AR55+'Villa Pig Cost'!AR55+'Richlands Pig Cost'!AR55+'Porta Pig Cost'!AR55+'Multiplier Pig Cost '!AR55</f>
        <v>-330.52950331148043</v>
      </c>
      <c r="AS56" s="807">
        <f>+'Grasmere Pig Cost'!AS55+'Learig Pig Cost'!AS55+'Lionhead Pig Cost'!AS55+'Lionhead Ext. Pig Cost'!AS55+'Villa Pig Cost'!AS55+'Richlands Pig Cost'!AS55+'Porta Pig Cost'!AS55+'Multiplier Pig Cost '!AS55</f>
        <v>-640.31131110284548</v>
      </c>
      <c r="AT56" s="807">
        <f>+'Grasmere Pig Cost'!AT55+'Learig Pig Cost'!AT55+'Lionhead Pig Cost'!AT55+'Lionhead Ext. Pig Cost'!AT55+'Villa Pig Cost'!AT55+'Richlands Pig Cost'!AT55+'Porta Pig Cost'!AT55+'Multiplier Pig Cost '!AT55</f>
        <v>0</v>
      </c>
      <c r="AU56" s="1632">
        <f t="shared" ref="AU56:AU62" si="26">SUM(B56:AT56)</f>
        <v>1838.1547315311691</v>
      </c>
      <c r="AV56" s="1632">
        <f>+'Grasmere Pig Cost'!AU55+'Learig Pig Cost'!AU55+'Lionhead Pig Cost'!AU55+'Lionhead Ext. Pig Cost'!AU55+'Villa Pig Cost'!AU55+'Richlands Pig Cost'!AU55+'Porta Pig Cost'!AU55+'Multiplier Pig Cost '!AU55</f>
        <v>1838.1547315311709</v>
      </c>
      <c r="AW56" s="818"/>
      <c r="AX56" s="1059"/>
      <c r="AY56" s="1059"/>
      <c r="AZ56" s="1091"/>
      <c r="BD56" s="1059">
        <f t="shared" si="16"/>
        <v>-2367.7976730440232</v>
      </c>
      <c r="BE56" s="1059">
        <f t="shared" ref="BE56:BE59" si="27">SUM(AI56:AT56)</f>
        <v>3892.6903684575213</v>
      </c>
    </row>
    <row r="57" spans="1:58" ht="15.6">
      <c r="A57" s="142" t="str">
        <f t="shared" ref="A57:A62" si="28">+A24</f>
        <v>Transfers Gilts</v>
      </c>
      <c r="B57" s="1059">
        <f>+'Grasmere Pig Cost'!B56+'Learig Pig Cost'!B56+'Lionhead Pig Cost'!B56+'Lionhead Ext. Pig Cost'!B56+'Villa Pig Cost'!B56+'Richlands Pig Cost'!B56+'Porta Pig Cost'!B56</f>
        <v>0</v>
      </c>
      <c r="C57" s="1059">
        <f>+'Grasmere Pig Cost'!C56+'Learig Pig Cost'!C56+'Lionhead Pig Cost'!C56+'Lionhead Ext. Pig Cost'!C56+'Villa Pig Cost'!C56+'Richlands Pig Cost'!C56+'Porta Pig Cost'!C56</f>
        <v>0</v>
      </c>
      <c r="D57" s="1059">
        <f>+'Grasmere Pig Cost'!D56+'Learig Pig Cost'!D56+'Lionhead Pig Cost'!D56+'Lionhead Ext. Pig Cost'!D56+'Villa Pig Cost'!D56+'Richlands Pig Cost'!D56+'Porta Pig Cost'!D56</f>
        <v>0</v>
      </c>
      <c r="E57" s="1059">
        <f>+'Grasmere Pig Cost'!E56+'Learig Pig Cost'!E56+'Lionhead Pig Cost'!E56+'Lionhead Ext. Pig Cost'!E56+'Villa Pig Cost'!E56+'Richlands Pig Cost'!E56+'Porta Pig Cost'!E56</f>
        <v>0</v>
      </c>
      <c r="F57" s="1059">
        <f>+'Grasmere Pig Cost'!F56+'Learig Pig Cost'!F56+'Lionhead Pig Cost'!F56+'Lionhead Ext. Pig Cost'!F56+'Villa Pig Cost'!F56+'Richlands Pig Cost'!F56+'Porta Pig Cost'!F56</f>
        <v>0</v>
      </c>
      <c r="G57" s="1059">
        <f>+'Grasmere Pig Cost'!G56+'Learig Pig Cost'!G56+'Lionhead Pig Cost'!G56+'Lionhead Ext. Pig Cost'!G56+'Villa Pig Cost'!G56+'Richlands Pig Cost'!G56+'Porta Pig Cost'!G56</f>
        <v>0</v>
      </c>
      <c r="H57" s="1059">
        <f>+'Grasmere Pig Cost'!H56+'Learig Pig Cost'!H56+'Lionhead Pig Cost'!H56+'Lionhead Ext. Pig Cost'!H56+'Villa Pig Cost'!H56+'Richlands Pig Cost'!H56+'Porta Pig Cost'!H56</f>
        <v>0</v>
      </c>
      <c r="I57" s="1059">
        <f>+'Grasmere Pig Cost'!I56+'Learig Pig Cost'!I56+'Lionhead Pig Cost'!I56+'Lionhead Ext. Pig Cost'!I56+'Villa Pig Cost'!I56+'Richlands Pig Cost'!I56+'Porta Pig Cost'!I56</f>
        <v>0</v>
      </c>
      <c r="J57" s="1059">
        <f>+'Grasmere Pig Cost'!J56+'Learig Pig Cost'!J56+'Lionhead Pig Cost'!J56+'Lionhead Ext. Pig Cost'!J56+'Villa Pig Cost'!J56+'Richlands Pig Cost'!J56+'Porta Pig Cost'!J56</f>
        <v>0</v>
      </c>
      <c r="K57" s="1059">
        <f>+'Grasmere Pig Cost'!K56+'Learig Pig Cost'!K56+'Lionhead Pig Cost'!K56+'Lionhead Ext. Pig Cost'!K56+'Villa Pig Cost'!K56+'Richlands Pig Cost'!K56+'Porta Pig Cost'!K56</f>
        <v>0</v>
      </c>
      <c r="L57" s="1059">
        <f>+'Grasmere Pig Cost'!L56+'Learig Pig Cost'!L56+'Lionhead Pig Cost'!L56+'Lionhead Ext. Pig Cost'!L56+'Villa Pig Cost'!L56+'Richlands Pig Cost'!L56+'Porta Pig Cost'!L56</f>
        <v>0</v>
      </c>
      <c r="M57" s="1059">
        <f>+'Grasmere Pig Cost'!M56+'Learig Pig Cost'!M56+'Lionhead Pig Cost'!M56+'Lionhead Ext. Pig Cost'!M56+'Villa Pig Cost'!M56+'Richlands Pig Cost'!M56+'Porta Pig Cost'!M56+'Multiplier Pig Cost '!M56</f>
        <v>0</v>
      </c>
      <c r="N57" s="1059">
        <f>+'Grasmere Pig Cost'!N56+'Learig Pig Cost'!N56+'Lionhead Pig Cost'!N56+'Lionhead Ext. Pig Cost'!N56+'Villa Pig Cost'!N56+'Richlands Pig Cost'!N56+'Porta Pig Cost'!N56+'Multiplier Pig Cost '!N56</f>
        <v>0</v>
      </c>
      <c r="O57" s="1059">
        <f>+'Grasmere Pig Cost'!O56+'Learig Pig Cost'!O56+'Lionhead Pig Cost'!O56+'Lionhead Ext. Pig Cost'!O56+'Villa Pig Cost'!O56+'Richlands Pig Cost'!O56+'Porta Pig Cost'!O56+'Multiplier Pig Cost '!O56</f>
        <v>0</v>
      </c>
      <c r="P57" s="1059">
        <f>+'Grasmere Pig Cost'!P56+'Learig Pig Cost'!P56+'Lionhead Pig Cost'!P56+'Lionhead Ext. Pig Cost'!P56+'Villa Pig Cost'!P56+'Richlands Pig Cost'!P56+'Porta Pig Cost'!P56+'Multiplier Pig Cost '!P56</f>
        <v>0</v>
      </c>
      <c r="Q57" s="1059">
        <f>+'Grasmere Pig Cost'!Q56+'Learig Pig Cost'!Q56+'Lionhead Pig Cost'!Q56+'Lionhead Ext. Pig Cost'!Q56+'Villa Pig Cost'!Q56+'Richlands Pig Cost'!Q56+'Porta Pig Cost'!Q56+'Multiplier Pig Cost '!Q56</f>
        <v>0</v>
      </c>
      <c r="R57" s="1059">
        <f>+'Grasmere Pig Cost'!R56+'Learig Pig Cost'!R56+'Lionhead Pig Cost'!R56+'Lionhead Ext. Pig Cost'!R56+'Villa Pig Cost'!R56+'Richlands Pig Cost'!R56+'Porta Pig Cost'!R56+'Multiplier Pig Cost '!R56</f>
        <v>0</v>
      </c>
      <c r="S57" s="1059">
        <f>+'Grasmere Pig Cost'!S56+'Learig Pig Cost'!S56+'Lionhead Pig Cost'!S56+'Lionhead Ext. Pig Cost'!S56+'Villa Pig Cost'!S56+'Richlands Pig Cost'!S56+'Porta Pig Cost'!S56+'Multiplier Pig Cost '!S56</f>
        <v>0</v>
      </c>
      <c r="T57" s="1059">
        <f>+'Grasmere Pig Cost'!T56+'Learig Pig Cost'!T56+'Lionhead Pig Cost'!T56+'Lionhead Ext. Pig Cost'!T56+'Villa Pig Cost'!T56+'Richlands Pig Cost'!T56+'Porta Pig Cost'!T56+'Multiplier Pig Cost '!T56</f>
        <v>0</v>
      </c>
      <c r="U57" s="1059">
        <f>+'Grasmere Pig Cost'!U56+'Learig Pig Cost'!U56+'Lionhead Pig Cost'!U56+'Lionhead Ext. Pig Cost'!U56+'Villa Pig Cost'!U56+'Richlands Pig Cost'!U56+'Porta Pig Cost'!U56+'Multiplier Pig Cost '!U56</f>
        <v>0</v>
      </c>
      <c r="V57" s="1059">
        <f>+'Grasmere Pig Cost'!V56+'Learig Pig Cost'!V56+'Lionhead Pig Cost'!V56+'Lionhead Ext. Pig Cost'!V56+'Villa Pig Cost'!V56+'Richlands Pig Cost'!V56+'Porta Pig Cost'!V56+'Multiplier Pig Cost '!V56</f>
        <v>0</v>
      </c>
      <c r="W57" s="1059">
        <f>+'Grasmere Pig Cost'!W56+'Learig Pig Cost'!W56+'Lionhead Pig Cost'!W56+'Lionhead Ext. Pig Cost'!W56+'Villa Pig Cost'!W56+'Richlands Pig Cost'!W56+'Porta Pig Cost'!W56+'Multiplier Pig Cost '!W56</f>
        <v>-2925.495480404838</v>
      </c>
      <c r="X57" s="1059">
        <f>+'Grasmere Pig Cost'!X56+'Learig Pig Cost'!X56+'Lionhead Pig Cost'!X56+'Lionhead Ext. Pig Cost'!X56+'Villa Pig Cost'!X56+'Richlands Pig Cost'!X56+'Porta Pig Cost'!X56+'Multiplier Pig Cost '!X56</f>
        <v>-3645.6221532464178</v>
      </c>
      <c r="Y57" s="1059">
        <f>+'Grasmere Pig Cost'!Y56+'Learig Pig Cost'!Y56+'Lionhead Pig Cost'!Y56+'Lionhead Ext. Pig Cost'!Y56+'Villa Pig Cost'!Y56+'Richlands Pig Cost'!Y56+'Porta Pig Cost'!Y56+'Multiplier Pig Cost '!Y56</f>
        <v>-3707.8328526888904</v>
      </c>
      <c r="Z57" s="1059">
        <f>+'Grasmere Pig Cost'!Z56+'Learig Pig Cost'!Z56+'Lionhead Pig Cost'!Z56+'Lionhead Ext. Pig Cost'!Z56+'Villa Pig Cost'!Z56+'Richlands Pig Cost'!Z56+'Porta Pig Cost'!Z56+'Multiplier Pig Cost '!Z56</f>
        <v>-3019.0888288556971</v>
      </c>
      <c r="AA57" s="1059">
        <f>+'Grasmere Pig Cost'!AA56+'Learig Pig Cost'!AA56+'Lionhead Pig Cost'!AA56+'Lionhead Ext. Pig Cost'!AA56+'Villa Pig Cost'!AA56+'Richlands Pig Cost'!AA56+'Porta Pig Cost'!AA56+'Multiplier Pig Cost '!AA56</f>
        <v>0</v>
      </c>
      <c r="AB57" s="1059">
        <f>+'Grasmere Pig Cost'!AB56+'Learig Pig Cost'!AB56+'Lionhead Pig Cost'!AB56+'Lionhead Ext. Pig Cost'!AB56+'Villa Pig Cost'!AB56+'Richlands Pig Cost'!AB56+'Porta Pig Cost'!AB56+'Multiplier Pig Cost '!AB56</f>
        <v>0</v>
      </c>
      <c r="AC57" s="1059">
        <f>+'Grasmere Pig Cost'!AC56+'Learig Pig Cost'!AC56+'Lionhead Pig Cost'!AC56+'Lionhead Ext. Pig Cost'!AC56+'Villa Pig Cost'!AC56+'Richlands Pig Cost'!AC56+'Porta Pig Cost'!AC56+'Multiplier Pig Cost '!AC56</f>
        <v>-277.23673139304549</v>
      </c>
      <c r="AD57" s="1059">
        <f>+'Grasmere Pig Cost'!AD56+'Learig Pig Cost'!AD56+'Lionhead Pig Cost'!AD56+'Lionhead Ext. Pig Cost'!AD56+'Villa Pig Cost'!AD56+'Richlands Pig Cost'!AD56+'Porta Pig Cost'!AD56+'Multiplier Pig Cost '!AD56</f>
        <v>-88.47918346152278</v>
      </c>
      <c r="AE57" s="1059">
        <f>+'Grasmere Pig Cost'!AE56+'Learig Pig Cost'!AE56+'Lionhead Pig Cost'!AE56+'Lionhead Ext. Pig Cost'!AE56+'Villa Pig Cost'!AE56+'Richlands Pig Cost'!AE56+'Porta Pig Cost'!AE56+'Multiplier Pig Cost '!AE56</f>
        <v>-412.05473180847821</v>
      </c>
      <c r="AF57" s="1059">
        <f>+'Grasmere Pig Cost'!AF56+'Learig Pig Cost'!AF56+'Lionhead Pig Cost'!AF56+'Lionhead Ext. Pig Cost'!AF56+'Villa Pig Cost'!AF56+'Richlands Pig Cost'!AF56+'Porta Pig Cost'!AF56+'Multiplier Pig Cost '!AF56</f>
        <v>-1040.5906100968116</v>
      </c>
      <c r="AG57" s="1059">
        <f>+'Grasmere Pig Cost'!AG56+'Learig Pig Cost'!AG56+'Lionhead Pig Cost'!AG56+'Lionhead Ext. Pig Cost'!AG56+'Villa Pig Cost'!AG56+'Richlands Pig Cost'!AG56+'Porta Pig Cost'!AG56+'Multiplier Pig Cost '!AG56</f>
        <v>0</v>
      </c>
      <c r="AH57" s="1059">
        <f>+'Grasmere Pig Cost'!AH56+'Learig Pig Cost'!AH56+'Lionhead Pig Cost'!AH56+'Lionhead Ext. Pig Cost'!AH56+'Villa Pig Cost'!AH56+'Richlands Pig Cost'!AH56+'Porta Pig Cost'!AH56+'Multiplier Pig Cost '!AH56</f>
        <v>0</v>
      </c>
      <c r="AI57" s="1059">
        <f>+'Grasmere Pig Cost'!AI56+'Learig Pig Cost'!AI56+'Lionhead Pig Cost'!AI56+'Lionhead Ext. Pig Cost'!AI56+'Villa Pig Cost'!AI56+'Richlands Pig Cost'!AI56+'Porta Pig Cost'!AI56+'Multiplier Pig Cost '!AI56</f>
        <v>0</v>
      </c>
      <c r="AJ57" s="1059">
        <f>+'Grasmere Pig Cost'!AJ56+'Learig Pig Cost'!AJ56+'Lionhead Pig Cost'!AJ56+'Lionhead Ext. Pig Cost'!AJ56+'Villa Pig Cost'!AJ56+'Richlands Pig Cost'!AJ56+'Porta Pig Cost'!AJ56+'Multiplier Pig Cost '!AJ56</f>
        <v>0</v>
      </c>
      <c r="AK57" s="1059">
        <f>+'Grasmere Pig Cost'!AK56+'Learig Pig Cost'!AK56+'Lionhead Pig Cost'!AK56+'Lionhead Ext. Pig Cost'!AK56+'Villa Pig Cost'!AK56+'Richlands Pig Cost'!AK56+'Porta Pig Cost'!AK56+'Multiplier Pig Cost '!AK56</f>
        <v>0</v>
      </c>
      <c r="AL57" s="1059">
        <f>+'Grasmere Pig Cost'!AL56+'Learig Pig Cost'!AL56+'Lionhead Pig Cost'!AL56+'Lionhead Ext. Pig Cost'!AL56+'Villa Pig Cost'!AL56+'Richlands Pig Cost'!AL56+'Porta Pig Cost'!AL56+'Multiplier Pig Cost '!AL56</f>
        <v>0</v>
      </c>
      <c r="AM57" s="1059">
        <f>+'Grasmere Pig Cost'!AM56+'Learig Pig Cost'!AM56+'Lionhead Pig Cost'!AM56+'Lionhead Ext. Pig Cost'!AM56+'Villa Pig Cost'!AM56+'Richlands Pig Cost'!AM56+'Porta Pig Cost'!AM56+'Multiplier Pig Cost '!AM56</f>
        <v>0</v>
      </c>
      <c r="AN57" s="1059">
        <f>+'Grasmere Pig Cost'!AN56+'Learig Pig Cost'!AN56+'Lionhead Pig Cost'!AN56+'Lionhead Ext. Pig Cost'!AN56+'Villa Pig Cost'!AN56+'Richlands Pig Cost'!AN56+'Porta Pig Cost'!AN56+'Multiplier Pig Cost '!AN56</f>
        <v>0</v>
      </c>
      <c r="AO57" s="1059">
        <f>+'Grasmere Pig Cost'!AO56+'Learig Pig Cost'!AO56+'Lionhead Pig Cost'!AO56+'Lionhead Ext. Pig Cost'!AO56+'Villa Pig Cost'!AO56+'Richlands Pig Cost'!AO56+'Porta Pig Cost'!AO56+'Multiplier Pig Cost '!AO56</f>
        <v>0</v>
      </c>
      <c r="AP57" s="1059">
        <f>+'Grasmere Pig Cost'!AP56+'Learig Pig Cost'!AP56+'Lionhead Pig Cost'!AP56+'Lionhead Ext. Pig Cost'!AP56+'Villa Pig Cost'!AP56+'Richlands Pig Cost'!AP56+'Porta Pig Cost'!AP56+'Multiplier Pig Cost '!AP56</f>
        <v>0</v>
      </c>
      <c r="AQ57" s="1059">
        <f>+'Grasmere Pig Cost'!AQ56+'Learig Pig Cost'!AQ56+'Lionhead Pig Cost'!AQ56+'Lionhead Ext. Pig Cost'!AQ56+'Villa Pig Cost'!AQ56+'Richlands Pig Cost'!AQ56+'Porta Pig Cost'!AQ56+'Multiplier Pig Cost '!AQ56</f>
        <v>0</v>
      </c>
      <c r="AR57" s="1059">
        <f>+'Grasmere Pig Cost'!AR56+'Learig Pig Cost'!AR56+'Lionhead Pig Cost'!AR56+'Lionhead Ext. Pig Cost'!AR56+'Villa Pig Cost'!AR56+'Richlands Pig Cost'!AR56+'Porta Pig Cost'!AR56+'Multiplier Pig Cost '!AR56</f>
        <v>0</v>
      </c>
      <c r="AS57" s="1059">
        <f>+'Grasmere Pig Cost'!AS56+'Learig Pig Cost'!AS56+'Lionhead Pig Cost'!AS56+'Lionhead Ext. Pig Cost'!AS56+'Villa Pig Cost'!AS56+'Richlands Pig Cost'!AS56+'Porta Pig Cost'!AS56+'Multiplier Pig Cost '!AS56</f>
        <v>0</v>
      </c>
      <c r="AT57" s="1059">
        <f>+'Grasmere Pig Cost'!AT56+'Learig Pig Cost'!AT56+'Lionhead Pig Cost'!AT56+'Lionhead Ext. Pig Cost'!AT56+'Villa Pig Cost'!AT56+'Richlands Pig Cost'!AT56+'Porta Pig Cost'!AT56+'Multiplier Pig Cost '!AT56</f>
        <v>0</v>
      </c>
      <c r="AU57" s="1633">
        <f>SUM(B57:AT57)</f>
        <v>-15116.400571955704</v>
      </c>
      <c r="AV57" s="1633">
        <f>+'Grasmere Pig Cost'!AU56+'Learig Pig Cost'!AU56+'Lionhead Pig Cost'!AU56+'Lionhead Ext. Pig Cost'!AU56+'Villa Pig Cost'!AU56+'Richlands Pig Cost'!AU56+'Porta Pig Cost'!AU56+'Multiplier Pig Cost '!AU56</f>
        <v>-15116.400571955703</v>
      </c>
      <c r="AW57" s="818">
        <f>+AU57-AV57</f>
        <v>0</v>
      </c>
      <c r="AX57" s="1059"/>
      <c r="AY57" s="1059"/>
      <c r="BD57" s="1059">
        <f t="shared" si="16"/>
        <v>-15116.400571955704</v>
      </c>
      <c r="BE57" s="1059">
        <f t="shared" si="27"/>
        <v>0</v>
      </c>
    </row>
    <row r="58" spans="1:58" ht="15.6">
      <c r="A58" s="142" t="str">
        <f t="shared" si="28"/>
        <v>Mortality</v>
      </c>
      <c r="B58" s="807">
        <f>+'Grasmere Pig Cost'!B57+'Learig Pig Cost'!B57+'Lionhead Pig Cost'!B57+'Lionhead Ext. Pig Cost'!B57+'Villa Pig Cost'!B57+'Richlands Pig Cost'!B57+'Porta Pig Cost'!B57</f>
        <v>0</v>
      </c>
      <c r="C58" s="807">
        <f>+'Grasmere Pig Cost'!C57+'Learig Pig Cost'!C57+'Lionhead Pig Cost'!C57+'Lionhead Ext. Pig Cost'!C57+'Villa Pig Cost'!C57+'Richlands Pig Cost'!C57+'Porta Pig Cost'!C57</f>
        <v>0</v>
      </c>
      <c r="D58" s="807">
        <f>+'Grasmere Pig Cost'!D57+'Learig Pig Cost'!D57+'Lionhead Pig Cost'!D57+'Lionhead Ext. Pig Cost'!D57+'Villa Pig Cost'!D57+'Richlands Pig Cost'!D57+'Porta Pig Cost'!D57</f>
        <v>0</v>
      </c>
      <c r="E58" s="807">
        <f>+'Grasmere Pig Cost'!E57+'Learig Pig Cost'!E57+'Lionhead Pig Cost'!E57+'Lionhead Ext. Pig Cost'!E57+'Villa Pig Cost'!E57+'Richlands Pig Cost'!E57+'Porta Pig Cost'!E57</f>
        <v>0</v>
      </c>
      <c r="F58" s="807">
        <f>+'Grasmere Pig Cost'!F57+'Learig Pig Cost'!F57+'Lionhead Pig Cost'!F57+'Lionhead Ext. Pig Cost'!F57+'Villa Pig Cost'!F57+'Richlands Pig Cost'!F57+'Porta Pig Cost'!F57</f>
        <v>0</v>
      </c>
      <c r="G58" s="807">
        <f>+'Grasmere Pig Cost'!G57+'Learig Pig Cost'!G57+'Lionhead Pig Cost'!G57+'Lionhead Ext. Pig Cost'!G57+'Villa Pig Cost'!G57+'Richlands Pig Cost'!G57+'Porta Pig Cost'!G57</f>
        <v>0</v>
      </c>
      <c r="H58" s="807">
        <f>+'Grasmere Pig Cost'!H57+'Learig Pig Cost'!H57+'Lionhead Pig Cost'!H57+'Lionhead Ext. Pig Cost'!H57+'Villa Pig Cost'!H57+'Richlands Pig Cost'!H57+'Porta Pig Cost'!H57</f>
        <v>0</v>
      </c>
      <c r="I58" s="807">
        <f>+'Grasmere Pig Cost'!I57+'Learig Pig Cost'!I57+'Lionhead Pig Cost'!I57+'Lionhead Ext. Pig Cost'!I57+'Villa Pig Cost'!I57+'Richlands Pig Cost'!I57+'Porta Pig Cost'!I57</f>
        <v>0</v>
      </c>
      <c r="J58" s="807">
        <f>+'Grasmere Pig Cost'!J57+'Learig Pig Cost'!J57+'Lionhead Pig Cost'!J57+'Lionhead Ext. Pig Cost'!J57+'Villa Pig Cost'!J57+'Richlands Pig Cost'!J57+'Porta Pig Cost'!J57</f>
        <v>0</v>
      </c>
      <c r="K58" s="807">
        <f>+'Grasmere Pig Cost'!K57+'Learig Pig Cost'!K57+'Lionhead Pig Cost'!K57+'Lionhead Ext. Pig Cost'!K57+'Villa Pig Cost'!K57+'Richlands Pig Cost'!K57+'Porta Pig Cost'!K57</f>
        <v>0</v>
      </c>
      <c r="L58" s="807">
        <f>+'Grasmere Pig Cost'!L57+'Learig Pig Cost'!L57+'Lionhead Pig Cost'!L57+'Lionhead Ext. Pig Cost'!L57+'Villa Pig Cost'!L57+'Richlands Pig Cost'!L57+'Porta Pig Cost'!L57</f>
        <v>0</v>
      </c>
      <c r="M58" s="807">
        <f>+'Grasmere Pig Cost'!M57+'Learig Pig Cost'!M57+'Lionhead Pig Cost'!M57+'Lionhead Ext. Pig Cost'!M57+'Villa Pig Cost'!M57+'Richlands Pig Cost'!M57+'Porta Pig Cost'!M57+'Multiplier Pig Cost '!M57</f>
        <v>0</v>
      </c>
      <c r="N58" s="807">
        <f>+'Grasmere Pig Cost'!N57+'Learig Pig Cost'!N57+'Lionhead Pig Cost'!N57+'Lionhead Ext. Pig Cost'!N57+'Villa Pig Cost'!N57+'Richlands Pig Cost'!N57+'Porta Pig Cost'!N57+'Multiplier Pig Cost '!N57</f>
        <v>0</v>
      </c>
      <c r="O58" s="807">
        <f>+'Grasmere Pig Cost'!O57+'Learig Pig Cost'!O57+'Lionhead Pig Cost'!O57+'Lionhead Ext. Pig Cost'!O57+'Villa Pig Cost'!O57+'Richlands Pig Cost'!O57+'Porta Pig Cost'!O57+'Multiplier Pig Cost '!O57</f>
        <v>0</v>
      </c>
      <c r="P58" s="807">
        <f>+'Grasmere Pig Cost'!P57+'Learig Pig Cost'!P57+'Lionhead Pig Cost'!P57+'Lionhead Ext. Pig Cost'!P57+'Villa Pig Cost'!P57+'Richlands Pig Cost'!P57+'Porta Pig Cost'!P57+'Multiplier Pig Cost '!P57</f>
        <v>0</v>
      </c>
      <c r="Q58" s="807">
        <f>+'Grasmere Pig Cost'!Q57+'Learig Pig Cost'!Q57+'Lionhead Pig Cost'!Q57+'Lionhead Ext. Pig Cost'!Q57+'Villa Pig Cost'!Q57+'Richlands Pig Cost'!Q57+'Porta Pig Cost'!Q57+'Multiplier Pig Cost '!Q57</f>
        <v>0</v>
      </c>
      <c r="R58" s="807">
        <f>+'Grasmere Pig Cost'!R57+'Learig Pig Cost'!R57+'Lionhead Pig Cost'!R57+'Lionhead Ext. Pig Cost'!R57+'Villa Pig Cost'!R57+'Richlands Pig Cost'!R57+'Porta Pig Cost'!R57+'Multiplier Pig Cost '!R57</f>
        <v>0</v>
      </c>
      <c r="S58" s="807">
        <f>+'Grasmere Pig Cost'!S57+'Learig Pig Cost'!S57+'Lionhead Pig Cost'!S57+'Lionhead Ext. Pig Cost'!S57+'Villa Pig Cost'!S57+'Richlands Pig Cost'!S57+'Porta Pig Cost'!S57+'Multiplier Pig Cost '!S57</f>
        <v>-3072.4854145256304</v>
      </c>
      <c r="T58" s="807">
        <f>+'Grasmere Pig Cost'!T57+'Learig Pig Cost'!T57+'Lionhead Pig Cost'!T57+'Lionhead Ext. Pig Cost'!T57+'Villa Pig Cost'!T57+'Richlands Pig Cost'!T57+'Porta Pig Cost'!T57+'Multiplier Pig Cost '!T57</f>
        <v>-10896.002703345219</v>
      </c>
      <c r="U58" s="807">
        <f>+'Grasmere Pig Cost'!U57+'Learig Pig Cost'!U57+'Lionhead Pig Cost'!U57+'Lionhead Ext. Pig Cost'!U57+'Villa Pig Cost'!U57+'Richlands Pig Cost'!U57+'Porta Pig Cost'!U57+'Multiplier Pig Cost '!U57</f>
        <v>-14981.436831029907</v>
      </c>
      <c r="V58" s="807">
        <f>+'Grasmere Pig Cost'!V57+'Learig Pig Cost'!V57+'Lionhead Pig Cost'!V57+'Lionhead Ext. Pig Cost'!V57+'Villa Pig Cost'!V57+'Richlands Pig Cost'!V57+'Porta Pig Cost'!V57+'Multiplier Pig Cost '!V57</f>
        <v>-17662.42005876455</v>
      </c>
      <c r="W58" s="807">
        <f>+'Grasmere Pig Cost'!W57+'Learig Pig Cost'!W57+'Lionhead Pig Cost'!W57+'Lionhead Ext. Pig Cost'!W57+'Villa Pig Cost'!W57+'Richlands Pig Cost'!W57+'Porta Pig Cost'!W57+'Multiplier Pig Cost '!W57</f>
        <v>-11828.800706831058</v>
      </c>
      <c r="X58" s="807">
        <f>+'Grasmere Pig Cost'!X57+'Learig Pig Cost'!X57+'Lionhead Pig Cost'!X57+'Lionhead Ext. Pig Cost'!X57+'Villa Pig Cost'!X57+'Richlands Pig Cost'!X57+'Porta Pig Cost'!X57+'Multiplier Pig Cost '!X57</f>
        <v>-11704.512353881049</v>
      </c>
      <c r="Y58" s="807">
        <f>+'Grasmere Pig Cost'!Y57+'Learig Pig Cost'!Y57+'Lionhead Pig Cost'!Y57+'Lionhead Ext. Pig Cost'!Y57+'Villa Pig Cost'!Y57+'Richlands Pig Cost'!Y57+'Porta Pig Cost'!Y57+'Multiplier Pig Cost '!Y57</f>
        <v>-5388.172394015538</v>
      </c>
      <c r="Z58" s="807">
        <f>+'Grasmere Pig Cost'!Z57+'Learig Pig Cost'!Z57+'Lionhead Pig Cost'!Z57+'Lionhead Ext. Pig Cost'!Z57+'Villa Pig Cost'!Z57+'Richlands Pig Cost'!Z57+'Porta Pig Cost'!Z57+'Multiplier Pig Cost '!Z57</f>
        <v>-7633.7322624985854</v>
      </c>
      <c r="AA58" s="807">
        <f>+'Grasmere Pig Cost'!AA57+'Learig Pig Cost'!AA57+'Lionhead Pig Cost'!AA57+'Lionhead Ext. Pig Cost'!AA57+'Villa Pig Cost'!AA57+'Richlands Pig Cost'!AA57+'Porta Pig Cost'!AA57+'Multiplier Pig Cost '!AA57</f>
        <v>-1640.056353397955</v>
      </c>
      <c r="AB58" s="807">
        <f>+'Grasmere Pig Cost'!AB57+'Learig Pig Cost'!AB57+'Lionhead Pig Cost'!AB57+'Lionhead Ext. Pig Cost'!AB57+'Villa Pig Cost'!AB57+'Richlands Pig Cost'!AB57+'Porta Pig Cost'!AB57+'Multiplier Pig Cost '!AB57</f>
        <v>-2949.2125747187411</v>
      </c>
      <c r="AC58" s="807">
        <f>+'Grasmere Pig Cost'!AC57+'Learig Pig Cost'!AC57+'Lionhead Pig Cost'!AC57+'Lionhead Ext. Pig Cost'!AC57+'Villa Pig Cost'!AC57+'Richlands Pig Cost'!AC57+'Porta Pig Cost'!AC57+'Multiplier Pig Cost '!AC57</f>
        <v>-1808.4561218823976</v>
      </c>
      <c r="AD58" s="807">
        <f>+'Grasmere Pig Cost'!AD57+'Learig Pig Cost'!AD57+'Lionhead Pig Cost'!AD57+'Lionhead Ext. Pig Cost'!AD57+'Villa Pig Cost'!AD57+'Richlands Pig Cost'!AD57+'Porta Pig Cost'!AD57+'Multiplier Pig Cost '!AD57</f>
        <v>-2838.9403099168235</v>
      </c>
      <c r="AE58" s="807">
        <f>+'Grasmere Pig Cost'!AE57+'Learig Pig Cost'!AE57+'Lionhead Pig Cost'!AE57+'Lionhead Ext. Pig Cost'!AE57+'Villa Pig Cost'!AE57+'Richlands Pig Cost'!AE57+'Porta Pig Cost'!AE57+'Multiplier Pig Cost '!AE57</f>
        <v>-3838.272106794132</v>
      </c>
      <c r="AF58" s="807">
        <f>+'Grasmere Pig Cost'!AF57+'Learig Pig Cost'!AF57+'Lionhead Pig Cost'!AF57+'Lionhead Ext. Pig Cost'!AF57+'Villa Pig Cost'!AF57+'Richlands Pig Cost'!AF57+'Porta Pig Cost'!AF57+'Multiplier Pig Cost '!AF57</f>
        <v>-2788.8457474881088</v>
      </c>
      <c r="AG58" s="807">
        <f>+'Grasmere Pig Cost'!AG57+'Learig Pig Cost'!AG57+'Lionhead Pig Cost'!AG57+'Lionhead Ext. Pig Cost'!AG57+'Villa Pig Cost'!AG57+'Richlands Pig Cost'!AG57+'Porta Pig Cost'!AG57+'Multiplier Pig Cost '!AG57</f>
        <v>-4196.7907710172631</v>
      </c>
      <c r="AH58" s="807">
        <f>+'Grasmere Pig Cost'!AH57+'Learig Pig Cost'!AH57+'Lionhead Pig Cost'!AH57+'Lionhead Ext. Pig Cost'!AH57+'Villa Pig Cost'!AH57+'Richlands Pig Cost'!AH57+'Porta Pig Cost'!AH57+'Multiplier Pig Cost '!AH57</f>
        <v>-4601.3524692468536</v>
      </c>
      <c r="AI58" s="807">
        <f>+'Grasmere Pig Cost'!AI57+'Learig Pig Cost'!AI57+'Lionhead Pig Cost'!AI57+'Lionhead Ext. Pig Cost'!AI57+'Villa Pig Cost'!AI57+'Richlands Pig Cost'!AI57+'Porta Pig Cost'!AI57+'Multiplier Pig Cost '!AI57</f>
        <v>-4196.8570955824362</v>
      </c>
      <c r="AJ58" s="807">
        <f>+'Grasmere Pig Cost'!AJ57+'Learig Pig Cost'!AJ57+'Lionhead Pig Cost'!AJ57+'Lionhead Ext. Pig Cost'!AJ57+'Villa Pig Cost'!AJ57+'Richlands Pig Cost'!AJ57+'Porta Pig Cost'!AJ57+'Multiplier Pig Cost '!AJ57</f>
        <v>-5758.7205939645301</v>
      </c>
      <c r="AK58" s="807">
        <f>+'Grasmere Pig Cost'!AK57+'Learig Pig Cost'!AK57+'Lionhead Pig Cost'!AK57+'Lionhead Ext. Pig Cost'!AK57+'Villa Pig Cost'!AK57+'Richlands Pig Cost'!AK57+'Porta Pig Cost'!AK57+'Multiplier Pig Cost '!AK57</f>
        <v>-5841.1326760340444</v>
      </c>
      <c r="AL58" s="807">
        <f>+'Grasmere Pig Cost'!AL57+'Learig Pig Cost'!AL57+'Lionhead Pig Cost'!AL57+'Lionhead Ext. Pig Cost'!AL57+'Villa Pig Cost'!AL57+'Richlands Pig Cost'!AL57+'Porta Pig Cost'!AL57+'Multiplier Pig Cost '!AL57</f>
        <v>-5173.3088153284061</v>
      </c>
      <c r="AM58" s="807">
        <f>+'Grasmere Pig Cost'!AM57+'Learig Pig Cost'!AM57+'Lionhead Pig Cost'!AM57+'Lionhead Ext. Pig Cost'!AM57+'Villa Pig Cost'!AM57+'Richlands Pig Cost'!AM57+'Porta Pig Cost'!AM57+'Multiplier Pig Cost '!AM57</f>
        <v>-8461.3005489691514</v>
      </c>
      <c r="AN58" s="807">
        <f>+'Grasmere Pig Cost'!AN57+'Learig Pig Cost'!AN57+'Lionhead Pig Cost'!AN57+'Lionhead Ext. Pig Cost'!AN57+'Villa Pig Cost'!AN57+'Richlands Pig Cost'!AN57+'Porta Pig Cost'!AN57+'Multiplier Pig Cost '!AN57</f>
        <v>-5943.462666615007</v>
      </c>
      <c r="AO58" s="807">
        <f>+'Grasmere Pig Cost'!AO57+'Learig Pig Cost'!AO57+'Lionhead Pig Cost'!AO57+'Lionhead Ext. Pig Cost'!AO57+'Villa Pig Cost'!AO57+'Richlands Pig Cost'!AO57+'Porta Pig Cost'!AO57+'Multiplier Pig Cost '!AO57</f>
        <v>-16556.005783943368</v>
      </c>
      <c r="AP58" s="807">
        <f>+'Grasmere Pig Cost'!AP57+'Learig Pig Cost'!AP57+'Lionhead Pig Cost'!AP57+'Lionhead Ext. Pig Cost'!AP57+'Villa Pig Cost'!AP57+'Richlands Pig Cost'!AP57+'Porta Pig Cost'!AP57+'Multiplier Pig Cost '!AP57</f>
        <v>-10479.661934813792</v>
      </c>
      <c r="AQ58" s="807">
        <f>+'Grasmere Pig Cost'!AQ57+'Learig Pig Cost'!AQ57+'Lionhead Pig Cost'!AQ57+'Lionhead Ext. Pig Cost'!AQ57+'Villa Pig Cost'!AQ57+'Richlands Pig Cost'!AQ57+'Porta Pig Cost'!AQ57+'Multiplier Pig Cost '!AQ57</f>
        <v>-5381.9807611041333</v>
      </c>
      <c r="AR58" s="807">
        <f>+'Grasmere Pig Cost'!AR57+'Learig Pig Cost'!AR57+'Lionhead Pig Cost'!AR57+'Lionhead Ext. Pig Cost'!AR57+'Villa Pig Cost'!AR57+'Richlands Pig Cost'!AR57+'Porta Pig Cost'!AR57+'Multiplier Pig Cost '!AR57</f>
        <v>-7142.1417146913182</v>
      </c>
      <c r="AS58" s="807">
        <f>+'Grasmere Pig Cost'!AS57+'Learig Pig Cost'!AS57+'Lionhead Pig Cost'!AS57+'Lionhead Ext. Pig Cost'!AS57+'Villa Pig Cost'!AS57+'Richlands Pig Cost'!AS57+'Porta Pig Cost'!AS57+'Multiplier Pig Cost '!AS57</f>
        <v>-1174.4085328274764</v>
      </c>
      <c r="AT58" s="807">
        <f>+'Grasmere Pig Cost'!AT57+'Learig Pig Cost'!AT57+'Lionhead Pig Cost'!AT57+'Lionhead Ext. Pig Cost'!AT57+'Villa Pig Cost'!AT57+'Richlands Pig Cost'!AT57+'Porta Pig Cost'!AT57+'Multiplier Pig Cost '!AT57</f>
        <v>-795.81789374477739</v>
      </c>
      <c r="AU58" s="1579">
        <f>SUM(B58:AT58)</f>
        <v>-184734.28819697228</v>
      </c>
      <c r="AV58" s="1579">
        <f>+'Grasmere Pig Cost'!AU57+'Learig Pig Cost'!AU57+'Lionhead Pig Cost'!AU57+'Lionhead Ext. Pig Cost'!AU57+'Villa Pig Cost'!AU57+'Richlands Pig Cost'!AU57+'Porta Pig Cost'!AU57+'Multiplier Pig Cost '!AU57</f>
        <v>-184734.28819697225</v>
      </c>
      <c r="AW58" s="818">
        <f t="shared" si="23"/>
        <v>0</v>
      </c>
      <c r="AX58" s="805"/>
      <c r="AY58" s="1059"/>
      <c r="BD58" s="1059">
        <f t="shared" si="16"/>
        <v>-112026.34627493624</v>
      </c>
      <c r="BE58" s="1059">
        <f t="shared" si="27"/>
        <v>-76904.799017618439</v>
      </c>
      <c r="BF58" s="142">
        <f>+'[29]Bio Assets USD New'!$M$50</f>
        <v>0</v>
      </c>
    </row>
    <row r="59" spans="1:58" ht="15.6">
      <c r="A59" s="142" t="str">
        <f t="shared" si="28"/>
        <v>Rations</v>
      </c>
      <c r="B59" s="807">
        <f>+'Grasmere Pig Cost'!B58+'Learig Pig Cost'!B58+'Lionhead Pig Cost'!B58+'Lionhead Ext. Pig Cost'!B58+'Villa Pig Cost'!B58+'Richlands Pig Cost'!B58+'Porta Pig Cost'!B58</f>
        <v>0</v>
      </c>
      <c r="C59" s="807">
        <f>+'Grasmere Pig Cost'!C58+'Learig Pig Cost'!C58+'Lionhead Pig Cost'!C58+'Lionhead Ext. Pig Cost'!C58+'Villa Pig Cost'!C58+'Richlands Pig Cost'!C58+'Porta Pig Cost'!C58</f>
        <v>0</v>
      </c>
      <c r="D59" s="807">
        <f>+'Grasmere Pig Cost'!D58+'Learig Pig Cost'!D58+'Lionhead Pig Cost'!D58+'Lionhead Ext. Pig Cost'!D58+'Villa Pig Cost'!D58+'Richlands Pig Cost'!D58+'Porta Pig Cost'!D58</f>
        <v>0</v>
      </c>
      <c r="E59" s="807">
        <f>+'Grasmere Pig Cost'!E58+'Learig Pig Cost'!E58+'Lionhead Pig Cost'!E58+'Lionhead Ext. Pig Cost'!E58+'Villa Pig Cost'!E58+'Richlands Pig Cost'!E58+'Porta Pig Cost'!E58</f>
        <v>0</v>
      </c>
      <c r="F59" s="807">
        <f>+'Grasmere Pig Cost'!F58+'Learig Pig Cost'!F58+'Lionhead Pig Cost'!F58+'Lionhead Ext. Pig Cost'!F58+'Villa Pig Cost'!F58+'Richlands Pig Cost'!F58+'Porta Pig Cost'!F58</f>
        <v>0</v>
      </c>
      <c r="G59" s="807">
        <f>+'Grasmere Pig Cost'!G58+'Learig Pig Cost'!G58+'Lionhead Pig Cost'!G58+'Lionhead Ext. Pig Cost'!G58+'Villa Pig Cost'!G58+'Richlands Pig Cost'!G58+'Porta Pig Cost'!G58</f>
        <v>0</v>
      </c>
      <c r="H59" s="807">
        <f>+'Grasmere Pig Cost'!H58+'Learig Pig Cost'!H58+'Lionhead Pig Cost'!H58+'Lionhead Ext. Pig Cost'!H58+'Villa Pig Cost'!H58+'Richlands Pig Cost'!H58+'Porta Pig Cost'!H58</f>
        <v>0</v>
      </c>
      <c r="I59" s="807">
        <f>+'Grasmere Pig Cost'!I58+'Learig Pig Cost'!I58+'Lionhead Pig Cost'!I58+'Lionhead Ext. Pig Cost'!I58+'Villa Pig Cost'!I58+'Richlands Pig Cost'!I58+'Porta Pig Cost'!I58</f>
        <v>0</v>
      </c>
      <c r="J59" s="807">
        <f>+'Grasmere Pig Cost'!J58+'Learig Pig Cost'!J58+'Lionhead Pig Cost'!J58+'Lionhead Ext. Pig Cost'!J58+'Villa Pig Cost'!J58+'Richlands Pig Cost'!J58+'Porta Pig Cost'!J58</f>
        <v>0</v>
      </c>
      <c r="K59" s="807">
        <f>+'Grasmere Pig Cost'!K58+'Learig Pig Cost'!K58+'Lionhead Pig Cost'!K58+'Lionhead Ext. Pig Cost'!K58+'Villa Pig Cost'!K58+'Richlands Pig Cost'!K58+'Porta Pig Cost'!K58</f>
        <v>0</v>
      </c>
      <c r="L59" s="807">
        <f>+'Grasmere Pig Cost'!L58+'Learig Pig Cost'!L58+'Lionhead Pig Cost'!L58+'Lionhead Ext. Pig Cost'!L58+'Villa Pig Cost'!L58+'Richlands Pig Cost'!L58+'Porta Pig Cost'!L58</f>
        <v>0</v>
      </c>
      <c r="M59" s="807">
        <f>+'Grasmere Pig Cost'!M58+'Learig Pig Cost'!M58+'Lionhead Pig Cost'!M58+'Lionhead Ext. Pig Cost'!M58+'Villa Pig Cost'!M58+'Richlands Pig Cost'!M58+'Porta Pig Cost'!M58+'Multiplier Pig Cost '!M58</f>
        <v>0</v>
      </c>
      <c r="N59" s="807">
        <f>+'Grasmere Pig Cost'!N58+'Learig Pig Cost'!N58+'Lionhead Pig Cost'!N58+'Lionhead Ext. Pig Cost'!N58+'Villa Pig Cost'!N58+'Richlands Pig Cost'!N58+'Porta Pig Cost'!N58+'Multiplier Pig Cost '!N58</f>
        <v>0</v>
      </c>
      <c r="O59" s="807">
        <f>+'Grasmere Pig Cost'!O58+'Learig Pig Cost'!O58+'Lionhead Pig Cost'!O58+'Lionhead Ext. Pig Cost'!O58+'Villa Pig Cost'!O58+'Richlands Pig Cost'!O58+'Porta Pig Cost'!O58+'Multiplier Pig Cost '!O58</f>
        <v>0</v>
      </c>
      <c r="P59" s="807">
        <f>+'Grasmere Pig Cost'!P58+'Learig Pig Cost'!P58+'Lionhead Pig Cost'!P58+'Lionhead Ext. Pig Cost'!P58+'Villa Pig Cost'!P58+'Richlands Pig Cost'!P58+'Porta Pig Cost'!P58+'Multiplier Pig Cost '!P58</f>
        <v>0</v>
      </c>
      <c r="Q59" s="807">
        <f>+'Grasmere Pig Cost'!Q58+'Learig Pig Cost'!Q58+'Lionhead Pig Cost'!Q58+'Lionhead Ext. Pig Cost'!Q58+'Villa Pig Cost'!Q58+'Richlands Pig Cost'!Q58+'Porta Pig Cost'!Q58+'Multiplier Pig Cost '!Q58</f>
        <v>0</v>
      </c>
      <c r="R59" s="807">
        <f>+'Grasmere Pig Cost'!R58+'Learig Pig Cost'!R58+'Lionhead Pig Cost'!R58+'Lionhead Ext. Pig Cost'!R58+'Villa Pig Cost'!R58+'Richlands Pig Cost'!R58+'Porta Pig Cost'!R58+'Multiplier Pig Cost '!R58</f>
        <v>0</v>
      </c>
      <c r="S59" s="807">
        <f>+'Grasmere Pig Cost'!S58+'Learig Pig Cost'!S58+'Lionhead Pig Cost'!S58+'Lionhead Ext. Pig Cost'!S58+'Villa Pig Cost'!S58+'Richlands Pig Cost'!S58+'Porta Pig Cost'!S58+'Multiplier Pig Cost '!S58</f>
        <v>0</v>
      </c>
      <c r="T59" s="807">
        <f>+'Grasmere Pig Cost'!T58+'Learig Pig Cost'!T58+'Lionhead Pig Cost'!T58+'Lionhead Ext. Pig Cost'!T58+'Villa Pig Cost'!T58+'Richlands Pig Cost'!T58+'Porta Pig Cost'!T58+'Multiplier Pig Cost '!T58</f>
        <v>0</v>
      </c>
      <c r="U59" s="807">
        <f>+'Grasmere Pig Cost'!U58+'Learig Pig Cost'!U58+'Lionhead Pig Cost'!U58+'Lionhead Ext. Pig Cost'!U58+'Villa Pig Cost'!U58+'Richlands Pig Cost'!U58+'Porta Pig Cost'!U58+'Multiplier Pig Cost '!U58</f>
        <v>0</v>
      </c>
      <c r="V59" s="807">
        <f>+'Grasmere Pig Cost'!V58+'Learig Pig Cost'!V58+'Lionhead Pig Cost'!V58+'Lionhead Ext. Pig Cost'!V58+'Villa Pig Cost'!V58+'Richlands Pig Cost'!V58+'Porta Pig Cost'!V58+'Multiplier Pig Cost '!V58</f>
        <v>0</v>
      </c>
      <c r="W59" s="807">
        <f>+'Grasmere Pig Cost'!W58+'Learig Pig Cost'!W58+'Lionhead Pig Cost'!W58+'Lionhead Ext. Pig Cost'!W58+'Villa Pig Cost'!W58+'Richlands Pig Cost'!W58+'Porta Pig Cost'!W58+'Multiplier Pig Cost '!W58</f>
        <v>0</v>
      </c>
      <c r="X59" s="807">
        <f>+'Grasmere Pig Cost'!X58+'Learig Pig Cost'!X58+'Lionhead Pig Cost'!X58+'Lionhead Ext. Pig Cost'!X58+'Villa Pig Cost'!X58+'Richlands Pig Cost'!X58+'Porta Pig Cost'!X58+'Multiplier Pig Cost '!X58</f>
        <v>0</v>
      </c>
      <c r="Y59" s="807">
        <f>+'Grasmere Pig Cost'!Y58+'Learig Pig Cost'!Y58+'Lionhead Pig Cost'!Y58+'Lionhead Ext. Pig Cost'!Y58+'Villa Pig Cost'!Y58+'Richlands Pig Cost'!Y58+'Porta Pig Cost'!Y58+'Multiplier Pig Cost '!Y58</f>
        <v>0</v>
      </c>
      <c r="Z59" s="807">
        <f>+'Grasmere Pig Cost'!Z58+'Learig Pig Cost'!Z58+'Lionhead Pig Cost'!Z58+'Lionhead Ext. Pig Cost'!Z58+'Villa Pig Cost'!Z58+'Richlands Pig Cost'!Z58+'Porta Pig Cost'!Z58+'Multiplier Pig Cost '!Z58</f>
        <v>0</v>
      </c>
      <c r="AA59" s="807">
        <f>+'Grasmere Pig Cost'!AA58+'Learig Pig Cost'!AA58+'Lionhead Pig Cost'!AA58+'Lionhead Ext. Pig Cost'!AA58+'Villa Pig Cost'!AA58+'Richlands Pig Cost'!AA58+'Porta Pig Cost'!AA58+'Multiplier Pig Cost '!AA58</f>
        <v>0</v>
      </c>
      <c r="AB59" s="807">
        <f>+'Grasmere Pig Cost'!AB58+'Learig Pig Cost'!AB58+'Lionhead Pig Cost'!AB58+'Lionhead Ext. Pig Cost'!AB58+'Villa Pig Cost'!AB58+'Richlands Pig Cost'!AB58+'Porta Pig Cost'!AB58+'Multiplier Pig Cost '!AB58</f>
        <v>0</v>
      </c>
      <c r="AC59" s="807">
        <f>+'Grasmere Pig Cost'!AC58+'Learig Pig Cost'!AC58+'Lionhead Pig Cost'!AC58+'Lionhead Ext. Pig Cost'!AC58+'Villa Pig Cost'!AC58+'Richlands Pig Cost'!AC58+'Porta Pig Cost'!AC58+'Multiplier Pig Cost '!AC58</f>
        <v>0</v>
      </c>
      <c r="AD59" s="807">
        <f>+'Grasmere Pig Cost'!AD58+'Learig Pig Cost'!AD58+'Lionhead Pig Cost'!AD58+'Lionhead Ext. Pig Cost'!AD58+'Villa Pig Cost'!AD58+'Richlands Pig Cost'!AD58+'Porta Pig Cost'!AD58+'Multiplier Pig Cost '!AD58</f>
        <v>0</v>
      </c>
      <c r="AE59" s="807">
        <f>+'Grasmere Pig Cost'!AE58+'Learig Pig Cost'!AE58+'Lionhead Pig Cost'!AE58+'Lionhead Ext. Pig Cost'!AE58+'Villa Pig Cost'!AE58+'Richlands Pig Cost'!AE58+'Porta Pig Cost'!AE58+'Multiplier Pig Cost '!AE58</f>
        <v>0</v>
      </c>
      <c r="AF59" s="807">
        <f>+'Grasmere Pig Cost'!AF58+'Learig Pig Cost'!AF58+'Lionhead Pig Cost'!AF58+'Lionhead Ext. Pig Cost'!AF58+'Villa Pig Cost'!AF58+'Richlands Pig Cost'!AF58+'Porta Pig Cost'!AF58+'Multiplier Pig Cost '!AF58</f>
        <v>-166.09171058934331</v>
      </c>
      <c r="AG59" s="807">
        <f>+'Grasmere Pig Cost'!AG58+'Learig Pig Cost'!AG58+'Lionhead Pig Cost'!AG58+'Lionhead Ext. Pig Cost'!AG58+'Villa Pig Cost'!AG58+'Richlands Pig Cost'!AG58+'Porta Pig Cost'!AG58+'Multiplier Pig Cost '!AG58</f>
        <v>0</v>
      </c>
      <c r="AH59" s="807">
        <f>+'Grasmere Pig Cost'!AH58+'Learig Pig Cost'!AH58+'Lionhead Pig Cost'!AH58+'Lionhead Ext. Pig Cost'!AH58+'Villa Pig Cost'!AH58+'Richlands Pig Cost'!AH58+'Porta Pig Cost'!AH58+'Multiplier Pig Cost '!AH58</f>
        <v>-263.40509357005533</v>
      </c>
      <c r="AI59" s="807">
        <f>+'Grasmere Pig Cost'!AI58+'Learig Pig Cost'!AI58+'Lionhead Pig Cost'!AI58+'Lionhead Ext. Pig Cost'!AI58+'Villa Pig Cost'!AI58+'Richlands Pig Cost'!AI58+'Porta Pig Cost'!AI58+'Multiplier Pig Cost '!AI58</f>
        <v>0</v>
      </c>
      <c r="AJ59" s="807">
        <f>+'Grasmere Pig Cost'!AJ58+'Learig Pig Cost'!AJ58+'Lionhead Pig Cost'!AJ58+'Lionhead Ext. Pig Cost'!AJ58+'Villa Pig Cost'!AJ58+'Richlands Pig Cost'!AJ58+'Porta Pig Cost'!AJ58+'Multiplier Pig Cost '!AJ58</f>
        <v>0</v>
      </c>
      <c r="AK59" s="807">
        <f>+'Grasmere Pig Cost'!AK58+'Learig Pig Cost'!AK58+'Lionhead Pig Cost'!AK58+'Lionhead Ext. Pig Cost'!AK58+'Villa Pig Cost'!AK58+'Richlands Pig Cost'!AK58+'Porta Pig Cost'!AK58+'Multiplier Pig Cost '!AK58</f>
        <v>-297.64911032737598</v>
      </c>
      <c r="AL59" s="807">
        <f>+'Grasmere Pig Cost'!AL58+'Learig Pig Cost'!AL58+'Lionhead Pig Cost'!AL58+'Lionhead Ext. Pig Cost'!AL58+'Villa Pig Cost'!AL58+'Richlands Pig Cost'!AL58+'Porta Pig Cost'!AL58+'Multiplier Pig Cost '!AL58</f>
        <v>-321.83969984059325</v>
      </c>
      <c r="AM59" s="807">
        <f>+'Grasmere Pig Cost'!AM58+'Learig Pig Cost'!AM58+'Lionhead Pig Cost'!AM58+'Lionhead Ext. Pig Cost'!AM58+'Villa Pig Cost'!AM58+'Richlands Pig Cost'!AM58+'Porta Pig Cost'!AM58+'Multiplier Pig Cost '!AM58</f>
        <v>0</v>
      </c>
      <c r="AN59" s="807">
        <f>+'Grasmere Pig Cost'!AN58+'Learig Pig Cost'!AN58+'Lionhead Pig Cost'!AN58+'Lionhead Ext. Pig Cost'!AN58+'Villa Pig Cost'!AN58+'Richlands Pig Cost'!AN58+'Porta Pig Cost'!AN58+'Multiplier Pig Cost '!AN58</f>
        <v>-890.92054151207662</v>
      </c>
      <c r="AO59" s="807">
        <f>+'Grasmere Pig Cost'!AO58+'Learig Pig Cost'!AO58+'Lionhead Pig Cost'!AO58+'Lionhead Ext. Pig Cost'!AO58+'Villa Pig Cost'!AO58+'Richlands Pig Cost'!AO58+'Porta Pig Cost'!AO58+'Multiplier Pig Cost '!AO58</f>
        <v>-3947.7235853849697</v>
      </c>
      <c r="AP59" s="807">
        <f>+'Grasmere Pig Cost'!AP58+'Learig Pig Cost'!AP58+'Lionhead Pig Cost'!AP58+'Lionhead Ext. Pig Cost'!AP58+'Villa Pig Cost'!AP58+'Richlands Pig Cost'!AP58+'Porta Pig Cost'!AP58+'Multiplier Pig Cost '!AP58</f>
        <v>-4213.9869361605997</v>
      </c>
      <c r="AQ59" s="807">
        <f>+'Grasmere Pig Cost'!AQ58+'Learig Pig Cost'!AQ58+'Lionhead Pig Cost'!AQ58+'Lionhead Ext. Pig Cost'!AQ58+'Villa Pig Cost'!AQ58+'Richlands Pig Cost'!AQ58+'Porta Pig Cost'!AQ58+'Multiplier Pig Cost '!AQ58</f>
        <v>-3856.8401562703002</v>
      </c>
      <c r="AR59" s="807">
        <f>+'Grasmere Pig Cost'!AR58+'Learig Pig Cost'!AR58+'Lionhead Pig Cost'!AR58+'Lionhead Ext. Pig Cost'!AR58+'Villa Pig Cost'!AR58+'Richlands Pig Cost'!AR58+'Porta Pig Cost'!AR58+'Multiplier Pig Cost '!AR58</f>
        <v>-498.97861297848868</v>
      </c>
      <c r="AS59" s="807">
        <f>+'Grasmere Pig Cost'!AS58+'Learig Pig Cost'!AS58+'Lionhead Pig Cost'!AS58+'Lionhead Ext. Pig Cost'!AS58+'Villa Pig Cost'!AS58+'Richlands Pig Cost'!AS58+'Porta Pig Cost'!AS58+'Multiplier Pig Cost '!AS58</f>
        <v>-1732.4564617551391</v>
      </c>
      <c r="AT59" s="807">
        <f>+'Grasmere Pig Cost'!AT58+'Learig Pig Cost'!AT58+'Lionhead Pig Cost'!AT58+'Lionhead Ext. Pig Cost'!AT58+'Villa Pig Cost'!AT58+'Richlands Pig Cost'!AT58+'Porta Pig Cost'!AT58+'Multiplier Pig Cost '!AT58</f>
        <v>-304.77308172933408</v>
      </c>
      <c r="AU59" s="1579">
        <f t="shared" si="26"/>
        <v>-16494.664990118275</v>
      </c>
      <c r="AV59" s="1088">
        <f>+'Grasmere Pig Cost'!AU58+'Learig Pig Cost'!AU58+'Lionhead Pig Cost'!AU58+'Lionhead Ext. Pig Cost'!AU58+'Villa Pig Cost'!AU58+'Richlands Pig Cost'!AU58+'Porta Pig Cost'!AU58+'Multiplier Pig Cost '!AU58</f>
        <v>-16494.664990118275</v>
      </c>
      <c r="AW59" s="818">
        <f t="shared" si="23"/>
        <v>0</v>
      </c>
      <c r="AX59" s="805"/>
      <c r="BA59" s="142">
        <v>-468.77777056768537</v>
      </c>
      <c r="BD59" s="1059">
        <f t="shared" si="16"/>
        <v>-429.49680415939861</v>
      </c>
      <c r="BE59" s="1059">
        <f t="shared" si="27"/>
        <v>-16065.168185958877</v>
      </c>
      <c r="BF59" s="142">
        <f>+'[29]Bio Assets USD New'!$M$47</f>
        <v>0</v>
      </c>
    </row>
    <row r="60" spans="1:58" ht="15.6">
      <c r="A60" s="142" t="str">
        <f t="shared" si="28"/>
        <v>Pet Food</v>
      </c>
      <c r="B60" s="807">
        <f>+'Grasmere Pig Cost'!B59+'Learig Pig Cost'!B59+'Lionhead Pig Cost'!B59+'Lionhead Ext. Pig Cost'!B59+'Villa Pig Cost'!B59+'Richlands Pig Cost'!B59+'Porta Pig Cost'!B59</f>
        <v>0</v>
      </c>
      <c r="C60" s="807">
        <f>+'Grasmere Pig Cost'!C59+'Learig Pig Cost'!C59+'Lionhead Pig Cost'!C59+'Lionhead Ext. Pig Cost'!C59+'Villa Pig Cost'!C59+'Richlands Pig Cost'!C59+'Porta Pig Cost'!C59</f>
        <v>0</v>
      </c>
      <c r="D60" s="807">
        <f>+'Grasmere Pig Cost'!D59+'Learig Pig Cost'!D59+'Lionhead Pig Cost'!D59+'Lionhead Ext. Pig Cost'!D59+'Villa Pig Cost'!D59+'Richlands Pig Cost'!D59+'Porta Pig Cost'!D59</f>
        <v>0</v>
      </c>
      <c r="E60" s="807">
        <f>+'Grasmere Pig Cost'!E59+'Learig Pig Cost'!E59+'Lionhead Pig Cost'!E59+'Lionhead Ext. Pig Cost'!E59+'Villa Pig Cost'!E59+'Richlands Pig Cost'!E59+'Porta Pig Cost'!E59</f>
        <v>0</v>
      </c>
      <c r="F60" s="807">
        <f>+'Grasmere Pig Cost'!F59+'Learig Pig Cost'!F59+'Lionhead Pig Cost'!F59+'Lionhead Ext. Pig Cost'!F59+'Villa Pig Cost'!F59+'Richlands Pig Cost'!F59+'Porta Pig Cost'!F59</f>
        <v>0</v>
      </c>
      <c r="G60" s="807">
        <f>+'Grasmere Pig Cost'!G59+'Learig Pig Cost'!G59+'Lionhead Pig Cost'!G59+'Lionhead Ext. Pig Cost'!G59+'Villa Pig Cost'!G59+'Richlands Pig Cost'!G59+'Porta Pig Cost'!G59</f>
        <v>0</v>
      </c>
      <c r="H60" s="807">
        <f>+'Grasmere Pig Cost'!H59+'Learig Pig Cost'!H59+'Lionhead Pig Cost'!H59+'Lionhead Ext. Pig Cost'!H59+'Villa Pig Cost'!H59+'Richlands Pig Cost'!H59+'Porta Pig Cost'!H59</f>
        <v>0</v>
      </c>
      <c r="I60" s="807">
        <f>+'Grasmere Pig Cost'!I59+'Learig Pig Cost'!I59+'Lionhead Pig Cost'!I59+'Lionhead Ext. Pig Cost'!I59+'Villa Pig Cost'!I59+'Richlands Pig Cost'!I59+'Porta Pig Cost'!I59</f>
        <v>0</v>
      </c>
      <c r="J60" s="807">
        <f>+'Grasmere Pig Cost'!J59+'Learig Pig Cost'!J59+'Lionhead Pig Cost'!J59+'Lionhead Ext. Pig Cost'!J59+'Villa Pig Cost'!J59+'Richlands Pig Cost'!J59+'Porta Pig Cost'!J59</f>
        <v>0</v>
      </c>
      <c r="K60" s="807">
        <f>+'Grasmere Pig Cost'!K59+'Learig Pig Cost'!K59+'Lionhead Pig Cost'!K59+'Lionhead Ext. Pig Cost'!K59+'Villa Pig Cost'!K59+'Richlands Pig Cost'!K59+'Porta Pig Cost'!K59</f>
        <v>0</v>
      </c>
      <c r="L60" s="807">
        <f>+'Grasmere Pig Cost'!L59+'Learig Pig Cost'!L59+'Lionhead Pig Cost'!L59+'Lionhead Ext. Pig Cost'!L59+'Villa Pig Cost'!L59+'Richlands Pig Cost'!L59+'Porta Pig Cost'!L59</f>
        <v>0</v>
      </c>
      <c r="M60" s="807">
        <f>+'Grasmere Pig Cost'!M59+'Learig Pig Cost'!M59+'Lionhead Pig Cost'!M59+'Lionhead Ext. Pig Cost'!M59+'Villa Pig Cost'!M59+'Richlands Pig Cost'!M59+'Porta Pig Cost'!M59+'Multiplier Pig Cost '!M59</f>
        <v>0</v>
      </c>
      <c r="N60" s="807">
        <f>+'Grasmere Pig Cost'!N59+'Learig Pig Cost'!N59+'Lionhead Pig Cost'!N59+'Lionhead Ext. Pig Cost'!N59+'Villa Pig Cost'!N59+'Richlands Pig Cost'!N59+'Porta Pig Cost'!N59+'Multiplier Pig Cost '!N59</f>
        <v>0</v>
      </c>
      <c r="O60" s="807">
        <f>+'Grasmere Pig Cost'!O59+'Learig Pig Cost'!O59+'Lionhead Pig Cost'!O59+'Lionhead Ext. Pig Cost'!O59+'Villa Pig Cost'!O59+'Richlands Pig Cost'!O59+'Porta Pig Cost'!O59+'Multiplier Pig Cost '!O59</f>
        <v>0</v>
      </c>
      <c r="P60" s="807">
        <f>+'Grasmere Pig Cost'!P59+'Learig Pig Cost'!P59+'Lionhead Pig Cost'!P59+'Lionhead Ext. Pig Cost'!P59+'Villa Pig Cost'!P59+'Richlands Pig Cost'!P59+'Porta Pig Cost'!P59+'Multiplier Pig Cost '!P59</f>
        <v>0</v>
      </c>
      <c r="Q60" s="807">
        <f>+'Grasmere Pig Cost'!Q59+'Learig Pig Cost'!Q59+'Lionhead Pig Cost'!Q59+'Lionhead Ext. Pig Cost'!Q59+'Villa Pig Cost'!Q59+'Richlands Pig Cost'!Q59+'Porta Pig Cost'!Q59+'Multiplier Pig Cost '!Q59</f>
        <v>0</v>
      </c>
      <c r="R60" s="807">
        <f>+'Grasmere Pig Cost'!R59+'Learig Pig Cost'!R59+'Lionhead Pig Cost'!R59+'Lionhead Ext. Pig Cost'!R59+'Villa Pig Cost'!R59+'Richlands Pig Cost'!R59+'Porta Pig Cost'!R59+'Multiplier Pig Cost '!R59</f>
        <v>0</v>
      </c>
      <c r="S60" s="807">
        <f>+'Grasmere Pig Cost'!S59+'Learig Pig Cost'!S59+'Lionhead Pig Cost'!S59+'Lionhead Ext. Pig Cost'!S59+'Villa Pig Cost'!S59+'Richlands Pig Cost'!S59+'Porta Pig Cost'!S59+'Multiplier Pig Cost '!S59</f>
        <v>0</v>
      </c>
      <c r="T60" s="807">
        <f>+'Grasmere Pig Cost'!T59+'Learig Pig Cost'!T59+'Lionhead Pig Cost'!T59+'Lionhead Ext. Pig Cost'!T59+'Villa Pig Cost'!T59+'Richlands Pig Cost'!T59+'Porta Pig Cost'!T59+'Multiplier Pig Cost '!T59</f>
        <v>0</v>
      </c>
      <c r="U60" s="807">
        <f>+'Grasmere Pig Cost'!U59+'Learig Pig Cost'!U59+'Lionhead Pig Cost'!U59+'Lionhead Ext. Pig Cost'!U59+'Villa Pig Cost'!U59+'Richlands Pig Cost'!U59+'Porta Pig Cost'!U59+'Multiplier Pig Cost '!U59</f>
        <v>0</v>
      </c>
      <c r="V60" s="807">
        <f>+'Grasmere Pig Cost'!V59+'Learig Pig Cost'!V59+'Lionhead Pig Cost'!V59+'Lionhead Ext. Pig Cost'!V59+'Villa Pig Cost'!V59+'Richlands Pig Cost'!V59+'Porta Pig Cost'!V59+'Multiplier Pig Cost '!V59</f>
        <v>0</v>
      </c>
      <c r="W60" s="807">
        <f>+'Grasmere Pig Cost'!W59+'Learig Pig Cost'!W59+'Lionhead Pig Cost'!W59+'Lionhead Ext. Pig Cost'!W59+'Villa Pig Cost'!W59+'Richlands Pig Cost'!W59+'Porta Pig Cost'!W59+'Multiplier Pig Cost '!W59</f>
        <v>0</v>
      </c>
      <c r="X60" s="807">
        <f>+'Grasmere Pig Cost'!X59+'Learig Pig Cost'!X59+'Lionhead Pig Cost'!X59+'Lionhead Ext. Pig Cost'!X59+'Villa Pig Cost'!X59+'Richlands Pig Cost'!X59+'Porta Pig Cost'!X59+'Multiplier Pig Cost '!X59</f>
        <v>0</v>
      </c>
      <c r="Y60" s="807">
        <f>+'Grasmere Pig Cost'!Y59+'Learig Pig Cost'!Y59+'Lionhead Pig Cost'!Y59+'Lionhead Ext. Pig Cost'!Y59+'Villa Pig Cost'!Y59+'Richlands Pig Cost'!Y59+'Porta Pig Cost'!Y59+'Multiplier Pig Cost '!Y59</f>
        <v>0</v>
      </c>
      <c r="Z60" s="807">
        <f>+'Grasmere Pig Cost'!Z59+'Learig Pig Cost'!Z59+'Lionhead Pig Cost'!Z59+'Lionhead Ext. Pig Cost'!Z59+'Villa Pig Cost'!Z59+'Richlands Pig Cost'!Z59+'Porta Pig Cost'!Z59+'Multiplier Pig Cost '!Z59</f>
        <v>0</v>
      </c>
      <c r="AA60" s="807">
        <f>+'Grasmere Pig Cost'!AA59+'Learig Pig Cost'!AA59+'Lionhead Pig Cost'!AA59+'Lionhead Ext. Pig Cost'!AA59+'Villa Pig Cost'!AA59+'Richlands Pig Cost'!AA59+'Porta Pig Cost'!AA59+'Multiplier Pig Cost '!AA59</f>
        <v>0</v>
      </c>
      <c r="AB60" s="807">
        <f>+'Grasmere Pig Cost'!AB59+'Learig Pig Cost'!AB59+'Lionhead Pig Cost'!AB59+'Lionhead Ext. Pig Cost'!AB59+'Villa Pig Cost'!AB59+'Richlands Pig Cost'!AB59+'Porta Pig Cost'!AB59+'Multiplier Pig Cost '!AB59</f>
        <v>0</v>
      </c>
      <c r="AC60" s="807">
        <f>+'Grasmere Pig Cost'!AC59+'Learig Pig Cost'!AC59+'Lionhead Pig Cost'!AC59+'Lionhead Ext. Pig Cost'!AC59+'Villa Pig Cost'!AC59+'Richlands Pig Cost'!AC59+'Porta Pig Cost'!AC59+'Multiplier Pig Cost '!AC59</f>
        <v>0</v>
      </c>
      <c r="AD60" s="807">
        <f>+'Grasmere Pig Cost'!AD59+'Learig Pig Cost'!AD59+'Lionhead Pig Cost'!AD59+'Lionhead Ext. Pig Cost'!AD59+'Villa Pig Cost'!AD59+'Richlands Pig Cost'!AD59+'Porta Pig Cost'!AD59+'Multiplier Pig Cost '!AD59</f>
        <v>0</v>
      </c>
      <c r="AE60" s="807">
        <f>+'Grasmere Pig Cost'!AE59+'Learig Pig Cost'!AE59+'Lionhead Pig Cost'!AE59+'Lionhead Ext. Pig Cost'!AE59+'Villa Pig Cost'!AE59+'Richlands Pig Cost'!AE59+'Porta Pig Cost'!AE59+'Multiplier Pig Cost '!AE59</f>
        <v>0</v>
      </c>
      <c r="AF60" s="807">
        <f>+'Grasmere Pig Cost'!AF59+'Learig Pig Cost'!AF59+'Lionhead Pig Cost'!AF59+'Lionhead Ext. Pig Cost'!AF59+'Villa Pig Cost'!AF59+'Richlands Pig Cost'!AF59+'Porta Pig Cost'!AF59+'Multiplier Pig Cost '!AF59</f>
        <v>0</v>
      </c>
      <c r="AG60" s="807">
        <f>+'Grasmere Pig Cost'!AG59+'Learig Pig Cost'!AG59+'Lionhead Pig Cost'!AG59+'Lionhead Ext. Pig Cost'!AG59+'Villa Pig Cost'!AG59+'Richlands Pig Cost'!AG59+'Porta Pig Cost'!AG59+'Multiplier Pig Cost '!AG59</f>
        <v>0</v>
      </c>
      <c r="AH60" s="807">
        <f>+'Grasmere Pig Cost'!AH59+'Learig Pig Cost'!AH59+'Lionhead Pig Cost'!AH59+'Lionhead Ext. Pig Cost'!AH59+'Villa Pig Cost'!AH59+'Richlands Pig Cost'!AH59+'Porta Pig Cost'!AH59+'Multiplier Pig Cost '!AH59</f>
        <v>0</v>
      </c>
      <c r="AI60" s="807">
        <f>+'Grasmere Pig Cost'!AI59+'Learig Pig Cost'!AI59+'Lionhead Pig Cost'!AI59+'Lionhead Ext. Pig Cost'!AI59+'Villa Pig Cost'!AI59+'Richlands Pig Cost'!AI59+'Porta Pig Cost'!AI59+'Multiplier Pig Cost '!AI59</f>
        <v>0</v>
      </c>
      <c r="AJ60" s="807">
        <f>+'Grasmere Pig Cost'!AJ59+'Learig Pig Cost'!AJ59+'Lionhead Pig Cost'!AJ59+'Lionhead Ext. Pig Cost'!AJ59+'Villa Pig Cost'!AJ59+'Richlands Pig Cost'!AJ59+'Porta Pig Cost'!AJ59+'Multiplier Pig Cost '!AJ59</f>
        <v>0</v>
      </c>
      <c r="AK60" s="807">
        <f>+'Grasmere Pig Cost'!AK59+'Learig Pig Cost'!AK59+'Lionhead Pig Cost'!AK59+'Lionhead Ext. Pig Cost'!AK59+'Villa Pig Cost'!AK59+'Richlands Pig Cost'!AK59+'Porta Pig Cost'!AK59+'Multiplier Pig Cost '!AK59</f>
        <v>0</v>
      </c>
      <c r="AL60" s="807">
        <f>+'Grasmere Pig Cost'!AL59+'Learig Pig Cost'!AL59+'Lionhead Pig Cost'!AL59+'Lionhead Ext. Pig Cost'!AL59+'Villa Pig Cost'!AL59+'Richlands Pig Cost'!AL59+'Porta Pig Cost'!AL59+'Multiplier Pig Cost '!AL59</f>
        <v>0</v>
      </c>
      <c r="AM60" s="807">
        <f>+'Grasmere Pig Cost'!AM59+'Learig Pig Cost'!AM59+'Lionhead Pig Cost'!AM59+'Lionhead Ext. Pig Cost'!AM59+'Villa Pig Cost'!AM59+'Richlands Pig Cost'!AM59+'Porta Pig Cost'!AM59+'Multiplier Pig Cost '!AM59</f>
        <v>0</v>
      </c>
      <c r="AN60" s="807">
        <f>+'Grasmere Pig Cost'!AN59+'Learig Pig Cost'!AN59+'Lionhead Pig Cost'!AN59+'Lionhead Ext. Pig Cost'!AN59+'Villa Pig Cost'!AN59+'Richlands Pig Cost'!AN59+'Porta Pig Cost'!AN59+'Multiplier Pig Cost '!AN59</f>
        <v>0</v>
      </c>
      <c r="AO60" s="807">
        <f>+'Grasmere Pig Cost'!AO59+'Learig Pig Cost'!AO59+'Lionhead Pig Cost'!AO59+'Lionhead Ext. Pig Cost'!AO59+'Villa Pig Cost'!AO59+'Richlands Pig Cost'!AO59+'Porta Pig Cost'!AO59+'Multiplier Pig Cost '!AO59</f>
        <v>0</v>
      </c>
      <c r="AP60" s="807">
        <f>+'Grasmere Pig Cost'!AP59+'Learig Pig Cost'!AP59+'Lionhead Pig Cost'!AP59+'Lionhead Ext. Pig Cost'!AP59+'Villa Pig Cost'!AP59+'Richlands Pig Cost'!AP59+'Porta Pig Cost'!AP59+'Multiplier Pig Cost '!AP59</f>
        <v>0</v>
      </c>
      <c r="AQ60" s="807">
        <f>+'Grasmere Pig Cost'!AQ59+'Learig Pig Cost'!AQ59+'Lionhead Pig Cost'!AQ59+'Lionhead Ext. Pig Cost'!AQ59+'Villa Pig Cost'!AQ59+'Richlands Pig Cost'!AQ59+'Porta Pig Cost'!AQ59+'Multiplier Pig Cost '!AQ59</f>
        <v>0</v>
      </c>
      <c r="AR60" s="807">
        <f>+'Grasmere Pig Cost'!AR59+'Learig Pig Cost'!AR59+'Lionhead Pig Cost'!AR59+'Lionhead Ext. Pig Cost'!AR59+'Villa Pig Cost'!AR59+'Richlands Pig Cost'!AR59+'Porta Pig Cost'!AR59+'Multiplier Pig Cost '!AR59</f>
        <v>0</v>
      </c>
      <c r="AS60" s="807">
        <f>+'Grasmere Pig Cost'!AS59+'Learig Pig Cost'!AS59+'Lionhead Pig Cost'!AS59+'Lionhead Ext. Pig Cost'!AS59+'Villa Pig Cost'!AS59+'Richlands Pig Cost'!AS59+'Porta Pig Cost'!AS59+'Multiplier Pig Cost '!AS59</f>
        <v>0</v>
      </c>
      <c r="AT60" s="807">
        <f>+'Grasmere Pig Cost'!AT59+'Learig Pig Cost'!AT59+'Lionhead Pig Cost'!AT59+'Lionhead Ext. Pig Cost'!AT59+'Villa Pig Cost'!AT59+'Richlands Pig Cost'!AT59+'Porta Pig Cost'!AT59+'Multiplier Pig Cost '!AT59</f>
        <v>0</v>
      </c>
      <c r="AU60" s="1579">
        <f t="shared" si="26"/>
        <v>0</v>
      </c>
      <c r="AV60" s="1088">
        <f>+'Grasmere Pig Cost'!AU59++'Learig Pig Cost'!AU59+'Lionhead Pig Cost'!AU59+'Lionhead Ext. Pig Cost'!AU59+'Villa Pig Cost'!AU59+'Richlands Pig Cost'!AU59+'Porta Pig Cost'!AU59+'Multiplier Pig Cost '!AU59</f>
        <v>0</v>
      </c>
      <c r="AW60" s="818">
        <f t="shared" si="23"/>
        <v>0</v>
      </c>
      <c r="AX60" s="805"/>
      <c r="AY60" s="818"/>
      <c r="BA60" s="1091"/>
      <c r="BD60" s="1059">
        <f t="shared" si="16"/>
        <v>0</v>
      </c>
      <c r="BE60" s="1059"/>
    </row>
    <row r="61" spans="1:58" ht="15.6">
      <c r="A61" s="142" t="str">
        <f t="shared" si="28"/>
        <v>Farm Sales</v>
      </c>
      <c r="B61" s="807">
        <f>+'Grasmere Pig Cost'!B60+'Learig Pig Cost'!B60+'Lionhead Pig Cost'!B60+'Lionhead Ext. Pig Cost'!B60+'Villa Pig Cost'!B60+'Richlands Pig Cost'!B60+'Porta Pig Cost'!B60</f>
        <v>0</v>
      </c>
      <c r="C61" s="807">
        <f>+'Grasmere Pig Cost'!C60+'Learig Pig Cost'!C60+'Lionhead Pig Cost'!C60+'Lionhead Ext. Pig Cost'!C60+'Villa Pig Cost'!C60+'Richlands Pig Cost'!C60+'Porta Pig Cost'!C60</f>
        <v>0</v>
      </c>
      <c r="D61" s="807">
        <f>+'Grasmere Pig Cost'!D60+'Learig Pig Cost'!D60+'Lionhead Pig Cost'!D60+'Lionhead Ext. Pig Cost'!D60+'Villa Pig Cost'!D60+'Richlands Pig Cost'!D60+'Porta Pig Cost'!D60</f>
        <v>0</v>
      </c>
      <c r="E61" s="807">
        <f>+'Grasmere Pig Cost'!E60+'Learig Pig Cost'!E60+'Lionhead Pig Cost'!E60+'Lionhead Ext. Pig Cost'!E60+'Villa Pig Cost'!E60+'Richlands Pig Cost'!E60+'Porta Pig Cost'!E60</f>
        <v>0</v>
      </c>
      <c r="F61" s="807">
        <f>+'Grasmere Pig Cost'!F60+'Learig Pig Cost'!F60+'Lionhead Pig Cost'!F60+'Lionhead Ext. Pig Cost'!F60+'Villa Pig Cost'!F60+'Richlands Pig Cost'!F60+'Porta Pig Cost'!F60</f>
        <v>0</v>
      </c>
      <c r="G61" s="807">
        <f>+'Grasmere Pig Cost'!G60+'Learig Pig Cost'!G60+'Lionhead Pig Cost'!G60+'Lionhead Ext. Pig Cost'!G60+'Villa Pig Cost'!G60+'Richlands Pig Cost'!G60+'Porta Pig Cost'!G60</f>
        <v>0</v>
      </c>
      <c r="H61" s="807">
        <f>+'Grasmere Pig Cost'!H60+'Learig Pig Cost'!H60+'Lionhead Pig Cost'!H60+'Lionhead Ext. Pig Cost'!H60+'Villa Pig Cost'!H60+'Richlands Pig Cost'!H60+'Porta Pig Cost'!H60</f>
        <v>0</v>
      </c>
      <c r="I61" s="807">
        <f>+'Grasmere Pig Cost'!I60+'Learig Pig Cost'!I60+'Lionhead Pig Cost'!I60+'Lionhead Ext. Pig Cost'!I60+'Villa Pig Cost'!I60+'Richlands Pig Cost'!I60+'Porta Pig Cost'!I60</f>
        <v>0</v>
      </c>
      <c r="J61" s="807">
        <f>+'Grasmere Pig Cost'!J60+'Learig Pig Cost'!J60+'Lionhead Pig Cost'!J60+'Lionhead Ext. Pig Cost'!J60+'Villa Pig Cost'!J60+'Richlands Pig Cost'!J60+'Porta Pig Cost'!J60</f>
        <v>0</v>
      </c>
      <c r="K61" s="807">
        <f>+'Grasmere Pig Cost'!K60+'Learig Pig Cost'!K60+'Lionhead Pig Cost'!K60+'Lionhead Ext. Pig Cost'!K60+'Villa Pig Cost'!K60+'Richlands Pig Cost'!K60+'Porta Pig Cost'!K60</f>
        <v>0</v>
      </c>
      <c r="L61" s="807">
        <f>+'Grasmere Pig Cost'!L60+'Learig Pig Cost'!L60+'Lionhead Pig Cost'!L60+'Lionhead Ext. Pig Cost'!L60+'Villa Pig Cost'!L60+'Richlands Pig Cost'!L60+'Porta Pig Cost'!L60</f>
        <v>0</v>
      </c>
      <c r="M61" s="807">
        <f>+'Grasmere Pig Cost'!M60+'Learig Pig Cost'!M60+'Lionhead Pig Cost'!M60+'Lionhead Ext. Pig Cost'!M60+'Villa Pig Cost'!M60+'Richlands Pig Cost'!M60+'Porta Pig Cost'!M60+'Multiplier Pig Cost '!M60</f>
        <v>0</v>
      </c>
      <c r="N61" s="807">
        <f>+'Grasmere Pig Cost'!N60+'Learig Pig Cost'!N60+'Lionhead Pig Cost'!N60+'Lionhead Ext. Pig Cost'!N60+'Villa Pig Cost'!N60+'Richlands Pig Cost'!N60+'Porta Pig Cost'!N60+'Multiplier Pig Cost '!N60</f>
        <v>0</v>
      </c>
      <c r="O61" s="807">
        <f>+'Grasmere Pig Cost'!O60+'Learig Pig Cost'!O60+'Lionhead Pig Cost'!O60+'Lionhead Ext. Pig Cost'!O60+'Villa Pig Cost'!O60+'Richlands Pig Cost'!O60+'Porta Pig Cost'!O60+'Multiplier Pig Cost '!O60</f>
        <v>0</v>
      </c>
      <c r="P61" s="807">
        <f>+'Grasmere Pig Cost'!P60+'Learig Pig Cost'!P60+'Lionhead Pig Cost'!P60+'Lionhead Ext. Pig Cost'!P60+'Villa Pig Cost'!P60+'Richlands Pig Cost'!P60+'Porta Pig Cost'!P60+'Multiplier Pig Cost '!P60</f>
        <v>0</v>
      </c>
      <c r="Q61" s="807">
        <f>+'Grasmere Pig Cost'!Q60+'Learig Pig Cost'!Q60+'Lionhead Pig Cost'!Q60+'Lionhead Ext. Pig Cost'!Q60+'Villa Pig Cost'!Q60+'Richlands Pig Cost'!Q60+'Porta Pig Cost'!Q60+'Multiplier Pig Cost '!Q60</f>
        <v>0</v>
      </c>
      <c r="R61" s="807">
        <f>+'Grasmere Pig Cost'!R60+'Learig Pig Cost'!R60+'Lionhead Pig Cost'!R60+'Lionhead Ext. Pig Cost'!R60+'Villa Pig Cost'!R60+'Richlands Pig Cost'!R60+'Porta Pig Cost'!R60+'Multiplier Pig Cost '!R60</f>
        <v>0</v>
      </c>
      <c r="S61" s="807">
        <f>+'Grasmere Pig Cost'!S60+'Learig Pig Cost'!S60+'Lionhead Pig Cost'!S60+'Lionhead Ext. Pig Cost'!S60+'Villa Pig Cost'!S60+'Richlands Pig Cost'!S60+'Porta Pig Cost'!S60+'Multiplier Pig Cost '!S60</f>
        <v>0</v>
      </c>
      <c r="T61" s="807">
        <f>+'Grasmere Pig Cost'!T60+'Learig Pig Cost'!T60+'Lionhead Pig Cost'!T60+'Lionhead Ext. Pig Cost'!T60+'Villa Pig Cost'!T60+'Richlands Pig Cost'!T60+'Porta Pig Cost'!T60+'Multiplier Pig Cost '!T60</f>
        <v>0</v>
      </c>
      <c r="U61" s="807">
        <f>+'Grasmere Pig Cost'!U60+'Learig Pig Cost'!U60+'Lionhead Pig Cost'!U60+'Lionhead Ext. Pig Cost'!U60+'Villa Pig Cost'!U60+'Richlands Pig Cost'!U60+'Porta Pig Cost'!U60+'Multiplier Pig Cost '!U60</f>
        <v>0</v>
      </c>
      <c r="V61" s="807">
        <f>+'Grasmere Pig Cost'!V60+'Learig Pig Cost'!V60+'Lionhead Pig Cost'!V60+'Lionhead Ext. Pig Cost'!V60+'Villa Pig Cost'!V60+'Richlands Pig Cost'!V60+'Porta Pig Cost'!V60+'Multiplier Pig Cost '!V60</f>
        <v>0</v>
      </c>
      <c r="W61" s="807">
        <f>+'Grasmere Pig Cost'!W60+'Learig Pig Cost'!W60+'Lionhead Pig Cost'!W60+'Lionhead Ext. Pig Cost'!W60+'Villa Pig Cost'!W60+'Richlands Pig Cost'!W60+'Porta Pig Cost'!W60+'Multiplier Pig Cost '!W60</f>
        <v>0</v>
      </c>
      <c r="X61" s="807">
        <f>+'Grasmere Pig Cost'!X60+'Learig Pig Cost'!X60+'Lionhead Pig Cost'!X60+'Lionhead Ext. Pig Cost'!X60+'Villa Pig Cost'!X60+'Richlands Pig Cost'!X60+'Porta Pig Cost'!X60+'Multiplier Pig Cost '!X60</f>
        <v>0</v>
      </c>
      <c r="Y61" s="807">
        <f>+'Grasmere Pig Cost'!Y60+'Learig Pig Cost'!Y60+'Lionhead Pig Cost'!Y60+'Lionhead Ext. Pig Cost'!Y60+'Villa Pig Cost'!Y60+'Richlands Pig Cost'!Y60+'Porta Pig Cost'!Y60+'Multiplier Pig Cost '!Y60</f>
        <v>0</v>
      </c>
      <c r="Z61" s="807">
        <f>+'Grasmere Pig Cost'!Z60+'Learig Pig Cost'!Z60+'Lionhead Pig Cost'!Z60+'Lionhead Ext. Pig Cost'!Z60+'Villa Pig Cost'!Z60+'Richlands Pig Cost'!Z60+'Porta Pig Cost'!Z60+'Multiplier Pig Cost '!Z60</f>
        <v>0</v>
      </c>
      <c r="AA61" s="807">
        <f>+'Grasmere Pig Cost'!AA60+'Learig Pig Cost'!AA60+'Lionhead Pig Cost'!AA60+'Lionhead Ext. Pig Cost'!AA60+'Villa Pig Cost'!AA60+'Richlands Pig Cost'!AA60+'Porta Pig Cost'!AA60+'Multiplier Pig Cost '!AA60</f>
        <v>0</v>
      </c>
      <c r="AB61" s="807">
        <f>+'Grasmere Pig Cost'!AB60+'Learig Pig Cost'!AB60+'Lionhead Pig Cost'!AB60+'Lionhead Ext. Pig Cost'!AB60+'Villa Pig Cost'!AB60+'Richlands Pig Cost'!AB60+'Porta Pig Cost'!AB60+'Multiplier Pig Cost '!AB60</f>
        <v>0</v>
      </c>
      <c r="AC61" s="807">
        <f>+'Grasmere Pig Cost'!AC60+'Learig Pig Cost'!AC60+'Lionhead Pig Cost'!AC60+'Lionhead Ext. Pig Cost'!AC60+'Villa Pig Cost'!AC60+'Richlands Pig Cost'!AC60+'Porta Pig Cost'!AC60+'Multiplier Pig Cost '!AC60</f>
        <v>0</v>
      </c>
      <c r="AD61" s="807">
        <f>+'Grasmere Pig Cost'!AD60+'Learig Pig Cost'!AD60+'Lionhead Pig Cost'!AD60+'Lionhead Ext. Pig Cost'!AD60+'Villa Pig Cost'!AD60+'Richlands Pig Cost'!AD60+'Porta Pig Cost'!AD60+'Multiplier Pig Cost '!AD60</f>
        <v>0</v>
      </c>
      <c r="AE61" s="807">
        <f>+'Grasmere Pig Cost'!AE60+'Learig Pig Cost'!AE60+'Lionhead Pig Cost'!AE60+'Lionhead Ext. Pig Cost'!AE60+'Villa Pig Cost'!AE60+'Richlands Pig Cost'!AE60+'Porta Pig Cost'!AE60+'Multiplier Pig Cost '!AE60</f>
        <v>0</v>
      </c>
      <c r="AF61" s="807">
        <f>+'Grasmere Pig Cost'!AF60+'Learig Pig Cost'!AF60+'Lionhead Pig Cost'!AF60+'Lionhead Ext. Pig Cost'!AF60+'Villa Pig Cost'!AF60+'Richlands Pig Cost'!AF60+'Porta Pig Cost'!AF60+'Multiplier Pig Cost '!AF60</f>
        <v>0</v>
      </c>
      <c r="AG61" s="807">
        <f>+'Grasmere Pig Cost'!AG60+'Learig Pig Cost'!AG60+'Lionhead Pig Cost'!AG60+'Lionhead Ext. Pig Cost'!AG60+'Villa Pig Cost'!AG60+'Richlands Pig Cost'!AG60+'Porta Pig Cost'!AG60+'Multiplier Pig Cost '!AG60</f>
        <v>0</v>
      </c>
      <c r="AH61" s="807">
        <f>+'Grasmere Pig Cost'!AH60+'Learig Pig Cost'!AH60+'Lionhead Pig Cost'!AH60+'Lionhead Ext. Pig Cost'!AH60+'Villa Pig Cost'!AH60+'Richlands Pig Cost'!AH60+'Porta Pig Cost'!AH60+'Multiplier Pig Cost '!AH60</f>
        <v>0</v>
      </c>
      <c r="AI61" s="807">
        <f>+'Grasmere Pig Cost'!AI60+'Learig Pig Cost'!AI60+'Lionhead Pig Cost'!AI60+'Lionhead Ext. Pig Cost'!AI60+'Villa Pig Cost'!AI60+'Richlands Pig Cost'!AI60+'Porta Pig Cost'!AI60+'Multiplier Pig Cost '!AI60</f>
        <v>0</v>
      </c>
      <c r="AJ61" s="807">
        <f>+'Grasmere Pig Cost'!AJ60+'Learig Pig Cost'!AJ60+'Lionhead Pig Cost'!AJ60+'Lionhead Ext. Pig Cost'!AJ60+'Villa Pig Cost'!AJ60+'Richlands Pig Cost'!AJ60+'Porta Pig Cost'!AJ60+'Multiplier Pig Cost '!AJ60</f>
        <v>0</v>
      </c>
      <c r="AK61" s="807">
        <f>+'Grasmere Pig Cost'!AK60+'Learig Pig Cost'!AK60+'Lionhead Pig Cost'!AK60+'Lionhead Ext. Pig Cost'!AK60+'Villa Pig Cost'!AK60+'Richlands Pig Cost'!AK60+'Porta Pig Cost'!AK60+'Multiplier Pig Cost '!AK60</f>
        <v>0</v>
      </c>
      <c r="AL61" s="807">
        <f>+'Grasmere Pig Cost'!AL60+'Learig Pig Cost'!AL60+'Lionhead Pig Cost'!AL60+'Lionhead Ext. Pig Cost'!AL60+'Villa Pig Cost'!AL60+'Richlands Pig Cost'!AL60+'Porta Pig Cost'!AL60+'Multiplier Pig Cost '!AL60</f>
        <v>0</v>
      </c>
      <c r="AM61" s="807">
        <f>+'Grasmere Pig Cost'!AM60+'Learig Pig Cost'!AM60+'Lionhead Pig Cost'!AM60+'Lionhead Ext. Pig Cost'!AM60+'Villa Pig Cost'!AM60+'Richlands Pig Cost'!AM60+'Porta Pig Cost'!AM60+'Multiplier Pig Cost '!AM60</f>
        <v>0</v>
      </c>
      <c r="AN61" s="807">
        <f>+'Grasmere Pig Cost'!AN60+'Learig Pig Cost'!AN60+'Lionhead Pig Cost'!AN60+'Lionhead Ext. Pig Cost'!AN60+'Villa Pig Cost'!AN60+'Richlands Pig Cost'!AN60+'Porta Pig Cost'!AN60+'Multiplier Pig Cost '!AN60</f>
        <v>0</v>
      </c>
      <c r="AO61" s="807">
        <f>+'Grasmere Pig Cost'!AO60+'Learig Pig Cost'!AO60+'Lionhead Pig Cost'!AO60+'Lionhead Ext. Pig Cost'!AO60+'Villa Pig Cost'!AO60+'Richlands Pig Cost'!AO60+'Porta Pig Cost'!AO60+'Multiplier Pig Cost '!AO60</f>
        <v>-4620.5021083762713</v>
      </c>
      <c r="AP61" s="807">
        <f>+'Grasmere Pig Cost'!AP60+'Learig Pig Cost'!AP60+'Lionhead Pig Cost'!AP60+'Lionhead Ext. Pig Cost'!AP60+'Villa Pig Cost'!AP60+'Richlands Pig Cost'!AP60+'Porta Pig Cost'!AP60+'Multiplier Pig Cost '!AP60</f>
        <v>0</v>
      </c>
      <c r="AQ61" s="807">
        <f>+'Grasmere Pig Cost'!AQ60+'Learig Pig Cost'!AQ60+'Lionhead Pig Cost'!AQ60+'Lionhead Ext. Pig Cost'!AQ60+'Villa Pig Cost'!AQ60+'Richlands Pig Cost'!AQ60+'Porta Pig Cost'!AQ60+'Multiplier Pig Cost '!AQ60</f>
        <v>-966.15249898042384</v>
      </c>
      <c r="AR61" s="807">
        <f>+'Grasmere Pig Cost'!AR60+'Learig Pig Cost'!AR60+'Lionhead Pig Cost'!AR60+'Lionhead Ext. Pig Cost'!AR60+'Villa Pig Cost'!AR60+'Richlands Pig Cost'!AR60+'Porta Pig Cost'!AR60+'Multiplier Pig Cost '!AR60</f>
        <v>0</v>
      </c>
      <c r="AS61" s="807">
        <f>+'Grasmere Pig Cost'!AS60+'Learig Pig Cost'!AS60+'Lionhead Pig Cost'!AS60+'Lionhead Ext. Pig Cost'!AS60+'Villa Pig Cost'!AS60+'Richlands Pig Cost'!AS60+'Porta Pig Cost'!AS60+'Multiplier Pig Cost '!AS60</f>
        <v>0</v>
      </c>
      <c r="AT61" s="807">
        <f>+'Grasmere Pig Cost'!AT60+'Learig Pig Cost'!AT60+'Lionhead Pig Cost'!AT60+'Lionhead Ext. Pig Cost'!AT60+'Villa Pig Cost'!AT60+'Richlands Pig Cost'!AT60+'Porta Pig Cost'!AT60+'Multiplier Pig Cost '!AT60</f>
        <v>0</v>
      </c>
      <c r="AU61" s="1579">
        <f t="shared" si="26"/>
        <v>-5586.6546073566951</v>
      </c>
      <c r="AV61" s="1088">
        <f>+'Grasmere Pig Cost'!AU60+'Learig Pig Cost'!AU60+'Lionhead Pig Cost'!AU60+'Lionhead Ext. Pig Cost'!AU60+'Villa Pig Cost'!AU60+'Richlands Pig Cost'!AU60+'Porta Pig Cost'!AU60+'Multiplier Pig Cost '!AU60</f>
        <v>-5586.6546073566951</v>
      </c>
      <c r="AW61" s="818">
        <f t="shared" si="23"/>
        <v>0</v>
      </c>
      <c r="AX61" s="805"/>
      <c r="BD61" s="1059">
        <f t="shared" si="16"/>
        <v>0</v>
      </c>
      <c r="BE61" s="1059"/>
    </row>
    <row r="62" spans="1:58" ht="15.6">
      <c r="A62" s="142" t="str">
        <f t="shared" si="28"/>
        <v xml:space="preserve"> Colcom Sales</v>
      </c>
      <c r="B62" s="807">
        <f>+'Grasmere Pig Cost'!B61+'Learig Pig Cost'!B61+'Lionhead Pig Cost'!B61+'Lionhead Ext. Pig Cost'!B61+'Villa Pig Cost'!B61+'Richlands Pig Cost'!B61+'Porta Pig Cost'!B61</f>
        <v>0</v>
      </c>
      <c r="C62" s="807">
        <f>+'Grasmere Pig Cost'!C61+'Learig Pig Cost'!C61+'Lionhead Pig Cost'!C61+'Lionhead Ext. Pig Cost'!C61+'Villa Pig Cost'!C61+'Richlands Pig Cost'!C61+'Porta Pig Cost'!C61</f>
        <v>0</v>
      </c>
      <c r="D62" s="807">
        <f>+'Grasmere Pig Cost'!D61+'Learig Pig Cost'!D61+'Lionhead Pig Cost'!D61+'Lionhead Ext. Pig Cost'!D61+'Villa Pig Cost'!D61+'Richlands Pig Cost'!D61+'Porta Pig Cost'!D61</f>
        <v>0</v>
      </c>
      <c r="E62" s="807">
        <f>+'Grasmere Pig Cost'!E61+'Learig Pig Cost'!E61+'Lionhead Pig Cost'!E61+'Lionhead Ext. Pig Cost'!E61+'Villa Pig Cost'!E61+'Richlands Pig Cost'!E61+'Porta Pig Cost'!E61</f>
        <v>0</v>
      </c>
      <c r="F62" s="807">
        <f>+'Grasmere Pig Cost'!F61+'Learig Pig Cost'!F61+'Lionhead Pig Cost'!F61+'Lionhead Ext. Pig Cost'!F61+'Villa Pig Cost'!F61+'Richlands Pig Cost'!F61+'Porta Pig Cost'!F61</f>
        <v>0</v>
      </c>
      <c r="G62" s="807">
        <f>+'Grasmere Pig Cost'!G61+'Learig Pig Cost'!G61+'Lionhead Pig Cost'!G61+'Lionhead Ext. Pig Cost'!G61+'Villa Pig Cost'!G61+'Richlands Pig Cost'!G61+'Porta Pig Cost'!G61</f>
        <v>0</v>
      </c>
      <c r="H62" s="807">
        <f>+'Grasmere Pig Cost'!H61+'Learig Pig Cost'!H61+'Lionhead Pig Cost'!H61+'Lionhead Ext. Pig Cost'!H61+'Villa Pig Cost'!H61+'Richlands Pig Cost'!H61+'Porta Pig Cost'!H61</f>
        <v>0</v>
      </c>
      <c r="I62" s="807">
        <f>+'Grasmere Pig Cost'!I61+'Learig Pig Cost'!I61+'Lionhead Pig Cost'!I61+'Lionhead Ext. Pig Cost'!I61+'Villa Pig Cost'!I61+'Richlands Pig Cost'!I61+'Porta Pig Cost'!I61</f>
        <v>0</v>
      </c>
      <c r="J62" s="807">
        <f>+'Grasmere Pig Cost'!J61+'Learig Pig Cost'!J61+'Lionhead Pig Cost'!J61+'Lionhead Ext. Pig Cost'!J61+'Villa Pig Cost'!J61+'Richlands Pig Cost'!J61+'Porta Pig Cost'!J61</f>
        <v>0</v>
      </c>
      <c r="K62" s="807">
        <f>+'Grasmere Pig Cost'!K61+'Learig Pig Cost'!K61+'Lionhead Pig Cost'!K61+'Lionhead Ext. Pig Cost'!K61+'Villa Pig Cost'!K61+'Richlands Pig Cost'!K61+'Porta Pig Cost'!K61</f>
        <v>0</v>
      </c>
      <c r="L62" s="807">
        <f>+'Grasmere Pig Cost'!L61+'Learig Pig Cost'!L61+'Lionhead Pig Cost'!L61+'Lionhead Ext. Pig Cost'!L61+'Villa Pig Cost'!L61+'Richlands Pig Cost'!L61+'Porta Pig Cost'!L61</f>
        <v>0</v>
      </c>
      <c r="M62" s="807">
        <f>+'Grasmere Pig Cost'!M61+'Learig Pig Cost'!M61+'Lionhead Pig Cost'!M61+'Lionhead Ext. Pig Cost'!M61+'Villa Pig Cost'!M61+'Richlands Pig Cost'!M61+'Porta Pig Cost'!M61+'Multiplier Pig Cost '!M61</f>
        <v>0</v>
      </c>
      <c r="N62" s="807">
        <f>+'Grasmere Pig Cost'!N61+'Learig Pig Cost'!N61+'Lionhead Pig Cost'!N61+'Lionhead Ext. Pig Cost'!N61+'Villa Pig Cost'!N61+'Richlands Pig Cost'!N61+'Porta Pig Cost'!N61+'Multiplier Pig Cost '!N61</f>
        <v>0</v>
      </c>
      <c r="O62" s="807">
        <f>+'Grasmere Pig Cost'!O61+'Learig Pig Cost'!O61+'Lionhead Pig Cost'!O61+'Lionhead Ext. Pig Cost'!O61+'Villa Pig Cost'!O61+'Richlands Pig Cost'!O61+'Porta Pig Cost'!O61+'Multiplier Pig Cost '!O61</f>
        <v>0</v>
      </c>
      <c r="P62" s="807">
        <f>+'Grasmere Pig Cost'!P61+'Learig Pig Cost'!P61+'Lionhead Pig Cost'!P61+'Lionhead Ext. Pig Cost'!P61+'Villa Pig Cost'!P61+'Richlands Pig Cost'!P61+'Porta Pig Cost'!P61+'Multiplier Pig Cost '!P61</f>
        <v>0</v>
      </c>
      <c r="Q62" s="807">
        <f>+'Grasmere Pig Cost'!Q61+'Learig Pig Cost'!Q61+'Lionhead Pig Cost'!Q61+'Lionhead Ext. Pig Cost'!Q61+'Villa Pig Cost'!Q61+'Richlands Pig Cost'!Q61+'Porta Pig Cost'!Q61+'Multiplier Pig Cost '!Q61</f>
        <v>0</v>
      </c>
      <c r="R62" s="807">
        <f>+'Grasmere Pig Cost'!R61+'Learig Pig Cost'!R61+'Lionhead Pig Cost'!R61+'Lionhead Ext. Pig Cost'!R61+'Villa Pig Cost'!R61+'Richlands Pig Cost'!R61+'Porta Pig Cost'!R61+'Multiplier Pig Cost '!R61</f>
        <v>0</v>
      </c>
      <c r="S62" s="807">
        <f>+'Grasmere Pig Cost'!S61+'Learig Pig Cost'!S61+'Lionhead Pig Cost'!S61+'Lionhead Ext. Pig Cost'!S61+'Villa Pig Cost'!S61+'Richlands Pig Cost'!S61+'Porta Pig Cost'!S61+'Multiplier Pig Cost '!S61</f>
        <v>0</v>
      </c>
      <c r="T62" s="807">
        <f>+'Grasmere Pig Cost'!T61+'Learig Pig Cost'!T61+'Lionhead Pig Cost'!T61+'Lionhead Ext. Pig Cost'!T61+'Villa Pig Cost'!T61+'Richlands Pig Cost'!T61+'Porta Pig Cost'!T61+'Multiplier Pig Cost '!T61</f>
        <v>0</v>
      </c>
      <c r="U62" s="807">
        <f>+'Grasmere Pig Cost'!U61+'Learig Pig Cost'!U61+'Lionhead Pig Cost'!U61+'Lionhead Ext. Pig Cost'!U61+'Villa Pig Cost'!U61+'Richlands Pig Cost'!U61+'Porta Pig Cost'!U61+'Multiplier Pig Cost '!U61</f>
        <v>0</v>
      </c>
      <c r="V62" s="807">
        <f>+'Grasmere Pig Cost'!V61+'Learig Pig Cost'!V61+'Lionhead Pig Cost'!V61+'Lionhead Ext. Pig Cost'!V61+'Villa Pig Cost'!V61+'Richlands Pig Cost'!V61+'Porta Pig Cost'!V61+'Multiplier Pig Cost '!V61</f>
        <v>0</v>
      </c>
      <c r="W62" s="807">
        <f>+'Grasmere Pig Cost'!W61+'Learig Pig Cost'!W61+'Lionhead Pig Cost'!W61+'Lionhead Ext. Pig Cost'!W61+'Villa Pig Cost'!W61+'Richlands Pig Cost'!W61+'Porta Pig Cost'!W61+'Multiplier Pig Cost '!W61</f>
        <v>0</v>
      </c>
      <c r="X62" s="807">
        <f>+'Grasmere Pig Cost'!X61+'Learig Pig Cost'!X61+'Lionhead Pig Cost'!X61+'Lionhead Ext. Pig Cost'!X61+'Villa Pig Cost'!X61+'Richlands Pig Cost'!X61+'Porta Pig Cost'!X61+'Multiplier Pig Cost '!X61</f>
        <v>0</v>
      </c>
      <c r="Y62" s="807">
        <f>+'Grasmere Pig Cost'!Y61+'Learig Pig Cost'!Y61+'Lionhead Pig Cost'!Y61+'Lionhead Ext. Pig Cost'!Y61+'Villa Pig Cost'!Y61+'Richlands Pig Cost'!Y61+'Porta Pig Cost'!Y61+'Multiplier Pig Cost '!Y61</f>
        <v>0</v>
      </c>
      <c r="Z62" s="807">
        <f>+'Grasmere Pig Cost'!Z61+'Learig Pig Cost'!Z61+'Lionhead Pig Cost'!Z61+'Lionhead Ext. Pig Cost'!Z61+'Villa Pig Cost'!Z61+'Richlands Pig Cost'!Z61+'Porta Pig Cost'!Z61+'Multiplier Pig Cost '!Z61</f>
        <v>0</v>
      </c>
      <c r="AA62" s="807">
        <f>+'Grasmere Pig Cost'!AA61+'Learig Pig Cost'!AA61+'Lionhead Pig Cost'!AA61+'Lionhead Ext. Pig Cost'!AA61+'Villa Pig Cost'!AA61+'Richlands Pig Cost'!AA61+'Porta Pig Cost'!AA61+'Multiplier Pig Cost '!AA61</f>
        <v>0</v>
      </c>
      <c r="AB62" s="807">
        <f>+'Grasmere Pig Cost'!AB61+'Learig Pig Cost'!AB61+'Lionhead Pig Cost'!AB61+'Lionhead Ext. Pig Cost'!AB61+'Villa Pig Cost'!AB61+'Richlands Pig Cost'!AB61+'Porta Pig Cost'!AB61+'Multiplier Pig Cost '!AB61</f>
        <v>0</v>
      </c>
      <c r="AC62" s="807">
        <f>+'Grasmere Pig Cost'!AC61+'Learig Pig Cost'!AC61+'Lionhead Pig Cost'!AC61+'Lionhead Ext. Pig Cost'!AC61+'Villa Pig Cost'!AC61+'Richlands Pig Cost'!AC61+'Porta Pig Cost'!AC61+'Multiplier Pig Cost '!AC61</f>
        <v>0</v>
      </c>
      <c r="AD62" s="807">
        <f>+'Grasmere Pig Cost'!AD61+'Learig Pig Cost'!AD61+'Lionhead Pig Cost'!AD61+'Lionhead Ext. Pig Cost'!AD61+'Villa Pig Cost'!AD61+'Richlands Pig Cost'!AD61+'Porta Pig Cost'!AD61+'Multiplier Pig Cost '!AD61</f>
        <v>0</v>
      </c>
      <c r="AE62" s="807">
        <f>+'Grasmere Pig Cost'!AE61+'Learig Pig Cost'!AE61+'Lionhead Pig Cost'!AE61+'Lionhead Ext. Pig Cost'!AE61+'Villa Pig Cost'!AE61+'Richlands Pig Cost'!AE61+'Porta Pig Cost'!AE61+'Multiplier Pig Cost '!AE61</f>
        <v>0</v>
      </c>
      <c r="AF62" s="807">
        <f>+'Grasmere Pig Cost'!AF61+'Learig Pig Cost'!AF61+'Lionhead Pig Cost'!AF61+'Lionhead Ext. Pig Cost'!AF61+'Villa Pig Cost'!AF61+'Richlands Pig Cost'!AF61+'Porta Pig Cost'!AF61+'Multiplier Pig Cost '!AF61</f>
        <v>0</v>
      </c>
      <c r="AG62" s="807">
        <f>+'Grasmere Pig Cost'!AG61+'Learig Pig Cost'!AG61+'Lionhead Pig Cost'!AG61+'Lionhead Ext. Pig Cost'!AG61+'Villa Pig Cost'!AG61+'Richlands Pig Cost'!AG61+'Porta Pig Cost'!AG61+'Multiplier Pig Cost '!AG61</f>
        <v>0</v>
      </c>
      <c r="AH62" s="807">
        <f>+'Grasmere Pig Cost'!AH61+'Learig Pig Cost'!AH61+'Lionhead Pig Cost'!AH61+'Lionhead Ext. Pig Cost'!AH61+'Villa Pig Cost'!AH61+'Richlands Pig Cost'!AH61+'Porta Pig Cost'!AH61+'Multiplier Pig Cost '!AH61</f>
        <v>0</v>
      </c>
      <c r="AI62" s="807">
        <f>+'Grasmere Pig Cost'!AI61+'Learig Pig Cost'!AI61+'Lionhead Pig Cost'!AI61+'Lionhead Ext. Pig Cost'!AI61+'Villa Pig Cost'!AI61+'Richlands Pig Cost'!AI61+'Porta Pig Cost'!AI61+'Multiplier Pig Cost '!AI61</f>
        <v>0</v>
      </c>
      <c r="AJ62" s="807">
        <f>+'Grasmere Pig Cost'!AJ61+'Learig Pig Cost'!AJ61+'Lionhead Pig Cost'!AJ61+'Lionhead Ext. Pig Cost'!AJ61+'Villa Pig Cost'!AJ61+'Richlands Pig Cost'!AJ61+'Porta Pig Cost'!AJ61+'Multiplier Pig Cost '!AJ61</f>
        <v>0</v>
      </c>
      <c r="AK62" s="807">
        <f>+'Grasmere Pig Cost'!AK61+'Learig Pig Cost'!AK61+'Lionhead Pig Cost'!AK61+'Lionhead Ext. Pig Cost'!AK61+'Villa Pig Cost'!AK61+'Richlands Pig Cost'!AK61+'Porta Pig Cost'!AK61+'Multiplier Pig Cost '!AK61</f>
        <v>0</v>
      </c>
      <c r="AL62" s="807">
        <f>+'Grasmere Pig Cost'!AL61+'Learig Pig Cost'!AL61+'Lionhead Pig Cost'!AL61+'Lionhead Ext. Pig Cost'!AL61+'Villa Pig Cost'!AL61+'Richlands Pig Cost'!AL61+'Porta Pig Cost'!AL61+'Multiplier Pig Cost '!AL61</f>
        <v>0</v>
      </c>
      <c r="AM62" s="807">
        <f>+'Grasmere Pig Cost'!AM61+'Learig Pig Cost'!AM61+'Lionhead Pig Cost'!AM61+'Lionhead Ext. Pig Cost'!AM61+'Villa Pig Cost'!AM61+'Richlands Pig Cost'!AM61+'Porta Pig Cost'!AM61+'Multiplier Pig Cost '!AM61</f>
        <v>0</v>
      </c>
      <c r="AN62" s="807">
        <f>+'Grasmere Pig Cost'!AN61+'Learig Pig Cost'!AN61+'Lionhead Pig Cost'!AN61+'Lionhead Ext. Pig Cost'!AN61+'Villa Pig Cost'!AN61+'Richlands Pig Cost'!AN61+'Porta Pig Cost'!AN61+'Multiplier Pig Cost '!AN61</f>
        <v>-149706.08012031592</v>
      </c>
      <c r="AO62" s="807">
        <f>+'Grasmere Pig Cost'!AO61+'Learig Pig Cost'!AO61+'Lionhead Pig Cost'!AO61+'Lionhead Ext. Pig Cost'!AO61+'Villa Pig Cost'!AO61+'Richlands Pig Cost'!AO61+'Porta Pig Cost'!AO61+'Multiplier Pig Cost '!AO61</f>
        <v>-623030.13445940521</v>
      </c>
      <c r="AP62" s="807">
        <f>+'Grasmere Pig Cost'!AP61+'Learig Pig Cost'!AP61+'Lionhead Pig Cost'!AP61+'Lionhead Ext. Pig Cost'!AP61+'Villa Pig Cost'!AP61+'Richlands Pig Cost'!AP61+'Porta Pig Cost'!AP61+'Multiplier Pig Cost '!AP61</f>
        <v>-1082343.0597444461</v>
      </c>
      <c r="AQ62" s="807">
        <f>+'Grasmere Pig Cost'!AQ61+'Learig Pig Cost'!AQ61+'Lionhead Pig Cost'!AQ61+'Lionhead Ext. Pig Cost'!AQ61+'Villa Pig Cost'!AQ61+'Richlands Pig Cost'!AQ61+'Porta Pig Cost'!AQ61+'Multiplier Pig Cost '!AQ61</f>
        <v>-1318099.2065618522</v>
      </c>
      <c r="AR62" s="807">
        <f>+'Grasmere Pig Cost'!AR61+'Learig Pig Cost'!AR61+'Lionhead Pig Cost'!AR61+'Lionhead Ext. Pig Cost'!AR61+'Villa Pig Cost'!AR61+'Richlands Pig Cost'!AR61+'Porta Pig Cost'!AR61+'Multiplier Pig Cost '!AR61</f>
        <v>-1062169.7540141132</v>
      </c>
      <c r="AS62" s="807">
        <f>+'Grasmere Pig Cost'!AS61+'Learig Pig Cost'!AS61+'Lionhead Pig Cost'!AS61+'Lionhead Ext. Pig Cost'!AS61+'Villa Pig Cost'!AS61+'Richlands Pig Cost'!AS61+'Porta Pig Cost'!AS61+'Multiplier Pig Cost '!AS61</f>
        <v>-613591.06718199793</v>
      </c>
      <c r="AT62" s="807">
        <f>+'Grasmere Pig Cost'!AT61+'Learig Pig Cost'!AT61+'Lionhead Pig Cost'!AT61+'Lionhead Ext. Pig Cost'!AT61+'Villa Pig Cost'!AT61+'Richlands Pig Cost'!AT61+'Porta Pig Cost'!AT61+'Multiplier Pig Cost '!AT61</f>
        <v>-2917.9989437308504</v>
      </c>
      <c r="AU62" s="1579">
        <f t="shared" si="26"/>
        <v>-4851857.3010258619</v>
      </c>
      <c r="AV62" s="1088">
        <f>+'Grasmere Pig Cost'!AU61+'Learig Pig Cost'!AU61+'Lionhead Pig Cost'!AU61+'Lionhead Ext. Pig Cost'!AU61+'Villa Pig Cost'!AU61+'Richlands Pig Cost'!AU61+'Porta Pig Cost'!AU61+'Multiplier Pig Cost '!AU61</f>
        <v>-4851857.3010258619</v>
      </c>
      <c r="AW62" s="818">
        <f>+AU62-AV62</f>
        <v>0</v>
      </c>
      <c r="AX62" s="1059"/>
      <c r="BD62" s="1059">
        <f t="shared" si="16"/>
        <v>0</v>
      </c>
      <c r="BE62" s="1059"/>
    </row>
    <row r="63" spans="1:58" s="1559" customFormat="1" ht="15.6">
      <c r="A63" s="1559" t="s">
        <v>1810</v>
      </c>
      <c r="B63" s="1562">
        <f>IFERROR(B41+SUM(B58:B62),0)</f>
        <v>25844.730941704041</v>
      </c>
      <c r="C63" s="1562">
        <f t="shared" ref="C63:AR63" si="29">IFERROR(C41+SUM(C58:C62),0)</f>
        <v>25844.730941704041</v>
      </c>
      <c r="D63" s="1562">
        <f t="shared" si="29"/>
        <v>25844.730941704041</v>
      </c>
      <c r="E63" s="1562">
        <f t="shared" si="29"/>
        <v>25844.730941704041</v>
      </c>
      <c r="F63" s="1562">
        <f t="shared" si="29"/>
        <v>57442.33183856502</v>
      </c>
      <c r="G63" s="1562">
        <f t="shared" si="29"/>
        <v>57442.33183856502</v>
      </c>
      <c r="H63" s="1562">
        <f t="shared" si="29"/>
        <v>57442.33183856502</v>
      </c>
      <c r="I63" s="1562">
        <f t="shared" si="29"/>
        <v>57442.33183856502</v>
      </c>
      <c r="J63" s="1562">
        <f t="shared" si="29"/>
        <v>54749.117488789234</v>
      </c>
      <c r="K63" s="1562">
        <f t="shared" si="29"/>
        <v>82226.045739910303</v>
      </c>
      <c r="L63" s="1562">
        <f t="shared" si="29"/>
        <v>82226.045739910303</v>
      </c>
      <c r="M63" s="1562">
        <f t="shared" si="29"/>
        <v>82226.045739910303</v>
      </c>
      <c r="N63" s="1562">
        <f t="shared" si="29"/>
        <v>87394.991928251111</v>
      </c>
      <c r="O63" s="1562">
        <f t="shared" si="29"/>
        <v>113073.1437219731</v>
      </c>
      <c r="P63" s="1562">
        <f t="shared" si="29"/>
        <v>113073.1437219731</v>
      </c>
      <c r="Q63" s="1562">
        <f t="shared" si="29"/>
        <v>113073.1437219731</v>
      </c>
      <c r="R63" s="1562">
        <f t="shared" si="29"/>
        <v>142549.54282511212</v>
      </c>
      <c r="S63" s="1562">
        <f t="shared" si="29"/>
        <v>166189.9980925436</v>
      </c>
      <c r="T63" s="1562">
        <f t="shared" si="29"/>
        <v>193879.85814382028</v>
      </c>
      <c r="U63" s="1562">
        <f t="shared" si="29"/>
        <v>206740.88831595689</v>
      </c>
      <c r="V63" s="1562">
        <f t="shared" si="29"/>
        <v>191871.37651521378</v>
      </c>
      <c r="W63" s="1562">
        <f t="shared" si="29"/>
        <v>170942.84460637649</v>
      </c>
      <c r="X63" s="1562">
        <f t="shared" si="29"/>
        <v>261382.55991767769</v>
      </c>
      <c r="Y63" s="1562">
        <f t="shared" si="29"/>
        <v>290271.10523899895</v>
      </c>
      <c r="Z63" s="1562">
        <f t="shared" si="29"/>
        <v>328307.06604087364</v>
      </c>
      <c r="AA63" s="1562">
        <f t="shared" si="29"/>
        <v>357570.98218851478</v>
      </c>
      <c r="AB63" s="1562">
        <f t="shared" si="29"/>
        <v>397605.48058455327</v>
      </c>
      <c r="AC63" s="1562">
        <f t="shared" si="29"/>
        <v>484601.63684672717</v>
      </c>
      <c r="AD63" s="1562">
        <f t="shared" si="29"/>
        <v>618245.15144617856</v>
      </c>
      <c r="AE63" s="1562">
        <f t="shared" si="29"/>
        <v>640687.51197170187</v>
      </c>
      <c r="AF63" s="1562">
        <f t="shared" si="29"/>
        <v>661548.3030513383</v>
      </c>
      <c r="AG63" s="1562">
        <f t="shared" si="29"/>
        <v>744396.92180368281</v>
      </c>
      <c r="AH63" s="1562">
        <f t="shared" si="29"/>
        <v>889768.38410801662</v>
      </c>
      <c r="AI63" s="1562">
        <f t="shared" si="29"/>
        <v>947677.5210534248</v>
      </c>
      <c r="AJ63" s="1562">
        <f t="shared" si="29"/>
        <v>986087.02695778268</v>
      </c>
      <c r="AK63" s="1562">
        <f t="shared" si="29"/>
        <v>1063075.2567218959</v>
      </c>
      <c r="AL63" s="1562">
        <f t="shared" si="29"/>
        <v>1183018.8709160255</v>
      </c>
      <c r="AM63" s="1562">
        <f t="shared" si="29"/>
        <v>1294633.3547363491</v>
      </c>
      <c r="AN63" s="1562">
        <f>IFERROR(AN41+SUM(AN58:AN62),0)</f>
        <v>1016967.4470425393</v>
      </c>
      <c r="AO63" s="1562">
        <f>IFERROR(AO41+SUM(AO58:AO62),0)</f>
        <v>460886.78514491976</v>
      </c>
      <c r="AP63" s="1562">
        <f>IFERROR(AP41+SUM(AP58:AP62),0)</f>
        <v>2.3283064365386963E-10</v>
      </c>
      <c r="AQ63" s="1562">
        <f t="shared" si="29"/>
        <v>-2.3283064365386963E-10</v>
      </c>
      <c r="AR63" s="1562">
        <f t="shared" si="29"/>
        <v>0</v>
      </c>
      <c r="AS63" s="1562">
        <f>IFERROR(AS41+SUM(AS58:AS62),0)</f>
        <v>0</v>
      </c>
      <c r="AT63" s="1562">
        <f>IFERROR(AT41+SUM(AT58:AT62),0)</f>
        <v>2.9103830456733704E-11</v>
      </c>
      <c r="AU63" s="1562">
        <f>IFERROR(AU41+SUM(AU58:AU62),0)</f>
        <v>14760095.803193986</v>
      </c>
      <c r="AV63" s="1562">
        <f>IFERROR(AV41+SUM(AV58:AV62),0)</f>
        <v>14760095.80319399</v>
      </c>
      <c r="AW63" s="818">
        <f>+AV63-AU63</f>
        <v>0</v>
      </c>
      <c r="AX63" s="1562">
        <f>AV63/AV30</f>
        <v>175.11503183364169</v>
      </c>
      <c r="AY63" s="1059">
        <f>AU62-AU61-44000</f>
        <v>-4890270.6464185053</v>
      </c>
      <c r="BA63" s="1893">
        <v>818428</v>
      </c>
      <c r="BD63" s="1059">
        <f t="shared" si="16"/>
        <v>8755427.0616744775</v>
      </c>
      <c r="BE63" s="1059"/>
    </row>
    <row r="64" spans="1:58" ht="15.6">
      <c r="B64" s="1562">
        <f>+'Grasmere Pig Cost'!B62+'Lionhead Pig Cost'!B62+'Villa Pig Cost'!B62+'Richlands Pig Cost'!B62+'Learig Pig Cost'!B62+'Lionhead Ext. Pig Cost'!B62+'Porta Pig Cost'!B62+'Multiplier Pig Cost '!B62</f>
        <v>25844.730941704041</v>
      </c>
      <c r="C64" s="1562">
        <f>+'Grasmere Pig Cost'!C62+'Lionhead Pig Cost'!C62+'Villa Pig Cost'!C62+'Richlands Pig Cost'!C62+'Learig Pig Cost'!C62+'Lionhead Ext. Pig Cost'!C62+'Porta Pig Cost'!C62+'Multiplier Pig Cost '!C62</f>
        <v>25844.730941704041</v>
      </c>
      <c r="D64" s="1562">
        <f>+'Grasmere Pig Cost'!D62+'Lionhead Pig Cost'!D62+'Villa Pig Cost'!D62+'Richlands Pig Cost'!D62+'Learig Pig Cost'!D62+'Lionhead Ext. Pig Cost'!D62+'Porta Pig Cost'!D62+'Multiplier Pig Cost '!D62</f>
        <v>25844.730941704041</v>
      </c>
      <c r="E64" s="1562">
        <f>+'Grasmere Pig Cost'!E62+'Lionhead Pig Cost'!E62+'Villa Pig Cost'!E62+'Richlands Pig Cost'!E62+'Learig Pig Cost'!E62+'Lionhead Ext. Pig Cost'!E62+'Porta Pig Cost'!E62+'Multiplier Pig Cost '!E62</f>
        <v>25844.730941704041</v>
      </c>
      <c r="F64" s="1562">
        <f>+'Grasmere Pig Cost'!F62+'Lionhead Pig Cost'!F62+'Villa Pig Cost'!F62+'Richlands Pig Cost'!F62+'Learig Pig Cost'!F62+'Lionhead Ext. Pig Cost'!F62+'Porta Pig Cost'!F62+'Multiplier Pig Cost '!F62</f>
        <v>57442.33183856502</v>
      </c>
      <c r="G64" s="1562">
        <f>+'Grasmere Pig Cost'!G62+'Lionhead Pig Cost'!G62+'Villa Pig Cost'!G62+'Richlands Pig Cost'!G62+'Learig Pig Cost'!G62+'Lionhead Ext. Pig Cost'!G62+'Porta Pig Cost'!G62+'Multiplier Pig Cost '!G62</f>
        <v>57442.33183856502</v>
      </c>
      <c r="H64" s="1562">
        <f>+'Grasmere Pig Cost'!H62+'Lionhead Pig Cost'!H62+'Villa Pig Cost'!H62+'Richlands Pig Cost'!H62+'Learig Pig Cost'!H62+'Lionhead Ext. Pig Cost'!H62+'Porta Pig Cost'!H62+'Multiplier Pig Cost '!H62</f>
        <v>57442.33183856502</v>
      </c>
      <c r="I64" s="1562">
        <f>+'Grasmere Pig Cost'!I62+'Lionhead Pig Cost'!I62+'Villa Pig Cost'!I62+'Richlands Pig Cost'!I62+'Learig Pig Cost'!I62+'Lionhead Ext. Pig Cost'!I62+'Porta Pig Cost'!I62+'Multiplier Pig Cost '!I62</f>
        <v>57442.33183856502</v>
      </c>
      <c r="J64" s="1562">
        <f>+'Grasmere Pig Cost'!J62+'Lionhead Pig Cost'!J62+'Villa Pig Cost'!J62+'Richlands Pig Cost'!J62+'Learig Pig Cost'!J62+'Lionhead Ext. Pig Cost'!J62+'Porta Pig Cost'!J62+'Multiplier Pig Cost '!J62</f>
        <v>54749.117488789227</v>
      </c>
      <c r="K64" s="1562">
        <f>+'Grasmere Pig Cost'!K62+'Lionhead Pig Cost'!K62+'Villa Pig Cost'!K62+'Richlands Pig Cost'!K62+'Learig Pig Cost'!K62+'Lionhead Ext. Pig Cost'!K62+'Porta Pig Cost'!K62+'Multiplier Pig Cost '!K62</f>
        <v>82226.045739910318</v>
      </c>
      <c r="L64" s="1562">
        <f>+'Grasmere Pig Cost'!L62+'Lionhead Pig Cost'!L62+'Villa Pig Cost'!L62+'Richlands Pig Cost'!L62+'Learig Pig Cost'!L62+'Lionhead Ext. Pig Cost'!L62+'Porta Pig Cost'!L62+'Multiplier Pig Cost '!L62</f>
        <v>82226.045739910318</v>
      </c>
      <c r="M64" s="1562">
        <f>+'Grasmere Pig Cost'!M62+'Lionhead Pig Cost'!M62+'Villa Pig Cost'!M62+'Richlands Pig Cost'!M62+'Learig Pig Cost'!M62+'Lionhead Ext. Pig Cost'!M62+'Porta Pig Cost'!M62+'Multiplier Pig Cost '!M62</f>
        <v>82226.045739910318</v>
      </c>
      <c r="N64" s="1562">
        <f>+'Grasmere Pig Cost'!N62+'Lionhead Pig Cost'!N62+'Villa Pig Cost'!N62+'Richlands Pig Cost'!N62+'Learig Pig Cost'!N62+'Lionhead Ext. Pig Cost'!N62+'Porta Pig Cost'!N62+'Multiplier Pig Cost '!N62</f>
        <v>87394.991928251111</v>
      </c>
      <c r="O64" s="1562">
        <f>+'Grasmere Pig Cost'!O62+'Lionhead Pig Cost'!O62+'Villa Pig Cost'!O62+'Richlands Pig Cost'!O62+'Learig Pig Cost'!O62+'Lionhead Ext. Pig Cost'!O62+'Porta Pig Cost'!O62+'Multiplier Pig Cost '!O62</f>
        <v>113073.14372197309</v>
      </c>
      <c r="P64" s="1562">
        <f>+'Grasmere Pig Cost'!P62+'Lionhead Pig Cost'!P62+'Villa Pig Cost'!P62+'Richlands Pig Cost'!P62+'Learig Pig Cost'!P62+'Lionhead Ext. Pig Cost'!P62+'Porta Pig Cost'!P62+'Multiplier Pig Cost '!P62</f>
        <v>113073.14372197309</v>
      </c>
      <c r="Q64" s="1562">
        <f>+'Grasmere Pig Cost'!Q62+'Lionhead Pig Cost'!Q62+'Villa Pig Cost'!Q62+'Richlands Pig Cost'!Q62+'Learig Pig Cost'!Q62+'Lionhead Ext. Pig Cost'!Q62+'Porta Pig Cost'!Q62+'Multiplier Pig Cost '!Q62</f>
        <v>113073.14372197309</v>
      </c>
      <c r="R64" s="1562">
        <f>+'Grasmere Pig Cost'!R62+'Lionhead Pig Cost'!R62+'Villa Pig Cost'!R62+'Richlands Pig Cost'!R62+'Learig Pig Cost'!R62+'Lionhead Ext. Pig Cost'!R62+'Porta Pig Cost'!R62+'Multiplier Pig Cost '!R62</f>
        <v>142549.54282511215</v>
      </c>
      <c r="S64" s="1562">
        <f>+'Grasmere Pig Cost'!S62+'Lionhead Pig Cost'!S62+'Villa Pig Cost'!S62+'Richlands Pig Cost'!S62+'Learig Pig Cost'!S62+'Lionhead Ext. Pig Cost'!S62+'Porta Pig Cost'!S62+'Multiplier Pig Cost '!S62</f>
        <v>166189.99809254362</v>
      </c>
      <c r="T64" s="1562">
        <f>+'Grasmere Pig Cost'!T62+'Lionhead Pig Cost'!T62+'Villa Pig Cost'!T62+'Richlands Pig Cost'!T62+'Learig Pig Cost'!T62+'Lionhead Ext. Pig Cost'!T62+'Porta Pig Cost'!T62+'Multiplier Pig Cost '!T62</f>
        <v>193879.85814382025</v>
      </c>
      <c r="U64" s="1562">
        <f>+'Grasmere Pig Cost'!U62+'Lionhead Pig Cost'!U62+'Villa Pig Cost'!U62+'Richlands Pig Cost'!U62+'Learig Pig Cost'!U62+'Lionhead Ext. Pig Cost'!U62+'Porta Pig Cost'!U62+'Multiplier Pig Cost '!U62</f>
        <v>206740.88831595686</v>
      </c>
      <c r="V64" s="1562">
        <f>+'Grasmere Pig Cost'!V62+'Lionhead Pig Cost'!V62+'Villa Pig Cost'!V62+'Richlands Pig Cost'!V62+'Learig Pig Cost'!V62+'Lionhead Ext. Pig Cost'!V62+'Porta Pig Cost'!V62+'Multiplier Pig Cost '!V62</f>
        <v>191871.37651521381</v>
      </c>
      <c r="W64" s="1562">
        <f>+'Grasmere Pig Cost'!W62+'Lionhead Pig Cost'!W62+'Villa Pig Cost'!W62+'Richlands Pig Cost'!W62+'Learig Pig Cost'!W62+'Lionhead Ext. Pig Cost'!W62+'Porta Pig Cost'!W62+'Multiplier Pig Cost '!W62</f>
        <v>170942.84460637654</v>
      </c>
      <c r="X64" s="1562">
        <f>+'Grasmere Pig Cost'!X62+'Lionhead Pig Cost'!X62+'Villa Pig Cost'!X62+'Richlands Pig Cost'!X62+'Learig Pig Cost'!X62+'Lionhead Ext. Pig Cost'!X62+'Porta Pig Cost'!X62+'Multiplier Pig Cost '!X62</f>
        <v>261382.55991767766</v>
      </c>
      <c r="Y64" s="1562">
        <f>+'Grasmere Pig Cost'!Y62+'Lionhead Pig Cost'!Y62+'Villa Pig Cost'!Y62+'Richlands Pig Cost'!Y62+'Learig Pig Cost'!Y62+'Lionhead Ext. Pig Cost'!Y62+'Porta Pig Cost'!Y62+'Multiplier Pig Cost '!Y62</f>
        <v>290271.10523899895</v>
      </c>
      <c r="Z64" s="1562">
        <f>+'Grasmere Pig Cost'!Z62+'Lionhead Pig Cost'!Z62+'Villa Pig Cost'!Z62+'Richlands Pig Cost'!Z62+'Learig Pig Cost'!Z62+'Lionhead Ext. Pig Cost'!Z62+'Porta Pig Cost'!Z62+'Multiplier Pig Cost '!Z62</f>
        <v>328307.06604087364</v>
      </c>
      <c r="AA64" s="1562">
        <f>+'Grasmere Pig Cost'!AA62+'Lionhead Pig Cost'!AA62+'Villa Pig Cost'!AA62+'Richlands Pig Cost'!AA62+'Learig Pig Cost'!AA62+'Lionhead Ext. Pig Cost'!AA62+'Porta Pig Cost'!AA62+'Multiplier Pig Cost '!AA62</f>
        <v>357570.98218851478</v>
      </c>
      <c r="AB64" s="1562">
        <f>+'Grasmere Pig Cost'!AB62+'Lionhead Pig Cost'!AB62+'Villa Pig Cost'!AB62+'Richlands Pig Cost'!AB62+'Learig Pig Cost'!AB62+'Lionhead Ext. Pig Cost'!AB62+'Porta Pig Cost'!AB62+'Multiplier Pig Cost '!AB62</f>
        <v>397605.48058455321</v>
      </c>
      <c r="AC64" s="1562">
        <f>+'Grasmere Pig Cost'!AC62+'Lionhead Pig Cost'!AC62+'Villa Pig Cost'!AC62+'Richlands Pig Cost'!AC62+'Learig Pig Cost'!AC62+'Lionhead Ext. Pig Cost'!AC62+'Porta Pig Cost'!AC62+'Multiplier Pig Cost '!AC62</f>
        <v>484601.63684672723</v>
      </c>
      <c r="AD64" s="1562">
        <f>+'Grasmere Pig Cost'!AD62+'Lionhead Pig Cost'!AD62+'Villa Pig Cost'!AD62+'Richlands Pig Cost'!AD62+'Learig Pig Cost'!AD62+'Lionhead Ext. Pig Cost'!AD62+'Porta Pig Cost'!AD62+'Multiplier Pig Cost '!AD62</f>
        <v>618245.15144617844</v>
      </c>
      <c r="AE64" s="1562">
        <f>+'Grasmere Pig Cost'!AE62+'Lionhead Pig Cost'!AE62+'Villa Pig Cost'!AE62+'Richlands Pig Cost'!AE62+'Learig Pig Cost'!AE62+'Lionhead Ext. Pig Cost'!AE62+'Porta Pig Cost'!AE62+'Multiplier Pig Cost '!AE62</f>
        <v>640687.51197170198</v>
      </c>
      <c r="AF64" s="1562">
        <f>+'Grasmere Pig Cost'!AF62+'Lionhead Pig Cost'!AF62+'Villa Pig Cost'!AF62+'Richlands Pig Cost'!AF62+'Learig Pig Cost'!AF62+'Lionhead Ext. Pig Cost'!AF62+'Porta Pig Cost'!AF62+'Multiplier Pig Cost '!AF62</f>
        <v>661548.30305133818</v>
      </c>
      <c r="AG64" s="1562">
        <f>+'Grasmere Pig Cost'!AG62+'Lionhead Pig Cost'!AG62+'Villa Pig Cost'!AG62+'Richlands Pig Cost'!AG62+'Learig Pig Cost'!AG62+'Lionhead Ext. Pig Cost'!AG62+'Porta Pig Cost'!AG62+'Multiplier Pig Cost '!AG62</f>
        <v>744396.92180368293</v>
      </c>
      <c r="AH64" s="1562">
        <f>+'Grasmere Pig Cost'!AH62+'Lionhead Pig Cost'!AH62+'Villa Pig Cost'!AH62+'Richlands Pig Cost'!AH62+'Learig Pig Cost'!AH62+'Lionhead Ext. Pig Cost'!AH62+'Porta Pig Cost'!AH62+'Multiplier Pig Cost '!AH62</f>
        <v>889768.3841080165</v>
      </c>
      <c r="AI64" s="1562">
        <f>+'Grasmere Pig Cost'!AI62+'Lionhead Pig Cost'!AI62+'Villa Pig Cost'!AI62+'Richlands Pig Cost'!AI62+'Learig Pig Cost'!AI62+'Lionhead Ext. Pig Cost'!AI62+'Porta Pig Cost'!AI62+'Multiplier Pig Cost '!AI62</f>
        <v>947677.52105342504</v>
      </c>
      <c r="AJ64" s="1562">
        <f>+'Grasmere Pig Cost'!AJ62+'Lionhead Pig Cost'!AJ62+'Villa Pig Cost'!AJ62+'Richlands Pig Cost'!AJ62+'Learig Pig Cost'!AJ62+'Lionhead Ext. Pig Cost'!AJ62+'Porta Pig Cost'!AJ62+'Multiplier Pig Cost '!AJ62</f>
        <v>986087.02695778245</v>
      </c>
      <c r="AK64" s="1562">
        <f>+'Grasmere Pig Cost'!AK62+'Lionhead Pig Cost'!AK62+'Villa Pig Cost'!AK62+'Richlands Pig Cost'!AK62+'Learig Pig Cost'!AK62+'Lionhead Ext. Pig Cost'!AK62+'Porta Pig Cost'!AK62+'Multiplier Pig Cost '!AK62</f>
        <v>1063075.2567218959</v>
      </c>
      <c r="AL64" s="1562">
        <f>+'Grasmere Pig Cost'!AL62+'Lionhead Pig Cost'!AL62+'Villa Pig Cost'!AL62+'Richlands Pig Cost'!AL62+'Learig Pig Cost'!AL62+'Lionhead Ext. Pig Cost'!AL62+'Porta Pig Cost'!AL62+'Multiplier Pig Cost '!AL62</f>
        <v>1183018.8709160257</v>
      </c>
      <c r="AM64" s="1562">
        <f>+'Grasmere Pig Cost'!AM62+'Lionhead Pig Cost'!AM62+'Villa Pig Cost'!AM62+'Richlands Pig Cost'!AM62+'Learig Pig Cost'!AM62+'Lionhead Ext. Pig Cost'!AM62+'Porta Pig Cost'!AM62+'Multiplier Pig Cost '!AM62</f>
        <v>1294633.3547363491</v>
      </c>
      <c r="AN64" s="1562">
        <f>+'Grasmere Pig Cost'!AN62+'Lionhead Pig Cost'!AN62+'Villa Pig Cost'!AN62+'Richlands Pig Cost'!AN62+'Learig Pig Cost'!AN62+'Lionhead Ext. Pig Cost'!AN62+'Porta Pig Cost'!AN62+'Multiplier Pig Cost '!AN62</f>
        <v>1016967.4470425394</v>
      </c>
      <c r="AO64" s="1562">
        <f>+'Grasmere Pig Cost'!AO62+'Lionhead Pig Cost'!AO62+'Villa Pig Cost'!AO62+'Richlands Pig Cost'!AO62+'Learig Pig Cost'!AO62+'Lionhead Ext. Pig Cost'!AO62+'Porta Pig Cost'!AO62+'Multiplier Pig Cost '!AO62</f>
        <v>460886.7851449197</v>
      </c>
      <c r="AP64" s="1562">
        <f>+'Grasmere Pig Cost'!AP62+'Lionhead Pig Cost'!AP62+'Villa Pig Cost'!AP62+'Richlands Pig Cost'!AP62+'Learig Pig Cost'!AP62+'Lionhead Ext. Pig Cost'!AP62+'Porta Pig Cost'!AP62+'Multiplier Pig Cost '!AP62</f>
        <v>2.9103830456733704E-11</v>
      </c>
      <c r="AQ64" s="1562">
        <f>+'Grasmere Pig Cost'!AQ62+'Lionhead Pig Cost'!AQ62+'Villa Pig Cost'!AQ62+'Richlands Pig Cost'!AQ62+'Learig Pig Cost'!AQ62+'Lionhead Ext. Pig Cost'!AQ62+'Porta Pig Cost'!AQ62+'Multiplier Pig Cost '!AQ62</f>
        <v>0</v>
      </c>
      <c r="AR64" s="1562">
        <f>+'Grasmere Pig Cost'!AR62+'Lionhead Pig Cost'!AR62+'Villa Pig Cost'!AR62+'Richlands Pig Cost'!AR62+'Learig Pig Cost'!AR62+'Lionhead Ext. Pig Cost'!AR62+'Porta Pig Cost'!AR62+'Multiplier Pig Cost '!AR62</f>
        <v>-2.9103830456733704E-11</v>
      </c>
      <c r="AS64" s="1562">
        <f>+'Grasmere Pig Cost'!AS62+'Lionhead Pig Cost'!AS62+'Villa Pig Cost'!AS62+'Richlands Pig Cost'!AS62+'Learig Pig Cost'!AS62+'Lionhead Ext. Pig Cost'!AS62+'Porta Pig Cost'!AS62+'Multiplier Pig Cost '!AS62</f>
        <v>2.9103830456733704E-11</v>
      </c>
      <c r="AT64" s="1562">
        <f>+'Grasmere Pig Cost'!AT62+'Lionhead Pig Cost'!AT62+'Villa Pig Cost'!AT62+'Richlands Pig Cost'!AT62+'Learig Pig Cost'!AT62+'Lionhead Ext. Pig Cost'!AT62+'Porta Pig Cost'!AT62+'Multiplier Pig Cost '!AT62</f>
        <v>2.9103830456733704E-11</v>
      </c>
      <c r="AU64" s="1562"/>
      <c r="AV64" s="1562">
        <f>SUM(B64:AT64)</f>
        <v>14760095.80319399</v>
      </c>
      <c r="AW64" s="1091"/>
      <c r="AX64" s="1059">
        <f>AV33/AV7</f>
        <v>175.17232582280613</v>
      </c>
    </row>
    <row r="65" spans="1:54">
      <c r="B65" s="818">
        <f>+B63-B64</f>
        <v>0</v>
      </c>
      <c r="C65" s="818">
        <f t="shared" ref="C65:AL65" si="30">+C63-C64</f>
        <v>0</v>
      </c>
      <c r="D65" s="818">
        <f t="shared" si="30"/>
        <v>0</v>
      </c>
      <c r="E65" s="818">
        <f t="shared" si="30"/>
        <v>0</v>
      </c>
      <c r="F65" s="818">
        <f t="shared" si="30"/>
        <v>0</v>
      </c>
      <c r="G65" s="818">
        <f>+G63-G64</f>
        <v>0</v>
      </c>
      <c r="H65" s="818">
        <f t="shared" si="30"/>
        <v>0</v>
      </c>
      <c r="I65" s="818">
        <f t="shared" si="30"/>
        <v>0</v>
      </c>
      <c r="J65" s="818">
        <f t="shared" si="30"/>
        <v>0</v>
      </c>
      <c r="K65" s="818">
        <f t="shared" si="30"/>
        <v>0</v>
      </c>
      <c r="L65" s="818">
        <f t="shared" si="30"/>
        <v>0</v>
      </c>
      <c r="M65" s="818">
        <f t="shared" si="30"/>
        <v>0</v>
      </c>
      <c r="N65" s="818">
        <f t="shared" si="30"/>
        <v>0</v>
      </c>
      <c r="O65" s="818">
        <f t="shared" si="30"/>
        <v>0</v>
      </c>
      <c r="P65" s="818">
        <f t="shared" si="30"/>
        <v>0</v>
      </c>
      <c r="Q65" s="818">
        <f t="shared" si="30"/>
        <v>0</v>
      </c>
      <c r="R65" s="818">
        <f t="shared" si="30"/>
        <v>0</v>
      </c>
      <c r="S65" s="818">
        <f>+S63-S64</f>
        <v>0</v>
      </c>
      <c r="T65" s="818">
        <f t="shared" si="30"/>
        <v>0</v>
      </c>
      <c r="U65" s="818">
        <f t="shared" si="30"/>
        <v>0</v>
      </c>
      <c r="V65" s="818">
        <f t="shared" si="30"/>
        <v>0</v>
      </c>
      <c r="W65" s="818">
        <f t="shared" si="30"/>
        <v>0</v>
      </c>
      <c r="X65" s="818">
        <f t="shared" si="30"/>
        <v>0</v>
      </c>
      <c r="Y65" s="818">
        <f t="shared" si="30"/>
        <v>0</v>
      </c>
      <c r="Z65" s="818">
        <f>+Z63-Z64</f>
        <v>0</v>
      </c>
      <c r="AA65" s="818">
        <f t="shared" si="30"/>
        <v>0</v>
      </c>
      <c r="AB65" s="818">
        <f t="shared" si="30"/>
        <v>0</v>
      </c>
      <c r="AC65" s="818">
        <f t="shared" si="30"/>
        <v>0</v>
      </c>
      <c r="AD65" s="818">
        <f t="shared" si="30"/>
        <v>0</v>
      </c>
      <c r="AE65" s="818">
        <f t="shared" si="30"/>
        <v>0</v>
      </c>
      <c r="AF65" s="818">
        <f t="shared" si="30"/>
        <v>0</v>
      </c>
      <c r="AG65" s="818">
        <f t="shared" si="30"/>
        <v>0</v>
      </c>
      <c r="AH65" s="818">
        <f t="shared" si="30"/>
        <v>0</v>
      </c>
      <c r="AI65" s="818">
        <f t="shared" si="30"/>
        <v>0</v>
      </c>
      <c r="AJ65" s="818">
        <f t="shared" si="30"/>
        <v>0</v>
      </c>
      <c r="AK65" s="818">
        <f t="shared" si="30"/>
        <v>0</v>
      </c>
      <c r="AL65" s="818">
        <f t="shared" si="30"/>
        <v>0</v>
      </c>
      <c r="AM65" s="818">
        <f>+AM63-AM64</f>
        <v>0</v>
      </c>
      <c r="AN65" s="818">
        <f>+AN63-AN64</f>
        <v>0</v>
      </c>
      <c r="AO65" s="818">
        <f>+AO63-AO64</f>
        <v>0</v>
      </c>
      <c r="AP65" s="818">
        <f>+AP63-AP64</f>
        <v>2.0372681319713593E-10</v>
      </c>
      <c r="AQ65" s="818"/>
      <c r="AR65" s="818">
        <v>16933.747930125333</v>
      </c>
      <c r="AS65" s="818"/>
      <c r="AT65" s="818"/>
      <c r="AU65" s="1057">
        <f>AU63/AU30</f>
        <v>175.11503183364164</v>
      </c>
      <c r="AV65" s="1057">
        <f>+AV63-AV64</f>
        <v>0</v>
      </c>
      <c r="AX65" s="1992">
        <f>AX63/AX64-1</f>
        <v>-3.2707214964078357E-4</v>
      </c>
      <c r="AZ65" s="817"/>
      <c r="BB65" s="1091"/>
    </row>
    <row r="66" spans="1:54">
      <c r="AP66" s="142">
        <v>425.56746548926458</v>
      </c>
      <c r="AQ66" s="142">
        <v>356.59</v>
      </c>
      <c r="AR66" s="142">
        <v>44.24</v>
      </c>
      <c r="AT66" s="142">
        <v>2939.8779836469298</v>
      </c>
      <c r="AU66" s="1760">
        <v>-1177.637726242654</v>
      </c>
      <c r="AV66" s="818"/>
      <c r="AW66" s="1060">
        <v>-2482.6717552389018</v>
      </c>
    </row>
    <row r="67" spans="1:54" hidden="1"/>
    <row r="68" spans="1:54" hidden="1"/>
    <row r="69" spans="1:54" ht="15.6" hidden="1">
      <c r="A69" s="1563" t="s">
        <v>1836</v>
      </c>
      <c r="B69" s="1061"/>
      <c r="C69" s="1061"/>
      <c r="D69" s="1061"/>
      <c r="E69" s="1061"/>
      <c r="F69" s="1061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1"/>
      <c r="AX69" s="1061"/>
    </row>
    <row r="70" spans="1:54" ht="15.6" hidden="1">
      <c r="A70" s="1061" t="s">
        <v>127</v>
      </c>
      <c r="B70" s="1061"/>
      <c r="C70" s="1061"/>
      <c r="D70" s="1061"/>
      <c r="E70" s="1061"/>
      <c r="F70" s="1061"/>
      <c r="G70" s="1061"/>
      <c r="H70" s="1061"/>
      <c r="I70" s="1061"/>
      <c r="J70" s="1061"/>
      <c r="K70" s="1061"/>
      <c r="L70" s="1061"/>
      <c r="M70" s="1061"/>
      <c r="N70" s="1061"/>
      <c r="O70" s="1061"/>
      <c r="P70" s="1061"/>
      <c r="Q70" s="1061"/>
      <c r="R70" s="1061"/>
      <c r="S70" s="1061"/>
      <c r="T70" s="1061"/>
      <c r="U70" s="1061"/>
      <c r="V70" s="1061"/>
      <c r="W70" s="1061"/>
      <c r="X70" s="1061"/>
      <c r="Y70" s="1061"/>
      <c r="Z70" s="1061"/>
      <c r="AA70" s="1061"/>
      <c r="AB70" s="1061"/>
      <c r="AC70" s="1061"/>
      <c r="AD70" s="1061"/>
      <c r="AE70" s="1061"/>
      <c r="AF70" s="1061"/>
      <c r="AG70" s="1061"/>
      <c r="AH70" s="1061"/>
      <c r="AI70" s="1061"/>
      <c r="AJ70" s="1061"/>
      <c r="AK70" s="1061"/>
      <c r="AL70" s="1061"/>
      <c r="AM70" s="1061"/>
      <c r="AN70" s="1061"/>
      <c r="AO70" s="1061"/>
      <c r="AP70" s="1061"/>
      <c r="AQ70" s="1061"/>
      <c r="AR70" s="1061"/>
      <c r="AS70" s="1061"/>
      <c r="AT70" s="1061"/>
      <c r="AU70" s="1062"/>
      <c r="AV70" s="1063"/>
      <c r="AW70" s="805"/>
      <c r="AX70" s="1563"/>
    </row>
    <row r="71" spans="1:54" hidden="1">
      <c r="A71" s="1061" t="s">
        <v>186</v>
      </c>
      <c r="B71" s="1061"/>
      <c r="C71" s="1061"/>
      <c r="D71" s="1061"/>
      <c r="E71" s="1061"/>
      <c r="F71" s="1061"/>
      <c r="G71" s="1061"/>
      <c r="H71" s="1061"/>
      <c r="I71" s="1061"/>
      <c r="J71" s="1061"/>
      <c r="K71" s="1061"/>
      <c r="L71" s="1061"/>
      <c r="M71" s="1061"/>
      <c r="N71" s="1061"/>
      <c r="O71" s="1061"/>
      <c r="P71" s="1061"/>
      <c r="Q71" s="1061"/>
      <c r="R71" s="1061"/>
      <c r="S71" s="1061"/>
      <c r="T71" s="1061"/>
      <c r="U71" s="1061"/>
      <c r="V71" s="1061"/>
      <c r="W71" s="1061"/>
      <c r="X71" s="1061"/>
      <c r="Y71" s="1061"/>
      <c r="Z71" s="1061"/>
      <c r="AA71" s="1061"/>
      <c r="AB71" s="1061"/>
      <c r="AC71" s="1061"/>
      <c r="AD71" s="1061"/>
      <c r="AE71" s="1061"/>
      <c r="AF71" s="1061"/>
      <c r="AG71" s="1061"/>
      <c r="AH71" s="1061"/>
      <c r="AI71" s="1061"/>
      <c r="AJ71" s="1061"/>
      <c r="AK71" s="1061"/>
      <c r="AL71" s="1061"/>
      <c r="AM71" s="1061"/>
      <c r="AN71" s="1061"/>
      <c r="AO71" s="1061"/>
      <c r="AP71" s="1061"/>
      <c r="AQ71" s="1061"/>
      <c r="AR71" s="1061"/>
      <c r="AS71" s="1061"/>
      <c r="AT71" s="1061"/>
      <c r="AU71" s="1062"/>
      <c r="AV71" s="1063"/>
      <c r="AW71" s="805"/>
      <c r="AX71" s="1061"/>
    </row>
    <row r="72" spans="1:54" hidden="1">
      <c r="A72" s="1061" t="s">
        <v>189</v>
      </c>
      <c r="B72" s="1061"/>
      <c r="C72" s="1061"/>
      <c r="D72" s="1061"/>
      <c r="E72" s="1061"/>
      <c r="F72" s="1061"/>
      <c r="G72" s="1061"/>
      <c r="H72" s="1061"/>
      <c r="I72" s="1061"/>
      <c r="J72" s="1061"/>
      <c r="K72" s="1061"/>
      <c r="L72" s="1061"/>
      <c r="M72" s="1061"/>
      <c r="N72" s="1061"/>
      <c r="O72" s="1061"/>
      <c r="P72" s="1061"/>
      <c r="Q72" s="1061"/>
      <c r="R72" s="1061"/>
      <c r="S72" s="1061"/>
      <c r="T72" s="1061"/>
      <c r="U72" s="1061"/>
      <c r="V72" s="1061"/>
      <c r="W72" s="1061"/>
      <c r="X72" s="1061"/>
      <c r="Y72" s="1061"/>
      <c r="Z72" s="1061"/>
      <c r="AA72" s="1061"/>
      <c r="AB72" s="1061"/>
      <c r="AC72" s="1061"/>
      <c r="AD72" s="1061"/>
      <c r="AE72" s="1061"/>
      <c r="AF72" s="1061"/>
      <c r="AG72" s="1061"/>
      <c r="AH72" s="1061"/>
      <c r="AI72" s="1061"/>
      <c r="AJ72" s="1061"/>
      <c r="AK72" s="1061"/>
      <c r="AL72" s="1061"/>
      <c r="AM72" s="1061"/>
      <c r="AN72" s="1061"/>
      <c r="AO72" s="1061"/>
      <c r="AP72" s="1061"/>
      <c r="AQ72" s="1061"/>
      <c r="AR72" s="1061"/>
      <c r="AS72" s="1061"/>
      <c r="AT72" s="1061"/>
      <c r="AU72" s="1062"/>
      <c r="AV72" s="1063"/>
      <c r="AW72" s="805"/>
      <c r="AX72" s="1061"/>
    </row>
    <row r="73" spans="1:54" hidden="1">
      <c r="A73" s="1061" t="s">
        <v>213</v>
      </c>
      <c r="B73" s="1062"/>
      <c r="C73" s="1062"/>
      <c r="D73" s="1062"/>
      <c r="E73" s="1062"/>
      <c r="F73" s="1062"/>
      <c r="G73" s="1062"/>
      <c r="H73" s="1062"/>
      <c r="I73" s="1062"/>
      <c r="J73" s="1062"/>
      <c r="K73" s="1062"/>
      <c r="L73" s="1062"/>
      <c r="M73" s="1062"/>
      <c r="N73" s="1062"/>
      <c r="O73" s="1062"/>
      <c r="P73" s="1062"/>
      <c r="Q73" s="1062"/>
      <c r="R73" s="1062"/>
      <c r="S73" s="1062"/>
      <c r="T73" s="1062"/>
      <c r="U73" s="1062"/>
      <c r="V73" s="1062"/>
      <c r="W73" s="1062"/>
      <c r="X73" s="1062"/>
      <c r="Y73" s="1062"/>
      <c r="Z73" s="1062"/>
      <c r="AA73" s="1062"/>
      <c r="AB73" s="1062"/>
      <c r="AC73" s="1062"/>
      <c r="AD73" s="1062"/>
      <c r="AE73" s="1062"/>
      <c r="AF73" s="1062"/>
      <c r="AG73" s="1062"/>
      <c r="AH73" s="1062"/>
      <c r="AI73" s="1062"/>
      <c r="AJ73" s="1062"/>
      <c r="AK73" s="1062"/>
      <c r="AL73" s="1062"/>
      <c r="AM73" s="1062"/>
      <c r="AN73" s="1062"/>
      <c r="AO73" s="1062"/>
      <c r="AP73" s="1062"/>
      <c r="AQ73" s="1062"/>
      <c r="AR73" s="1062"/>
      <c r="AS73" s="1062"/>
      <c r="AT73" s="1062"/>
      <c r="AU73" s="1062"/>
      <c r="AV73" s="1063"/>
      <c r="AW73" s="805"/>
      <c r="AX73" s="1061"/>
    </row>
    <row r="74" spans="1:54" s="1559" customFormat="1" ht="15.6" hidden="1">
      <c r="A74" s="1563" t="s">
        <v>71</v>
      </c>
      <c r="B74" s="1563"/>
      <c r="C74" s="1563"/>
      <c r="D74" s="1563"/>
      <c r="E74" s="1563"/>
      <c r="F74" s="1563"/>
      <c r="G74" s="1563"/>
      <c r="H74" s="1563"/>
      <c r="I74" s="1563"/>
      <c r="J74" s="1563"/>
      <c r="K74" s="1563"/>
      <c r="L74" s="1563"/>
      <c r="M74" s="1563"/>
      <c r="N74" s="1563"/>
      <c r="O74" s="1563"/>
      <c r="P74" s="1563"/>
      <c r="Q74" s="1563"/>
      <c r="R74" s="1563"/>
      <c r="S74" s="1563"/>
      <c r="T74" s="1563"/>
      <c r="U74" s="1563"/>
      <c r="V74" s="1563"/>
      <c r="W74" s="1563"/>
      <c r="X74" s="1563"/>
      <c r="Y74" s="1563"/>
      <c r="Z74" s="1563"/>
      <c r="AA74" s="1563"/>
      <c r="AB74" s="1563"/>
      <c r="AC74" s="1563"/>
      <c r="AD74" s="1563"/>
      <c r="AE74" s="1563"/>
      <c r="AF74" s="1563"/>
      <c r="AG74" s="1563"/>
      <c r="AH74" s="1563"/>
      <c r="AI74" s="1563"/>
      <c r="AJ74" s="1563"/>
      <c r="AK74" s="1563"/>
      <c r="AL74" s="1563"/>
      <c r="AM74" s="1563"/>
      <c r="AN74" s="1563"/>
      <c r="AO74" s="1563"/>
      <c r="AP74" s="1563"/>
      <c r="AQ74" s="1563"/>
      <c r="AR74" s="1563"/>
      <c r="AS74" s="1563"/>
      <c r="AT74" s="1563"/>
      <c r="AU74" s="1563"/>
      <c r="AV74" s="1563"/>
      <c r="AW74" s="817"/>
      <c r="AX74" s="1563"/>
    </row>
    <row r="75" spans="1:54" hidden="1">
      <c r="A75" s="1061"/>
      <c r="B75" s="1061"/>
      <c r="C75" s="1061"/>
      <c r="D75" s="1061"/>
      <c r="E75" s="1061"/>
      <c r="F75" s="1061"/>
      <c r="G75" s="1061"/>
      <c r="H75" s="1061"/>
      <c r="I75" s="1061"/>
      <c r="J75" s="1061"/>
      <c r="K75" s="1061"/>
      <c r="L75" s="1061"/>
      <c r="M75" s="1061"/>
      <c r="N75" s="1061"/>
      <c r="O75" s="1061"/>
      <c r="P75" s="1061"/>
      <c r="Q75" s="1061"/>
      <c r="R75" s="1061"/>
      <c r="S75" s="1061"/>
      <c r="T75" s="1061"/>
      <c r="U75" s="1061"/>
      <c r="V75" s="1061"/>
      <c r="W75" s="1061"/>
      <c r="X75" s="1061"/>
      <c r="Y75" s="1061"/>
      <c r="Z75" s="1061"/>
      <c r="AA75" s="1061"/>
      <c r="AB75" s="1061"/>
      <c r="AC75" s="1061"/>
      <c r="AD75" s="1061"/>
      <c r="AE75" s="1061"/>
      <c r="AF75" s="1061"/>
      <c r="AG75" s="1061"/>
      <c r="AH75" s="1061"/>
      <c r="AI75" s="1061"/>
      <c r="AJ75" s="1061"/>
      <c r="AK75" s="1061"/>
      <c r="AL75" s="1061"/>
      <c r="AM75" s="1061"/>
      <c r="AN75" s="1061"/>
      <c r="AO75" s="1061"/>
      <c r="AP75" s="1061"/>
      <c r="AQ75" s="1061"/>
      <c r="AR75" s="1061"/>
      <c r="AS75" s="1061"/>
      <c r="AT75" s="1061"/>
      <c r="AU75" s="1062"/>
      <c r="AV75" s="1061"/>
      <c r="AX75" s="1061"/>
    </row>
    <row r="76" spans="1:54" ht="15.6" hidden="1">
      <c r="A76" s="1563" t="s">
        <v>1787</v>
      </c>
      <c r="B76" s="1061"/>
      <c r="C76" s="1061"/>
      <c r="D76" s="1061"/>
      <c r="E76" s="1061"/>
      <c r="F76" s="1061"/>
      <c r="G76" s="1061"/>
      <c r="H76" s="1061"/>
      <c r="I76" s="1061"/>
      <c r="J76" s="1061"/>
      <c r="K76" s="1061"/>
      <c r="L76" s="1061"/>
      <c r="M76" s="1061"/>
      <c r="N76" s="1061"/>
      <c r="O76" s="1061"/>
      <c r="P76" s="1061"/>
      <c r="Q76" s="1061"/>
      <c r="R76" s="1061"/>
      <c r="S76" s="1061"/>
      <c r="T76" s="1061"/>
      <c r="U76" s="1061"/>
      <c r="V76" s="1061"/>
      <c r="W76" s="1061"/>
      <c r="X76" s="1061"/>
      <c r="Y76" s="1061"/>
      <c r="Z76" s="1061"/>
      <c r="AA76" s="1061"/>
      <c r="AB76" s="1061"/>
      <c r="AC76" s="1061"/>
      <c r="AD76" s="1061"/>
      <c r="AE76" s="1061"/>
      <c r="AF76" s="1061"/>
      <c r="AG76" s="1061"/>
      <c r="AH76" s="1061"/>
      <c r="AI76" s="1061"/>
      <c r="AJ76" s="1061"/>
      <c r="AK76" s="1061"/>
      <c r="AL76" s="1061"/>
      <c r="AM76" s="1061"/>
      <c r="AN76" s="1061"/>
      <c r="AO76" s="1061"/>
      <c r="AP76" s="1061"/>
      <c r="AQ76" s="1061"/>
      <c r="AR76" s="1061"/>
      <c r="AS76" s="1061"/>
      <c r="AT76" s="1061"/>
      <c r="AU76" s="1062"/>
      <c r="AV76" s="1061"/>
      <c r="AX76" s="1061"/>
    </row>
    <row r="77" spans="1:54" hidden="1">
      <c r="A77" s="1061" t="s">
        <v>127</v>
      </c>
      <c r="B77" s="1061"/>
      <c r="C77" s="1061"/>
      <c r="D77" s="1061"/>
      <c r="E77" s="1061"/>
      <c r="F77" s="1061"/>
      <c r="G77" s="1061"/>
      <c r="H77" s="1061"/>
      <c r="I77" s="1061"/>
      <c r="J77" s="1061"/>
      <c r="K77" s="1061"/>
      <c r="L77" s="1061"/>
      <c r="M77" s="1061"/>
      <c r="N77" s="1061"/>
      <c r="O77" s="1061"/>
      <c r="P77" s="1061"/>
      <c r="Q77" s="1061"/>
      <c r="R77" s="1061"/>
      <c r="S77" s="1061"/>
      <c r="T77" s="1061"/>
      <c r="U77" s="1061"/>
      <c r="V77" s="1061"/>
      <c r="W77" s="1061"/>
      <c r="X77" s="1061"/>
      <c r="Y77" s="1061"/>
      <c r="Z77" s="1061"/>
      <c r="AA77" s="1061"/>
      <c r="AB77" s="1061"/>
      <c r="AC77" s="1061"/>
      <c r="AD77" s="1061"/>
      <c r="AE77" s="1061"/>
      <c r="AF77" s="1061"/>
      <c r="AG77" s="1061"/>
      <c r="AH77" s="1061"/>
      <c r="AI77" s="1061"/>
      <c r="AJ77" s="1061"/>
      <c r="AK77" s="1061"/>
      <c r="AL77" s="1061"/>
      <c r="AM77" s="1061"/>
      <c r="AN77" s="1061"/>
      <c r="AO77" s="1061"/>
      <c r="AP77" s="1061"/>
      <c r="AQ77" s="1061"/>
      <c r="AR77" s="1061"/>
      <c r="AS77" s="1061"/>
      <c r="AT77" s="1061"/>
      <c r="AU77" s="1062"/>
      <c r="AV77" s="1063"/>
      <c r="AW77" s="805"/>
      <c r="AX77" s="1061"/>
    </row>
    <row r="78" spans="1:54" hidden="1">
      <c r="A78" s="1061" t="s">
        <v>186</v>
      </c>
      <c r="B78" s="1061"/>
      <c r="C78" s="1061"/>
      <c r="D78" s="1061"/>
      <c r="E78" s="1061"/>
      <c r="F78" s="1061"/>
      <c r="G78" s="1061"/>
      <c r="H78" s="1061"/>
      <c r="I78" s="1061"/>
      <c r="J78" s="1061"/>
      <c r="K78" s="1061"/>
      <c r="L78" s="1061"/>
      <c r="M78" s="1061"/>
      <c r="N78" s="1061"/>
      <c r="O78" s="1061"/>
      <c r="P78" s="1061"/>
      <c r="Q78" s="1061"/>
      <c r="R78" s="1061"/>
      <c r="S78" s="1061"/>
      <c r="T78" s="1061"/>
      <c r="U78" s="1061"/>
      <c r="V78" s="1061"/>
      <c r="W78" s="1061"/>
      <c r="X78" s="1061"/>
      <c r="Y78" s="1061"/>
      <c r="Z78" s="1061"/>
      <c r="AA78" s="1061"/>
      <c r="AB78" s="1061"/>
      <c r="AC78" s="1061"/>
      <c r="AD78" s="1061"/>
      <c r="AE78" s="1061"/>
      <c r="AF78" s="1061"/>
      <c r="AG78" s="1061"/>
      <c r="AH78" s="1061"/>
      <c r="AI78" s="1061"/>
      <c r="AJ78" s="1061"/>
      <c r="AK78" s="1061"/>
      <c r="AL78" s="1061"/>
      <c r="AM78" s="1061"/>
      <c r="AN78" s="1061"/>
      <c r="AO78" s="1061"/>
      <c r="AP78" s="1061"/>
      <c r="AQ78" s="1061"/>
      <c r="AR78" s="1061"/>
      <c r="AS78" s="1061"/>
      <c r="AT78" s="1061"/>
      <c r="AU78" s="1062"/>
      <c r="AV78" s="1063"/>
      <c r="AW78" s="805"/>
      <c r="AX78" s="1061"/>
    </row>
    <row r="79" spans="1:54" hidden="1">
      <c r="A79" s="1061" t="s">
        <v>189</v>
      </c>
      <c r="B79" s="1061"/>
      <c r="C79" s="1061"/>
      <c r="D79" s="1061"/>
      <c r="E79" s="1061"/>
      <c r="F79" s="1061"/>
      <c r="G79" s="1061"/>
      <c r="H79" s="1061"/>
      <c r="I79" s="1061"/>
      <c r="J79" s="1061"/>
      <c r="K79" s="1061"/>
      <c r="L79" s="1061"/>
      <c r="M79" s="1061"/>
      <c r="N79" s="1061"/>
      <c r="O79" s="1061"/>
      <c r="P79" s="1061"/>
      <c r="Q79" s="1061"/>
      <c r="R79" s="1061"/>
      <c r="S79" s="1061"/>
      <c r="T79" s="1061"/>
      <c r="U79" s="1061"/>
      <c r="V79" s="1061"/>
      <c r="W79" s="1061"/>
      <c r="X79" s="1061"/>
      <c r="Y79" s="1061"/>
      <c r="Z79" s="1061"/>
      <c r="AA79" s="1061"/>
      <c r="AB79" s="1061"/>
      <c r="AC79" s="1061"/>
      <c r="AD79" s="1061"/>
      <c r="AE79" s="1061"/>
      <c r="AF79" s="1061"/>
      <c r="AG79" s="1061"/>
      <c r="AH79" s="1061"/>
      <c r="AI79" s="1061"/>
      <c r="AJ79" s="1061"/>
      <c r="AK79" s="1061"/>
      <c r="AL79" s="1061"/>
      <c r="AM79" s="1061"/>
      <c r="AN79" s="1061"/>
      <c r="AO79" s="1061"/>
      <c r="AP79" s="1061"/>
      <c r="AQ79" s="1061"/>
      <c r="AR79" s="1061"/>
      <c r="AS79" s="1061"/>
      <c r="AT79" s="1061"/>
      <c r="AU79" s="1062"/>
      <c r="AV79" s="1063"/>
      <c r="AW79" s="805"/>
      <c r="AX79" s="1061"/>
    </row>
    <row r="80" spans="1:54" hidden="1">
      <c r="A80" s="1061" t="s">
        <v>213</v>
      </c>
      <c r="B80" s="1061"/>
      <c r="C80" s="1061"/>
      <c r="D80" s="1061"/>
      <c r="E80" s="1061"/>
      <c r="F80" s="1061"/>
      <c r="G80" s="1061"/>
      <c r="H80" s="1061"/>
      <c r="I80" s="1061"/>
      <c r="J80" s="1061"/>
      <c r="K80" s="1061"/>
      <c r="L80" s="1061"/>
      <c r="M80" s="1061"/>
      <c r="N80" s="1061"/>
      <c r="O80" s="1061"/>
      <c r="P80" s="1061"/>
      <c r="Q80" s="1061"/>
      <c r="R80" s="1061"/>
      <c r="S80" s="1061"/>
      <c r="T80" s="1061"/>
      <c r="U80" s="1061"/>
      <c r="V80" s="1061"/>
      <c r="W80" s="1061"/>
      <c r="X80" s="1061"/>
      <c r="Y80" s="1061"/>
      <c r="Z80" s="1061"/>
      <c r="AA80" s="1061"/>
      <c r="AB80" s="1061"/>
      <c r="AC80" s="1061"/>
      <c r="AD80" s="1061"/>
      <c r="AE80" s="1061"/>
      <c r="AF80" s="1061"/>
      <c r="AG80" s="1061"/>
      <c r="AH80" s="1061"/>
      <c r="AI80" s="1061"/>
      <c r="AJ80" s="1061"/>
      <c r="AK80" s="1061"/>
      <c r="AL80" s="1061"/>
      <c r="AM80" s="1061"/>
      <c r="AN80" s="1061"/>
      <c r="AO80" s="1061"/>
      <c r="AP80" s="1061"/>
      <c r="AQ80" s="1061"/>
      <c r="AR80" s="1061"/>
      <c r="AS80" s="1061"/>
      <c r="AT80" s="1061"/>
      <c r="AU80" s="1062"/>
      <c r="AV80" s="1063"/>
      <c r="AW80" s="805"/>
      <c r="AX80" s="1061"/>
    </row>
    <row r="81" spans="1:50" ht="15.6" hidden="1">
      <c r="A81" s="1563" t="s">
        <v>71</v>
      </c>
      <c r="B81" s="1063"/>
      <c r="C81" s="1063"/>
      <c r="D81" s="1063"/>
      <c r="E81" s="1063"/>
      <c r="F81" s="1063"/>
      <c r="G81" s="1063"/>
      <c r="H81" s="1063"/>
      <c r="I81" s="1063"/>
      <c r="J81" s="1063"/>
      <c r="K81" s="1063"/>
      <c r="L81" s="1063"/>
      <c r="M81" s="1063"/>
      <c r="N81" s="1063"/>
      <c r="O81" s="1063"/>
      <c r="P81" s="1063"/>
      <c r="Q81" s="1063"/>
      <c r="R81" s="1063"/>
      <c r="S81" s="1063"/>
      <c r="T81" s="1063"/>
      <c r="U81" s="1063"/>
      <c r="V81" s="1063"/>
      <c r="W81" s="1063"/>
      <c r="X81" s="1063"/>
      <c r="Y81" s="1063"/>
      <c r="Z81" s="1063"/>
      <c r="AA81" s="1063"/>
      <c r="AB81" s="1063"/>
      <c r="AC81" s="1063"/>
      <c r="AD81" s="1063"/>
      <c r="AE81" s="1063"/>
      <c r="AF81" s="1063"/>
      <c r="AG81" s="1063"/>
      <c r="AH81" s="1063"/>
      <c r="AI81" s="1063"/>
      <c r="AJ81" s="1063"/>
      <c r="AK81" s="1063"/>
      <c r="AL81" s="1063"/>
      <c r="AM81" s="1063"/>
      <c r="AN81" s="1063"/>
      <c r="AO81" s="1063"/>
      <c r="AP81" s="1063"/>
      <c r="AQ81" s="1063"/>
      <c r="AR81" s="1063"/>
      <c r="AS81" s="1063"/>
      <c r="AT81" s="1063"/>
      <c r="AU81" s="1063"/>
      <c r="AV81" s="1063"/>
      <c r="AW81" s="805"/>
      <c r="AX81" s="1061"/>
    </row>
    <row r="82" spans="1:50" hidden="1">
      <c r="A82" s="1061"/>
      <c r="B82" s="1061"/>
      <c r="C82" s="1061"/>
      <c r="D82" s="1061"/>
      <c r="E82" s="1061"/>
      <c r="F82" s="1061"/>
      <c r="G82" s="1061"/>
      <c r="H82" s="1061"/>
      <c r="I82" s="1061"/>
      <c r="J82" s="1061"/>
      <c r="K82" s="1061"/>
      <c r="L82" s="1061"/>
      <c r="M82" s="1061"/>
      <c r="N82" s="1061"/>
      <c r="O82" s="1061"/>
      <c r="P82" s="1061"/>
      <c r="Q82" s="1061"/>
      <c r="R82" s="1061"/>
      <c r="S82" s="1061"/>
      <c r="T82" s="1061"/>
      <c r="U82" s="1061"/>
      <c r="V82" s="1061"/>
      <c r="W82" s="1061"/>
      <c r="X82" s="1061"/>
      <c r="Y82" s="1061"/>
      <c r="Z82" s="1061"/>
      <c r="AA82" s="1061"/>
      <c r="AB82" s="1061"/>
      <c r="AC82" s="1061"/>
      <c r="AD82" s="1061"/>
      <c r="AE82" s="1061"/>
      <c r="AF82" s="1061"/>
      <c r="AG82" s="1061"/>
      <c r="AH82" s="1061"/>
      <c r="AI82" s="1061"/>
      <c r="AJ82" s="1061"/>
      <c r="AK82" s="1061"/>
      <c r="AL82" s="1061"/>
      <c r="AM82" s="1061"/>
      <c r="AN82" s="1061"/>
      <c r="AO82" s="1061"/>
      <c r="AP82" s="1061"/>
      <c r="AQ82" s="1061"/>
      <c r="AR82" s="1061"/>
      <c r="AS82" s="1061"/>
      <c r="AT82" s="1061"/>
      <c r="AU82" s="1062"/>
      <c r="AV82" s="1061"/>
      <c r="AX82" s="1061"/>
    </row>
    <row r="83" spans="1:50" ht="15.6" hidden="1">
      <c r="A83" s="1563" t="s">
        <v>169</v>
      </c>
      <c r="B83" s="1061"/>
      <c r="C83" s="1061"/>
      <c r="D83" s="1061"/>
      <c r="E83" s="1061"/>
      <c r="F83" s="1061"/>
      <c r="G83" s="1061"/>
      <c r="H83" s="1061"/>
      <c r="I83" s="1061"/>
      <c r="J83" s="1061"/>
      <c r="K83" s="1061"/>
      <c r="L83" s="1061"/>
      <c r="M83" s="1061"/>
      <c r="N83" s="1061"/>
      <c r="O83" s="1061"/>
      <c r="P83" s="1061"/>
      <c r="Q83" s="1061"/>
      <c r="R83" s="1061"/>
      <c r="S83" s="1061"/>
      <c r="T83" s="1061"/>
      <c r="U83" s="1061"/>
      <c r="V83" s="1061"/>
      <c r="W83" s="1061"/>
      <c r="X83" s="1061"/>
      <c r="Y83" s="1061"/>
      <c r="Z83" s="1061"/>
      <c r="AA83" s="1061"/>
      <c r="AB83" s="1061"/>
      <c r="AC83" s="1061"/>
      <c r="AD83" s="1061"/>
      <c r="AE83" s="1061"/>
      <c r="AF83" s="1061"/>
      <c r="AG83" s="1061"/>
      <c r="AH83" s="1061"/>
      <c r="AI83" s="1061"/>
      <c r="AJ83" s="1061"/>
      <c r="AK83" s="1061"/>
      <c r="AL83" s="1061"/>
      <c r="AM83" s="1061"/>
      <c r="AN83" s="1061"/>
      <c r="AO83" s="1061"/>
      <c r="AP83" s="1061"/>
      <c r="AQ83" s="1061"/>
      <c r="AR83" s="1061"/>
      <c r="AS83" s="1061"/>
      <c r="AT83" s="1061"/>
      <c r="AU83" s="1062"/>
      <c r="AV83" s="1061"/>
      <c r="AX83" s="1061"/>
    </row>
    <row r="84" spans="1:50" hidden="1">
      <c r="A84" s="1061" t="s">
        <v>127</v>
      </c>
      <c r="B84" s="1063"/>
      <c r="C84" s="1063"/>
      <c r="D84" s="1063"/>
      <c r="E84" s="1063"/>
      <c r="F84" s="1063"/>
      <c r="G84" s="1063"/>
      <c r="H84" s="1063"/>
      <c r="I84" s="1063"/>
      <c r="J84" s="1063"/>
      <c r="K84" s="1063"/>
      <c r="L84" s="1063"/>
      <c r="M84" s="1063"/>
      <c r="N84" s="1063"/>
      <c r="O84" s="1063"/>
      <c r="P84" s="1063"/>
      <c r="Q84" s="1063"/>
      <c r="R84" s="1063"/>
      <c r="S84" s="1063"/>
      <c r="T84" s="1063"/>
      <c r="U84" s="1063"/>
      <c r="V84" s="1063"/>
      <c r="W84" s="1063"/>
      <c r="X84" s="1063"/>
      <c r="Y84" s="1063"/>
      <c r="Z84" s="1063"/>
      <c r="AA84" s="1063"/>
      <c r="AB84" s="1063"/>
      <c r="AC84" s="1063"/>
      <c r="AD84" s="1063"/>
      <c r="AE84" s="1063"/>
      <c r="AF84" s="1063"/>
      <c r="AG84" s="1063"/>
      <c r="AH84" s="1063"/>
      <c r="AI84" s="1063"/>
      <c r="AJ84" s="1063"/>
      <c r="AK84" s="1063"/>
      <c r="AL84" s="1063"/>
      <c r="AM84" s="1063"/>
      <c r="AN84" s="1063"/>
      <c r="AO84" s="1063"/>
      <c r="AP84" s="1063"/>
      <c r="AQ84" s="1063"/>
      <c r="AR84" s="1063"/>
      <c r="AS84" s="1063"/>
      <c r="AT84" s="1063"/>
      <c r="AU84" s="1062"/>
      <c r="AV84" s="1061"/>
      <c r="AX84" s="1061"/>
    </row>
    <row r="85" spans="1:50" hidden="1">
      <c r="A85" s="1061" t="s">
        <v>186</v>
      </c>
      <c r="B85" s="1063"/>
      <c r="C85" s="1063"/>
      <c r="D85" s="1063"/>
      <c r="E85" s="1063"/>
      <c r="F85" s="1063"/>
      <c r="G85" s="1063"/>
      <c r="H85" s="1063"/>
      <c r="I85" s="1063"/>
      <c r="J85" s="1063"/>
      <c r="K85" s="1063"/>
      <c r="L85" s="1063"/>
      <c r="M85" s="1063"/>
      <c r="N85" s="1063"/>
      <c r="O85" s="1063"/>
      <c r="P85" s="1063"/>
      <c r="Q85" s="1063"/>
      <c r="R85" s="1063"/>
      <c r="S85" s="1063"/>
      <c r="T85" s="1063"/>
      <c r="U85" s="1063"/>
      <c r="V85" s="1063"/>
      <c r="W85" s="1063"/>
      <c r="X85" s="1063"/>
      <c r="Y85" s="1063"/>
      <c r="Z85" s="1063"/>
      <c r="AA85" s="1063"/>
      <c r="AB85" s="1063"/>
      <c r="AC85" s="1063"/>
      <c r="AD85" s="1063"/>
      <c r="AE85" s="1063"/>
      <c r="AF85" s="1063"/>
      <c r="AG85" s="1063"/>
      <c r="AH85" s="1063"/>
      <c r="AI85" s="1063"/>
      <c r="AJ85" s="1063"/>
      <c r="AK85" s="1063"/>
      <c r="AL85" s="1063"/>
      <c r="AM85" s="1063"/>
      <c r="AN85" s="1063"/>
      <c r="AO85" s="1063"/>
      <c r="AP85" s="1063"/>
      <c r="AQ85" s="1063"/>
      <c r="AR85" s="1063"/>
      <c r="AS85" s="1063"/>
      <c r="AT85" s="1063"/>
      <c r="AU85" s="1062"/>
      <c r="AV85" s="1061"/>
      <c r="AX85" s="1061"/>
    </row>
    <row r="86" spans="1:50" hidden="1">
      <c r="A86" s="1061" t="s">
        <v>189</v>
      </c>
      <c r="B86" s="1063"/>
      <c r="C86" s="1063"/>
      <c r="D86" s="1063"/>
      <c r="E86" s="1063"/>
      <c r="F86" s="1063"/>
      <c r="G86" s="1063"/>
      <c r="H86" s="1063"/>
      <c r="I86" s="1063"/>
      <c r="J86" s="1063"/>
      <c r="K86" s="1063"/>
      <c r="L86" s="1063"/>
      <c r="M86" s="1063"/>
      <c r="N86" s="1063"/>
      <c r="O86" s="1063"/>
      <c r="P86" s="1063"/>
      <c r="Q86" s="1063"/>
      <c r="R86" s="1063"/>
      <c r="S86" s="1063"/>
      <c r="T86" s="1063"/>
      <c r="U86" s="1063"/>
      <c r="V86" s="1063"/>
      <c r="W86" s="1063"/>
      <c r="X86" s="1063"/>
      <c r="Y86" s="1063"/>
      <c r="Z86" s="1063"/>
      <c r="AA86" s="1063"/>
      <c r="AB86" s="1063"/>
      <c r="AC86" s="1063"/>
      <c r="AD86" s="1063"/>
      <c r="AE86" s="1063"/>
      <c r="AF86" s="1063"/>
      <c r="AG86" s="1063"/>
      <c r="AH86" s="1063"/>
      <c r="AI86" s="1063"/>
      <c r="AJ86" s="1063"/>
      <c r="AK86" s="1063"/>
      <c r="AL86" s="1063"/>
      <c r="AM86" s="1063"/>
      <c r="AN86" s="1063"/>
      <c r="AO86" s="1063"/>
      <c r="AP86" s="1063"/>
      <c r="AQ86" s="1063"/>
      <c r="AR86" s="1063"/>
      <c r="AS86" s="1063"/>
      <c r="AT86" s="1063"/>
      <c r="AU86" s="1062"/>
      <c r="AV86" s="1061"/>
      <c r="AX86" s="1061"/>
    </row>
    <row r="87" spans="1:50" hidden="1">
      <c r="A87" s="1061" t="s">
        <v>213</v>
      </c>
      <c r="B87" s="1063"/>
      <c r="C87" s="1063"/>
      <c r="D87" s="1063"/>
      <c r="E87" s="1063"/>
      <c r="F87" s="1063"/>
      <c r="G87" s="1063"/>
      <c r="H87" s="1063"/>
      <c r="I87" s="1063"/>
      <c r="J87" s="1063"/>
      <c r="K87" s="1063"/>
      <c r="L87" s="1063"/>
      <c r="M87" s="1063"/>
      <c r="N87" s="1063"/>
      <c r="O87" s="1063"/>
      <c r="P87" s="1063"/>
      <c r="Q87" s="1063"/>
      <c r="R87" s="1063"/>
      <c r="S87" s="1063"/>
      <c r="T87" s="1063"/>
      <c r="U87" s="1063"/>
      <c r="V87" s="1063"/>
      <c r="W87" s="1063"/>
      <c r="X87" s="1063"/>
      <c r="Y87" s="1063"/>
      <c r="Z87" s="1063"/>
      <c r="AA87" s="1063"/>
      <c r="AB87" s="1063"/>
      <c r="AC87" s="1063"/>
      <c r="AD87" s="1063"/>
      <c r="AE87" s="1063"/>
      <c r="AF87" s="1063"/>
      <c r="AG87" s="1063"/>
      <c r="AH87" s="1063"/>
      <c r="AI87" s="1063"/>
      <c r="AJ87" s="1063"/>
      <c r="AK87" s="1063"/>
      <c r="AL87" s="1063"/>
      <c r="AM87" s="1063"/>
      <c r="AN87" s="1063"/>
      <c r="AO87" s="1063"/>
      <c r="AP87" s="1063"/>
      <c r="AQ87" s="1063"/>
      <c r="AR87" s="1063"/>
      <c r="AS87" s="1063"/>
      <c r="AT87" s="1063"/>
      <c r="AU87" s="1062"/>
      <c r="AV87" s="1061"/>
      <c r="AX87" s="1061"/>
    </row>
    <row r="88" spans="1:50" hidden="1">
      <c r="A88" s="1061" t="s">
        <v>71</v>
      </c>
      <c r="B88" s="1064"/>
      <c r="C88" s="1064"/>
      <c r="D88" s="1064"/>
      <c r="E88" s="1064"/>
      <c r="F88" s="1064"/>
      <c r="G88" s="1064"/>
      <c r="H88" s="1064"/>
      <c r="I88" s="1064"/>
      <c r="J88" s="1064"/>
      <c r="K88" s="1064"/>
      <c r="L88" s="1064"/>
      <c r="M88" s="1064"/>
      <c r="N88" s="1064"/>
      <c r="O88" s="1064"/>
      <c r="P88" s="1064"/>
      <c r="Q88" s="1064"/>
      <c r="R88" s="1064"/>
      <c r="S88" s="1064"/>
      <c r="T88" s="1064"/>
      <c r="U88" s="1064"/>
      <c r="V88" s="1064"/>
      <c r="W88" s="1064"/>
      <c r="X88" s="1064"/>
      <c r="Y88" s="1064"/>
      <c r="Z88" s="1064"/>
      <c r="AA88" s="1064"/>
      <c r="AB88" s="1064"/>
      <c r="AC88" s="1064"/>
      <c r="AD88" s="1064"/>
      <c r="AE88" s="1064"/>
      <c r="AF88" s="1064"/>
      <c r="AG88" s="1064"/>
      <c r="AH88" s="1064"/>
      <c r="AI88" s="1064"/>
      <c r="AJ88" s="1064"/>
      <c r="AK88" s="1064"/>
      <c r="AL88" s="1064"/>
      <c r="AM88" s="1064"/>
      <c r="AN88" s="1064"/>
      <c r="AO88" s="1064"/>
      <c r="AP88" s="1064"/>
      <c r="AQ88" s="1064"/>
      <c r="AR88" s="1064"/>
      <c r="AS88" s="1064"/>
      <c r="AT88" s="1064"/>
      <c r="AU88" s="1062"/>
      <c r="AV88" s="1061"/>
      <c r="AX88" s="1061"/>
    </row>
    <row r="89" spans="1:50" hidden="1">
      <c r="A89" s="1061"/>
      <c r="B89" s="1061"/>
      <c r="C89" s="1061"/>
      <c r="D89" s="1061"/>
      <c r="E89" s="1061"/>
      <c r="F89" s="1061"/>
      <c r="G89" s="1061"/>
      <c r="H89" s="1061"/>
      <c r="I89" s="1061"/>
      <c r="J89" s="1061"/>
      <c r="K89" s="1061"/>
      <c r="L89" s="1061"/>
      <c r="M89" s="1061"/>
      <c r="N89" s="1061"/>
      <c r="O89" s="1061"/>
      <c r="P89" s="1061"/>
      <c r="Q89" s="1061"/>
      <c r="R89" s="1061"/>
      <c r="S89" s="1061"/>
      <c r="T89" s="1061"/>
      <c r="U89" s="1061"/>
      <c r="V89" s="1061"/>
      <c r="W89" s="1061"/>
      <c r="X89" s="1061"/>
      <c r="Y89" s="1061"/>
      <c r="Z89" s="1061"/>
      <c r="AA89" s="1061"/>
      <c r="AB89" s="1061"/>
      <c r="AC89" s="1061"/>
      <c r="AD89" s="1061"/>
      <c r="AE89" s="1061"/>
      <c r="AF89" s="1061"/>
      <c r="AG89" s="1061"/>
      <c r="AH89" s="1061"/>
      <c r="AI89" s="1061"/>
      <c r="AJ89" s="1061"/>
      <c r="AK89" s="1061"/>
      <c r="AL89" s="1061"/>
      <c r="AM89" s="1061"/>
      <c r="AN89" s="1061"/>
      <c r="AO89" s="1061"/>
      <c r="AP89" s="1061"/>
      <c r="AQ89" s="1061"/>
      <c r="AR89" s="1061"/>
      <c r="AS89" s="1061"/>
      <c r="AT89" s="1061"/>
      <c r="AU89" s="1062"/>
      <c r="AV89" s="1061"/>
      <c r="AX89" s="1061"/>
    </row>
    <row r="90" spans="1:50" ht="15.6" hidden="1">
      <c r="A90" s="1563" t="s">
        <v>1837</v>
      </c>
      <c r="B90" s="1061"/>
      <c r="C90" s="1061"/>
      <c r="D90" s="1061"/>
      <c r="E90" s="1061"/>
      <c r="F90" s="1061"/>
      <c r="G90" s="1061"/>
      <c r="H90" s="1061"/>
      <c r="I90" s="1061"/>
      <c r="J90" s="1061"/>
      <c r="K90" s="1061"/>
      <c r="L90" s="1061"/>
      <c r="M90" s="1061"/>
      <c r="N90" s="1061"/>
      <c r="O90" s="1061"/>
      <c r="P90" s="1061"/>
      <c r="Q90" s="1061"/>
      <c r="R90" s="1061"/>
      <c r="S90" s="1061"/>
      <c r="T90" s="1061"/>
      <c r="U90" s="1061"/>
      <c r="V90" s="1061"/>
      <c r="W90" s="1061"/>
      <c r="X90" s="1061"/>
      <c r="Y90" s="1061"/>
      <c r="Z90" s="1061"/>
      <c r="AA90" s="1061"/>
      <c r="AB90" s="1061"/>
      <c r="AC90" s="1061"/>
      <c r="AD90" s="1061"/>
      <c r="AE90" s="1061"/>
      <c r="AF90" s="1061"/>
      <c r="AG90" s="1061"/>
      <c r="AH90" s="1061"/>
      <c r="AI90" s="1061"/>
      <c r="AJ90" s="1061"/>
      <c r="AK90" s="1061"/>
      <c r="AL90" s="1061"/>
      <c r="AM90" s="1061"/>
      <c r="AN90" s="1061"/>
      <c r="AO90" s="1061"/>
      <c r="AP90" s="1061"/>
      <c r="AQ90" s="1061"/>
      <c r="AR90" s="1061"/>
      <c r="AS90" s="1061"/>
      <c r="AT90" s="1061"/>
      <c r="AU90" s="1062"/>
      <c r="AV90" s="1061"/>
      <c r="AX90" s="1061"/>
    </row>
    <row r="91" spans="1:50" hidden="1">
      <c r="A91" s="1061" t="s">
        <v>127</v>
      </c>
      <c r="B91" s="1063"/>
      <c r="C91" s="1063"/>
      <c r="D91" s="1063"/>
      <c r="E91" s="1063"/>
      <c r="F91" s="1063"/>
      <c r="G91" s="1063"/>
      <c r="H91" s="1063"/>
      <c r="I91" s="1063"/>
      <c r="J91" s="1063"/>
      <c r="K91" s="1063"/>
      <c r="L91" s="1063"/>
      <c r="M91" s="1063"/>
      <c r="N91" s="1063"/>
      <c r="O91" s="1063"/>
      <c r="P91" s="1063"/>
      <c r="Q91" s="1063"/>
      <c r="R91" s="1063"/>
      <c r="S91" s="1063"/>
      <c r="T91" s="1063"/>
      <c r="U91" s="1063"/>
      <c r="V91" s="1063"/>
      <c r="W91" s="1063"/>
      <c r="X91" s="1063"/>
      <c r="Y91" s="1063"/>
      <c r="Z91" s="1063"/>
      <c r="AA91" s="1063"/>
      <c r="AB91" s="1063"/>
      <c r="AC91" s="1063"/>
      <c r="AD91" s="1063"/>
      <c r="AE91" s="1063"/>
      <c r="AF91" s="1063"/>
      <c r="AG91" s="1063"/>
      <c r="AH91" s="1063"/>
      <c r="AI91" s="1063"/>
      <c r="AJ91" s="1063"/>
      <c r="AK91" s="1063"/>
      <c r="AL91" s="1063"/>
      <c r="AM91" s="1063"/>
      <c r="AN91" s="1063"/>
      <c r="AO91" s="1063"/>
      <c r="AP91" s="1063"/>
      <c r="AQ91" s="1063"/>
      <c r="AR91" s="1063"/>
      <c r="AS91" s="1063"/>
      <c r="AT91" s="1063"/>
      <c r="AU91" s="1062"/>
      <c r="AV91" s="1564"/>
      <c r="AX91" s="1061"/>
    </row>
    <row r="92" spans="1:50" hidden="1">
      <c r="A92" s="1061" t="s">
        <v>186</v>
      </c>
      <c r="B92" s="1063"/>
      <c r="C92" s="1063"/>
      <c r="D92" s="1063"/>
      <c r="E92" s="1063"/>
      <c r="F92" s="1063"/>
      <c r="G92" s="1063"/>
      <c r="H92" s="1063"/>
      <c r="I92" s="1063"/>
      <c r="J92" s="1063"/>
      <c r="K92" s="1063"/>
      <c r="L92" s="1063"/>
      <c r="M92" s="1063"/>
      <c r="N92" s="1063"/>
      <c r="O92" s="1063"/>
      <c r="P92" s="1063"/>
      <c r="Q92" s="1063"/>
      <c r="R92" s="1063"/>
      <c r="S92" s="1063"/>
      <c r="T92" s="1063"/>
      <c r="U92" s="1063"/>
      <c r="V92" s="1063"/>
      <c r="W92" s="1063"/>
      <c r="X92" s="1063"/>
      <c r="Y92" s="1063"/>
      <c r="Z92" s="1063"/>
      <c r="AA92" s="1063"/>
      <c r="AB92" s="1063"/>
      <c r="AC92" s="1063"/>
      <c r="AD92" s="1063"/>
      <c r="AE92" s="1063"/>
      <c r="AF92" s="1063"/>
      <c r="AG92" s="1063"/>
      <c r="AH92" s="1063"/>
      <c r="AI92" s="1063"/>
      <c r="AJ92" s="1063"/>
      <c r="AK92" s="1063"/>
      <c r="AL92" s="1063"/>
      <c r="AM92" s="1063"/>
      <c r="AN92" s="1063"/>
      <c r="AO92" s="1063"/>
      <c r="AP92" s="1063"/>
      <c r="AQ92" s="1063"/>
      <c r="AR92" s="1063"/>
      <c r="AS92" s="1063"/>
      <c r="AT92" s="1063"/>
      <c r="AU92" s="1062"/>
      <c r="AV92" s="1064"/>
      <c r="AX92" s="1061"/>
    </row>
    <row r="93" spans="1:50" hidden="1">
      <c r="A93" s="1061" t="s">
        <v>189</v>
      </c>
      <c r="B93" s="1063"/>
      <c r="C93" s="1063"/>
      <c r="D93" s="1063"/>
      <c r="E93" s="1063"/>
      <c r="F93" s="1063"/>
      <c r="G93" s="1063"/>
      <c r="H93" s="1063"/>
      <c r="I93" s="1063"/>
      <c r="J93" s="1063"/>
      <c r="K93" s="1063"/>
      <c r="L93" s="1063"/>
      <c r="M93" s="1063"/>
      <c r="N93" s="1063"/>
      <c r="O93" s="1063"/>
      <c r="P93" s="1063"/>
      <c r="Q93" s="1063"/>
      <c r="R93" s="1063"/>
      <c r="S93" s="1063"/>
      <c r="T93" s="1063"/>
      <c r="U93" s="1063"/>
      <c r="V93" s="1063"/>
      <c r="W93" s="1063"/>
      <c r="X93" s="1063"/>
      <c r="Y93" s="1063"/>
      <c r="Z93" s="1063"/>
      <c r="AA93" s="1063"/>
      <c r="AB93" s="1063"/>
      <c r="AC93" s="1063"/>
      <c r="AD93" s="1063"/>
      <c r="AE93" s="1063"/>
      <c r="AF93" s="1063"/>
      <c r="AG93" s="1063"/>
      <c r="AH93" s="1063"/>
      <c r="AI93" s="1063"/>
      <c r="AJ93" s="1063"/>
      <c r="AK93" s="1063"/>
      <c r="AL93" s="1063"/>
      <c r="AM93" s="1063"/>
      <c r="AN93" s="1063"/>
      <c r="AO93" s="1063"/>
      <c r="AP93" s="1063"/>
      <c r="AQ93" s="1063"/>
      <c r="AR93" s="1063"/>
      <c r="AS93" s="1063"/>
      <c r="AT93" s="1063"/>
      <c r="AU93" s="1062"/>
      <c r="AV93" s="1064"/>
      <c r="AX93" s="1061"/>
    </row>
    <row r="94" spans="1:50" hidden="1">
      <c r="A94" s="1061" t="s">
        <v>213</v>
      </c>
      <c r="B94" s="1063"/>
      <c r="C94" s="1063"/>
      <c r="D94" s="1063"/>
      <c r="E94" s="1063"/>
      <c r="F94" s="1063"/>
      <c r="G94" s="1063"/>
      <c r="H94" s="1063"/>
      <c r="I94" s="1063"/>
      <c r="J94" s="1063"/>
      <c r="K94" s="1063"/>
      <c r="L94" s="1063"/>
      <c r="M94" s="1063"/>
      <c r="N94" s="1063"/>
      <c r="O94" s="1063"/>
      <c r="P94" s="1063"/>
      <c r="Q94" s="1063"/>
      <c r="R94" s="1063"/>
      <c r="S94" s="1063"/>
      <c r="T94" s="1063"/>
      <c r="U94" s="1063"/>
      <c r="V94" s="1063"/>
      <c r="W94" s="1063"/>
      <c r="X94" s="1063"/>
      <c r="Y94" s="1063"/>
      <c r="Z94" s="1063"/>
      <c r="AA94" s="1063"/>
      <c r="AB94" s="1063"/>
      <c r="AC94" s="1063"/>
      <c r="AD94" s="1063"/>
      <c r="AE94" s="1063"/>
      <c r="AF94" s="1063"/>
      <c r="AG94" s="1063"/>
      <c r="AH94" s="1063"/>
      <c r="AI94" s="1063"/>
      <c r="AJ94" s="1063"/>
      <c r="AK94" s="1063"/>
      <c r="AL94" s="1063"/>
      <c r="AM94" s="1063"/>
      <c r="AN94" s="1063"/>
      <c r="AO94" s="1063"/>
      <c r="AP94" s="1063"/>
      <c r="AQ94" s="1063"/>
      <c r="AR94" s="1063"/>
      <c r="AS94" s="1063"/>
      <c r="AT94" s="1063"/>
      <c r="AU94" s="1062"/>
      <c r="AV94" s="1064"/>
      <c r="AX94" s="1061"/>
    </row>
    <row r="95" spans="1:50" ht="15.6" hidden="1">
      <c r="A95" s="1563" t="s">
        <v>71</v>
      </c>
      <c r="B95" s="1064"/>
      <c r="C95" s="1064"/>
      <c r="D95" s="1064"/>
      <c r="E95" s="1064"/>
      <c r="F95" s="1064"/>
      <c r="G95" s="1064"/>
      <c r="H95" s="1064"/>
      <c r="I95" s="1064"/>
      <c r="J95" s="1064"/>
      <c r="K95" s="1064"/>
      <c r="L95" s="1064"/>
      <c r="M95" s="1064"/>
      <c r="N95" s="1064"/>
      <c r="O95" s="1064"/>
      <c r="P95" s="1064"/>
      <c r="Q95" s="1064"/>
      <c r="R95" s="1064"/>
      <c r="S95" s="1064"/>
      <c r="T95" s="1064"/>
      <c r="U95" s="1064"/>
      <c r="V95" s="1064"/>
      <c r="W95" s="1064"/>
      <c r="X95" s="1064"/>
      <c r="Y95" s="1064"/>
      <c r="Z95" s="1064"/>
      <c r="AA95" s="1064"/>
      <c r="AB95" s="1064"/>
      <c r="AC95" s="1064"/>
      <c r="AD95" s="1064"/>
      <c r="AE95" s="1064"/>
      <c r="AF95" s="1064"/>
      <c r="AG95" s="1064"/>
      <c r="AH95" s="1064"/>
      <c r="AI95" s="1064"/>
      <c r="AJ95" s="1064"/>
      <c r="AK95" s="1064"/>
      <c r="AL95" s="1064"/>
      <c r="AM95" s="1064"/>
      <c r="AN95" s="1064"/>
      <c r="AO95" s="1064"/>
      <c r="AP95" s="1064"/>
      <c r="AQ95" s="1064"/>
      <c r="AR95" s="1064"/>
      <c r="AS95" s="1064"/>
      <c r="AT95" s="1064"/>
      <c r="AU95" s="1062"/>
      <c r="AV95" s="1061"/>
      <c r="AX95" s="1061"/>
    </row>
    <row r="96" spans="1:50" hidden="1">
      <c r="A96" s="1061"/>
      <c r="B96" s="1061"/>
      <c r="C96" s="1061"/>
      <c r="D96" s="1061"/>
      <c r="E96" s="1061"/>
      <c r="F96" s="1061"/>
      <c r="G96" s="1061"/>
      <c r="H96" s="1061"/>
      <c r="I96" s="1061"/>
      <c r="J96" s="1061"/>
      <c r="K96" s="1061"/>
      <c r="L96" s="1061"/>
      <c r="M96" s="1061"/>
      <c r="N96" s="1061"/>
      <c r="O96" s="1061"/>
      <c r="P96" s="1061"/>
      <c r="Q96" s="1061"/>
      <c r="R96" s="1061"/>
      <c r="S96" s="1061"/>
      <c r="T96" s="1061"/>
      <c r="U96" s="1061"/>
      <c r="V96" s="1061"/>
      <c r="W96" s="1061"/>
      <c r="X96" s="1061"/>
      <c r="Y96" s="1061"/>
      <c r="Z96" s="1061"/>
      <c r="AA96" s="1061"/>
      <c r="AB96" s="1061"/>
      <c r="AC96" s="1061"/>
      <c r="AD96" s="1061"/>
      <c r="AE96" s="1061"/>
      <c r="AF96" s="1061"/>
      <c r="AG96" s="1061"/>
      <c r="AH96" s="1061"/>
      <c r="AI96" s="1061"/>
      <c r="AJ96" s="1061"/>
      <c r="AK96" s="1061"/>
      <c r="AL96" s="1061"/>
      <c r="AM96" s="1061"/>
      <c r="AN96" s="1061"/>
      <c r="AO96" s="1061"/>
      <c r="AP96" s="1061"/>
      <c r="AQ96" s="1061"/>
      <c r="AR96" s="1061"/>
      <c r="AS96" s="1061"/>
      <c r="AT96" s="1061"/>
      <c r="AU96" s="1062"/>
      <c r="AV96" s="1061"/>
      <c r="AX96" s="1061"/>
    </row>
    <row r="97" spans="1:53" ht="15.6" hidden="1">
      <c r="A97" s="1563" t="s">
        <v>199</v>
      </c>
      <c r="B97" s="1061"/>
      <c r="C97" s="1061"/>
      <c r="D97" s="1061"/>
      <c r="E97" s="1061"/>
      <c r="F97" s="1061"/>
      <c r="G97" s="1061"/>
      <c r="H97" s="1061"/>
      <c r="I97" s="1061"/>
      <c r="J97" s="1061"/>
      <c r="K97" s="1061"/>
      <c r="L97" s="1061"/>
      <c r="M97" s="1061"/>
      <c r="N97" s="1061"/>
      <c r="O97" s="1061"/>
      <c r="P97" s="1061"/>
      <c r="Q97" s="1061"/>
      <c r="R97" s="1061"/>
      <c r="S97" s="1061"/>
      <c r="T97" s="1061"/>
      <c r="U97" s="1061"/>
      <c r="V97" s="1061"/>
      <c r="W97" s="1061"/>
      <c r="X97" s="1061"/>
      <c r="Y97" s="1061"/>
      <c r="Z97" s="1061"/>
      <c r="AA97" s="1061"/>
      <c r="AB97" s="1061"/>
      <c r="AC97" s="1061"/>
      <c r="AD97" s="1061"/>
      <c r="AE97" s="1061"/>
      <c r="AF97" s="1061"/>
      <c r="AG97" s="1061"/>
      <c r="AH97" s="1061"/>
      <c r="AI97" s="1061"/>
      <c r="AJ97" s="1061"/>
      <c r="AK97" s="1061"/>
      <c r="AL97" s="1061"/>
      <c r="AM97" s="1061"/>
      <c r="AN97" s="1061"/>
      <c r="AO97" s="1061"/>
      <c r="AP97" s="1061"/>
      <c r="AQ97" s="1061"/>
      <c r="AR97" s="1061"/>
      <c r="AS97" s="1061"/>
      <c r="AT97" s="1061"/>
      <c r="AU97" s="1062"/>
      <c r="AV97" s="1061"/>
      <c r="AX97" s="1061"/>
    </row>
    <row r="98" spans="1:53" hidden="1">
      <c r="A98" s="1061" t="s">
        <v>127</v>
      </c>
      <c r="B98" s="1064"/>
      <c r="C98" s="1064"/>
      <c r="D98" s="1064"/>
      <c r="E98" s="1064"/>
      <c r="F98" s="1064"/>
      <c r="G98" s="1064"/>
      <c r="H98" s="1064"/>
      <c r="I98" s="1064"/>
      <c r="J98" s="1064"/>
      <c r="K98" s="1064"/>
      <c r="L98" s="1064"/>
      <c r="M98" s="1064"/>
      <c r="N98" s="1064"/>
      <c r="O98" s="1064"/>
      <c r="P98" s="1064"/>
      <c r="Q98" s="1064"/>
      <c r="R98" s="1064"/>
      <c r="S98" s="1064"/>
      <c r="T98" s="1064"/>
      <c r="U98" s="1064"/>
      <c r="V98" s="1064"/>
      <c r="W98" s="1064"/>
      <c r="X98" s="1064"/>
      <c r="Y98" s="1064"/>
      <c r="Z98" s="1064"/>
      <c r="AA98" s="1064"/>
      <c r="AB98" s="1064"/>
      <c r="AC98" s="1064"/>
      <c r="AD98" s="1064"/>
      <c r="AE98" s="1064"/>
      <c r="AF98" s="1064"/>
      <c r="AG98" s="1064"/>
      <c r="AH98" s="1064"/>
      <c r="AI98" s="1064"/>
      <c r="AJ98" s="1064"/>
      <c r="AK98" s="1064"/>
      <c r="AL98" s="1064"/>
      <c r="AM98" s="1064"/>
      <c r="AN98" s="1064"/>
      <c r="AO98" s="1064"/>
      <c r="AP98" s="1064"/>
      <c r="AQ98" s="1064"/>
      <c r="AR98" s="1064"/>
      <c r="AS98" s="1064"/>
      <c r="AT98" s="1064"/>
      <c r="AU98" s="1062"/>
      <c r="AV98" s="1061"/>
      <c r="AX98" s="1061"/>
    </row>
    <row r="99" spans="1:53" hidden="1">
      <c r="A99" s="1061" t="s">
        <v>186</v>
      </c>
      <c r="B99" s="1064"/>
      <c r="C99" s="1064"/>
      <c r="D99" s="1064"/>
      <c r="E99" s="1064"/>
      <c r="F99" s="1064"/>
      <c r="G99" s="1064"/>
      <c r="H99" s="1064"/>
      <c r="I99" s="1064"/>
      <c r="J99" s="1064"/>
      <c r="K99" s="1064"/>
      <c r="L99" s="1064"/>
      <c r="M99" s="1064"/>
      <c r="N99" s="1064"/>
      <c r="O99" s="1064"/>
      <c r="P99" s="1064"/>
      <c r="Q99" s="1064"/>
      <c r="R99" s="1064"/>
      <c r="S99" s="1064"/>
      <c r="T99" s="1064"/>
      <c r="U99" s="1064"/>
      <c r="V99" s="1064"/>
      <c r="W99" s="1064"/>
      <c r="X99" s="1064"/>
      <c r="Y99" s="1064"/>
      <c r="Z99" s="1064"/>
      <c r="AA99" s="1064"/>
      <c r="AB99" s="1064"/>
      <c r="AC99" s="1064"/>
      <c r="AD99" s="1064"/>
      <c r="AE99" s="1064"/>
      <c r="AF99" s="1064"/>
      <c r="AG99" s="1064"/>
      <c r="AH99" s="1064"/>
      <c r="AI99" s="1064"/>
      <c r="AJ99" s="1064"/>
      <c r="AK99" s="1064"/>
      <c r="AL99" s="1064"/>
      <c r="AM99" s="1064"/>
      <c r="AN99" s="1064"/>
      <c r="AO99" s="1064"/>
      <c r="AP99" s="1064"/>
      <c r="AQ99" s="1064"/>
      <c r="AR99" s="1064"/>
      <c r="AS99" s="1064"/>
      <c r="AT99" s="1064"/>
      <c r="AU99" s="1062"/>
      <c r="AV99" s="1061"/>
      <c r="AX99" s="1061"/>
    </row>
    <row r="100" spans="1:53" hidden="1">
      <c r="A100" s="1061" t="s">
        <v>189</v>
      </c>
      <c r="B100" s="1064"/>
      <c r="C100" s="1064"/>
      <c r="D100" s="1064"/>
      <c r="E100" s="1064"/>
      <c r="F100" s="1064"/>
      <c r="G100" s="1064"/>
      <c r="H100" s="1064"/>
      <c r="I100" s="1064"/>
      <c r="J100" s="1064"/>
      <c r="K100" s="1064"/>
      <c r="L100" s="1064"/>
      <c r="M100" s="1064"/>
      <c r="N100" s="1064"/>
      <c r="O100" s="1064"/>
      <c r="P100" s="1064"/>
      <c r="Q100" s="1064"/>
      <c r="R100" s="1064"/>
      <c r="S100" s="1064"/>
      <c r="T100" s="1064"/>
      <c r="U100" s="1064"/>
      <c r="V100" s="1064"/>
      <c r="W100" s="1064"/>
      <c r="X100" s="1064"/>
      <c r="Y100" s="1064"/>
      <c r="Z100" s="1064"/>
      <c r="AA100" s="1064"/>
      <c r="AB100" s="1064"/>
      <c r="AC100" s="1064"/>
      <c r="AD100" s="1064"/>
      <c r="AE100" s="1064"/>
      <c r="AF100" s="1064"/>
      <c r="AG100" s="1064"/>
      <c r="AH100" s="1064"/>
      <c r="AI100" s="1064"/>
      <c r="AJ100" s="1064"/>
      <c r="AK100" s="1064"/>
      <c r="AL100" s="1064"/>
      <c r="AM100" s="1064"/>
      <c r="AN100" s="1064"/>
      <c r="AO100" s="1064"/>
      <c r="AP100" s="1064"/>
      <c r="AQ100" s="1064"/>
      <c r="AR100" s="1064"/>
      <c r="AS100" s="1064"/>
      <c r="AT100" s="1064"/>
      <c r="AU100" s="1062"/>
      <c r="AV100" s="1061"/>
      <c r="AX100" s="1061"/>
    </row>
    <row r="101" spans="1:53" hidden="1">
      <c r="A101" s="1061" t="s">
        <v>213</v>
      </c>
      <c r="B101" s="1064"/>
      <c r="C101" s="1064"/>
      <c r="D101" s="1064"/>
      <c r="E101" s="1064"/>
      <c r="F101" s="1064"/>
      <c r="G101" s="1064"/>
      <c r="H101" s="1064"/>
      <c r="I101" s="1064"/>
      <c r="J101" s="1064"/>
      <c r="K101" s="1064"/>
      <c r="L101" s="1064"/>
      <c r="M101" s="1064"/>
      <c r="N101" s="1064"/>
      <c r="O101" s="1064"/>
      <c r="P101" s="1064"/>
      <c r="Q101" s="1064"/>
      <c r="R101" s="1064"/>
      <c r="S101" s="1064"/>
      <c r="T101" s="1064"/>
      <c r="U101" s="1064"/>
      <c r="V101" s="1064"/>
      <c r="W101" s="1064"/>
      <c r="X101" s="1064"/>
      <c r="Y101" s="1064"/>
      <c r="Z101" s="1064"/>
      <c r="AA101" s="1064"/>
      <c r="AB101" s="1064"/>
      <c r="AC101" s="1064"/>
      <c r="AD101" s="1064"/>
      <c r="AE101" s="1064"/>
      <c r="AF101" s="1064"/>
      <c r="AG101" s="1064"/>
      <c r="AH101" s="1064"/>
      <c r="AI101" s="1064"/>
      <c r="AJ101" s="1064"/>
      <c r="AK101" s="1064"/>
      <c r="AL101" s="1064"/>
      <c r="AM101" s="1064"/>
      <c r="AN101" s="1064"/>
      <c r="AO101" s="1064"/>
      <c r="AP101" s="1064"/>
      <c r="AQ101" s="1064"/>
      <c r="AR101" s="1064"/>
      <c r="AS101" s="1064"/>
      <c r="AT101" s="1064"/>
      <c r="AU101" s="1062"/>
      <c r="AV101" s="1061"/>
      <c r="AX101" s="1061"/>
    </row>
    <row r="102" spans="1:53" s="1559" customFormat="1" ht="15.6" hidden="1">
      <c r="A102" s="1563" t="s">
        <v>71</v>
      </c>
      <c r="B102" s="1565"/>
      <c r="C102" s="1565"/>
      <c r="D102" s="1565"/>
      <c r="E102" s="1565"/>
      <c r="F102" s="1565"/>
      <c r="G102" s="1565"/>
      <c r="H102" s="1565"/>
      <c r="I102" s="1565"/>
      <c r="J102" s="1565"/>
      <c r="K102" s="1565"/>
      <c r="L102" s="1565"/>
      <c r="M102" s="1565"/>
      <c r="N102" s="1565"/>
      <c r="O102" s="1565"/>
      <c r="P102" s="1565"/>
      <c r="Q102" s="1565"/>
      <c r="R102" s="1565"/>
      <c r="S102" s="1565"/>
      <c r="T102" s="1565"/>
      <c r="U102" s="1565"/>
      <c r="V102" s="1565"/>
      <c r="W102" s="1565"/>
      <c r="X102" s="1565"/>
      <c r="Y102" s="1565"/>
      <c r="Z102" s="1565"/>
      <c r="AA102" s="1565"/>
      <c r="AB102" s="1565"/>
      <c r="AC102" s="1565"/>
      <c r="AD102" s="1565"/>
      <c r="AE102" s="1565"/>
      <c r="AF102" s="1565"/>
      <c r="AG102" s="1565"/>
      <c r="AH102" s="1565"/>
      <c r="AI102" s="1565"/>
      <c r="AJ102" s="1565"/>
      <c r="AK102" s="1565"/>
      <c r="AL102" s="1565"/>
      <c r="AM102" s="1565"/>
      <c r="AN102" s="1565"/>
      <c r="AO102" s="1565"/>
      <c r="AP102" s="1565"/>
      <c r="AQ102" s="1565"/>
      <c r="AR102" s="1565"/>
      <c r="AS102" s="1565"/>
      <c r="AT102" s="1565"/>
      <c r="AU102" s="1566"/>
      <c r="AV102" s="1563"/>
      <c r="AX102" s="1563"/>
    </row>
    <row r="103" spans="1:53" ht="15.6" hidden="1">
      <c r="A103" s="1563"/>
      <c r="B103" s="1064"/>
      <c r="C103" s="1064"/>
      <c r="D103" s="1064"/>
      <c r="E103" s="1064"/>
      <c r="F103" s="1064"/>
      <c r="G103" s="1064"/>
      <c r="H103" s="1064"/>
      <c r="I103" s="1064"/>
      <c r="J103" s="1064"/>
      <c r="K103" s="1064"/>
      <c r="L103" s="1064"/>
      <c r="M103" s="1064"/>
      <c r="N103" s="1064"/>
      <c r="O103" s="1064"/>
      <c r="P103" s="1064"/>
      <c r="Q103" s="1064"/>
      <c r="R103" s="1064"/>
      <c r="S103" s="1064"/>
      <c r="T103" s="1064"/>
      <c r="U103" s="1064"/>
      <c r="V103" s="1064"/>
      <c r="W103" s="1064"/>
      <c r="X103" s="1064"/>
      <c r="Y103" s="1064"/>
      <c r="Z103" s="1064"/>
      <c r="AA103" s="1064"/>
      <c r="AB103" s="1064"/>
      <c r="AC103" s="1064"/>
      <c r="AD103" s="1064"/>
      <c r="AE103" s="1064"/>
      <c r="AF103" s="1064"/>
      <c r="AG103" s="1064"/>
      <c r="AH103" s="1064"/>
      <c r="AI103" s="1064"/>
      <c r="AJ103" s="1064"/>
      <c r="AK103" s="1064"/>
      <c r="AL103" s="1064"/>
      <c r="AM103" s="1064"/>
      <c r="AN103" s="1064"/>
      <c r="AO103" s="1061"/>
      <c r="AP103" s="1061"/>
      <c r="AQ103" s="1061"/>
      <c r="AR103" s="1061"/>
      <c r="AS103" s="1061"/>
      <c r="AT103" s="1061"/>
      <c r="AU103" s="1062"/>
      <c r="AV103" s="1061"/>
      <c r="AX103" s="1061"/>
    </row>
    <row r="104" spans="1:53" ht="15.6">
      <c r="A104" s="1563" t="s">
        <v>1811</v>
      </c>
      <c r="B104" s="1061"/>
      <c r="C104" s="1061"/>
      <c r="D104" s="1563"/>
      <c r="E104" s="1061"/>
      <c r="F104" s="1563"/>
      <c r="G104" s="1061"/>
      <c r="H104" s="1061"/>
      <c r="I104" s="1061"/>
      <c r="J104" s="1061"/>
      <c r="K104" s="1061"/>
      <c r="L104" s="1061"/>
      <c r="M104" s="1061"/>
      <c r="N104" s="1061"/>
      <c r="O104" s="1061"/>
      <c r="P104" s="1061"/>
      <c r="Q104" s="1061"/>
      <c r="R104" s="1061"/>
      <c r="S104" s="1061"/>
      <c r="T104" s="1064">
        <f>SUM(S63:V63)</f>
        <v>758682.12106753455</v>
      </c>
      <c r="U104" s="1061"/>
      <c r="V104" s="1061"/>
      <c r="W104" s="1061"/>
      <c r="X104" s="1061"/>
      <c r="Y104" s="1061"/>
      <c r="Z104" s="1061"/>
      <c r="AA104" s="1061"/>
      <c r="AB104" s="1061"/>
      <c r="AC104" s="1061"/>
      <c r="AD104" s="1061"/>
      <c r="AE104" s="1061"/>
      <c r="AF104" s="1061"/>
      <c r="AG104" s="1061"/>
      <c r="AH104" s="1061"/>
      <c r="AI104" s="1061"/>
      <c r="AJ104" s="1061"/>
      <c r="AK104" s="1061"/>
      <c r="AL104" s="1061"/>
      <c r="AM104" s="1061"/>
      <c r="AN104" s="1061"/>
      <c r="AO104" s="1061"/>
      <c r="AP104" s="1061">
        <v>6027</v>
      </c>
      <c r="AQ104" s="1061"/>
      <c r="AR104" s="1061"/>
      <c r="AS104" s="1061"/>
      <c r="AT104" s="1061"/>
      <c r="AU104" s="1062"/>
      <c r="AV104" s="1061"/>
      <c r="AW104" s="1061"/>
      <c r="AX104" s="1061"/>
    </row>
    <row r="105" spans="1:53" ht="15.6">
      <c r="A105" s="1061" t="s">
        <v>1813</v>
      </c>
      <c r="B105" s="1064">
        <f>+'Grasmere Pig Cost'!B65+'Lionhead Pig Cost'!B65+'Villa Pig Cost'!B65+'Richlands Pig Cost'!B65</f>
        <v>45721</v>
      </c>
      <c r="C105" s="1064">
        <f>+'Grasmere Pig Cost'!C65+'Lionhead Pig Cost'!C65+'Villa Pig Cost'!C65+'Richlands Pig Cost'!C65</f>
        <v>0</v>
      </c>
      <c r="D105" s="1064">
        <f>+'Grasmere Pig Cost'!D65+'Lionhead Pig Cost'!D65+'Villa Pig Cost'!D65+'Richlands Pig Cost'!D65</f>
        <v>0</v>
      </c>
      <c r="E105" s="1064">
        <f>+'Grasmere Pig Cost'!E65+'Lionhead Pig Cost'!E65+'Villa Pig Cost'!E65+'Richlands Pig Cost'!E65</f>
        <v>0</v>
      </c>
      <c r="F105" s="1064">
        <f>+'Grasmere Pig Cost'!F65+'Lionhead Pig Cost'!F65+'Villa Pig Cost'!F65+'Richlands Pig Cost'!F65</f>
        <v>0</v>
      </c>
      <c r="G105" s="1061"/>
      <c r="H105" s="1061"/>
      <c r="I105" s="1061"/>
      <c r="J105" s="1061"/>
      <c r="K105" s="1061"/>
      <c r="L105" s="1061"/>
      <c r="M105" s="1061"/>
      <c r="N105" s="1061"/>
      <c r="O105" s="1061"/>
      <c r="P105" s="1061"/>
      <c r="Q105" s="1061"/>
      <c r="R105" s="1061"/>
      <c r="S105" s="1061"/>
      <c r="T105" s="1061"/>
      <c r="U105" s="1061"/>
      <c r="V105" s="1061"/>
      <c r="W105" s="1061"/>
      <c r="X105" s="1061"/>
      <c r="Y105" s="1061"/>
      <c r="Z105" s="1061"/>
      <c r="AA105" s="1061"/>
      <c r="AB105" s="1061"/>
      <c r="AC105" s="1061"/>
      <c r="AD105" s="1061"/>
      <c r="AE105" s="1061"/>
      <c r="AF105" s="1061"/>
      <c r="AG105" s="1061"/>
      <c r="AH105" s="1061"/>
      <c r="AI105" s="1061"/>
      <c r="AJ105" s="1061"/>
      <c r="AK105" s="1061"/>
      <c r="AL105" s="1061"/>
      <c r="AM105" s="1061"/>
      <c r="AN105" s="1061"/>
      <c r="AO105" s="1061"/>
      <c r="AP105" s="1061"/>
      <c r="AQ105" s="1061">
        <v>-504.46</v>
      </c>
      <c r="AR105" s="1061"/>
      <c r="AS105" s="1061">
        <v>-1483.7567156795412</v>
      </c>
      <c r="AT105" s="1061"/>
      <c r="AU105" s="1810">
        <f>+AU59/(AU26*[80]Sales!$AD$12)</f>
        <v>3.7177846860185761</v>
      </c>
      <c r="AV105" s="1687" t="s">
        <v>229</v>
      </c>
      <c r="AW105" s="1061"/>
      <c r="AX105" s="1061"/>
      <c r="AZ105" s="142">
        <f>-'Richlands Pig Cost'!AN28-'Villa Pig Cost'!AP28-'Lionhead Ext. Pig Cost'!AO28-'Lionhead Pig Cost'!AO28-'Learig Pig Cost'!AP28-'Grasmere Pig Cost'!AP28</f>
        <v>3009</v>
      </c>
      <c r="BA105" s="142">
        <f>AZ105*87*2.3</f>
        <v>602100.89999999991</v>
      </c>
    </row>
    <row r="106" spans="1:53">
      <c r="A106" s="1061" t="s">
        <v>60</v>
      </c>
      <c r="B106" s="1064">
        <f>+'Grasmere Pig Cost'!B66+'Lionhead Pig Cost'!B66+'Villa Pig Cost'!B66+'Richlands Pig Cost'!B66</f>
        <v>273218</v>
      </c>
      <c r="C106" s="1064">
        <f>+'Grasmere Pig Cost'!C66+'Lionhead Pig Cost'!C66+'Villa Pig Cost'!C66+'Richlands Pig Cost'!C66</f>
        <v>0</v>
      </c>
      <c r="D106" s="1064">
        <f>+'Grasmere Pig Cost'!D66+'Lionhead Pig Cost'!D66+'Villa Pig Cost'!D66+'Richlands Pig Cost'!D66</f>
        <v>69073</v>
      </c>
      <c r="E106" s="1064">
        <f>+'Grasmere Pig Cost'!E66+'Lionhead Pig Cost'!E66+'Villa Pig Cost'!E66+'Richlands Pig Cost'!E66</f>
        <v>0</v>
      </c>
      <c r="F106" s="1064">
        <f>+'Grasmere Pig Cost'!F66+'Lionhead Pig Cost'!F66+'Villa Pig Cost'!F66+'Richlands Pig Cost'!F66</f>
        <v>148596.70000000001</v>
      </c>
      <c r="G106" s="1061"/>
      <c r="H106" s="1061"/>
      <c r="I106" s="1061"/>
      <c r="J106" s="1061"/>
      <c r="K106" s="1061"/>
      <c r="L106" s="1061"/>
      <c r="M106" s="1061"/>
      <c r="N106" s="1061"/>
      <c r="O106" s="1061"/>
      <c r="P106" s="1061"/>
      <c r="Q106" s="1061"/>
      <c r="R106" s="1061"/>
      <c r="S106" s="1061"/>
      <c r="T106" s="1061"/>
      <c r="U106" s="1061"/>
      <c r="V106" s="1061"/>
      <c r="W106" s="1061"/>
      <c r="X106" s="1061"/>
      <c r="Y106" s="1061"/>
      <c r="Z106" s="1061"/>
      <c r="AA106" s="1061"/>
      <c r="AB106" s="1061"/>
      <c r="AC106" s="1061"/>
      <c r="AD106" s="1061"/>
      <c r="AE106" s="1061"/>
      <c r="AF106" s="1061"/>
      <c r="AG106" s="1061"/>
      <c r="AH106" s="1061"/>
      <c r="AI106" s="1061"/>
      <c r="AJ106" s="1061"/>
      <c r="AK106" s="1061"/>
      <c r="AL106" s="1061"/>
      <c r="AM106" s="1061"/>
      <c r="AN106" s="1061"/>
      <c r="AO106" s="1061"/>
      <c r="AP106" s="1061"/>
      <c r="AQ106" s="1061"/>
      <c r="AR106" s="1061"/>
      <c r="AS106" s="1061"/>
      <c r="AT106" s="1061"/>
      <c r="AU106" s="1062"/>
      <c r="AV106" s="1061"/>
      <c r="AW106" s="1061">
        <v>2489.2938775303801</v>
      </c>
      <c r="AX106" s="1061"/>
    </row>
    <row r="107" spans="1:53">
      <c r="A107" s="1061" t="s">
        <v>1829</v>
      </c>
      <c r="B107" s="1064">
        <f>+'Grasmere Pig Cost'!B67+'Lionhead Pig Cost'!B67+'Villa Pig Cost'!B67+'Richlands Pig Cost'!B67</f>
        <v>28760</v>
      </c>
      <c r="C107" s="1064">
        <f>+'Grasmere Pig Cost'!C67+'Lionhead Pig Cost'!C67+'Villa Pig Cost'!C67+'Richlands Pig Cost'!C67</f>
        <v>0</v>
      </c>
      <c r="D107" s="1064">
        <f>+'Grasmere Pig Cost'!D67+'Lionhead Pig Cost'!D67+'Villa Pig Cost'!D67+'Richlands Pig Cost'!D67</f>
        <v>104390</v>
      </c>
      <c r="E107" s="1064">
        <f>+'Grasmere Pig Cost'!E67+'Lionhead Pig Cost'!E67+'Villa Pig Cost'!E67+'Richlands Pig Cost'!E67</f>
        <v>0</v>
      </c>
      <c r="F107" s="1064">
        <f>+'Grasmere Pig Cost'!F67+'Lionhead Pig Cost'!F67+'Villa Pig Cost'!F67+'Richlands Pig Cost'!F67</f>
        <v>0</v>
      </c>
      <c r="G107" s="1061"/>
      <c r="H107" s="1061"/>
      <c r="I107" s="1061"/>
      <c r="J107" s="1061"/>
      <c r="K107" s="1061"/>
      <c r="L107" s="1061"/>
      <c r="M107" s="1061"/>
      <c r="N107" s="1061"/>
      <c r="O107" s="1061"/>
      <c r="P107" s="1061"/>
      <c r="Q107" s="1061"/>
      <c r="R107" s="1061"/>
      <c r="S107" s="1061"/>
      <c r="T107" s="1061"/>
      <c r="U107" s="1061"/>
      <c r="V107" s="1061"/>
      <c r="W107" s="1061"/>
      <c r="X107" s="1061"/>
      <c r="Y107" s="1061"/>
      <c r="Z107" s="1061"/>
      <c r="AA107" s="1061"/>
      <c r="AB107" s="1061"/>
      <c r="AC107" s="1061"/>
      <c r="AD107" s="1061"/>
      <c r="AE107" s="1061"/>
      <c r="AF107" s="1061"/>
      <c r="AG107" s="1061"/>
      <c r="AH107" s="1061"/>
      <c r="AI107" s="1061"/>
      <c r="AJ107" s="1061"/>
      <c r="AK107" s="1061"/>
      <c r="AL107" s="1061"/>
      <c r="AM107" s="1061"/>
      <c r="AN107" s="1061"/>
      <c r="AO107" s="1061"/>
      <c r="AP107" s="1061"/>
      <c r="AQ107" s="1061"/>
      <c r="AR107" s="1061"/>
      <c r="AS107" s="1061"/>
      <c r="AT107" s="1061"/>
      <c r="AU107" s="1062"/>
      <c r="AV107" s="1061"/>
      <c r="AW107" s="1061"/>
      <c r="AX107" s="1061"/>
    </row>
    <row r="108" spans="1:53" ht="15.6">
      <c r="A108" s="1563" t="s">
        <v>71</v>
      </c>
      <c r="B108" s="1565">
        <f>SUM(B105:B107)</f>
        <v>347699</v>
      </c>
      <c r="C108" s="1061"/>
      <c r="D108" s="1565">
        <f>SUM(D105:D107)</f>
        <v>173463</v>
      </c>
      <c r="E108" s="1064">
        <f>SUM(E105:E107)</f>
        <v>0</v>
      </c>
      <c r="F108" s="1565">
        <f>SUM(F105:F107)</f>
        <v>148596.70000000001</v>
      </c>
      <c r="G108" s="1061"/>
      <c r="H108" s="1061"/>
      <c r="I108" s="1061"/>
      <c r="J108" s="1061"/>
      <c r="K108" s="1061"/>
      <c r="L108" s="1061"/>
      <c r="M108" s="1061"/>
      <c r="N108" s="1061"/>
      <c r="O108" s="1061"/>
      <c r="P108" s="1061"/>
      <c r="Q108" s="1061"/>
      <c r="R108" s="1061"/>
      <c r="S108" s="1061"/>
      <c r="T108" s="1061"/>
      <c r="U108" s="1061"/>
      <c r="V108" s="1061"/>
      <c r="W108" s="1061"/>
      <c r="X108" s="1061"/>
      <c r="Y108" s="1061"/>
      <c r="Z108" s="1061"/>
      <c r="AA108" s="1061"/>
      <c r="AB108" s="1061"/>
      <c r="AC108" s="1061"/>
      <c r="AD108" s="1061"/>
      <c r="AE108" s="1061"/>
      <c r="AF108" s="1061"/>
      <c r="AG108" s="1061"/>
      <c r="AH108" s="1061"/>
      <c r="AI108" s="1061"/>
      <c r="AJ108" s="1061"/>
      <c r="AK108" s="1061"/>
      <c r="AL108" s="1061"/>
      <c r="AM108" s="1061"/>
      <c r="AN108" s="1061"/>
      <c r="AO108" s="1061"/>
      <c r="AP108" s="1061"/>
      <c r="AQ108" s="1061"/>
      <c r="AR108" s="1061"/>
      <c r="AS108" s="1061"/>
      <c r="AT108" s="1061"/>
      <c r="AU108" s="1062"/>
      <c r="AV108" s="1061"/>
      <c r="AW108" s="1061"/>
      <c r="AX108" s="1061"/>
    </row>
    <row r="109" spans="1:53" hidden="1">
      <c r="A109" s="1061"/>
      <c r="B109" s="1061"/>
      <c r="C109" s="1061"/>
      <c r="D109" s="1061"/>
      <c r="E109" s="1061"/>
      <c r="F109" s="1061"/>
      <c r="G109" s="1061"/>
      <c r="H109" s="1061"/>
      <c r="I109" s="1061"/>
      <c r="J109" s="1061"/>
      <c r="K109" s="1061"/>
      <c r="L109" s="1061"/>
      <c r="M109" s="1061"/>
      <c r="N109" s="1061"/>
      <c r="O109" s="1061"/>
      <c r="P109" s="1061"/>
      <c r="Q109" s="1061"/>
      <c r="R109" s="1061"/>
      <c r="S109" s="1061"/>
      <c r="T109" s="1061"/>
      <c r="U109" s="1061"/>
      <c r="V109" s="1061"/>
      <c r="W109" s="1061"/>
      <c r="X109" s="1061"/>
      <c r="Y109" s="1061"/>
      <c r="Z109" s="1061"/>
      <c r="AA109" s="1061"/>
      <c r="AB109" s="1061"/>
      <c r="AC109" s="1061"/>
      <c r="AD109" s="1061"/>
      <c r="AE109" s="1061"/>
      <c r="AF109" s="1061"/>
      <c r="AG109" s="1061"/>
      <c r="AH109" s="1061"/>
      <c r="AI109" s="1061"/>
      <c r="AJ109" s="1061"/>
      <c r="AK109" s="1061"/>
      <c r="AL109" s="1061"/>
      <c r="AM109" s="1061"/>
      <c r="AN109" s="1061"/>
      <c r="AO109" s="1061"/>
      <c r="AP109" s="1061"/>
      <c r="AQ109" s="1061"/>
      <c r="AR109" s="1061"/>
      <c r="AS109" s="1061"/>
      <c r="AT109" s="1061"/>
      <c r="AU109" s="1062"/>
      <c r="AV109" s="1061"/>
      <c r="AX109" s="1061"/>
    </row>
    <row r="110" spans="1:53" ht="15.6" hidden="1">
      <c r="A110" s="1563" t="s">
        <v>1838</v>
      </c>
      <c r="B110" s="1061"/>
      <c r="C110" s="1061"/>
      <c r="D110" s="1061"/>
      <c r="E110" s="1061"/>
      <c r="F110" s="1061"/>
      <c r="G110" s="1061"/>
      <c r="H110" s="1061"/>
      <c r="I110" s="1061"/>
      <c r="J110" s="1061"/>
      <c r="K110" s="1061"/>
      <c r="L110" s="1061"/>
      <c r="M110" s="1061"/>
      <c r="N110" s="1061"/>
      <c r="O110" s="1061"/>
      <c r="P110" s="1061"/>
      <c r="Q110" s="1061"/>
      <c r="R110" s="1061"/>
      <c r="S110" s="1061"/>
      <c r="T110" s="1061"/>
      <c r="U110" s="1061"/>
      <c r="V110" s="1061"/>
      <c r="W110" s="1061"/>
      <c r="X110" s="1061"/>
      <c r="Y110" s="1061"/>
      <c r="Z110" s="1061"/>
      <c r="AA110" s="1061"/>
      <c r="AB110" s="1061"/>
      <c r="AC110" s="1061"/>
      <c r="AD110" s="1061"/>
      <c r="AE110" s="1061"/>
      <c r="AF110" s="1061"/>
      <c r="AG110" s="1061"/>
      <c r="AH110" s="1061"/>
      <c r="AI110" s="1061"/>
      <c r="AJ110" s="1061"/>
      <c r="AK110" s="1061"/>
      <c r="AL110" s="1061"/>
      <c r="AM110" s="1061"/>
      <c r="AN110" s="1061"/>
      <c r="AO110" s="1061"/>
      <c r="AP110" s="1061"/>
      <c r="AQ110" s="1061"/>
      <c r="AR110" s="1061"/>
      <c r="AS110" s="1061"/>
      <c r="AT110" s="1061"/>
      <c r="AU110" s="1062"/>
      <c r="AV110" s="1061"/>
      <c r="AX110" s="1061"/>
    </row>
    <row r="111" spans="1:53" hidden="1">
      <c r="A111" s="1061" t="s">
        <v>127</v>
      </c>
      <c r="B111" s="1063"/>
      <c r="C111" s="1063"/>
      <c r="D111" s="1063"/>
      <c r="E111" s="1063"/>
      <c r="F111" s="1063"/>
      <c r="G111" s="1063"/>
      <c r="H111" s="1063"/>
      <c r="I111" s="1063"/>
      <c r="J111" s="1063"/>
      <c r="K111" s="1063"/>
      <c r="L111" s="1063"/>
      <c r="M111" s="1063"/>
      <c r="N111" s="1063"/>
      <c r="O111" s="1063"/>
      <c r="P111" s="1063"/>
      <c r="Q111" s="1063"/>
      <c r="R111" s="1063"/>
      <c r="S111" s="1063"/>
      <c r="T111" s="1063"/>
      <c r="U111" s="1063"/>
      <c r="V111" s="1063"/>
      <c r="W111" s="1063"/>
      <c r="X111" s="1063"/>
      <c r="Y111" s="1063"/>
      <c r="Z111" s="1063"/>
      <c r="AA111" s="1063"/>
      <c r="AB111" s="1063"/>
      <c r="AC111" s="1063"/>
      <c r="AD111" s="1063"/>
      <c r="AE111" s="1063"/>
      <c r="AF111" s="1063"/>
      <c r="AG111" s="1063"/>
      <c r="AH111" s="1063"/>
      <c r="AI111" s="1063"/>
      <c r="AJ111" s="1063"/>
      <c r="AK111" s="1063"/>
      <c r="AL111" s="1063"/>
      <c r="AM111" s="1063"/>
      <c r="AN111" s="1063"/>
      <c r="AO111" s="1063"/>
      <c r="AP111" s="1063"/>
      <c r="AQ111" s="1063"/>
      <c r="AR111" s="1063"/>
      <c r="AS111" s="1063"/>
      <c r="AT111" s="1063"/>
      <c r="AU111" s="1062"/>
      <c r="AV111" s="1064"/>
      <c r="AX111" s="1061"/>
    </row>
    <row r="112" spans="1:53" hidden="1">
      <c r="A112" s="1061" t="s">
        <v>186</v>
      </c>
      <c r="B112" s="1063"/>
      <c r="C112" s="1063"/>
      <c r="D112" s="1063"/>
      <c r="E112" s="1063"/>
      <c r="F112" s="1063"/>
      <c r="G112" s="1063"/>
      <c r="H112" s="1063"/>
      <c r="I112" s="1063"/>
      <c r="J112" s="1063"/>
      <c r="K112" s="1063"/>
      <c r="L112" s="1063"/>
      <c r="M112" s="1063"/>
      <c r="N112" s="1063"/>
      <c r="O112" s="1063"/>
      <c r="P112" s="1063"/>
      <c r="Q112" s="1063"/>
      <c r="R112" s="1063"/>
      <c r="S112" s="1063"/>
      <c r="T112" s="1063"/>
      <c r="U112" s="1063"/>
      <c r="V112" s="1063"/>
      <c r="W112" s="1063"/>
      <c r="X112" s="1063"/>
      <c r="Y112" s="1063"/>
      <c r="Z112" s="1063"/>
      <c r="AA112" s="1063"/>
      <c r="AB112" s="1063"/>
      <c r="AC112" s="1063"/>
      <c r="AD112" s="1063"/>
      <c r="AE112" s="1063"/>
      <c r="AF112" s="1063"/>
      <c r="AG112" s="1063"/>
      <c r="AH112" s="1063"/>
      <c r="AI112" s="1063"/>
      <c r="AJ112" s="1063"/>
      <c r="AK112" s="1063"/>
      <c r="AL112" s="1063"/>
      <c r="AM112" s="1063"/>
      <c r="AN112" s="1063"/>
      <c r="AO112" s="1063"/>
      <c r="AP112" s="1063"/>
      <c r="AQ112" s="1063"/>
      <c r="AR112" s="1063"/>
      <c r="AS112" s="1063"/>
      <c r="AT112" s="1063"/>
      <c r="AU112" s="1062"/>
      <c r="AV112" s="1064"/>
      <c r="AX112" s="1061"/>
    </row>
    <row r="113" spans="1:53" hidden="1">
      <c r="A113" s="1061" t="s">
        <v>189</v>
      </c>
      <c r="B113" s="1063"/>
      <c r="C113" s="1063"/>
      <c r="D113" s="1063"/>
      <c r="E113" s="1063"/>
      <c r="F113" s="1063"/>
      <c r="G113" s="1063"/>
      <c r="H113" s="1063"/>
      <c r="I113" s="1063"/>
      <c r="J113" s="1063"/>
      <c r="K113" s="1063"/>
      <c r="L113" s="1063"/>
      <c r="M113" s="1063"/>
      <c r="N113" s="1063"/>
      <c r="O113" s="1063"/>
      <c r="P113" s="1063"/>
      <c r="Q113" s="1063"/>
      <c r="R113" s="1063"/>
      <c r="S113" s="1063"/>
      <c r="T113" s="1063"/>
      <c r="U113" s="1063"/>
      <c r="V113" s="1063"/>
      <c r="W113" s="1063"/>
      <c r="X113" s="1063"/>
      <c r="Y113" s="1063"/>
      <c r="Z113" s="1063"/>
      <c r="AA113" s="1063"/>
      <c r="AB113" s="1063"/>
      <c r="AC113" s="1063"/>
      <c r="AD113" s="1063"/>
      <c r="AE113" s="1063"/>
      <c r="AF113" s="1063"/>
      <c r="AG113" s="1063"/>
      <c r="AH113" s="1063"/>
      <c r="AI113" s="1063"/>
      <c r="AJ113" s="1063"/>
      <c r="AK113" s="1063"/>
      <c r="AL113" s="1063"/>
      <c r="AM113" s="1063"/>
      <c r="AN113" s="1063"/>
      <c r="AO113" s="1063"/>
      <c r="AP113" s="1063"/>
      <c r="AQ113" s="1063"/>
      <c r="AR113" s="1063"/>
      <c r="AS113" s="1063"/>
      <c r="AT113" s="1063"/>
      <c r="AU113" s="1062"/>
      <c r="AV113" s="1064"/>
      <c r="AX113" s="1061"/>
    </row>
    <row r="114" spans="1:53" hidden="1">
      <c r="A114" s="1061" t="s">
        <v>213</v>
      </c>
      <c r="B114" s="1063"/>
      <c r="C114" s="1063"/>
      <c r="D114" s="1063"/>
      <c r="E114" s="1063"/>
      <c r="F114" s="1063"/>
      <c r="G114" s="1063"/>
      <c r="H114" s="1063"/>
      <c r="I114" s="1063"/>
      <c r="J114" s="1063"/>
      <c r="K114" s="1063"/>
      <c r="L114" s="1063"/>
      <c r="M114" s="1063"/>
      <c r="N114" s="1063"/>
      <c r="O114" s="1063"/>
      <c r="P114" s="1063"/>
      <c r="Q114" s="1063"/>
      <c r="R114" s="1063"/>
      <c r="S114" s="1063"/>
      <c r="T114" s="1063"/>
      <c r="U114" s="1063"/>
      <c r="V114" s="1063"/>
      <c r="W114" s="1063"/>
      <c r="X114" s="1063"/>
      <c r="Y114" s="1063"/>
      <c r="Z114" s="1063"/>
      <c r="AA114" s="1063"/>
      <c r="AB114" s="1063"/>
      <c r="AC114" s="1063"/>
      <c r="AD114" s="1063"/>
      <c r="AE114" s="1063"/>
      <c r="AF114" s="1063"/>
      <c r="AG114" s="1063"/>
      <c r="AH114" s="1063"/>
      <c r="AI114" s="1063"/>
      <c r="AJ114" s="1063"/>
      <c r="AK114" s="1063"/>
      <c r="AL114" s="1063"/>
      <c r="AM114" s="1063"/>
      <c r="AN114" s="1063"/>
      <c r="AO114" s="1063"/>
      <c r="AP114" s="1063"/>
      <c r="AQ114" s="1063"/>
      <c r="AR114" s="1063"/>
      <c r="AS114" s="1063"/>
      <c r="AT114" s="1063"/>
      <c r="AU114" s="1062"/>
      <c r="AV114" s="1064"/>
      <c r="AX114" s="1061"/>
    </row>
    <row r="115" spans="1:53" ht="15.6" hidden="1">
      <c r="A115" s="1563" t="s">
        <v>71</v>
      </c>
      <c r="B115" s="1565"/>
      <c r="C115" s="1565"/>
      <c r="D115" s="1565"/>
      <c r="E115" s="1565"/>
      <c r="F115" s="1565"/>
      <c r="G115" s="1565"/>
      <c r="H115" s="1565"/>
      <c r="I115" s="1565"/>
      <c r="J115" s="1565"/>
      <c r="K115" s="1565"/>
      <c r="L115" s="1565"/>
      <c r="M115" s="1565"/>
      <c r="N115" s="1565"/>
      <c r="O115" s="1565"/>
      <c r="P115" s="1565"/>
      <c r="Q115" s="1565"/>
      <c r="R115" s="1565"/>
      <c r="S115" s="1565"/>
      <c r="T115" s="1565"/>
      <c r="U115" s="1565"/>
      <c r="V115" s="1565"/>
      <c r="W115" s="1565"/>
      <c r="X115" s="1565"/>
      <c r="Y115" s="1565"/>
      <c r="Z115" s="1565"/>
      <c r="AA115" s="1565"/>
      <c r="AB115" s="1565"/>
      <c r="AC115" s="1565"/>
      <c r="AD115" s="1565"/>
      <c r="AE115" s="1565"/>
      <c r="AF115" s="1565"/>
      <c r="AG115" s="1565"/>
      <c r="AH115" s="1565"/>
      <c r="AI115" s="1565"/>
      <c r="AJ115" s="1565"/>
      <c r="AK115" s="1565"/>
      <c r="AL115" s="1565"/>
      <c r="AM115" s="1565"/>
      <c r="AN115" s="1565"/>
      <c r="AO115" s="1565"/>
      <c r="AP115" s="1565"/>
      <c r="AQ115" s="1565"/>
      <c r="AR115" s="1565"/>
      <c r="AS115" s="1565"/>
      <c r="AT115" s="1565"/>
      <c r="AU115" s="1566"/>
      <c r="AV115" s="1064"/>
      <c r="AX115" s="1061"/>
    </row>
    <row r="117" spans="1:53" s="1559" customFormat="1" ht="18">
      <c r="A117" s="1567" t="s">
        <v>1815</v>
      </c>
      <c r="B117" s="1567" t="str">
        <f t="shared" ref="B117:AA117" si="31">B3</f>
        <v>DRY SOW</v>
      </c>
      <c r="C117" s="1567" t="str">
        <f t="shared" si="31"/>
        <v>DRY SOW</v>
      </c>
      <c r="D117" s="1567" t="str">
        <f t="shared" si="31"/>
        <v>DRY SOW</v>
      </c>
      <c r="E117" s="1568" t="str">
        <f t="shared" si="31"/>
        <v>DRY SOW</v>
      </c>
      <c r="F117" s="1568" t="str">
        <f t="shared" si="31"/>
        <v>DRY SOW</v>
      </c>
      <c r="G117" s="1568" t="str">
        <f t="shared" si="31"/>
        <v>DRY SOW</v>
      </c>
      <c r="H117" s="1568" t="str">
        <f t="shared" si="31"/>
        <v>DRY SOW</v>
      </c>
      <c r="I117" s="1568" t="str">
        <f t="shared" si="31"/>
        <v>DRY SOW</v>
      </c>
      <c r="J117" s="1568" t="str">
        <f t="shared" si="31"/>
        <v>DRY SOW</v>
      </c>
      <c r="K117" s="1568" t="str">
        <f t="shared" si="31"/>
        <v>DRY SOW</v>
      </c>
      <c r="L117" s="1568" t="str">
        <f t="shared" si="31"/>
        <v>DRY SOW</v>
      </c>
      <c r="M117" s="1568" t="str">
        <f t="shared" si="31"/>
        <v>DRY SOW</v>
      </c>
      <c r="N117" s="1568" t="str">
        <f t="shared" si="31"/>
        <v>DRY SOW</v>
      </c>
      <c r="O117" s="1568" t="str">
        <f t="shared" si="31"/>
        <v>DRY SOW</v>
      </c>
      <c r="P117" s="1568" t="str">
        <f t="shared" si="31"/>
        <v>DRY SOW</v>
      </c>
      <c r="Q117" s="1568" t="str">
        <f t="shared" si="31"/>
        <v>DRY SOW</v>
      </c>
      <c r="R117" s="1568" t="str">
        <f t="shared" si="31"/>
        <v>Flush</v>
      </c>
      <c r="S117" s="1568" t="str">
        <f t="shared" si="31"/>
        <v>PRE-FARROW</v>
      </c>
      <c r="T117" s="1568" t="str">
        <f t="shared" si="31"/>
        <v>LACTATE</v>
      </c>
      <c r="U117" s="1568" t="str">
        <f t="shared" si="31"/>
        <v>LACTATE</v>
      </c>
      <c r="V117" s="1568" t="str">
        <f t="shared" si="31"/>
        <v>LACTATE</v>
      </c>
      <c r="W117" s="1568" t="str">
        <f t="shared" si="31"/>
        <v>Early Wean</v>
      </c>
      <c r="X117" s="1568" t="str">
        <f t="shared" si="31"/>
        <v>CREEP</v>
      </c>
      <c r="Y117" s="1568" t="str">
        <f t="shared" si="31"/>
        <v>CREEP</v>
      </c>
      <c r="Z117" s="1568" t="str">
        <f t="shared" si="31"/>
        <v>WEAN 1</v>
      </c>
      <c r="AA117" s="1568" t="str">
        <f t="shared" si="31"/>
        <v>WEAN 1</v>
      </c>
      <c r="AB117" s="1568" t="str">
        <f>AA117</f>
        <v>WEAN 1</v>
      </c>
      <c r="AC117" s="1568" t="str">
        <f>AB117</f>
        <v>WEAN 1</v>
      </c>
      <c r="AD117" s="1568" t="str">
        <f t="shared" ref="AD117:AN117" si="32">AD3</f>
        <v>GROWER 1</v>
      </c>
      <c r="AE117" s="1568" t="str">
        <f t="shared" si="32"/>
        <v>GROWER 1</v>
      </c>
      <c r="AF117" s="1568" t="str">
        <f t="shared" si="32"/>
        <v>GROWER 2</v>
      </c>
      <c r="AG117" s="1568" t="str">
        <f t="shared" si="32"/>
        <v>GROWER 2</v>
      </c>
      <c r="AH117" s="1568" t="str">
        <f t="shared" si="32"/>
        <v>GROWER 3</v>
      </c>
      <c r="AI117" s="1568" t="str">
        <f t="shared" si="32"/>
        <v>GROWER 3</v>
      </c>
      <c r="AJ117" s="1568" t="str">
        <f t="shared" si="32"/>
        <v>GROWER 3</v>
      </c>
      <c r="AK117" s="1568" t="str">
        <f t="shared" si="32"/>
        <v>FINISHER</v>
      </c>
      <c r="AL117" s="1568" t="str">
        <f t="shared" si="32"/>
        <v>FINISHER</v>
      </c>
      <c r="AM117" s="1568" t="str">
        <f t="shared" si="32"/>
        <v>FINISHER</v>
      </c>
      <c r="AN117" s="1568" t="str">
        <f t="shared" si="32"/>
        <v>FINISHER</v>
      </c>
      <c r="AO117" s="1568"/>
      <c r="AP117" s="1569"/>
      <c r="AQ117" s="1569"/>
      <c r="AR117" s="1569"/>
      <c r="AU117" s="1570"/>
      <c r="AV117" s="1858" t="s">
        <v>1841</v>
      </c>
      <c r="AW117" s="1859">
        <f>SUM(AV61:AV62)</f>
        <v>-4857443.9556332184</v>
      </c>
      <c r="AX117" s="1859">
        <f>AW117*1.15</f>
        <v>-5586060.5489782011</v>
      </c>
      <c r="AZ117" s="1562">
        <f>1959057-AX118</f>
        <v>-2712743.3289999999</v>
      </c>
    </row>
    <row r="118" spans="1:53" s="1559" customFormat="1" ht="18">
      <c r="A118" s="1567" t="s">
        <v>1816</v>
      </c>
      <c r="B118" s="1567">
        <v>7</v>
      </c>
      <c r="C118" s="1567">
        <v>7</v>
      </c>
      <c r="D118" s="1567">
        <v>7</v>
      </c>
      <c r="E118" s="1567">
        <v>7</v>
      </c>
      <c r="F118" s="1567">
        <v>7</v>
      </c>
      <c r="G118" s="1567">
        <v>7</v>
      </c>
      <c r="H118" s="1567">
        <v>7</v>
      </c>
      <c r="I118" s="1567">
        <v>7</v>
      </c>
      <c r="J118" s="1567">
        <v>7</v>
      </c>
      <c r="K118" s="1567">
        <v>7</v>
      </c>
      <c r="L118" s="1567">
        <v>7</v>
      </c>
      <c r="M118" s="1567">
        <v>7</v>
      </c>
      <c r="N118" s="1567">
        <v>7</v>
      </c>
      <c r="O118" s="1567">
        <v>7</v>
      </c>
      <c r="P118" s="1567">
        <v>7</v>
      </c>
      <c r="Q118" s="1567">
        <v>7</v>
      </c>
      <c r="R118" s="1567">
        <v>7</v>
      </c>
      <c r="S118" s="1567">
        <v>7</v>
      </c>
      <c r="T118" s="1567">
        <v>7</v>
      </c>
      <c r="U118" s="1567">
        <v>7</v>
      </c>
      <c r="V118" s="1567">
        <v>7</v>
      </c>
      <c r="W118" s="1567">
        <v>7</v>
      </c>
      <c r="X118" s="1567">
        <v>7</v>
      </c>
      <c r="Y118" s="1567">
        <v>7</v>
      </c>
      <c r="Z118" s="1567">
        <v>7</v>
      </c>
      <c r="AA118" s="1567">
        <v>7</v>
      </c>
      <c r="AB118" s="1567">
        <v>7</v>
      </c>
      <c r="AC118" s="1567">
        <v>7</v>
      </c>
      <c r="AD118" s="1567">
        <v>7</v>
      </c>
      <c r="AE118" s="1567">
        <v>7</v>
      </c>
      <c r="AF118" s="1567">
        <v>7</v>
      </c>
      <c r="AG118" s="1567">
        <v>7</v>
      </c>
      <c r="AH118" s="1567">
        <v>7</v>
      </c>
      <c r="AI118" s="1567">
        <v>7</v>
      </c>
      <c r="AJ118" s="1567">
        <v>7</v>
      </c>
      <c r="AK118" s="1567">
        <v>7</v>
      </c>
      <c r="AL118" s="1567">
        <v>7</v>
      </c>
      <c r="AM118" s="1567">
        <v>7</v>
      </c>
      <c r="AN118" s="1567">
        <v>7</v>
      </c>
      <c r="AO118" s="1567"/>
      <c r="AS118" s="1559">
        <v>331</v>
      </c>
      <c r="AT118" s="1559">
        <v>0</v>
      </c>
      <c r="AU118" s="1570"/>
      <c r="AV118" s="1858" t="s">
        <v>1842</v>
      </c>
      <c r="AW118" s="1858"/>
      <c r="AX118" s="1859">
        <f>+'[31]Sales USD'!$K$12</f>
        <v>4671800.3289999999</v>
      </c>
      <c r="AZ118" s="1559">
        <f>-'Richlands Pig Cost'!AN28-'Villa Pig Cost'!AP28-'Lionhead Ext. Pig Cost'!AO28-'Lionhead Pig Cost'!AO28-'Learig Pig Cost'!AP28-'Grasmere Pig Cost'!AP28-'Porta Pig Cost'!AO28</f>
        <v>3633</v>
      </c>
    </row>
    <row r="119" spans="1:53" s="1559" customFormat="1" ht="18">
      <c r="A119" s="1567" t="s">
        <v>1817</v>
      </c>
      <c r="B119" s="1567">
        <v>2.5</v>
      </c>
      <c r="C119" s="1567">
        <v>2.5</v>
      </c>
      <c r="D119" s="1567">
        <v>2.5</v>
      </c>
      <c r="E119" s="1567">
        <v>2.5</v>
      </c>
      <c r="F119" s="1567">
        <v>2.2999999999999998</v>
      </c>
      <c r="G119" s="1567">
        <v>2.2999999999999998</v>
      </c>
      <c r="H119" s="1567">
        <v>2.2999999999999998</v>
      </c>
      <c r="I119" s="1567">
        <v>2.2999999999999998</v>
      </c>
      <c r="J119" s="1567">
        <v>2.2999999999999998</v>
      </c>
      <c r="K119" s="1567">
        <v>2.2999999999999998</v>
      </c>
      <c r="L119" s="1567">
        <v>2.2999999999999998</v>
      </c>
      <c r="M119" s="1567">
        <v>2.2999999999999998</v>
      </c>
      <c r="N119" s="1567">
        <v>2.8</v>
      </c>
      <c r="O119" s="1567">
        <v>2.8</v>
      </c>
      <c r="P119" s="1567">
        <v>2.8</v>
      </c>
      <c r="Q119" s="1567">
        <v>2.8</v>
      </c>
      <c r="R119" s="1567">
        <v>5</v>
      </c>
      <c r="S119" s="1571">
        <v>3</v>
      </c>
      <c r="T119" s="1571">
        <v>5.5</v>
      </c>
      <c r="U119" s="1571">
        <v>7</v>
      </c>
      <c r="V119" s="1571">
        <v>9.5</v>
      </c>
      <c r="W119" s="1567">
        <v>0.35</v>
      </c>
      <c r="X119" s="1567">
        <v>0.5</v>
      </c>
      <c r="Y119" s="1567">
        <v>0.6</v>
      </c>
      <c r="Z119" s="1567">
        <v>0.9</v>
      </c>
      <c r="AA119" s="1567">
        <v>1.1000000000000001</v>
      </c>
      <c r="AB119" s="1567">
        <v>1.2</v>
      </c>
      <c r="AC119" s="1571">
        <v>1.4</v>
      </c>
      <c r="AD119" s="1571">
        <v>1.6</v>
      </c>
      <c r="AE119" s="1571">
        <v>1.8</v>
      </c>
      <c r="AF119" s="1571">
        <v>2</v>
      </c>
      <c r="AG119" s="1571">
        <v>2.2000000000000002</v>
      </c>
      <c r="AH119" s="1571">
        <v>2.2999999999999998</v>
      </c>
      <c r="AI119" s="1571">
        <v>2.4</v>
      </c>
      <c r="AJ119" s="1571">
        <v>2.5</v>
      </c>
      <c r="AK119" s="1571">
        <v>2.7</v>
      </c>
      <c r="AL119" s="1571">
        <v>2.9</v>
      </c>
      <c r="AM119" s="1571">
        <v>3</v>
      </c>
      <c r="AN119" s="1571">
        <v>3</v>
      </c>
      <c r="AO119" s="1571"/>
      <c r="AP119" s="1562"/>
      <c r="AQ119" s="1562"/>
      <c r="AR119" s="1562"/>
      <c r="AU119" s="1570"/>
      <c r="AV119" s="1858"/>
      <c r="AW119" s="1858"/>
      <c r="AX119" s="1858"/>
      <c r="AZ119" s="1559">
        <f>AZ118*95*2.48</f>
        <v>855934.8</v>
      </c>
    </row>
    <row r="120" spans="1:53" s="1559" customFormat="1" ht="18">
      <c r="A120" s="1567" t="s">
        <v>1818</v>
      </c>
      <c r="B120" s="1572">
        <f>3689/17*4</f>
        <v>868</v>
      </c>
      <c r="C120" s="1572">
        <f>B120</f>
        <v>868</v>
      </c>
      <c r="D120" s="1572">
        <f t="shared" ref="D120:R120" si="33">C120</f>
        <v>868</v>
      </c>
      <c r="E120" s="1572">
        <f t="shared" si="33"/>
        <v>868</v>
      </c>
      <c r="F120" s="1572">
        <f t="shared" si="33"/>
        <v>868</v>
      </c>
      <c r="G120" s="1572">
        <f t="shared" si="33"/>
        <v>868</v>
      </c>
      <c r="H120" s="1572">
        <f t="shared" si="33"/>
        <v>868</v>
      </c>
      <c r="I120" s="1572">
        <f t="shared" si="33"/>
        <v>868</v>
      </c>
      <c r="J120" s="1572">
        <f t="shared" si="33"/>
        <v>868</v>
      </c>
      <c r="K120" s="1572">
        <f t="shared" si="33"/>
        <v>868</v>
      </c>
      <c r="L120" s="1572">
        <f t="shared" si="33"/>
        <v>868</v>
      </c>
      <c r="M120" s="1572">
        <f t="shared" si="33"/>
        <v>868</v>
      </c>
      <c r="N120" s="1572">
        <f t="shared" si="33"/>
        <v>868</v>
      </c>
      <c r="O120" s="1572">
        <f t="shared" si="33"/>
        <v>868</v>
      </c>
      <c r="P120" s="1572">
        <f t="shared" si="33"/>
        <v>868</v>
      </c>
      <c r="Q120" s="1572">
        <f t="shared" si="33"/>
        <v>868</v>
      </c>
      <c r="R120" s="1572">
        <f t="shared" si="33"/>
        <v>868</v>
      </c>
      <c r="S120" s="1572">
        <f>R120</f>
        <v>868</v>
      </c>
      <c r="T120" s="1572">
        <f>S120</f>
        <v>868</v>
      </c>
      <c r="U120" s="1572">
        <f>T120</f>
        <v>868</v>
      </c>
      <c r="V120" s="1572">
        <f>U120</f>
        <v>868</v>
      </c>
      <c r="W120" s="1572">
        <f t="shared" ref="W120:AN120" si="34">SUM(W7:Z7)</f>
        <v>14701</v>
      </c>
      <c r="X120" s="1572">
        <f t="shared" si="34"/>
        <v>15944</v>
      </c>
      <c r="Y120" s="1572">
        <f t="shared" si="34"/>
        <v>15723</v>
      </c>
      <c r="Z120" s="1572">
        <f t="shared" si="34"/>
        <v>15763</v>
      </c>
      <c r="AA120" s="1572">
        <f t="shared" si="34"/>
        <v>15713</v>
      </c>
      <c r="AB120" s="1572">
        <f t="shared" si="34"/>
        <v>15534</v>
      </c>
      <c r="AC120" s="1572">
        <f t="shared" si="34"/>
        <v>15451</v>
      </c>
      <c r="AD120" s="1572">
        <f t="shared" si="34"/>
        <v>15332</v>
      </c>
      <c r="AE120" s="1572">
        <f t="shared" si="34"/>
        <v>15065</v>
      </c>
      <c r="AF120" s="1572">
        <f t="shared" si="34"/>
        <v>15054</v>
      </c>
      <c r="AG120" s="1572">
        <f t="shared" si="34"/>
        <v>15145</v>
      </c>
      <c r="AH120" s="1572">
        <f t="shared" si="34"/>
        <v>15170</v>
      </c>
      <c r="AI120" s="1572">
        <f t="shared" si="34"/>
        <v>15226</v>
      </c>
      <c r="AJ120" s="1572">
        <f t="shared" si="34"/>
        <v>15343</v>
      </c>
      <c r="AK120" s="1572">
        <f t="shared" si="34"/>
        <v>15201</v>
      </c>
      <c r="AL120" s="1572">
        <f t="shared" si="34"/>
        <v>15126</v>
      </c>
      <c r="AM120" s="1572">
        <f t="shared" si="34"/>
        <v>15196</v>
      </c>
      <c r="AN120" s="1572">
        <f t="shared" si="34"/>
        <v>15247</v>
      </c>
      <c r="AO120" s="1571"/>
      <c r="AR120" s="1575">
        <f>-774.45516330609</f>
        <v>-774.45516330608996</v>
      </c>
      <c r="AU120" s="1570"/>
      <c r="AV120" s="1858" t="s">
        <v>1843</v>
      </c>
      <c r="AW120" s="1858"/>
      <c r="AX120" s="1859">
        <f>AX118+AX117</f>
        <v>-914260.2199782012</v>
      </c>
    </row>
    <row r="121" spans="1:53" s="1559" customFormat="1" ht="18">
      <c r="A121" s="1567" t="s">
        <v>1819</v>
      </c>
      <c r="B121" s="1572">
        <f>B118*B119*B120</f>
        <v>15190</v>
      </c>
      <c r="C121" s="1572">
        <f t="shared" ref="C121:Q121" si="35">C118*C119*C120</f>
        <v>15190</v>
      </c>
      <c r="D121" s="1572">
        <f t="shared" si="35"/>
        <v>15190</v>
      </c>
      <c r="E121" s="1572">
        <f t="shared" si="35"/>
        <v>15190</v>
      </c>
      <c r="F121" s="1572">
        <f t="shared" si="35"/>
        <v>13974.799999999997</v>
      </c>
      <c r="G121" s="1572">
        <f t="shared" si="35"/>
        <v>13974.799999999997</v>
      </c>
      <c r="H121" s="1572">
        <f t="shared" si="35"/>
        <v>13974.799999999997</v>
      </c>
      <c r="I121" s="1572">
        <f t="shared" si="35"/>
        <v>13974.799999999997</v>
      </c>
      <c r="J121" s="1572">
        <f t="shared" si="35"/>
        <v>13974.799999999997</v>
      </c>
      <c r="K121" s="1572">
        <f t="shared" si="35"/>
        <v>13974.799999999997</v>
      </c>
      <c r="L121" s="1572">
        <f t="shared" si="35"/>
        <v>13974.799999999997</v>
      </c>
      <c r="M121" s="1572">
        <f t="shared" si="35"/>
        <v>13974.799999999997</v>
      </c>
      <c r="N121" s="1572">
        <f t="shared" si="35"/>
        <v>17012.8</v>
      </c>
      <c r="O121" s="1572">
        <f t="shared" si="35"/>
        <v>17012.8</v>
      </c>
      <c r="P121" s="1572">
        <f t="shared" si="35"/>
        <v>17012.8</v>
      </c>
      <c r="Q121" s="1572">
        <f t="shared" si="35"/>
        <v>17012.8</v>
      </c>
      <c r="R121" s="1572">
        <f>R118*R119*R120</f>
        <v>30380</v>
      </c>
      <c r="S121" s="1572">
        <f>S118*S119*S120</f>
        <v>18228</v>
      </c>
      <c r="T121" s="1572">
        <f t="shared" ref="T121:AN121" si="36">T118*T119*T120</f>
        <v>33418</v>
      </c>
      <c r="U121" s="1572">
        <f t="shared" si="36"/>
        <v>42532</v>
      </c>
      <c r="V121" s="1572">
        <f t="shared" si="36"/>
        <v>57722</v>
      </c>
      <c r="W121" s="1572">
        <f t="shared" si="36"/>
        <v>36017.449999999997</v>
      </c>
      <c r="X121" s="1572">
        <f t="shared" si="36"/>
        <v>55804</v>
      </c>
      <c r="Y121" s="1572">
        <f t="shared" si="36"/>
        <v>66036.600000000006</v>
      </c>
      <c r="Z121" s="1572">
        <f t="shared" si="36"/>
        <v>99306.9</v>
      </c>
      <c r="AA121" s="1572">
        <f t="shared" si="36"/>
        <v>120990.10000000002</v>
      </c>
      <c r="AB121" s="1572">
        <f t="shared" si="36"/>
        <v>130485.6</v>
      </c>
      <c r="AC121" s="1572">
        <f t="shared" si="36"/>
        <v>151419.79999999999</v>
      </c>
      <c r="AD121" s="1572">
        <f t="shared" si="36"/>
        <v>171718.40000000002</v>
      </c>
      <c r="AE121" s="1572">
        <f t="shared" si="36"/>
        <v>189819</v>
      </c>
      <c r="AF121" s="1572">
        <f t="shared" si="36"/>
        <v>210756</v>
      </c>
      <c r="AG121" s="1572">
        <f t="shared" si="36"/>
        <v>233233.00000000003</v>
      </c>
      <c r="AH121" s="1572">
        <f t="shared" si="36"/>
        <v>244236.99999999997</v>
      </c>
      <c r="AI121" s="1572">
        <f t="shared" si="36"/>
        <v>255796.80000000002</v>
      </c>
      <c r="AJ121" s="1572">
        <f t="shared" si="36"/>
        <v>268502.5</v>
      </c>
      <c r="AK121" s="1572">
        <f t="shared" si="36"/>
        <v>287298.90000000002</v>
      </c>
      <c r="AL121" s="1572">
        <f t="shared" si="36"/>
        <v>307057.8</v>
      </c>
      <c r="AM121" s="1572">
        <f t="shared" si="36"/>
        <v>319116</v>
      </c>
      <c r="AN121" s="1572">
        <f t="shared" si="36"/>
        <v>320187</v>
      </c>
      <c r="AO121" s="1571"/>
      <c r="AT121" s="1562"/>
      <c r="AU121" s="1570"/>
      <c r="AV121" s="1858"/>
      <c r="AW121" s="1858"/>
      <c r="AX121" s="1858"/>
    </row>
    <row r="122" spans="1:53" s="1559" customFormat="1" ht="18">
      <c r="A122" s="1567"/>
      <c r="B122" s="1572"/>
      <c r="C122" s="1572"/>
      <c r="D122" s="1572"/>
      <c r="E122" s="1572"/>
      <c r="F122" s="1572"/>
      <c r="G122" s="1572"/>
      <c r="H122" s="1572"/>
      <c r="I122" s="1572"/>
      <c r="J122" s="1572"/>
      <c r="K122" s="1572"/>
      <c r="L122" s="1572"/>
      <c r="M122" s="1572"/>
      <c r="N122" s="1572"/>
      <c r="O122" s="1572"/>
      <c r="P122" s="1572"/>
      <c r="Q122" s="1572"/>
      <c r="R122" s="1572">
        <f>SUM(B121:R121)</f>
        <v>270989.59999999998</v>
      </c>
      <c r="S122" s="1572">
        <f>SUM(S121)</f>
        <v>18228</v>
      </c>
      <c r="T122" s="1572"/>
      <c r="U122" s="1572"/>
      <c r="V122" s="1572">
        <f>SUM(T121:V121)</f>
        <v>133672</v>
      </c>
      <c r="W122" s="1572">
        <f>W121</f>
        <v>36017.449999999997</v>
      </c>
      <c r="X122" s="1572"/>
      <c r="Y122" s="1572">
        <f>SUM(X121:Y121)</f>
        <v>121840.6</v>
      </c>
      <c r="Z122" s="1572"/>
      <c r="AA122" s="1572">
        <v>0</v>
      </c>
      <c r="AB122" s="1572"/>
      <c r="AC122" s="1572">
        <f>SUM(Z121:AC121)</f>
        <v>502202.39999999997</v>
      </c>
      <c r="AD122" s="1572"/>
      <c r="AE122" s="1572">
        <f>SUM(AD121:AE121)</f>
        <v>361537.4</v>
      </c>
      <c r="AF122" s="1572"/>
      <c r="AG122" s="1572">
        <f>SUM(AF121:AG121)</f>
        <v>443989</v>
      </c>
      <c r="AH122" s="1572"/>
      <c r="AI122" s="1572"/>
      <c r="AJ122" s="1572">
        <f>SUM(AH121:AJ121)</f>
        <v>768536.3</v>
      </c>
      <c r="AK122" s="1572"/>
      <c r="AL122" s="1572"/>
      <c r="AM122" s="1572"/>
      <c r="AN122" s="1572">
        <f>SUM(AK121:AN121)</f>
        <v>1233659.7</v>
      </c>
      <c r="AO122" s="1571"/>
      <c r="AT122" s="1893"/>
      <c r="AU122" s="1570"/>
      <c r="AV122" s="1858" t="s">
        <v>1844</v>
      </c>
      <c r="AW122" s="1858"/>
      <c r="AX122" s="1879">
        <f>AX120/AX118</f>
        <v>-0.19569762309895183</v>
      </c>
      <c r="AZ122" s="1559">
        <f>2.45-2.32</f>
        <v>0.13000000000000034</v>
      </c>
    </row>
    <row r="123" spans="1:53" ht="15.6">
      <c r="A123" s="1567" t="s">
        <v>1820</v>
      </c>
      <c r="B123" s="1573">
        <f>B121/$R$122</f>
        <v>5.6053811659192827E-2</v>
      </c>
      <c r="C123" s="1573">
        <f t="shared" ref="C123:R123" si="37">C121/$R$122</f>
        <v>5.6053811659192827E-2</v>
      </c>
      <c r="D123" s="1573">
        <f t="shared" si="37"/>
        <v>5.6053811659192827E-2</v>
      </c>
      <c r="E123" s="1573">
        <f t="shared" si="37"/>
        <v>5.6053811659192827E-2</v>
      </c>
      <c r="F123" s="1573">
        <f t="shared" si="37"/>
        <v>5.1569506726457395E-2</v>
      </c>
      <c r="G123" s="1573">
        <f t="shared" si="37"/>
        <v>5.1569506726457395E-2</v>
      </c>
      <c r="H123" s="1573">
        <f t="shared" si="37"/>
        <v>5.1569506726457395E-2</v>
      </c>
      <c r="I123" s="1573">
        <f t="shared" si="37"/>
        <v>5.1569506726457395E-2</v>
      </c>
      <c r="J123" s="1573">
        <f t="shared" si="37"/>
        <v>5.1569506726457395E-2</v>
      </c>
      <c r="K123" s="1573">
        <f t="shared" si="37"/>
        <v>5.1569506726457395E-2</v>
      </c>
      <c r="L123" s="1573">
        <f t="shared" si="37"/>
        <v>5.1569506726457395E-2</v>
      </c>
      <c r="M123" s="1573">
        <f t="shared" si="37"/>
        <v>5.1569506726457395E-2</v>
      </c>
      <c r="N123" s="1573">
        <f t="shared" si="37"/>
        <v>6.2780269058295965E-2</v>
      </c>
      <c r="O123" s="1573">
        <f t="shared" si="37"/>
        <v>6.2780269058295965E-2</v>
      </c>
      <c r="P123" s="1573">
        <f t="shared" si="37"/>
        <v>6.2780269058295965E-2</v>
      </c>
      <c r="Q123" s="1573">
        <f t="shared" si="37"/>
        <v>6.2780269058295965E-2</v>
      </c>
      <c r="R123" s="1573">
        <f t="shared" si="37"/>
        <v>0.11210762331838565</v>
      </c>
      <c r="S123" s="1573">
        <f>S121/S122</f>
        <v>1</v>
      </c>
      <c r="T123" s="1573">
        <f>T121/$V$122</f>
        <v>0.25</v>
      </c>
      <c r="U123" s="1573">
        <f>U121/$V$122</f>
        <v>0.31818181818181818</v>
      </c>
      <c r="V123" s="1573">
        <f>V121/$V$122</f>
        <v>0.43181818181818182</v>
      </c>
      <c r="W123" s="1573">
        <f>W121/W122</f>
        <v>1</v>
      </c>
      <c r="X123" s="1573">
        <f>X121/$Y$122</f>
        <v>0.45800825012352203</v>
      </c>
      <c r="Y123" s="1573">
        <f>Y121/$Y$122</f>
        <v>0.54199174987647802</v>
      </c>
      <c r="Z123" s="1573">
        <f>Z121/$AC$122</f>
        <v>0.19774278259124209</v>
      </c>
      <c r="AA123" s="1573">
        <f>AA121/$AC$122</f>
        <v>0.24091899998884916</v>
      </c>
      <c r="AB123" s="1573">
        <f>AB121/$AC$122</f>
        <v>0.25982671528451479</v>
      </c>
      <c r="AC123" s="1573">
        <f>AC121/$AC$122</f>
        <v>0.30151150213539402</v>
      </c>
      <c r="AD123" s="1573">
        <f>AD121/$AE$122</f>
        <v>0.47496718181853387</v>
      </c>
      <c r="AE123" s="1573">
        <f>AE121/$AE$122</f>
        <v>0.52503281818146608</v>
      </c>
      <c r="AF123" s="1573">
        <f>AF121/$AG$122</f>
        <v>0.47468743594998974</v>
      </c>
      <c r="AG123" s="1573">
        <f>AG121/$AG$122</f>
        <v>0.52531256405001037</v>
      </c>
      <c r="AH123" s="1573">
        <f>AH121/$AJ$122</f>
        <v>0.31779500851163434</v>
      </c>
      <c r="AI123" s="1573">
        <f>AI121/$AJ$122</f>
        <v>0.33283632796525031</v>
      </c>
      <c r="AJ123" s="1573">
        <f>AJ121/$AJ$122</f>
        <v>0.3493686635231153</v>
      </c>
      <c r="AK123" s="1573">
        <f>AK121/$AN$122</f>
        <v>0.23288342806367107</v>
      </c>
      <c r="AL123" s="1573">
        <f>AL121/$AN$122</f>
        <v>0.24889991948346857</v>
      </c>
      <c r="AM123" s="1573">
        <f>AM121/$AN$122</f>
        <v>0.25867425190269244</v>
      </c>
      <c r="AN123" s="1573">
        <f>AN121/$AN$122</f>
        <v>0.25954240055016792</v>
      </c>
      <c r="AO123" s="1571"/>
      <c r="AZ123" s="818">
        <f>AZ122*'[81]Sales USD'!$W$12</f>
        <v>117797.2900000003</v>
      </c>
    </row>
    <row r="124" spans="1:53" ht="15.6">
      <c r="A124" s="1065"/>
      <c r="B124" s="1065"/>
      <c r="C124" s="1065"/>
      <c r="D124" s="1065"/>
      <c r="E124" s="1065"/>
      <c r="F124" s="1065"/>
      <c r="G124" s="1065"/>
      <c r="H124" s="1065"/>
      <c r="I124" s="1065"/>
      <c r="J124" s="1065"/>
      <c r="K124" s="1065"/>
      <c r="L124" s="1065"/>
      <c r="M124" s="1065"/>
      <c r="N124" s="1065"/>
      <c r="O124" s="1065"/>
      <c r="P124" s="1065"/>
      <c r="Q124" s="1065"/>
      <c r="R124" s="1065"/>
      <c r="S124" s="1065"/>
      <c r="T124" s="1065"/>
      <c r="U124" s="1065"/>
      <c r="V124" s="1065"/>
      <c r="W124" s="1065"/>
      <c r="X124" s="1065"/>
      <c r="Y124" s="1065"/>
      <c r="Z124" s="1065"/>
      <c r="AA124" s="1065"/>
      <c r="AB124" s="1065"/>
      <c r="AC124" s="1065"/>
      <c r="AD124" s="1065"/>
      <c r="AE124" s="1065"/>
      <c r="AF124" s="1065"/>
      <c r="AG124" s="1065"/>
      <c r="AH124" s="1065"/>
      <c r="AI124" s="1065"/>
      <c r="AJ124" s="1065"/>
      <c r="AK124" s="1065"/>
      <c r="AL124" s="1065"/>
      <c r="AM124" s="1065"/>
      <c r="AN124" s="1065"/>
      <c r="AO124" s="1571"/>
      <c r="AV124" s="131" t="s">
        <v>1845</v>
      </c>
      <c r="AX124" s="1894">
        <f>+'[82]Triple C IS (ideal)'!$G$53</f>
        <v>0.35705986234748144</v>
      </c>
    </row>
    <row r="125" spans="1:53" ht="15.6">
      <c r="A125" s="1065"/>
      <c r="B125" s="1065"/>
      <c r="C125" s="1065"/>
      <c r="D125" s="1065"/>
      <c r="E125" s="1065"/>
      <c r="F125" s="1065"/>
      <c r="G125" s="1065"/>
      <c r="H125" s="1065"/>
      <c r="I125" s="1065"/>
      <c r="J125" s="1065"/>
      <c r="K125" s="1065"/>
      <c r="L125" s="1065"/>
      <c r="M125" s="1065"/>
      <c r="N125" s="1065"/>
      <c r="O125" s="1065"/>
      <c r="P125" s="1065"/>
      <c r="Q125" s="1065"/>
      <c r="R125" s="1065"/>
      <c r="S125" s="1065"/>
      <c r="T125" s="1065"/>
      <c r="U125" s="1065"/>
      <c r="V125" s="1065"/>
      <c r="W125" s="1065"/>
      <c r="X125" s="1065"/>
      <c r="Y125" s="1065"/>
      <c r="Z125" s="1065"/>
      <c r="AA125" s="1065"/>
      <c r="AB125" s="1065"/>
      <c r="AC125" s="1065"/>
      <c r="AD125" s="1065"/>
      <c r="AE125" s="1065"/>
      <c r="AF125" s="1065"/>
      <c r="AG125" s="1065"/>
      <c r="AH125" s="1065"/>
      <c r="AI125" s="1065"/>
      <c r="AJ125" s="1065"/>
      <c r="AK125" s="1065"/>
      <c r="AL125" s="1065"/>
      <c r="AM125" s="1065"/>
      <c r="AN125" s="1065"/>
      <c r="AO125" s="1571"/>
    </row>
    <row r="126" spans="1:53" s="1570" customFormat="1" ht="15.6">
      <c r="A126" s="1572" t="s">
        <v>1821</v>
      </c>
      <c r="B126" s="1572"/>
      <c r="C126" s="1572"/>
      <c r="D126" s="1572"/>
      <c r="E126" s="1572"/>
      <c r="F126" s="1572"/>
      <c r="G126" s="1572"/>
      <c r="H126" s="1572"/>
      <c r="I126" s="1572"/>
      <c r="J126" s="1572"/>
      <c r="K126" s="1572"/>
      <c r="L126" s="1572"/>
      <c r="M126" s="1572"/>
      <c r="N126" s="1572"/>
      <c r="O126" s="1572"/>
      <c r="P126" s="1572"/>
      <c r="Q126" s="1572">
        <f>SUM(B121:Q121)</f>
        <v>240609.59999999995</v>
      </c>
      <c r="R126" s="1572">
        <f>R121</f>
        <v>30380</v>
      </c>
      <c r="S126" s="1572">
        <f>S121</f>
        <v>18228</v>
      </c>
      <c r="T126" s="1572">
        <f>T120*T118*T119</f>
        <v>33418</v>
      </c>
      <c r="U126" s="1572">
        <f>U120*U118*U119</f>
        <v>42532</v>
      </c>
      <c r="V126" s="1572">
        <f>V120*V118*V119</f>
        <v>57722</v>
      </c>
      <c r="W126" s="1572">
        <f>W121</f>
        <v>36017.449999999997</v>
      </c>
      <c r="X126" s="1572"/>
      <c r="Y126" s="1572">
        <f>Y122</f>
        <v>121840.6</v>
      </c>
      <c r="Z126" s="1572"/>
      <c r="AA126" s="1572"/>
      <c r="AB126" s="1572"/>
      <c r="AC126" s="1572">
        <f>AC122</f>
        <v>502202.39999999997</v>
      </c>
      <c r="AD126" s="1572"/>
      <c r="AE126" s="1572">
        <f>AE122</f>
        <v>361537.4</v>
      </c>
      <c r="AF126" s="1572"/>
      <c r="AG126" s="1572">
        <f>AG122</f>
        <v>443989</v>
      </c>
      <c r="AH126" s="1572"/>
      <c r="AI126" s="1572"/>
      <c r="AJ126" s="1572">
        <f>AJ122</f>
        <v>768536.3</v>
      </c>
      <c r="AK126" s="1572"/>
      <c r="AL126" s="1572"/>
      <c r="AM126" s="1572"/>
      <c r="AN126" s="1572">
        <f>AN122</f>
        <v>1233659.7</v>
      </c>
      <c r="AO126" s="1571"/>
      <c r="AV126" s="1570" t="s">
        <v>1846</v>
      </c>
      <c r="AW126" s="1604"/>
      <c r="AX126" s="1902">
        <f>AX124-AX122</f>
        <v>0.55275748544643322</v>
      </c>
      <c r="AY126" s="1895"/>
      <c r="BA126" s="1570">
        <f>20*1.5</f>
        <v>30</v>
      </c>
    </row>
    <row r="127" spans="1:53" s="1570" customFormat="1" ht="15.6">
      <c r="A127" s="1572" t="s">
        <v>1822</v>
      </c>
      <c r="B127" s="1572"/>
      <c r="C127" s="1572"/>
      <c r="D127" s="1572"/>
      <c r="E127" s="1572"/>
      <c r="F127" s="1572"/>
      <c r="G127" s="1572"/>
      <c r="H127" s="1572"/>
      <c r="I127" s="1572"/>
      <c r="J127" s="1572"/>
      <c r="K127" s="1572"/>
      <c r="L127" s="1572"/>
      <c r="M127" s="1572"/>
      <c r="N127" s="1572"/>
      <c r="O127" s="1572"/>
      <c r="P127" s="1572"/>
      <c r="Q127" s="1572">
        <f>'[4]Feed Costing &amp; Appotionment '!K122+'[4]Feed Costing &amp; Appotionment '!O122</f>
        <v>273392.90000000002</v>
      </c>
      <c r="R127" s="1572">
        <f>'[4]Feed Costing &amp; Appotionment '!T122</f>
        <v>47127.5</v>
      </c>
      <c r="S127" s="1572">
        <f>'[4]Feed Costing &amp; Appotionment '!N122</f>
        <v>17559.5</v>
      </c>
      <c r="T127" s="1572"/>
      <c r="U127" s="1572"/>
      <c r="V127" s="1572">
        <f>'[4]Feed Costing &amp; Appotionment '!L122+'[4]Feed Costing &amp; Appotionment '!M122</f>
        <v>117633</v>
      </c>
      <c r="W127" s="1572">
        <f>'[4]Feed Costing &amp; Appotionment '!B122</f>
        <v>29254.2</v>
      </c>
      <c r="X127" s="1572"/>
      <c r="Y127" s="1572">
        <f>'[4]Feed Costing &amp; Appotionment '!C122</f>
        <v>126974</v>
      </c>
      <c r="Z127" s="1572"/>
      <c r="AA127" s="1572"/>
      <c r="AB127" s="1572"/>
      <c r="AC127" s="1572">
        <f>'[4]Feed Costing &amp; Appotionment '!D122+'[4]Feed Costing &amp; Appotionment '!E122</f>
        <v>243037.40000000002</v>
      </c>
      <c r="AD127" s="1572"/>
      <c r="AE127" s="1572">
        <f>'[4]Feed Costing &amp; Appotionment '!F122</f>
        <v>176588.4</v>
      </c>
      <c r="AF127" s="1572"/>
      <c r="AG127" s="1572">
        <f>'[4]Feed Costing &amp; Appotionment '!G122</f>
        <v>59290</v>
      </c>
      <c r="AH127" s="1572"/>
      <c r="AI127" s="1572"/>
      <c r="AJ127" s="1572">
        <f>'[4]Feed Costing &amp; Appotionment '!H122</f>
        <v>949048.7</v>
      </c>
      <c r="AK127" s="1572"/>
      <c r="AL127" s="1572"/>
      <c r="AM127" s="1572"/>
      <c r="AN127" s="1572">
        <f>'[4]Feed Costing &amp; Appotionment '!J122</f>
        <v>710118.55</v>
      </c>
      <c r="AO127" s="1571"/>
      <c r="AW127" s="1604"/>
    </row>
    <row r="128" spans="1:53" s="1570" customFormat="1" ht="15.6">
      <c r="A128" s="1572" t="s">
        <v>1823</v>
      </c>
      <c r="B128" s="1572"/>
      <c r="C128" s="1572"/>
      <c r="D128" s="1572"/>
      <c r="E128" s="1572"/>
      <c r="F128" s="1572"/>
      <c r="G128" s="1572"/>
      <c r="H128" s="1572"/>
      <c r="I128" s="1572"/>
      <c r="J128" s="1572"/>
      <c r="K128" s="1572"/>
      <c r="L128" s="1572"/>
      <c r="M128" s="1572"/>
      <c r="N128" s="1572"/>
      <c r="O128" s="1572"/>
      <c r="P128" s="1572"/>
      <c r="Q128" s="1572">
        <f>Q126-Q127</f>
        <v>-32783.300000000076</v>
      </c>
      <c r="R128" s="1572">
        <f>R126-R127</f>
        <v>-16747.5</v>
      </c>
      <c r="S128" s="1572">
        <f>S126-S127</f>
        <v>668.5</v>
      </c>
      <c r="T128" s="1572"/>
      <c r="U128" s="1572"/>
      <c r="V128" s="1572">
        <f>SUM(T126:V126)-V127</f>
        <v>16039</v>
      </c>
      <c r="W128" s="1572">
        <f>W126-W127</f>
        <v>6763.2499999999964</v>
      </c>
      <c r="X128" s="1572">
        <f>X126-X127</f>
        <v>0</v>
      </c>
      <c r="Y128" s="1572">
        <f>Y126-Y127</f>
        <v>-5133.3999999999942</v>
      </c>
      <c r="Z128" s="1572"/>
      <c r="AA128" s="1572"/>
      <c r="AB128" s="1572"/>
      <c r="AC128" s="1572">
        <f>AC126-AC127</f>
        <v>259164.99999999994</v>
      </c>
      <c r="AD128" s="1572"/>
      <c r="AE128" s="1572">
        <f>AE126-AE127</f>
        <v>184949.00000000003</v>
      </c>
      <c r="AF128" s="1572"/>
      <c r="AG128" s="1572">
        <f>AG126-AG127</f>
        <v>384699</v>
      </c>
      <c r="AH128" s="1572"/>
      <c r="AI128" s="1572"/>
      <c r="AJ128" s="1572">
        <f>AJ126-AJ127</f>
        <v>-180512.39999999991</v>
      </c>
      <c r="AK128" s="1572"/>
      <c r="AL128" s="1572"/>
      <c r="AM128" s="1572"/>
      <c r="AN128" s="1572">
        <f>AN126-AN127</f>
        <v>523541.14999999991</v>
      </c>
      <c r="AO128" s="1571"/>
      <c r="AW128" s="1604" t="s">
        <v>1847</v>
      </c>
      <c r="AX128" s="1893">
        <f>'[83]Sales USD'!$AD$12</f>
        <v>94.300437187723062</v>
      </c>
    </row>
    <row r="129" spans="1:55" s="1559" customFormat="1" ht="15.6">
      <c r="A129" s="1572" t="s">
        <v>1824</v>
      </c>
      <c r="B129" s="1567"/>
      <c r="C129" s="1567"/>
      <c r="D129" s="1567"/>
      <c r="E129" s="1567"/>
      <c r="F129" s="1567"/>
      <c r="G129" s="1567"/>
      <c r="H129" s="1567"/>
      <c r="I129" s="1567"/>
      <c r="J129" s="1567"/>
      <c r="K129" s="1567"/>
      <c r="L129" s="1567"/>
      <c r="M129" s="1567"/>
      <c r="N129" s="1567"/>
      <c r="O129" s="1567"/>
      <c r="P129" s="1567"/>
      <c r="Q129" s="1574">
        <f>('[4]Feed Costing &amp; Appotionment '!K123+'[4]Feed Costing &amp; Appotionment '!O123)/('[4]Feed Costing &amp; Appotionment '!K122+'[4]Feed Costing &amp; Appotionment '!O122)</f>
        <v>0.33022565021567968</v>
      </c>
      <c r="R129" s="1571">
        <f>'[4]Feed Costing &amp; Appotionment '!T124</f>
        <v>0.37880590011098036</v>
      </c>
      <c r="S129" s="1571">
        <f>'[4]Feed Costing &amp; Appotionment '!N124</f>
        <v>0.36773334194341661</v>
      </c>
      <c r="T129" s="1567"/>
      <c r="U129" s="1567"/>
      <c r="V129" s="1571">
        <f>('[4]Feed Costing &amp; Appotionment '!M123+'[4]Feed Costing &amp; Appotionment '!L123)/('[4]Feed Costing &amp; Appotionment '!L122+'[4]Feed Costing &amp; Appotionment '!M122)</f>
        <v>0.38986305594770371</v>
      </c>
      <c r="W129" s="1571">
        <f>'[4]Feed Costing &amp; Appotionment '!B124</f>
        <v>0.70516028376225237</v>
      </c>
      <c r="X129" s="1567"/>
      <c r="Y129" s="1571">
        <f>'[4]Feed Costing &amp; Appotionment '!C124</f>
        <v>0.553048745740369</v>
      </c>
      <c r="Z129" s="1567"/>
      <c r="AA129" s="1571"/>
      <c r="AB129" s="1567"/>
      <c r="AC129" s="1571">
        <f>'[4]Feed Costing &amp; Appotionment '!D124</f>
        <v>0.45761789674138609</v>
      </c>
      <c r="AD129" s="1567"/>
      <c r="AE129" s="1571">
        <f>'[4]Feed Costing &amp; Appotionment '!F124</f>
        <v>0.36072118784213153</v>
      </c>
      <c r="AF129" s="1567"/>
      <c r="AG129" s="1571">
        <f>'[4]Feed Costing &amp; Appotionment '!G124</f>
        <v>0.35277419368699731</v>
      </c>
      <c r="AH129" s="1567"/>
      <c r="AI129" s="1567"/>
      <c r="AJ129" s="1571">
        <f>'[4]Feed Costing &amp; Appotionment '!H124</f>
        <v>0.32545898419719504</v>
      </c>
      <c r="AK129" s="1567"/>
      <c r="AL129" s="1567"/>
      <c r="AM129" s="1567"/>
      <c r="AN129" s="1571">
        <f>'[4]Feed Costing &amp; Appotionment '!J124</f>
        <v>0.34727367194923103</v>
      </c>
      <c r="AO129" s="1571"/>
      <c r="AP129" s="1570"/>
      <c r="AU129" s="1570"/>
      <c r="AW129" s="1559" t="s">
        <v>1848</v>
      </c>
      <c r="AX129" s="1893">
        <f>SUM('[84]Triple C IS Consolidated '!$H$10:$H$11)/SUM('[84]Triple C IS Consolidated '!$H$6:$H$7)</f>
        <v>88.290662174110849</v>
      </c>
      <c r="AY129" s="1893">
        <f>SUM('[84]Triple C IS Consolidated '!$F$10:$F$11)/SUM('[84]Triple C IS Consolidated '!$F$6:$F$7)</f>
        <v>88.291402023295944</v>
      </c>
    </row>
    <row r="130" spans="1:55" s="1559" customFormat="1" ht="15.6">
      <c r="A130" s="1572" t="s">
        <v>1825</v>
      </c>
      <c r="B130" s="1567"/>
      <c r="C130" s="1567"/>
      <c r="D130" s="1567"/>
      <c r="E130" s="1567"/>
      <c r="F130" s="1567"/>
      <c r="G130" s="1567"/>
      <c r="H130" s="1567"/>
      <c r="I130" s="1567"/>
      <c r="J130" s="1567"/>
      <c r="K130" s="1567"/>
      <c r="L130" s="1567"/>
      <c r="M130" s="1567"/>
      <c r="N130" s="1567"/>
      <c r="O130" s="1567"/>
      <c r="P130" s="1567"/>
      <c r="Q130" s="1574">
        <f>Q128*Q129</f>
        <v>-10825.886558715716</v>
      </c>
      <c r="R130" s="1574">
        <f>R128*R129</f>
        <v>-6344.0518121086434</v>
      </c>
      <c r="S130" s="1574">
        <f>S128*S129</f>
        <v>245.82973908917401</v>
      </c>
      <c r="T130" s="1567"/>
      <c r="U130" s="1567"/>
      <c r="V130" s="1574">
        <f>V128*V129</f>
        <v>6253.0135543452197</v>
      </c>
      <c r="W130" s="1574">
        <f>W128*W129</f>
        <v>4769.1752891550505</v>
      </c>
      <c r="X130" s="1567"/>
      <c r="Y130" s="1574">
        <f>Y128*Y129</f>
        <v>-2839.020431383607</v>
      </c>
      <c r="Z130" s="1567"/>
      <c r="AA130" s="1574"/>
      <c r="AB130" s="1567"/>
      <c r="AC130" s="1574">
        <f>AC128*AC129</f>
        <v>118598.54220898129</v>
      </c>
      <c r="AD130" s="1567"/>
      <c r="AE130" s="1574">
        <f>AE128*AE129</f>
        <v>66715.022970214399</v>
      </c>
      <c r="AF130" s="1567"/>
      <c r="AG130" s="1574">
        <f>AG128*AG129</f>
        <v>135711.87953719418</v>
      </c>
      <c r="AH130" s="1567"/>
      <c r="AI130" s="1567"/>
      <c r="AJ130" s="1574">
        <f>AJ128*AJ129</f>
        <v>-58749.382338997719</v>
      </c>
      <c r="AK130" s="1567"/>
      <c r="AL130" s="1567"/>
      <c r="AM130" s="1567"/>
      <c r="AN130" s="1574">
        <f>AN128*AN129</f>
        <v>181812.05757702314</v>
      </c>
      <c r="AO130" s="1571"/>
      <c r="AP130" s="1575"/>
      <c r="AU130" s="1570"/>
    </row>
    <row r="132" spans="1:55">
      <c r="AW132" s="142" t="s">
        <v>1849</v>
      </c>
      <c r="AX132" s="818">
        <f>AX128-AX129</f>
        <v>6.009775013612213</v>
      </c>
    </row>
    <row r="133" spans="1:55">
      <c r="AW133" s="142" t="s">
        <v>1850</v>
      </c>
      <c r="AX133" s="1059">
        <f>AX132*'[83]Sales USD'!$AK$12*'[83]Sales USD'!$P$12</f>
        <v>164574.46417199986</v>
      </c>
    </row>
    <row r="135" spans="1:55">
      <c r="AU135" s="1057">
        <f>'Richlands Pig Cost'!AN28+'Villa Pig Cost'!AP28+'Lionhead Ext. Pig Cost'!AO28+'Lionhead Pig Cost'!AO28+'Learig Pig Cost'!AP28+'Learig Pig Cost'!AO28+'Grasmere Pig Cost'!AP28+'Grasmere Pig Cost'!AO28+'Grasmere Pig Cost'!AN28</f>
        <v>-3083</v>
      </c>
    </row>
    <row r="136" spans="1:55">
      <c r="AU136" s="1057">
        <f>AU135*'[85]Sales USD'!$AL$12*'[85]Sales USD'!$AU$12</f>
        <v>-682157.96136795403</v>
      </c>
    </row>
    <row r="137" spans="1:55">
      <c r="AW137" s="142">
        <f>-SUM('Grasmere Pig Cost'!AF28:AP28)</f>
        <v>1109</v>
      </c>
    </row>
    <row r="138" spans="1:55">
      <c r="AW138" s="142">
        <f>(-'Learig Pig Cost'!AP28-'Lionhead Pig Cost'!AO28-'Lionhead Ext. Pig Cost'!AO28-'Villa Pig Cost'!AP28-'Richlands Pig Cost'!AN28)</f>
        <v>1973</v>
      </c>
    </row>
    <row r="139" spans="1:55">
      <c r="AW139" s="142">
        <f>SUM(AW137:AW138)</f>
        <v>3082</v>
      </c>
      <c r="BC139" s="142">
        <v>-2289.3747812397778</v>
      </c>
    </row>
    <row r="140" spans="1:55">
      <c r="AW140" s="142">
        <f>AW139*92*2.44</f>
        <v>691847.36</v>
      </c>
    </row>
    <row r="157" spans="49:49">
      <c r="AW157" s="142">
        <v>5037.5467206045032</v>
      </c>
    </row>
  </sheetData>
  <pageMargins left="0.7" right="0.7" top="0.75" bottom="0.75" header="0.3" footer="0.3"/>
  <pageSetup paperSize="9" scale="11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62">
    <tabColor theme="6" tint="-0.249977111117893"/>
  </sheetPr>
  <dimension ref="A1:AG387"/>
  <sheetViews>
    <sheetView view="pageBreakPreview" zoomScale="60" zoomScaleNormal="82" zoomScaleSheetLayoutView="56" workbookViewId="0">
      <pane xSplit="2" ySplit="3" topLeftCell="I298" activePane="bottomRight" state="frozen"/>
      <selection pane="bottomRight" activeCell="H276" sqref="H276"/>
      <selection pane="bottomLeft" activeCell="A4" sqref="A4"/>
      <selection pane="topRight" activeCell="C1" sqref="C1"/>
    </sheetView>
  </sheetViews>
  <sheetFormatPr defaultColWidth="9.140625" defaultRowHeight="15"/>
  <cols>
    <col min="1" max="1" width="52.7109375" style="142" customWidth="1"/>
    <col min="2" max="2" width="19.140625" style="142" customWidth="1"/>
    <col min="3" max="3" width="28" style="142" bestFit="1" customWidth="1"/>
    <col min="4" max="4" width="28.42578125" style="142" bestFit="1" customWidth="1"/>
    <col min="5" max="5" width="27.140625" style="142" customWidth="1"/>
    <col min="6" max="6" width="26.28515625" style="142" customWidth="1"/>
    <col min="7" max="7" width="37.28515625" style="142" bestFit="1" customWidth="1"/>
    <col min="8" max="8" width="26.28515625" style="142" bestFit="1" customWidth="1"/>
    <col min="9" max="9" width="27" style="142" bestFit="1" customWidth="1"/>
    <col min="10" max="10" width="28" style="142" bestFit="1" customWidth="1"/>
    <col min="11" max="12" width="28.42578125" style="142" bestFit="1" customWidth="1"/>
    <col min="13" max="13" width="20.5703125" style="142" customWidth="1"/>
    <col min="14" max="14" width="28" style="805" bestFit="1" customWidth="1"/>
    <col min="15" max="16" width="28" style="805" customWidth="1"/>
    <col min="17" max="17" width="24.7109375" style="805" bestFit="1" customWidth="1"/>
    <col min="18" max="18" width="28" style="805" bestFit="1" customWidth="1"/>
    <col min="19" max="19" width="24" style="805" hidden="1" customWidth="1"/>
    <col min="20" max="20" width="16.28515625" style="805" hidden="1" customWidth="1"/>
    <col min="21" max="21" width="16.7109375" style="805" hidden="1" customWidth="1"/>
    <col min="22" max="23" width="0" style="805" hidden="1" customWidth="1"/>
    <col min="24" max="25" width="9.140625" style="142"/>
    <col min="26" max="26" width="11.5703125" style="142" bestFit="1" customWidth="1"/>
    <col min="27" max="27" width="25.28515625" style="142" customWidth="1"/>
    <col min="28" max="28" width="18" style="142" customWidth="1"/>
    <col min="29" max="29" width="16.28515625" style="142" bestFit="1" customWidth="1"/>
    <col min="30" max="16384" width="9.140625" style="142"/>
  </cols>
  <sheetData>
    <row r="1" spans="1:13" ht="15.6">
      <c r="A1" s="1090" t="s">
        <v>82</v>
      </c>
      <c r="B1" s="805"/>
      <c r="C1" s="1091"/>
      <c r="D1" s="818"/>
      <c r="E1" s="818"/>
      <c r="G1" s="805"/>
      <c r="H1" s="805"/>
      <c r="I1" s="818"/>
      <c r="J1" s="805"/>
      <c r="K1" s="818"/>
    </row>
    <row r="2" spans="1:13" ht="15.6">
      <c r="A2" s="1090" t="s">
        <v>1851</v>
      </c>
      <c r="B2" s="805"/>
      <c r="D2" s="818"/>
      <c r="E2" s="818"/>
      <c r="G2" s="1864"/>
      <c r="I2" s="1091"/>
      <c r="J2" s="1091"/>
      <c r="K2" s="1091"/>
      <c r="M2" s="805"/>
    </row>
    <row r="3" spans="1:13" ht="16.149999999999999" thickBot="1">
      <c r="A3" s="1092">
        <f>+'Summary Total Pigs'!C3</f>
        <v>46226</v>
      </c>
      <c r="B3" s="805"/>
      <c r="C3" s="805"/>
      <c r="D3" s="805"/>
      <c r="E3" s="805"/>
      <c r="F3" s="805"/>
      <c r="G3" s="818"/>
      <c r="H3" s="1059"/>
      <c r="I3" s="818"/>
    </row>
    <row r="4" spans="1:13" s="805" customFormat="1">
      <c r="A4" s="1580"/>
      <c r="B4" s="1093"/>
      <c r="C4" s="1093"/>
      <c r="D4" s="1581"/>
      <c r="E4" s="1093"/>
      <c r="F4" s="1093"/>
      <c r="G4" s="1580"/>
      <c r="H4" s="1093"/>
      <c r="I4" s="1581"/>
      <c r="J4" s="1093"/>
      <c r="K4" s="1093"/>
      <c r="L4" s="1581"/>
    </row>
    <row r="5" spans="1:13" s="805" customFormat="1" ht="15.6">
      <c r="A5" s="1216"/>
      <c r="B5" s="1094"/>
      <c r="C5" s="1094" t="s">
        <v>1717</v>
      </c>
      <c r="D5" s="1582"/>
      <c r="E5" s="1095"/>
      <c r="F5" s="1095"/>
      <c r="G5" s="1353" t="s">
        <v>1852</v>
      </c>
      <c r="H5" s="1094"/>
      <c r="I5" s="1582"/>
      <c r="J5" s="1094"/>
      <c r="K5" s="1094"/>
      <c r="L5" s="1290" t="s">
        <v>138</v>
      </c>
    </row>
    <row r="6" spans="1:13" s="805" customFormat="1" ht="19.5" customHeight="1">
      <c r="A6" s="1583" t="s">
        <v>218</v>
      </c>
      <c r="B6" s="1094" t="s">
        <v>199</v>
      </c>
      <c r="C6" s="1094" t="s">
        <v>1612</v>
      </c>
      <c r="D6" s="1582" t="s">
        <v>71</v>
      </c>
      <c r="E6" s="1095"/>
      <c r="F6" s="1095"/>
      <c r="G6" s="1353" t="s">
        <v>199</v>
      </c>
      <c r="H6" s="1094" t="s">
        <v>1612</v>
      </c>
      <c r="I6" s="1582" t="s">
        <v>71</v>
      </c>
      <c r="J6" s="1094" t="str">
        <f>+B6</f>
        <v>Cost</v>
      </c>
      <c r="K6" s="1213" t="str">
        <f>+C6</f>
        <v>Fair Value</v>
      </c>
      <c r="L6" s="1584" t="str">
        <f>+D6</f>
        <v>Total</v>
      </c>
    </row>
    <row r="7" spans="1:13" s="805" customFormat="1">
      <c r="A7" s="1216" t="s">
        <v>1836</v>
      </c>
      <c r="B7" s="1510">
        <f>'[2]Total Pigs'!$B$37</f>
        <v>2009906.6592337792</v>
      </c>
      <c r="C7" s="1510">
        <f>'[2]Total Pigs'!$C$37</f>
        <v>488562.45131405513</v>
      </c>
      <c r="D7" s="1290">
        <f>+B7+C7</f>
        <v>2498469.1105478341</v>
      </c>
      <c r="E7" s="1095"/>
      <c r="F7" s="1095"/>
      <c r="G7" s="1510">
        <f>'[2]Total Pigs'!$G$37</f>
        <v>325363.58463262027</v>
      </c>
      <c r="H7" s="1510">
        <f>'[2]Total Pigs'!$H$37</f>
        <v>593658.56637388456</v>
      </c>
      <c r="I7" s="1510">
        <f>SUM(G7:H7)</f>
        <v>919022.15100650489</v>
      </c>
      <c r="J7" s="1095">
        <f>+B7+G7</f>
        <v>2335270.2438663994</v>
      </c>
      <c r="K7" s="1095">
        <f>+C7+H7</f>
        <v>1082221.0176879396</v>
      </c>
      <c r="L7" s="1290">
        <f>SUM(J7:K7)</f>
        <v>3417491.261554339</v>
      </c>
    </row>
    <row r="8" spans="1:13" s="805" customFormat="1">
      <c r="A8" s="1216" t="s">
        <v>1853</v>
      </c>
      <c r="B8" s="1095">
        <f>+'Grasmere Pig Cost'!AU40</f>
        <v>1421181.1</v>
      </c>
      <c r="C8" s="1095"/>
      <c r="D8" s="1290">
        <f>+B8+C8</f>
        <v>1421181.1</v>
      </c>
      <c r="E8" s="1095"/>
      <c r="F8" s="1095"/>
      <c r="G8" s="1216">
        <f>+'Non Current'!C7</f>
        <v>45852.9</v>
      </c>
      <c r="H8" s="1095"/>
      <c r="I8" s="1290">
        <f>+H8+G8+10074-1333</f>
        <v>54593.9</v>
      </c>
      <c r="J8" s="1095">
        <v>-1333</v>
      </c>
      <c r="K8" s="1095">
        <f t="shared" ref="K8:K18" si="0">+C8+H8</f>
        <v>0</v>
      </c>
      <c r="L8" s="1290">
        <f t="shared" ref="L8:L18" si="1">SUM(J8:K8)</f>
        <v>-1333</v>
      </c>
    </row>
    <row r="9" spans="1:13" s="805" customFormat="1">
      <c r="A9" s="1216" t="s">
        <v>1854</v>
      </c>
      <c r="B9" s="1095"/>
      <c r="C9" s="1095"/>
      <c r="D9" s="1290">
        <f t="shared" ref="D9:D18" si="2">+B9+C9</f>
        <v>0</v>
      </c>
      <c r="E9" s="1095"/>
      <c r="F9" s="1095"/>
      <c r="G9" s="1216">
        <f>+'Non Current'!C8</f>
        <v>0</v>
      </c>
      <c r="H9" s="1095"/>
      <c r="I9" s="1290">
        <f>+H9+G9</f>
        <v>0</v>
      </c>
      <c r="J9" s="1095">
        <f t="shared" ref="J9:J18" si="3">+B9+G9</f>
        <v>0</v>
      </c>
      <c r="K9" s="1095">
        <f t="shared" si="0"/>
        <v>0</v>
      </c>
      <c r="L9" s="1290">
        <f t="shared" si="1"/>
        <v>0</v>
      </c>
    </row>
    <row r="10" spans="1:13" s="805" customFormat="1">
      <c r="A10" s="1216" t="s">
        <v>1855</v>
      </c>
      <c r="B10" s="1095"/>
      <c r="C10" s="1095"/>
      <c r="D10" s="1290">
        <f t="shared" si="2"/>
        <v>0</v>
      </c>
      <c r="E10" s="1095"/>
      <c r="F10" s="1095"/>
      <c r="G10" s="1216"/>
      <c r="H10" s="1095"/>
      <c r="I10" s="1290">
        <f t="shared" ref="I10:I18" si="4">+H10+G10</f>
        <v>0</v>
      </c>
      <c r="J10" s="1095">
        <f t="shared" si="3"/>
        <v>0</v>
      </c>
      <c r="K10" s="1095">
        <f t="shared" si="0"/>
        <v>0</v>
      </c>
      <c r="L10" s="1290">
        <f t="shared" si="1"/>
        <v>0</v>
      </c>
    </row>
    <row r="11" spans="1:13" s="805" customFormat="1">
      <c r="A11" s="1216" t="s">
        <v>1856</v>
      </c>
      <c r="B11" s="1095"/>
      <c r="C11" s="1095"/>
      <c r="D11" s="1290">
        <f t="shared" si="2"/>
        <v>0</v>
      </c>
      <c r="E11" s="1095"/>
      <c r="F11" s="1095"/>
      <c r="G11" s="1216"/>
      <c r="H11" s="1095"/>
      <c r="I11" s="1290">
        <f t="shared" si="4"/>
        <v>0</v>
      </c>
      <c r="J11" s="1095">
        <f t="shared" si="3"/>
        <v>0</v>
      </c>
      <c r="K11" s="1095">
        <f t="shared" si="0"/>
        <v>0</v>
      </c>
      <c r="L11" s="1290">
        <f t="shared" si="1"/>
        <v>0</v>
      </c>
    </row>
    <row r="12" spans="1:13" s="805" customFormat="1">
      <c r="A12" s="1216" t="s">
        <v>1857</v>
      </c>
      <c r="B12" s="1095"/>
      <c r="C12" s="1095"/>
      <c r="D12" s="1290">
        <f t="shared" si="2"/>
        <v>0</v>
      </c>
      <c r="E12" s="1095"/>
      <c r="F12" s="1095"/>
      <c r="G12" s="1216"/>
      <c r="H12" s="1095"/>
      <c r="I12" s="1290">
        <f t="shared" si="4"/>
        <v>0</v>
      </c>
      <c r="J12" s="1095">
        <f t="shared" si="3"/>
        <v>0</v>
      </c>
      <c r="K12" s="1095">
        <f t="shared" si="0"/>
        <v>0</v>
      </c>
      <c r="L12" s="1290">
        <f t="shared" si="1"/>
        <v>0</v>
      </c>
    </row>
    <row r="13" spans="1:13" s="805" customFormat="1">
      <c r="A13" s="1216" t="s">
        <v>1858</v>
      </c>
      <c r="B13" s="1095"/>
      <c r="C13" s="1095"/>
      <c r="D13" s="1290">
        <f t="shared" si="2"/>
        <v>0</v>
      </c>
      <c r="E13" s="1095"/>
      <c r="F13" s="1095"/>
      <c r="G13" s="1216"/>
      <c r="H13" s="1095"/>
      <c r="I13" s="1290">
        <f t="shared" si="4"/>
        <v>0</v>
      </c>
      <c r="J13" s="1095">
        <f t="shared" si="3"/>
        <v>0</v>
      </c>
      <c r="K13" s="1095">
        <f t="shared" si="0"/>
        <v>0</v>
      </c>
      <c r="L13" s="1290">
        <f t="shared" si="1"/>
        <v>0</v>
      </c>
    </row>
    <row r="14" spans="1:13" s="805" customFormat="1">
      <c r="A14" s="1216" t="s">
        <v>1859</v>
      </c>
      <c r="B14" s="1095"/>
      <c r="C14" s="1095"/>
      <c r="D14" s="1290">
        <f>+B14+C14</f>
        <v>0</v>
      </c>
      <c r="E14" s="1095"/>
      <c r="F14" s="1095"/>
      <c r="G14" s="1216"/>
      <c r="H14" s="1095"/>
      <c r="I14" s="1290">
        <f t="shared" si="4"/>
        <v>0</v>
      </c>
      <c r="J14" s="1095">
        <f t="shared" si="3"/>
        <v>0</v>
      </c>
      <c r="K14" s="1095">
        <f t="shared" si="0"/>
        <v>0</v>
      </c>
      <c r="L14" s="1290">
        <f t="shared" si="1"/>
        <v>0</v>
      </c>
    </row>
    <row r="15" spans="1:13" s="805" customFormat="1">
      <c r="A15" s="1216" t="s">
        <v>1860</v>
      </c>
      <c r="B15" s="1095"/>
      <c r="C15" s="1095"/>
      <c r="D15" s="1290">
        <f t="shared" ref="D15:D16" si="5">+B15+C15</f>
        <v>0</v>
      </c>
      <c r="E15" s="1095"/>
      <c r="F15" s="1095"/>
      <c r="G15" s="1216"/>
      <c r="H15" s="1095"/>
      <c r="I15" s="1290">
        <f t="shared" si="4"/>
        <v>0</v>
      </c>
      <c r="J15" s="1095"/>
      <c r="K15" s="1095"/>
      <c r="L15" s="1290"/>
    </row>
    <row r="16" spans="1:13" s="805" customFormat="1">
      <c r="A16" s="1216" t="s">
        <v>1861</v>
      </c>
      <c r="B16" s="1095"/>
      <c r="C16" s="1095"/>
      <c r="D16" s="1290">
        <f t="shared" si="5"/>
        <v>0</v>
      </c>
      <c r="E16" s="1095"/>
      <c r="F16" s="1095"/>
      <c r="G16" s="1216">
        <f>'Non Current'!C14</f>
        <v>0</v>
      </c>
      <c r="H16" s="1095"/>
      <c r="I16" s="1290">
        <f>+H16+G16</f>
        <v>0</v>
      </c>
      <c r="J16" s="1095"/>
      <c r="K16" s="1095"/>
      <c r="L16" s="1290"/>
    </row>
    <row r="17" spans="1:12" s="805" customFormat="1">
      <c r="A17" s="1216" t="s">
        <v>1862</v>
      </c>
      <c r="B17" s="1095"/>
      <c r="C17" s="1095"/>
      <c r="D17" s="1290">
        <f t="shared" si="2"/>
        <v>0</v>
      </c>
      <c r="E17" s="1095"/>
      <c r="F17" s="1095"/>
      <c r="G17" s="1216">
        <f>+'Non Current'!C15</f>
        <v>1171.627486775812</v>
      </c>
      <c r="H17" s="1095"/>
      <c r="I17" s="1290">
        <f t="shared" si="4"/>
        <v>1171.627486775812</v>
      </c>
      <c r="J17" s="1095">
        <f t="shared" si="3"/>
        <v>1171.627486775812</v>
      </c>
      <c r="K17" s="1095">
        <f t="shared" si="0"/>
        <v>0</v>
      </c>
      <c r="L17" s="1290">
        <f t="shared" si="1"/>
        <v>1171.627486775812</v>
      </c>
    </row>
    <row r="18" spans="1:12" s="805" customFormat="1">
      <c r="A18" s="1216" t="s">
        <v>1863</v>
      </c>
      <c r="B18" s="1095"/>
      <c r="C18" s="1095"/>
      <c r="D18" s="1290">
        <f t="shared" si="2"/>
        <v>0</v>
      </c>
      <c r="E18" s="1095"/>
      <c r="F18" s="1095"/>
      <c r="G18" s="1216">
        <f>+'Non Current'!C16</f>
        <v>0</v>
      </c>
      <c r="H18" s="1095"/>
      <c r="I18" s="1290">
        <f t="shared" si="4"/>
        <v>0</v>
      </c>
      <c r="J18" s="1095">
        <f t="shared" si="3"/>
        <v>0</v>
      </c>
      <c r="K18" s="1095">
        <f t="shared" si="0"/>
        <v>0</v>
      </c>
      <c r="L18" s="1290">
        <f t="shared" si="1"/>
        <v>0</v>
      </c>
    </row>
    <row r="19" spans="1:12" s="1102" customFormat="1" ht="15.6">
      <c r="A19" s="1288" t="s">
        <v>71</v>
      </c>
      <c r="B19" s="1287">
        <f>SUM(B7:B18)</f>
        <v>3431087.7592337793</v>
      </c>
      <c r="C19" s="1287">
        <f>SUM(C7:C18)</f>
        <v>488562.45131405513</v>
      </c>
      <c r="D19" s="1289">
        <f>SUM(D7:D18)</f>
        <v>3919650.2105478342</v>
      </c>
      <c r="E19" s="1213">
        <f>SUM(E7:E8)</f>
        <v>0</v>
      </c>
      <c r="F19" s="1213">
        <f t="shared" ref="F19:K19" si="6">SUM(F7:F8)</f>
        <v>0</v>
      </c>
      <c r="G19" s="1288">
        <f>SUM(G7:G18)</f>
        <v>372388.1121193961</v>
      </c>
      <c r="H19" s="1287">
        <f t="shared" si="6"/>
        <v>593658.56637388456</v>
      </c>
      <c r="I19" s="1289">
        <f>SUM(I7:I18)</f>
        <v>974787.67849328078</v>
      </c>
      <c r="J19" s="1289">
        <f>SUM(J7:J18)</f>
        <v>2335108.871353175</v>
      </c>
      <c r="K19" s="1287">
        <f t="shared" si="6"/>
        <v>1082221.0176879396</v>
      </c>
      <c r="L19" s="1289">
        <f>SUM(L7:L18)</f>
        <v>3417329.8890411146</v>
      </c>
    </row>
    <row r="20" spans="1:12" s="805" customFormat="1">
      <c r="A20" s="1216" t="s">
        <v>1864</v>
      </c>
      <c r="B20" s="1095"/>
      <c r="C20" s="1095"/>
      <c r="D20" s="1290">
        <f>+C20+B20</f>
        <v>0</v>
      </c>
      <c r="E20" s="1095"/>
      <c r="F20" s="1095"/>
      <c r="G20" s="1216"/>
      <c r="H20" s="1095"/>
      <c r="I20" s="1290">
        <f t="shared" ref="I20:I26" si="7">+H20+G20</f>
        <v>0</v>
      </c>
      <c r="J20" s="1095">
        <f>+B20+G20</f>
        <v>0</v>
      </c>
      <c r="K20" s="1095">
        <f>+C20+H20</f>
        <v>0</v>
      </c>
      <c r="L20" s="1290">
        <f>SUM(J20:K20)</f>
        <v>0</v>
      </c>
    </row>
    <row r="21" spans="1:12" s="805" customFormat="1">
      <c r="A21" s="1216" t="s">
        <v>169</v>
      </c>
      <c r="B21" s="1099">
        <f>+'Grasmere Pig Cost'!AU57</f>
        <v>-58078.645417852487</v>
      </c>
      <c r="C21" s="1095"/>
      <c r="D21" s="1290">
        <f t="shared" ref="D21:D35" si="8">+C21+B21</f>
        <v>-58078.645417852487</v>
      </c>
      <c r="E21" s="1095"/>
      <c r="F21" s="1095"/>
      <c r="G21" s="1216">
        <f>+'Non Current'!C18</f>
        <v>-2656.0435440603815</v>
      </c>
      <c r="H21" s="1095"/>
      <c r="I21" s="1290">
        <f t="shared" si="7"/>
        <v>-2656.0435440603815</v>
      </c>
      <c r="J21" s="1095">
        <f t="shared" ref="J21:J36" si="9">+B21+G21</f>
        <v>-60734.688961912871</v>
      </c>
      <c r="K21" s="1095">
        <f t="shared" ref="K21:K35" si="10">+C21+H21</f>
        <v>0</v>
      </c>
      <c r="L21" s="1290">
        <f t="shared" ref="L21:L36" si="11">SUM(J21:K21)</f>
        <v>-60734.688961912871</v>
      </c>
    </row>
    <row r="22" spans="1:12" s="805" customFormat="1">
      <c r="A22" s="1216" t="s">
        <v>229</v>
      </c>
      <c r="B22" s="1099">
        <f>+'Grasmere Pig Cost'!AU58</f>
        <v>-1578.4290918798229</v>
      </c>
      <c r="C22" s="1095"/>
      <c r="D22" s="1290">
        <f>+C22+B22</f>
        <v>-1578.4290918798229</v>
      </c>
      <c r="E22" s="1095"/>
      <c r="F22" s="1095"/>
      <c r="G22" s="1216">
        <f>+'Non Current'!C19</f>
        <v>-5810.0952526320843</v>
      </c>
      <c r="H22" s="1095"/>
      <c r="I22" s="1290">
        <f t="shared" si="7"/>
        <v>-5810.0952526320843</v>
      </c>
      <c r="J22" s="1095">
        <f>+B22+G22</f>
        <v>-7388.5243445119067</v>
      </c>
      <c r="K22" s="1095">
        <f t="shared" si="10"/>
        <v>0</v>
      </c>
      <c r="L22" s="1290">
        <f t="shared" si="11"/>
        <v>-7388.5243445119067</v>
      </c>
    </row>
    <row r="23" spans="1:12" s="805" customFormat="1">
      <c r="A23" s="1216" t="s">
        <v>231</v>
      </c>
      <c r="B23" s="1099">
        <f>+'Grasmere Pig Cost'!AU59</f>
        <v>0</v>
      </c>
      <c r="C23" s="1095"/>
      <c r="D23" s="1290">
        <f t="shared" si="8"/>
        <v>0</v>
      </c>
      <c r="E23" s="1095"/>
      <c r="F23" s="1095"/>
      <c r="G23" s="1216">
        <f>+'Non Current'!C20</f>
        <v>0</v>
      </c>
      <c r="H23" s="1095"/>
      <c r="I23" s="1290">
        <f t="shared" si="7"/>
        <v>0</v>
      </c>
      <c r="J23" s="1095">
        <f t="shared" si="9"/>
        <v>0</v>
      </c>
      <c r="K23" s="1095">
        <f t="shared" si="10"/>
        <v>0</v>
      </c>
      <c r="L23" s="1290">
        <f t="shared" si="11"/>
        <v>0</v>
      </c>
    </row>
    <row r="24" spans="1:12" s="805" customFormat="1">
      <c r="A24" s="1216" t="s">
        <v>232</v>
      </c>
      <c r="B24" s="1099">
        <f>+'Grasmere Pig Cost'!AU60</f>
        <v>-5586.6546073566951</v>
      </c>
      <c r="C24" s="1095"/>
      <c r="D24" s="1290">
        <f t="shared" si="8"/>
        <v>-5586.6546073566951</v>
      </c>
      <c r="E24" s="1095"/>
      <c r="F24" s="1095"/>
      <c r="G24" s="1216">
        <f>+'Non Current'!C21</f>
        <v>0</v>
      </c>
      <c r="H24" s="1095"/>
      <c r="I24" s="1290">
        <f t="shared" si="7"/>
        <v>0</v>
      </c>
      <c r="J24" s="1095">
        <f t="shared" si="9"/>
        <v>-5586.6546073566951</v>
      </c>
      <c r="K24" s="1095">
        <f t="shared" si="10"/>
        <v>0</v>
      </c>
      <c r="L24" s="1290">
        <f t="shared" si="11"/>
        <v>-5586.6546073566951</v>
      </c>
    </row>
    <row r="25" spans="1:12" s="805" customFormat="1">
      <c r="A25" s="1216" t="s">
        <v>227</v>
      </c>
      <c r="B25" s="1099">
        <f>+'Grasmere Pig Cost'!AU61</f>
        <v>-1228053.4919095179</v>
      </c>
      <c r="C25" s="1095"/>
      <c r="D25" s="1290">
        <f>+C25+B25</f>
        <v>-1228053.4919095179</v>
      </c>
      <c r="E25" s="1095"/>
      <c r="F25" s="1095"/>
      <c r="G25" s="1216">
        <f>+'Non Current'!C22</f>
        <v>-6642.3480287731345</v>
      </c>
      <c r="H25" s="1095"/>
      <c r="I25" s="1290">
        <f t="shared" si="7"/>
        <v>-6642.3480287731345</v>
      </c>
      <c r="J25" s="1095">
        <f t="shared" si="9"/>
        <v>-1234695.8399382911</v>
      </c>
      <c r="K25" s="1095">
        <f t="shared" si="10"/>
        <v>0</v>
      </c>
      <c r="L25" s="1290">
        <f t="shared" si="11"/>
        <v>-1234695.8399382911</v>
      </c>
    </row>
    <row r="26" spans="1:12" s="805" customFormat="1">
      <c r="A26" s="1095" t="s">
        <v>1865</v>
      </c>
      <c r="B26" s="1099">
        <f>+'Grasmere Pig Cost'!AU45</f>
        <v>0</v>
      </c>
      <c r="C26" s="1095"/>
      <c r="D26" s="1290">
        <f t="shared" si="8"/>
        <v>0</v>
      </c>
      <c r="E26" s="1095"/>
      <c r="F26" s="1095"/>
      <c r="G26" s="1216">
        <f>+'Non Current'!C25</f>
        <v>0</v>
      </c>
      <c r="H26" s="1095"/>
      <c r="I26" s="1290">
        <f t="shared" si="7"/>
        <v>0</v>
      </c>
      <c r="J26" s="1095">
        <f t="shared" si="9"/>
        <v>0</v>
      </c>
      <c r="K26" s="1095">
        <f t="shared" si="10"/>
        <v>0</v>
      </c>
      <c r="L26" s="1290">
        <f t="shared" si="11"/>
        <v>0</v>
      </c>
    </row>
    <row r="27" spans="1:12" s="805" customFormat="1">
      <c r="A27" s="1095" t="s">
        <v>1866</v>
      </c>
      <c r="B27" s="1099">
        <f>+'Grasmere Pig Cost'!AU46</f>
        <v>0</v>
      </c>
      <c r="C27" s="1095"/>
      <c r="D27" s="1290">
        <f t="shared" si="8"/>
        <v>0</v>
      </c>
      <c r="E27" s="1095"/>
      <c r="F27" s="1095"/>
      <c r="G27" s="1216"/>
      <c r="H27" s="1095"/>
      <c r="I27" s="1290">
        <f t="shared" ref="I27:I35" si="12">+H27+G27</f>
        <v>0</v>
      </c>
      <c r="J27" s="1095">
        <f t="shared" si="9"/>
        <v>0</v>
      </c>
      <c r="K27" s="1095">
        <f t="shared" si="10"/>
        <v>0</v>
      </c>
      <c r="L27" s="1290">
        <f t="shared" si="11"/>
        <v>0</v>
      </c>
    </row>
    <row r="28" spans="1:12" s="805" customFormat="1">
      <c r="A28" s="1095" t="s">
        <v>1867</v>
      </c>
      <c r="B28" s="1099">
        <f>+'Grasmere Pig Cost'!AU47</f>
        <v>0</v>
      </c>
      <c r="C28" s="1095"/>
      <c r="D28" s="1290">
        <f t="shared" si="8"/>
        <v>0</v>
      </c>
      <c r="E28" s="1095"/>
      <c r="F28" s="1095"/>
      <c r="G28" s="1216">
        <f>+'Non Current'!C24</f>
        <v>0</v>
      </c>
      <c r="H28" s="1095"/>
      <c r="I28" s="1290">
        <f t="shared" si="12"/>
        <v>0</v>
      </c>
      <c r="J28" s="1095">
        <f t="shared" si="9"/>
        <v>0</v>
      </c>
      <c r="K28" s="1095">
        <f t="shared" si="10"/>
        <v>0</v>
      </c>
      <c r="L28" s="1290">
        <f t="shared" si="11"/>
        <v>0</v>
      </c>
    </row>
    <row r="29" spans="1:12" s="805" customFormat="1">
      <c r="A29" s="1095" t="s">
        <v>1868</v>
      </c>
      <c r="B29" s="1099">
        <f>+'Grasmere Pig Cost'!AU48</f>
        <v>-54416.313605124757</v>
      </c>
      <c r="C29" s="1095"/>
      <c r="D29" s="1290">
        <f t="shared" si="8"/>
        <v>-54416.313605124757</v>
      </c>
      <c r="E29" s="1095"/>
      <c r="F29" s="1095"/>
      <c r="G29" s="1216"/>
      <c r="H29" s="1095"/>
      <c r="I29" s="1290">
        <f t="shared" si="12"/>
        <v>0</v>
      </c>
      <c r="J29" s="1095">
        <f t="shared" si="9"/>
        <v>-54416.313605124757</v>
      </c>
      <c r="K29" s="1095">
        <f t="shared" si="10"/>
        <v>0</v>
      </c>
      <c r="L29" s="1290">
        <f t="shared" si="11"/>
        <v>-54416.313605124757</v>
      </c>
    </row>
    <row r="30" spans="1:12" s="805" customFormat="1">
      <c r="A30" s="1095" t="s">
        <v>1869</v>
      </c>
      <c r="B30" s="1099">
        <f>+'Grasmere Pig Cost'!AU49</f>
        <v>0</v>
      </c>
      <c r="C30" s="1095"/>
      <c r="D30" s="1290">
        <f t="shared" si="8"/>
        <v>0</v>
      </c>
      <c r="E30" s="1095"/>
      <c r="F30" s="1095"/>
      <c r="G30" s="1216">
        <f>+'Non Current'!C26</f>
        <v>0</v>
      </c>
      <c r="H30" s="1095"/>
      <c r="I30" s="1290">
        <f>+H30+G30</f>
        <v>0</v>
      </c>
      <c r="J30" s="1095">
        <f t="shared" si="9"/>
        <v>0</v>
      </c>
      <c r="K30" s="1095">
        <f t="shared" si="10"/>
        <v>0</v>
      </c>
      <c r="L30" s="1290">
        <f t="shared" si="11"/>
        <v>0</v>
      </c>
    </row>
    <row r="31" spans="1:12" s="805" customFormat="1">
      <c r="A31" s="1095" t="s">
        <v>1870</v>
      </c>
      <c r="B31" s="1099">
        <f>+'Grasmere Pig Cost'!AU50</f>
        <v>0</v>
      </c>
      <c r="C31" s="1095"/>
      <c r="D31" s="1290">
        <f t="shared" si="8"/>
        <v>0</v>
      </c>
      <c r="E31" s="1095"/>
      <c r="F31" s="1095"/>
      <c r="G31" s="1216">
        <f>+'Non Current'!C27</f>
        <v>0</v>
      </c>
      <c r="H31" s="1095"/>
      <c r="I31" s="1290">
        <f>+H31+G31</f>
        <v>0</v>
      </c>
      <c r="J31" s="1095">
        <f t="shared" si="9"/>
        <v>0</v>
      </c>
      <c r="K31" s="1095"/>
      <c r="L31" s="1290"/>
    </row>
    <row r="32" spans="1:12" s="805" customFormat="1">
      <c r="A32" s="1095" t="s">
        <v>1871</v>
      </c>
      <c r="B32" s="1099">
        <f>+'Grasmere Pig Cost'!AU51</f>
        <v>0</v>
      </c>
      <c r="C32" s="1095"/>
      <c r="D32" s="1290">
        <f t="shared" si="8"/>
        <v>0</v>
      </c>
      <c r="E32" s="1095"/>
      <c r="F32" s="1095"/>
      <c r="G32" s="1216">
        <f>+'Non Current'!C28</f>
        <v>0</v>
      </c>
      <c r="H32" s="1095"/>
      <c r="I32" s="1290">
        <f>+H32+G32</f>
        <v>0</v>
      </c>
      <c r="J32" s="1095"/>
      <c r="K32" s="1095"/>
      <c r="L32" s="1290"/>
    </row>
    <row r="33" spans="1:13" s="805" customFormat="1">
      <c r="A33" s="1095" t="s">
        <v>1872</v>
      </c>
      <c r="B33" s="1099">
        <f>+'Grasmere Pig Cost'!AU53</f>
        <v>-1171.627486775812</v>
      </c>
      <c r="C33" s="1095"/>
      <c r="D33" s="1290">
        <f t="shared" si="8"/>
        <v>-1171.627486775812</v>
      </c>
      <c r="E33" s="1095"/>
      <c r="F33" s="1095"/>
      <c r="G33" s="1585"/>
      <c r="H33" s="1095"/>
      <c r="I33" s="1290">
        <f t="shared" si="12"/>
        <v>0</v>
      </c>
      <c r="J33" s="1095">
        <f t="shared" si="9"/>
        <v>-1171.627486775812</v>
      </c>
      <c r="K33" s="1095">
        <f t="shared" si="10"/>
        <v>0</v>
      </c>
      <c r="L33" s="1290">
        <f t="shared" si="11"/>
        <v>-1171.627486775812</v>
      </c>
    </row>
    <row r="34" spans="1:13" s="805" customFormat="1">
      <c r="A34" s="1095" t="s">
        <v>1873</v>
      </c>
      <c r="B34" s="1099">
        <f>+'Grasmere Pig Cost'!AU54</f>
        <v>0</v>
      </c>
      <c r="C34" s="1095"/>
      <c r="D34" s="1290">
        <f t="shared" si="8"/>
        <v>0</v>
      </c>
      <c r="E34" s="1095"/>
      <c r="F34" s="1095"/>
      <c r="G34" s="1585"/>
      <c r="H34" s="1095"/>
      <c r="I34" s="1290">
        <f t="shared" si="12"/>
        <v>0</v>
      </c>
      <c r="J34" s="1095">
        <f t="shared" si="9"/>
        <v>0</v>
      </c>
      <c r="K34" s="1095">
        <f t="shared" si="10"/>
        <v>0</v>
      </c>
      <c r="L34" s="1290">
        <f t="shared" si="11"/>
        <v>0</v>
      </c>
    </row>
    <row r="35" spans="1:13" s="805" customFormat="1">
      <c r="A35" s="1095" t="s">
        <v>1874</v>
      </c>
      <c r="B35" s="1099">
        <f>+'Grasmere Pig Cost'!AU56</f>
        <v>0</v>
      </c>
      <c r="C35" s="1095"/>
      <c r="D35" s="1290">
        <f t="shared" si="8"/>
        <v>0</v>
      </c>
      <c r="E35" s="1095"/>
      <c r="F35" s="1095"/>
      <c r="G35" s="1585"/>
      <c r="H35" s="1095"/>
      <c r="I35" s="1290">
        <f t="shared" si="12"/>
        <v>0</v>
      </c>
      <c r="J35" s="1095">
        <f t="shared" si="9"/>
        <v>0</v>
      </c>
      <c r="K35" s="1095">
        <f t="shared" si="10"/>
        <v>0</v>
      </c>
      <c r="L35" s="1290">
        <f t="shared" si="11"/>
        <v>0</v>
      </c>
    </row>
    <row r="36" spans="1:13" s="805" customFormat="1" ht="15.6">
      <c r="A36" s="1216" t="s">
        <v>1875</v>
      </c>
      <c r="B36" s="1095">
        <v>0</v>
      </c>
      <c r="C36" s="1094">
        <v>-41686.217919779498</v>
      </c>
      <c r="D36" s="1290">
        <f>+C36+B36</f>
        <v>-41686.217919779498</v>
      </c>
      <c r="E36" s="1095"/>
      <c r="F36" s="1095"/>
      <c r="G36" s="1593"/>
      <c r="H36" s="1594">
        <v>-90.783366996794896</v>
      </c>
      <c r="I36" s="1713">
        <f>+H36+G36</f>
        <v>-90.783366996794896</v>
      </c>
      <c r="J36" s="1095">
        <f t="shared" si="9"/>
        <v>0</v>
      </c>
      <c r="K36" s="1095">
        <f>+C36+H36</f>
        <v>-41777.001286776293</v>
      </c>
      <c r="L36" s="1290">
        <f t="shared" si="11"/>
        <v>-41777.001286776293</v>
      </c>
    </row>
    <row r="37" spans="1:13" s="805" customFormat="1" ht="16.149999999999999" thickBot="1">
      <c r="A37" s="1586" t="s">
        <v>1876</v>
      </c>
      <c r="B37" s="1096">
        <f>SUM(B19:B36)</f>
        <v>2082202.5971152722</v>
      </c>
      <c r="C37" s="1096">
        <f>SUM(C19:C36)</f>
        <v>446876.23339427565</v>
      </c>
      <c r="D37" s="1587">
        <f>SUM(D19:D36)</f>
        <v>2529078.8305095481</v>
      </c>
      <c r="E37" s="1103">
        <f>+B37-'Grasmere Pig Cost'!AU62</f>
        <v>-2242572.4123816988</v>
      </c>
      <c r="F37" s="1103"/>
      <c r="G37" s="1586">
        <f>SUM(G19:G36)</f>
        <v>357279.62529393047</v>
      </c>
      <c r="H37" s="1586">
        <f>SUM(H19:H36)</f>
        <v>593567.78300688777</v>
      </c>
      <c r="I37" s="1714">
        <f>SUM(I19:I36)</f>
        <v>959588.40830081841</v>
      </c>
      <c r="J37" s="1096">
        <f t="shared" ref="J37:K37" si="13">SUM(J19:J36)</f>
        <v>971115.22240920214</v>
      </c>
      <c r="K37" s="1096">
        <f t="shared" si="13"/>
        <v>1040444.0164011633</v>
      </c>
      <c r="L37" s="1587">
        <f>SUM(L19:L36)</f>
        <v>2011559.2388103656</v>
      </c>
      <c r="M37" s="1097"/>
    </row>
    <row r="38" spans="1:13" s="805" customFormat="1" ht="15.6">
      <c r="A38" s="1097"/>
      <c r="B38" s="1094"/>
      <c r="C38" s="1094"/>
      <c r="D38" s="1094">
        <f>SUM('Grasmere Valuation '!H9:H40)</f>
        <v>3758952.1921653454</v>
      </c>
      <c r="E38" s="1097"/>
      <c r="F38" s="1097"/>
      <c r="G38" s="1094"/>
      <c r="H38" s="1094"/>
      <c r="I38" s="1094">
        <f>SUM('Grasmere Valuation '!H41:H44)</f>
        <v>859155</v>
      </c>
      <c r="J38" s="1094"/>
      <c r="K38" s="1094"/>
      <c r="L38" s="1097">
        <f>+D38+I38</f>
        <v>4618107.192165345</v>
      </c>
      <c r="M38" s="1097"/>
    </row>
    <row r="39" spans="1:13" s="805" customFormat="1" ht="16.149999999999999" thickBot="1">
      <c r="A39" s="1097"/>
      <c r="B39" s="1094"/>
      <c r="C39" s="1094"/>
      <c r="D39" s="1094">
        <f>+D37-D38</f>
        <v>-1229873.3616557973</v>
      </c>
      <c r="E39" s="1097"/>
      <c r="F39" s="1097"/>
      <c r="G39" s="1094"/>
      <c r="H39" s="1094"/>
      <c r="I39" s="1094">
        <f>+I37-I38</f>
        <v>100433.40830081841</v>
      </c>
      <c r="J39" s="1094"/>
      <c r="K39" s="1094"/>
      <c r="L39" s="1097">
        <f>+L37-L38</f>
        <v>-2606547.9533549794</v>
      </c>
      <c r="M39" s="1097"/>
    </row>
    <row r="40" spans="1:13" s="805" customFormat="1">
      <c r="A40" s="1580"/>
      <c r="B40" s="1093"/>
      <c r="C40" s="1093"/>
      <c r="D40" s="1093"/>
      <c r="E40" s="1580"/>
      <c r="F40" s="1581"/>
      <c r="G40" s="1093"/>
      <c r="H40" s="1093"/>
      <c r="I40" s="1581"/>
      <c r="J40" s="1580"/>
      <c r="K40" s="1093"/>
      <c r="L40" s="1581"/>
    </row>
    <row r="41" spans="1:13" s="805" customFormat="1" ht="15.6">
      <c r="A41" s="1583" t="s">
        <v>1877</v>
      </c>
      <c r="B41" s="1094" t="s">
        <v>199</v>
      </c>
      <c r="C41" s="1094" t="s">
        <v>1612</v>
      </c>
      <c r="D41" s="1094" t="s">
        <v>71</v>
      </c>
      <c r="E41" s="1216"/>
      <c r="F41" s="1290"/>
      <c r="G41" s="1094" t="s">
        <v>199</v>
      </c>
      <c r="H41" s="1094" t="s">
        <v>1612</v>
      </c>
      <c r="I41" s="1582" t="s">
        <v>71</v>
      </c>
      <c r="J41" s="1353" t="str">
        <f>+B41</f>
        <v>Cost</v>
      </c>
      <c r="K41" s="1213" t="str">
        <f>+C41</f>
        <v>Fair Value</v>
      </c>
      <c r="L41" s="1584" t="str">
        <f>+D41</f>
        <v>Total</v>
      </c>
    </row>
    <row r="42" spans="1:13" s="805" customFormat="1">
      <c r="A42" s="1216" t="s">
        <v>1836</v>
      </c>
      <c r="B42" s="1510">
        <f>'[2]Total Pigs'!$B$72</f>
        <v>374641.85727085965</v>
      </c>
      <c r="C42" s="1510">
        <f>'[2]Total Pigs'!$C$72</f>
        <v>91470.270352513544</v>
      </c>
      <c r="D42" s="1095">
        <f>+B42+C42</f>
        <v>466112.12762337318</v>
      </c>
      <c r="E42" s="1216"/>
      <c r="F42" s="1290"/>
      <c r="G42" s="1510">
        <f>'[2]Total Pigs'!$G$72</f>
        <v>181219.41506708908</v>
      </c>
      <c r="H42" s="1510">
        <f>'[2]Total Pigs'!$H$72</f>
        <v>14225.029177382819</v>
      </c>
      <c r="I42" s="1510">
        <f>SUM(G42:H42)</f>
        <v>195444.4442444719</v>
      </c>
      <c r="J42" s="1216">
        <f>+B42+G42</f>
        <v>555861.27233794867</v>
      </c>
      <c r="K42" s="1095">
        <f>+C42+I42</f>
        <v>286914.71459698543</v>
      </c>
      <c r="L42" s="1290">
        <f>SUM(J42:K42)</f>
        <v>842775.98693493404</v>
      </c>
    </row>
    <row r="43" spans="1:13" s="805" customFormat="1">
      <c r="A43" s="1216" t="s">
        <v>1853</v>
      </c>
      <c r="B43" s="1095">
        <f>+'Villa Pig Cost'!AU40</f>
        <v>231716.00000000003</v>
      </c>
      <c r="C43" s="1095"/>
      <c r="D43" s="1095">
        <f t="shared" ref="D43:D53" si="14">+B43+C43</f>
        <v>231716.00000000003</v>
      </c>
      <c r="E43" s="1216"/>
      <c r="F43" s="1290"/>
      <c r="G43" s="1095">
        <f>+'Non Current'!G7</f>
        <v>9067</v>
      </c>
      <c r="H43" s="1095"/>
      <c r="I43" s="1290">
        <f t="shared" ref="I43:I53" si="15">+H43+G43</f>
        <v>9067</v>
      </c>
      <c r="J43" s="1216">
        <f t="shared" ref="J43:J53" si="16">+B43+G43</f>
        <v>240783.00000000003</v>
      </c>
      <c r="K43" s="1095">
        <f t="shared" ref="K43:K53" si="17">+C43+H43</f>
        <v>0</v>
      </c>
      <c r="L43" s="1290">
        <f t="shared" ref="L43:L53" si="18">SUM(J43:K43)</f>
        <v>240783.00000000003</v>
      </c>
    </row>
    <row r="44" spans="1:13" s="805" customFormat="1">
      <c r="A44" s="1216" t="s">
        <v>1878</v>
      </c>
      <c r="B44" s="1095"/>
      <c r="C44" s="1095"/>
      <c r="D44" s="1095">
        <f t="shared" si="14"/>
        <v>0</v>
      </c>
      <c r="E44" s="1216"/>
      <c r="F44" s="1290"/>
      <c r="G44" s="1095">
        <f>+'Non Current'!G8</f>
        <v>-97.017972351651125</v>
      </c>
      <c r="H44" s="1095"/>
      <c r="I44" s="1290"/>
      <c r="J44" s="1216">
        <f t="shared" si="16"/>
        <v>-97.017972351651125</v>
      </c>
      <c r="K44" s="1095">
        <f t="shared" si="17"/>
        <v>0</v>
      </c>
      <c r="L44" s="1290">
        <f t="shared" si="18"/>
        <v>-97.017972351651125</v>
      </c>
    </row>
    <row r="45" spans="1:13" s="805" customFormat="1">
      <c r="A45" s="1216" t="s">
        <v>1879</v>
      </c>
      <c r="B45" s="1095"/>
      <c r="C45" s="1095"/>
      <c r="D45" s="1095">
        <f t="shared" si="14"/>
        <v>0</v>
      </c>
      <c r="E45" s="1216"/>
      <c r="F45" s="1290"/>
      <c r="G45" s="1095">
        <f>+'Non Current'!G11</f>
        <v>0</v>
      </c>
      <c r="H45" s="1095"/>
      <c r="I45" s="1290">
        <f t="shared" si="15"/>
        <v>0</v>
      </c>
      <c r="J45" s="1216">
        <f t="shared" si="16"/>
        <v>0</v>
      </c>
      <c r="K45" s="1095">
        <f t="shared" si="17"/>
        <v>0</v>
      </c>
      <c r="L45" s="1290">
        <f t="shared" si="18"/>
        <v>0</v>
      </c>
    </row>
    <row r="46" spans="1:13" s="805" customFormat="1">
      <c r="A46" s="1216" t="s">
        <v>1880</v>
      </c>
      <c r="B46" s="1098"/>
      <c r="C46" s="1095"/>
      <c r="D46" s="1095">
        <f t="shared" si="14"/>
        <v>0</v>
      </c>
      <c r="E46" s="1216"/>
      <c r="F46" s="1290"/>
      <c r="G46" s="1095"/>
      <c r="H46" s="1095"/>
      <c r="I46" s="1290">
        <f>+H46+G46</f>
        <v>0</v>
      </c>
      <c r="J46" s="1216">
        <f t="shared" si="16"/>
        <v>0</v>
      </c>
      <c r="K46" s="1095">
        <f t="shared" si="17"/>
        <v>0</v>
      </c>
      <c r="L46" s="1290">
        <f t="shared" si="18"/>
        <v>0</v>
      </c>
    </row>
    <row r="47" spans="1:13" s="805" customFormat="1">
      <c r="A47" s="1216" t="s">
        <v>1881</v>
      </c>
      <c r="B47" s="1099">
        <f>+'Villa Pig Cost'!AU47</f>
        <v>0</v>
      </c>
      <c r="C47" s="1095"/>
      <c r="D47" s="1095">
        <f t="shared" si="14"/>
        <v>0</v>
      </c>
      <c r="E47" s="1216"/>
      <c r="F47" s="1290"/>
      <c r="G47" s="1098">
        <f>+'Non Current'!G10</f>
        <v>0</v>
      </c>
      <c r="H47" s="1095"/>
      <c r="I47" s="1290">
        <f t="shared" si="15"/>
        <v>0</v>
      </c>
      <c r="J47" s="1216">
        <f t="shared" si="16"/>
        <v>0</v>
      </c>
      <c r="K47" s="1095">
        <f t="shared" si="17"/>
        <v>0</v>
      </c>
      <c r="L47" s="1290">
        <f t="shared" si="18"/>
        <v>0</v>
      </c>
    </row>
    <row r="48" spans="1:13" s="805" customFormat="1">
      <c r="A48" s="1216" t="s">
        <v>1882</v>
      </c>
      <c r="B48" s="1095"/>
      <c r="C48" s="1095"/>
      <c r="D48" s="1095">
        <f t="shared" si="14"/>
        <v>0</v>
      </c>
      <c r="E48" s="1216"/>
      <c r="F48" s="1290"/>
      <c r="G48" s="1095"/>
      <c r="H48" s="1095"/>
      <c r="I48" s="1290">
        <f t="shared" si="15"/>
        <v>0</v>
      </c>
      <c r="J48" s="1216">
        <f t="shared" si="16"/>
        <v>0</v>
      </c>
      <c r="K48" s="1095">
        <f t="shared" si="17"/>
        <v>0</v>
      </c>
      <c r="L48" s="1290">
        <f t="shared" si="18"/>
        <v>0</v>
      </c>
    </row>
    <row r="49" spans="1:13" s="805" customFormat="1">
      <c r="A49" s="1216" t="s">
        <v>1883</v>
      </c>
      <c r="B49" s="1095">
        <f>'Villa Pig Cost'!AU49</f>
        <v>0</v>
      </c>
      <c r="C49" s="1095"/>
      <c r="D49" s="1095">
        <f t="shared" si="14"/>
        <v>0</v>
      </c>
      <c r="E49" s="1216"/>
      <c r="F49" s="1290"/>
      <c r="G49" s="1095">
        <f>+'Non Current'!G9</f>
        <v>0</v>
      </c>
      <c r="H49" s="1095"/>
      <c r="I49" s="1290">
        <f>+H49+G49</f>
        <v>0</v>
      </c>
      <c r="J49" s="1216">
        <f t="shared" si="16"/>
        <v>0</v>
      </c>
      <c r="K49" s="1095">
        <f t="shared" si="17"/>
        <v>0</v>
      </c>
      <c r="L49" s="1290">
        <f t="shared" si="18"/>
        <v>0</v>
      </c>
    </row>
    <row r="50" spans="1:13" s="805" customFormat="1">
      <c r="A50" s="1216" t="s">
        <v>1884</v>
      </c>
      <c r="B50" s="1095"/>
      <c r="C50" s="1095"/>
      <c r="D50" s="1095">
        <f t="shared" si="14"/>
        <v>0</v>
      </c>
      <c r="E50" s="1216"/>
      <c r="F50" s="1290"/>
      <c r="G50" s="1095"/>
      <c r="H50" s="1095"/>
      <c r="I50" s="1290"/>
      <c r="J50" s="1216"/>
      <c r="K50" s="1095"/>
      <c r="L50" s="1290"/>
    </row>
    <row r="51" spans="1:13" s="805" customFormat="1">
      <c r="A51" s="1216" t="s">
        <v>1885</v>
      </c>
      <c r="B51" s="1095"/>
      <c r="C51" s="1095"/>
      <c r="D51" s="1095">
        <f t="shared" si="14"/>
        <v>0</v>
      </c>
      <c r="E51" s="1216"/>
      <c r="F51" s="1290"/>
      <c r="G51" s="1095">
        <f>'Non Current'!G14</f>
        <v>0</v>
      </c>
      <c r="H51" s="1095"/>
      <c r="I51" s="1290">
        <f>+H51+G51</f>
        <v>0</v>
      </c>
      <c r="J51" s="1216"/>
      <c r="K51" s="1095"/>
      <c r="L51" s="1290"/>
    </row>
    <row r="52" spans="1:13" s="805" customFormat="1">
      <c r="A52" s="1216" t="s">
        <v>1886</v>
      </c>
      <c r="B52" s="1095"/>
      <c r="C52" s="1095"/>
      <c r="D52" s="1095">
        <f t="shared" si="14"/>
        <v>0</v>
      </c>
      <c r="E52" s="1216"/>
      <c r="F52" s="1290"/>
      <c r="G52" s="1095">
        <f>+'Non Current'!G15</f>
        <v>0</v>
      </c>
      <c r="H52" s="1095"/>
      <c r="I52" s="1290">
        <f t="shared" si="15"/>
        <v>0</v>
      </c>
      <c r="J52" s="1216">
        <f t="shared" si="16"/>
        <v>0</v>
      </c>
      <c r="K52" s="1095">
        <f t="shared" si="17"/>
        <v>0</v>
      </c>
      <c r="L52" s="1290">
        <f t="shared" si="18"/>
        <v>0</v>
      </c>
    </row>
    <row r="53" spans="1:13" s="805" customFormat="1">
      <c r="A53" s="1216" t="s">
        <v>1887</v>
      </c>
      <c r="B53" s="1095">
        <f>+'Villa Pig Cost'!AU54</f>
        <v>0</v>
      </c>
      <c r="C53" s="1095"/>
      <c r="D53" s="1095">
        <f t="shared" si="14"/>
        <v>0</v>
      </c>
      <c r="E53" s="1216"/>
      <c r="F53" s="1290"/>
      <c r="G53" s="1095"/>
      <c r="H53" s="1095"/>
      <c r="I53" s="1290">
        <f t="shared" si="15"/>
        <v>0</v>
      </c>
      <c r="J53" s="1216">
        <f t="shared" si="16"/>
        <v>0</v>
      </c>
      <c r="K53" s="1095">
        <f t="shared" si="17"/>
        <v>0</v>
      </c>
      <c r="L53" s="1290">
        <f t="shared" si="18"/>
        <v>0</v>
      </c>
    </row>
    <row r="54" spans="1:13" s="805" customFormat="1" ht="15.6">
      <c r="A54" s="1292" t="s">
        <v>71</v>
      </c>
      <c r="B54" s="1286">
        <f>SUM(B42:B53)</f>
        <v>606357.85727085965</v>
      </c>
      <c r="C54" s="1286">
        <f>SUM(C42:C53)</f>
        <v>91470.270352513544</v>
      </c>
      <c r="D54" s="1286">
        <f>SUM(D42:D53)</f>
        <v>697828.12762337318</v>
      </c>
      <c r="E54" s="1353"/>
      <c r="F54" s="1582"/>
      <c r="G54" s="1286">
        <f>SUM(G42:G53)</f>
        <v>190189.39709473742</v>
      </c>
      <c r="H54" s="1286">
        <f t="shared" ref="H54:K54" si="19">SUM(H42:H53)</f>
        <v>14225.029177382819</v>
      </c>
      <c r="I54" s="1291">
        <f>SUM(I42:I53)</f>
        <v>204511.4442444719</v>
      </c>
      <c r="J54" s="1292">
        <f t="shared" si="19"/>
        <v>796547.25436559704</v>
      </c>
      <c r="K54" s="1286">
        <f t="shared" si="19"/>
        <v>286914.71459698543</v>
      </c>
      <c r="L54" s="1291">
        <f>SUM(L42:L53)</f>
        <v>1083461.9689625823</v>
      </c>
      <c r="M54" s="1097"/>
    </row>
    <row r="55" spans="1:13" s="805" customFormat="1">
      <c r="A55" s="1216" t="s">
        <v>1888</v>
      </c>
      <c r="B55" s="1095"/>
      <c r="C55" s="1095"/>
      <c r="D55" s="1095">
        <f t="shared" ref="D55:D71" si="20">+B55+C55</f>
        <v>0</v>
      </c>
      <c r="E55" s="1216"/>
      <c r="F55" s="1290"/>
      <c r="G55" s="1095"/>
      <c r="H55" s="1095"/>
      <c r="I55" s="1290">
        <f t="shared" ref="I55:I71" si="21">+H55+G55</f>
        <v>0</v>
      </c>
      <c r="J55" s="1216">
        <f>+B55+G55</f>
        <v>0</v>
      </c>
      <c r="K55" s="1095">
        <f t="shared" ref="K55:K70" si="22">+C55+H55</f>
        <v>0</v>
      </c>
      <c r="L55" s="1290">
        <f>SUM(J55:K55)</f>
        <v>0</v>
      </c>
    </row>
    <row r="56" spans="1:13" s="805" customFormat="1">
      <c r="A56" s="1216" t="s">
        <v>169</v>
      </c>
      <c r="B56" s="1095">
        <f>+'Villa Pig Cost'!AU57</f>
        <v>-7547.6589587791559</v>
      </c>
      <c r="C56" s="1095"/>
      <c r="D56" s="1095">
        <f t="shared" si="20"/>
        <v>-7547.6589587791559</v>
      </c>
      <c r="E56" s="1216"/>
      <c r="F56" s="1290"/>
      <c r="G56" s="1095">
        <f>+'Non Current'!G18</f>
        <v>0</v>
      </c>
      <c r="H56" s="1095"/>
      <c r="I56" s="1290">
        <f t="shared" si="21"/>
        <v>0</v>
      </c>
      <c r="J56" s="1216">
        <f>+B56+G56</f>
        <v>-7547.6589587791559</v>
      </c>
      <c r="K56" s="1095">
        <f t="shared" si="22"/>
        <v>0</v>
      </c>
      <c r="L56" s="1290">
        <f>SUM(J56:K56)</f>
        <v>-7547.6589587791559</v>
      </c>
    </row>
    <row r="57" spans="1:13" s="805" customFormat="1">
      <c r="A57" s="1216" t="s">
        <v>229</v>
      </c>
      <c r="B57" s="1099">
        <f>+'Villa Pig Cost'!AU58</f>
        <v>-290.91834613389807</v>
      </c>
      <c r="C57" s="1095"/>
      <c r="D57" s="1095">
        <f t="shared" si="20"/>
        <v>-290.91834613389807</v>
      </c>
      <c r="E57" s="1216"/>
      <c r="F57" s="1290"/>
      <c r="G57" s="1095">
        <f>+'Non Current'!G19</f>
        <v>-498.00816451132152</v>
      </c>
      <c r="H57" s="1095"/>
      <c r="I57" s="1290">
        <f t="shared" si="21"/>
        <v>-498.00816451132152</v>
      </c>
      <c r="J57" s="1216">
        <f t="shared" ref="J57:J71" si="23">+B57+G57</f>
        <v>-788.92651064521965</v>
      </c>
      <c r="K57" s="1095">
        <f t="shared" si="22"/>
        <v>0</v>
      </c>
      <c r="L57" s="1290">
        <f t="shared" ref="L57:L71" si="24">SUM(J57:K57)</f>
        <v>-788.92651064521965</v>
      </c>
    </row>
    <row r="58" spans="1:13" s="805" customFormat="1">
      <c r="A58" s="1216" t="s">
        <v>231</v>
      </c>
      <c r="B58" s="1099">
        <f>+'Villa Pig Cost'!AU59</f>
        <v>0</v>
      </c>
      <c r="C58" s="1095"/>
      <c r="D58" s="1095">
        <f t="shared" si="20"/>
        <v>0</v>
      </c>
      <c r="E58" s="1216"/>
      <c r="F58" s="1290"/>
      <c r="G58" s="1095">
        <f>+'Non Current'!G20</f>
        <v>0</v>
      </c>
      <c r="H58" s="1095"/>
      <c r="I58" s="1290">
        <f t="shared" si="21"/>
        <v>0</v>
      </c>
      <c r="J58" s="1216">
        <f t="shared" si="23"/>
        <v>0</v>
      </c>
      <c r="K58" s="1095">
        <f t="shared" si="22"/>
        <v>0</v>
      </c>
      <c r="L58" s="1290">
        <f t="shared" si="24"/>
        <v>0</v>
      </c>
    </row>
    <row r="59" spans="1:13" s="805" customFormat="1">
      <c r="A59" s="1216" t="s">
        <v>232</v>
      </c>
      <c r="B59" s="1099">
        <f>+'Villa Pig Cost'!AU60</f>
        <v>0</v>
      </c>
      <c r="C59" s="1095"/>
      <c r="D59" s="1095">
        <f t="shared" si="20"/>
        <v>0</v>
      </c>
      <c r="E59" s="1216"/>
      <c r="F59" s="1290"/>
      <c r="G59" s="1095">
        <f>+'Non Current'!G21</f>
        <v>0</v>
      </c>
      <c r="H59" s="1095"/>
      <c r="I59" s="1290">
        <f t="shared" si="21"/>
        <v>0</v>
      </c>
      <c r="J59" s="1216">
        <f t="shared" si="23"/>
        <v>0</v>
      </c>
      <c r="K59" s="1095">
        <f t="shared" si="22"/>
        <v>0</v>
      </c>
      <c r="L59" s="1290">
        <f t="shared" si="24"/>
        <v>0</v>
      </c>
    </row>
    <row r="60" spans="1:13" s="805" customFormat="1">
      <c r="A60" s="1216" t="s">
        <v>227</v>
      </c>
      <c r="B60" s="1099">
        <f>+'Villa Pig Cost'!AU61</f>
        <v>-263588.12224495038</v>
      </c>
      <c r="C60" s="1095"/>
      <c r="D60" s="1095">
        <f t="shared" si="20"/>
        <v>-263588.12224495038</v>
      </c>
      <c r="E60" s="1216"/>
      <c r="F60" s="1290"/>
      <c r="G60" s="1095">
        <f>+'Non Current'!G22</f>
        <v>-3652.0598730830243</v>
      </c>
      <c r="H60" s="1095"/>
      <c r="I60" s="1290">
        <f t="shared" si="21"/>
        <v>-3652.0598730830243</v>
      </c>
      <c r="J60" s="1216">
        <f>+B60+G60</f>
        <v>-267240.18211803341</v>
      </c>
      <c r="K60" s="1095">
        <f t="shared" si="22"/>
        <v>0</v>
      </c>
      <c r="L60" s="1290">
        <f t="shared" si="24"/>
        <v>-267240.18211803341</v>
      </c>
    </row>
    <row r="61" spans="1:13" s="805" customFormat="1">
      <c r="A61" s="1216" t="s">
        <v>1889</v>
      </c>
      <c r="B61" s="1099"/>
      <c r="C61" s="1095"/>
      <c r="D61" s="1095">
        <f t="shared" si="20"/>
        <v>0</v>
      </c>
      <c r="E61" s="1216"/>
      <c r="F61" s="1290"/>
      <c r="G61" s="1095">
        <f>+'Non Current'!G25</f>
        <v>0</v>
      </c>
      <c r="H61" s="1095"/>
      <c r="I61" s="1290">
        <f t="shared" si="21"/>
        <v>0</v>
      </c>
      <c r="J61" s="1216">
        <f t="shared" si="23"/>
        <v>0</v>
      </c>
      <c r="K61" s="1095">
        <f t="shared" si="22"/>
        <v>0</v>
      </c>
      <c r="L61" s="1290">
        <f t="shared" si="24"/>
        <v>0</v>
      </c>
    </row>
    <row r="62" spans="1:13" s="805" customFormat="1">
      <c r="A62" s="1216" t="s">
        <v>1890</v>
      </c>
      <c r="B62" s="1099">
        <f>+'Villa Pig Cost'!AU46</f>
        <v>-9257.3265931078768</v>
      </c>
      <c r="C62" s="1095"/>
      <c r="D62" s="1095">
        <f t="shared" si="20"/>
        <v>-9257.3265931078768</v>
      </c>
      <c r="E62" s="1216"/>
      <c r="F62" s="1290"/>
      <c r="G62" s="1095"/>
      <c r="H62" s="1095"/>
      <c r="I62" s="1290">
        <f t="shared" si="21"/>
        <v>0</v>
      </c>
      <c r="J62" s="1216">
        <f t="shared" si="23"/>
        <v>-9257.3265931078768</v>
      </c>
      <c r="K62" s="1095">
        <f t="shared" si="22"/>
        <v>0</v>
      </c>
      <c r="L62" s="1290">
        <f t="shared" si="24"/>
        <v>-9257.3265931078768</v>
      </c>
    </row>
    <row r="63" spans="1:13" s="805" customFormat="1">
      <c r="A63" s="1216" t="s">
        <v>1891</v>
      </c>
      <c r="B63" s="1099"/>
      <c r="C63" s="1095"/>
      <c r="D63" s="1095">
        <f t="shared" si="20"/>
        <v>0</v>
      </c>
      <c r="E63" s="1216"/>
      <c r="F63" s="1290"/>
      <c r="G63" s="1095">
        <f>+'Non Current'!G24</f>
        <v>0</v>
      </c>
      <c r="H63" s="1095"/>
      <c r="I63" s="1290">
        <f t="shared" si="21"/>
        <v>0</v>
      </c>
      <c r="J63" s="1216">
        <f t="shared" si="23"/>
        <v>0</v>
      </c>
      <c r="K63" s="1095">
        <f t="shared" si="22"/>
        <v>0</v>
      </c>
      <c r="L63" s="1290">
        <f t="shared" si="24"/>
        <v>0</v>
      </c>
    </row>
    <row r="64" spans="1:13" s="805" customFormat="1">
      <c r="A64" s="1216" t="s">
        <v>1892</v>
      </c>
      <c r="B64" s="1099">
        <f>+'Villa Pig Cost'!AU48</f>
        <v>-7317.9445306482376</v>
      </c>
      <c r="C64" s="1095"/>
      <c r="D64" s="1095">
        <f t="shared" si="20"/>
        <v>-7317.9445306482376</v>
      </c>
      <c r="E64" s="1216"/>
      <c r="F64" s="1290"/>
      <c r="G64" s="1095"/>
      <c r="H64" s="1095"/>
      <c r="I64" s="1290">
        <f t="shared" si="21"/>
        <v>0</v>
      </c>
      <c r="J64" s="1216">
        <f t="shared" si="23"/>
        <v>-7317.9445306482376</v>
      </c>
      <c r="K64" s="1095">
        <f t="shared" si="22"/>
        <v>0</v>
      </c>
      <c r="L64" s="1290">
        <f t="shared" si="24"/>
        <v>-7317.9445306482376</v>
      </c>
    </row>
    <row r="65" spans="1:13" s="805" customFormat="1">
      <c r="A65" s="1216" t="s">
        <v>1893</v>
      </c>
      <c r="B65" s="1099"/>
      <c r="C65" s="1095"/>
      <c r="D65" s="1095">
        <f t="shared" si="20"/>
        <v>0</v>
      </c>
      <c r="E65" s="1216"/>
      <c r="F65" s="1290"/>
      <c r="G65" s="1095">
        <f>+'Non Current'!G23</f>
        <v>0</v>
      </c>
      <c r="H65" s="1095"/>
      <c r="I65" s="1290">
        <f t="shared" si="21"/>
        <v>0</v>
      </c>
      <c r="J65" s="1216">
        <f t="shared" si="23"/>
        <v>0</v>
      </c>
      <c r="K65" s="1095">
        <f t="shared" si="22"/>
        <v>0</v>
      </c>
      <c r="L65" s="1290">
        <f t="shared" si="24"/>
        <v>0</v>
      </c>
    </row>
    <row r="66" spans="1:13" s="805" customFormat="1">
      <c r="A66" s="1216" t="s">
        <v>1894</v>
      </c>
      <c r="B66" s="1099"/>
      <c r="C66" s="1095"/>
      <c r="D66" s="1095"/>
      <c r="E66" s="1216"/>
      <c r="F66" s="1290"/>
      <c r="G66" s="1095"/>
      <c r="H66" s="1095"/>
      <c r="I66" s="1290"/>
      <c r="J66" s="1216"/>
      <c r="K66" s="1095"/>
      <c r="L66" s="1290"/>
    </row>
    <row r="67" spans="1:13" s="805" customFormat="1">
      <c r="A67" s="1216" t="s">
        <v>1895</v>
      </c>
      <c r="B67" s="1099"/>
      <c r="C67" s="1095"/>
      <c r="D67" s="1095"/>
      <c r="E67" s="1216"/>
      <c r="F67" s="1290"/>
      <c r="G67" s="1095"/>
      <c r="H67" s="1095"/>
      <c r="I67" s="1290"/>
      <c r="J67" s="1216"/>
      <c r="K67" s="1095"/>
      <c r="L67" s="1290"/>
    </row>
    <row r="68" spans="1:13" s="805" customFormat="1">
      <c r="A68" s="1216" t="s">
        <v>1896</v>
      </c>
      <c r="B68" s="1099">
        <f>+'Villa Pig Cost'!AU53</f>
        <v>0</v>
      </c>
      <c r="C68" s="1095"/>
      <c r="D68" s="1095">
        <f t="shared" si="20"/>
        <v>0</v>
      </c>
      <c r="E68" s="1216"/>
      <c r="F68" s="1290"/>
      <c r="G68" s="1095"/>
      <c r="H68" s="1095"/>
      <c r="I68" s="1290">
        <f t="shared" si="21"/>
        <v>0</v>
      </c>
      <c r="J68" s="1216">
        <f t="shared" si="23"/>
        <v>0</v>
      </c>
      <c r="K68" s="1095">
        <f t="shared" si="22"/>
        <v>0</v>
      </c>
      <c r="L68" s="1290">
        <f t="shared" si="24"/>
        <v>0</v>
      </c>
    </row>
    <row r="69" spans="1:13" s="805" customFormat="1">
      <c r="A69" s="1216" t="s">
        <v>1897</v>
      </c>
      <c r="B69" s="1099"/>
      <c r="C69" s="1095"/>
      <c r="D69" s="1095">
        <f t="shared" si="20"/>
        <v>0</v>
      </c>
      <c r="E69" s="1216"/>
      <c r="F69" s="1290"/>
      <c r="G69" s="1095">
        <f>'Non Current'!G30</f>
        <v>0</v>
      </c>
      <c r="H69" s="1095"/>
      <c r="I69" s="1290">
        <f t="shared" si="21"/>
        <v>0</v>
      </c>
      <c r="J69" s="1216">
        <f t="shared" si="23"/>
        <v>0</v>
      </c>
      <c r="K69" s="1095">
        <f t="shared" si="22"/>
        <v>0</v>
      </c>
      <c r="L69" s="1290">
        <f t="shared" si="24"/>
        <v>0</v>
      </c>
    </row>
    <row r="70" spans="1:13" s="805" customFormat="1">
      <c r="A70" s="1216" t="s">
        <v>1898</v>
      </c>
      <c r="B70" s="1099">
        <f>+'Villa Pig Cost'!AU56</f>
        <v>97.017972351651125</v>
      </c>
      <c r="C70" s="1095"/>
      <c r="D70" s="1095">
        <f t="shared" si="20"/>
        <v>97.017972351651125</v>
      </c>
      <c r="E70" s="1216"/>
      <c r="F70" s="1290"/>
      <c r="G70" s="1095"/>
      <c r="H70" s="1095"/>
      <c r="I70" s="1290">
        <f t="shared" si="21"/>
        <v>0</v>
      </c>
      <c r="J70" s="1216">
        <f t="shared" si="23"/>
        <v>97.017972351651125</v>
      </c>
      <c r="K70" s="1095">
        <f t="shared" si="22"/>
        <v>0</v>
      </c>
      <c r="L70" s="1290">
        <f t="shared" si="24"/>
        <v>97.017972351651125</v>
      </c>
    </row>
    <row r="71" spans="1:13" s="805" customFormat="1">
      <c r="A71" s="1216" t="s">
        <v>1875</v>
      </c>
      <c r="B71" s="1095"/>
      <c r="C71" s="1095">
        <v>-23320.103531984099</v>
      </c>
      <c r="D71" s="1095">
        <f t="shared" si="20"/>
        <v>-23320.103531984099</v>
      </c>
      <c r="E71" s="1216"/>
      <c r="F71" s="1290"/>
      <c r="G71" s="1095"/>
      <c r="H71" s="1095">
        <v>-2096.7110402170501</v>
      </c>
      <c r="I71" s="1290">
        <f t="shared" si="21"/>
        <v>-2096.7110402170501</v>
      </c>
      <c r="J71" s="1216">
        <f t="shared" si="23"/>
        <v>0</v>
      </c>
      <c r="K71" s="1095">
        <f>+C71+H71</f>
        <v>-25416.81457220115</v>
      </c>
      <c r="L71" s="1290">
        <f t="shared" si="24"/>
        <v>-25416.81457220115</v>
      </c>
    </row>
    <row r="72" spans="1:13" s="805" customFormat="1" ht="16.149999999999999" thickBot="1">
      <c r="A72" s="1586" t="s">
        <v>1876</v>
      </c>
      <c r="B72" s="1096">
        <f>SUM(B54:B71)</f>
        <v>318452.90456959169</v>
      </c>
      <c r="C72" s="1096">
        <f>SUM(C54:C71)</f>
        <v>68150.166820529441</v>
      </c>
      <c r="D72" s="1096">
        <f>SUM(D54:D71)</f>
        <v>386603.07139012113</v>
      </c>
      <c r="E72" s="1800">
        <f>+B72-'Villa Pig Cost'!AU62</f>
        <v>-381665.23595739045</v>
      </c>
      <c r="F72" s="1597">
        <f>+G72-'Non Current'!G32</f>
        <v>0</v>
      </c>
      <c r="G72" s="1096">
        <f>SUM(G54:G71)</f>
        <v>186039.32905714307</v>
      </c>
      <c r="H72" s="1096">
        <f>SUM(H54:H71)</f>
        <v>12128.31813716577</v>
      </c>
      <c r="I72" s="1587">
        <f t="shared" ref="I72:K72" si="25">SUM(I54:I71)</f>
        <v>198264.6651666605</v>
      </c>
      <c r="J72" s="1588">
        <f t="shared" si="25"/>
        <v>504492.23362673476</v>
      </c>
      <c r="K72" s="1096">
        <f t="shared" si="25"/>
        <v>261497.90002478429</v>
      </c>
      <c r="L72" s="1587">
        <f>SUM(L54:L71)</f>
        <v>765990.13365151884</v>
      </c>
      <c r="M72" s="1097"/>
    </row>
    <row r="73" spans="1:13" s="805" customFormat="1" ht="15.6">
      <c r="A73" s="1094"/>
      <c r="B73" s="1094"/>
      <c r="C73" s="1094"/>
      <c r="D73" s="1094">
        <f>SUM('Villa Valuation'!H9:H41)</f>
        <v>609544.00097004033</v>
      </c>
      <c r="E73" s="1353"/>
      <c r="F73" s="1582"/>
      <c r="G73" s="1094"/>
      <c r="H73" s="1094"/>
      <c r="I73" s="1094">
        <f>SUM('Villa Valuation'!H43:H49)</f>
        <v>177120</v>
      </c>
      <c r="J73" s="1094"/>
      <c r="K73" s="1094"/>
      <c r="L73" s="1097">
        <f>+D73+I73</f>
        <v>786664.00097004033</v>
      </c>
      <c r="M73" s="1097"/>
    </row>
    <row r="74" spans="1:13" s="805" customFormat="1" ht="15.6" thickBot="1">
      <c r="A74" s="1216"/>
      <c r="B74" s="1095"/>
      <c r="C74" s="1095"/>
      <c r="D74" s="1095">
        <f>+D72-D73</f>
        <v>-222940.9295799192</v>
      </c>
      <c r="E74" s="1216"/>
      <c r="F74" s="1290"/>
      <c r="G74" s="1095"/>
      <c r="H74" s="1095"/>
      <c r="I74" s="1095">
        <f>+I72-I73</f>
        <v>21144.665166660503</v>
      </c>
      <c r="J74" s="1095"/>
      <c r="K74" s="1095"/>
      <c r="L74" s="805">
        <f>+L72-L73</f>
        <v>-20673.867318521487</v>
      </c>
    </row>
    <row r="75" spans="1:13" s="805" customFormat="1" ht="15.6">
      <c r="A75" s="1589" t="s">
        <v>1899</v>
      </c>
      <c r="B75" s="1214" t="s">
        <v>199</v>
      </c>
      <c r="C75" s="1214" t="s">
        <v>1612</v>
      </c>
      <c r="D75" s="1214" t="s">
        <v>71</v>
      </c>
      <c r="E75" s="1580"/>
      <c r="F75" s="1581"/>
      <c r="G75" s="1214" t="s">
        <v>199</v>
      </c>
      <c r="H75" s="1214" t="s">
        <v>1612</v>
      </c>
      <c r="I75" s="1590" t="s">
        <v>71</v>
      </c>
      <c r="J75" s="1591" t="str">
        <f>+B75</f>
        <v>Cost</v>
      </c>
      <c r="K75" s="1215" t="str">
        <f>+C75</f>
        <v>Fair Value</v>
      </c>
      <c r="L75" s="1592" t="str">
        <f>+D75</f>
        <v>Total</v>
      </c>
    </row>
    <row r="76" spans="1:13" s="805" customFormat="1">
      <c r="A76" s="1216" t="s">
        <v>1836</v>
      </c>
      <c r="B76" s="1510">
        <f>'[2]Total Pigs'!$B$106</f>
        <v>1085063.9394922606</v>
      </c>
      <c r="C76" s="1510">
        <f>'[2]Total Pigs'!$C$106</f>
        <v>134624.85994656073</v>
      </c>
      <c r="D76" s="1095">
        <f t="shared" ref="D76:D87" si="26">+C76+B76</f>
        <v>1219688.7994388214</v>
      </c>
      <c r="E76" s="1216"/>
      <c r="F76" s="1290"/>
      <c r="G76" s="1510">
        <f>'[2]Total Pigs'!$G$106</f>
        <v>429595.9454268993</v>
      </c>
      <c r="H76" s="1510">
        <f>'[2]Total Pigs'!$H$106</f>
        <v>42672.816995909365</v>
      </c>
      <c r="I76" s="1510">
        <f>SUM(G76:H76)</f>
        <v>472268.76242280868</v>
      </c>
      <c r="J76" s="1216">
        <f>+B76+G76</f>
        <v>1514659.8849191598</v>
      </c>
      <c r="K76" s="1095">
        <f>+C76+I76</f>
        <v>606893.62236936938</v>
      </c>
      <c r="L76" s="1290">
        <f>SUM(J76:K76)</f>
        <v>2121553.5072885291</v>
      </c>
    </row>
    <row r="77" spans="1:13" s="805" customFormat="1">
      <c r="A77" s="1216" t="s">
        <v>1900</v>
      </c>
      <c r="B77" s="1095">
        <f>+'Lionhead Pig Cost'!AU40</f>
        <v>836100.5</v>
      </c>
      <c r="C77" s="1095"/>
      <c r="D77" s="1095">
        <f t="shared" si="26"/>
        <v>836100.5</v>
      </c>
      <c r="E77" s="1216"/>
      <c r="F77" s="1290"/>
      <c r="G77" s="1095">
        <f>+'Non Current'!O7</f>
        <v>20442.599999999999</v>
      </c>
      <c r="H77" s="1095"/>
      <c r="I77" s="1290">
        <f t="shared" ref="I77:I87" si="27">+H77+G77</f>
        <v>20442.599999999999</v>
      </c>
      <c r="J77" s="1216">
        <f t="shared" ref="J77:J87" si="28">+B77+G77</f>
        <v>856543.1</v>
      </c>
      <c r="K77" s="1095">
        <f t="shared" ref="K77:K87" si="29">+C77+H77</f>
        <v>0</v>
      </c>
      <c r="L77" s="1290">
        <f t="shared" ref="L77:L87" si="30">SUM(J77:K77)</f>
        <v>856543.1</v>
      </c>
    </row>
    <row r="78" spans="1:13" s="805" customFormat="1">
      <c r="A78" s="1216" t="s">
        <v>1854</v>
      </c>
      <c r="B78" s="1095"/>
      <c r="C78" s="1095"/>
      <c r="D78" s="1095">
        <f t="shared" si="26"/>
        <v>0</v>
      </c>
      <c r="E78" s="1216"/>
      <c r="F78" s="1290"/>
      <c r="G78" s="1095">
        <f>+'Non Current'!O8</f>
        <v>0</v>
      </c>
      <c r="H78" s="1095"/>
      <c r="I78" s="1290">
        <f t="shared" si="27"/>
        <v>0</v>
      </c>
      <c r="J78" s="1216">
        <f t="shared" si="28"/>
        <v>0</v>
      </c>
      <c r="K78" s="1095">
        <f t="shared" si="29"/>
        <v>0</v>
      </c>
      <c r="L78" s="1290">
        <f t="shared" si="30"/>
        <v>0</v>
      </c>
    </row>
    <row r="79" spans="1:13" s="805" customFormat="1">
      <c r="A79" s="1216" t="s">
        <v>1901</v>
      </c>
      <c r="B79" s="1095">
        <f>+'Lionhead Pig Cost'!AU45</f>
        <v>0</v>
      </c>
      <c r="C79" s="1095"/>
      <c r="D79" s="1095">
        <f t="shared" si="26"/>
        <v>0</v>
      </c>
      <c r="E79" s="1216"/>
      <c r="F79" s="1290"/>
      <c r="G79" s="1095">
        <f>+'Non Current'!O9</f>
        <v>0</v>
      </c>
      <c r="H79" s="1095"/>
      <c r="I79" s="1290">
        <f t="shared" si="27"/>
        <v>0</v>
      </c>
      <c r="J79" s="1216">
        <f t="shared" si="28"/>
        <v>0</v>
      </c>
      <c r="K79" s="1095">
        <f t="shared" si="29"/>
        <v>0</v>
      </c>
      <c r="L79" s="1290">
        <f t="shared" si="30"/>
        <v>0</v>
      </c>
    </row>
    <row r="80" spans="1:13" s="805" customFormat="1">
      <c r="A80" s="1216" t="s">
        <v>1856</v>
      </c>
      <c r="B80" s="1095">
        <f>+'Lionhead Pig Cost'!AU47</f>
        <v>0</v>
      </c>
      <c r="C80" s="1095"/>
      <c r="D80" s="1095">
        <f t="shared" si="26"/>
        <v>0</v>
      </c>
      <c r="E80" s="1216"/>
      <c r="F80" s="1290"/>
      <c r="G80" s="1095">
        <f>+'Non Current'!O10</f>
        <v>0</v>
      </c>
      <c r="H80" s="1095"/>
      <c r="I80" s="1290">
        <f t="shared" si="27"/>
        <v>0</v>
      </c>
      <c r="J80" s="1216">
        <f t="shared" si="28"/>
        <v>0</v>
      </c>
      <c r="K80" s="1095">
        <f t="shared" si="29"/>
        <v>0</v>
      </c>
      <c r="L80" s="1290">
        <f t="shared" si="30"/>
        <v>0</v>
      </c>
    </row>
    <row r="81" spans="1:13" s="805" customFormat="1">
      <c r="A81" s="1216" t="s">
        <v>1902</v>
      </c>
      <c r="B81" s="1095"/>
      <c r="C81" s="1095"/>
      <c r="D81" s="1095">
        <f t="shared" si="26"/>
        <v>0</v>
      </c>
      <c r="E81" s="1216"/>
      <c r="F81" s="1290"/>
      <c r="G81" s="1095"/>
      <c r="H81" s="1095"/>
      <c r="I81" s="1290">
        <f t="shared" si="27"/>
        <v>0</v>
      </c>
      <c r="J81" s="1216">
        <f t="shared" si="28"/>
        <v>0</v>
      </c>
      <c r="K81" s="1095">
        <f t="shared" si="29"/>
        <v>0</v>
      </c>
      <c r="L81" s="1290">
        <f t="shared" si="30"/>
        <v>0</v>
      </c>
    </row>
    <row r="82" spans="1:13" s="805" customFormat="1">
      <c r="A82" s="1216" t="s">
        <v>1855</v>
      </c>
      <c r="B82" s="1095"/>
      <c r="C82" s="1095"/>
      <c r="D82" s="1095">
        <f t="shared" si="26"/>
        <v>0</v>
      </c>
      <c r="E82" s="1216"/>
      <c r="F82" s="1290"/>
      <c r="G82" s="1095">
        <f>+'Non Current'!O12</f>
        <v>0</v>
      </c>
      <c r="H82" s="1095"/>
      <c r="I82" s="1290">
        <f t="shared" si="27"/>
        <v>0</v>
      </c>
      <c r="J82" s="1216">
        <f t="shared" si="28"/>
        <v>0</v>
      </c>
      <c r="K82" s="1095">
        <f t="shared" si="29"/>
        <v>0</v>
      </c>
      <c r="L82" s="1290">
        <f t="shared" si="30"/>
        <v>0</v>
      </c>
    </row>
    <row r="83" spans="1:13" s="805" customFormat="1">
      <c r="A83" s="1216" t="s">
        <v>1859</v>
      </c>
      <c r="B83" s="1095"/>
      <c r="C83" s="1095"/>
      <c r="D83" s="1095">
        <f t="shared" si="26"/>
        <v>0</v>
      </c>
      <c r="E83" s="1216"/>
      <c r="F83" s="1290"/>
      <c r="G83" s="1095"/>
      <c r="H83" s="1095"/>
      <c r="I83" s="1290">
        <f>+H83+G83</f>
        <v>0</v>
      </c>
      <c r="J83" s="1216">
        <f t="shared" si="28"/>
        <v>0</v>
      </c>
      <c r="K83" s="1095">
        <f t="shared" si="29"/>
        <v>0</v>
      </c>
      <c r="L83" s="1290">
        <f t="shared" si="30"/>
        <v>0</v>
      </c>
    </row>
    <row r="84" spans="1:13" s="805" customFormat="1">
      <c r="A84" s="1216" t="s">
        <v>1860</v>
      </c>
      <c r="B84" s="1095"/>
      <c r="C84" s="1095"/>
      <c r="D84" s="1095"/>
      <c r="E84" s="1216"/>
      <c r="F84" s="1290"/>
      <c r="G84" s="1095">
        <f>-'Non Current'!S25</f>
        <v>0</v>
      </c>
      <c r="H84" s="1095"/>
      <c r="I84" s="1290">
        <f>+H84+G84</f>
        <v>0</v>
      </c>
      <c r="J84" s="1216"/>
      <c r="K84" s="1095"/>
      <c r="L84" s="1290"/>
    </row>
    <row r="85" spans="1:13" s="805" customFormat="1">
      <c r="A85" s="1216" t="s">
        <v>1861</v>
      </c>
      <c r="B85" s="1095"/>
      <c r="C85" s="1095"/>
      <c r="D85" s="1095"/>
      <c r="E85" s="1216"/>
      <c r="F85" s="1290"/>
      <c r="G85" s="1095">
        <f>'Non Current'!O14</f>
        <v>0</v>
      </c>
      <c r="H85" s="1095"/>
      <c r="I85" s="1290">
        <f t="shared" ref="I85:I86" si="31">+H85+G85</f>
        <v>0</v>
      </c>
      <c r="J85" s="1216"/>
      <c r="K85" s="1095"/>
      <c r="L85" s="1290"/>
    </row>
    <row r="86" spans="1:13" s="805" customFormat="1">
      <c r="A86" s="1216" t="s">
        <v>1862</v>
      </c>
      <c r="B86" s="1095">
        <v>0</v>
      </c>
      <c r="C86" s="1095"/>
      <c r="D86" s="1095">
        <f t="shared" si="26"/>
        <v>0</v>
      </c>
      <c r="E86" s="1216"/>
      <c r="F86" s="1290"/>
      <c r="G86" s="1095">
        <f>+'Non Current'!O15</f>
        <v>0</v>
      </c>
      <c r="H86" s="1095"/>
      <c r="I86" s="1290">
        <f t="shared" si="31"/>
        <v>0</v>
      </c>
      <c r="J86" s="1216">
        <f t="shared" si="28"/>
        <v>0</v>
      </c>
      <c r="K86" s="1095">
        <f t="shared" si="29"/>
        <v>0</v>
      </c>
      <c r="L86" s="1290">
        <f t="shared" si="30"/>
        <v>0</v>
      </c>
    </row>
    <row r="87" spans="1:13" s="805" customFormat="1">
      <c r="A87" s="1216" t="s">
        <v>1863</v>
      </c>
      <c r="B87" s="1095"/>
      <c r="C87" s="1095"/>
      <c r="D87" s="1095">
        <f t="shared" si="26"/>
        <v>0</v>
      </c>
      <c r="E87" s="1216"/>
      <c r="F87" s="1290"/>
      <c r="G87" s="1095"/>
      <c r="H87" s="1095"/>
      <c r="I87" s="1290">
        <f t="shared" si="27"/>
        <v>0</v>
      </c>
      <c r="J87" s="1216">
        <f t="shared" si="28"/>
        <v>0</v>
      </c>
      <c r="K87" s="1095">
        <f t="shared" si="29"/>
        <v>0</v>
      </c>
      <c r="L87" s="1290">
        <f t="shared" si="30"/>
        <v>0</v>
      </c>
    </row>
    <row r="88" spans="1:13" s="805" customFormat="1" ht="15.6">
      <c r="A88" s="1292" t="s">
        <v>71</v>
      </c>
      <c r="B88" s="1286">
        <f>SUM(B76:B87)</f>
        <v>1921164.4394922606</v>
      </c>
      <c r="C88" s="1286">
        <f>SUM(C76:C87)</f>
        <v>134624.85994656073</v>
      </c>
      <c r="D88" s="1286">
        <f>SUM(D76:D87)</f>
        <v>2055789.2994388214</v>
      </c>
      <c r="E88" s="1353"/>
      <c r="F88" s="1582">
        <f t="shared" ref="F88:L88" si="32">SUM(F76:F87)</f>
        <v>0</v>
      </c>
      <c r="G88" s="1286">
        <f t="shared" si="32"/>
        <v>450038.54542689928</v>
      </c>
      <c r="H88" s="1292">
        <f t="shared" si="32"/>
        <v>42672.816995909365</v>
      </c>
      <c r="I88" s="1292">
        <f>SUM(I76:I87)</f>
        <v>492711.36242280866</v>
      </c>
      <c r="J88" s="1292">
        <f t="shared" si="32"/>
        <v>2371202.9849191597</v>
      </c>
      <c r="K88" s="1286">
        <f t="shared" si="32"/>
        <v>606893.62236936938</v>
      </c>
      <c r="L88" s="1291">
        <f t="shared" si="32"/>
        <v>2978096.6072885292</v>
      </c>
      <c r="M88" s="1097"/>
    </row>
    <row r="89" spans="1:13" s="805" customFormat="1">
      <c r="A89" s="1216" t="s">
        <v>1888</v>
      </c>
      <c r="B89" s="1095"/>
      <c r="C89" s="1095"/>
      <c r="D89" s="1095">
        <f t="shared" ref="D89:D104" si="33">+C89+B89</f>
        <v>0</v>
      </c>
      <c r="E89" s="1216"/>
      <c r="F89" s="1290"/>
      <c r="G89" s="1095"/>
      <c r="H89" s="1095"/>
      <c r="I89" s="1290">
        <f t="shared" ref="I89:I105" si="34">+H89+G89</f>
        <v>0</v>
      </c>
      <c r="J89" s="1216">
        <f>+B89+G89</f>
        <v>0</v>
      </c>
      <c r="K89" s="1095">
        <f>+C89+H89</f>
        <v>0</v>
      </c>
      <c r="L89" s="1290">
        <f>SUM(J89:K89)</f>
        <v>0</v>
      </c>
    </row>
    <row r="90" spans="1:13" s="805" customFormat="1">
      <c r="A90" s="1216" t="s">
        <v>169</v>
      </c>
      <c r="B90" s="1095">
        <f>+'Lionhead Pig Cost'!AU57</f>
        <v>-32401.006227549311</v>
      </c>
      <c r="C90" s="1095"/>
      <c r="D90" s="1095">
        <f t="shared" si="33"/>
        <v>-32401.006227549311</v>
      </c>
      <c r="E90" s="1216"/>
      <c r="F90" s="1290"/>
      <c r="G90" s="1095">
        <f>+'Non Current'!O18</f>
        <v>-166.00272150377384</v>
      </c>
      <c r="H90" s="1095"/>
      <c r="I90" s="1290">
        <f t="shared" si="34"/>
        <v>-166.00272150377384</v>
      </c>
      <c r="J90" s="1216">
        <f t="shared" ref="J90:J105" si="35">+B90+G90</f>
        <v>-32567.008949053085</v>
      </c>
      <c r="K90" s="1095">
        <f t="shared" ref="K90:K104" si="36">+C90+H90</f>
        <v>0</v>
      </c>
      <c r="L90" s="1290">
        <f t="shared" ref="L90:L105" si="37">SUM(J90:K90)</f>
        <v>-32567.008949053085</v>
      </c>
    </row>
    <row r="91" spans="1:13" s="805" customFormat="1">
      <c r="A91" s="1216" t="s">
        <v>229</v>
      </c>
      <c r="B91" s="1095">
        <f>+'Lionhead Pig Cost'!AU58</f>
        <v>-2595.9196371094895</v>
      </c>
      <c r="C91" s="1095"/>
      <c r="D91" s="1095">
        <f t="shared" si="33"/>
        <v>-2595.9196371094895</v>
      </c>
      <c r="E91" s="1216"/>
      <c r="F91" s="1290"/>
      <c r="G91" s="1095">
        <f>+'Non Current'!O19</f>
        <v>-2490.0408225566075</v>
      </c>
      <c r="H91" s="1095"/>
      <c r="I91" s="1290">
        <f t="shared" si="34"/>
        <v>-2490.0408225566075</v>
      </c>
      <c r="J91" s="1216">
        <f t="shared" si="35"/>
        <v>-5085.9604596660974</v>
      </c>
      <c r="K91" s="1095">
        <f t="shared" si="36"/>
        <v>0</v>
      </c>
      <c r="L91" s="1290">
        <f t="shared" si="37"/>
        <v>-5085.9604596660974</v>
      </c>
    </row>
    <row r="92" spans="1:13" s="805" customFormat="1">
      <c r="A92" s="1216" t="s">
        <v>231</v>
      </c>
      <c r="B92" s="1095">
        <f>+'Lionhead Pig Cost'!AU59</f>
        <v>0</v>
      </c>
      <c r="C92" s="1095"/>
      <c r="D92" s="1095">
        <f t="shared" si="33"/>
        <v>0</v>
      </c>
      <c r="E92" s="1216"/>
      <c r="F92" s="1290"/>
      <c r="G92" s="1095">
        <f>+'Non Current'!O20</f>
        <v>0</v>
      </c>
      <c r="H92" s="1095"/>
      <c r="I92" s="1290">
        <f t="shared" si="34"/>
        <v>0</v>
      </c>
      <c r="J92" s="1216">
        <f t="shared" si="35"/>
        <v>0</v>
      </c>
      <c r="K92" s="1095">
        <f t="shared" si="36"/>
        <v>0</v>
      </c>
      <c r="L92" s="1290">
        <f t="shared" si="37"/>
        <v>0</v>
      </c>
    </row>
    <row r="93" spans="1:13" s="805" customFormat="1">
      <c r="A93" s="1216" t="s">
        <v>232</v>
      </c>
      <c r="B93" s="1095">
        <f>+'Lionhead Pig Cost'!AU60</f>
        <v>0</v>
      </c>
      <c r="C93" s="1095"/>
      <c r="D93" s="1095">
        <f t="shared" si="33"/>
        <v>0</v>
      </c>
      <c r="E93" s="1216"/>
      <c r="F93" s="1290"/>
      <c r="G93" s="1095">
        <f>+'Non Current'!O21</f>
        <v>0</v>
      </c>
      <c r="H93" s="1095"/>
      <c r="I93" s="1290">
        <f t="shared" si="34"/>
        <v>0</v>
      </c>
      <c r="J93" s="1216">
        <f t="shared" si="35"/>
        <v>0</v>
      </c>
      <c r="K93" s="1095">
        <f t="shared" si="36"/>
        <v>0</v>
      </c>
      <c r="L93" s="1290">
        <f t="shared" si="37"/>
        <v>0</v>
      </c>
    </row>
    <row r="94" spans="1:13" s="805" customFormat="1">
      <c r="A94" s="1216" t="s">
        <v>1801</v>
      </c>
      <c r="B94" s="1095">
        <f>+'Lionhead Pig Cost'!AU61</f>
        <v>-838222.80110037874</v>
      </c>
      <c r="C94" s="1095"/>
      <c r="D94" s="1095">
        <f t="shared" si="33"/>
        <v>-838222.80110037874</v>
      </c>
      <c r="E94" s="1216"/>
      <c r="F94" s="1290"/>
      <c r="G94" s="1095">
        <f>+'Non Current'!O22</f>
        <v>-4980.081645113215</v>
      </c>
      <c r="H94" s="1095"/>
      <c r="I94" s="1290">
        <f t="shared" si="34"/>
        <v>-4980.081645113215</v>
      </c>
      <c r="J94" s="1216">
        <f t="shared" si="35"/>
        <v>-843202.88274549192</v>
      </c>
      <c r="K94" s="1095">
        <f t="shared" si="36"/>
        <v>0</v>
      </c>
      <c r="L94" s="1290">
        <f t="shared" si="37"/>
        <v>-843202.88274549192</v>
      </c>
    </row>
    <row r="95" spans="1:13" s="805" customFormat="1">
      <c r="A95" s="1095" t="s">
        <v>1903</v>
      </c>
      <c r="B95" s="1095"/>
      <c r="C95" s="1095"/>
      <c r="D95" s="1095">
        <f t="shared" si="33"/>
        <v>0</v>
      </c>
      <c r="E95" s="1216"/>
      <c r="F95" s="1290"/>
      <c r="G95" s="1095">
        <f>+'Non Current'!O23</f>
        <v>0</v>
      </c>
      <c r="H95" s="1095"/>
      <c r="I95" s="1290">
        <f t="shared" si="34"/>
        <v>0</v>
      </c>
      <c r="J95" s="1216">
        <f t="shared" si="35"/>
        <v>0</v>
      </c>
      <c r="K95" s="1095">
        <f t="shared" si="36"/>
        <v>0</v>
      </c>
      <c r="L95" s="1290">
        <f t="shared" si="37"/>
        <v>0</v>
      </c>
    </row>
    <row r="96" spans="1:13" s="805" customFormat="1">
      <c r="A96" s="1095" t="s">
        <v>1890</v>
      </c>
      <c r="B96" s="1095">
        <f>+'Lionhead Pig Cost'!AU46</f>
        <v>-6676.5697887864862</v>
      </c>
      <c r="C96" s="1095"/>
      <c r="D96" s="1095">
        <f t="shared" si="33"/>
        <v>-6676.5697887864862</v>
      </c>
      <c r="E96" s="1216"/>
      <c r="F96" s="1290"/>
      <c r="G96" s="1095"/>
      <c r="H96" s="1095"/>
      <c r="I96" s="1290">
        <f t="shared" si="34"/>
        <v>0</v>
      </c>
      <c r="J96" s="1216">
        <f t="shared" si="35"/>
        <v>-6676.5697887864862</v>
      </c>
      <c r="K96" s="1095">
        <f t="shared" si="36"/>
        <v>0</v>
      </c>
      <c r="L96" s="1290">
        <f t="shared" si="37"/>
        <v>-6676.5697887864862</v>
      </c>
    </row>
    <row r="97" spans="1:13" s="805" customFormat="1">
      <c r="A97" s="1095" t="s">
        <v>1891</v>
      </c>
      <c r="B97" s="1095"/>
      <c r="C97" s="1095"/>
      <c r="D97" s="1095">
        <f t="shared" si="33"/>
        <v>0</v>
      </c>
      <c r="E97" s="1216"/>
      <c r="F97" s="1290"/>
      <c r="G97" s="1095">
        <f>+'Non Current'!O24</f>
        <v>0</v>
      </c>
      <c r="H97" s="1095"/>
      <c r="I97" s="1290">
        <f t="shared" si="34"/>
        <v>0</v>
      </c>
      <c r="J97" s="1216">
        <f t="shared" si="35"/>
        <v>0</v>
      </c>
      <c r="K97" s="1095">
        <f t="shared" si="36"/>
        <v>0</v>
      </c>
      <c r="L97" s="1290">
        <f t="shared" si="37"/>
        <v>0</v>
      </c>
    </row>
    <row r="98" spans="1:13" s="805" customFormat="1">
      <c r="A98" s="1095" t="s">
        <v>1892</v>
      </c>
      <c r="B98" s="1095">
        <f>+'Lionhead Pig Cost'!AU48</f>
        <v>0</v>
      </c>
      <c r="C98" s="1095"/>
      <c r="D98" s="1095">
        <f t="shared" si="33"/>
        <v>0</v>
      </c>
      <c r="E98" s="1216"/>
      <c r="F98" s="1290"/>
      <c r="G98" s="1095"/>
      <c r="H98" s="1095"/>
      <c r="I98" s="1290">
        <f t="shared" si="34"/>
        <v>0</v>
      </c>
      <c r="J98" s="1216">
        <f t="shared" si="35"/>
        <v>0</v>
      </c>
      <c r="K98" s="1095">
        <f t="shared" si="36"/>
        <v>0</v>
      </c>
      <c r="L98" s="1290">
        <f t="shared" si="37"/>
        <v>0</v>
      </c>
    </row>
    <row r="99" spans="1:13" s="805" customFormat="1">
      <c r="A99" s="1095" t="s">
        <v>1904</v>
      </c>
      <c r="B99" s="1095"/>
      <c r="C99" s="1095"/>
      <c r="D99" s="1095">
        <f t="shared" si="33"/>
        <v>0</v>
      </c>
      <c r="E99" s="1216"/>
      <c r="F99" s="1290"/>
      <c r="G99" s="1095">
        <f>+'Non Current'!O26</f>
        <v>0</v>
      </c>
      <c r="H99" s="1095"/>
      <c r="I99" s="1290">
        <f t="shared" si="34"/>
        <v>0</v>
      </c>
      <c r="J99" s="1216">
        <f t="shared" si="35"/>
        <v>0</v>
      </c>
      <c r="K99" s="1095">
        <f t="shared" si="36"/>
        <v>0</v>
      </c>
      <c r="L99" s="1290">
        <f t="shared" si="37"/>
        <v>0</v>
      </c>
    </row>
    <row r="100" spans="1:13" s="805" customFormat="1">
      <c r="A100" s="1095" t="s">
        <v>1905</v>
      </c>
      <c r="B100" s="1095"/>
      <c r="C100" s="1095"/>
      <c r="D100" s="1095"/>
      <c r="E100" s="1216"/>
      <c r="F100" s="1290"/>
      <c r="G100" s="1095"/>
      <c r="H100" s="1095"/>
      <c r="I100" s="1290"/>
      <c r="J100" s="1216"/>
      <c r="K100" s="1095"/>
      <c r="L100" s="1290"/>
    </row>
    <row r="101" spans="1:13" s="805" customFormat="1">
      <c r="A101" s="1095" t="s">
        <v>1906</v>
      </c>
      <c r="B101" s="1095"/>
      <c r="C101" s="1095"/>
      <c r="D101" s="1095"/>
      <c r="E101" s="1216"/>
      <c r="F101" s="1290"/>
      <c r="G101" s="1095"/>
      <c r="H101" s="1095"/>
      <c r="I101" s="1290"/>
      <c r="J101" s="1216"/>
      <c r="K101" s="1095"/>
      <c r="L101" s="1290"/>
    </row>
    <row r="102" spans="1:13" s="805" customFormat="1">
      <c r="A102" s="1095" t="s">
        <v>1896</v>
      </c>
      <c r="B102" s="1095">
        <f>+'Lionhead Pig Cost'!AU53</f>
        <v>0</v>
      </c>
      <c r="C102" s="1095"/>
      <c r="D102" s="1095">
        <f t="shared" si="33"/>
        <v>0</v>
      </c>
      <c r="E102" s="1216"/>
      <c r="F102" s="1290"/>
      <c r="G102" s="1095"/>
      <c r="H102" s="1095"/>
      <c r="I102" s="1290">
        <f t="shared" si="34"/>
        <v>0</v>
      </c>
      <c r="J102" s="1216">
        <f t="shared" si="35"/>
        <v>0</v>
      </c>
      <c r="K102" s="1095">
        <f t="shared" si="36"/>
        <v>0</v>
      </c>
      <c r="L102" s="1290">
        <f t="shared" si="37"/>
        <v>0</v>
      </c>
    </row>
    <row r="103" spans="1:13" s="805" customFormat="1">
      <c r="A103" s="1095" t="s">
        <v>1897</v>
      </c>
      <c r="B103" s="1095">
        <f>'Lionhead Pig Cost'!AU54</f>
        <v>1844.4202548464386</v>
      </c>
      <c r="C103" s="1095"/>
      <c r="D103" s="1095">
        <f t="shared" si="33"/>
        <v>1844.4202548464386</v>
      </c>
      <c r="E103" s="1216"/>
      <c r="F103" s="1290"/>
      <c r="G103" s="1095">
        <f>'Non Current'!O30</f>
        <v>-1844.4202548464386</v>
      </c>
      <c r="H103" s="1095"/>
      <c r="I103" s="1290">
        <f t="shared" si="34"/>
        <v>-1844.4202548464386</v>
      </c>
      <c r="J103" s="1216">
        <f t="shared" si="35"/>
        <v>0</v>
      </c>
      <c r="K103" s="1095">
        <f t="shared" si="36"/>
        <v>0</v>
      </c>
      <c r="L103" s="1290">
        <f t="shared" si="37"/>
        <v>0</v>
      </c>
    </row>
    <row r="104" spans="1:13" s="805" customFormat="1">
      <c r="A104" s="1095" t="s">
        <v>1898</v>
      </c>
      <c r="B104" s="1095">
        <f>+'Lionhead Pig Cost'!AU56</f>
        <v>0</v>
      </c>
      <c r="C104" s="1095"/>
      <c r="D104" s="1095">
        <f t="shared" si="33"/>
        <v>0</v>
      </c>
      <c r="E104" s="1216"/>
      <c r="F104" s="1290"/>
      <c r="G104" s="1095"/>
      <c r="H104" s="1095"/>
      <c r="I104" s="1290">
        <f t="shared" si="34"/>
        <v>0</v>
      </c>
      <c r="J104" s="1216">
        <f t="shared" si="35"/>
        <v>0</v>
      </c>
      <c r="K104" s="1095">
        <f t="shared" si="36"/>
        <v>0</v>
      </c>
      <c r="L104" s="1290">
        <f t="shared" si="37"/>
        <v>0</v>
      </c>
    </row>
    <row r="105" spans="1:13" s="805" customFormat="1">
      <c r="A105" s="1216" t="s">
        <v>1875</v>
      </c>
      <c r="B105" s="1095"/>
      <c r="C105" s="1510">
        <v>57251.870864480297</v>
      </c>
      <c r="D105" s="1095">
        <f>+C105+B105</f>
        <v>57251.870864480297</v>
      </c>
      <c r="E105" s="1216"/>
      <c r="F105" s="1290"/>
      <c r="G105" s="1095"/>
      <c r="H105" s="1099">
        <v>-1243.85488656134</v>
      </c>
      <c r="I105" s="1290">
        <f t="shared" si="34"/>
        <v>-1243.85488656134</v>
      </c>
      <c r="J105" s="1216">
        <f t="shared" si="35"/>
        <v>0</v>
      </c>
      <c r="K105" s="1095">
        <f>+C105+H105</f>
        <v>56008.015977918956</v>
      </c>
      <c r="L105" s="1290">
        <f t="shared" si="37"/>
        <v>56008.015977918956</v>
      </c>
    </row>
    <row r="106" spans="1:13" s="805" customFormat="1" ht="16.149999999999999" thickBot="1">
      <c r="A106" s="1586" t="s">
        <v>1876</v>
      </c>
      <c r="B106" s="1096">
        <f>SUM(B88:B105)</f>
        <v>1043112.562993283</v>
      </c>
      <c r="C106" s="1096">
        <f>+C88+C90+C91+C94+C105</f>
        <v>191876.73081104102</v>
      </c>
      <c r="D106" s="1096">
        <f>SUM(D88:D105)</f>
        <v>1234989.293804324</v>
      </c>
      <c r="E106" s="1800">
        <f>+B106-'Lionhead Pig Cost'!AU62</f>
        <v>-1345277.5403517419</v>
      </c>
      <c r="F106" s="2000">
        <f>+G106-'Non Current'!O32</f>
        <v>3.2443682430312037E-3</v>
      </c>
      <c r="G106" s="1096">
        <f>SUM(G88:G105)</f>
        <v>440557.99998287921</v>
      </c>
      <c r="H106" s="1096">
        <f t="shared" ref="H106:L106" si="38">SUM(H88:H105)</f>
        <v>41428.962109348024</v>
      </c>
      <c r="I106" s="1587">
        <f t="shared" si="38"/>
        <v>481986.96209222724</v>
      </c>
      <c r="J106" s="1588">
        <f t="shared" si="38"/>
        <v>1483670.5629761619</v>
      </c>
      <c r="K106" s="1096">
        <f t="shared" si="38"/>
        <v>662901.63834728836</v>
      </c>
      <c r="L106" s="1587">
        <f t="shared" si="38"/>
        <v>2146572.2013234505</v>
      </c>
      <c r="M106" s="1097"/>
    </row>
    <row r="107" spans="1:13" s="805" customFormat="1" ht="15.6">
      <c r="A107" s="1094"/>
      <c r="B107" s="1094"/>
      <c r="C107" s="1094"/>
      <c r="D107" s="1094">
        <f>SUM('Lionhead Valuation'!H9:H41)</f>
        <v>2061365.9883716023</v>
      </c>
      <c r="E107" s="1094"/>
      <c r="F107" s="1094"/>
      <c r="G107" s="1094"/>
      <c r="H107" s="1094"/>
      <c r="I107" s="1094">
        <f>SUM('Lionhead Valuation'!H55:H60,'Lionhead Ext. Valuation'!H44:H49)</f>
        <v>434190</v>
      </c>
      <c r="J107" s="1094"/>
      <c r="K107" s="1094"/>
      <c r="L107" s="1097">
        <f>+D107+I107</f>
        <v>2495555.9883716023</v>
      </c>
      <c r="M107" s="1097"/>
    </row>
    <row r="108" spans="1:13" s="805" customFormat="1" ht="16.149999999999999" thickBot="1">
      <c r="A108" s="1094"/>
      <c r="B108" s="1094"/>
      <c r="C108" s="1094"/>
      <c r="D108" s="1094">
        <f>+D106-D107</f>
        <v>-826376.69456727826</v>
      </c>
      <c r="E108" s="1094"/>
      <c r="F108" s="1094"/>
      <c r="G108" s="1094"/>
      <c r="H108" s="1094"/>
      <c r="I108" s="1094">
        <f>+I106-I107</f>
        <v>47796.962092227244</v>
      </c>
      <c r="J108" s="1094"/>
      <c r="K108" s="1094"/>
      <c r="L108" s="1097">
        <f>+L106-L107</f>
        <v>-348983.78704815172</v>
      </c>
      <c r="M108" s="1097"/>
    </row>
    <row r="109" spans="1:13" s="805" customFormat="1" ht="15.6">
      <c r="A109" s="1589" t="s">
        <v>1907</v>
      </c>
      <c r="B109" s="1214" t="s">
        <v>199</v>
      </c>
      <c r="C109" s="1214" t="s">
        <v>1612</v>
      </c>
      <c r="D109" s="1590" t="s">
        <v>71</v>
      </c>
      <c r="E109" s="1093"/>
      <c r="F109" s="1093"/>
      <c r="G109" s="1591" t="s">
        <v>199</v>
      </c>
      <c r="H109" s="1214" t="s">
        <v>1612</v>
      </c>
      <c r="I109" s="1590" t="s">
        <v>71</v>
      </c>
      <c r="J109" s="1591" t="str">
        <f>+B109</f>
        <v>Cost</v>
      </c>
      <c r="K109" s="1215" t="str">
        <f>+C109</f>
        <v>Fair Value</v>
      </c>
      <c r="L109" s="1592" t="str">
        <f>+D109</f>
        <v>Total</v>
      </c>
      <c r="M109" s="1097"/>
    </row>
    <row r="110" spans="1:13" s="805" customFormat="1" ht="15.6">
      <c r="A110" s="1216" t="s">
        <v>1836</v>
      </c>
      <c r="B110" s="1510">
        <f>'[2]Total Pigs'!$B$140</f>
        <v>313198.2100370886</v>
      </c>
      <c r="C110" s="1510">
        <f>'[2]Total Pigs'!$C$140</f>
        <v>59329.994204227754</v>
      </c>
      <c r="D110" s="1290">
        <f t="shared" ref="D110:D121" si="39">+C110+B110</f>
        <v>372528.20424131636</v>
      </c>
      <c r="E110" s="1095"/>
      <c r="F110" s="1095"/>
      <c r="G110" s="1510">
        <f>'[86]Total Pigs'!$G$140</f>
        <v>0</v>
      </c>
      <c r="H110" s="1510">
        <f>'[86]Total Pigs'!$H$140</f>
        <v>0</v>
      </c>
      <c r="I110" s="1290">
        <f t="shared" ref="I110:I120" si="40">+H110+G110</f>
        <v>0</v>
      </c>
      <c r="J110" s="1216">
        <f>+B110+G110</f>
        <v>313198.2100370886</v>
      </c>
      <c r="K110" s="1095">
        <f>+C110+H110</f>
        <v>59329.994204227754</v>
      </c>
      <c r="L110" s="1290">
        <f>SUM(J110:K110)</f>
        <v>372528.20424131636</v>
      </c>
      <c r="M110" s="1097"/>
    </row>
    <row r="111" spans="1:13" s="805" customFormat="1" ht="15.6">
      <c r="A111" s="1216" t="s">
        <v>1900</v>
      </c>
      <c r="B111" s="1095">
        <f>+'Lionhead Ext. Pig Cost'!AU40</f>
        <v>198192</v>
      </c>
      <c r="C111" s="1095"/>
      <c r="D111" s="1290">
        <f t="shared" si="39"/>
        <v>198192</v>
      </c>
      <c r="E111" s="1095"/>
      <c r="F111" s="1095"/>
      <c r="G111" s="1216"/>
      <c r="H111" s="1095"/>
      <c r="I111" s="1290">
        <f t="shared" si="40"/>
        <v>0</v>
      </c>
      <c r="J111" s="1216">
        <f t="shared" ref="J111:J121" si="41">+B111+G111</f>
        <v>198192</v>
      </c>
      <c r="K111" s="1095">
        <f t="shared" ref="K111:K121" si="42">+C111+H111</f>
        <v>0</v>
      </c>
      <c r="L111" s="1290">
        <f t="shared" ref="L111:L121" si="43">SUM(J111:K111)</f>
        <v>198192</v>
      </c>
      <c r="M111" s="1097"/>
    </row>
    <row r="112" spans="1:13" s="805" customFormat="1" ht="15.6">
      <c r="A112" s="1216" t="s">
        <v>1854</v>
      </c>
      <c r="B112" s="1095"/>
      <c r="C112" s="1095"/>
      <c r="D112" s="1290">
        <f t="shared" si="39"/>
        <v>0</v>
      </c>
      <c r="E112" s="1095"/>
      <c r="F112" s="1095"/>
      <c r="G112" s="1216"/>
      <c r="H112" s="1095"/>
      <c r="I112" s="1290">
        <f t="shared" si="40"/>
        <v>0</v>
      </c>
      <c r="J112" s="1216">
        <f t="shared" si="41"/>
        <v>0</v>
      </c>
      <c r="K112" s="1095">
        <f t="shared" si="42"/>
        <v>0</v>
      </c>
      <c r="L112" s="1290">
        <f t="shared" si="43"/>
        <v>0</v>
      </c>
      <c r="M112" s="1097"/>
    </row>
    <row r="113" spans="1:13" s="805" customFormat="1" ht="15.6">
      <c r="A113" s="1216" t="s">
        <v>1901</v>
      </c>
      <c r="B113" s="1095">
        <f>+'Lionhead Ext. Pig Cost'!AU45</f>
        <v>0</v>
      </c>
      <c r="C113" s="1095"/>
      <c r="D113" s="1290">
        <f t="shared" si="39"/>
        <v>0</v>
      </c>
      <c r="E113" s="1095"/>
      <c r="F113" s="1095"/>
      <c r="G113" s="1216"/>
      <c r="H113" s="1095"/>
      <c r="I113" s="1290">
        <f t="shared" si="40"/>
        <v>0</v>
      </c>
      <c r="J113" s="1216">
        <f t="shared" si="41"/>
        <v>0</v>
      </c>
      <c r="K113" s="1095">
        <f t="shared" si="42"/>
        <v>0</v>
      </c>
      <c r="L113" s="1290">
        <f t="shared" si="43"/>
        <v>0</v>
      </c>
      <c r="M113" s="1097"/>
    </row>
    <row r="114" spans="1:13" s="805" customFormat="1" ht="15.6">
      <c r="A114" s="1216" t="s">
        <v>1856</v>
      </c>
      <c r="B114" s="1095">
        <f>+'Lionhead Ext. Pig Cost'!AU47</f>
        <v>34970.638576686841</v>
      </c>
      <c r="C114" s="1095"/>
      <c r="D114" s="1290">
        <f t="shared" si="39"/>
        <v>34970.638576686841</v>
      </c>
      <c r="E114" s="1095"/>
      <c r="F114" s="1095"/>
      <c r="G114" s="1216"/>
      <c r="H114" s="1095"/>
      <c r="I114" s="1290">
        <f t="shared" si="40"/>
        <v>0</v>
      </c>
      <c r="J114" s="1216">
        <f t="shared" si="41"/>
        <v>34970.638576686841</v>
      </c>
      <c r="K114" s="1095">
        <f t="shared" si="42"/>
        <v>0</v>
      </c>
      <c r="L114" s="1290">
        <f t="shared" si="43"/>
        <v>34970.638576686841</v>
      </c>
      <c r="M114" s="1097"/>
    </row>
    <row r="115" spans="1:13" s="805" customFormat="1" ht="15.6">
      <c r="A115" s="1216" t="s">
        <v>1908</v>
      </c>
      <c r="B115" s="1095">
        <f>+'Lionhead Ext. Pig Cost'!AU46</f>
        <v>6676.5697887864862</v>
      </c>
      <c r="C115" s="1095"/>
      <c r="D115" s="1290">
        <f t="shared" si="39"/>
        <v>6676.5697887864862</v>
      </c>
      <c r="E115" s="1095"/>
      <c r="F115" s="1095"/>
      <c r="G115" s="1216"/>
      <c r="H115" s="1095"/>
      <c r="I115" s="1290">
        <f t="shared" si="40"/>
        <v>0</v>
      </c>
      <c r="J115" s="1216">
        <f t="shared" si="41"/>
        <v>6676.5697887864862</v>
      </c>
      <c r="K115" s="1095">
        <f t="shared" si="42"/>
        <v>0</v>
      </c>
      <c r="L115" s="1290">
        <f t="shared" si="43"/>
        <v>6676.5697887864862</v>
      </c>
      <c r="M115" s="1097"/>
    </row>
    <row r="116" spans="1:13" s="805" customFormat="1" ht="15.6">
      <c r="A116" s="1216" t="s">
        <v>1855</v>
      </c>
      <c r="B116" s="1095">
        <f>+'Lionhead Ext. Pig Cost'!AU49</f>
        <v>9257.3265931078768</v>
      </c>
      <c r="C116" s="1095"/>
      <c r="D116" s="1290">
        <f t="shared" si="39"/>
        <v>9257.3265931078768</v>
      </c>
      <c r="E116" s="1095"/>
      <c r="F116" s="1095"/>
      <c r="G116" s="1216"/>
      <c r="H116" s="1095"/>
      <c r="I116" s="1290">
        <f t="shared" si="40"/>
        <v>0</v>
      </c>
      <c r="J116" s="1216">
        <f t="shared" si="41"/>
        <v>9257.3265931078768</v>
      </c>
      <c r="K116" s="1095">
        <f t="shared" si="42"/>
        <v>0</v>
      </c>
      <c r="L116" s="1290">
        <f t="shared" si="43"/>
        <v>9257.3265931078768</v>
      </c>
      <c r="M116" s="1097"/>
    </row>
    <row r="117" spans="1:13" s="805" customFormat="1" ht="15.6">
      <c r="A117" s="1216" t="s">
        <v>1859</v>
      </c>
      <c r="B117" s="1095"/>
      <c r="C117" s="1095"/>
      <c r="D117" s="1290">
        <f t="shared" si="39"/>
        <v>0</v>
      </c>
      <c r="E117" s="1095"/>
      <c r="F117" s="1095"/>
      <c r="G117" s="1216"/>
      <c r="H117" s="1095"/>
      <c r="I117" s="1290">
        <f t="shared" si="40"/>
        <v>0</v>
      </c>
      <c r="J117" s="1216">
        <f t="shared" si="41"/>
        <v>0</v>
      </c>
      <c r="K117" s="1095">
        <f t="shared" si="42"/>
        <v>0</v>
      </c>
      <c r="L117" s="1290">
        <f t="shared" si="43"/>
        <v>0</v>
      </c>
      <c r="M117" s="1097"/>
    </row>
    <row r="118" spans="1:13" s="805" customFormat="1" ht="15.6">
      <c r="A118" s="1216" t="s">
        <v>1860</v>
      </c>
      <c r="B118" s="1095">
        <f>'Lionhead Ext. Pig Cost'!AU50</f>
        <v>5273.9530869494138</v>
      </c>
      <c r="C118" s="1095"/>
      <c r="D118" s="1290">
        <f t="shared" si="39"/>
        <v>5273.9530869494138</v>
      </c>
      <c r="E118" s="1095"/>
      <c r="F118" s="1095"/>
      <c r="G118" s="1216"/>
      <c r="H118" s="1095"/>
      <c r="I118" s="1290"/>
      <c r="J118" s="1216"/>
      <c r="K118" s="1095"/>
      <c r="L118" s="1290"/>
      <c r="M118" s="1097"/>
    </row>
    <row r="119" spans="1:13" s="805" customFormat="1" ht="15.6">
      <c r="A119" s="1216" t="s">
        <v>1861</v>
      </c>
      <c r="B119" s="1095"/>
      <c r="C119" s="1095"/>
      <c r="D119" s="1290">
        <f t="shared" si="39"/>
        <v>0</v>
      </c>
      <c r="E119" s="1095"/>
      <c r="F119" s="1095"/>
      <c r="G119" s="1216"/>
      <c r="H119" s="1095"/>
      <c r="I119" s="1290"/>
      <c r="J119" s="1216"/>
      <c r="K119" s="1095"/>
      <c r="L119" s="1290"/>
      <c r="M119" s="1097"/>
    </row>
    <row r="120" spans="1:13" s="805" customFormat="1" ht="15.6">
      <c r="A120" s="1216" t="s">
        <v>1862</v>
      </c>
      <c r="B120" s="1095"/>
      <c r="C120" s="1095"/>
      <c r="D120" s="1290">
        <f t="shared" si="39"/>
        <v>0</v>
      </c>
      <c r="E120" s="1095"/>
      <c r="F120" s="1095"/>
      <c r="G120" s="1216"/>
      <c r="H120" s="1095"/>
      <c r="I120" s="1290">
        <f t="shared" si="40"/>
        <v>0</v>
      </c>
      <c r="J120" s="1216">
        <f t="shared" si="41"/>
        <v>0</v>
      </c>
      <c r="K120" s="1095">
        <f t="shared" si="42"/>
        <v>0</v>
      </c>
      <c r="L120" s="1290">
        <f t="shared" si="43"/>
        <v>0</v>
      </c>
      <c r="M120" s="1097"/>
    </row>
    <row r="121" spans="1:13" s="805" customFormat="1" ht="15.6">
      <c r="A121" s="1216" t="s">
        <v>1863</v>
      </c>
      <c r="B121" s="1095"/>
      <c r="C121" s="1095"/>
      <c r="D121" s="1290">
        <f t="shared" si="39"/>
        <v>0</v>
      </c>
      <c r="E121" s="1095"/>
      <c r="F121" s="1095"/>
      <c r="G121" s="1216"/>
      <c r="H121" s="1095"/>
      <c r="I121" s="1290">
        <f>+H121+G121</f>
        <v>0</v>
      </c>
      <c r="J121" s="1216">
        <f t="shared" si="41"/>
        <v>0</v>
      </c>
      <c r="K121" s="1095">
        <f t="shared" si="42"/>
        <v>0</v>
      </c>
      <c r="L121" s="1290">
        <f t="shared" si="43"/>
        <v>0</v>
      </c>
      <c r="M121" s="1097"/>
    </row>
    <row r="122" spans="1:13" s="805" customFormat="1" ht="15.6">
      <c r="A122" s="1292" t="s">
        <v>71</v>
      </c>
      <c r="B122" s="1286">
        <f>SUM(B110:B121)</f>
        <v>567568.69808261923</v>
      </c>
      <c r="C122" s="1286">
        <f>SUM(C110:C121)</f>
        <v>59329.994204227754</v>
      </c>
      <c r="D122" s="1291">
        <f>SUM(D110:D121)</f>
        <v>626898.69228684693</v>
      </c>
      <c r="E122" s="1094"/>
      <c r="F122" s="1094">
        <f t="shared" ref="F122:L122" si="44">SUM(F110:F121)</f>
        <v>0</v>
      </c>
      <c r="G122" s="1292">
        <f t="shared" si="44"/>
        <v>0</v>
      </c>
      <c r="H122" s="1292">
        <f t="shared" si="44"/>
        <v>0</v>
      </c>
      <c r="I122" s="1638">
        <f t="shared" si="44"/>
        <v>0</v>
      </c>
      <c r="J122" s="1292">
        <f t="shared" si="44"/>
        <v>562294.74499566981</v>
      </c>
      <c r="K122" s="1286">
        <f t="shared" si="44"/>
        <v>59329.994204227754</v>
      </c>
      <c r="L122" s="1291">
        <f t="shared" si="44"/>
        <v>621624.73919989751</v>
      </c>
      <c r="M122" s="1097"/>
    </row>
    <row r="123" spans="1:13" s="805" customFormat="1" ht="15.6">
      <c r="A123" s="1216" t="s">
        <v>1888</v>
      </c>
      <c r="B123" s="1095"/>
      <c r="C123" s="1095"/>
      <c r="D123" s="1290">
        <f t="shared" ref="D123:D139" si="45">+C123+B123</f>
        <v>0</v>
      </c>
      <c r="E123" s="1095"/>
      <c r="F123" s="1095"/>
      <c r="G123" s="1216"/>
      <c r="H123" s="1095"/>
      <c r="I123" s="1290">
        <f t="shared" ref="I123:I138" si="46">+H123+G123</f>
        <v>0</v>
      </c>
      <c r="J123" s="1216">
        <f>+B123+G123</f>
        <v>0</v>
      </c>
      <c r="K123" s="1095">
        <f>+C123+H123</f>
        <v>0</v>
      </c>
      <c r="L123" s="1290">
        <f>SUM(J123:K123)</f>
        <v>0</v>
      </c>
      <c r="M123" s="1097"/>
    </row>
    <row r="124" spans="1:13" s="805" customFormat="1" ht="15.6">
      <c r="A124" s="1216" t="s">
        <v>169</v>
      </c>
      <c r="B124" s="1095">
        <f>+'Lionhead Ext. Pig Cost'!AU57</f>
        <v>-5422.4706064993607</v>
      </c>
      <c r="C124" s="1095"/>
      <c r="D124" s="1290">
        <f t="shared" si="45"/>
        <v>-5422.4706064993607</v>
      </c>
      <c r="E124" s="1095"/>
      <c r="F124" s="1095"/>
      <c r="G124" s="1216"/>
      <c r="H124" s="1095"/>
      <c r="I124" s="1290">
        <f t="shared" si="46"/>
        <v>0</v>
      </c>
      <c r="J124" s="1216">
        <f t="shared" ref="J124:J139" si="47">+B124+G124</f>
        <v>-5422.4706064993607</v>
      </c>
      <c r="K124" s="1095">
        <f t="shared" ref="K124:K139" si="48">+C124+H124</f>
        <v>0</v>
      </c>
      <c r="L124" s="1290">
        <f t="shared" ref="L124:L139" si="49">SUM(J124:K124)</f>
        <v>-5422.4706064993607</v>
      </c>
      <c r="M124" s="1097"/>
    </row>
    <row r="125" spans="1:13" s="805" customFormat="1" ht="15.6">
      <c r="A125" s="1216" t="s">
        <v>229</v>
      </c>
      <c r="B125" s="1095">
        <f>+'Lionhead Ext. Pig Cost'!AU58</f>
        <v>0</v>
      </c>
      <c r="C125" s="1095"/>
      <c r="D125" s="1290">
        <f t="shared" si="45"/>
        <v>0</v>
      </c>
      <c r="E125" s="1095"/>
      <c r="F125" s="1095"/>
      <c r="G125" s="1216"/>
      <c r="H125" s="1095"/>
      <c r="I125" s="1290">
        <f t="shared" si="46"/>
        <v>0</v>
      </c>
      <c r="J125" s="1216">
        <f t="shared" si="47"/>
        <v>0</v>
      </c>
      <c r="K125" s="1095">
        <f t="shared" si="48"/>
        <v>0</v>
      </c>
      <c r="L125" s="1290">
        <f t="shared" si="49"/>
        <v>0</v>
      </c>
      <c r="M125" s="1097"/>
    </row>
    <row r="126" spans="1:13" s="805" customFormat="1" ht="15.6">
      <c r="A126" s="1216" t="s">
        <v>231</v>
      </c>
      <c r="B126" s="1095">
        <f>+'Lionhead Ext. Pig Cost'!AU59</f>
        <v>0</v>
      </c>
      <c r="C126" s="1095"/>
      <c r="D126" s="1290">
        <f t="shared" si="45"/>
        <v>0</v>
      </c>
      <c r="E126" s="1095"/>
      <c r="F126" s="1095"/>
      <c r="G126" s="1216"/>
      <c r="H126" s="1095"/>
      <c r="I126" s="1290">
        <f t="shared" si="46"/>
        <v>0</v>
      </c>
      <c r="J126" s="1216">
        <f t="shared" si="47"/>
        <v>0</v>
      </c>
      <c r="K126" s="1095">
        <f t="shared" si="48"/>
        <v>0</v>
      </c>
      <c r="L126" s="1290">
        <f t="shared" si="49"/>
        <v>0</v>
      </c>
      <c r="M126" s="1097"/>
    </row>
    <row r="127" spans="1:13" s="805" customFormat="1" ht="15.6">
      <c r="A127" s="1216" t="s">
        <v>232</v>
      </c>
      <c r="B127" s="1095">
        <f>+'Lionhead Ext. Pig Cost'!AU60</f>
        <v>0</v>
      </c>
      <c r="C127" s="1095"/>
      <c r="D127" s="1290">
        <f t="shared" si="45"/>
        <v>0</v>
      </c>
      <c r="E127" s="1095"/>
      <c r="F127" s="1095"/>
      <c r="G127" s="1216"/>
      <c r="H127" s="1095"/>
      <c r="I127" s="1290">
        <f t="shared" si="46"/>
        <v>0</v>
      </c>
      <c r="J127" s="1216">
        <f t="shared" si="47"/>
        <v>0</v>
      </c>
      <c r="K127" s="1095">
        <f t="shared" si="48"/>
        <v>0</v>
      </c>
      <c r="L127" s="1290">
        <f t="shared" si="49"/>
        <v>0</v>
      </c>
      <c r="M127" s="1097"/>
    </row>
    <row r="128" spans="1:13" s="805" customFormat="1" ht="15.6">
      <c r="A128" s="1216" t="s">
        <v>1801</v>
      </c>
      <c r="B128" s="1095">
        <f>+'Lionhead Ext. Pig Cost'!AU61</f>
        <v>-238639.4021201618</v>
      </c>
      <c r="C128" s="1095"/>
      <c r="D128" s="1290">
        <f t="shared" si="45"/>
        <v>-238639.4021201618</v>
      </c>
      <c r="E128" s="1095"/>
      <c r="F128" s="1095"/>
      <c r="G128" s="1216"/>
      <c r="H128" s="1095"/>
      <c r="I128" s="1290">
        <f t="shared" si="46"/>
        <v>0</v>
      </c>
      <c r="J128" s="1216">
        <f t="shared" si="47"/>
        <v>-238639.4021201618</v>
      </c>
      <c r="K128" s="1095">
        <f t="shared" si="48"/>
        <v>0</v>
      </c>
      <c r="L128" s="1290">
        <f t="shared" si="49"/>
        <v>-238639.4021201618</v>
      </c>
      <c r="M128" s="1097"/>
    </row>
    <row r="129" spans="1:13" s="805" customFormat="1" ht="15.6">
      <c r="A129" s="1095" t="s">
        <v>1903</v>
      </c>
      <c r="B129" s="1095"/>
      <c r="C129" s="1095"/>
      <c r="D129" s="1290">
        <f t="shared" si="45"/>
        <v>0</v>
      </c>
      <c r="E129" s="1095"/>
      <c r="F129" s="1095"/>
      <c r="G129" s="1216"/>
      <c r="H129" s="1095"/>
      <c r="I129" s="1290">
        <f t="shared" si="46"/>
        <v>0</v>
      </c>
      <c r="J129" s="1216">
        <f t="shared" si="47"/>
        <v>0</v>
      </c>
      <c r="K129" s="1095">
        <f t="shared" si="48"/>
        <v>0</v>
      </c>
      <c r="L129" s="1290">
        <f t="shared" si="49"/>
        <v>0</v>
      </c>
      <c r="M129" s="1097"/>
    </row>
    <row r="130" spans="1:13" s="805" customFormat="1" ht="15.6">
      <c r="A130" s="1095" t="s">
        <v>1909</v>
      </c>
      <c r="B130" s="1095"/>
      <c r="C130" s="1095"/>
      <c r="D130" s="1290">
        <f t="shared" si="45"/>
        <v>0</v>
      </c>
      <c r="E130" s="1095"/>
      <c r="F130" s="1095"/>
      <c r="G130" s="1216"/>
      <c r="H130" s="1095"/>
      <c r="I130" s="1290">
        <f t="shared" si="46"/>
        <v>0</v>
      </c>
      <c r="J130" s="1216">
        <f t="shared" si="47"/>
        <v>0</v>
      </c>
      <c r="K130" s="1095">
        <f t="shared" si="48"/>
        <v>0</v>
      </c>
      <c r="L130" s="1290">
        <f t="shared" si="49"/>
        <v>0</v>
      </c>
      <c r="M130" s="1097"/>
    </row>
    <row r="131" spans="1:13" s="805" customFormat="1" ht="15.6">
      <c r="A131" s="1095" t="s">
        <v>1891</v>
      </c>
      <c r="B131" s="1095"/>
      <c r="C131" s="1095"/>
      <c r="D131" s="1290">
        <f t="shared" si="45"/>
        <v>0</v>
      </c>
      <c r="E131" s="1095"/>
      <c r="F131" s="1095"/>
      <c r="G131" s="1216"/>
      <c r="H131" s="1095"/>
      <c r="I131" s="1290">
        <f t="shared" si="46"/>
        <v>0</v>
      </c>
      <c r="J131" s="1216">
        <f t="shared" si="47"/>
        <v>0</v>
      </c>
      <c r="K131" s="1095">
        <f t="shared" si="48"/>
        <v>0</v>
      </c>
      <c r="L131" s="1290">
        <f t="shared" si="49"/>
        <v>0</v>
      </c>
      <c r="M131" s="1097"/>
    </row>
    <row r="132" spans="1:13" s="805" customFormat="1" ht="15.6">
      <c r="A132" s="1095" t="s">
        <v>1892</v>
      </c>
      <c r="B132" s="1095">
        <f>+'Lionhead Ext. Pig Cost'!AU48</f>
        <v>0</v>
      </c>
      <c r="C132" s="1095"/>
      <c r="D132" s="1290">
        <f t="shared" si="45"/>
        <v>0</v>
      </c>
      <c r="E132" s="1095"/>
      <c r="F132" s="1095"/>
      <c r="G132" s="1216"/>
      <c r="H132" s="1095"/>
      <c r="I132" s="1290">
        <f t="shared" si="46"/>
        <v>0</v>
      </c>
      <c r="J132" s="1216">
        <f t="shared" si="47"/>
        <v>0</v>
      </c>
      <c r="K132" s="1095">
        <f t="shared" si="48"/>
        <v>0</v>
      </c>
      <c r="L132" s="1290">
        <f t="shared" si="49"/>
        <v>0</v>
      </c>
      <c r="M132" s="1097"/>
    </row>
    <row r="133" spans="1:13" s="805" customFormat="1" ht="15.6">
      <c r="A133" s="1095" t="s">
        <v>1904</v>
      </c>
      <c r="B133" s="1095"/>
      <c r="C133" s="1095"/>
      <c r="D133" s="1290">
        <f t="shared" si="45"/>
        <v>0</v>
      </c>
      <c r="E133" s="1095"/>
      <c r="F133" s="1095"/>
      <c r="G133" s="1216"/>
      <c r="H133" s="1095"/>
      <c r="I133" s="1290">
        <f t="shared" si="46"/>
        <v>0</v>
      </c>
      <c r="J133" s="1216">
        <f t="shared" si="47"/>
        <v>0</v>
      </c>
      <c r="K133" s="1095">
        <f t="shared" si="48"/>
        <v>0</v>
      </c>
      <c r="L133" s="1290">
        <f t="shared" si="49"/>
        <v>0</v>
      </c>
      <c r="M133" s="1097"/>
    </row>
    <row r="134" spans="1:13" s="805" customFormat="1" ht="15.6">
      <c r="A134" s="1095" t="s">
        <v>1905</v>
      </c>
      <c r="B134" s="1095"/>
      <c r="C134" s="1095"/>
      <c r="D134" s="1290">
        <f t="shared" si="45"/>
        <v>0</v>
      </c>
      <c r="E134" s="1095"/>
      <c r="F134" s="1095"/>
      <c r="G134" s="1216"/>
      <c r="H134" s="1095"/>
      <c r="I134" s="1290"/>
      <c r="J134" s="1216"/>
      <c r="K134" s="1095"/>
      <c r="L134" s="1290"/>
      <c r="M134" s="1097"/>
    </row>
    <row r="135" spans="1:13" s="805" customFormat="1" ht="15.6">
      <c r="A135" s="1095" t="s">
        <v>1906</v>
      </c>
      <c r="B135" s="1095"/>
      <c r="C135" s="1095"/>
      <c r="D135" s="1290">
        <f t="shared" si="45"/>
        <v>0</v>
      </c>
      <c r="E135" s="1095"/>
      <c r="F135" s="1095"/>
      <c r="G135" s="1216"/>
      <c r="H135" s="1095"/>
      <c r="I135" s="1290"/>
      <c r="J135" s="1216"/>
      <c r="K135" s="1095"/>
      <c r="L135" s="1290"/>
      <c r="M135" s="1097"/>
    </row>
    <row r="136" spans="1:13" s="805" customFormat="1" ht="15.6">
      <c r="A136" s="1095" t="s">
        <v>1896</v>
      </c>
      <c r="B136" s="1095"/>
      <c r="C136" s="1095"/>
      <c r="D136" s="1290">
        <f t="shared" si="45"/>
        <v>0</v>
      </c>
      <c r="E136" s="1095"/>
      <c r="F136" s="1095"/>
      <c r="G136" s="1216"/>
      <c r="H136" s="1095"/>
      <c r="I136" s="1290">
        <f t="shared" si="46"/>
        <v>0</v>
      </c>
      <c r="J136" s="1216">
        <f t="shared" si="47"/>
        <v>0</v>
      </c>
      <c r="K136" s="1095">
        <f t="shared" si="48"/>
        <v>0</v>
      </c>
      <c r="L136" s="1290">
        <f t="shared" si="49"/>
        <v>0</v>
      </c>
      <c r="M136" s="1097"/>
    </row>
    <row r="137" spans="1:13" s="805" customFormat="1" ht="15.6">
      <c r="A137" s="1095" t="s">
        <v>1897</v>
      </c>
      <c r="B137" s="1095"/>
      <c r="C137" s="1095"/>
      <c r="D137" s="1290">
        <f t="shared" si="45"/>
        <v>0</v>
      </c>
      <c r="E137" s="1095"/>
      <c r="F137" s="1095"/>
      <c r="G137" s="1216"/>
      <c r="H137" s="1095"/>
      <c r="I137" s="1290">
        <f t="shared" si="46"/>
        <v>0</v>
      </c>
      <c r="J137" s="1216">
        <f t="shared" si="47"/>
        <v>0</v>
      </c>
      <c r="K137" s="1095">
        <f t="shared" si="48"/>
        <v>0</v>
      </c>
      <c r="L137" s="1290">
        <f t="shared" si="49"/>
        <v>0</v>
      </c>
      <c r="M137" s="1097"/>
    </row>
    <row r="138" spans="1:13" s="805" customFormat="1" ht="15.6">
      <c r="A138" s="1095" t="s">
        <v>1898</v>
      </c>
      <c r="B138" s="1095">
        <f>+'Lionhead Ext. Pig Cost'!AU56</f>
        <v>0</v>
      </c>
      <c r="C138" s="1095"/>
      <c r="D138" s="1290">
        <f t="shared" si="45"/>
        <v>0</v>
      </c>
      <c r="E138" s="1095"/>
      <c r="F138" s="1095"/>
      <c r="G138" s="1216"/>
      <c r="H138" s="1095"/>
      <c r="I138" s="1290">
        <f t="shared" si="46"/>
        <v>0</v>
      </c>
      <c r="J138" s="1216">
        <f t="shared" si="47"/>
        <v>0</v>
      </c>
      <c r="K138" s="1095">
        <f t="shared" si="48"/>
        <v>0</v>
      </c>
      <c r="L138" s="1290">
        <f t="shared" si="49"/>
        <v>0</v>
      </c>
      <c r="M138" s="1097"/>
    </row>
    <row r="139" spans="1:13" s="805" customFormat="1" ht="15.6">
      <c r="A139" s="1216" t="s">
        <v>1875</v>
      </c>
      <c r="B139" s="1095"/>
      <c r="C139" s="1095">
        <v>18673.885344399201</v>
      </c>
      <c r="D139" s="1290">
        <f t="shared" si="45"/>
        <v>18673.885344399201</v>
      </c>
      <c r="E139" s="1095"/>
      <c r="F139" s="1095"/>
      <c r="G139" s="1216"/>
      <c r="H139" s="1094"/>
      <c r="I139" s="1290">
        <f>+H139+G139</f>
        <v>0</v>
      </c>
      <c r="J139" s="1216">
        <f t="shared" si="47"/>
        <v>0</v>
      </c>
      <c r="K139" s="1095">
        <f t="shared" si="48"/>
        <v>18673.885344399201</v>
      </c>
      <c r="L139" s="1290">
        <f t="shared" si="49"/>
        <v>18673.885344399201</v>
      </c>
      <c r="M139" s="1097"/>
    </row>
    <row r="140" spans="1:13" s="805" customFormat="1" ht="16.149999999999999" thickBot="1">
      <c r="A140" s="1586" t="s">
        <v>1876</v>
      </c>
      <c r="B140" s="1096">
        <f>SUM(B122:B139)</f>
        <v>323506.82535595808</v>
      </c>
      <c r="C140" s="1096">
        <f>+C122+C124+C125+C128+C139</f>
        <v>78003.879548626952</v>
      </c>
      <c r="D140" s="1587">
        <f>SUM(D122:D139)</f>
        <v>401510.70490458497</v>
      </c>
      <c r="E140" s="1103">
        <f>+B140-'Lionhead Ext. Pig Cost'!AU62</f>
        <v>-294086.02720558131</v>
      </c>
      <c r="F140" s="1103"/>
      <c r="G140" s="1588">
        <f t="shared" ref="G140:L140" si="50">SUM(G122:G139)</f>
        <v>0</v>
      </c>
      <c r="H140" s="1096">
        <f t="shared" si="50"/>
        <v>0</v>
      </c>
      <c r="I140" s="1587">
        <f t="shared" si="50"/>
        <v>0</v>
      </c>
      <c r="J140" s="1588">
        <f>SUM(J122:J139)</f>
        <v>318232.87226900866</v>
      </c>
      <c r="K140" s="1096">
        <f t="shared" si="50"/>
        <v>78003.879548626952</v>
      </c>
      <c r="L140" s="1587">
        <f t="shared" si="50"/>
        <v>396236.75181763555</v>
      </c>
      <c r="M140" s="1097"/>
    </row>
    <row r="141" spans="1:13" s="805" customFormat="1" ht="15.6">
      <c r="A141" s="1094"/>
      <c r="B141" s="1094"/>
      <c r="C141" s="1094"/>
      <c r="D141" s="1094">
        <f>SUM('Lionhead Ext. Valuation'!H10:H41)</f>
        <v>525927.86524550256</v>
      </c>
      <c r="E141" s="1094"/>
      <c r="F141" s="1094"/>
      <c r="G141" s="1094"/>
      <c r="H141" s="1094"/>
      <c r="I141" s="1094">
        <f>SUM('Lionhead Valuation'!H85:H90,'Lionhead Ext. Valuation'!H74:H79)</f>
        <v>0</v>
      </c>
      <c r="J141" s="1094"/>
      <c r="K141" s="1094"/>
      <c r="L141" s="1097">
        <f>+D141+I141</f>
        <v>525927.86524550256</v>
      </c>
      <c r="M141" s="1097"/>
    </row>
    <row r="142" spans="1:13" s="805" customFormat="1" ht="16.149999999999999" thickBot="1">
      <c r="A142" s="1094"/>
      <c r="B142" s="1094"/>
      <c r="C142" s="1094"/>
      <c r="D142" s="1094">
        <f>+D140-D141</f>
        <v>-124417.16034091759</v>
      </c>
      <c r="E142" s="1094"/>
      <c r="F142" s="1094"/>
      <c r="G142" s="1094"/>
      <c r="H142" s="1094"/>
      <c r="I142" s="1094">
        <f>+I140-I141</f>
        <v>0</v>
      </c>
      <c r="J142" s="1094"/>
      <c r="K142" s="1094"/>
      <c r="L142" s="1097">
        <f>+L140-L141</f>
        <v>-129691.11342786701</v>
      </c>
      <c r="M142" s="1097"/>
    </row>
    <row r="143" spans="1:13" s="805" customFormat="1" ht="15.6">
      <c r="A143" s="1589" t="s">
        <v>189</v>
      </c>
      <c r="B143" s="1214" t="s">
        <v>199</v>
      </c>
      <c r="C143" s="1214" t="s">
        <v>1612</v>
      </c>
      <c r="D143" s="1590" t="s">
        <v>71</v>
      </c>
      <c r="E143" s="1093"/>
      <c r="F143" s="1093"/>
      <c r="G143" s="1591" t="s">
        <v>199</v>
      </c>
      <c r="H143" s="1214" t="s">
        <v>1612</v>
      </c>
      <c r="I143" s="1590" t="s">
        <v>71</v>
      </c>
      <c r="J143" s="1214" t="str">
        <f>+B143</f>
        <v>Cost</v>
      </c>
      <c r="K143" s="1215" t="str">
        <f>+C143</f>
        <v>Fair Value</v>
      </c>
      <c r="L143" s="1592" t="str">
        <f>+D143</f>
        <v>Total</v>
      </c>
    </row>
    <row r="144" spans="1:13" s="805" customFormat="1">
      <c r="A144" s="1216" t="s">
        <v>1836</v>
      </c>
      <c r="B144" s="1510">
        <f>'[2]Total Pigs'!$B$174</f>
        <v>977675.63191671413</v>
      </c>
      <c r="C144" s="1510">
        <f>'[2]Total Pigs'!$C$174</f>
        <v>158295.93410864638</v>
      </c>
      <c r="D144" s="1290">
        <f t="shared" ref="D144:D155" si="51">+C144+B144</f>
        <v>1135971.5660253605</v>
      </c>
      <c r="E144" s="1095"/>
      <c r="F144" s="1095"/>
      <c r="G144" s="1510">
        <f>'[2]Total Pigs'!$G$174</f>
        <v>201276.07944454812</v>
      </c>
      <c r="H144" s="1510">
        <f>'[2]Total Pigs'!$H$174</f>
        <v>229403.12080387506</v>
      </c>
      <c r="I144" s="1510">
        <f>SUM(G144:H144)</f>
        <v>430679.20024842315</v>
      </c>
      <c r="J144" s="1095">
        <f>+B144+G144</f>
        <v>1178951.7113612622</v>
      </c>
      <c r="K144" s="1095">
        <f>+C144+I144</f>
        <v>588975.1343570695</v>
      </c>
      <c r="L144" s="1290">
        <f>SUM(J144:K144)</f>
        <v>1767926.8457183316</v>
      </c>
    </row>
    <row r="145" spans="1:13" s="805" customFormat="1">
      <c r="A145" s="1216" t="s">
        <v>1853</v>
      </c>
      <c r="B145" s="1095">
        <f>+'Richlands Pig Cost'!AU40</f>
        <v>712923.00000000012</v>
      </c>
      <c r="C145" s="1095"/>
      <c r="D145" s="1290">
        <f t="shared" si="51"/>
        <v>712923.00000000012</v>
      </c>
      <c r="E145" s="1095"/>
      <c r="F145" s="1095"/>
      <c r="G145" s="1216">
        <f>+'Non Current'!K7</f>
        <v>23169</v>
      </c>
      <c r="H145" s="1095"/>
      <c r="I145" s="1290">
        <f t="shared" ref="I145:I155" si="52">+H145+G145</f>
        <v>23169</v>
      </c>
      <c r="J145" s="1095">
        <f t="shared" ref="J145:J155" si="53">+B145+G145</f>
        <v>736092.00000000012</v>
      </c>
      <c r="K145" s="1095">
        <f t="shared" ref="K145:K157" si="54">+C145+H145</f>
        <v>0</v>
      </c>
      <c r="L145" s="1290">
        <f t="shared" ref="L145:L155" si="55">SUM(J145:K145)</f>
        <v>736092.00000000012</v>
      </c>
    </row>
    <row r="146" spans="1:13" s="805" customFormat="1">
      <c r="A146" s="1216" t="s">
        <v>1854</v>
      </c>
      <c r="B146" s="1095"/>
      <c r="C146" s="1095"/>
      <c r="D146" s="1290">
        <f t="shared" si="51"/>
        <v>0</v>
      </c>
      <c r="E146" s="1095"/>
      <c r="F146" s="1095"/>
      <c r="G146" s="1216">
        <f>+'Non Current'!K8</f>
        <v>5511.1962149971705</v>
      </c>
      <c r="H146" s="1095"/>
      <c r="I146" s="1290">
        <f>+H146+G146</f>
        <v>5511.1962149971705</v>
      </c>
      <c r="J146" s="1095">
        <f t="shared" si="53"/>
        <v>5511.1962149971705</v>
      </c>
      <c r="K146" s="1095">
        <f t="shared" si="54"/>
        <v>0</v>
      </c>
      <c r="L146" s="1290">
        <f t="shared" si="55"/>
        <v>5511.1962149971705</v>
      </c>
    </row>
    <row r="147" spans="1:13" s="805" customFormat="1">
      <c r="A147" s="1216" t="s">
        <v>1901</v>
      </c>
      <c r="B147" s="1095"/>
      <c r="C147" s="1095"/>
      <c r="D147" s="1290">
        <f t="shared" si="51"/>
        <v>0</v>
      </c>
      <c r="E147" s="1095"/>
      <c r="F147" s="1095"/>
      <c r="G147" s="1216">
        <f>+'Non Current'!K9</f>
        <v>0</v>
      </c>
      <c r="H147" s="1095"/>
      <c r="I147" s="1290">
        <f>+H147+G147</f>
        <v>0</v>
      </c>
      <c r="J147" s="1095">
        <f t="shared" si="53"/>
        <v>0</v>
      </c>
      <c r="K147" s="1095">
        <f t="shared" si="54"/>
        <v>0</v>
      </c>
      <c r="L147" s="1290">
        <f t="shared" si="55"/>
        <v>0</v>
      </c>
    </row>
    <row r="148" spans="1:13" s="805" customFormat="1">
      <c r="A148" s="1216" t="s">
        <v>1910</v>
      </c>
      <c r="B148" s="1095">
        <v>0</v>
      </c>
      <c r="C148" s="1095"/>
      <c r="D148" s="1290">
        <f t="shared" si="51"/>
        <v>0</v>
      </c>
      <c r="E148" s="1095"/>
      <c r="F148" s="1095"/>
      <c r="G148" s="1216">
        <f>+'Non Current'!K11</f>
        <v>0</v>
      </c>
      <c r="H148" s="1095"/>
      <c r="I148" s="1290">
        <f t="shared" si="52"/>
        <v>0</v>
      </c>
      <c r="J148" s="1095">
        <f t="shared" si="53"/>
        <v>0</v>
      </c>
      <c r="K148" s="1095">
        <f t="shared" si="54"/>
        <v>0</v>
      </c>
      <c r="L148" s="1290">
        <f t="shared" si="55"/>
        <v>0</v>
      </c>
    </row>
    <row r="149" spans="1:13" s="805" customFormat="1">
      <c r="A149" s="1216" t="s">
        <v>1902</v>
      </c>
      <c r="B149" s="1095">
        <v>0</v>
      </c>
      <c r="C149" s="1095"/>
      <c r="D149" s="1290">
        <f t="shared" si="51"/>
        <v>0</v>
      </c>
      <c r="E149" s="1095"/>
      <c r="F149" s="1095"/>
      <c r="G149" s="1216"/>
      <c r="H149" s="1095"/>
      <c r="I149" s="1290">
        <f t="shared" si="52"/>
        <v>0</v>
      </c>
      <c r="J149" s="1095">
        <f t="shared" si="53"/>
        <v>0</v>
      </c>
      <c r="K149" s="1095">
        <f t="shared" si="54"/>
        <v>0</v>
      </c>
      <c r="L149" s="1290">
        <f t="shared" si="55"/>
        <v>0</v>
      </c>
    </row>
    <row r="150" spans="1:13" s="805" customFormat="1">
      <c r="A150" s="1216" t="s">
        <v>1855</v>
      </c>
      <c r="B150" s="1095">
        <v>0</v>
      </c>
      <c r="C150" s="1095"/>
      <c r="D150" s="1290">
        <f t="shared" si="51"/>
        <v>0</v>
      </c>
      <c r="E150" s="1095"/>
      <c r="F150" s="1095"/>
      <c r="G150" s="1216">
        <f>+'Non Current'!K12</f>
        <v>0</v>
      </c>
      <c r="H150" s="1095"/>
      <c r="I150" s="1290">
        <f t="shared" si="52"/>
        <v>0</v>
      </c>
      <c r="J150" s="1095">
        <f t="shared" si="53"/>
        <v>0</v>
      </c>
      <c r="K150" s="1095">
        <f t="shared" si="54"/>
        <v>0</v>
      </c>
      <c r="L150" s="1290">
        <f t="shared" si="55"/>
        <v>0</v>
      </c>
    </row>
    <row r="151" spans="1:13" s="805" customFormat="1">
      <c r="A151" s="1216" t="s">
        <v>1859</v>
      </c>
      <c r="B151" s="1095"/>
      <c r="C151" s="1095"/>
      <c r="D151" s="1290">
        <f t="shared" si="51"/>
        <v>0</v>
      </c>
      <c r="E151" s="1095"/>
      <c r="F151" s="1095"/>
      <c r="G151" s="1216"/>
      <c r="H151" s="1095"/>
      <c r="I151" s="1290">
        <f t="shared" si="52"/>
        <v>0</v>
      </c>
      <c r="J151" s="1095">
        <f t="shared" si="53"/>
        <v>0</v>
      </c>
      <c r="K151" s="1095">
        <f t="shared" si="54"/>
        <v>0</v>
      </c>
      <c r="L151" s="1290">
        <f t="shared" si="55"/>
        <v>0</v>
      </c>
    </row>
    <row r="152" spans="1:13" s="805" customFormat="1">
      <c r="A152" s="1216" t="s">
        <v>1860</v>
      </c>
      <c r="B152" s="1095"/>
      <c r="C152" s="1095"/>
      <c r="D152" s="1290"/>
      <c r="E152" s="1095"/>
      <c r="F152" s="1095"/>
      <c r="G152" s="1216">
        <f>-'Non Current'!K13</f>
        <v>0</v>
      </c>
      <c r="H152" s="1095"/>
      <c r="I152" s="1290">
        <f t="shared" si="52"/>
        <v>0</v>
      </c>
      <c r="J152" s="1095"/>
      <c r="K152" s="1095"/>
      <c r="L152" s="1290"/>
    </row>
    <row r="153" spans="1:13" s="805" customFormat="1">
      <c r="A153" s="1216" t="s">
        <v>1861</v>
      </c>
      <c r="B153" s="1095"/>
      <c r="C153" s="1095"/>
      <c r="D153" s="1290"/>
      <c r="E153" s="1095"/>
      <c r="F153" s="1095"/>
      <c r="G153" s="1216">
        <f>'Non Current'!K14</f>
        <v>0</v>
      </c>
      <c r="H153" s="1095"/>
      <c r="I153" s="1290">
        <f t="shared" si="52"/>
        <v>0</v>
      </c>
      <c r="J153" s="1095"/>
      <c r="K153" s="1095"/>
      <c r="L153" s="1290"/>
    </row>
    <row r="154" spans="1:13" s="805" customFormat="1">
      <c r="A154" s="1216" t="s">
        <v>1862</v>
      </c>
      <c r="B154" s="1095"/>
      <c r="C154" s="1095"/>
      <c r="D154" s="1290">
        <f t="shared" si="51"/>
        <v>0</v>
      </c>
      <c r="E154" s="1095"/>
      <c r="F154" s="1095"/>
      <c r="G154" s="1216">
        <f>+'Non Current'!K15</f>
        <v>0</v>
      </c>
      <c r="H154" s="1095"/>
      <c r="I154" s="1290">
        <f t="shared" si="52"/>
        <v>0</v>
      </c>
      <c r="J154" s="1095">
        <f t="shared" si="53"/>
        <v>0</v>
      </c>
      <c r="K154" s="1095">
        <f t="shared" si="54"/>
        <v>0</v>
      </c>
      <c r="L154" s="1290">
        <f t="shared" si="55"/>
        <v>0</v>
      </c>
    </row>
    <row r="155" spans="1:13" s="805" customFormat="1">
      <c r="A155" s="1216" t="s">
        <v>1863</v>
      </c>
      <c r="B155" s="1095">
        <f>+'Richlands Pig Cost'!AU54</f>
        <v>7603.2566669486241</v>
      </c>
      <c r="C155" s="1095"/>
      <c r="D155" s="1290">
        <f t="shared" si="51"/>
        <v>7603.2566669486241</v>
      </c>
      <c r="E155" s="1095"/>
      <c r="F155" s="1095"/>
      <c r="G155" s="1216"/>
      <c r="H155" s="1095"/>
      <c r="I155" s="1290">
        <f t="shared" si="52"/>
        <v>0</v>
      </c>
      <c r="J155" s="1095">
        <f t="shared" si="53"/>
        <v>7603.2566669486241</v>
      </c>
      <c r="K155" s="1095">
        <f t="shared" si="54"/>
        <v>0</v>
      </c>
      <c r="L155" s="1290">
        <f t="shared" si="55"/>
        <v>7603.2566669486241</v>
      </c>
    </row>
    <row r="156" spans="1:13" s="805" customFormat="1" ht="15.6">
      <c r="A156" s="1292" t="s">
        <v>71</v>
      </c>
      <c r="B156" s="1286">
        <f>SUM(B144:B155)</f>
        <v>1698201.8885836629</v>
      </c>
      <c r="C156" s="1286">
        <f>SUM(C144:C155)</f>
        <v>158295.93410864638</v>
      </c>
      <c r="D156" s="1291">
        <f>SUM(D144:D155)</f>
        <v>1856497.822692309</v>
      </c>
      <c r="E156" s="1094">
        <f t="shared" ref="E156:F156" si="56">SUM(E144:E155)</f>
        <v>0</v>
      </c>
      <c r="F156" s="1094">
        <f t="shared" si="56"/>
        <v>0</v>
      </c>
      <c r="G156" s="1292">
        <f>SUM(G144:G155)</f>
        <v>229956.2756595453</v>
      </c>
      <c r="H156" s="1286">
        <f t="shared" ref="H156:L156" si="57">SUM(H144:H155)</f>
        <v>229403.12080387506</v>
      </c>
      <c r="I156" s="1291">
        <f>SUM(I144:I155)</f>
        <v>459359.3964634203</v>
      </c>
      <c r="J156" s="1286">
        <f t="shared" si="57"/>
        <v>1928158.1642432082</v>
      </c>
      <c r="K156" s="1286">
        <f t="shared" si="57"/>
        <v>588975.1343570695</v>
      </c>
      <c r="L156" s="1291">
        <f t="shared" si="57"/>
        <v>2517133.2986002774</v>
      </c>
      <c r="M156" s="1097"/>
    </row>
    <row r="157" spans="1:13" s="805" customFormat="1">
      <c r="A157" s="1216" t="s">
        <v>1888</v>
      </c>
      <c r="B157" s="1095">
        <v>0</v>
      </c>
      <c r="C157" s="1095"/>
      <c r="D157" s="1290">
        <f>+C157+B157</f>
        <v>0</v>
      </c>
      <c r="E157" s="1095"/>
      <c r="F157" s="1095"/>
      <c r="G157" s="1216"/>
      <c r="H157" s="1095"/>
      <c r="I157" s="1290">
        <f t="shared" ref="I157:I173" si="58">+H157+G157</f>
        <v>0</v>
      </c>
      <c r="J157" s="1095">
        <f>+B157+G157</f>
        <v>0</v>
      </c>
      <c r="K157" s="1095">
        <f t="shared" si="54"/>
        <v>0</v>
      </c>
      <c r="L157" s="1290">
        <f>SUM(J157:K157)</f>
        <v>0</v>
      </c>
    </row>
    <row r="158" spans="1:13" s="805" customFormat="1">
      <c r="A158" s="1095" t="s">
        <v>169</v>
      </c>
      <c r="B158" s="1095">
        <f>+'Richlands Pig Cost'!AU57</f>
        <v>-32033.391933599385</v>
      </c>
      <c r="C158" s="1095"/>
      <c r="D158" s="1290">
        <f>+C158+B158</f>
        <v>-32033.391933599385</v>
      </c>
      <c r="E158" s="1095"/>
      <c r="F158" s="1095"/>
      <c r="G158" s="1216">
        <f>+'Non Current'!K18</f>
        <v>-996.01632902264305</v>
      </c>
      <c r="H158" s="1095"/>
      <c r="I158" s="1290">
        <f>+H158+G158</f>
        <v>-996.01632902264305</v>
      </c>
      <c r="J158" s="1095">
        <f t="shared" ref="J158:J173" si="59">+B158+G158</f>
        <v>-33029.408262622026</v>
      </c>
      <c r="K158" s="1095">
        <f t="shared" ref="K158:K172" si="60">+C158+H158</f>
        <v>0</v>
      </c>
      <c r="L158" s="1290">
        <f t="shared" ref="L158:L173" si="61">SUM(J158:K158)</f>
        <v>-33029.408262622026</v>
      </c>
    </row>
    <row r="159" spans="1:13" s="805" customFormat="1">
      <c r="A159" s="1095" t="s">
        <v>229</v>
      </c>
      <c r="B159" s="1095">
        <f>+'Richlands Pig Cost'!AU58</f>
        <v>-2244.3276236353167</v>
      </c>
      <c r="C159" s="1095"/>
      <c r="D159" s="1290">
        <f t="shared" ref="D159:D172" si="62">+C159+B159</f>
        <v>-2244.3276236353167</v>
      </c>
      <c r="E159" s="1095"/>
      <c r="F159" s="1095"/>
      <c r="G159" s="1216">
        <f>+'Non Current'!K19</f>
        <v>-996.01632902264305</v>
      </c>
      <c r="H159" s="1095"/>
      <c r="I159" s="1290">
        <f t="shared" si="58"/>
        <v>-996.01632902264305</v>
      </c>
      <c r="J159" s="1095">
        <f t="shared" si="59"/>
        <v>-3240.3439526579596</v>
      </c>
      <c r="K159" s="1095">
        <f t="shared" si="60"/>
        <v>0</v>
      </c>
      <c r="L159" s="1290">
        <f t="shared" si="61"/>
        <v>-3240.3439526579596</v>
      </c>
    </row>
    <row r="160" spans="1:13" s="805" customFormat="1">
      <c r="A160" s="1095" t="s">
        <v>231</v>
      </c>
      <c r="B160" s="1095">
        <f>+'Richlands Pig Cost'!AU59</f>
        <v>0</v>
      </c>
      <c r="C160" s="1095"/>
      <c r="D160" s="1290">
        <f t="shared" si="62"/>
        <v>0</v>
      </c>
      <c r="E160" s="1095"/>
      <c r="F160" s="1095"/>
      <c r="G160" s="1216">
        <f>+'Non Current'!K20</f>
        <v>0</v>
      </c>
      <c r="H160" s="1095"/>
      <c r="I160" s="1290">
        <f t="shared" si="58"/>
        <v>0</v>
      </c>
      <c r="J160" s="1095">
        <f t="shared" si="59"/>
        <v>0</v>
      </c>
      <c r="K160" s="1095">
        <f t="shared" si="60"/>
        <v>0</v>
      </c>
      <c r="L160" s="1290">
        <f t="shared" si="61"/>
        <v>0</v>
      </c>
    </row>
    <row r="161" spans="1:13" s="805" customFormat="1">
      <c r="A161" s="1095" t="s">
        <v>232</v>
      </c>
      <c r="B161" s="1095">
        <f>+'Richlands Pig Cost'!AU60</f>
        <v>0</v>
      </c>
      <c r="C161" s="1095"/>
      <c r="D161" s="1290">
        <f t="shared" si="62"/>
        <v>0</v>
      </c>
      <c r="E161" s="1095"/>
      <c r="F161" s="1095"/>
      <c r="G161" s="1216">
        <f>+'Non Current'!K21</f>
        <v>0</v>
      </c>
      <c r="H161" s="1095"/>
      <c r="I161" s="1290">
        <f t="shared" si="58"/>
        <v>0</v>
      </c>
      <c r="J161" s="1095">
        <f t="shared" si="59"/>
        <v>0</v>
      </c>
      <c r="K161" s="1095">
        <f t="shared" si="60"/>
        <v>0</v>
      </c>
      <c r="L161" s="1290">
        <f t="shared" si="61"/>
        <v>0</v>
      </c>
    </row>
    <row r="162" spans="1:13" s="805" customFormat="1">
      <c r="A162" s="1095" t="s">
        <v>1801</v>
      </c>
      <c r="B162" s="1095">
        <f>+'Richlands Pig Cost'!AU61</f>
        <v>-639928.53174542973</v>
      </c>
      <c r="C162" s="1095"/>
      <c r="D162" s="1290">
        <f t="shared" si="62"/>
        <v>-639928.53174542973</v>
      </c>
      <c r="E162" s="1095"/>
      <c r="F162" s="1095"/>
      <c r="G162" s="1216">
        <f>+'Non Current'!K22</f>
        <v>-6972.1143031585016</v>
      </c>
      <c r="H162" s="1095"/>
      <c r="I162" s="1290">
        <f t="shared" si="58"/>
        <v>-6972.1143031585016</v>
      </c>
      <c r="J162" s="1095">
        <f t="shared" si="59"/>
        <v>-646900.64604858821</v>
      </c>
      <c r="K162" s="1095">
        <f t="shared" si="60"/>
        <v>0</v>
      </c>
      <c r="L162" s="1290">
        <f t="shared" si="61"/>
        <v>-646900.64604858821</v>
      </c>
    </row>
    <row r="163" spans="1:13" s="805" customFormat="1">
      <c r="A163" s="1095" t="s">
        <v>1889</v>
      </c>
      <c r="B163" s="1095">
        <f>+'Richlands Pig Cost'!AU45</f>
        <v>0</v>
      </c>
      <c r="C163" s="1095"/>
      <c r="D163" s="1290">
        <f t="shared" si="62"/>
        <v>0</v>
      </c>
      <c r="E163" s="1095"/>
      <c r="F163" s="1095"/>
      <c r="G163" s="1216">
        <f>+'Non Current'!K25</f>
        <v>0</v>
      </c>
      <c r="H163" s="1095"/>
      <c r="I163" s="1290">
        <f t="shared" si="58"/>
        <v>0</v>
      </c>
      <c r="J163" s="1095">
        <f t="shared" si="59"/>
        <v>0</v>
      </c>
      <c r="K163" s="1095">
        <f t="shared" si="60"/>
        <v>0</v>
      </c>
      <c r="L163" s="1290">
        <f t="shared" si="61"/>
        <v>0</v>
      </c>
    </row>
    <row r="164" spans="1:13" s="805" customFormat="1">
      <c r="A164" s="1095" t="s">
        <v>1890</v>
      </c>
      <c r="B164" s="1095">
        <f>+'Richlands Pig Cost'!AU46</f>
        <v>-34970.638576686841</v>
      </c>
      <c r="C164" s="1095"/>
      <c r="D164" s="1290">
        <f t="shared" si="62"/>
        <v>-34970.638576686841</v>
      </c>
      <c r="E164" s="1095"/>
      <c r="F164" s="1095"/>
      <c r="G164" s="1216"/>
      <c r="H164" s="1095"/>
      <c r="I164" s="1290">
        <f t="shared" si="58"/>
        <v>0</v>
      </c>
      <c r="J164" s="1095">
        <f t="shared" si="59"/>
        <v>-34970.638576686841</v>
      </c>
      <c r="K164" s="1095">
        <f t="shared" si="60"/>
        <v>0</v>
      </c>
      <c r="L164" s="1290">
        <f t="shared" si="61"/>
        <v>-34970.638576686841</v>
      </c>
    </row>
    <row r="165" spans="1:13" s="805" customFormat="1">
      <c r="A165" s="1095" t="s">
        <v>1903</v>
      </c>
      <c r="B165" s="1095"/>
      <c r="C165" s="1095"/>
      <c r="D165" s="1290">
        <f t="shared" si="62"/>
        <v>0</v>
      </c>
      <c r="E165" s="1095"/>
      <c r="F165" s="1095"/>
      <c r="G165" s="1216">
        <f>+'Non Current'!K23</f>
        <v>0</v>
      </c>
      <c r="H165" s="1095"/>
      <c r="I165" s="1290">
        <f t="shared" si="58"/>
        <v>0</v>
      </c>
      <c r="J165" s="1095">
        <f t="shared" si="59"/>
        <v>0</v>
      </c>
      <c r="K165" s="1095">
        <f t="shared" si="60"/>
        <v>0</v>
      </c>
      <c r="L165" s="1290">
        <f t="shared" si="61"/>
        <v>0</v>
      </c>
    </row>
    <row r="166" spans="1:13" s="805" customFormat="1">
      <c r="A166" s="1095" t="s">
        <v>1892</v>
      </c>
      <c r="B166" s="1095">
        <f>+'Richlands Pig Cost'!AU48</f>
        <v>0</v>
      </c>
      <c r="C166" s="1095"/>
      <c r="D166" s="1290">
        <f t="shared" si="62"/>
        <v>0</v>
      </c>
      <c r="E166" s="1095"/>
      <c r="F166" s="1095"/>
      <c r="G166" s="1216"/>
      <c r="H166" s="1095"/>
      <c r="I166" s="1290">
        <f t="shared" si="58"/>
        <v>0</v>
      </c>
      <c r="J166" s="1095">
        <f t="shared" si="59"/>
        <v>0</v>
      </c>
      <c r="K166" s="1095">
        <f t="shared" si="60"/>
        <v>0</v>
      </c>
      <c r="L166" s="1290">
        <f t="shared" si="61"/>
        <v>0</v>
      </c>
    </row>
    <row r="167" spans="1:13" s="805" customFormat="1">
      <c r="A167" s="1095" t="s">
        <v>1904</v>
      </c>
      <c r="B167" s="1095">
        <f>+'Richlands Pig Cost'!AU49</f>
        <v>0</v>
      </c>
      <c r="C167" s="1095"/>
      <c r="D167" s="1290">
        <f t="shared" si="62"/>
        <v>0</v>
      </c>
      <c r="E167" s="1095"/>
      <c r="F167" s="1095"/>
      <c r="G167" s="1216">
        <f>+'Non Current'!K26</f>
        <v>0</v>
      </c>
      <c r="H167" s="1095"/>
      <c r="I167" s="1290">
        <f t="shared" si="58"/>
        <v>0</v>
      </c>
      <c r="J167" s="1095">
        <f t="shared" si="59"/>
        <v>0</v>
      </c>
      <c r="K167" s="1095">
        <f t="shared" si="60"/>
        <v>0</v>
      </c>
      <c r="L167" s="1290">
        <f t="shared" si="61"/>
        <v>0</v>
      </c>
    </row>
    <row r="168" spans="1:13" s="805" customFormat="1">
      <c r="A168" s="1095" t="s">
        <v>1905</v>
      </c>
      <c r="B168" s="1095"/>
      <c r="C168" s="1095"/>
      <c r="D168" s="1290"/>
      <c r="E168" s="1095"/>
      <c r="F168" s="1095"/>
      <c r="G168" s="1216"/>
      <c r="H168" s="1095"/>
      <c r="I168" s="1290"/>
      <c r="J168" s="1095"/>
      <c r="K168" s="1095"/>
      <c r="L168" s="1290"/>
    </row>
    <row r="169" spans="1:13" s="805" customFormat="1">
      <c r="A169" s="1095" t="s">
        <v>1906</v>
      </c>
      <c r="B169" s="1095"/>
      <c r="C169" s="1095"/>
      <c r="D169" s="1290"/>
      <c r="E169" s="1095"/>
      <c r="F169" s="1095"/>
      <c r="G169" s="1216"/>
      <c r="H169" s="1095"/>
      <c r="I169" s="1290"/>
      <c r="J169" s="1095"/>
      <c r="K169" s="1095"/>
      <c r="L169" s="1290"/>
    </row>
    <row r="170" spans="1:13" s="805" customFormat="1">
      <c r="A170" s="1095" t="s">
        <v>1896</v>
      </c>
      <c r="B170" s="1095">
        <f>+'Richlands Pig Cost'!AU53</f>
        <v>0</v>
      </c>
      <c r="C170" s="1095"/>
      <c r="D170" s="1290">
        <f t="shared" si="62"/>
        <v>0</v>
      </c>
      <c r="E170" s="1095"/>
      <c r="F170" s="1095"/>
      <c r="G170" s="1216"/>
      <c r="H170" s="1095"/>
      <c r="I170" s="1290">
        <f t="shared" si="58"/>
        <v>0</v>
      </c>
      <c r="J170" s="1095">
        <f t="shared" si="59"/>
        <v>0</v>
      </c>
      <c r="K170" s="1095">
        <f t="shared" si="60"/>
        <v>0</v>
      </c>
      <c r="L170" s="1290">
        <f t="shared" si="61"/>
        <v>0</v>
      </c>
    </row>
    <row r="171" spans="1:13" s="805" customFormat="1">
      <c r="A171" s="1095" t="s">
        <v>1911</v>
      </c>
      <c r="B171" s="1095"/>
      <c r="C171" s="1095"/>
      <c r="D171" s="1290">
        <f t="shared" si="62"/>
        <v>0</v>
      </c>
      <c r="E171" s="1095"/>
      <c r="F171" s="1095"/>
      <c r="G171" s="1216">
        <f>+'Non Current'!K30</f>
        <v>-7603.2566669486241</v>
      </c>
      <c r="H171" s="1095"/>
      <c r="I171" s="1290">
        <f t="shared" si="58"/>
        <v>-7603.2566669486241</v>
      </c>
      <c r="J171" s="1095">
        <f t="shared" si="59"/>
        <v>-7603.2566669486241</v>
      </c>
      <c r="K171" s="1095">
        <f t="shared" si="60"/>
        <v>0</v>
      </c>
      <c r="L171" s="1290">
        <f t="shared" si="61"/>
        <v>-7603.2566669486241</v>
      </c>
    </row>
    <row r="172" spans="1:13" s="805" customFormat="1">
      <c r="A172" s="1095" t="s">
        <v>1898</v>
      </c>
      <c r="B172" s="1095">
        <f>+'Richlands Pig Cost'!AU56</f>
        <v>-5511.1962149971705</v>
      </c>
      <c r="C172" s="1095"/>
      <c r="D172" s="1290">
        <f t="shared" si="62"/>
        <v>-5511.1962149971705</v>
      </c>
      <c r="E172" s="1095"/>
      <c r="F172" s="1095"/>
      <c r="G172" s="1216"/>
      <c r="H172" s="1095"/>
      <c r="I172" s="1290">
        <f t="shared" si="58"/>
        <v>0</v>
      </c>
      <c r="J172" s="1095">
        <f t="shared" si="59"/>
        <v>-5511.1962149971705</v>
      </c>
      <c r="K172" s="1095">
        <f t="shared" si="60"/>
        <v>0</v>
      </c>
      <c r="L172" s="1290">
        <f t="shared" si="61"/>
        <v>-5511.1962149971705</v>
      </c>
    </row>
    <row r="173" spans="1:13" s="805" customFormat="1">
      <c r="A173" s="1216" t="s">
        <v>1875</v>
      </c>
      <c r="B173" s="1095">
        <v>0</v>
      </c>
      <c r="C173" s="1095">
        <v>-20805.542082768901</v>
      </c>
      <c r="D173" s="1290">
        <f>+C173+B173</f>
        <v>-20805.542082768901</v>
      </c>
      <c r="E173" s="1095"/>
      <c r="F173" s="1095"/>
      <c r="G173" s="1216">
        <v>0</v>
      </c>
      <c r="H173" s="1095">
        <v>2950.4777784509401</v>
      </c>
      <c r="I173" s="1290">
        <f t="shared" si="58"/>
        <v>2950.4777784509401</v>
      </c>
      <c r="J173" s="1095">
        <f t="shared" si="59"/>
        <v>0</v>
      </c>
      <c r="K173" s="1095">
        <f>+C173+H173</f>
        <v>-17855.064304317963</v>
      </c>
      <c r="L173" s="1290">
        <f t="shared" si="61"/>
        <v>-17855.064304317963</v>
      </c>
    </row>
    <row r="174" spans="1:13" s="805" customFormat="1" ht="16.149999999999999" thickBot="1">
      <c r="A174" s="1586" t="s">
        <v>1876</v>
      </c>
      <c r="B174" s="1096">
        <f>SUM(B156:B173)</f>
        <v>983513.80248931434</v>
      </c>
      <c r="C174" s="1096">
        <f>+C156+C158+C159+C161+C173</f>
        <v>137490.39202587749</v>
      </c>
      <c r="D174" s="1587">
        <f>SUM(D156:D173)</f>
        <v>1121004.1945151915</v>
      </c>
      <c r="E174" s="1103">
        <f>+B174-'Richlands Pig Cost'!AU62</f>
        <v>-1046312.7375160455</v>
      </c>
      <c r="F174" s="1103">
        <f>+G174-'Non Current'!K32</f>
        <v>1.7991658241953701E-3</v>
      </c>
      <c r="G174" s="1588">
        <f>SUM(G156:G173)</f>
        <v>213388.87203139288</v>
      </c>
      <c r="H174" s="1096">
        <f t="shared" ref="H174:L174" si="63">SUM(H156:H173)</f>
        <v>232353.598582326</v>
      </c>
      <c r="I174" s="1587">
        <f>SUM(I156:I173)</f>
        <v>445742.47061371885</v>
      </c>
      <c r="J174" s="1096">
        <f t="shared" si="63"/>
        <v>1196902.6745207075</v>
      </c>
      <c r="K174" s="1096">
        <f t="shared" si="63"/>
        <v>571120.07005275157</v>
      </c>
      <c r="L174" s="1587">
        <f t="shared" si="63"/>
        <v>1768022.7445734583</v>
      </c>
      <c r="M174" s="1097"/>
    </row>
    <row r="175" spans="1:13" s="805" customFormat="1" ht="15.6">
      <c r="A175" s="1094" t="s">
        <v>138</v>
      </c>
      <c r="B175" s="1094"/>
      <c r="C175" s="1094"/>
      <c r="D175" s="1094">
        <f>SUM('Richlands Valuation'!H9:H41)</f>
        <v>1788585.8566190142</v>
      </c>
      <c r="E175" s="1094"/>
      <c r="F175" s="1094"/>
      <c r="G175" s="1353"/>
      <c r="H175" s="1094"/>
      <c r="I175" s="1582">
        <f>SUM('Richlands Valuation'!H82:H87)</f>
        <v>388065</v>
      </c>
      <c r="J175" s="1094"/>
      <c r="K175" s="1094"/>
      <c r="L175" s="1097">
        <f>+D175+I175</f>
        <v>2176650.8566190144</v>
      </c>
      <c r="M175" s="1097"/>
    </row>
    <row r="176" spans="1:13" s="805" customFormat="1" ht="15.6" thickBot="1">
      <c r="A176" s="805" t="s">
        <v>138</v>
      </c>
      <c r="D176" s="805">
        <f>+D174-D175</f>
        <v>-667581.66210382269</v>
      </c>
      <c r="G176" s="1216"/>
      <c r="H176" s="1095"/>
      <c r="I176" s="1290">
        <f>+I174-I175</f>
        <v>57677.470613718848</v>
      </c>
      <c r="L176" s="805">
        <f>+L174-L175</f>
        <v>-408628.11204555607</v>
      </c>
    </row>
    <row r="177" spans="1:12" s="805" customFormat="1" ht="15.6">
      <c r="A177" s="1589" t="s">
        <v>240</v>
      </c>
      <c r="B177" s="1214" t="s">
        <v>199</v>
      </c>
      <c r="C177" s="1214" t="s">
        <v>1612</v>
      </c>
      <c r="D177" s="1590" t="s">
        <v>71</v>
      </c>
      <c r="E177" s="1580"/>
      <c r="F177" s="1093"/>
      <c r="G177" s="1591" t="s">
        <v>199</v>
      </c>
      <c r="H177" s="1214" t="s">
        <v>1612</v>
      </c>
      <c r="I177" s="1590" t="s">
        <v>71</v>
      </c>
      <c r="J177" s="1214" t="str">
        <f>+B177</f>
        <v>Cost</v>
      </c>
      <c r="K177" s="1215" t="str">
        <f>+C177</f>
        <v>Fair Value</v>
      </c>
      <c r="L177" s="1592" t="str">
        <f>+D177</f>
        <v>Total</v>
      </c>
    </row>
    <row r="178" spans="1:12" s="805" customFormat="1">
      <c r="A178" s="1216" t="s">
        <v>1836</v>
      </c>
      <c r="B178" s="1510">
        <f>'[2]Total Pigs'!$B$208</f>
        <v>756677.74408125784</v>
      </c>
      <c r="C178" s="1510">
        <f>'[2]Total Pigs'!$C$208</f>
        <v>168069.68952532057</v>
      </c>
      <c r="D178" s="1290">
        <f>+B178+C178</f>
        <v>924747.43360657839</v>
      </c>
      <c r="E178" s="1216"/>
      <c r="F178" s="1095"/>
      <c r="G178" s="1510">
        <v>0</v>
      </c>
      <c r="H178" s="1510">
        <v>0</v>
      </c>
      <c r="I178" s="1290">
        <f>+H178+G178</f>
        <v>0</v>
      </c>
      <c r="J178" s="1095">
        <f t="shared" ref="J178:J189" si="64">+B178+G178</f>
        <v>756677.74408125784</v>
      </c>
      <c r="K178" s="1095">
        <f>+C178+H178</f>
        <v>168069.68952532057</v>
      </c>
      <c r="L178" s="1290">
        <f>SUM(J178:K178)</f>
        <v>924747.43360657839</v>
      </c>
    </row>
    <row r="179" spans="1:12" s="805" customFormat="1">
      <c r="A179" s="1216" t="s">
        <v>1900</v>
      </c>
      <c r="B179" s="1095">
        <f>+'Learig Pig Cost'!AU40</f>
        <v>414289.99999999994</v>
      </c>
      <c r="C179" s="1095"/>
      <c r="D179" s="1290">
        <f t="shared" ref="D179:D189" si="65">+B179+C179</f>
        <v>414289.99999999994</v>
      </c>
      <c r="E179" s="1216"/>
      <c r="F179" s="1095"/>
      <c r="G179" s="1216"/>
      <c r="H179" s="1095"/>
      <c r="I179" s="1290">
        <f t="shared" ref="I179:I189" si="66">+H179+G179</f>
        <v>0</v>
      </c>
      <c r="J179" s="1095">
        <f t="shared" si="64"/>
        <v>414289.99999999994</v>
      </c>
      <c r="K179" s="1095">
        <f t="shared" ref="K179:K189" si="67">+C179+H179</f>
        <v>0</v>
      </c>
      <c r="L179" s="1290">
        <f t="shared" ref="L179:L189" si="68">SUM(J179:K179)</f>
        <v>414289.99999999994</v>
      </c>
    </row>
    <row r="180" spans="1:12" s="805" customFormat="1">
      <c r="A180" s="1216" t="s">
        <v>1854</v>
      </c>
      <c r="B180" s="1095"/>
      <c r="C180" s="1095"/>
      <c r="D180" s="1290">
        <f t="shared" si="65"/>
        <v>0</v>
      </c>
      <c r="E180" s="1216"/>
      <c r="F180" s="1095"/>
      <c r="G180" s="1216"/>
      <c r="H180" s="1095"/>
      <c r="I180" s="1290">
        <f t="shared" si="66"/>
        <v>0</v>
      </c>
      <c r="J180" s="1095">
        <f t="shared" si="64"/>
        <v>0</v>
      </c>
      <c r="K180" s="1095">
        <f t="shared" si="67"/>
        <v>0</v>
      </c>
      <c r="L180" s="1290">
        <f t="shared" si="68"/>
        <v>0</v>
      </c>
    </row>
    <row r="181" spans="1:12" s="805" customFormat="1">
      <c r="A181" s="1216" t="s">
        <v>1855</v>
      </c>
      <c r="B181" s="1095">
        <f>+'Learig Pig Cost'!AU49</f>
        <v>7317.9445306482376</v>
      </c>
      <c r="C181" s="1095"/>
      <c r="D181" s="1290">
        <f t="shared" si="65"/>
        <v>7317.9445306482376</v>
      </c>
      <c r="E181" s="1216"/>
      <c r="F181" s="1095"/>
      <c r="G181" s="1216"/>
      <c r="H181" s="1095"/>
      <c r="I181" s="1290">
        <f t="shared" si="66"/>
        <v>0</v>
      </c>
      <c r="J181" s="1095">
        <f t="shared" si="64"/>
        <v>7317.9445306482376</v>
      </c>
      <c r="K181" s="1095">
        <f t="shared" si="67"/>
        <v>0</v>
      </c>
      <c r="L181" s="1290">
        <f t="shared" si="68"/>
        <v>7317.9445306482376</v>
      </c>
    </row>
    <row r="182" spans="1:12" s="805" customFormat="1">
      <c r="A182" s="1216" t="s">
        <v>1856</v>
      </c>
      <c r="B182" s="1095">
        <f>+'Learig Pig Cost'!AU47</f>
        <v>0</v>
      </c>
      <c r="C182" s="1095"/>
      <c r="D182" s="1290">
        <f t="shared" si="65"/>
        <v>0</v>
      </c>
      <c r="E182" s="1216"/>
      <c r="F182" s="1095"/>
      <c r="G182" s="1216"/>
      <c r="H182" s="1095"/>
      <c r="I182" s="1290">
        <f t="shared" si="66"/>
        <v>0</v>
      </c>
      <c r="J182" s="1095">
        <f t="shared" si="64"/>
        <v>0</v>
      </c>
      <c r="K182" s="1095">
        <f t="shared" si="67"/>
        <v>0</v>
      </c>
      <c r="L182" s="1290">
        <f t="shared" si="68"/>
        <v>0</v>
      </c>
    </row>
    <row r="183" spans="1:12" s="805" customFormat="1">
      <c r="A183" s="1216" t="s">
        <v>1912</v>
      </c>
      <c r="B183" s="1095">
        <f>+'Learig Pig Cost'!AU45</f>
        <v>0</v>
      </c>
      <c r="C183" s="1095"/>
      <c r="D183" s="1290">
        <f t="shared" si="65"/>
        <v>0</v>
      </c>
      <c r="E183" s="1216"/>
      <c r="F183" s="1095"/>
      <c r="G183" s="1216"/>
      <c r="H183" s="1095"/>
      <c r="I183" s="1290">
        <f t="shared" si="66"/>
        <v>0</v>
      </c>
      <c r="J183" s="1095">
        <f t="shared" si="64"/>
        <v>0</v>
      </c>
      <c r="K183" s="1095">
        <f t="shared" si="67"/>
        <v>0</v>
      </c>
      <c r="L183" s="1290">
        <f t="shared" si="68"/>
        <v>0</v>
      </c>
    </row>
    <row r="184" spans="1:12" s="805" customFormat="1">
      <c r="A184" s="1216" t="s">
        <v>1902</v>
      </c>
      <c r="B184" s="1095">
        <f>+'Learig Pig Cost'!AU46</f>
        <v>0</v>
      </c>
      <c r="C184" s="1095"/>
      <c r="D184" s="1290">
        <f t="shared" si="65"/>
        <v>0</v>
      </c>
      <c r="E184" s="1216"/>
      <c r="F184" s="1095"/>
      <c r="G184" s="1216"/>
      <c r="H184" s="1095"/>
      <c r="I184" s="1290"/>
      <c r="J184" s="1095">
        <f t="shared" si="64"/>
        <v>0</v>
      </c>
      <c r="K184" s="1095">
        <f t="shared" si="67"/>
        <v>0</v>
      </c>
      <c r="L184" s="1290">
        <f t="shared" si="68"/>
        <v>0</v>
      </c>
    </row>
    <row r="185" spans="1:12" s="805" customFormat="1">
      <c r="A185" s="1216" t="s">
        <v>1901</v>
      </c>
      <c r="B185" s="1095">
        <f>+'Learig Pig Cost'!AU48</f>
        <v>54416.313605124757</v>
      </c>
      <c r="C185" s="1095"/>
      <c r="D185" s="1290">
        <f t="shared" si="65"/>
        <v>54416.313605124757</v>
      </c>
      <c r="E185" s="1216"/>
      <c r="F185" s="1095"/>
      <c r="G185" s="1216"/>
      <c r="H185" s="1095"/>
      <c r="I185" s="1290">
        <f t="shared" si="66"/>
        <v>0</v>
      </c>
      <c r="J185" s="1095">
        <f t="shared" si="64"/>
        <v>54416.313605124757</v>
      </c>
      <c r="K185" s="1095">
        <f t="shared" si="67"/>
        <v>0</v>
      </c>
      <c r="L185" s="1290">
        <f t="shared" si="68"/>
        <v>54416.313605124757</v>
      </c>
    </row>
    <row r="186" spans="1:12" s="805" customFormat="1">
      <c r="A186" s="1216" t="s">
        <v>1860</v>
      </c>
      <c r="B186" s="1095">
        <f>-B236</f>
        <v>5617.6836672963509</v>
      </c>
      <c r="C186" s="1095"/>
      <c r="D186" s="1290"/>
      <c r="E186" s="1216"/>
      <c r="F186" s="1095"/>
      <c r="G186" s="1216"/>
      <c r="H186" s="1095"/>
      <c r="I186" s="1290"/>
      <c r="J186" s="1095"/>
      <c r="K186" s="1095"/>
      <c r="L186" s="1290"/>
    </row>
    <row r="187" spans="1:12" s="805" customFormat="1">
      <c r="A187" s="1216" t="s">
        <v>1861</v>
      </c>
      <c r="B187" s="1095">
        <f>-B254</f>
        <v>0</v>
      </c>
      <c r="C187" s="1095"/>
      <c r="D187" s="1290"/>
      <c r="E187" s="1216"/>
      <c r="F187" s="1095"/>
      <c r="G187" s="1216"/>
      <c r="H187" s="1095"/>
      <c r="I187" s="1290"/>
      <c r="J187" s="1095"/>
      <c r="K187" s="1095"/>
      <c r="L187" s="1290"/>
    </row>
    <row r="188" spans="1:12" s="805" customFormat="1">
      <c r="A188" s="1216" t="s">
        <v>1862</v>
      </c>
      <c r="B188" s="1095"/>
      <c r="C188" s="1095"/>
      <c r="D188" s="1290">
        <f t="shared" si="65"/>
        <v>0</v>
      </c>
      <c r="E188" s="1216"/>
      <c r="F188" s="1095"/>
      <c r="G188" s="1216"/>
      <c r="H188" s="1095"/>
      <c r="I188" s="1290">
        <f t="shared" si="66"/>
        <v>0</v>
      </c>
      <c r="J188" s="1095">
        <f t="shared" si="64"/>
        <v>0</v>
      </c>
      <c r="K188" s="1095">
        <f t="shared" si="67"/>
        <v>0</v>
      </c>
      <c r="L188" s="1290">
        <f t="shared" si="68"/>
        <v>0</v>
      </c>
    </row>
    <row r="189" spans="1:12" s="805" customFormat="1">
      <c r="A189" s="1593" t="s">
        <v>1863</v>
      </c>
      <c r="B189" s="1594"/>
      <c r="C189" s="1095"/>
      <c r="D189" s="1290">
        <f t="shared" si="65"/>
        <v>0</v>
      </c>
      <c r="E189" s="1216"/>
      <c r="F189" s="1095"/>
      <c r="G189" s="1216"/>
      <c r="H189" s="1095"/>
      <c r="I189" s="1290">
        <f t="shared" si="66"/>
        <v>0</v>
      </c>
      <c r="J189" s="1095">
        <f t="shared" si="64"/>
        <v>0</v>
      </c>
      <c r="K189" s="1095">
        <f t="shared" si="67"/>
        <v>0</v>
      </c>
      <c r="L189" s="1290">
        <f t="shared" si="68"/>
        <v>0</v>
      </c>
    </row>
    <row r="190" spans="1:12" s="1102" customFormat="1" ht="15.6">
      <c r="A190" s="1595" t="s">
        <v>71</v>
      </c>
      <c r="B190" s="1213">
        <f>SUM(B178:B189)</f>
        <v>1238319.6858843272</v>
      </c>
      <c r="C190" s="1287">
        <f>SUM(C178:C189)</f>
        <v>168069.68952532057</v>
      </c>
      <c r="D190" s="1289">
        <f>SUM(D178:D189)</f>
        <v>1400771.6917423513</v>
      </c>
      <c r="E190" s="1595"/>
      <c r="F190" s="1213"/>
      <c r="G190" s="1596">
        <f t="shared" ref="G190:L190" si="69">SUM(G178:G189)</f>
        <v>0</v>
      </c>
      <c r="H190" s="1289">
        <f t="shared" si="69"/>
        <v>0</v>
      </c>
      <c r="I190" s="1289">
        <f t="shared" si="69"/>
        <v>0</v>
      </c>
      <c r="J190" s="1289">
        <f t="shared" si="69"/>
        <v>1232702.0022170309</v>
      </c>
      <c r="K190" s="1289">
        <f t="shared" si="69"/>
        <v>168069.68952532057</v>
      </c>
      <c r="L190" s="1289">
        <f t="shared" si="69"/>
        <v>1400771.6917423513</v>
      </c>
    </row>
    <row r="191" spans="1:12" s="805" customFormat="1">
      <c r="A191" s="1216" t="s">
        <v>1888</v>
      </c>
      <c r="B191" s="1095">
        <v>0</v>
      </c>
      <c r="C191" s="1095"/>
      <c r="D191" s="1290">
        <f t="shared" ref="D191:D206" si="70">+C191+B191</f>
        <v>0</v>
      </c>
      <c r="E191" s="1216"/>
      <c r="F191" s="1095"/>
      <c r="G191" s="1216"/>
      <c r="H191" s="1095"/>
      <c r="I191" s="1290">
        <f t="shared" ref="I191:I207" si="71">+H191+G191</f>
        <v>0</v>
      </c>
      <c r="J191" s="1095">
        <f t="shared" ref="J191:J207" si="72">+B191+G191</f>
        <v>0</v>
      </c>
      <c r="K191" s="1095">
        <f>+C191+H191</f>
        <v>0</v>
      </c>
      <c r="L191" s="1290">
        <f>SUM(J191:K191)</f>
        <v>0</v>
      </c>
    </row>
    <row r="192" spans="1:12" s="805" customFormat="1">
      <c r="A192" s="1216" t="s">
        <v>169</v>
      </c>
      <c r="B192" s="1095">
        <f>+'Learig Pig Cost'!AU57</f>
        <v>-14059.391189649539</v>
      </c>
      <c r="C192" s="1095"/>
      <c r="D192" s="1290">
        <f t="shared" si="70"/>
        <v>-14059.391189649539</v>
      </c>
      <c r="E192" s="1216"/>
      <c r="F192" s="1095"/>
      <c r="G192" s="1216"/>
      <c r="H192" s="1095"/>
      <c r="I192" s="1290">
        <f t="shared" si="71"/>
        <v>0</v>
      </c>
      <c r="J192" s="1095">
        <f t="shared" si="72"/>
        <v>-14059.391189649539</v>
      </c>
      <c r="K192" s="1095">
        <f t="shared" ref="K192:K207" si="73">+C192+H192</f>
        <v>0</v>
      </c>
      <c r="L192" s="1290">
        <f t="shared" ref="L192:L207" si="74">SUM(J192:K192)</f>
        <v>-14059.391189649539</v>
      </c>
    </row>
    <row r="193" spans="1:12" s="805" customFormat="1">
      <c r="A193" s="1216" t="s">
        <v>229</v>
      </c>
      <c r="B193" s="1095">
        <f>+'Learig Pig Cost'!AU58</f>
        <v>-1388.2742911216101</v>
      </c>
      <c r="C193" s="1095"/>
      <c r="D193" s="1290">
        <f t="shared" si="70"/>
        <v>-1388.2742911216101</v>
      </c>
      <c r="E193" s="1216"/>
      <c r="F193" s="1095"/>
      <c r="G193" s="1216"/>
      <c r="H193" s="1095"/>
      <c r="I193" s="1290">
        <f t="shared" si="71"/>
        <v>0</v>
      </c>
      <c r="J193" s="1095">
        <f t="shared" si="72"/>
        <v>-1388.2742911216101</v>
      </c>
      <c r="K193" s="1095">
        <f t="shared" si="73"/>
        <v>0</v>
      </c>
      <c r="L193" s="1290">
        <f t="shared" si="74"/>
        <v>-1388.2742911216101</v>
      </c>
    </row>
    <row r="194" spans="1:12" s="805" customFormat="1">
      <c r="A194" s="1216" t="s">
        <v>231</v>
      </c>
      <c r="B194" s="1095">
        <f>+'Learig Pig Cost'!AU59</f>
        <v>0</v>
      </c>
      <c r="C194" s="1095"/>
      <c r="D194" s="1290">
        <f t="shared" si="70"/>
        <v>0</v>
      </c>
      <c r="E194" s="1216"/>
      <c r="F194" s="1095"/>
      <c r="G194" s="1216"/>
      <c r="H194" s="1095"/>
      <c r="I194" s="1290">
        <f t="shared" si="71"/>
        <v>0</v>
      </c>
      <c r="J194" s="1095">
        <f t="shared" si="72"/>
        <v>0</v>
      </c>
      <c r="K194" s="1095">
        <f t="shared" si="73"/>
        <v>0</v>
      </c>
      <c r="L194" s="1290">
        <f t="shared" si="74"/>
        <v>0</v>
      </c>
    </row>
    <row r="195" spans="1:12" s="805" customFormat="1">
      <c r="A195" s="1216" t="s">
        <v>232</v>
      </c>
      <c r="B195" s="1095">
        <f>+'Learig Pig Cost'!AU60</f>
        <v>0</v>
      </c>
      <c r="C195" s="1095"/>
      <c r="D195" s="1290">
        <f t="shared" si="70"/>
        <v>0</v>
      </c>
      <c r="E195" s="1216"/>
      <c r="F195" s="1095"/>
      <c r="G195" s="1216"/>
      <c r="H195" s="1095"/>
      <c r="I195" s="1290">
        <f t="shared" si="71"/>
        <v>0</v>
      </c>
      <c r="J195" s="1095">
        <f t="shared" si="72"/>
        <v>0</v>
      </c>
      <c r="K195" s="1095">
        <f t="shared" si="73"/>
        <v>0</v>
      </c>
      <c r="L195" s="1290">
        <f t="shared" si="74"/>
        <v>0</v>
      </c>
    </row>
    <row r="196" spans="1:12" s="805" customFormat="1">
      <c r="A196" s="1216" t="s">
        <v>1801</v>
      </c>
      <c r="B196" s="1095">
        <f>+'Learig Pig Cost'!AU61</f>
        <v>-503616.6722604289</v>
      </c>
      <c r="C196" s="1095"/>
      <c r="D196" s="1290">
        <f t="shared" si="70"/>
        <v>-503616.6722604289</v>
      </c>
      <c r="E196" s="1216"/>
      <c r="F196" s="1095"/>
      <c r="G196" s="1216"/>
      <c r="H196" s="1095"/>
      <c r="I196" s="1290">
        <f t="shared" si="71"/>
        <v>0</v>
      </c>
      <c r="J196" s="1095">
        <f t="shared" si="72"/>
        <v>-503616.6722604289</v>
      </c>
      <c r="K196" s="1095">
        <f t="shared" si="73"/>
        <v>0</v>
      </c>
      <c r="L196" s="1290">
        <f t="shared" si="74"/>
        <v>-503616.6722604289</v>
      </c>
    </row>
    <row r="197" spans="1:12" s="805" customFormat="1">
      <c r="A197" s="1216" t="s">
        <v>1889</v>
      </c>
      <c r="B197" s="1095">
        <v>0</v>
      </c>
      <c r="C197" s="1095"/>
      <c r="D197" s="1290">
        <f t="shared" si="70"/>
        <v>0</v>
      </c>
      <c r="E197" s="1216"/>
      <c r="F197" s="1095"/>
      <c r="G197" s="1216"/>
      <c r="H197" s="1095"/>
      <c r="I197" s="1290">
        <f t="shared" si="71"/>
        <v>0</v>
      </c>
      <c r="J197" s="1095">
        <f t="shared" si="72"/>
        <v>0</v>
      </c>
      <c r="K197" s="1095">
        <f t="shared" si="73"/>
        <v>0</v>
      </c>
      <c r="L197" s="1290">
        <f t="shared" si="74"/>
        <v>0</v>
      </c>
    </row>
    <row r="198" spans="1:12" s="805" customFormat="1">
      <c r="A198" s="1216" t="s">
        <v>1890</v>
      </c>
      <c r="B198" s="1095">
        <f>+'Learig Pig Cost'!AU46</f>
        <v>0</v>
      </c>
      <c r="C198" s="1095"/>
      <c r="D198" s="1290">
        <f t="shared" si="70"/>
        <v>0</v>
      </c>
      <c r="E198" s="1216"/>
      <c r="F198" s="1095"/>
      <c r="G198" s="1216"/>
      <c r="H198" s="1095"/>
      <c r="I198" s="1290">
        <f t="shared" si="71"/>
        <v>0</v>
      </c>
      <c r="J198" s="1095">
        <f t="shared" si="72"/>
        <v>0</v>
      </c>
      <c r="K198" s="1095">
        <f t="shared" si="73"/>
        <v>0</v>
      </c>
      <c r="L198" s="1290">
        <f t="shared" si="74"/>
        <v>0</v>
      </c>
    </row>
    <row r="199" spans="1:12" s="805" customFormat="1">
      <c r="A199" s="1216" t="s">
        <v>1913</v>
      </c>
      <c r="B199" s="1095">
        <f>+'Learig Pig Cost'!AU64</f>
        <v>0</v>
      </c>
      <c r="C199" s="1095"/>
      <c r="D199" s="1290">
        <f t="shared" si="70"/>
        <v>0</v>
      </c>
      <c r="E199" s="1216"/>
      <c r="F199" s="1095"/>
      <c r="G199" s="1216"/>
      <c r="H199" s="1095"/>
      <c r="I199" s="1290">
        <f t="shared" si="71"/>
        <v>0</v>
      </c>
      <c r="J199" s="1095">
        <f t="shared" si="72"/>
        <v>0</v>
      </c>
      <c r="K199" s="1095">
        <f t="shared" si="73"/>
        <v>0</v>
      </c>
      <c r="L199" s="1290">
        <f t="shared" si="74"/>
        <v>0</v>
      </c>
    </row>
    <row r="200" spans="1:12" s="805" customFormat="1">
      <c r="A200" s="1216" t="s">
        <v>1903</v>
      </c>
      <c r="B200" s="1095"/>
      <c r="C200" s="1095"/>
      <c r="D200" s="1290">
        <f t="shared" si="70"/>
        <v>0</v>
      </c>
      <c r="E200" s="1216"/>
      <c r="F200" s="1095"/>
      <c r="G200" s="1216"/>
      <c r="H200" s="1095"/>
      <c r="I200" s="1290">
        <f t="shared" si="71"/>
        <v>0</v>
      </c>
      <c r="J200" s="1095">
        <f t="shared" si="72"/>
        <v>0</v>
      </c>
      <c r="K200" s="1095">
        <f t="shared" si="73"/>
        <v>0</v>
      </c>
      <c r="L200" s="1290">
        <f t="shared" si="74"/>
        <v>0</v>
      </c>
    </row>
    <row r="201" spans="1:12" s="805" customFormat="1">
      <c r="A201" s="1216" t="s">
        <v>1904</v>
      </c>
      <c r="B201" s="1095"/>
      <c r="C201" s="1095"/>
      <c r="D201" s="1290">
        <f t="shared" si="70"/>
        <v>0</v>
      </c>
      <c r="E201" s="1216"/>
      <c r="F201" s="1095"/>
      <c r="G201" s="1216"/>
      <c r="H201" s="1095"/>
      <c r="I201" s="1290">
        <f t="shared" si="71"/>
        <v>0</v>
      </c>
      <c r="J201" s="1095">
        <f t="shared" si="72"/>
        <v>0</v>
      </c>
      <c r="K201" s="1095">
        <f t="shared" si="73"/>
        <v>0</v>
      </c>
      <c r="L201" s="1290">
        <f t="shared" si="74"/>
        <v>0</v>
      </c>
    </row>
    <row r="202" spans="1:12" s="805" customFormat="1">
      <c r="A202" s="1216" t="s">
        <v>1905</v>
      </c>
      <c r="B202" s="1095"/>
      <c r="C202" s="1095"/>
      <c r="D202" s="1290"/>
      <c r="E202" s="1216"/>
      <c r="F202" s="1095"/>
      <c r="G202" s="1216"/>
      <c r="H202" s="1095"/>
      <c r="I202" s="1290"/>
      <c r="J202" s="1095"/>
      <c r="K202" s="1095"/>
      <c r="L202" s="1290"/>
    </row>
    <row r="203" spans="1:12" s="805" customFormat="1">
      <c r="A203" s="1216" t="s">
        <v>1906</v>
      </c>
      <c r="B203" s="1095"/>
      <c r="C203" s="1095"/>
      <c r="D203" s="1290"/>
      <c r="E203" s="1216"/>
      <c r="F203" s="1095"/>
      <c r="G203" s="1216"/>
      <c r="H203" s="1095"/>
      <c r="I203" s="1290"/>
      <c r="J203" s="1095"/>
      <c r="K203" s="1095"/>
      <c r="L203" s="1290"/>
    </row>
    <row r="204" spans="1:12" s="805" customFormat="1">
      <c r="A204" s="1216" t="s">
        <v>1896</v>
      </c>
      <c r="B204" s="1095"/>
      <c r="C204" s="1095"/>
      <c r="D204" s="1290">
        <f>+C204+B204</f>
        <v>0</v>
      </c>
      <c r="E204" s="1216"/>
      <c r="F204" s="1095"/>
      <c r="G204" s="1216"/>
      <c r="H204" s="1095"/>
      <c r="I204" s="1290"/>
      <c r="J204" s="1095">
        <f t="shared" si="72"/>
        <v>0</v>
      </c>
      <c r="K204" s="1095">
        <f t="shared" si="73"/>
        <v>0</v>
      </c>
      <c r="L204" s="1290">
        <f t="shared" si="74"/>
        <v>0</v>
      </c>
    </row>
    <row r="205" spans="1:12" s="805" customFormat="1">
      <c r="A205" s="1216" t="s">
        <v>1897</v>
      </c>
      <c r="B205" s="1095"/>
      <c r="C205" s="1095"/>
      <c r="D205" s="1290">
        <f t="shared" si="70"/>
        <v>0</v>
      </c>
      <c r="E205" s="1216"/>
      <c r="F205" s="1095"/>
      <c r="G205" s="1216"/>
      <c r="H205" s="1095"/>
      <c r="I205" s="1290"/>
      <c r="J205" s="1095">
        <f t="shared" si="72"/>
        <v>0</v>
      </c>
      <c r="K205" s="1095">
        <f t="shared" si="73"/>
        <v>0</v>
      </c>
      <c r="L205" s="1290">
        <f t="shared" si="74"/>
        <v>0</v>
      </c>
    </row>
    <row r="206" spans="1:12" s="805" customFormat="1">
      <c r="A206" s="1216" t="s">
        <v>1898</v>
      </c>
      <c r="B206" s="1095">
        <f>+'Learig Pig Cost'!AU56</f>
        <v>0</v>
      </c>
      <c r="C206" s="1095"/>
      <c r="D206" s="1290">
        <f t="shared" si="70"/>
        <v>0</v>
      </c>
      <c r="E206" s="1216"/>
      <c r="F206" s="1095"/>
      <c r="G206" s="1216"/>
      <c r="H206" s="1095"/>
      <c r="I206" s="1290"/>
      <c r="J206" s="1095">
        <f t="shared" si="72"/>
        <v>0</v>
      </c>
      <c r="K206" s="1095">
        <f t="shared" si="73"/>
        <v>0</v>
      </c>
      <c r="L206" s="1290">
        <f t="shared" si="74"/>
        <v>0</v>
      </c>
    </row>
    <row r="207" spans="1:12" s="805" customFormat="1">
      <c r="A207" s="1216" t="s">
        <v>1875</v>
      </c>
      <c r="B207" s="1095">
        <v>0</v>
      </c>
      <c r="C207" s="805">
        <v>-4559.2740334139698</v>
      </c>
      <c r="D207" s="1290">
        <f>+C207+B207</f>
        <v>-4559.2740334139698</v>
      </c>
      <c r="E207" s="1216"/>
      <c r="F207" s="1095"/>
      <c r="G207" s="1216"/>
      <c r="H207" s="1095"/>
      <c r="I207" s="1290">
        <f t="shared" si="71"/>
        <v>0</v>
      </c>
      <c r="J207" s="1095">
        <f t="shared" si="72"/>
        <v>0</v>
      </c>
      <c r="K207" s="1095">
        <f t="shared" si="73"/>
        <v>-4559.2740334139698</v>
      </c>
      <c r="L207" s="1290">
        <f t="shared" si="74"/>
        <v>-4559.2740334139698</v>
      </c>
    </row>
    <row r="208" spans="1:12" s="1102" customFormat="1" ht="16.149999999999999" thickBot="1">
      <c r="A208" s="1598" t="s">
        <v>1876</v>
      </c>
      <c r="B208" s="1634">
        <f>SUM(B190:B207)</f>
        <v>719255.34814312716</v>
      </c>
      <c r="C208" s="1634">
        <f>SUM(C190:C207)</f>
        <v>163510.41549190661</v>
      </c>
      <c r="D208" s="1635">
        <f>SUM(D190:D207)</f>
        <v>877148.07996773731</v>
      </c>
      <c r="E208" s="1103">
        <f>+B208-'Learig Pig Cost'!AU62</f>
        <v>-712596.76013364794</v>
      </c>
      <c r="F208" s="1211"/>
      <c r="G208" s="1636">
        <f>SUM(G190:G207)</f>
        <v>0</v>
      </c>
      <c r="H208" s="1634"/>
      <c r="I208" s="1635">
        <f>SUM(I190:I207)</f>
        <v>0</v>
      </c>
      <c r="J208" s="1635">
        <f>SUM(J190:J207)</f>
        <v>713637.66447583085</v>
      </c>
      <c r="K208" s="1635">
        <f>SUM(K190:K207)</f>
        <v>163510.41549190661</v>
      </c>
      <c r="L208" s="1635">
        <f>SUM(L190:L207)</f>
        <v>877148.07996773731</v>
      </c>
    </row>
    <row r="209" spans="1:12" s="805" customFormat="1" ht="15.6">
      <c r="D209" s="1094">
        <f>SUM('Learig Valuation'!H9:H40)</f>
        <v>1197268.7653196421</v>
      </c>
      <c r="G209" s="1216"/>
      <c r="H209" s="1095"/>
      <c r="I209" s="1290"/>
    </row>
    <row r="210" spans="1:12" s="805" customFormat="1" ht="15.6" thickBot="1">
      <c r="A210" s="1953"/>
      <c r="B210" s="1953"/>
      <c r="C210" s="1953"/>
      <c r="D210" s="1953">
        <f>+D208-D209</f>
        <v>-320120.68535190483</v>
      </c>
      <c r="E210" s="1953"/>
      <c r="F210" s="1953"/>
      <c r="G210" s="1954"/>
      <c r="H210" s="1953"/>
      <c r="I210" s="1955"/>
      <c r="J210" s="1953"/>
      <c r="K210" s="1953"/>
      <c r="L210" s="1953"/>
    </row>
    <row r="211" spans="1:12" s="805" customFormat="1" ht="15.6">
      <c r="A211" s="1583" t="s">
        <v>267</v>
      </c>
      <c r="G211" s="1216"/>
      <c r="H211" s="1095"/>
      <c r="I211" s="1290"/>
    </row>
    <row r="212" spans="1:12" s="805" customFormat="1">
      <c r="A212" s="1216" t="s">
        <v>1836</v>
      </c>
      <c r="B212" s="1510">
        <f>'[2]Total Pigs'!$B$242</f>
        <v>1231937.2685195424</v>
      </c>
      <c r="C212" s="1510">
        <f>'[2]Total Pigs'!$C$242</f>
        <v>345981.32389260008</v>
      </c>
      <c r="D212" s="2002">
        <f>+B212+C212</f>
        <v>1577918.5924121425</v>
      </c>
      <c r="G212" s="1510">
        <f>'[2]Total Pigs'!$G$242</f>
        <v>179293.53430008059</v>
      </c>
      <c r="H212" s="1510">
        <f>'[2]Total Pigs'!$H$242</f>
        <v>83036.553089402616</v>
      </c>
      <c r="I212" s="1290">
        <f>+H212+G212</f>
        <v>262330.08738948323</v>
      </c>
      <c r="J212" s="1095">
        <f>+B212+G212</f>
        <v>1411230.8028196229</v>
      </c>
      <c r="K212" s="1095">
        <f>+C212+H212</f>
        <v>429017.87698200269</v>
      </c>
      <c r="L212" s="1290">
        <f>SUM(J212:K212)</f>
        <v>1840248.6798016257</v>
      </c>
    </row>
    <row r="213" spans="1:12" s="805" customFormat="1">
      <c r="A213" s="1216" t="s">
        <v>1900</v>
      </c>
      <c r="B213" s="805">
        <f>'Porta Pig Cost'!AU40</f>
        <v>806873.2</v>
      </c>
      <c r="D213" s="1290">
        <f t="shared" ref="D213:D223" si="75">+B213+C213</f>
        <v>806873.2</v>
      </c>
      <c r="G213" s="1216">
        <f>'Non Current'!S7</f>
        <v>21574</v>
      </c>
      <c r="H213" s="1095"/>
      <c r="I213" s="1290">
        <f t="shared" ref="I213:I223" si="76">+H213+G213</f>
        <v>21574</v>
      </c>
      <c r="J213" s="1095">
        <f t="shared" ref="J213:J219" si="77">+B213+G213</f>
        <v>828447.2</v>
      </c>
      <c r="K213" s="1095">
        <f t="shared" ref="K213:K219" si="78">+C213+H213</f>
        <v>0</v>
      </c>
      <c r="L213" s="1290">
        <f t="shared" ref="L213:L219" si="79">SUM(J213:K213)</f>
        <v>828447.2</v>
      </c>
    </row>
    <row r="214" spans="1:12" s="805" customFormat="1">
      <c r="A214" s="1216" t="s">
        <v>1854</v>
      </c>
      <c r="D214" s="1290">
        <f t="shared" si="75"/>
        <v>0</v>
      </c>
      <c r="G214" s="1216">
        <f>'Non Current'!S8</f>
        <v>0</v>
      </c>
      <c r="H214" s="1095"/>
      <c r="I214" s="1290">
        <f t="shared" si="76"/>
        <v>0</v>
      </c>
      <c r="J214" s="1095">
        <f t="shared" si="77"/>
        <v>0</v>
      </c>
      <c r="K214" s="1095">
        <f t="shared" si="78"/>
        <v>0</v>
      </c>
      <c r="L214" s="1290">
        <f t="shared" si="79"/>
        <v>0</v>
      </c>
    </row>
    <row r="215" spans="1:12" s="805" customFormat="1">
      <c r="A215" s="1216" t="s">
        <v>1855</v>
      </c>
      <c r="D215" s="1290">
        <f t="shared" si="75"/>
        <v>0</v>
      </c>
      <c r="G215" s="1216"/>
      <c r="H215" s="1095"/>
      <c r="I215" s="1290">
        <f t="shared" si="76"/>
        <v>0</v>
      </c>
      <c r="J215" s="1095">
        <f t="shared" si="77"/>
        <v>0</v>
      </c>
      <c r="K215" s="1095">
        <f t="shared" si="78"/>
        <v>0</v>
      </c>
      <c r="L215" s="1290">
        <f t="shared" si="79"/>
        <v>0</v>
      </c>
    </row>
    <row r="216" spans="1:12" s="805" customFormat="1">
      <c r="A216" s="1216" t="s">
        <v>1856</v>
      </c>
      <c r="D216" s="1290">
        <f t="shared" si="75"/>
        <v>0</v>
      </c>
      <c r="G216" s="1216"/>
      <c r="H216" s="1095"/>
      <c r="I216" s="1290">
        <f t="shared" si="76"/>
        <v>0</v>
      </c>
      <c r="J216" s="1095">
        <f t="shared" si="77"/>
        <v>0</v>
      </c>
      <c r="K216" s="1095">
        <f t="shared" si="78"/>
        <v>0</v>
      </c>
      <c r="L216" s="1290">
        <f t="shared" si="79"/>
        <v>0</v>
      </c>
    </row>
    <row r="217" spans="1:12" s="805" customFormat="1">
      <c r="A217" s="1216" t="s">
        <v>1912</v>
      </c>
      <c r="D217" s="1290">
        <f t="shared" si="75"/>
        <v>0</v>
      </c>
      <c r="G217" s="1216"/>
      <c r="H217" s="1095"/>
      <c r="I217" s="1290">
        <f t="shared" si="76"/>
        <v>0</v>
      </c>
      <c r="J217" s="1095">
        <f t="shared" si="77"/>
        <v>0</v>
      </c>
      <c r="K217" s="1095">
        <f t="shared" si="78"/>
        <v>0</v>
      </c>
      <c r="L217" s="1290">
        <f t="shared" si="79"/>
        <v>0</v>
      </c>
    </row>
    <row r="218" spans="1:12" s="805" customFormat="1">
      <c r="A218" s="1216" t="s">
        <v>1902</v>
      </c>
      <c r="D218" s="1290">
        <f t="shared" si="75"/>
        <v>0</v>
      </c>
      <c r="G218" s="1216"/>
      <c r="H218" s="1095"/>
      <c r="I218" s="1290"/>
      <c r="J218" s="1095">
        <f t="shared" si="77"/>
        <v>0</v>
      </c>
      <c r="K218" s="1095">
        <f t="shared" si="78"/>
        <v>0</v>
      </c>
      <c r="L218" s="1290">
        <f t="shared" si="79"/>
        <v>0</v>
      </c>
    </row>
    <row r="219" spans="1:12" s="805" customFormat="1">
      <c r="A219" s="1216" t="s">
        <v>1901</v>
      </c>
      <c r="B219" s="805">
        <f>'Porta Pig Cost'!AU47</f>
        <v>0</v>
      </c>
      <c r="D219" s="1290">
        <f t="shared" si="75"/>
        <v>0</v>
      </c>
      <c r="G219" s="1216">
        <f>'Non Current'!S9</f>
        <v>0</v>
      </c>
      <c r="H219" s="1095"/>
      <c r="I219" s="1290">
        <f t="shared" si="76"/>
        <v>0</v>
      </c>
      <c r="J219" s="1095">
        <f t="shared" si="77"/>
        <v>0</v>
      </c>
      <c r="K219" s="1095">
        <f t="shared" si="78"/>
        <v>0</v>
      </c>
      <c r="L219" s="1290">
        <f t="shared" si="79"/>
        <v>0</v>
      </c>
    </row>
    <row r="220" spans="1:12" s="805" customFormat="1">
      <c r="A220" s="1216" t="s">
        <v>1859</v>
      </c>
      <c r="D220" s="1290"/>
      <c r="G220" s="1216"/>
      <c r="H220" s="1095"/>
      <c r="I220" s="1290">
        <f t="shared" si="76"/>
        <v>0</v>
      </c>
      <c r="J220" s="1095"/>
      <c r="K220" s="1095"/>
      <c r="L220" s="1290"/>
    </row>
    <row r="221" spans="1:12" s="805" customFormat="1">
      <c r="A221" s="1216" t="s">
        <v>1861</v>
      </c>
      <c r="D221" s="1290"/>
      <c r="G221" s="1216">
        <f>'Non Current'!S14</f>
        <v>0</v>
      </c>
      <c r="H221" s="1095"/>
      <c r="I221" s="1290">
        <f t="shared" si="76"/>
        <v>0</v>
      </c>
      <c r="J221" s="1095"/>
      <c r="K221" s="1095"/>
      <c r="L221" s="1290"/>
    </row>
    <row r="222" spans="1:12" s="805" customFormat="1">
      <c r="A222" s="1216" t="s">
        <v>1862</v>
      </c>
      <c r="D222" s="1290">
        <f t="shared" si="75"/>
        <v>0</v>
      </c>
      <c r="G222" s="1216">
        <f>'Non Current'!S15</f>
        <v>0</v>
      </c>
      <c r="H222" s="1095"/>
      <c r="I222" s="1290">
        <f t="shared" si="76"/>
        <v>0</v>
      </c>
      <c r="J222" s="1095">
        <f t="shared" ref="J222:J223" si="80">+B222+G222</f>
        <v>0</v>
      </c>
      <c r="K222" s="1095">
        <f t="shared" ref="K222:K223" si="81">+C222+H222</f>
        <v>0</v>
      </c>
      <c r="L222" s="1290">
        <f t="shared" ref="L222:L223" si="82">SUM(J222:K222)</f>
        <v>0</v>
      </c>
    </row>
    <row r="223" spans="1:12" s="805" customFormat="1">
      <c r="A223" s="1593" t="s">
        <v>1863</v>
      </c>
      <c r="B223" s="805">
        <f>'Porta Pig Cost'!AU54</f>
        <v>0</v>
      </c>
      <c r="D223" s="1290">
        <f t="shared" si="75"/>
        <v>0</v>
      </c>
      <c r="G223" s="1216"/>
      <c r="H223" s="1095"/>
      <c r="I223" s="1290">
        <f t="shared" si="76"/>
        <v>0</v>
      </c>
      <c r="J223" s="1095">
        <f t="shared" si="80"/>
        <v>0</v>
      </c>
      <c r="K223" s="1095">
        <f t="shared" si="81"/>
        <v>0</v>
      </c>
      <c r="L223" s="1290">
        <f t="shared" si="82"/>
        <v>0</v>
      </c>
    </row>
    <row r="224" spans="1:12" s="805" customFormat="1" ht="15.6">
      <c r="A224" s="1595" t="s">
        <v>71</v>
      </c>
      <c r="B224" s="1289">
        <f>SUM(B212:B223)</f>
        <v>2038810.4685195424</v>
      </c>
      <c r="C224" s="805">
        <f>SUM(C212:C223)</f>
        <v>345981.32389260008</v>
      </c>
      <c r="D224" s="1289">
        <f>SUM(D212:D223)</f>
        <v>2384791.7924121423</v>
      </c>
      <c r="G224" s="1292">
        <f>SUM(G212:G223)</f>
        <v>200867.53430008059</v>
      </c>
      <c r="H224" s="1286">
        <f>SUM(H212:H223)</f>
        <v>83036.553089402616</v>
      </c>
      <c r="I224" s="1291">
        <f>SUM(I212:I223)</f>
        <v>283904.08738948323</v>
      </c>
      <c r="J224" s="1289">
        <f t="shared" ref="J224:L224" si="83">SUM(J212:J223)</f>
        <v>2239678.0028196229</v>
      </c>
      <c r="K224" s="1289">
        <f t="shared" si="83"/>
        <v>429017.87698200269</v>
      </c>
      <c r="L224" s="1289">
        <f t="shared" si="83"/>
        <v>2668695.8798016254</v>
      </c>
    </row>
    <row r="225" spans="1:12" s="805" customFormat="1">
      <c r="A225" s="1216" t="s">
        <v>1888</v>
      </c>
      <c r="D225" s="1290">
        <f t="shared" ref="D225:D240" si="84">+C225+B225</f>
        <v>0</v>
      </c>
      <c r="G225" s="1216"/>
      <c r="H225" s="1095"/>
      <c r="I225" s="1290">
        <f t="shared" ref="I225:I235" si="85">+H225+G225</f>
        <v>0</v>
      </c>
      <c r="J225" s="1095">
        <f t="shared" ref="J225:J235" si="86">+B225+G225</f>
        <v>0</v>
      </c>
      <c r="K225" s="1095">
        <f>+C225+H225</f>
        <v>0</v>
      </c>
      <c r="L225" s="1290">
        <f>SUM(J225:K225)</f>
        <v>0</v>
      </c>
    </row>
    <row r="226" spans="1:12" s="805" customFormat="1">
      <c r="A226" s="1216" t="s">
        <v>169</v>
      </c>
      <c r="B226" s="805">
        <f>'Porta Pig Cost'!AU57</f>
        <v>-27258.808534037827</v>
      </c>
      <c r="D226" s="1290">
        <f t="shared" si="84"/>
        <v>-27258.808534037827</v>
      </c>
      <c r="G226" s="1216">
        <f>'Non Current'!S18</f>
        <v>0</v>
      </c>
      <c r="H226" s="1095"/>
      <c r="I226" s="1290">
        <f>+H226+G226</f>
        <v>0</v>
      </c>
      <c r="J226" s="1095">
        <f t="shared" si="86"/>
        <v>-27258.808534037827</v>
      </c>
      <c r="K226" s="1095">
        <f t="shared" ref="K226:K235" si="87">+C226+H226</f>
        <v>0</v>
      </c>
      <c r="L226" s="1290">
        <f t="shared" ref="L226:L235" si="88">SUM(J226:K226)</f>
        <v>-27258.808534037827</v>
      </c>
    </row>
    <row r="227" spans="1:12" s="805" customFormat="1">
      <c r="A227" s="1216" t="s">
        <v>229</v>
      </c>
      <c r="B227" s="805">
        <f>'Porta Pig Cost'!AU58</f>
        <v>-8396.7960002381387</v>
      </c>
      <c r="D227" s="1290">
        <f t="shared" si="84"/>
        <v>-8396.7960002381387</v>
      </c>
      <c r="G227" s="1216">
        <f>'Non Current'!S19</f>
        <v>-498.00816451132152</v>
      </c>
      <c r="H227" s="1095"/>
      <c r="I227" s="1290">
        <f>+H227+G227</f>
        <v>-498.00816451132152</v>
      </c>
      <c r="J227" s="1095">
        <f>+B227+G227</f>
        <v>-8894.8041647494611</v>
      </c>
      <c r="K227" s="1095">
        <f t="shared" si="87"/>
        <v>0</v>
      </c>
      <c r="L227" s="1290">
        <f>SUM(J227:K227)</f>
        <v>-8894.8041647494611</v>
      </c>
    </row>
    <row r="228" spans="1:12" s="805" customFormat="1">
      <c r="A228" s="1216" t="s">
        <v>231</v>
      </c>
      <c r="B228" s="805">
        <f>'Porta Pig Cost'!AU59</f>
        <v>0</v>
      </c>
      <c r="D228" s="1290">
        <f t="shared" si="84"/>
        <v>0</v>
      </c>
      <c r="G228" s="1216"/>
      <c r="H228" s="1095"/>
      <c r="I228" s="1290">
        <f t="shared" si="85"/>
        <v>0</v>
      </c>
      <c r="J228" s="1095">
        <f t="shared" si="86"/>
        <v>0</v>
      </c>
      <c r="K228" s="1095">
        <f t="shared" si="87"/>
        <v>0</v>
      </c>
      <c r="L228" s="1290">
        <f t="shared" si="88"/>
        <v>0</v>
      </c>
    </row>
    <row r="229" spans="1:12" s="805" customFormat="1">
      <c r="A229" s="1216" t="s">
        <v>232</v>
      </c>
      <c r="B229" s="805">
        <f>'Porta Pig Cost'!AU60</f>
        <v>0</v>
      </c>
      <c r="D229" s="1290">
        <f t="shared" si="84"/>
        <v>0</v>
      </c>
      <c r="G229" s="1216"/>
      <c r="H229" s="1095"/>
      <c r="I229" s="1290">
        <f t="shared" si="85"/>
        <v>0</v>
      </c>
      <c r="J229" s="1095">
        <f t="shared" si="86"/>
        <v>0</v>
      </c>
      <c r="K229" s="1095">
        <f t="shared" si="87"/>
        <v>0</v>
      </c>
      <c r="L229" s="1290">
        <f t="shared" si="88"/>
        <v>0</v>
      </c>
    </row>
    <row r="230" spans="1:12" s="805" customFormat="1">
      <c r="A230" s="1216" t="s">
        <v>1801</v>
      </c>
      <c r="B230" s="805">
        <f>'Porta Pig Cost'!AU61</f>
        <v>-927016.24902776466</v>
      </c>
      <c r="D230" s="1290">
        <f t="shared" si="84"/>
        <v>-927016.24902776466</v>
      </c>
      <c r="G230" s="1216">
        <f>'Non Current'!S22</f>
        <v>-4482.0734806018936</v>
      </c>
      <c r="H230" s="1095"/>
      <c r="I230" s="1290">
        <f>+H230+G230</f>
        <v>-4482.0734806018936</v>
      </c>
      <c r="J230" s="1095">
        <f t="shared" si="86"/>
        <v>-931498.32250836655</v>
      </c>
      <c r="K230" s="1095">
        <f t="shared" si="87"/>
        <v>0</v>
      </c>
      <c r="L230" s="1290">
        <f t="shared" si="88"/>
        <v>-931498.32250836655</v>
      </c>
    </row>
    <row r="231" spans="1:12" s="805" customFormat="1">
      <c r="A231" s="1216" t="s">
        <v>1889</v>
      </c>
      <c r="D231" s="1290">
        <f t="shared" si="84"/>
        <v>0</v>
      </c>
      <c r="G231" s="1216">
        <f>'Non Current'!S25</f>
        <v>0</v>
      </c>
      <c r="H231" s="1095"/>
      <c r="I231" s="1290">
        <f t="shared" si="85"/>
        <v>0</v>
      </c>
      <c r="J231" s="1095">
        <f t="shared" si="86"/>
        <v>0</v>
      </c>
      <c r="K231" s="1095">
        <f t="shared" si="87"/>
        <v>0</v>
      </c>
      <c r="L231" s="1290">
        <f t="shared" si="88"/>
        <v>0</v>
      </c>
    </row>
    <row r="232" spans="1:12" s="805" customFormat="1">
      <c r="A232" s="1216" t="s">
        <v>1890</v>
      </c>
      <c r="B232" s="805">
        <f>'Porta Pig Cost'!AU46</f>
        <v>-5273.9530869494138</v>
      </c>
      <c r="D232" s="1290">
        <f t="shared" si="84"/>
        <v>-5273.9530869494138</v>
      </c>
      <c r="G232" s="1216"/>
      <c r="H232" s="1095"/>
      <c r="I232" s="1290">
        <f t="shared" si="85"/>
        <v>0</v>
      </c>
      <c r="J232" s="1095">
        <f t="shared" si="86"/>
        <v>-5273.9530869494138</v>
      </c>
      <c r="K232" s="1095">
        <f t="shared" si="87"/>
        <v>0</v>
      </c>
      <c r="L232" s="1290">
        <f t="shared" si="88"/>
        <v>-5273.9530869494138</v>
      </c>
    </row>
    <row r="233" spans="1:12" s="805" customFormat="1">
      <c r="A233" s="1216" t="s">
        <v>1913</v>
      </c>
      <c r="D233" s="1290">
        <f t="shared" si="84"/>
        <v>0</v>
      </c>
      <c r="G233" s="1216">
        <f>'Non Current'!S24</f>
        <v>0</v>
      </c>
      <c r="H233" s="1095"/>
      <c r="I233" s="1290">
        <f t="shared" si="85"/>
        <v>0</v>
      </c>
      <c r="J233" s="1095">
        <f t="shared" si="86"/>
        <v>0</v>
      </c>
      <c r="K233" s="1095">
        <f t="shared" si="87"/>
        <v>0</v>
      </c>
      <c r="L233" s="1290">
        <f t="shared" si="88"/>
        <v>0</v>
      </c>
    </row>
    <row r="234" spans="1:12" s="805" customFormat="1">
      <c r="A234" s="1216" t="s">
        <v>1903</v>
      </c>
      <c r="D234" s="1290">
        <f t="shared" si="84"/>
        <v>0</v>
      </c>
      <c r="G234" s="1216"/>
      <c r="H234" s="1095"/>
      <c r="I234" s="1290">
        <f t="shared" si="85"/>
        <v>0</v>
      </c>
      <c r="J234" s="1095">
        <f t="shared" si="86"/>
        <v>0</v>
      </c>
      <c r="K234" s="1095">
        <f t="shared" si="87"/>
        <v>0</v>
      </c>
      <c r="L234" s="1290">
        <f t="shared" si="88"/>
        <v>0</v>
      </c>
    </row>
    <row r="235" spans="1:12" s="805" customFormat="1">
      <c r="A235" s="1216" t="s">
        <v>1904</v>
      </c>
      <c r="D235" s="1290">
        <f t="shared" si="84"/>
        <v>0</v>
      </c>
      <c r="G235" s="1216"/>
      <c r="H235" s="1095"/>
      <c r="I235" s="1290">
        <f t="shared" si="85"/>
        <v>0</v>
      </c>
      <c r="J235" s="1095">
        <f t="shared" si="86"/>
        <v>0</v>
      </c>
      <c r="K235" s="1095">
        <f t="shared" si="87"/>
        <v>0</v>
      </c>
      <c r="L235" s="1290">
        <f t="shared" si="88"/>
        <v>0</v>
      </c>
    </row>
    <row r="236" spans="1:12" s="805" customFormat="1">
      <c r="A236" s="1216" t="s">
        <v>1892</v>
      </c>
      <c r="B236" s="805">
        <f>'Porta Pig Cost'!AU48</f>
        <v>-5617.6836672963509</v>
      </c>
      <c r="D236" s="1290"/>
      <c r="G236" s="1216"/>
      <c r="H236" s="1095"/>
      <c r="I236" s="1290"/>
      <c r="J236" s="1095"/>
      <c r="K236" s="1095"/>
      <c r="L236" s="1290"/>
    </row>
    <row r="237" spans="1:12" s="805" customFormat="1">
      <c r="A237" s="1216" t="s">
        <v>1906</v>
      </c>
      <c r="D237" s="1290"/>
      <c r="G237" s="1216"/>
      <c r="H237" s="1095"/>
      <c r="I237" s="1290"/>
      <c r="J237" s="1095"/>
      <c r="K237" s="1095"/>
      <c r="L237" s="1290"/>
    </row>
    <row r="238" spans="1:12" s="805" customFormat="1">
      <c r="A238" s="1216" t="s">
        <v>1896</v>
      </c>
      <c r="B238" s="805">
        <f>'Porta Pig Cost'!AU53</f>
        <v>0</v>
      </c>
      <c r="D238" s="1290">
        <f>+C238+B238</f>
        <v>0</v>
      </c>
      <c r="G238" s="1216"/>
      <c r="H238" s="1095"/>
      <c r="I238" s="1290"/>
      <c r="J238" s="1095">
        <f t="shared" ref="J238:J241" si="89">+B238+G238</f>
        <v>0</v>
      </c>
      <c r="K238" s="1095">
        <f t="shared" ref="K238:K241" si="90">+C238+H238</f>
        <v>0</v>
      </c>
      <c r="L238" s="1290">
        <f t="shared" ref="L238:L240" si="91">SUM(J238:K238)</f>
        <v>0</v>
      </c>
    </row>
    <row r="239" spans="1:12" s="805" customFormat="1">
      <c r="A239" s="1216" t="s">
        <v>1897</v>
      </c>
      <c r="D239" s="1290">
        <f t="shared" si="84"/>
        <v>0</v>
      </c>
      <c r="G239" s="1216"/>
      <c r="H239" s="1095"/>
      <c r="I239" s="1290"/>
      <c r="J239" s="1095">
        <f t="shared" si="89"/>
        <v>0</v>
      </c>
      <c r="K239" s="1095">
        <f t="shared" si="90"/>
        <v>0</v>
      </c>
      <c r="L239" s="1290">
        <f t="shared" si="91"/>
        <v>0</v>
      </c>
    </row>
    <row r="240" spans="1:12" s="805" customFormat="1">
      <c r="A240" s="1216" t="s">
        <v>1898</v>
      </c>
      <c r="B240" s="805">
        <f>'Porta Pig Cost'!AU56</f>
        <v>0</v>
      </c>
      <c r="D240" s="1290">
        <f t="shared" si="84"/>
        <v>0</v>
      </c>
      <c r="G240" s="1216"/>
      <c r="H240" s="1095"/>
      <c r="I240" s="1290"/>
      <c r="J240" s="1095">
        <f t="shared" si="89"/>
        <v>0</v>
      </c>
      <c r="K240" s="1095">
        <f t="shared" si="90"/>
        <v>0</v>
      </c>
      <c r="L240" s="1290">
        <f t="shared" si="91"/>
        <v>0</v>
      </c>
    </row>
    <row r="241" spans="1:12" s="805" customFormat="1">
      <c r="A241" s="1216" t="s">
        <v>1875</v>
      </c>
      <c r="B241" s="805">
        <v>0</v>
      </c>
      <c r="C241" s="805">
        <v>-108397.87941473399</v>
      </c>
      <c r="D241" s="1290">
        <f>+C241+B241</f>
        <v>-108397.87941473399</v>
      </c>
      <c r="G241" s="1216"/>
      <c r="H241" s="1290">
        <v>4754.4853158101896</v>
      </c>
      <c r="I241" s="1290">
        <f>+H241+G241</f>
        <v>4754.4853158101896</v>
      </c>
      <c r="J241" s="1095">
        <f t="shared" si="89"/>
        <v>0</v>
      </c>
      <c r="K241" s="1095">
        <f t="shared" si="90"/>
        <v>-103643.3940989238</v>
      </c>
      <c r="L241" s="1290">
        <f>SUM(J241:K241)</f>
        <v>-103643.3940989238</v>
      </c>
    </row>
    <row r="242" spans="1:12" s="805" customFormat="1" ht="16.149999999999999" thickBot="1">
      <c r="A242" s="1598" t="s">
        <v>1876</v>
      </c>
      <c r="B242" s="1634">
        <f>SUM(B224:B241)</f>
        <v>1065246.9782032561</v>
      </c>
      <c r="C242" s="1634">
        <f>SUM(C224:C241)</f>
        <v>237583.44447786608</v>
      </c>
      <c r="D242" s="1635">
        <f>SUM(D224:D241)</f>
        <v>1308448.1063484184</v>
      </c>
      <c r="E242" s="1953"/>
      <c r="F242" s="1953"/>
      <c r="G242" s="1588">
        <f>SUM(G224:G241)</f>
        <v>195887.45265496738</v>
      </c>
      <c r="H242" s="1096">
        <f t="shared" ref="H242:L242" si="92">SUM(H224:H241)</f>
        <v>87791.038405212807</v>
      </c>
      <c r="I242" s="1587">
        <f t="shared" si="92"/>
        <v>283678.49106018024</v>
      </c>
      <c r="J242" s="1635">
        <f t="shared" si="92"/>
        <v>1266752.1145255195</v>
      </c>
      <c r="K242" s="1635">
        <f t="shared" si="92"/>
        <v>325374.48288307886</v>
      </c>
      <c r="L242" s="1635">
        <f t="shared" si="92"/>
        <v>1592126.5974085983</v>
      </c>
    </row>
    <row r="243" spans="1:12" s="805" customFormat="1" ht="15.6">
      <c r="A243" s="1213"/>
      <c r="B243" s="1213"/>
      <c r="C243" s="1213"/>
      <c r="D243" s="1213">
        <f>SUM('Porta Valuation'!H9:H40)</f>
        <v>2083486.5117194336</v>
      </c>
      <c r="E243" s="1095"/>
      <c r="F243" s="1095"/>
      <c r="G243" s="1216"/>
      <c r="H243" s="1095"/>
      <c r="I243" s="1290">
        <f>SUM('Porta Valuation'!H82:H86)</f>
        <v>238312.5</v>
      </c>
      <c r="J243" s="1213"/>
      <c r="K243" s="1213"/>
      <c r="L243" s="1213"/>
    </row>
    <row r="244" spans="1:12" s="805" customFormat="1" ht="16.149999999999999" thickBot="1">
      <c r="A244" s="1213"/>
      <c r="B244" s="1213"/>
      <c r="C244" s="1213"/>
      <c r="D244" s="1953">
        <f>+D242-D243</f>
        <v>-775038.40537101519</v>
      </c>
      <c r="E244" s="1095"/>
      <c r="F244" s="1095"/>
      <c r="G244" s="1216"/>
      <c r="H244" s="1095"/>
      <c r="I244" s="1290">
        <f>+I242-I243</f>
        <v>45365.99106018024</v>
      </c>
      <c r="J244" s="1213"/>
      <c r="K244" s="1213"/>
      <c r="L244" s="1213"/>
    </row>
    <row r="245" spans="1:12" s="805" customFormat="1" ht="15.6">
      <c r="A245" s="1213" t="s">
        <v>271</v>
      </c>
      <c r="B245" s="1213"/>
      <c r="C245" s="1213"/>
      <c r="D245" s="1095"/>
      <c r="E245" s="1095"/>
      <c r="F245" s="1095"/>
      <c r="G245" s="1216"/>
      <c r="H245" s="1095"/>
      <c r="I245" s="1290"/>
      <c r="J245" s="1213"/>
      <c r="K245" s="1213"/>
      <c r="L245" s="1213"/>
    </row>
    <row r="246" spans="1:12" s="805" customFormat="1">
      <c r="A246" s="1095" t="s">
        <v>1836</v>
      </c>
      <c r="B246" s="1510">
        <f>'[2]Total Pigs'!$B$276</f>
        <v>462393.5416247687</v>
      </c>
      <c r="C246" s="1510">
        <f>'[2]Total Pigs'!$C$276</f>
        <v>104578.48127036617</v>
      </c>
      <c r="D246" s="2002">
        <f>+B246+C246</f>
        <v>566972.02289513487</v>
      </c>
      <c r="E246" s="1095"/>
      <c r="F246" s="1095"/>
      <c r="G246" s="1510">
        <f>'[2]Total Pigs'!$G$276</f>
        <v>15302.462272956593</v>
      </c>
      <c r="H246" s="1510">
        <f>'[2]Total Pigs'!$H$276</f>
        <v>53861.534179764778</v>
      </c>
      <c r="I246" s="1290">
        <f>+H246+G246</f>
        <v>69163.996452721374</v>
      </c>
      <c r="J246" s="1095">
        <f>+B246+G246</f>
        <v>477696.00389772531</v>
      </c>
      <c r="K246" s="1095">
        <f>+C246+H246</f>
        <v>158440.01545013094</v>
      </c>
      <c r="L246" s="1290">
        <f>SUM(J246:K246)</f>
        <v>636136.01934785629</v>
      </c>
    </row>
    <row r="247" spans="1:12" s="805" customFormat="1">
      <c r="A247" s="1095" t="s">
        <v>1900</v>
      </c>
      <c r="B247" s="805">
        <f>'Multiplier Pig Cost '!AU40</f>
        <v>269787.99999999994</v>
      </c>
      <c r="D247" s="1290">
        <f>+B247+C247</f>
        <v>269787.99999999994</v>
      </c>
      <c r="E247" s="1095"/>
      <c r="F247" s="1095"/>
      <c r="G247" s="1216">
        <f>'Non Current'!W7</f>
        <v>10866.9</v>
      </c>
      <c r="H247" s="1095"/>
      <c r="I247" s="1290">
        <f>+H247+G247</f>
        <v>10866.9</v>
      </c>
      <c r="J247" s="1095">
        <f t="shared" ref="J247:J253" si="93">+B247+G247</f>
        <v>280654.89999999997</v>
      </c>
      <c r="K247" s="1095">
        <f t="shared" ref="K247:K253" si="94">+C247+H247</f>
        <v>0</v>
      </c>
      <c r="L247" s="1290">
        <f t="shared" ref="L247:L253" si="95">SUM(J247:K247)</f>
        <v>280654.89999999997</v>
      </c>
    </row>
    <row r="248" spans="1:12" s="805" customFormat="1">
      <c r="A248" s="1095" t="s">
        <v>1854</v>
      </c>
      <c r="D248" s="1290">
        <f t="shared" ref="D248:D253" si="96">+B248+C248</f>
        <v>0</v>
      </c>
      <c r="E248" s="1095"/>
      <c r="F248" s="1095"/>
      <c r="G248" s="1216">
        <f>'Non Current'!W8</f>
        <v>9702.2223293101833</v>
      </c>
      <c r="H248" s="1095"/>
      <c r="I248" s="1290">
        <f>+H248+G248</f>
        <v>9702.2223293101833</v>
      </c>
      <c r="J248" s="1095">
        <f t="shared" si="93"/>
        <v>9702.2223293101833</v>
      </c>
      <c r="K248" s="1095">
        <f t="shared" si="94"/>
        <v>0</v>
      </c>
      <c r="L248" s="1290">
        <f t="shared" si="95"/>
        <v>9702.2223293101833</v>
      </c>
    </row>
    <row r="249" spans="1:12" s="805" customFormat="1">
      <c r="A249" s="1095" t="s">
        <v>1855</v>
      </c>
      <c r="D249" s="1290">
        <f t="shared" si="96"/>
        <v>0</v>
      </c>
      <c r="E249" s="1095"/>
      <c r="F249" s="1095"/>
      <c r="G249" s="1216"/>
      <c r="H249" s="1095"/>
      <c r="I249" s="1290">
        <f t="shared" ref="I249:I251" si="97">+H249+G249</f>
        <v>0</v>
      </c>
      <c r="J249" s="1095">
        <f t="shared" si="93"/>
        <v>0</v>
      </c>
      <c r="K249" s="1095">
        <f t="shared" si="94"/>
        <v>0</v>
      </c>
      <c r="L249" s="1290">
        <f t="shared" si="95"/>
        <v>0</v>
      </c>
    </row>
    <row r="250" spans="1:12" s="805" customFormat="1">
      <c r="A250" s="1095" t="s">
        <v>1856</v>
      </c>
      <c r="D250" s="1290">
        <f t="shared" si="96"/>
        <v>0</v>
      </c>
      <c r="E250" s="1095"/>
      <c r="F250" s="1095"/>
      <c r="G250" s="1216"/>
      <c r="H250" s="1095"/>
      <c r="I250" s="1290">
        <f t="shared" si="97"/>
        <v>0</v>
      </c>
      <c r="J250" s="1095">
        <f t="shared" si="93"/>
        <v>0</v>
      </c>
      <c r="K250" s="1095">
        <f t="shared" si="94"/>
        <v>0</v>
      </c>
      <c r="L250" s="1290">
        <f t="shared" si="95"/>
        <v>0</v>
      </c>
    </row>
    <row r="251" spans="1:12" s="805" customFormat="1">
      <c r="A251" s="1095" t="s">
        <v>1912</v>
      </c>
      <c r="D251" s="1290">
        <f t="shared" si="96"/>
        <v>0</v>
      </c>
      <c r="E251" s="1095"/>
      <c r="F251" s="1095"/>
      <c r="G251" s="1216"/>
      <c r="H251" s="1095"/>
      <c r="I251" s="1290">
        <f t="shared" si="97"/>
        <v>0</v>
      </c>
      <c r="J251" s="1095">
        <f t="shared" si="93"/>
        <v>0</v>
      </c>
      <c r="K251" s="1095">
        <f t="shared" si="94"/>
        <v>0</v>
      </c>
      <c r="L251" s="1290">
        <f t="shared" si="95"/>
        <v>0</v>
      </c>
    </row>
    <row r="252" spans="1:12" s="805" customFormat="1">
      <c r="A252" s="1095" t="s">
        <v>1902</v>
      </c>
      <c r="D252" s="1290">
        <f t="shared" si="96"/>
        <v>0</v>
      </c>
      <c r="E252" s="1095"/>
      <c r="F252" s="1095"/>
      <c r="G252" s="1216"/>
      <c r="H252" s="1095"/>
      <c r="I252" s="1290"/>
      <c r="J252" s="1095">
        <f t="shared" si="93"/>
        <v>0</v>
      </c>
      <c r="K252" s="1095">
        <f t="shared" si="94"/>
        <v>0</v>
      </c>
      <c r="L252" s="1290">
        <f t="shared" si="95"/>
        <v>0</v>
      </c>
    </row>
    <row r="253" spans="1:12" s="805" customFormat="1">
      <c r="A253" s="1095" t="s">
        <v>1901</v>
      </c>
      <c r="B253" s="805">
        <f>'Multiplier Pig Cost '!AU49</f>
        <v>0</v>
      </c>
      <c r="D253" s="1290">
        <f t="shared" si="96"/>
        <v>0</v>
      </c>
      <c r="E253" s="1095"/>
      <c r="F253" s="1095"/>
      <c r="G253" s="1216">
        <f>'Non Current'!W9</f>
        <v>0</v>
      </c>
      <c r="H253" s="1095"/>
      <c r="I253" s="1290">
        <f t="shared" ref="I253" si="98">+H253+G253</f>
        <v>0</v>
      </c>
      <c r="J253" s="1095">
        <f t="shared" si="93"/>
        <v>0</v>
      </c>
      <c r="K253" s="1095">
        <f t="shared" si="94"/>
        <v>0</v>
      </c>
      <c r="L253" s="1290">
        <f t="shared" si="95"/>
        <v>0</v>
      </c>
    </row>
    <row r="254" spans="1:12" s="805" customFormat="1">
      <c r="A254" s="1095" t="s">
        <v>1859</v>
      </c>
      <c r="B254" s="805">
        <f>'Multiplier Pig Cost '!AU48</f>
        <v>0</v>
      </c>
      <c r="D254" s="1290"/>
      <c r="E254" s="1095"/>
      <c r="F254" s="1095"/>
      <c r="G254" s="1216"/>
      <c r="H254" s="1095"/>
      <c r="I254" s="1290"/>
      <c r="J254" s="1095"/>
      <c r="K254" s="1095"/>
      <c r="L254" s="1290"/>
    </row>
    <row r="255" spans="1:12" s="805" customFormat="1">
      <c r="A255" s="1095" t="s">
        <v>1860</v>
      </c>
      <c r="D255" s="1290"/>
      <c r="E255" s="1095"/>
      <c r="F255" s="1095"/>
      <c r="G255" s="1216"/>
      <c r="H255" s="1095"/>
      <c r="I255" s="1290"/>
      <c r="J255" s="1095"/>
      <c r="K255" s="1095"/>
      <c r="L255" s="1290"/>
    </row>
    <row r="256" spans="1:12" s="805" customFormat="1">
      <c r="A256" s="1095" t="s">
        <v>1862</v>
      </c>
      <c r="D256" s="1290">
        <f t="shared" ref="D256:D257" si="99">+B256+C256</f>
        <v>0</v>
      </c>
      <c r="E256" s="1095"/>
      <c r="F256" s="1095"/>
      <c r="G256" s="1216">
        <f>'Non Current'!W15</f>
        <v>0</v>
      </c>
      <c r="H256" s="1095"/>
      <c r="I256" s="1290">
        <f t="shared" ref="I256:I257" si="100">+H256+G256</f>
        <v>0</v>
      </c>
      <c r="J256" s="1095">
        <f t="shared" ref="J256:J257" si="101">+B256+G256</f>
        <v>0</v>
      </c>
      <c r="K256" s="1095">
        <f t="shared" ref="K256:K257" si="102">+C256+H256</f>
        <v>0</v>
      </c>
      <c r="L256" s="1290">
        <f t="shared" ref="L256:L257" si="103">SUM(J256:K256)</f>
        <v>0</v>
      </c>
    </row>
    <row r="257" spans="1:12" s="805" customFormat="1">
      <c r="A257" s="1095" t="s">
        <v>1863</v>
      </c>
      <c r="D257" s="1290">
        <f t="shared" si="99"/>
        <v>0</v>
      </c>
      <c r="E257" s="1095"/>
      <c r="F257" s="1095"/>
      <c r="G257" s="1216"/>
      <c r="H257" s="1095"/>
      <c r="I257" s="1290">
        <f t="shared" si="100"/>
        <v>0</v>
      </c>
      <c r="J257" s="1095">
        <f t="shared" si="101"/>
        <v>0</v>
      </c>
      <c r="K257" s="1095">
        <f t="shared" si="102"/>
        <v>0</v>
      </c>
      <c r="L257" s="1290">
        <f t="shared" si="103"/>
        <v>0</v>
      </c>
    </row>
    <row r="258" spans="1:12" s="805" customFormat="1" ht="15.6">
      <c r="A258" s="1095" t="s">
        <v>71</v>
      </c>
      <c r="B258" s="1289">
        <f>SUM(B246:B257)</f>
        <v>732181.54162476864</v>
      </c>
      <c r="C258" s="805">
        <f>SUM(C246:C257)</f>
        <v>104578.48127036617</v>
      </c>
      <c r="D258" s="1289">
        <f>SUM(D246:D257)</f>
        <v>836760.02289513475</v>
      </c>
      <c r="E258" s="1095"/>
      <c r="F258" s="1095"/>
      <c r="G258" s="1291">
        <f>SUM(G246:G257)</f>
        <v>35871.584602266776</v>
      </c>
      <c r="H258" s="1291">
        <f>SUM(H246:H257)</f>
        <v>53861.534179764778</v>
      </c>
      <c r="I258" s="1291">
        <f>SUM(I246:I257)</f>
        <v>89733.118782031554</v>
      </c>
      <c r="J258" s="1289">
        <f t="shared" ref="J258:L258" si="104">SUM(J246:J257)</f>
        <v>768053.12622703542</v>
      </c>
      <c r="K258" s="1289">
        <f t="shared" si="104"/>
        <v>158440.01545013094</v>
      </c>
      <c r="L258" s="1289">
        <f t="shared" si="104"/>
        <v>926493.14167716634</v>
      </c>
    </row>
    <row r="259" spans="1:12" s="805" customFormat="1">
      <c r="A259" s="1095" t="s">
        <v>1888</v>
      </c>
      <c r="D259" s="1290">
        <f t="shared" ref="D259:D269" si="105">+C259+B259</f>
        <v>0</v>
      </c>
      <c r="E259" s="1095"/>
      <c r="F259" s="1095"/>
      <c r="G259" s="1216"/>
      <c r="H259" s="1095"/>
      <c r="I259" s="1290">
        <f t="shared" ref="I259:I273" si="106">+H259+G259</f>
        <v>0</v>
      </c>
      <c r="J259" s="1095">
        <f t="shared" ref="J259:J268" si="107">+B259+G259</f>
        <v>0</v>
      </c>
      <c r="K259" s="1095">
        <f>+C259+H259</f>
        <v>0</v>
      </c>
      <c r="L259" s="1290">
        <f>SUM(J259:K259)</f>
        <v>0</v>
      </c>
    </row>
    <row r="260" spans="1:12" s="805" customFormat="1">
      <c r="A260" s="1095" t="s">
        <v>169</v>
      </c>
      <c r="B260" s="805">
        <f>'Multiplier Pig Cost '!AU57</f>
        <v>-7932.9153290051909</v>
      </c>
      <c r="D260" s="1290">
        <f t="shared" si="105"/>
        <v>-7932.9153290051909</v>
      </c>
      <c r="E260" s="1095"/>
      <c r="F260" s="1095"/>
      <c r="G260" s="1216">
        <f>'Non Current'!W18</f>
        <v>0</v>
      </c>
      <c r="H260" s="1095"/>
      <c r="I260" s="1290">
        <f>+H260+G260</f>
        <v>0</v>
      </c>
      <c r="J260" s="1095">
        <f t="shared" si="107"/>
        <v>-7932.9153290051909</v>
      </c>
      <c r="K260" s="1095">
        <f t="shared" ref="K260:K269" si="108">+C260+H260</f>
        <v>0</v>
      </c>
      <c r="L260" s="1290">
        <f t="shared" ref="L260:L271" si="109">SUM(J260:K260)</f>
        <v>-7932.9153290051909</v>
      </c>
    </row>
    <row r="261" spans="1:12" s="805" customFormat="1">
      <c r="A261" s="1095" t="s">
        <v>229</v>
      </c>
      <c r="B261" s="805">
        <f>'Multiplier Pig Cost '!AU58</f>
        <v>0</v>
      </c>
      <c r="D261" s="1290">
        <f t="shared" si="105"/>
        <v>0</v>
      </c>
      <c r="E261" s="1095"/>
      <c r="F261" s="1095"/>
      <c r="G261" s="1216">
        <f>'Non Current'!W19</f>
        <v>0</v>
      </c>
      <c r="H261" s="1095"/>
      <c r="I261" s="1290">
        <f t="shared" si="106"/>
        <v>0</v>
      </c>
      <c r="J261" s="1095">
        <f t="shared" si="107"/>
        <v>0</v>
      </c>
      <c r="K261" s="1095">
        <f t="shared" si="108"/>
        <v>0</v>
      </c>
      <c r="L261" s="1290">
        <f t="shared" si="109"/>
        <v>0</v>
      </c>
    </row>
    <row r="262" spans="1:12" s="805" customFormat="1">
      <c r="A262" s="1095" t="s">
        <v>231</v>
      </c>
      <c r="B262" s="805">
        <f>'Multiplier Pig Cost '!AU59</f>
        <v>0</v>
      </c>
      <c r="D262" s="1290">
        <f t="shared" si="105"/>
        <v>0</v>
      </c>
      <c r="E262" s="1095"/>
      <c r="F262" s="1095"/>
      <c r="G262" s="1216">
        <f>'Non Current'!W20</f>
        <v>0</v>
      </c>
      <c r="H262" s="1095"/>
      <c r="I262" s="1290">
        <f t="shared" si="106"/>
        <v>0</v>
      </c>
      <c r="J262" s="1095">
        <f t="shared" si="107"/>
        <v>0</v>
      </c>
      <c r="K262" s="1095">
        <f t="shared" si="108"/>
        <v>0</v>
      </c>
      <c r="L262" s="1290">
        <f t="shared" si="109"/>
        <v>0</v>
      </c>
    </row>
    <row r="263" spans="1:12" s="805" customFormat="1">
      <c r="A263" s="1095" t="s">
        <v>232</v>
      </c>
      <c r="B263" s="805">
        <f>'Multiplier Pig Cost '!AU60</f>
        <v>0</v>
      </c>
      <c r="D263" s="1290">
        <f t="shared" si="105"/>
        <v>0</v>
      </c>
      <c r="E263" s="1095"/>
      <c r="F263" s="1095"/>
      <c r="G263" s="1216">
        <f>'Non Current'!W21</f>
        <v>0</v>
      </c>
      <c r="H263" s="1095"/>
      <c r="I263" s="1290">
        <f t="shared" si="106"/>
        <v>0</v>
      </c>
      <c r="J263" s="1095">
        <f t="shared" si="107"/>
        <v>0</v>
      </c>
      <c r="K263" s="1095">
        <f t="shared" si="108"/>
        <v>0</v>
      </c>
      <c r="L263" s="1290">
        <f t="shared" si="109"/>
        <v>0</v>
      </c>
    </row>
    <row r="264" spans="1:12" s="805" customFormat="1">
      <c r="A264" s="1095" t="s">
        <v>1801</v>
      </c>
      <c r="B264" s="805">
        <f>'Multiplier Pig Cost '!AU61</f>
        <v>-212792.03061722958</v>
      </c>
      <c r="D264" s="1290">
        <f t="shared" si="105"/>
        <v>-212792.03061722958</v>
      </c>
      <c r="E264" s="1095"/>
      <c r="F264" s="1095"/>
      <c r="G264" s="1216">
        <f>'Non Current'!W22</f>
        <v>-332.00544300754768</v>
      </c>
      <c r="H264" s="1095"/>
      <c r="I264" s="1290">
        <f>+H264+G264</f>
        <v>-332.00544300754768</v>
      </c>
      <c r="J264" s="1095">
        <f t="shared" si="107"/>
        <v>-213124.03606023712</v>
      </c>
      <c r="K264" s="1095">
        <f t="shared" si="108"/>
        <v>0</v>
      </c>
      <c r="L264" s="1290">
        <f t="shared" si="109"/>
        <v>-213124.03606023712</v>
      </c>
    </row>
    <row r="265" spans="1:12" s="805" customFormat="1">
      <c r="A265" s="1095" t="s">
        <v>1889</v>
      </c>
      <c r="D265" s="1290">
        <f t="shared" si="105"/>
        <v>0</v>
      </c>
      <c r="E265" s="1095"/>
      <c r="F265" s="1095"/>
      <c r="G265" s="1216">
        <f>'Non Current'!W25</f>
        <v>0</v>
      </c>
      <c r="H265" s="1095"/>
      <c r="I265" s="1290">
        <f t="shared" si="106"/>
        <v>0</v>
      </c>
      <c r="J265" s="1095">
        <f t="shared" si="107"/>
        <v>0</v>
      </c>
      <c r="K265" s="1095">
        <f t="shared" si="108"/>
        <v>0</v>
      </c>
      <c r="L265" s="1290">
        <f t="shared" si="109"/>
        <v>0</v>
      </c>
    </row>
    <row r="266" spans="1:12" s="805" customFormat="1">
      <c r="A266" s="1095" t="s">
        <v>1890</v>
      </c>
      <c r="D266" s="1290">
        <f t="shared" si="105"/>
        <v>0</v>
      </c>
      <c r="E266" s="1095"/>
      <c r="F266" s="1095"/>
      <c r="G266" s="1216"/>
      <c r="H266" s="1095"/>
      <c r="I266" s="1290">
        <f t="shared" si="106"/>
        <v>0</v>
      </c>
      <c r="J266" s="1095">
        <f t="shared" si="107"/>
        <v>0</v>
      </c>
      <c r="K266" s="1095">
        <f t="shared" si="108"/>
        <v>0</v>
      </c>
      <c r="L266" s="1290">
        <f t="shared" si="109"/>
        <v>0</v>
      </c>
    </row>
    <row r="267" spans="1:12" s="805" customFormat="1">
      <c r="A267" s="1095" t="s">
        <v>1913</v>
      </c>
      <c r="D267" s="1290">
        <f t="shared" si="105"/>
        <v>0</v>
      </c>
      <c r="E267" s="1095"/>
      <c r="F267" s="1095"/>
      <c r="G267" s="1216">
        <f>'Non Current'!W24</f>
        <v>0</v>
      </c>
      <c r="H267" s="1095"/>
      <c r="I267" s="1290">
        <f>+H267+G267</f>
        <v>0</v>
      </c>
      <c r="J267" s="1095">
        <f t="shared" si="107"/>
        <v>0</v>
      </c>
      <c r="K267" s="1095">
        <f t="shared" si="108"/>
        <v>0</v>
      </c>
      <c r="L267" s="1290">
        <f t="shared" si="109"/>
        <v>0</v>
      </c>
    </row>
    <row r="268" spans="1:12" s="805" customFormat="1">
      <c r="A268" s="1095" t="s">
        <v>1903</v>
      </c>
      <c r="D268" s="1290">
        <f t="shared" si="105"/>
        <v>0</v>
      </c>
      <c r="E268" s="1095"/>
      <c r="F268" s="1095"/>
      <c r="G268" s="1216">
        <f>'Non Current'!W23</f>
        <v>0</v>
      </c>
      <c r="H268" s="1095"/>
      <c r="I268" s="1290">
        <f>+H268+G268</f>
        <v>0</v>
      </c>
      <c r="J268" s="1095">
        <f t="shared" si="107"/>
        <v>0</v>
      </c>
      <c r="K268" s="1095">
        <f t="shared" si="108"/>
        <v>0</v>
      </c>
      <c r="L268" s="1290">
        <f t="shared" si="109"/>
        <v>0</v>
      </c>
    </row>
    <row r="269" spans="1:12" s="805" customFormat="1">
      <c r="A269" s="1095" t="s">
        <v>1904</v>
      </c>
      <c r="D269" s="1290">
        <f t="shared" si="105"/>
        <v>0</v>
      </c>
      <c r="E269" s="1095"/>
      <c r="F269" s="1095"/>
      <c r="G269" s="1216">
        <f>'Non Current'!W26</f>
        <v>0</v>
      </c>
      <c r="H269" s="1095"/>
      <c r="I269" s="1290">
        <f t="shared" si="106"/>
        <v>0</v>
      </c>
      <c r="J269" s="1095">
        <f>+B269+G269</f>
        <v>0</v>
      </c>
      <c r="K269" s="1095">
        <f t="shared" si="108"/>
        <v>0</v>
      </c>
      <c r="L269" s="1290">
        <f t="shared" si="109"/>
        <v>0</v>
      </c>
    </row>
    <row r="270" spans="1:12" s="805" customFormat="1">
      <c r="A270" s="1095" t="s">
        <v>1892</v>
      </c>
      <c r="B270" s="805">
        <f>'Multiplier Pig Cost '!AU46</f>
        <v>0</v>
      </c>
      <c r="D270" s="1290"/>
      <c r="E270" s="1095"/>
      <c r="F270" s="1095"/>
      <c r="G270" s="1216"/>
      <c r="H270" s="1095"/>
      <c r="I270" s="1290"/>
      <c r="J270" s="1095">
        <f t="shared" ref="J270:J271" si="110">+B270+G270</f>
        <v>0</v>
      </c>
      <c r="K270" s="1095"/>
      <c r="L270" s="1290">
        <f t="shared" si="109"/>
        <v>0</v>
      </c>
    </row>
    <row r="271" spans="1:12" s="805" customFormat="1">
      <c r="A271" s="1095" t="s">
        <v>1905</v>
      </c>
      <c r="D271" s="1290"/>
      <c r="E271" s="1095"/>
      <c r="F271" s="1095"/>
      <c r="G271" s="1216">
        <f>'Non Current'!W27</f>
        <v>0</v>
      </c>
      <c r="H271" s="1095"/>
      <c r="I271" s="1290">
        <f t="shared" si="106"/>
        <v>0</v>
      </c>
      <c r="J271" s="1095">
        <f t="shared" si="110"/>
        <v>0</v>
      </c>
      <c r="K271" s="1095"/>
      <c r="L271" s="1290">
        <f t="shared" si="109"/>
        <v>0</v>
      </c>
    </row>
    <row r="272" spans="1:12" s="805" customFormat="1">
      <c r="A272" s="1095" t="s">
        <v>1896</v>
      </c>
      <c r="B272" s="805">
        <f>'Multiplier Pig Cost '!AU53</f>
        <v>0</v>
      </c>
      <c r="D272" s="1290">
        <f>+C272+B272</f>
        <v>0</v>
      </c>
      <c r="E272" s="1095"/>
      <c r="F272" s="1095"/>
      <c r="G272" s="1216">
        <f>'Non Current'!W29</f>
        <v>0</v>
      </c>
      <c r="H272" s="1095"/>
      <c r="I272" s="1290">
        <f t="shared" si="106"/>
        <v>0</v>
      </c>
      <c r="J272" s="1095">
        <f t="shared" ref="J272:J275" si="111">+B272+G272</f>
        <v>0</v>
      </c>
      <c r="K272" s="1095">
        <f t="shared" ref="K272:K275" si="112">+C272+H272</f>
        <v>0</v>
      </c>
      <c r="L272" s="1290">
        <f t="shared" ref="L272:L275" si="113">SUM(J272:K272)</f>
        <v>0</v>
      </c>
    </row>
    <row r="273" spans="1:12" s="805" customFormat="1">
      <c r="A273" s="1095" t="s">
        <v>1897</v>
      </c>
      <c r="D273" s="1290">
        <f t="shared" ref="D273:D274" si="114">+C273+B273</f>
        <v>0</v>
      </c>
      <c r="E273" s="1095"/>
      <c r="F273" s="1095"/>
      <c r="G273" s="1216">
        <f>'Non Current'!W30</f>
        <v>-7109.3659887772856</v>
      </c>
      <c r="H273" s="1095"/>
      <c r="I273" s="1290">
        <f t="shared" si="106"/>
        <v>-7109.3659887772856</v>
      </c>
      <c r="J273" s="1095">
        <f t="shared" si="111"/>
        <v>-7109.3659887772856</v>
      </c>
      <c r="K273" s="1095">
        <f t="shared" si="112"/>
        <v>0</v>
      </c>
      <c r="L273" s="1290">
        <f t="shared" si="113"/>
        <v>-7109.3659887772856</v>
      </c>
    </row>
    <row r="274" spans="1:12" s="805" customFormat="1">
      <c r="A274" s="1095" t="s">
        <v>1898</v>
      </c>
      <c r="B274" s="805">
        <f>'Multiplier Pig Cost '!AU56</f>
        <v>-9702.2223293101833</v>
      </c>
      <c r="D274" s="1290">
        <f t="shared" si="114"/>
        <v>-9702.2223293101833</v>
      </c>
      <c r="E274" s="1095"/>
      <c r="F274" s="1095"/>
      <c r="G274" s="1216"/>
      <c r="H274" s="1095"/>
      <c r="I274" s="1290"/>
      <c r="J274" s="1095">
        <f t="shared" si="111"/>
        <v>-9702.2223293101833</v>
      </c>
      <c r="K274" s="1095">
        <f t="shared" si="112"/>
        <v>0</v>
      </c>
      <c r="L274" s="1290">
        <f t="shared" si="113"/>
        <v>-9702.2223293101833</v>
      </c>
    </row>
    <row r="275" spans="1:12" s="805" customFormat="1">
      <c r="A275" s="1095" t="s">
        <v>1875</v>
      </c>
      <c r="C275" s="805">
        <v>36143.861070509804</v>
      </c>
      <c r="D275" s="1290">
        <f>+C275+B275</f>
        <v>36143.861070509804</v>
      </c>
      <c r="E275" s="1095"/>
      <c r="F275" s="1095"/>
      <c r="G275" s="1216">
        <v>0</v>
      </c>
      <c r="H275" s="1095">
        <v>365.76008537703501</v>
      </c>
      <c r="I275" s="1290">
        <f>+H275+G275</f>
        <v>365.76008537703501</v>
      </c>
      <c r="J275" s="1095">
        <f t="shared" si="111"/>
        <v>0</v>
      </c>
      <c r="K275" s="1095">
        <f t="shared" si="112"/>
        <v>36509.621155886838</v>
      </c>
      <c r="L275" s="1290">
        <f t="shared" si="113"/>
        <v>36509.621155886838</v>
      </c>
    </row>
    <row r="276" spans="1:12" s="805" customFormat="1" ht="16.149999999999999" thickBot="1">
      <c r="A276" s="1213" t="s">
        <v>1876</v>
      </c>
      <c r="B276" s="1634">
        <f>SUM(B258:B275)</f>
        <v>501754.37334922364</v>
      </c>
      <c r="C276" s="1634">
        <f>SUM(C258:C275)</f>
        <v>140722.34234087597</v>
      </c>
      <c r="D276" s="1635">
        <f>SUM(D258:D275)</f>
        <v>642476.71569009963</v>
      </c>
      <c r="E276" s="1095"/>
      <c r="F276" s="1095"/>
      <c r="G276" s="1634">
        <f>SUM(G258:G275)</f>
        <v>28430.213170481944</v>
      </c>
      <c r="H276" s="1634">
        <f>SUM(H258:H275)</f>
        <v>54227.294265141813</v>
      </c>
      <c r="I276" s="1635">
        <f>SUM(I258:I275)</f>
        <v>82657.50743562376</v>
      </c>
      <c r="J276" s="1635">
        <f t="shared" ref="J276:L276" si="115">SUM(J258:J275)</f>
        <v>530184.58651970571</v>
      </c>
      <c r="K276" s="1635">
        <f t="shared" si="115"/>
        <v>194949.63660601777</v>
      </c>
      <c r="L276" s="1635">
        <f t="shared" si="115"/>
        <v>725134.22312572342</v>
      </c>
    </row>
    <row r="277" spans="1:12" s="805" customFormat="1" ht="16.149999999999999" thickBot="1">
      <c r="A277" s="1213"/>
      <c r="B277" s="1213"/>
      <c r="C277" s="1213">
        <v>0</v>
      </c>
      <c r="D277" s="1213">
        <f>SUM('Multiplier Valuation'!H42)</f>
        <v>814691.32084543072</v>
      </c>
      <c r="E277" s="1095"/>
      <c r="F277" s="1095"/>
      <c r="G277" s="1588">
        <f>SUM(G259:G276)</f>
        <v>20988.841738697112</v>
      </c>
      <c r="H277" s="1096">
        <v>2078</v>
      </c>
      <c r="I277" s="1290">
        <f>SUM('Multiplier Valuation'!H86:H90)</f>
        <v>59655</v>
      </c>
      <c r="J277" s="1213"/>
      <c r="K277" s="1213"/>
      <c r="L277" s="1213"/>
    </row>
    <row r="278" spans="1:12" s="805" customFormat="1" ht="16.149999999999999" thickBot="1">
      <c r="A278" s="1213"/>
      <c r="B278" s="1213"/>
      <c r="C278" s="1213"/>
      <c r="D278" s="1953">
        <f>+D276-D277</f>
        <v>-172214.60515533108</v>
      </c>
      <c r="E278" s="1095"/>
      <c r="F278" s="1095"/>
      <c r="G278" s="1216"/>
      <c r="H278" s="1095">
        <v>934</v>
      </c>
      <c r="I278" s="1290">
        <f>+I276-I277</f>
        <v>23002.50743562376</v>
      </c>
      <c r="J278" s="1213"/>
      <c r="K278" s="1213"/>
      <c r="L278" s="1213"/>
    </row>
    <row r="279" spans="1:12" s="805" customFormat="1" ht="15.6" thickBot="1">
      <c r="G279" s="1216"/>
      <c r="H279" s="1095"/>
      <c r="I279" s="1290"/>
    </row>
    <row r="280" spans="1:12" s="805" customFormat="1">
      <c r="A280" s="1580"/>
      <c r="B280" s="1093"/>
      <c r="C280" s="1093"/>
      <c r="D280" s="1581"/>
      <c r="E280" s="1580"/>
      <c r="F280" s="1093"/>
      <c r="G280" s="1580"/>
      <c r="H280" s="1093"/>
      <c r="I280" s="1581"/>
      <c r="J280" s="1093"/>
      <c r="K280" s="1093"/>
      <c r="L280" s="1581"/>
    </row>
    <row r="281" spans="1:12" s="805" customFormat="1" ht="15.6">
      <c r="A281" s="1583" t="s">
        <v>1914</v>
      </c>
      <c r="B281" s="1094" t="s">
        <v>199</v>
      </c>
      <c r="C281" s="1094" t="s">
        <v>1612</v>
      </c>
      <c r="D281" s="1582" t="s">
        <v>71</v>
      </c>
      <c r="E281" s="1216"/>
      <c r="F281" s="1095"/>
      <c r="G281" s="1353" t="s">
        <v>199</v>
      </c>
      <c r="H281" s="1094" t="s">
        <v>1612</v>
      </c>
      <c r="I281" s="1582" t="s">
        <v>71</v>
      </c>
      <c r="J281" s="1094" t="str">
        <f>+B281</f>
        <v>Cost</v>
      </c>
      <c r="K281" s="1213" t="str">
        <f>+C281</f>
        <v>Fair Value</v>
      </c>
      <c r="L281" s="1584" t="str">
        <f>+D281</f>
        <v>Total</v>
      </c>
    </row>
    <row r="282" spans="1:12" s="805" customFormat="1">
      <c r="A282" s="1216" t="s">
        <v>1836</v>
      </c>
      <c r="B282" s="1095">
        <f>+B7+B42+B76+B110+B144+B178+B212+B246</f>
        <v>7211494.8521762704</v>
      </c>
      <c r="C282" s="1095">
        <f>+C7+C42+C76+C110+C144+C178+C212+C246</f>
        <v>1550913.0046142903</v>
      </c>
      <c r="D282" s="1290">
        <f>SUM(B282:C282)</f>
        <v>8762407.8567905612</v>
      </c>
      <c r="E282" s="1216"/>
      <c r="F282" s="1095"/>
      <c r="G282" s="1216">
        <f>+G7+G42+G76+G110+G144+G178+G212+G246</f>
        <v>1332051.0211441938</v>
      </c>
      <c r="H282" s="1095">
        <f>+H7+H42+H76+H110+H144+H178+H212+H246</f>
        <v>1016857.6206202192</v>
      </c>
      <c r="I282" s="1216">
        <f>+I7+I42+I76+I110+I144+I178+I212+I246</f>
        <v>2348908.6417644131</v>
      </c>
      <c r="J282" s="1095">
        <f>+B282+G282</f>
        <v>8543545.873320464</v>
      </c>
      <c r="K282" s="1095">
        <f>+C282+H282</f>
        <v>2567770.6252345094</v>
      </c>
      <c r="L282" s="1290">
        <f>SUM(J282:K282)</f>
        <v>11111316.498554973</v>
      </c>
    </row>
    <row r="283" spans="1:12" s="805" customFormat="1">
      <c r="A283" s="1216" t="s">
        <v>1853</v>
      </c>
      <c r="B283" s="1095">
        <f>+B8+B43+B77+B111+B145+B179+B213+B247</f>
        <v>4891063.8</v>
      </c>
      <c r="C283" s="1095"/>
      <c r="D283" s="1290">
        <f t="shared" ref="D283:D288" si="116">SUM(B283:C283)</f>
        <v>4891063.8</v>
      </c>
      <c r="E283" s="1216"/>
      <c r="F283" s="1095"/>
      <c r="G283" s="1216">
        <f>+G8+G43+G77+G111+G145+G179+G213+G247</f>
        <v>130972.4</v>
      </c>
      <c r="H283" s="1095">
        <f>+H43+H8</f>
        <v>0</v>
      </c>
      <c r="I283" s="1290">
        <f>+I8+I43+I77+I111+I145+I179+I213+I247</f>
        <v>139713.4</v>
      </c>
      <c r="J283" s="1095">
        <f t="shared" ref="J283:J300" si="117">+B283+G283</f>
        <v>5022036.2</v>
      </c>
      <c r="K283" s="1095">
        <f t="shared" ref="K283:K288" si="118">+C283+H283</f>
        <v>0</v>
      </c>
      <c r="L283" s="1290">
        <f t="shared" ref="L283:L300" si="119">SUM(J283:K283)</f>
        <v>5022036.2</v>
      </c>
    </row>
    <row r="284" spans="1:12" s="805" customFormat="1">
      <c r="A284" s="1216" t="s">
        <v>1584</v>
      </c>
      <c r="B284" s="1095"/>
      <c r="C284" s="1095"/>
      <c r="D284" s="1290">
        <f t="shared" si="116"/>
        <v>0</v>
      </c>
      <c r="E284" s="1216"/>
      <c r="F284" s="1095"/>
      <c r="G284" s="1216">
        <v>0</v>
      </c>
      <c r="H284" s="1095">
        <v>0</v>
      </c>
      <c r="I284" s="1290">
        <f>+H284+G284</f>
        <v>0</v>
      </c>
      <c r="J284" s="1095">
        <f t="shared" si="117"/>
        <v>0</v>
      </c>
      <c r="K284" s="1095">
        <f t="shared" si="118"/>
        <v>0</v>
      </c>
      <c r="L284" s="1290">
        <f t="shared" si="119"/>
        <v>0</v>
      </c>
    </row>
    <row r="285" spans="1:12" s="805" customFormat="1">
      <c r="A285" s="1216" t="s">
        <v>1854</v>
      </c>
      <c r="B285" s="1095">
        <f>+B9+B44+B78+B112+B146+B180+B214+B248</f>
        <v>0</v>
      </c>
      <c r="C285" s="1095"/>
      <c r="D285" s="1290">
        <f t="shared" si="116"/>
        <v>0</v>
      </c>
      <c r="E285" s="1216"/>
      <c r="F285" s="1095"/>
      <c r="G285" s="1216">
        <f>+G9+G44+G78+G112+G146+G180+G214+G248</f>
        <v>15116.400571955703</v>
      </c>
      <c r="H285" s="1095"/>
      <c r="I285" s="1290">
        <f>+H285+G285</f>
        <v>15116.400571955703</v>
      </c>
      <c r="J285" s="1095">
        <f t="shared" si="117"/>
        <v>15116.400571955703</v>
      </c>
      <c r="K285" s="1095">
        <f t="shared" si="118"/>
        <v>0</v>
      </c>
      <c r="L285" s="1290">
        <f t="shared" si="119"/>
        <v>15116.400571955703</v>
      </c>
    </row>
    <row r="286" spans="1:12" s="805" customFormat="1">
      <c r="A286" s="1216" t="s">
        <v>1862</v>
      </c>
      <c r="B286" s="1095">
        <f>+B17+B52+B86+B120+B154+B188+B222+B256</f>
        <v>0</v>
      </c>
      <c r="C286" s="1095"/>
      <c r="D286" s="1290">
        <f t="shared" si="116"/>
        <v>0</v>
      </c>
      <c r="E286" s="1216"/>
      <c r="F286" s="1095"/>
      <c r="G286" s="1216">
        <f>+G17+G52+G86+G120+G154+G188+G222+G256</f>
        <v>1171.627486775812</v>
      </c>
      <c r="H286" s="1095"/>
      <c r="I286" s="1290">
        <f>+H286+G286</f>
        <v>1171.627486775812</v>
      </c>
      <c r="J286" s="1095">
        <f t="shared" si="117"/>
        <v>1171.627486775812</v>
      </c>
      <c r="K286" s="1095">
        <f t="shared" si="118"/>
        <v>0</v>
      </c>
      <c r="L286" s="1290">
        <f t="shared" si="119"/>
        <v>1171.627486775812</v>
      </c>
    </row>
    <row r="287" spans="1:12" s="805" customFormat="1">
      <c r="A287" s="1216" t="s">
        <v>1915</v>
      </c>
      <c r="B287" s="1095">
        <f>+B18+B53+B87+B121+B155+B189+B223+B257</f>
        <v>7603.2566669486241</v>
      </c>
      <c r="C287" s="1095"/>
      <c r="D287" s="1290">
        <f t="shared" si="116"/>
        <v>7603.2566669486241</v>
      </c>
      <c r="E287" s="1216"/>
      <c r="F287" s="1095"/>
      <c r="G287" s="1216">
        <f>+G18+G53+G87+G121+G155+G189+G223+G257</f>
        <v>0</v>
      </c>
      <c r="H287" s="1095"/>
      <c r="I287" s="1290">
        <f>+H287+G287</f>
        <v>0</v>
      </c>
      <c r="J287" s="1095">
        <f t="shared" si="117"/>
        <v>7603.2566669486241</v>
      </c>
      <c r="K287" s="1095"/>
      <c r="L287" s="1290">
        <f t="shared" si="119"/>
        <v>7603.2566669486241</v>
      </c>
    </row>
    <row r="288" spans="1:12" s="805" customFormat="1">
      <c r="A288" s="1216" t="s">
        <v>1916</v>
      </c>
      <c r="B288" s="1095">
        <f>SUM(B10:B16,B45:B51,B79:B85,B113:B118,B147:B153,B181:B187,B215:B221,B249:B255)</f>
        <v>123530.42984859996</v>
      </c>
      <c r="C288" s="1095"/>
      <c r="D288" s="1290">
        <f t="shared" si="116"/>
        <v>123530.42984859996</v>
      </c>
      <c r="E288" s="1216"/>
      <c r="F288" s="1095"/>
      <c r="G288" s="1216">
        <f>SUM(G10:G16,G45:G51,G79:G85,G113:G119,G147:G153,G181:G187,G215:G221,G249:G255)</f>
        <v>0</v>
      </c>
      <c r="H288" s="1095"/>
      <c r="I288" s="1290">
        <f>+H288+G288</f>
        <v>0</v>
      </c>
      <c r="J288" s="1095">
        <f t="shared" si="117"/>
        <v>123530.42984859996</v>
      </c>
      <c r="K288" s="1095">
        <f t="shared" si="118"/>
        <v>0</v>
      </c>
      <c r="L288" s="1290">
        <f>SUM(J288:K288)</f>
        <v>123530.42984859996</v>
      </c>
    </row>
    <row r="289" spans="1:13" s="805" customFormat="1" ht="15.6">
      <c r="A289" s="1292" t="s">
        <v>71</v>
      </c>
      <c r="B289" s="1286">
        <f>SUM(B282:B288)</f>
        <v>12233692.338691819</v>
      </c>
      <c r="C289" s="1286">
        <f>SUM(C282:C288)</f>
        <v>1550913.0046142903</v>
      </c>
      <c r="D289" s="1291">
        <f>SUM(D282:D288)</f>
        <v>13784605.343306111</v>
      </c>
      <c r="E289" s="1353">
        <f>SUM(E282:E288)</f>
        <v>0</v>
      </c>
      <c r="F289" s="1094">
        <f t="shared" ref="F289:I289" si="120">SUM(F282:F288)</f>
        <v>0</v>
      </c>
      <c r="G289" s="1292">
        <f>SUM(G282:G288)</f>
        <v>1479311.4492029252</v>
      </c>
      <c r="H289" s="1286">
        <f t="shared" si="120"/>
        <v>1016857.6206202192</v>
      </c>
      <c r="I289" s="1291">
        <f t="shared" si="120"/>
        <v>2504910.0698231445</v>
      </c>
      <c r="J289" s="1286">
        <f>SUM(J282:J288)</f>
        <v>13713003.787894744</v>
      </c>
      <c r="K289" s="1286">
        <f>SUM(K282:K288)</f>
        <v>2567770.6252345094</v>
      </c>
      <c r="L289" s="1291">
        <f>SUM(L282:L288)</f>
        <v>16280774.413129255</v>
      </c>
      <c r="M289" s="1097"/>
    </row>
    <row r="290" spans="1:13" s="805" customFormat="1">
      <c r="A290" s="1216" t="s">
        <v>1888</v>
      </c>
      <c r="B290" s="1095">
        <f>+B20+B55+B89+B123+B157+B191</f>
        <v>0</v>
      </c>
      <c r="C290" s="1095"/>
      <c r="D290" s="1290">
        <f>+B290+C290</f>
        <v>0</v>
      </c>
      <c r="E290" s="1216">
        <f>+E19+E54+E88+E156-E289</f>
        <v>0</v>
      </c>
      <c r="F290" s="1095">
        <f>+F19+F54+F88+F156-F289</f>
        <v>0</v>
      </c>
      <c r="G290" s="1216">
        <f>+G20+G55+G89+G123+G157+G191</f>
        <v>0</v>
      </c>
      <c r="H290" s="1095">
        <f>+H20+H55+H89+H123+H157+H191</f>
        <v>0</v>
      </c>
      <c r="I290" s="1290">
        <f t="shared" ref="I290:I297" si="121">+G290+H290</f>
        <v>0</v>
      </c>
      <c r="J290" s="1095">
        <f t="shared" si="117"/>
        <v>0</v>
      </c>
      <c r="K290" s="1095">
        <f t="shared" ref="K290:K300" si="122">+C290+H290</f>
        <v>0</v>
      </c>
      <c r="L290" s="1290">
        <f t="shared" si="119"/>
        <v>0</v>
      </c>
    </row>
    <row r="291" spans="1:13" s="805" customFormat="1">
      <c r="A291" s="1216" t="s">
        <v>169</v>
      </c>
      <c r="B291" s="1095">
        <f>+B21+B56+B90+B124+B158+B192+B226+B260</f>
        <v>-184734.28819697222</v>
      </c>
      <c r="C291" s="1095"/>
      <c r="D291" s="1290">
        <f>+B291+C291</f>
        <v>-184734.28819697222</v>
      </c>
      <c r="E291" s="1216"/>
      <c r="F291" s="1095"/>
      <c r="G291" s="1216">
        <f>+G21+G56+G90+G124+G158+G192+G226+G260</f>
        <v>-3818.0625945867987</v>
      </c>
      <c r="H291" s="1095">
        <f>+H57+H21</f>
        <v>0</v>
      </c>
      <c r="I291" s="1290">
        <f>+G291+H291</f>
        <v>-3818.0625945867987</v>
      </c>
      <c r="J291" s="1095">
        <f>+B291+G291</f>
        <v>-188552.35079155903</v>
      </c>
      <c r="K291" s="1095">
        <f t="shared" si="122"/>
        <v>0</v>
      </c>
      <c r="L291" s="1290">
        <f t="shared" si="119"/>
        <v>-188552.35079155903</v>
      </c>
    </row>
    <row r="292" spans="1:13" s="805" customFormat="1">
      <c r="A292" s="1216" t="s">
        <v>229</v>
      </c>
      <c r="B292" s="1095">
        <f>+B22+B57+B91+B125+B159+B193+B227</f>
        <v>-16494.664990118275</v>
      </c>
      <c r="C292" s="1095"/>
      <c r="D292" s="1290">
        <f>+B292+C292</f>
        <v>-16494.664990118275</v>
      </c>
      <c r="E292" s="1216"/>
      <c r="F292" s="1095"/>
      <c r="G292" s="1216">
        <f>+G22+G57+G91+G125+G159+G193+G227+G261</f>
        <v>-10292.168733233979</v>
      </c>
      <c r="H292" s="1095">
        <f>+H58+H22</f>
        <v>0</v>
      </c>
      <c r="I292" s="1290">
        <f>+G292+H292</f>
        <v>-10292.168733233979</v>
      </c>
      <c r="J292" s="1095">
        <f t="shared" si="117"/>
        <v>-26786.833723352254</v>
      </c>
      <c r="K292" s="1095">
        <f t="shared" si="122"/>
        <v>0</v>
      </c>
      <c r="L292" s="1290">
        <f t="shared" si="119"/>
        <v>-26786.833723352254</v>
      </c>
    </row>
    <row r="293" spans="1:13" s="805" customFormat="1">
      <c r="A293" s="1216" t="s">
        <v>231</v>
      </c>
      <c r="B293" s="1095">
        <f>+B23+B58+B92+B126+B160+B194+B228</f>
        <v>0</v>
      </c>
      <c r="C293" s="1095"/>
      <c r="D293" s="1290">
        <f t="shared" ref="D293:D299" si="123">+B293+C293</f>
        <v>0</v>
      </c>
      <c r="E293" s="1216"/>
      <c r="F293" s="1095"/>
      <c r="G293" s="1216">
        <f>+G23+G58+G92+G126+G160+G194</f>
        <v>0</v>
      </c>
      <c r="H293" s="1095"/>
      <c r="I293" s="1290">
        <f t="shared" si="121"/>
        <v>0</v>
      </c>
      <c r="J293" s="1095">
        <f t="shared" si="117"/>
        <v>0</v>
      </c>
      <c r="K293" s="1095">
        <f t="shared" si="122"/>
        <v>0</v>
      </c>
      <c r="L293" s="1290">
        <f t="shared" si="119"/>
        <v>0</v>
      </c>
    </row>
    <row r="294" spans="1:13" s="805" customFormat="1">
      <c r="A294" s="1216" t="s">
        <v>232</v>
      </c>
      <c r="B294" s="1095">
        <f>+B24+B59+B93+B127+B161+B195+B229</f>
        <v>-5586.6546073566951</v>
      </c>
      <c r="C294" s="1095"/>
      <c r="D294" s="1290">
        <f t="shared" si="123"/>
        <v>-5586.6546073566951</v>
      </c>
      <c r="E294" s="1216"/>
      <c r="F294" s="1095"/>
      <c r="G294" s="1216">
        <f>+G24+G59+G93+G127+G161+G195</f>
        <v>0</v>
      </c>
      <c r="H294" s="1095"/>
      <c r="I294" s="1290">
        <f t="shared" si="121"/>
        <v>0</v>
      </c>
      <c r="J294" s="1095">
        <f t="shared" si="117"/>
        <v>-5586.6546073566951</v>
      </c>
      <c r="K294" s="1095">
        <f t="shared" si="122"/>
        <v>0</v>
      </c>
      <c r="L294" s="1290">
        <f t="shared" si="119"/>
        <v>-5586.6546073566951</v>
      </c>
    </row>
    <row r="295" spans="1:13" s="805" customFormat="1">
      <c r="A295" s="1216" t="s">
        <v>1801</v>
      </c>
      <c r="B295" s="1095">
        <f>+B25+B60+B94+B128+B162+B196+B230+B264</f>
        <v>-4851857.3010258619</v>
      </c>
      <c r="C295" s="1095"/>
      <c r="D295" s="1290">
        <f t="shared" si="123"/>
        <v>-4851857.3010258619</v>
      </c>
      <c r="E295" s="1216"/>
      <c r="F295" s="1095"/>
      <c r="G295" s="1216">
        <f>+G25+G60+G94+G128+G162+G196</f>
        <v>-22246.603850127874</v>
      </c>
      <c r="H295" s="1095"/>
      <c r="I295" s="1290">
        <f t="shared" si="121"/>
        <v>-22246.603850127874</v>
      </c>
      <c r="J295" s="1095">
        <f t="shared" si="117"/>
        <v>-4874103.90487599</v>
      </c>
      <c r="K295" s="1095">
        <f t="shared" si="122"/>
        <v>0</v>
      </c>
      <c r="L295" s="1290">
        <f t="shared" si="119"/>
        <v>-4874103.90487599</v>
      </c>
    </row>
    <row r="296" spans="1:13" s="805" customFormat="1">
      <c r="A296" s="1216" t="s">
        <v>1917</v>
      </c>
      <c r="B296" s="1095">
        <f>+B35+B70+B104+B138+B172+B206+B240+B274</f>
        <v>-15116.400571955703</v>
      </c>
      <c r="C296" s="1095"/>
      <c r="D296" s="1290">
        <f t="shared" si="123"/>
        <v>-15116.400571955703</v>
      </c>
      <c r="E296" s="1216"/>
      <c r="F296" s="1095"/>
      <c r="G296" s="1216">
        <f>+G35+G70+G104+G138+G172+G206</f>
        <v>0</v>
      </c>
      <c r="H296" s="1095">
        <f>+H59+H26</f>
        <v>0</v>
      </c>
      <c r="I296" s="1290">
        <f t="shared" si="121"/>
        <v>0</v>
      </c>
      <c r="J296" s="1095">
        <f t="shared" si="117"/>
        <v>-15116.400571955703</v>
      </c>
      <c r="K296" s="1095">
        <f t="shared" si="122"/>
        <v>0</v>
      </c>
      <c r="L296" s="1290">
        <f t="shared" si="119"/>
        <v>-15116.400571955703</v>
      </c>
    </row>
    <row r="297" spans="1:13" s="805" customFormat="1">
      <c r="A297" s="1216" t="s">
        <v>1918</v>
      </c>
      <c r="B297" s="1095">
        <f>+B33+B68+B102+B136+B170+B204+B238+B272</f>
        <v>-1171.627486775812</v>
      </c>
      <c r="C297" s="1095"/>
      <c r="D297" s="1290">
        <f t="shared" si="123"/>
        <v>-1171.627486775812</v>
      </c>
      <c r="E297" s="1216"/>
      <c r="F297" s="1095"/>
      <c r="G297" s="1216">
        <f>+G33+G68+G102+G136+G170+G204+G238</f>
        <v>0</v>
      </c>
      <c r="H297" s="1095">
        <f>+H60+H27</f>
        <v>0</v>
      </c>
      <c r="I297" s="1290">
        <f t="shared" si="121"/>
        <v>0</v>
      </c>
      <c r="J297" s="1095">
        <f t="shared" si="117"/>
        <v>-1171.627486775812</v>
      </c>
      <c r="K297" s="1095">
        <f t="shared" si="122"/>
        <v>0</v>
      </c>
      <c r="L297" s="1290">
        <f t="shared" si="119"/>
        <v>-1171.627486775812</v>
      </c>
    </row>
    <row r="298" spans="1:13" s="805" customFormat="1">
      <c r="A298" s="1216" t="s">
        <v>1919</v>
      </c>
      <c r="B298" s="1095">
        <f>+B34+B69+B103+B137+B171+B205+B239+B273</f>
        <v>1844.4202548464386</v>
      </c>
      <c r="C298" s="1095"/>
      <c r="D298" s="1290">
        <f t="shared" si="123"/>
        <v>1844.4202548464386</v>
      </c>
      <c r="E298" s="1216"/>
      <c r="F298" s="1095"/>
      <c r="G298" s="1216">
        <f>+G34+G69+G103+G137+G171+G205+G239+G273</f>
        <v>-16557.042910572349</v>
      </c>
      <c r="H298" s="1095"/>
      <c r="I298" s="1290">
        <f t="shared" ref="I298" si="124">+G298+H298</f>
        <v>-16557.042910572349</v>
      </c>
      <c r="J298" s="1095">
        <f t="shared" si="117"/>
        <v>-14712.622655725911</v>
      </c>
      <c r="K298" s="1095">
        <f t="shared" si="122"/>
        <v>0</v>
      </c>
      <c r="L298" s="1290">
        <f t="shared" si="119"/>
        <v>-14712.622655725911</v>
      </c>
    </row>
    <row r="299" spans="1:13" s="805" customFormat="1">
      <c r="A299" s="1216" t="s">
        <v>1920</v>
      </c>
      <c r="B299" s="1095">
        <f>SUM(B26:B31,B61:B66,B95:B100,B129:B134,B163:B168,B197:B202,B231:B236,B265:B271)</f>
        <v>-123530.42984859996</v>
      </c>
      <c r="C299" s="1095"/>
      <c r="D299" s="1290">
        <f t="shared" si="123"/>
        <v>-123530.42984859996</v>
      </c>
      <c r="E299" s="1216"/>
      <c r="F299" s="1095"/>
      <c r="G299" s="1216">
        <f>SUM(G26:G31,G61:G65,G95:G99,G129:G133,G163:G167,G197:G203,G231:G237,G265:G271)</f>
        <v>0</v>
      </c>
      <c r="H299" s="1095"/>
      <c r="I299" s="1290">
        <f>+G299+H299</f>
        <v>0</v>
      </c>
      <c r="J299" s="1095">
        <f t="shared" si="117"/>
        <v>-123530.42984859996</v>
      </c>
      <c r="K299" s="1095">
        <f t="shared" si="122"/>
        <v>0</v>
      </c>
      <c r="L299" s="1290">
        <f t="shared" si="119"/>
        <v>-123530.42984859996</v>
      </c>
    </row>
    <row r="300" spans="1:13" s="805" customFormat="1">
      <c r="A300" s="1216" t="s">
        <v>1875</v>
      </c>
      <c r="B300" s="1095">
        <f>+B241+B207</f>
        <v>0</v>
      </c>
      <c r="C300" s="1095">
        <f>+C36+C71+C105+C139+C173+C207+C241+C275</f>
        <v>-86699.399703291157</v>
      </c>
      <c r="D300" s="1290">
        <f>+B300+C300</f>
        <v>-86699.399703291157</v>
      </c>
      <c r="E300" s="1216"/>
      <c r="F300" s="1095"/>
      <c r="G300" s="1216">
        <f>+G275+G173</f>
        <v>0</v>
      </c>
      <c r="H300" s="1095">
        <f>+H105+H71+H36+H173+H207+H241+H275</f>
        <v>4639.3738858629786</v>
      </c>
      <c r="I300" s="1290">
        <f>+G300+H300</f>
        <v>4639.3738858629786</v>
      </c>
      <c r="J300" s="1095">
        <f t="shared" si="117"/>
        <v>0</v>
      </c>
      <c r="K300" s="1095">
        <f t="shared" si="122"/>
        <v>-82060.025817428177</v>
      </c>
      <c r="L300" s="1290">
        <f t="shared" si="119"/>
        <v>-82060.025817428177</v>
      </c>
    </row>
    <row r="301" spans="1:13" s="805" customFormat="1" ht="16.149999999999999" thickBot="1">
      <c r="A301" s="1586" t="s">
        <v>1876</v>
      </c>
      <c r="B301" s="1096">
        <f>SUM(B289:B300)</f>
        <v>7037045.3922190256</v>
      </c>
      <c r="C301" s="1096">
        <f>SUM(C289:C300)</f>
        <v>1464213.6049109991</v>
      </c>
      <c r="D301" s="1587">
        <f>SUM(D289:D300)</f>
        <v>8501258.997130027</v>
      </c>
      <c r="E301" s="1692">
        <f>+D301</f>
        <v>8501258.997130027</v>
      </c>
      <c r="F301" s="1103"/>
      <c r="G301" s="1588">
        <f>SUM(G289:G300)</f>
        <v>1426397.5711144041</v>
      </c>
      <c r="H301" s="1096">
        <f>SUM(H289:H300)</f>
        <v>1021496.9945060821</v>
      </c>
      <c r="I301" s="1587">
        <f>SUM(I289:I300)</f>
        <v>2456635.5656204866</v>
      </c>
      <c r="J301" s="1096">
        <f t="shared" ref="J301:L301" si="125">SUM(J289:J300)</f>
        <v>8463442.9633334298</v>
      </c>
      <c r="K301" s="1096">
        <f t="shared" si="125"/>
        <v>2485710.5994170811</v>
      </c>
      <c r="L301" s="1587">
        <f t="shared" si="125"/>
        <v>10949153.562750513</v>
      </c>
      <c r="M301" s="1097"/>
    </row>
    <row r="302" spans="1:13" s="805" customFormat="1">
      <c r="A302" s="805">
        <f>+'Triple C Pigs'!AV63</f>
        <v>14760095.80319399</v>
      </c>
      <c r="B302" s="805">
        <f>+B37+B72+B106+B140+B174+B208+B242+B276</f>
        <v>7037045.3922190256</v>
      </c>
      <c r="C302" s="805">
        <f>+C37+C72+C106+C140+C174+C208+C242+C276</f>
        <v>1464213.6049109993</v>
      </c>
      <c r="D302" s="805">
        <f>+D37+D72+D106+D140+D174+D208+D243+D276</f>
        <v>9276297.4025010392</v>
      </c>
      <c r="E302" s="807">
        <f>+D174+D106+D72+D37+D208+D140+D242+D276</f>
        <v>8501258.9971300252</v>
      </c>
      <c r="F302" s="805">
        <f>+F37+F72+F106+F174</f>
        <v>5.0435340672265738E-3</v>
      </c>
      <c r="G302" s="805">
        <f>+G37+G72+G106+G174+G242+G276</f>
        <v>1421583.4921907948</v>
      </c>
      <c r="H302" s="805">
        <f>+H37+H72+H106+H174</f>
        <v>879478.66183572751</v>
      </c>
      <c r="I302" s="805">
        <f>+I37+I72+I106+I174+I208+I242+I276</f>
        <v>2451918.5046692286</v>
      </c>
      <c r="J302" s="805">
        <f>+B302+G302</f>
        <v>8458628.8844098207</v>
      </c>
      <c r="K302" s="805">
        <f>+C302+H302</f>
        <v>2343692.2667467268</v>
      </c>
      <c r="L302" s="805">
        <f>+D302+I302</f>
        <v>11728215.907170268</v>
      </c>
    </row>
    <row r="303" spans="1:13" s="805" customFormat="1" ht="15.6" thickBot="1">
      <c r="B303" s="805">
        <f>+B301-B302</f>
        <v>0</v>
      </c>
      <c r="C303" s="805">
        <v>0</v>
      </c>
      <c r="D303" s="805">
        <f>+D301-D302</f>
        <v>-775038.40537101217</v>
      </c>
      <c r="E303" s="805">
        <f t="shared" ref="E303:L303" si="126">+E301-E302</f>
        <v>0</v>
      </c>
      <c r="F303" s="805">
        <f t="shared" si="126"/>
        <v>-5.0435340672265738E-3</v>
      </c>
      <c r="G303" s="805">
        <f>+G301-G302</f>
        <v>4814.0789236093406</v>
      </c>
      <c r="H303" s="805">
        <f t="shared" si="126"/>
        <v>142018.33267035463</v>
      </c>
      <c r="I303" s="805">
        <f t="shared" si="126"/>
        <v>4717.0609512580559</v>
      </c>
      <c r="J303" s="805">
        <f t="shared" si="126"/>
        <v>4814.0789236091077</v>
      </c>
      <c r="K303" s="805">
        <f t="shared" si="126"/>
        <v>142018.33267035428</v>
      </c>
      <c r="L303" s="805">
        <f t="shared" si="126"/>
        <v>-779062.34441975504</v>
      </c>
    </row>
    <row r="304" spans="1:13" s="805" customFormat="1" ht="15.6">
      <c r="A304" s="1591" t="s">
        <v>166</v>
      </c>
      <c r="B304" s="1093"/>
      <c r="C304" s="1093"/>
      <c r="D304" s="1093"/>
      <c r="E304" s="1093"/>
      <c r="F304" s="1093"/>
      <c r="G304" s="1093"/>
      <c r="H304" s="1093"/>
      <c r="I304" s="1581"/>
      <c r="J304" s="1095"/>
      <c r="K304" s="1095"/>
    </row>
    <row r="305" spans="1:33" s="805" customFormat="1" ht="15.6">
      <c r="A305" s="1353" t="s">
        <v>1921</v>
      </c>
      <c r="B305" s="1095"/>
      <c r="C305" s="1095"/>
      <c r="D305" s="1095"/>
      <c r="E305" s="1095"/>
      <c r="F305" s="1095"/>
      <c r="G305" s="1095"/>
      <c r="H305" s="1095"/>
      <c r="I305" s="1290"/>
      <c r="J305" s="1095"/>
      <c r="K305" s="1095"/>
    </row>
    <row r="306" spans="1:33" s="805" customFormat="1">
      <c r="A306" s="1216" t="s">
        <v>1666</v>
      </c>
      <c r="B306" s="1095"/>
      <c r="C306" s="1095"/>
      <c r="D306" s="1693">
        <f>+D301</f>
        <v>8501258.997130027</v>
      </c>
      <c r="E306" s="1693"/>
      <c r="F306" s="1693"/>
      <c r="G306" s="1693">
        <f>SUM('Grasmere Valuation '!H9:H40,'Lionhead Valuation'!H9:H41,'Lionhead Ext. Valuation'!H9:H41,'Villa Valuation'!H9:H41,'Richlands Valuation'!H9:H41,'Learig Valuation'!H9:H44,'Porta Valuation'!H9:H41,'Multiplier Valuation'!H9:H41)</f>
        <v>12839822.501256013</v>
      </c>
      <c r="H306" s="1693">
        <f>+D306-G306</f>
        <v>-4338563.5041259862</v>
      </c>
      <c r="I306" s="1290"/>
      <c r="J306" s="1095"/>
      <c r="K306" s="1095"/>
    </row>
    <row r="307" spans="1:33" s="805" customFormat="1">
      <c r="A307" s="1216" t="s">
        <v>202</v>
      </c>
      <c r="B307" s="1095"/>
      <c r="C307" s="1095"/>
      <c r="D307" s="1693">
        <f>+'Cattle Valuation'!G21</f>
        <v>48511.464</v>
      </c>
      <c r="E307" s="1693"/>
      <c r="F307" s="1693"/>
      <c r="G307" s="1693">
        <f>+D307</f>
        <v>48511.464</v>
      </c>
      <c r="H307" s="1693">
        <f>+D307-G307</f>
        <v>0</v>
      </c>
      <c r="I307" s="1290"/>
      <c r="J307" s="1095"/>
      <c r="K307" s="1095"/>
    </row>
    <row r="308" spans="1:33" s="805" customFormat="1" ht="16.149999999999999" thickBot="1">
      <c r="A308" s="1353" t="s">
        <v>71</v>
      </c>
      <c r="B308" s="1094"/>
      <c r="C308" s="1094"/>
      <c r="D308" s="1694">
        <f>SUM(D306:D307)</f>
        <v>8549770.4611300267</v>
      </c>
      <c r="E308" s="1695">
        <f>'[87]Bio Assets USD New'!$L$38+'[87]Bio Assets USD New'!$L$53</f>
        <v>8270281.4414624777</v>
      </c>
      <c r="F308" s="1695">
        <f>E308-D308</f>
        <v>-279489.01966754906</v>
      </c>
      <c r="G308" s="1694">
        <f>SUM(G306:G307)</f>
        <v>12888333.965256013</v>
      </c>
      <c r="H308" s="1695">
        <f>+D308-G308</f>
        <v>-4338563.5041259862</v>
      </c>
      <c r="I308" s="1582"/>
      <c r="J308" s="1094"/>
      <c r="K308" s="1094"/>
      <c r="L308" s="1097"/>
      <c r="M308" s="1097"/>
    </row>
    <row r="309" spans="1:33" s="805" customFormat="1" ht="15.6">
      <c r="A309" s="1353" t="s">
        <v>1922</v>
      </c>
      <c r="B309" s="1095"/>
      <c r="C309" s="1095"/>
      <c r="D309" s="1693"/>
      <c r="E309" s="1693"/>
      <c r="F309" s="1693"/>
      <c r="G309" s="1693"/>
      <c r="H309" s="1693"/>
      <c r="I309" s="1290"/>
      <c r="J309" s="1095"/>
      <c r="K309" s="1095"/>
    </row>
    <row r="310" spans="1:33" s="805" customFormat="1">
      <c r="A310" s="1216" t="s">
        <v>1923</v>
      </c>
      <c r="B310" s="1095"/>
      <c r="C310" s="1095"/>
      <c r="D310" s="1761">
        <f>I302</f>
        <v>2451918.5046692286</v>
      </c>
      <c r="E310" s="1693"/>
      <c r="F310" s="1693"/>
      <c r="G310" s="807">
        <f>SUM('Grasmere Valuation '!H41:H44,'Learig Valuation'!H41:H44,'Lionhead Valuation'!H55:H60,'Lionhead Ext. Valuation'!H43:H49,'Villa Valuation'!H43:H49,'Richlands Valuation'!H81:H87,'Porta Valuation'!H82:H86,'Multiplier Valuation'!H86:H90)</f>
        <v>2156497.5</v>
      </c>
      <c r="H310" s="1761">
        <f>+D310-G310</f>
        <v>295421.00466922857</v>
      </c>
      <c r="I310" s="1290"/>
      <c r="J310" s="1095"/>
      <c r="K310" s="1095"/>
      <c r="Z310" s="805" t="s">
        <v>1924</v>
      </c>
      <c r="AA310" s="805">
        <f>SUM(F330:M330)</f>
        <v>-5061155.6351089068</v>
      </c>
    </row>
    <row r="311" spans="1:33" s="805" customFormat="1">
      <c r="A311" s="1860" t="s">
        <v>1925</v>
      </c>
      <c r="B311" s="1095"/>
      <c r="C311" s="1095"/>
      <c r="D311" s="1761">
        <f>+'[29]Bio Assets USD New'!$C$23</f>
        <v>1229436.667175421</v>
      </c>
      <c r="E311" s="1693"/>
      <c r="F311" s="1693"/>
      <c r="G311" s="1693">
        <f>D311</f>
        <v>1229436.667175421</v>
      </c>
      <c r="H311" s="1693">
        <f>+D311-G311</f>
        <v>0</v>
      </c>
      <c r="I311" s="1290"/>
      <c r="J311" s="1095"/>
      <c r="K311" s="1095"/>
      <c r="Z311" s="805" t="s">
        <v>1926</v>
      </c>
      <c r="AA311" s="805">
        <f>SUM(F329:O329,P333)</f>
        <v>-64025.850884608975</v>
      </c>
    </row>
    <row r="312" spans="1:33" s="805" customFormat="1">
      <c r="A312" s="1860" t="s">
        <v>1927</v>
      </c>
      <c r="B312" s="1095"/>
      <c r="C312" s="1095"/>
      <c r="D312" s="1693">
        <v>0</v>
      </c>
      <c r="E312" s="1693"/>
      <c r="F312" s="1693"/>
      <c r="G312" s="1693">
        <v>0</v>
      </c>
      <c r="H312" s="1693">
        <f>+D312-G312</f>
        <v>0</v>
      </c>
      <c r="I312" s="1290"/>
      <c r="J312" s="1095"/>
      <c r="K312" s="1095"/>
      <c r="AA312" s="805">
        <f>SUM(AA310:AA311)</f>
        <v>-5125181.4859935157</v>
      </c>
    </row>
    <row r="313" spans="1:33" s="805" customFormat="1" ht="16.149999999999999" thickBot="1">
      <c r="A313" s="1353" t="s">
        <v>71</v>
      </c>
      <c r="B313" s="1094"/>
      <c r="C313" s="1094"/>
      <c r="D313" s="1694">
        <f>SUM(D310:D312)-C303</f>
        <v>3681355.1718446496</v>
      </c>
      <c r="E313" s="1695">
        <f>D313-'[87]Bio Assets USD New'!$N$13-'[87]Bio Assets USD New'!$N$23</f>
        <v>631464.29363452643</v>
      </c>
      <c r="F313" s="1695"/>
      <c r="G313" s="1694">
        <f>SUM(G310:G312)-C303</f>
        <v>3385934.167175421</v>
      </c>
      <c r="H313" s="1695">
        <f>+D313-G313</f>
        <v>295421.00466922857</v>
      </c>
      <c r="I313" s="1582"/>
      <c r="J313" s="1094"/>
      <c r="K313" s="1094"/>
      <c r="L313" s="1097"/>
      <c r="M313" s="1097"/>
      <c r="Q313" s="805" t="s">
        <v>1928</v>
      </c>
    </row>
    <row r="314" spans="1:33" s="805" customFormat="1">
      <c r="A314" s="1216"/>
      <c r="B314" s="1095"/>
      <c r="C314" s="1095"/>
      <c r="D314" s="1693"/>
      <c r="E314" s="1693"/>
      <c r="F314" s="1693"/>
      <c r="G314" s="1693"/>
      <c r="H314" s="1693"/>
      <c r="I314" s="1290"/>
      <c r="J314" s="1095"/>
      <c r="K314" s="1095"/>
    </row>
    <row r="315" spans="1:33" s="805" customFormat="1" ht="16.149999999999999" thickBot="1">
      <c r="A315" s="1586" t="s">
        <v>1929</v>
      </c>
      <c r="B315" s="1103"/>
      <c r="C315" s="1103"/>
      <c r="D315" s="1694">
        <f>+D313+D308</f>
        <v>12231125.632974677</v>
      </c>
      <c r="E315" s="1696"/>
      <c r="F315" s="1696"/>
      <c r="G315" s="1696">
        <f>SUM(G308+G313)</f>
        <v>16274268.132431434</v>
      </c>
      <c r="H315" s="1696">
        <f>+D315-G315</f>
        <v>-4043142.4994567577</v>
      </c>
      <c r="I315" s="1597"/>
      <c r="J315" s="1094">
        <f>G315-R335</f>
        <v>4024544.3738391045</v>
      </c>
      <c r="K315" s="1094"/>
      <c r="L315" s="1097"/>
      <c r="M315" s="1097"/>
    </row>
    <row r="316" spans="1:33" s="805" customFormat="1">
      <c r="B316" s="805" t="s">
        <v>1930</v>
      </c>
      <c r="D316" s="1751">
        <f>'[29]Bio Assets USD New'!$C$13+'[29]Bio Assets USD New'!$C$23+'[29]Bio Assets USD New'!$C$38+'[29]Bio Assets USD New'!$C$53</f>
        <v>11497803.885657806</v>
      </c>
      <c r="H316" s="807">
        <f>+D317-H315</f>
        <v>4776464.2467736285</v>
      </c>
    </row>
    <row r="317" spans="1:33" s="805" customFormat="1">
      <c r="D317" s="805">
        <f>+D315-D316</f>
        <v>733321.74731687084</v>
      </c>
      <c r="J317" s="805">
        <f>J315-H316</f>
        <v>-751919.87293452397</v>
      </c>
      <c r="M317" s="805">
        <f>SUM(N317:R317)</f>
        <v>8549770.4611300249</v>
      </c>
      <c r="N317" s="805">
        <f>B301</f>
        <v>7037045.3922190256</v>
      </c>
      <c r="Q317" s="805">
        <f>C301</f>
        <v>1464213.6049109991</v>
      </c>
      <c r="R317" s="805">
        <f>G307</f>
        <v>48511.464</v>
      </c>
      <c r="Z317" s="805" t="s">
        <v>1841</v>
      </c>
      <c r="AA317" s="805">
        <v>0</v>
      </c>
    </row>
    <row r="318" spans="1:33" s="805" customFormat="1">
      <c r="C318" s="805" t="s">
        <v>138</v>
      </c>
      <c r="D318" s="807"/>
      <c r="I318" s="805" t="s">
        <v>1931</v>
      </c>
      <c r="L318" s="805" t="s">
        <v>138</v>
      </c>
      <c r="M318" s="805">
        <f>SUM(N318:R318)</f>
        <v>1284379.2384440494</v>
      </c>
      <c r="N318" s="805">
        <f>G301</f>
        <v>1426397.5711144041</v>
      </c>
      <c r="Q318" s="805">
        <f>-H303</f>
        <v>-142018.33267035463</v>
      </c>
      <c r="Z318" s="805" t="s">
        <v>1932</v>
      </c>
      <c r="AA318" s="805">
        <f>SUM(F331:P332,N334,N333)</f>
        <v>-110128.36992926995</v>
      </c>
      <c r="AC318" s="805">
        <f>+AA318-'[29]Bio Assets USD New'!$C$56</f>
        <v>-706.84798216627678</v>
      </c>
    </row>
    <row r="319" spans="1:33" s="805" customFormat="1">
      <c r="D319" s="807"/>
      <c r="L319" s="805" t="s">
        <v>1726</v>
      </c>
      <c r="M319" s="805">
        <f>R333+R334</f>
        <v>1231059.5370748357</v>
      </c>
    </row>
    <row r="320" spans="1:33" s="805" customFormat="1">
      <c r="M320" s="805">
        <f>SUM(M317:M319)</f>
        <v>11065209.23664891</v>
      </c>
      <c r="AG320" s="805">
        <v>-2483.4564381675445</v>
      </c>
    </row>
    <row r="321" spans="1:28" s="805" customFormat="1"/>
    <row r="322" spans="1:28" s="805" customFormat="1" ht="15.6">
      <c r="B322" s="1102" t="s">
        <v>199</v>
      </c>
      <c r="C322" s="1102" t="s">
        <v>1612</v>
      </c>
      <c r="D322" s="1102" t="s">
        <v>71</v>
      </c>
      <c r="E322" s="1102"/>
      <c r="F322" s="1102"/>
      <c r="G322" s="1102" t="str">
        <f>+B322</f>
        <v>Cost</v>
      </c>
      <c r="H322" s="1102" t="str">
        <f>+C322</f>
        <v>Fair Value</v>
      </c>
      <c r="I322" s="1102" t="str">
        <f>+D322</f>
        <v>Total</v>
      </c>
      <c r="J322" s="1102"/>
      <c r="M322" s="805">
        <f>D310-M318</f>
        <v>1167539.2662251792</v>
      </c>
    </row>
    <row r="323" spans="1:28" s="805" customFormat="1" ht="15.6">
      <c r="A323" s="1102" t="s">
        <v>1933</v>
      </c>
      <c r="B323" s="805">
        <f>+B7+B42+B76+B110+B144+B178</f>
        <v>5517164.0420319596</v>
      </c>
      <c r="C323" s="805">
        <f>+C7+C42+C76+C144+C178+C110</f>
        <v>1100353.1994513241</v>
      </c>
      <c r="D323" s="805">
        <f>+D7+D42+D76+D144+D178+D110</f>
        <v>6617517.2414832842</v>
      </c>
      <c r="G323" s="805">
        <f>+G7+G42+G76+G144+G110</f>
        <v>1137455.0245711568</v>
      </c>
      <c r="H323" s="805">
        <f>+H7+I42+I76+I144</f>
        <v>1692050.9732895885</v>
      </c>
      <c r="I323" s="805">
        <f>+I7+I42+I76+I144</f>
        <v>2017414.5579222087</v>
      </c>
      <c r="J323" s="805">
        <f>+D323+I323</f>
        <v>8634931.7994054928</v>
      </c>
    </row>
    <row r="324" spans="1:28" s="805" customFormat="1" ht="15.6">
      <c r="A324" s="1102" t="s">
        <v>1934</v>
      </c>
      <c r="B324" s="1095">
        <f>'[88]Total Pigs'!$B$208</f>
        <v>3892507.2531628967</v>
      </c>
      <c r="C324" s="1095">
        <f>'[88]Total Pigs'!$C$208</f>
        <v>638983.91068783018</v>
      </c>
      <c r="D324" s="1095">
        <f>'[88]Total Pigs'!$D$208</f>
        <v>4531491.1638507266</v>
      </c>
      <c r="G324" s="1095">
        <f>'[89]Total Pigs'!$G$208</f>
        <v>1091680.8782030263</v>
      </c>
      <c r="H324" s="1095">
        <f>'[89]Total Pigs'!$H$208</f>
        <v>484761.63252658694</v>
      </c>
      <c r="I324" s="1095">
        <f>'[89]Total Pigs'!$I$208</f>
        <v>1563418.5450643778</v>
      </c>
      <c r="J324" s="1095">
        <f>+'[76]Total Pigs'!L208</f>
        <v>3972227849.3107519</v>
      </c>
      <c r="M324" s="805">
        <f>SUM(M320:M322)</f>
        <v>12232748.502874089</v>
      </c>
      <c r="N324" s="805">
        <f>M324-Q336</f>
        <v>734944.61721628346</v>
      </c>
      <c r="Q324" s="805">
        <f>Q336</f>
        <v>11497803.885657806</v>
      </c>
      <c r="R324" s="805">
        <v>4854.812835028948</v>
      </c>
    </row>
    <row r="325" spans="1:28" s="805" customFormat="1">
      <c r="B325" s="805">
        <f>+B323-B324</f>
        <v>1624656.7888690629</v>
      </c>
      <c r="C325" s="805">
        <f t="shared" ref="C325:H325" si="127">+C323-C324</f>
        <v>461369.28876349388</v>
      </c>
      <c r="D325" s="805">
        <f t="shared" si="127"/>
        <v>2086026.0776325576</v>
      </c>
      <c r="E325" s="805" t="s">
        <v>138</v>
      </c>
      <c r="G325" s="805">
        <f t="shared" si="127"/>
        <v>45774.146368130576</v>
      </c>
      <c r="H325" s="805">
        <f t="shared" si="127"/>
        <v>1207289.3407630015</v>
      </c>
      <c r="I325" s="805">
        <f>+I323-I324</f>
        <v>453996.01285783085</v>
      </c>
      <c r="J325" s="805">
        <f>+J323-J324</f>
        <v>-3963592917.5113463</v>
      </c>
      <c r="Q325" s="805">
        <f>Q324-M324</f>
        <v>-734944.61721628346</v>
      </c>
    </row>
    <row r="326" spans="1:28" s="805" customFormat="1">
      <c r="J326" s="805">
        <v>-2132.7937797252089</v>
      </c>
      <c r="L326" s="805" t="s">
        <v>138</v>
      </c>
    </row>
    <row r="327" spans="1:28" s="805" customFormat="1" ht="15.6" thickBot="1">
      <c r="L327" s="805" t="s">
        <v>138</v>
      </c>
      <c r="N327" s="805">
        <f>R329-'Non Current'!AA32</f>
        <v>-18920.54751390405</v>
      </c>
    </row>
    <row r="328" spans="1:28" s="805" customFormat="1" ht="32.450000000000003" customHeight="1">
      <c r="A328" s="2041"/>
      <c r="B328" s="2042" t="s">
        <v>1935</v>
      </c>
      <c r="C328" s="2042" t="s">
        <v>221</v>
      </c>
      <c r="D328" s="2042" t="s">
        <v>1815</v>
      </c>
      <c r="E328" s="2042" t="s">
        <v>1936</v>
      </c>
      <c r="F328" s="2042" t="s">
        <v>190</v>
      </c>
      <c r="G328" s="2042" t="s">
        <v>127</v>
      </c>
      <c r="H328" s="2042" t="s">
        <v>186</v>
      </c>
      <c r="I328" s="2042" t="s">
        <v>1614</v>
      </c>
      <c r="J328" s="2042" t="s">
        <v>194</v>
      </c>
      <c r="K328" s="2042" t="s">
        <v>189</v>
      </c>
      <c r="L328" s="2042" t="s">
        <v>191</v>
      </c>
      <c r="M328" s="2042" t="s">
        <v>192</v>
      </c>
      <c r="N328" s="2043" t="s">
        <v>1937</v>
      </c>
      <c r="O328" s="2042" t="s">
        <v>202</v>
      </c>
      <c r="P328" s="2042" t="s">
        <v>1938</v>
      </c>
      <c r="Q328" s="2042" t="s">
        <v>1939</v>
      </c>
      <c r="R328" s="2044" t="s">
        <v>71</v>
      </c>
      <c r="S328" s="1817" t="s">
        <v>1940</v>
      </c>
      <c r="T328" s="1817" t="s">
        <v>207</v>
      </c>
    </row>
    <row r="329" spans="1:28" s="805" customFormat="1" ht="17.45">
      <c r="A329" s="2045" t="s">
        <v>1941</v>
      </c>
      <c r="B329" s="2046" t="s">
        <v>1942</v>
      </c>
      <c r="C329" s="2100">
        <f>+'[2]Total Pigs'!$R329</f>
        <v>1322364.4393770508</v>
      </c>
      <c r="D329" s="2047">
        <f>+(G283)-D333</f>
        <v>129525.93068485882</v>
      </c>
      <c r="E329" s="2096"/>
      <c r="F329" s="2113">
        <f>SUM(I192:I196)</f>
        <v>0</v>
      </c>
      <c r="G329" s="2113">
        <f>SUM(I21:I25)</f>
        <v>-15108.486825465601</v>
      </c>
      <c r="H329" s="2113">
        <f>SUM(I56:I60)</f>
        <v>-4150.0680375943457</v>
      </c>
      <c r="I329" s="2113">
        <f>SUM(I90:I94)</f>
        <v>-7636.1251891735965</v>
      </c>
      <c r="J329" s="2113">
        <f>SUM(G124:G128)</f>
        <v>0</v>
      </c>
      <c r="K329" s="2113">
        <f>SUM(I158:I162)</f>
        <v>-8964.1469612037872</v>
      </c>
      <c r="L329" s="2113">
        <f>SUM(I226:I230)</f>
        <v>-4980.081645113215</v>
      </c>
      <c r="M329" s="2113">
        <f>SUM(I260:I264)</f>
        <v>-332.00544300754768</v>
      </c>
      <c r="N329" s="2113"/>
      <c r="O329" s="2113">
        <v>0</v>
      </c>
      <c r="P329" s="2048"/>
      <c r="Q329" s="2048">
        <v>0</v>
      </c>
      <c r="R329" s="2098">
        <f>SUM(C329:Q329)</f>
        <v>1410719.4559603517</v>
      </c>
      <c r="S329" s="805">
        <f>[90]Sheet1!$D$76</f>
        <v>1004933.05</v>
      </c>
      <c r="T329" s="807">
        <f>S329-R329</f>
        <v>-405786.40596035169</v>
      </c>
      <c r="U329" s="805">
        <v>5201</v>
      </c>
      <c r="V329" s="805">
        <f>[91]Sheet1!$AT$14</f>
        <v>1018773.4216582886</v>
      </c>
      <c r="W329" s="805">
        <f>R329-V329</f>
        <v>391946.03430206317</v>
      </c>
      <c r="X329" s="805" t="s">
        <v>1943</v>
      </c>
    </row>
    <row r="330" spans="1:28" s="805" customFormat="1" ht="17.45">
      <c r="A330" s="2045" t="s">
        <v>1944</v>
      </c>
      <c r="B330" s="2046" t="s">
        <v>1945</v>
      </c>
      <c r="C330" s="2100">
        <f>+'[2]Total Pigs'!$R330</f>
        <v>7226176.1366326548</v>
      </c>
      <c r="D330" s="2047">
        <f>+(B283)</f>
        <v>4891063.8</v>
      </c>
      <c r="E330" s="2096">
        <f>-E329</f>
        <v>0</v>
      </c>
      <c r="F330" s="2113">
        <f>SUM(D192:D196)</f>
        <v>-519064.33774120006</v>
      </c>
      <c r="G330" s="2113">
        <f>SUM(D21:D25,N380)</f>
        <v>-1295779.9473152049</v>
      </c>
      <c r="H330" s="2113">
        <f>SUM(D56:D60)</f>
        <v>-271426.69954986346</v>
      </c>
      <c r="I330" s="2113">
        <f>SUM(D90:D94)</f>
        <v>-873219.72696503752</v>
      </c>
      <c r="J330" s="2113">
        <f>SUM(D124:D128)</f>
        <v>-244061.87272666115</v>
      </c>
      <c r="K330" s="2113">
        <f>SUM(D158:D162)</f>
        <v>-674206.2513026644</v>
      </c>
      <c r="L330" s="2113">
        <f>SUM(D226:D230)</f>
        <v>-962671.8535620406</v>
      </c>
      <c r="M330" s="2113">
        <f>SUM(D260:D264)</f>
        <v>-220724.94594623477</v>
      </c>
      <c r="N330" s="2047"/>
      <c r="O330" s="2047"/>
      <c r="P330" s="2048"/>
      <c r="Q330" s="2048"/>
      <c r="R330" s="2098">
        <f t="shared" ref="R330:R332" si="128">SUM(C330:Q330)</f>
        <v>7056084.3015237497</v>
      </c>
      <c r="S330" s="805">
        <f>[90]Sheet1!$D$99</f>
        <v>4593309.97</v>
      </c>
      <c r="T330" s="807">
        <f t="shared" ref="T330:T333" si="129">S330-R330</f>
        <v>-2462774.33152375</v>
      </c>
      <c r="U330" s="805">
        <v>5205</v>
      </c>
      <c r="X330" s="805" t="s">
        <v>1946</v>
      </c>
    </row>
    <row r="331" spans="1:28" s="805" customFormat="1" ht="20.45" customHeight="1">
      <c r="A331" s="2045" t="s">
        <v>1947</v>
      </c>
      <c r="B331" s="2046" t="s">
        <v>1948</v>
      </c>
      <c r="C331" s="2100">
        <f>+'[2]Total Pigs'!$R331</f>
        <v>1031695.0800598543</v>
      </c>
      <c r="D331" s="2047"/>
      <c r="E331" s="2047"/>
      <c r="F331" s="2115">
        <f>I207</f>
        <v>0</v>
      </c>
      <c r="G331" s="2115">
        <f>I36+I20</f>
        <v>-90.783366996794896</v>
      </c>
      <c r="H331" s="2115">
        <f>I71+I55</f>
        <v>-2096.7110402170501</v>
      </c>
      <c r="I331" s="2115">
        <f>I105</f>
        <v>-1243.85488656134</v>
      </c>
      <c r="J331" s="2115">
        <f>I139+I123</f>
        <v>0</v>
      </c>
      <c r="K331" s="2115">
        <f>I173+I157</f>
        <v>2950.4777784509401</v>
      </c>
      <c r="L331" s="2115">
        <f>H241</f>
        <v>4754.4853158101896</v>
      </c>
      <c r="M331" s="2115">
        <f>I275</f>
        <v>365.76008537703501</v>
      </c>
      <c r="N331" s="2115"/>
      <c r="O331" s="2115"/>
      <c r="P331" s="2116"/>
      <c r="Q331" s="2048"/>
      <c r="R331" s="2098">
        <f t="shared" si="128"/>
        <v>1036334.4539457173</v>
      </c>
      <c r="S331" s="805">
        <f>[90]Sheet1!$D$84</f>
        <v>792335.81</v>
      </c>
      <c r="T331" s="807">
        <f>S331-R331</f>
        <v>-243998.64394571725</v>
      </c>
      <c r="U331" s="805">
        <v>5202</v>
      </c>
      <c r="V331" s="805">
        <f>T329+T330</f>
        <v>-2868560.7374841017</v>
      </c>
      <c r="X331" s="805" t="s">
        <v>1943</v>
      </c>
    </row>
    <row r="332" spans="1:28" s="805" customFormat="1" ht="17.45">
      <c r="A332" s="2045" t="s">
        <v>1949</v>
      </c>
      <c r="B332" s="2046" t="s">
        <v>1950</v>
      </c>
      <c r="C332" s="2100">
        <f>+'[2]Total Pigs'!$R332</f>
        <v>1602225.4097909678</v>
      </c>
      <c r="D332" s="2047">
        <v>0</v>
      </c>
      <c r="E332" s="2047">
        <f>N306</f>
        <v>0</v>
      </c>
      <c r="F332" s="2115">
        <f>+D207</f>
        <v>-4559.2740334139698</v>
      </c>
      <c r="G332" s="2115">
        <f>D36+D20</f>
        <v>-41686.217919779498</v>
      </c>
      <c r="H332" s="2115">
        <f>D71+D55</f>
        <v>-23320.103531984099</v>
      </c>
      <c r="I332" s="2115">
        <f>D105+D89</f>
        <v>57251.870864480297</v>
      </c>
      <c r="J332" s="2115">
        <f>+D139+D123</f>
        <v>18673.885344399201</v>
      </c>
      <c r="K332" s="2115">
        <f>D173+D157</f>
        <v>-20805.542082768901</v>
      </c>
      <c r="L332" s="2115">
        <f>D241</f>
        <v>-108397.87941473399</v>
      </c>
      <c r="M332" s="2115">
        <f>C275+C277</f>
        <v>36143.861070509804</v>
      </c>
      <c r="N332" s="2115"/>
      <c r="O332" s="2115">
        <f>'Cattle Valuation'!G25</f>
        <v>0</v>
      </c>
      <c r="P332" s="2117"/>
      <c r="Q332" s="2048"/>
      <c r="R332" s="2098">
        <f t="shared" si="128"/>
        <v>1515526.0100876766</v>
      </c>
      <c r="S332" s="805">
        <f>[90]Sheet1!$D$109</f>
        <v>1108096.98</v>
      </c>
      <c r="T332" s="807">
        <f t="shared" si="129"/>
        <v>-407429.0300876766</v>
      </c>
      <c r="U332" s="805">
        <v>5208</v>
      </c>
      <c r="X332" s="805" t="s">
        <v>1951</v>
      </c>
    </row>
    <row r="333" spans="1:28" s="805" customFormat="1" ht="17.45">
      <c r="A333" s="2045" t="s">
        <v>1952</v>
      </c>
      <c r="B333" s="2046" t="s">
        <v>1953</v>
      </c>
      <c r="C333" s="2100">
        <f>+'[2]Total Pigs'!$R333</f>
        <v>2123955.9842699929</v>
      </c>
      <c r="D333" s="2111">
        <f>+'[29]Bio Assets USD New'!$C$22</f>
        <v>1446.4693151411743</v>
      </c>
      <c r="E333" s="2111">
        <f>+'[29]Bio Assets USD New'!$C$17</f>
        <v>310734.63461186615</v>
      </c>
      <c r="F333" s="2047"/>
      <c r="G333" s="2047"/>
      <c r="H333" s="2047"/>
      <c r="I333" s="2047"/>
      <c r="J333" s="2047"/>
      <c r="K333" s="2047"/>
      <c r="L333" s="2047"/>
      <c r="M333" s="2047"/>
      <c r="N333" s="2115">
        <f>+'[29]Bio Assets USD New'!$C$19</f>
        <v>-2077.1066257844213</v>
      </c>
      <c r="O333" s="2047">
        <v>0</v>
      </c>
      <c r="P333" s="2114">
        <f>+'[29]Bio Assets USD New'!$C$20</f>
        <v>-22854.936783050885</v>
      </c>
      <c r="Q333" s="2048">
        <f>+'[29]Bio Assets USD New'!$C$21</f>
        <v>0</v>
      </c>
      <c r="R333" s="2098">
        <f>SUM(C333:Q333)</f>
        <v>2411205.0447881641</v>
      </c>
      <c r="S333" s="805">
        <f>[90]Sheet1!$D$92</f>
        <v>1856453.65</v>
      </c>
      <c r="T333" s="807">
        <f t="shared" si="129"/>
        <v>-554751.39478816418</v>
      </c>
      <c r="U333" s="805">
        <v>5203</v>
      </c>
      <c r="X333" s="805" t="s">
        <v>1954</v>
      </c>
    </row>
    <row r="334" spans="1:28" s="805" customFormat="1" ht="17.45">
      <c r="A334" s="2045" t="s">
        <v>1955</v>
      </c>
      <c r="B334" s="2046" t="s">
        <v>1956</v>
      </c>
      <c r="C334" s="2100">
        <f>+'[2]Total Pigs'!$R334</f>
        <v>-1154154.2702272711</v>
      </c>
      <c r="D334" s="2047"/>
      <c r="E334" s="2047"/>
      <c r="F334" s="2047"/>
      <c r="G334" s="2047"/>
      <c r="H334" s="2047"/>
      <c r="I334" s="2047"/>
      <c r="J334" s="2047"/>
      <c r="K334" s="2047"/>
      <c r="L334" s="2047"/>
      <c r="M334" s="2047"/>
      <c r="N334" s="2115">
        <f>+'[29]Bio Assets USD New'!$C$18</f>
        <v>-25991.237486057329</v>
      </c>
      <c r="O334" s="2048"/>
      <c r="P334" s="2048"/>
      <c r="Q334" s="2048"/>
      <c r="R334" s="2099">
        <f>SUM(C334:Q334)</f>
        <v>-1180145.5077133283</v>
      </c>
      <c r="S334" s="1885">
        <f>-[90]Sheet1!$E$95</f>
        <v>-682934.59</v>
      </c>
      <c r="T334" s="807">
        <f>R334-S334</f>
        <v>-497210.91771332838</v>
      </c>
      <c r="U334" s="805">
        <v>5204</v>
      </c>
      <c r="X334" s="805" t="s">
        <v>1954</v>
      </c>
    </row>
    <row r="335" spans="1:28" s="1102" customFormat="1" ht="18" thickBot="1">
      <c r="A335" s="2049" t="s">
        <v>71</v>
      </c>
      <c r="B335" s="2050"/>
      <c r="C335" s="2050">
        <f>SUM(C329:C334)</f>
        <v>12152262.779903252</v>
      </c>
      <c r="D335" s="2097">
        <f>SUM(D329:D334)</f>
        <v>5022036.2</v>
      </c>
      <c r="E335" s="2097">
        <f>SUM(E329:E334)</f>
        <v>310734.63461186615</v>
      </c>
      <c r="F335" s="2097">
        <f>SUM(F329:F334)</f>
        <v>-523623.61177461402</v>
      </c>
      <c r="G335" s="2097">
        <f>SUM(G329:G334)</f>
        <v>-1352665.4354274468</v>
      </c>
      <c r="H335" s="2097">
        <f t="shared" ref="H335:N335" si="130">SUM(H329:H334)</f>
        <v>-300993.58215965889</v>
      </c>
      <c r="I335" s="2097">
        <f t="shared" si="130"/>
        <v>-824847.83617629216</v>
      </c>
      <c r="J335" s="2097">
        <f t="shared" si="130"/>
        <v>-225387.98738226196</v>
      </c>
      <c r="K335" s="2097">
        <f>SUM(K329:K334)</f>
        <v>-701025.46256818611</v>
      </c>
      <c r="L335" s="2097">
        <f>SUM(L329:L334)</f>
        <v>-1071295.3293060777</v>
      </c>
      <c r="M335" s="2097"/>
      <c r="N335" s="2097">
        <f t="shared" si="130"/>
        <v>-28068.34411184175</v>
      </c>
      <c r="O335" s="2097">
        <f>SUM(O329:O334)</f>
        <v>0</v>
      </c>
      <c r="P335" s="2097">
        <f t="shared" ref="P335:Q335" si="131">SUM(P329:P334)</f>
        <v>-22854.936783050885</v>
      </c>
      <c r="Q335" s="2097">
        <f t="shared" si="131"/>
        <v>0</v>
      </c>
      <c r="R335" s="2051">
        <f>SUM(R329:R334)</f>
        <v>12249723.75859233</v>
      </c>
      <c r="S335" s="1102">
        <f>SUM(S329:S334)</f>
        <v>8672194.870000001</v>
      </c>
      <c r="T335" s="1579">
        <f>SUM(T329:T334)</f>
        <v>-4571950.7240189882</v>
      </c>
      <c r="AB335" s="1102">
        <f>+R335-D315</f>
        <v>18598.125617653131</v>
      </c>
    </row>
    <row r="336" spans="1:28" s="805" customFormat="1" ht="15.6">
      <c r="C336" s="2101">
        <f>+'[29]Bio Assets USD New'!$B$58</f>
        <v>11378180.125466267</v>
      </c>
      <c r="Q336" s="1102">
        <f>+D316</f>
        <v>11497803.885657806</v>
      </c>
      <c r="R336" s="1102">
        <f>+D316</f>
        <v>11497803.885657806</v>
      </c>
    </row>
    <row r="337" spans="1:28" s="805" customFormat="1" ht="15.6">
      <c r="C337" s="805">
        <f>C335-C336</f>
        <v>774082.65443698503</v>
      </c>
      <c r="M337" s="1101"/>
      <c r="N337" s="1101"/>
      <c r="O337" s="1101"/>
      <c r="P337" s="1101"/>
      <c r="Q337" s="1097"/>
      <c r="R337" s="1101">
        <f>R335-R336</f>
        <v>751919.87293452397</v>
      </c>
      <c r="S337" s="805">
        <f>T335-63164</f>
        <v>-4635114.7240189882</v>
      </c>
      <c r="U337" s="805">
        <f>'Feed Cost &amp; Allocation'!Z80-'[92]Bio Assets USD New'!$N$20</f>
        <v>8732.4928122560123</v>
      </c>
    </row>
    <row r="338" spans="1:28" s="805" customFormat="1" ht="15.6">
      <c r="E338" s="1212" t="s">
        <v>1957</v>
      </c>
      <c r="F338" s="1212" t="s">
        <v>190</v>
      </c>
      <c r="G338" s="1212" t="s">
        <v>127</v>
      </c>
      <c r="H338" s="1212" t="s">
        <v>186</v>
      </c>
      <c r="I338" s="1212" t="s">
        <v>1614</v>
      </c>
      <c r="J338" s="1212" t="s">
        <v>194</v>
      </c>
      <c r="K338" s="1212" t="s">
        <v>189</v>
      </c>
      <c r="L338" s="1212" t="s">
        <v>71</v>
      </c>
      <c r="M338" s="1101">
        <v>0.19</v>
      </c>
      <c r="N338" s="1097">
        <f>4891+934</f>
        <v>5825</v>
      </c>
      <c r="O338" s="1097">
        <f>SUM('[93]Imported Pigs Costing 0225'!$AL$41,'[93]Imported Pigs Costing 0225'!$AL$45,'[93]Imported Pigs Costing 0225'!$AL$47:$AL$49,'[93]Imported Pigs Costing 0225'!$AL$51:$AL$52)</f>
        <v>-9387.4380377707221</v>
      </c>
      <c r="P338" s="1097" t="s">
        <v>191</v>
      </c>
      <c r="Q338" s="1283"/>
      <c r="R338" s="1101"/>
      <c r="S338" s="805">
        <f>21182-D333</f>
        <v>19735.530684858826</v>
      </c>
    </row>
    <row r="339" spans="1:28" s="805" customFormat="1" ht="15.6">
      <c r="E339" s="1212" t="s">
        <v>1958</v>
      </c>
      <c r="F339" s="1212">
        <f>F329</f>
        <v>0</v>
      </c>
      <c r="G339" s="1212">
        <f t="shared" ref="G339:J339" si="132">G329</f>
        <v>-15108.486825465601</v>
      </c>
      <c r="H339" s="1212">
        <f t="shared" si="132"/>
        <v>-4150.0680375943457</v>
      </c>
      <c r="I339" s="1212">
        <f t="shared" si="132"/>
        <v>-7636.1251891735965</v>
      </c>
      <c r="J339" s="1212">
        <f t="shared" si="132"/>
        <v>0</v>
      </c>
      <c r="K339" s="1212">
        <f>K329</f>
        <v>-8964.1469612037872</v>
      </c>
      <c r="L339" s="1212">
        <f>SUM(F339:K339)</f>
        <v>-35858.827013437331</v>
      </c>
      <c r="M339" s="1101"/>
      <c r="N339" s="1097"/>
      <c r="O339" s="1097">
        <f>P333-O338</f>
        <v>-13467.498745280163</v>
      </c>
      <c r="P339" s="1097" t="s">
        <v>127</v>
      </c>
      <c r="Q339" s="1283">
        <v>-67117.85237615605</v>
      </c>
      <c r="R339" s="1101"/>
    </row>
    <row r="340" spans="1:28" s="805" customFormat="1" ht="15.6">
      <c r="C340" s="805">
        <f>SUM(D329:D333)</f>
        <v>5022036.2</v>
      </c>
      <c r="E340" s="1212"/>
      <c r="F340" s="1212"/>
      <c r="G340" s="1212"/>
      <c r="H340" s="1212"/>
      <c r="I340" s="1212"/>
      <c r="J340" s="1212"/>
      <c r="K340" s="1212"/>
      <c r="L340" s="1212"/>
      <c r="M340" s="1101">
        <v>-60958.614893589503</v>
      </c>
      <c r="N340" s="1097"/>
      <c r="O340" s="1097"/>
      <c r="P340" s="1097"/>
      <c r="Q340" s="1283"/>
      <c r="R340" s="1101">
        <f>R329-[94]Sheet1!$AV$14</f>
        <v>412890.44388714596</v>
      </c>
      <c r="AB340" s="805">
        <f>SUM(F331:O334)</f>
        <v>-110128.36992926995</v>
      </c>
    </row>
    <row r="341" spans="1:28" s="805" customFormat="1" ht="15.6">
      <c r="C341" s="805">
        <f>'Feed Cost &amp; Allocation'!Z72-'Feed Cost &amp; Allocation'!Z78</f>
        <v>52615.5</v>
      </c>
      <c r="E341" s="1212" t="s">
        <v>229</v>
      </c>
      <c r="F341" s="1212">
        <f>B193+G193</f>
        <v>-1388.2742911216101</v>
      </c>
      <c r="G341" s="1212">
        <f>B22+G22</f>
        <v>-7388.5243445119067</v>
      </c>
      <c r="H341" s="1212">
        <f>B57+G57</f>
        <v>-788.92651064521965</v>
      </c>
      <c r="I341" s="1212">
        <f>B91+G91</f>
        <v>-5085.9604596660974</v>
      </c>
      <c r="J341" s="1212">
        <f>B125+G125</f>
        <v>0</v>
      </c>
      <c r="K341" s="1212">
        <f>B159+G159</f>
        <v>-3240.3439526579596</v>
      </c>
      <c r="L341" s="1212">
        <f>SUM(F341:K341)</f>
        <v>-17892.029558602793</v>
      </c>
      <c r="M341" s="1101" t="s">
        <v>1959</v>
      </c>
      <c r="N341" s="1097"/>
      <c r="O341" s="1097"/>
      <c r="P341" s="1097"/>
      <c r="Q341" s="1283">
        <v>66079</v>
      </c>
      <c r="R341" s="1101"/>
      <c r="AB341" s="805">
        <f>AB340-R337</f>
        <v>-862048.24286379386</v>
      </c>
    </row>
    <row r="342" spans="1:28" s="805" customFormat="1" ht="15.6">
      <c r="C342" s="805">
        <f>C340-C341</f>
        <v>4969420.7</v>
      </c>
      <c r="M342" s="1101">
        <v>0</v>
      </c>
      <c r="N342" s="1097" t="s">
        <v>191</v>
      </c>
      <c r="O342" s="1097" t="s">
        <v>1838</v>
      </c>
      <c r="P342" s="1097"/>
      <c r="Q342" s="1283" t="s">
        <v>374</v>
      </c>
      <c r="R342" s="1101"/>
    </row>
    <row r="343" spans="1:28" s="805" customFormat="1" ht="15.6">
      <c r="A343" s="805">
        <f>'Feed Cost &amp; Allocation'!AY80-'Total Pigs'!D333</f>
        <v>827000.73068485875</v>
      </c>
      <c r="E343" s="1212" t="s">
        <v>1960</v>
      </c>
      <c r="F343" s="805">
        <f>F339-F341</f>
        <v>1388.2742911216101</v>
      </c>
      <c r="G343" s="805">
        <f t="shared" ref="G343:K343" si="133">G339-G341</f>
        <v>-7719.9624809536945</v>
      </c>
      <c r="H343" s="805">
        <f t="shared" si="133"/>
        <v>-3361.1415269491263</v>
      </c>
      <c r="I343" s="805">
        <f t="shared" si="133"/>
        <v>-2550.164729507499</v>
      </c>
      <c r="J343" s="805">
        <f t="shared" si="133"/>
        <v>0</v>
      </c>
      <c r="K343" s="805">
        <f t="shared" si="133"/>
        <v>-5723.8030085458277</v>
      </c>
      <c r="L343" s="805">
        <f>SUM(F343:K343)</f>
        <v>-17966.797454834537</v>
      </c>
      <c r="M343" s="1101">
        <f>N333-M342</f>
        <v>-2077.1066257844213</v>
      </c>
      <c r="N343" s="1097" t="s">
        <v>127</v>
      </c>
      <c r="O343" s="1097">
        <f>SUM('[93]Imported Pigs Costing 0525'!$AL$47,'[93]Imported Pigs Costing 0525'!$AL$58:$AL$64)</f>
        <v>-8298.8110378830188</v>
      </c>
      <c r="P343" s="1097" t="s">
        <v>191</v>
      </c>
      <c r="Q343" s="1101">
        <f>SUM('[93]Imported Pigs Costing 0525'!$AL$65:$AL$67)</f>
        <v>-3028.019976531772</v>
      </c>
      <c r="R343" s="1101"/>
      <c r="AA343" s="805">
        <f>+AC318+R337</f>
        <v>751213.02495235763</v>
      </c>
      <c r="AB343" s="805">
        <v>2299.4525771960616</v>
      </c>
    </row>
    <row r="344" spans="1:28" s="805" customFormat="1" ht="15.6">
      <c r="A344" s="805">
        <f>A343-1038</f>
        <v>825962.73068485875</v>
      </c>
      <c r="M344" s="1101" t="s">
        <v>1961</v>
      </c>
      <c r="N344" s="1097"/>
      <c r="O344" s="1097">
        <f>P333-O343</f>
        <v>-14556.125745167867</v>
      </c>
      <c r="P344" s="1097" t="s">
        <v>127</v>
      </c>
      <c r="Q344" s="1101">
        <f>Q333-Q343</f>
        <v>3028.019976531772</v>
      </c>
      <c r="R344" s="1101"/>
    </row>
    <row r="345" spans="1:28" s="805" customFormat="1" ht="15.6">
      <c r="G345" s="805">
        <v>7542</v>
      </c>
      <c r="M345" s="1101">
        <f>-'[93]Imported Pigs Costing 0525'!$BI$360</f>
        <v>-2476.9454065287373</v>
      </c>
      <c r="N345" s="1097" t="s">
        <v>191</v>
      </c>
      <c r="O345" s="1097"/>
      <c r="P345" s="1097"/>
      <c r="Q345" s="1283"/>
      <c r="R345" s="1101"/>
    </row>
    <row r="346" spans="1:28" s="805" customFormat="1" ht="15.6">
      <c r="M346" s="1101">
        <f>N334-M345</f>
        <v>-23514.29207952859</v>
      </c>
      <c r="N346" s="1097" t="s">
        <v>127</v>
      </c>
      <c r="O346" s="1097"/>
      <c r="P346" s="1097">
        <f>115121.58-'[93]Bio Assets USD New'!$H$56</f>
        <v>115121.58</v>
      </c>
      <c r="Q346" s="1283">
        <f>1464.16690335981-76</f>
        <v>1388.16690335981</v>
      </c>
      <c r="R346" s="1101"/>
    </row>
    <row r="347" spans="1:28" s="805" customFormat="1" ht="15.6">
      <c r="F347" s="805">
        <f>E329+'[27]Bio Assets USD New'!$H$20+6</f>
        <v>383.49851870301336</v>
      </c>
      <c r="I347" s="805">
        <v>-0.34133255854249001</v>
      </c>
      <c r="K347" s="805">
        <f>115227-'[93]Bio Assets USD New'!$H$56</f>
        <v>115227</v>
      </c>
      <c r="M347" s="1101"/>
      <c r="N347" s="1097"/>
      <c r="O347" s="1097"/>
      <c r="P347" s="1097"/>
      <c r="Q347" s="1283"/>
      <c r="R347" s="1101"/>
    </row>
    <row r="348" spans="1:28" s="805" customFormat="1" ht="15.6">
      <c r="M348" s="1101"/>
      <c r="N348" s="1097"/>
      <c r="O348" s="1097"/>
      <c r="P348" s="1097">
        <f>'[93]Imported Pigs Costing 0125'!$BI$360</f>
        <v>1803.9203015986161</v>
      </c>
      <c r="Q348" s="1283"/>
      <c r="R348" s="1101">
        <f>SUM(F331:O334)</f>
        <v>-110128.36992926995</v>
      </c>
    </row>
    <row r="349" spans="1:28" s="805" customFormat="1" ht="15.6">
      <c r="G349" s="805">
        <v>-10324.715726984006</v>
      </c>
      <c r="H349" s="805">
        <f>G329-G349</f>
        <v>-4783.7710984815949</v>
      </c>
      <c r="K349" s="805">
        <v>11249.71</v>
      </c>
      <c r="M349" s="1101"/>
      <c r="N349" s="1097">
        <v>105.43059355393052</v>
      </c>
      <c r="O349" s="1097"/>
      <c r="P349" s="1097">
        <f>N334+P348</f>
        <v>-24187.317184458712</v>
      </c>
      <c r="Q349" s="1283"/>
      <c r="R349" s="1101">
        <f>'[95]Bio Assets USD New'!$E$56</f>
        <v>146557.44618039747</v>
      </c>
      <c r="S349" s="805">
        <f>R349-R348</f>
        <v>256685.81610966742</v>
      </c>
    </row>
    <row r="350" spans="1:28" s="805" customFormat="1" ht="15.6">
      <c r="G350" s="805">
        <v>-531785.31531841028</v>
      </c>
      <c r="H350" s="805">
        <f t="shared" ref="H350:H352" si="134">G330-G350</f>
        <v>-763994.6319967946</v>
      </c>
      <c r="M350" s="1101"/>
      <c r="N350" s="1097"/>
      <c r="O350" s="1097"/>
      <c r="P350" s="1097"/>
      <c r="Q350" s="1283"/>
      <c r="R350" s="1101"/>
    </row>
    <row r="351" spans="1:28" s="805" customFormat="1" ht="15.6">
      <c r="G351" s="805">
        <v>5175.0958568229098</v>
      </c>
      <c r="H351" s="805">
        <f t="shared" si="134"/>
        <v>-5265.8792238197047</v>
      </c>
      <c r="M351" s="1101"/>
      <c r="N351" s="1097"/>
      <c r="O351" s="1097"/>
      <c r="P351" s="1097"/>
      <c r="Q351" s="1283"/>
      <c r="R351" s="1101"/>
    </row>
    <row r="352" spans="1:28" s="805" customFormat="1" ht="15.6">
      <c r="G352" s="805">
        <v>42632.089967437001</v>
      </c>
      <c r="H352" s="805">
        <f t="shared" si="134"/>
        <v>-84318.307887216506</v>
      </c>
      <c r="M352" s="1101"/>
      <c r="N352" s="1097"/>
      <c r="O352" s="1097"/>
      <c r="P352" s="1097"/>
      <c r="Q352" s="1283"/>
      <c r="R352" s="1101"/>
    </row>
    <row r="353" spans="1:18" s="805" customFormat="1" ht="15.6">
      <c r="M353" s="1101"/>
      <c r="N353" s="1097"/>
      <c r="O353" s="1097"/>
      <c r="P353" s="1097"/>
      <c r="Q353" s="1283"/>
      <c r="R353" s="1101"/>
    </row>
    <row r="354" spans="1:18" s="805" customFormat="1" ht="15.6">
      <c r="M354" s="1101"/>
      <c r="N354" s="1097"/>
      <c r="O354" s="1097"/>
      <c r="P354" s="1097"/>
      <c r="Q354" s="1283"/>
      <c r="R354" s="1101"/>
    </row>
    <row r="355" spans="1:18" s="805" customFormat="1" ht="15.6">
      <c r="M355" s="1101"/>
      <c r="N355" s="1097"/>
      <c r="O355" s="1282">
        <v>481529.986041834</v>
      </c>
      <c r="P355" s="1097"/>
      <c r="Q355" s="1283"/>
      <c r="R355" s="1101"/>
    </row>
    <row r="356" spans="1:18" s="805" customFormat="1">
      <c r="C356" s="805">
        <f>+C335-C336</f>
        <v>774082.65443698503</v>
      </c>
      <c r="D356" s="805">
        <f>'[63]Bio Assets USD New'!$D$7+'[63]Bio Assets USD New'!$D$30+'[63]Bio Assets USD New'!$D$44</f>
        <v>1146131.2293344503</v>
      </c>
      <c r="M356" s="1101">
        <v>1283</v>
      </c>
      <c r="N356" s="1101">
        <f>+R335-Q336</f>
        <v>751919.87293452397</v>
      </c>
      <c r="O356" s="1101"/>
      <c r="P356" s="1101"/>
      <c r="Q356" s="1101">
        <v>19134.35072630833</v>
      </c>
      <c r="R356" s="1101">
        <f>N356+Q356</f>
        <v>771054.22366083227</v>
      </c>
    </row>
    <row r="357" spans="1:18" s="805" customFormat="1">
      <c r="O357" s="807">
        <f>SUM(F331:O334)</f>
        <v>-110128.36992926995</v>
      </c>
    </row>
    <row r="358" spans="1:18" s="1102" customFormat="1" ht="15.6">
      <c r="C358" s="1102" t="s">
        <v>127</v>
      </c>
      <c r="D358" s="1102" t="s">
        <v>189</v>
      </c>
      <c r="E358" s="1102" t="s">
        <v>71</v>
      </c>
      <c r="F358" s="1102" t="s">
        <v>423</v>
      </c>
      <c r="G358" s="1102" t="s">
        <v>436</v>
      </c>
      <c r="L358" s="1102">
        <f>+M358-N358</f>
        <v>7052723.5073730778</v>
      </c>
      <c r="M358" s="1579">
        <f>+B301+G301</f>
        <v>8463442.9633334298</v>
      </c>
      <c r="N358" s="1579">
        <f>+R329</f>
        <v>1410719.4559603517</v>
      </c>
      <c r="O358" s="1579">
        <f>'[93]Bio Assets USD New'!$N$56</f>
        <v>0</v>
      </c>
      <c r="P358" s="1579">
        <f>O357-O358</f>
        <v>-110128.36992926995</v>
      </c>
      <c r="Q358" s="1102">
        <f>+I20+I55+I89+I123+I157+I191</f>
        <v>0</v>
      </c>
    </row>
    <row r="359" spans="1:18" s="805" customFormat="1" ht="15.6">
      <c r="A359" s="1102" t="s">
        <v>84</v>
      </c>
      <c r="B359" s="1102"/>
      <c r="C359" s="805">
        <f>+'Grasmere Imported Valuation'!DP7+'Grasmere Imported Valuation'!DP19</f>
        <v>675034295.40048349</v>
      </c>
      <c r="D359" s="805">
        <f>+'Richlands Imported Valuation'!AR6+'Richlands Imported Valuation'!AR18+'Richlands Imported Valuation'!AR35</f>
        <v>0</v>
      </c>
      <c r="E359" s="805">
        <f t="shared" ref="E359:E364" si="135">SUM(C359:D359)</f>
        <v>675034295.40048349</v>
      </c>
      <c r="I359" s="805">
        <v>97430.399999999994</v>
      </c>
      <c r="K359" s="805">
        <f>'[63]Bio Assets USD New'!$D$54</f>
        <v>54319.593303760113</v>
      </c>
      <c r="L359" s="1102">
        <f>+M359-N359</f>
        <v>1497887.6094713639</v>
      </c>
      <c r="M359" s="807">
        <f>+C301+H301+D307</f>
        <v>2534222.0634170813</v>
      </c>
      <c r="N359" s="807">
        <f>+R331</f>
        <v>1036334.4539457173</v>
      </c>
      <c r="O359" s="807">
        <f>O355-O357</f>
        <v>591658.355971104</v>
      </c>
      <c r="P359" s="807"/>
      <c r="Q359" s="1087">
        <f>R335-Q336</f>
        <v>751919.87293452397</v>
      </c>
    </row>
    <row r="360" spans="1:18" s="805" customFormat="1" ht="15.75" customHeight="1">
      <c r="A360" s="1102" t="s">
        <v>1962</v>
      </c>
      <c r="B360" s="1102"/>
      <c r="C360" s="805">
        <f>+'Grasmere Imported Valuation'!DP8+'Grasmere Imported Valuation'!DP20</f>
        <v>-602683228.10821414</v>
      </c>
      <c r="D360" s="805">
        <f>+'Richlands Imported Valuation'!AR7+'Richlands Imported Valuation'!AR19+'Richlands Imported Valuation'!AR36</f>
        <v>0</v>
      </c>
      <c r="E360" s="805">
        <f t="shared" si="135"/>
        <v>-602683228.10821414</v>
      </c>
      <c r="K360" s="805">
        <f>SUM(E331:O334)</f>
        <v>200606.2646825962</v>
      </c>
      <c r="M360" s="807">
        <f>+K301+D307</f>
        <v>2534222.0634170813</v>
      </c>
      <c r="N360" s="807">
        <f>SUM(N358:N359)</f>
        <v>2447053.9099060688</v>
      </c>
      <c r="O360" s="807"/>
      <c r="P360" s="807"/>
      <c r="R360" s="805">
        <f>T335/8000</f>
        <v>-571.49384050237347</v>
      </c>
    </row>
    <row r="361" spans="1:18" s="805" customFormat="1" ht="15.6">
      <c r="A361" s="1102"/>
      <c r="B361" s="1641">
        <v>5203</v>
      </c>
      <c r="C361" s="1287">
        <f>SUM(C359:C360)</f>
        <v>72351067.292269349</v>
      </c>
      <c r="D361" s="1287">
        <f>SUM(D359:D360)</f>
        <v>0</v>
      </c>
      <c r="E361" s="1287">
        <f t="shared" si="135"/>
        <v>72351067.292269349</v>
      </c>
      <c r="F361" s="1287">
        <f>+R333</f>
        <v>2411205.0447881641</v>
      </c>
      <c r="G361" s="1287">
        <f>+E361-F361</f>
        <v>69939862.247481182</v>
      </c>
      <c r="I361" s="805">
        <f>'[27]Bio Assets USD New'!$G$54</f>
        <v>54473.512704746077</v>
      </c>
      <c r="K361" s="805">
        <f>K360-K359</f>
        <v>146286.67137883609</v>
      </c>
      <c r="M361" s="807">
        <f>295+674+2.3+80</f>
        <v>1051.3</v>
      </c>
      <c r="N361" s="807">
        <f>+R333+R334</f>
        <v>1231059.5370748357</v>
      </c>
      <c r="O361" s="807"/>
      <c r="P361" s="807"/>
    </row>
    <row r="362" spans="1:18" s="805" customFormat="1" ht="15.6">
      <c r="A362" s="1102" t="s">
        <v>1963</v>
      </c>
      <c r="B362" s="1641"/>
      <c r="C362" s="805">
        <f>-'Grasmere Imported Valuation'!DP15-'Grasmere Imported Valuation'!DP27</f>
        <v>-24444662.624020282</v>
      </c>
      <c r="D362" s="805">
        <f>-'Richlands Imported Valuation'!AR14-'Richlands Imported Valuation'!AR26-'Richlands Imported Valuation'!AR43</f>
        <v>0</v>
      </c>
      <c r="E362" s="805">
        <f t="shared" si="135"/>
        <v>-24444662.624020282</v>
      </c>
      <c r="F362" s="805">
        <f>+R334</f>
        <v>-1180145.5077133283</v>
      </c>
      <c r="G362" s="805">
        <f>+E362-F362</f>
        <v>-23264517.116306953</v>
      </c>
      <c r="I362" s="805">
        <v>7411.97</v>
      </c>
      <c r="K362" s="805">
        <f>K361</f>
        <v>146286.67137883609</v>
      </c>
      <c r="M362" s="807">
        <f>'[63]Imported Pigs Costing 0723'!$AY$424</f>
        <v>10784.174942779948</v>
      </c>
      <c r="N362" s="807">
        <f>SUM(N360:N361)</f>
        <v>3678113.4469809048</v>
      </c>
      <c r="O362" s="807"/>
      <c r="P362" s="807"/>
    </row>
    <row r="363" spans="1:18" s="805" customFormat="1" ht="15.6">
      <c r="A363" s="1102" t="s">
        <v>115</v>
      </c>
      <c r="B363" s="1641">
        <v>5204</v>
      </c>
      <c r="C363" s="1287">
        <f>SUM(C361:C362)</f>
        <v>47906404.668249071</v>
      </c>
      <c r="D363" s="1287">
        <f>SUM(D361:D362)</f>
        <v>0</v>
      </c>
      <c r="E363" s="1287">
        <f t="shared" si="135"/>
        <v>47906404.668249071</v>
      </c>
      <c r="F363" s="1287">
        <f>SUM(F361:F362)</f>
        <v>1231059.5370748357</v>
      </c>
      <c r="G363" s="1287">
        <f>+E363-F363</f>
        <v>46675345.131174237</v>
      </c>
      <c r="I363" s="805">
        <v>1884.45</v>
      </c>
      <c r="M363" s="805">
        <f>'[63]Bio Assets USD New'!$C$58</f>
        <v>1218.9266670048237</v>
      </c>
    </row>
    <row r="364" spans="1:18" s="805" customFormat="1" ht="15.6">
      <c r="A364" s="1102"/>
      <c r="B364" s="1102"/>
      <c r="C364" s="805">
        <f>SUM('Grasmere Valuation '!H47:H71,'Grasmere Valuation '!H96:H116,'Summary Valuation'!C30:C45,'Summary Valuation'!C68:C85)</f>
        <v>24886.756558186142</v>
      </c>
      <c r="D364" s="805">
        <f>SUM('Richlands Valuation'!H43:H80,'Lionhead Valuation'!H43:H53,'Summary Valuation'!C46:C67)</f>
        <v>0</v>
      </c>
      <c r="E364" s="805">
        <f t="shared" si="135"/>
        <v>24886.756558186142</v>
      </c>
      <c r="M364" s="805">
        <f>SUM(M361:M363)</f>
        <v>13054.401609784771</v>
      </c>
      <c r="N364" s="805">
        <f>1218.62+654</f>
        <v>1872.62</v>
      </c>
    </row>
    <row r="365" spans="1:18" s="805" customFormat="1" ht="15.6">
      <c r="A365" s="1102"/>
      <c r="B365" s="1102"/>
      <c r="C365" s="805">
        <f>+C363-C364</f>
        <v>47881517.911690883</v>
      </c>
      <c r="D365" s="805">
        <f>+D363-D364</f>
        <v>0</v>
      </c>
      <c r="E365" s="805">
        <f>+E363-E364</f>
        <v>47881517.911690883</v>
      </c>
      <c r="L365" s="805">
        <f>53582-54474</f>
        <v>-892</v>
      </c>
      <c r="M365" s="805">
        <f>N356-M364</f>
        <v>738865.47132473916</v>
      </c>
    </row>
    <row r="366" spans="1:18" s="805" customFormat="1"/>
    <row r="367" spans="1:18" s="805" customFormat="1">
      <c r="C367" s="805">
        <f>'Grasmere Imported Valuation'!BP15+'Grasmere Imported Valuation'!BP27</f>
        <v>341954.72858772718</v>
      </c>
      <c r="G367" s="805">
        <f>SUM(F329:K329)</f>
        <v>-35858.827013437331</v>
      </c>
      <c r="K367" s="805">
        <f>51944122.32+143194886.05+37889288.65+62619936.36-49751222.97+31648985.83+7313755.21</f>
        <v>284859751.44999999</v>
      </c>
      <c r="M367" s="805">
        <f>SUM(F331:O331)</f>
        <v>4639.3738858629786</v>
      </c>
    </row>
    <row r="368" spans="1:18" s="805" customFormat="1">
      <c r="K368" s="805">
        <v>284859751.44999999</v>
      </c>
      <c r="M368" s="805">
        <v>970070688.77999997</v>
      </c>
      <c r="N368" s="805">
        <f>'[63]Bio Assets USD New'!$E$54</f>
        <v>7324.5031698697239</v>
      </c>
    </row>
    <row r="369" spans="1:14" s="805" customFormat="1">
      <c r="C369" s="805">
        <f>+C365+C367</f>
        <v>48223472.640278608</v>
      </c>
      <c r="K369" s="805">
        <f>+K367-K368</f>
        <v>0</v>
      </c>
      <c r="M369" s="805">
        <f>M367-M368</f>
        <v>-970066049.4061141</v>
      </c>
      <c r="N369" s="805">
        <v>11628</v>
      </c>
    </row>
    <row r="370" spans="1:14" s="805" customFormat="1">
      <c r="N370" s="805">
        <f>SUM(N368:N369)</f>
        <v>18952.503169869724</v>
      </c>
    </row>
    <row r="371" spans="1:14">
      <c r="M371" s="142">
        <v>8252.07</v>
      </c>
      <c r="N371" s="805">
        <v>320.45999999999998</v>
      </c>
    </row>
    <row r="372" spans="1:14">
      <c r="N372" s="805">
        <f>SUM(N370:N371)</f>
        <v>19272.963169869723</v>
      </c>
    </row>
    <row r="373" spans="1:14">
      <c r="F373" s="1091">
        <f>C329+D329</f>
        <v>1451890.3700619098</v>
      </c>
      <c r="G373" s="818">
        <f>+D329-'Feed Cost &amp; Allocation'!Z72</f>
        <v>76910.430684858817</v>
      </c>
      <c r="N373" s="805">
        <v>-80</v>
      </c>
    </row>
    <row r="374" spans="1:14">
      <c r="B374" s="818">
        <f>SUM(F329:K329)</f>
        <v>-35858.827013437331</v>
      </c>
      <c r="F374" s="818">
        <f>SUM(F329:K329)</f>
        <v>-35858.827013437331</v>
      </c>
      <c r="N374" s="805">
        <f>SUM(N372:N373)</f>
        <v>19192.963169869723</v>
      </c>
    </row>
    <row r="375" spans="1:14">
      <c r="B375" s="1091">
        <f>D329+B374</f>
        <v>93667.103671421486</v>
      </c>
      <c r="F375" s="1091">
        <f>F373+F374</f>
        <v>1416031.5430484724</v>
      </c>
      <c r="I375" s="142" t="s">
        <v>1964</v>
      </c>
      <c r="J375" s="142" t="s">
        <v>1965</v>
      </c>
      <c r="K375" s="816" t="s">
        <v>1966</v>
      </c>
      <c r="L375" s="816" t="s">
        <v>1967</v>
      </c>
    </row>
    <row r="376" spans="1:14">
      <c r="I376" s="1057"/>
      <c r="J376" s="1057"/>
      <c r="K376" s="1897"/>
      <c r="L376" s="1897">
        <v>0</v>
      </c>
      <c r="N376" s="805">
        <v>296.66489981207997</v>
      </c>
    </row>
    <row r="377" spans="1:14">
      <c r="H377" s="142" t="s">
        <v>189</v>
      </c>
      <c r="I377" s="1057"/>
      <c r="J377" s="1057"/>
      <c r="L377" s="1897"/>
    </row>
    <row r="378" spans="1:14">
      <c r="H378" s="142" t="s">
        <v>127</v>
      </c>
      <c r="I378" s="1057"/>
      <c r="J378" s="1057"/>
      <c r="K378" s="1897">
        <f>N333-K380</f>
        <v>-245.50869340850522</v>
      </c>
      <c r="L378" s="1897">
        <f>N334+L380</f>
        <v>-25991.237486057329</v>
      </c>
    </row>
    <row r="379" spans="1:14">
      <c r="I379" s="1057"/>
    </row>
    <row r="380" spans="1:14" ht="15.6">
      <c r="H380" s="1790" t="s">
        <v>191</v>
      </c>
      <c r="I380" s="1898"/>
      <c r="J380" s="1899"/>
      <c r="K380" s="1897">
        <f>SUM('[93]Imported Pigs Costing 1024'!$AL$32,'[93]Imported Pigs Costing 1024'!$AL$22,'[93]Imported Pigs Costing 1024'!$AL$21,'[93]Imported Pigs Costing 1024'!$AL$19,'[93]Imported Pigs Costing 1024'!$AL$17,'[93]Imported Pigs Costing 1024'!$AL$16)</f>
        <v>-1831.5979323759161</v>
      </c>
      <c r="L380" s="818">
        <f>SUM('[93]Imported Pigs Costing 1024'!$BJ$36:$BJ$37)</f>
        <v>0</v>
      </c>
      <c r="N380" s="805">
        <v>-2482.7262885980299</v>
      </c>
    </row>
    <row r="381" spans="1:14" ht="15.6">
      <c r="H381" s="1790"/>
      <c r="I381" s="1898"/>
      <c r="J381" s="1899"/>
    </row>
    <row r="382" spans="1:14" ht="15.6">
      <c r="A382" s="142">
        <v>5201</v>
      </c>
      <c r="B382" s="1059">
        <v>1089966.6299999999</v>
      </c>
      <c r="C382" s="1884">
        <f>[96]Sheet1!$D$66</f>
        <v>1089966.6299999999</v>
      </c>
      <c r="D382" s="818">
        <f>B382-C382</f>
        <v>0</v>
      </c>
      <c r="F382" s="142">
        <f>SUM('Triple C Pigs'!AU58:AU62)</f>
        <v>-5058672.9088203087</v>
      </c>
      <c r="I382" s="1898"/>
      <c r="J382" s="1899"/>
      <c r="K382" s="818">
        <f>SUM(K378:K380)</f>
        <v>-2077.1066257844213</v>
      </c>
      <c r="L382" s="818">
        <f>L378-L380</f>
        <v>-25991.237486057329</v>
      </c>
    </row>
    <row r="383" spans="1:14">
      <c r="A383" s="142">
        <v>5205</v>
      </c>
      <c r="B383" s="1059">
        <v>3717188.9747748929</v>
      </c>
      <c r="C383" s="1884">
        <f>[96]Sheet1!$D$93</f>
        <v>3718071.25</v>
      </c>
      <c r="D383" s="818">
        <f t="shared" ref="D383:D386" si="136">B383-C383</f>
        <v>-882.27522510709241</v>
      </c>
      <c r="F383" s="142">
        <f>SUM('Non Current'!AA18:AA22)</f>
        <v>-41170.914101558097</v>
      </c>
      <c r="K383" s="818"/>
      <c r="L383" s="818"/>
    </row>
    <row r="384" spans="1:14">
      <c r="A384" s="142">
        <v>5202</v>
      </c>
      <c r="B384" s="1059">
        <v>496786.52059892355</v>
      </c>
      <c r="C384" s="1884">
        <f>[96]Sheet1!$D$77</f>
        <v>496786.52</v>
      </c>
      <c r="D384" s="818">
        <f t="shared" si="136"/>
        <v>5.9892353601753712E-4</v>
      </c>
      <c r="F384" s="1059">
        <f>SUM(F382:F383)</f>
        <v>-5099843.8229218666</v>
      </c>
      <c r="G384" s="142">
        <f>'[27]Bio Assets USD New'!$G$8+'[27]Bio Assets USD New'!$G$31+'[27]Bio Assets USD New'!$G$45</f>
        <v>-1109193.6913386998</v>
      </c>
    </row>
    <row r="385" spans="1:7">
      <c r="A385" s="142">
        <v>5208</v>
      </c>
      <c r="B385" s="1059">
        <v>762358.81623967038</v>
      </c>
      <c r="C385" s="1884">
        <f>[96]Sheet1!$D$97</f>
        <v>761476.54</v>
      </c>
      <c r="D385" s="818">
        <f t="shared" si="136"/>
        <v>882.27623967034742</v>
      </c>
      <c r="F385" s="1059">
        <f>SUM(F329:K329)</f>
        <v>-35858.827013437331</v>
      </c>
      <c r="G385" s="142">
        <f>'[27]Bio Assets USD New'!$G$10+'[27]Bio Assets USD New'!$G$33+'[27]Bio Assets USD New'!$G$48</f>
        <v>-67245.690128063361</v>
      </c>
    </row>
    <row r="386" spans="1:7">
      <c r="A386" s="142">
        <v>5203</v>
      </c>
      <c r="B386" s="1059">
        <v>1072118.96</v>
      </c>
      <c r="C386" s="1884">
        <f>[96]Sheet1!$D$86</f>
        <v>1072429.9099999999</v>
      </c>
      <c r="D386" s="818">
        <f t="shared" si="136"/>
        <v>-310.94999999995343</v>
      </c>
      <c r="G386" s="1059">
        <f>SUM(G384:G385)</f>
        <v>-1176439.3814667631</v>
      </c>
    </row>
    <row r="387" spans="1:7">
      <c r="A387" s="142">
        <v>5204</v>
      </c>
      <c r="B387" s="1059">
        <v>-352019.23</v>
      </c>
      <c r="C387" s="1884">
        <f>[96]Sheet1!$E$89</f>
        <v>352019.23</v>
      </c>
      <c r="D387" s="818">
        <f>B387+C387</f>
        <v>0</v>
      </c>
      <c r="F387" s="818">
        <f>F384-F385</f>
        <v>-5063984.9959084289</v>
      </c>
      <c r="G387" s="818">
        <f>G386-F385</f>
        <v>-1140580.5544533257</v>
      </c>
    </row>
  </sheetData>
  <pageMargins left="0.70866141732283472" right="0.70866141732283472" top="0.74803149606299213" bottom="0.74803149606299213" header="0.31496062992125984" footer="0.31496062992125984"/>
  <pageSetup paperSize="9" scale="10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13DB-76A4-483A-9734-53463F7EB3E2}">
  <sheetPr codeName="Sheet63">
    <tabColor theme="6" tint="-0.249977111117893"/>
  </sheetPr>
  <dimension ref="A1"/>
  <sheetViews>
    <sheetView workbookViewId="0"/>
  </sheetViews>
  <sheetFormatPr defaultRowHeight="13.1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64">
    <tabColor theme="6" tint="-0.249977111117893"/>
    <pageSetUpPr fitToPage="1"/>
  </sheetPr>
  <dimension ref="A1:AK51"/>
  <sheetViews>
    <sheetView view="pageBreakPreview" topLeftCell="A2" zoomScale="70" zoomScaleNormal="100" zoomScaleSheetLayoutView="70" workbookViewId="0">
      <pane xSplit="1" ySplit="3" topLeftCell="B5" activePane="bottomRight" state="frozen"/>
      <selection pane="bottomRight" activeCell="G22" sqref="G22"/>
      <selection pane="bottomLeft" activeCell="A5" sqref="A5"/>
      <selection pane="topRight" activeCell="B2" sqref="B2"/>
    </sheetView>
  </sheetViews>
  <sheetFormatPr defaultRowHeight="13.15"/>
  <cols>
    <col min="1" max="1" width="30.5703125" bestFit="1" customWidth="1"/>
    <col min="2" max="2" width="13.7109375" bestFit="1" customWidth="1"/>
    <col min="3" max="3" width="17" bestFit="1" customWidth="1"/>
    <col min="4" max="4" width="15.42578125" bestFit="1" customWidth="1"/>
    <col min="5" max="5" width="2.42578125" customWidth="1"/>
    <col min="6" max="6" width="8.7109375" bestFit="1" customWidth="1"/>
    <col min="7" max="7" width="19" style="23" bestFit="1" customWidth="1"/>
    <col min="8" max="8" width="11.85546875" bestFit="1" customWidth="1"/>
    <col min="9" max="9" width="2.28515625" customWidth="1"/>
    <col min="10" max="10" width="12" bestFit="1" customWidth="1"/>
    <col min="11" max="11" width="20.5703125" bestFit="1" customWidth="1"/>
    <col min="12" max="12" width="15.42578125" bestFit="1" customWidth="1"/>
    <col min="13" max="13" width="2.42578125" customWidth="1"/>
    <col min="14" max="14" width="12" bestFit="1" customWidth="1"/>
    <col min="15" max="15" width="20.5703125" bestFit="1" customWidth="1"/>
    <col min="16" max="16" width="15.42578125" bestFit="1" customWidth="1"/>
    <col min="17" max="17" width="2.42578125" customWidth="1"/>
    <col min="18" max="18" width="9.42578125" bestFit="1" customWidth="1"/>
    <col min="19" max="19" width="17" bestFit="1" customWidth="1"/>
    <col min="20" max="20" width="11.140625" bestFit="1" customWidth="1"/>
    <col min="21" max="21" width="1.85546875" customWidth="1"/>
    <col min="22" max="22" width="11.140625" customWidth="1"/>
    <col min="23" max="23" width="15.5703125" customWidth="1"/>
    <col min="24" max="24" width="11.140625" customWidth="1"/>
    <col min="25" max="25" width="1.85546875" customWidth="1"/>
    <col min="26" max="26" width="10.42578125" bestFit="1" customWidth="1"/>
    <col min="27" max="27" width="21.85546875" bestFit="1" customWidth="1"/>
    <col min="28" max="28" width="15.42578125" bestFit="1" customWidth="1"/>
    <col min="29" max="29" width="16.28515625" bestFit="1" customWidth="1"/>
    <col min="30" max="30" width="15.28515625" bestFit="1" customWidth="1"/>
    <col min="31" max="31" width="14.5703125" bestFit="1" customWidth="1"/>
    <col min="32" max="32" width="14" style="23" bestFit="1" customWidth="1"/>
    <col min="33" max="33" width="11.5703125" bestFit="1" customWidth="1"/>
    <col min="34" max="34" width="10.5703125" bestFit="1" customWidth="1"/>
    <col min="36" max="36" width="10.5703125" bestFit="1" customWidth="1"/>
  </cols>
  <sheetData>
    <row r="1" spans="1:33" ht="14.45">
      <c r="A1" s="827" t="s">
        <v>82</v>
      </c>
      <c r="H1" s="621"/>
      <c r="N1" s="94"/>
      <c r="P1" s="94"/>
      <c r="Z1" s="621"/>
      <c r="AA1" s="621"/>
      <c r="AB1" s="621"/>
      <c r="AC1" s="621"/>
      <c r="AD1" s="621"/>
      <c r="AE1" s="621"/>
    </row>
    <row r="2" spans="1:33" s="1178" customFormat="1" ht="14.45">
      <c r="A2" s="827"/>
      <c r="B2" s="1178" t="s">
        <v>127</v>
      </c>
      <c r="C2" s="1178" t="s">
        <v>1720</v>
      </c>
      <c r="F2" s="1178" t="s">
        <v>186</v>
      </c>
      <c r="G2" s="1179" t="s">
        <v>1720</v>
      </c>
      <c r="J2" s="1178" t="s">
        <v>239</v>
      </c>
      <c r="K2" s="1178" t="s">
        <v>1968</v>
      </c>
      <c r="N2" s="1178" t="s">
        <v>1969</v>
      </c>
      <c r="O2" s="1178" t="s">
        <v>1720</v>
      </c>
      <c r="R2" s="1178" t="s">
        <v>191</v>
      </c>
      <c r="S2" s="1178" t="s">
        <v>1720</v>
      </c>
      <c r="V2" s="1178" t="s">
        <v>192</v>
      </c>
      <c r="W2" s="1178" t="s">
        <v>1720</v>
      </c>
      <c r="AA2" s="1178" t="s">
        <v>71</v>
      </c>
      <c r="AF2" s="1179"/>
    </row>
    <row r="3" spans="1:33" ht="14.45">
      <c r="A3" s="1177">
        <f>+'Summary Total Pigs'!C3</f>
        <v>46226</v>
      </c>
      <c r="B3" s="1172"/>
      <c r="C3" s="1181"/>
      <c r="D3" s="1181"/>
      <c r="F3" s="1172"/>
      <c r="G3" s="1181"/>
      <c r="H3" s="1181"/>
      <c r="J3" s="1173"/>
      <c r="K3" s="1176"/>
      <c r="L3" s="1176"/>
      <c r="N3" s="1173"/>
      <c r="O3" s="1176"/>
      <c r="P3" s="1176"/>
      <c r="R3" s="1173"/>
      <c r="S3" s="1176"/>
      <c r="T3" s="1176"/>
      <c r="U3" s="74"/>
      <c r="V3" s="1176"/>
      <c r="W3" s="1176"/>
      <c r="X3" s="1176"/>
      <c r="Z3" s="1173"/>
      <c r="AA3" s="1176"/>
      <c r="AB3" s="1176"/>
      <c r="AC3" s="74"/>
      <c r="AD3" s="74"/>
      <c r="AE3" s="74"/>
    </row>
    <row r="4" spans="1:33">
      <c r="B4" s="1173" t="s">
        <v>1581</v>
      </c>
      <c r="C4" s="1176" t="s">
        <v>199</v>
      </c>
      <c r="D4" s="1176" t="s">
        <v>1970</v>
      </c>
      <c r="F4" s="1173" t="s">
        <v>1581</v>
      </c>
      <c r="G4" s="1176" t="s">
        <v>199</v>
      </c>
      <c r="H4" s="1176" t="s">
        <v>1970</v>
      </c>
      <c r="J4" s="1173" t="s">
        <v>1581</v>
      </c>
      <c r="K4" s="1176" t="s">
        <v>199</v>
      </c>
      <c r="L4" s="1176" t="s">
        <v>1970</v>
      </c>
      <c r="N4" s="1173" t="s">
        <v>1581</v>
      </c>
      <c r="O4" s="1176" t="s">
        <v>199</v>
      </c>
      <c r="P4" s="1176" t="s">
        <v>1970</v>
      </c>
      <c r="R4" s="1173" t="s">
        <v>1581</v>
      </c>
      <c r="S4" s="1176" t="s">
        <v>199</v>
      </c>
      <c r="T4" s="1176" t="s">
        <v>1970</v>
      </c>
      <c r="U4" s="74"/>
      <c r="V4" s="1173" t="s">
        <v>1581</v>
      </c>
      <c r="W4" s="1176" t="s">
        <v>199</v>
      </c>
      <c r="X4" s="1176" t="s">
        <v>1970</v>
      </c>
      <c r="Z4" s="1173" t="s">
        <v>1581</v>
      </c>
      <c r="AA4" s="1176" t="s">
        <v>199</v>
      </c>
      <c r="AB4" s="1176" t="s">
        <v>1970</v>
      </c>
      <c r="AC4" s="74"/>
      <c r="AD4" s="74"/>
      <c r="AE4" s="74"/>
    </row>
    <row r="5" spans="1:33" ht="14.45">
      <c r="A5" s="827" t="s">
        <v>1971</v>
      </c>
      <c r="B5" s="1272">
        <f>'[2]Non Current'!$B$33</f>
        <v>2791</v>
      </c>
      <c r="C5" s="1272">
        <f>'[2]Non Current'!$C$32</f>
        <v>316527.21672184131</v>
      </c>
      <c r="D5" s="1175">
        <f>+IFERROR(C5/B5,0)</f>
        <v>113.40996657894708</v>
      </c>
      <c r="F5" s="1272">
        <f>'[2]Non Current'!$F$32</f>
        <v>585</v>
      </c>
      <c r="G5" s="1272">
        <f>'[2]Non Current'!$G$32</f>
        <v>181219.41506708908</v>
      </c>
      <c r="H5" s="1175">
        <f>+IFERROR(G5/F5,0)</f>
        <v>309.77677789245996</v>
      </c>
      <c r="J5" s="1272">
        <f>'[2]Non Current'!$J$32</f>
        <v>1262</v>
      </c>
      <c r="K5" s="1272">
        <f>'[2]Non Current'!$K$32</f>
        <v>201276.07764538229</v>
      </c>
      <c r="L5" s="1175">
        <f>+IFERROR(K5/J5,0)</f>
        <v>159.48976041630925</v>
      </c>
      <c r="N5" s="1272">
        <f>'[2]Non Current'!$N$32</f>
        <v>1421</v>
      </c>
      <c r="O5" s="1272">
        <f>'[2]Non Current'!$O$32</f>
        <v>429595.94218253106</v>
      </c>
      <c r="P5" s="1175">
        <f>+IFERROR(O5/N5,0)</f>
        <v>302.31945262669319</v>
      </c>
      <c r="R5" s="1272">
        <f>'[2]Non Current'!$R$32</f>
        <v>747</v>
      </c>
      <c r="S5" s="1272">
        <f>'[2]Non Current'!$S$32</f>
        <v>181751.9089625715</v>
      </c>
      <c r="T5" s="1182">
        <f>S5/R5</f>
        <v>243.30911507707029</v>
      </c>
      <c r="U5" s="2055"/>
      <c r="V5" s="1272">
        <f>'[2]Non Current'!$V$32</f>
        <v>175</v>
      </c>
      <c r="W5" s="1272">
        <f>'[2]Non Current'!$W$32</f>
        <v>29862.942653578684</v>
      </c>
      <c r="X5" s="1182"/>
      <c r="Z5" s="1272">
        <f>+B5+F5+J5+N5+R5+V5</f>
        <v>6981</v>
      </c>
      <c r="AA5" s="1272">
        <f>+C5+G5+K5+O5+S5+W5</f>
        <v>1340233.5032329939</v>
      </c>
      <c r="AB5" s="1175">
        <f>+IFERROR(AA5/Z5,0)</f>
        <v>191.98302581764702</v>
      </c>
      <c r="AC5" s="1272">
        <f>+'[97]Non Current'!Y28</f>
        <v>0</v>
      </c>
      <c r="AD5" s="1272" t="str">
        <f>+'[76]Non Current'!Z28</f>
        <v>Check</v>
      </c>
      <c r="AE5" s="1183">
        <f>'Total Pigs'!G282</f>
        <v>1332051.0211441938</v>
      </c>
      <c r="AG5" s="621"/>
    </row>
    <row r="6" spans="1:33" ht="14.45">
      <c r="A6" t="s">
        <v>1972</v>
      </c>
      <c r="B6" s="1273"/>
      <c r="C6" s="1901"/>
      <c r="D6" s="1175">
        <f t="shared" ref="D6:D16" si="0">+IFERROR(C6/B6,0)</f>
        <v>0</v>
      </c>
      <c r="F6" s="1273">
        <v>0</v>
      </c>
      <c r="G6" s="1174"/>
      <c r="H6" s="1175">
        <f t="shared" ref="H6:H17" si="1">+IFERROR(G6/F6,0)</f>
        <v>0</v>
      </c>
      <c r="J6" s="1273"/>
      <c r="K6" s="1174"/>
      <c r="L6" s="1175">
        <f t="shared" ref="L6:L16" si="2">+IFERROR(K6/J6,0)</f>
        <v>0</v>
      </c>
      <c r="N6" s="1273">
        <v>0</v>
      </c>
      <c r="O6" s="1174"/>
      <c r="P6" s="1175">
        <f t="shared" ref="P6:P17" si="3">+IFERROR(O6/N6,0)</f>
        <v>0</v>
      </c>
      <c r="R6" s="1273"/>
      <c r="S6" s="1176"/>
      <c r="T6" s="1176"/>
      <c r="U6" s="74"/>
      <c r="V6" s="1176"/>
      <c r="W6" s="1176"/>
      <c r="X6" s="1176"/>
      <c r="Z6" s="1273">
        <f>+B6+F6+J6+N6+R6+V6</f>
        <v>0</v>
      </c>
      <c r="AA6" s="1184">
        <f>+C6+G6+K6+O6+S6+W6</f>
        <v>0</v>
      </c>
      <c r="AB6" s="1175">
        <f>+IFERROR(AA6/Z6,0)</f>
        <v>0</v>
      </c>
      <c r="AC6" s="74"/>
      <c r="AD6" s="74"/>
      <c r="AE6" s="74">
        <f>AE5-AA5</f>
        <v>-8182.482088800054</v>
      </c>
    </row>
    <row r="7" spans="1:33" ht="14.45">
      <c r="A7" t="s">
        <v>1973</v>
      </c>
      <c r="B7" s="1273"/>
      <c r="C7" s="1174">
        <f>+'Grasmere Pig Cost'!AW40</f>
        <v>45852.9</v>
      </c>
      <c r="D7" s="1175">
        <f t="shared" si="0"/>
        <v>0</v>
      </c>
      <c r="F7" s="1273"/>
      <c r="G7" s="1174">
        <f>+'Villa Pig Cost'!AW40</f>
        <v>9067</v>
      </c>
      <c r="H7" s="1175">
        <f t="shared" si="1"/>
        <v>0</v>
      </c>
      <c r="J7" s="1273"/>
      <c r="K7" s="1176">
        <f>+'Richlands Pig Cost'!AW40</f>
        <v>23169</v>
      </c>
      <c r="L7" s="1175">
        <f t="shared" si="2"/>
        <v>0</v>
      </c>
      <c r="N7" s="1273"/>
      <c r="O7" s="1176">
        <f>+'Lionhead Pig Cost'!AW40</f>
        <v>20442.599999999999</v>
      </c>
      <c r="P7" s="1175">
        <f t="shared" si="3"/>
        <v>0</v>
      </c>
      <c r="R7" s="1273"/>
      <c r="S7" s="1176">
        <f>'Porta Pig Cost'!AW40</f>
        <v>21574</v>
      </c>
      <c r="T7" s="1176"/>
      <c r="U7" s="74"/>
      <c r="V7" s="1176"/>
      <c r="W7" s="1176">
        <f>'Multiplier Pig Cost '!AW40</f>
        <v>10866.9</v>
      </c>
      <c r="X7" s="1176"/>
      <c r="Z7" s="1273">
        <f t="shared" ref="Z7:Z16" si="4">+B7+F7+J7+N7+R7+V7</f>
        <v>0</v>
      </c>
      <c r="AA7" s="1184">
        <f>+C7+G7+K7+O7+S7+W7</f>
        <v>130972.4</v>
      </c>
      <c r="AB7" s="1175">
        <f t="shared" ref="AB7:AB16" si="5">+IFERROR(AA7/Z7,0)</f>
        <v>0</v>
      </c>
      <c r="AC7" s="74"/>
      <c r="AD7" s="74"/>
      <c r="AE7" s="74"/>
      <c r="AF7" s="23">
        <v>21.28</v>
      </c>
      <c r="AG7" s="621"/>
    </row>
    <row r="8" spans="1:33" ht="14.45">
      <c r="A8" t="s">
        <v>1854</v>
      </c>
      <c r="B8" s="1273">
        <f>-'Grasmere Pig Cost'!AU23</f>
        <v>0</v>
      </c>
      <c r="C8" s="1174">
        <f>-'Grasmere Pig Cost'!AU56</f>
        <v>0</v>
      </c>
      <c r="D8" s="1175">
        <f>+IFERROR(C8/B8,0)</f>
        <v>0</v>
      </c>
      <c r="F8" s="1273">
        <f>-'Villa Pig Cost'!AV23</f>
        <v>-1</v>
      </c>
      <c r="G8" s="1174">
        <f>-'Villa Pig Cost'!AU56-'Grasmere Pig Cost'!AB49-'Grasmere Pig Cost'!AC49-'Grasmere Pig Cost'!AE49</f>
        <v>-97.017972351651125</v>
      </c>
      <c r="H8" s="1175">
        <f t="shared" si="1"/>
        <v>97.017972351651125</v>
      </c>
      <c r="J8" s="1273">
        <f>-'Richlands Pig Cost'!AV23</f>
        <v>54</v>
      </c>
      <c r="K8" s="1176">
        <f>-'Richlands Pig Cost'!AU56-'Grasmere Pig Cost'!AB47-'Grasmere Pig Cost'!AC47-'Grasmere Pig Cost'!AD47-'Grasmere Pig Cost'!AE47</f>
        <v>5511.1962149971705</v>
      </c>
      <c r="L8" s="1175">
        <f t="shared" si="2"/>
        <v>102.05918916661427</v>
      </c>
      <c r="N8" s="1273">
        <f>-'Lionhead Pig Cost'!AU23+'Grasmere Batch Mvnt'!H111+'Grasmere Batch Mvnt'!M98</f>
        <v>0</v>
      </c>
      <c r="O8" s="1176">
        <f>-'Lionhead Pig Cost'!AU56-'Grasmere Pig Cost'!AB45-'Grasmere Pig Cost'!AC45-'Grasmere Pig Cost'!AD45-'Grasmere Pig Cost'!AE45</f>
        <v>0</v>
      </c>
      <c r="P8" s="1175">
        <f t="shared" si="3"/>
        <v>0</v>
      </c>
      <c r="R8" s="1273">
        <v>0</v>
      </c>
      <c r="S8" s="1176">
        <f>-'Porta Pig Cost'!AU56</f>
        <v>0</v>
      </c>
      <c r="T8" s="1176"/>
      <c r="U8" s="74"/>
      <c r="V8" s="1174">
        <f>+'Summary Total Pigs'!D168</f>
        <v>42</v>
      </c>
      <c r="W8" s="2213">
        <f>-'Multiplier Pig Cost '!AU56</f>
        <v>9702.2223293101833</v>
      </c>
      <c r="X8" s="2092">
        <f>+IFERROR(W8/V8,0)</f>
        <v>231.00529355500436</v>
      </c>
      <c r="Z8" s="1273">
        <f t="shared" si="4"/>
        <v>95</v>
      </c>
      <c r="AA8" s="1184">
        <f t="shared" ref="AA8:AA16" si="6">+C8+G8+K8+O8+S8+W8</f>
        <v>15116.400571955703</v>
      </c>
      <c r="AB8" s="1175">
        <f t="shared" si="5"/>
        <v>159.12000602058635</v>
      </c>
      <c r="AC8" s="74">
        <f>+AB5/185</f>
        <v>1.0377460855007947</v>
      </c>
      <c r="AD8" s="74">
        <f>6021-Z5</f>
        <v>-960</v>
      </c>
      <c r="AE8" s="74"/>
      <c r="AG8" s="621"/>
    </row>
    <row r="9" spans="1:33" ht="14.45">
      <c r="A9" t="s">
        <v>1901</v>
      </c>
      <c r="B9" s="1273"/>
      <c r="C9" s="1174"/>
      <c r="D9" s="1175">
        <f t="shared" si="0"/>
        <v>0</v>
      </c>
      <c r="F9" s="1273">
        <f>-B26</f>
        <v>0</v>
      </c>
      <c r="G9" s="1174">
        <f>-C26</f>
        <v>0</v>
      </c>
      <c r="H9" s="1175">
        <f>+IFERROR(G9/F9,0)</f>
        <v>0</v>
      </c>
      <c r="J9" s="1273">
        <f>-B24</f>
        <v>0</v>
      </c>
      <c r="K9" s="1176">
        <f>-C24</f>
        <v>0</v>
      </c>
      <c r="L9" s="1175">
        <f>+IFERROR(K9/J9,0)</f>
        <v>0</v>
      </c>
      <c r="N9" s="1807">
        <f>-B25</f>
        <v>0</v>
      </c>
      <c r="O9" s="1176">
        <f>-C25</f>
        <v>0</v>
      </c>
      <c r="P9" s="1175">
        <f>+IFERROR(O9/N9,0)</f>
        <v>0</v>
      </c>
      <c r="R9" s="1273">
        <f>-B27</f>
        <v>0</v>
      </c>
      <c r="S9" s="1273">
        <f>-C27</f>
        <v>0</v>
      </c>
      <c r="T9" s="1175">
        <f>+IFERROR(S9/R9,0)</f>
        <v>0</v>
      </c>
      <c r="U9" s="1599"/>
      <c r="V9" s="2092">
        <f>+B45</f>
        <v>4</v>
      </c>
      <c r="W9" s="2112">
        <v>0</v>
      </c>
      <c r="X9" s="2092">
        <f>+IFERROR(W9/V9,0)</f>
        <v>0</v>
      </c>
      <c r="Z9" s="1273">
        <f t="shared" si="4"/>
        <v>4</v>
      </c>
      <c r="AA9" s="1184">
        <f t="shared" si="6"/>
        <v>0</v>
      </c>
      <c r="AB9" s="1175">
        <f t="shared" si="5"/>
        <v>0</v>
      </c>
      <c r="AC9" s="74">
        <f>+AC8*13</f>
        <v>13.490699111510331</v>
      </c>
      <c r="AD9" s="74"/>
      <c r="AE9" s="74"/>
      <c r="AG9" s="621"/>
    </row>
    <row r="10" spans="1:33" ht="14.45">
      <c r="A10" t="s">
        <v>1856</v>
      </c>
      <c r="B10" s="1273"/>
      <c r="C10" s="1174"/>
      <c r="D10" s="1175">
        <f t="shared" si="0"/>
        <v>0</v>
      </c>
      <c r="F10" s="1273">
        <f>-'Richlands Pig Cost'!AU16</f>
        <v>0</v>
      </c>
      <c r="G10" s="1174">
        <f>-'Richlands Pig Cost'!AB49</f>
        <v>0</v>
      </c>
      <c r="H10" s="1175">
        <f t="shared" si="1"/>
        <v>0</v>
      </c>
      <c r="J10" s="1273"/>
      <c r="K10" s="1273"/>
      <c r="L10" s="1175">
        <f>+IFERROR(K10/J10,0)</f>
        <v>0</v>
      </c>
      <c r="N10" s="1273">
        <f>'Summary Total Pigs'!G56</f>
        <v>0</v>
      </c>
      <c r="O10" s="1176">
        <f>-K25</f>
        <v>0</v>
      </c>
      <c r="P10" s="1175">
        <f t="shared" si="3"/>
        <v>0</v>
      </c>
      <c r="R10" s="1273">
        <v>0</v>
      </c>
      <c r="S10" s="1176">
        <f>+R10*T5</f>
        <v>0</v>
      </c>
      <c r="T10" s="1176"/>
      <c r="U10" s="74"/>
      <c r="V10" s="1176"/>
      <c r="W10" s="1176"/>
      <c r="X10" s="2090"/>
      <c r="Z10" s="1273">
        <f t="shared" si="4"/>
        <v>0</v>
      </c>
      <c r="AA10" s="1184">
        <f t="shared" si="6"/>
        <v>0</v>
      </c>
      <c r="AB10" s="1175">
        <f t="shared" si="5"/>
        <v>0</v>
      </c>
      <c r="AC10" s="74"/>
      <c r="AD10" s="74"/>
      <c r="AE10" s="74"/>
      <c r="AG10" s="621"/>
    </row>
    <row r="11" spans="1:33" ht="14.45">
      <c r="A11" t="s">
        <v>1908</v>
      </c>
      <c r="B11" s="1273"/>
      <c r="C11" s="1174"/>
      <c r="D11" s="1175">
        <f t="shared" si="0"/>
        <v>0</v>
      </c>
      <c r="F11" s="1273">
        <f>-N26</f>
        <v>0</v>
      </c>
      <c r="G11" s="1174"/>
      <c r="H11" s="1175">
        <f t="shared" si="1"/>
        <v>0</v>
      </c>
      <c r="J11" s="1273"/>
      <c r="K11" s="1176"/>
      <c r="L11" s="1175">
        <f t="shared" si="2"/>
        <v>0</v>
      </c>
      <c r="N11" s="1273"/>
      <c r="O11" s="1176"/>
      <c r="P11" s="1175">
        <f t="shared" si="3"/>
        <v>0</v>
      </c>
      <c r="R11" s="1273">
        <f>-N30+2</f>
        <v>8</v>
      </c>
      <c r="S11" s="1176">
        <v>0</v>
      </c>
      <c r="T11" s="1176"/>
      <c r="U11" s="74"/>
      <c r="V11" s="1176">
        <f>-N30</f>
        <v>6</v>
      </c>
      <c r="W11" s="1176"/>
      <c r="X11" s="2090"/>
      <c r="Z11" s="1273">
        <f t="shared" si="4"/>
        <v>14</v>
      </c>
      <c r="AA11" s="1184">
        <f>+C11+G11+K11+O11+S11+W11</f>
        <v>0</v>
      </c>
      <c r="AB11" s="1175">
        <f t="shared" si="5"/>
        <v>0</v>
      </c>
      <c r="AC11" s="74"/>
      <c r="AD11" s="74"/>
      <c r="AE11" s="74"/>
      <c r="AG11" s="621"/>
    </row>
    <row r="12" spans="1:33" ht="14.45">
      <c r="A12" t="s">
        <v>1855</v>
      </c>
      <c r="B12" s="1273">
        <f>-F23</f>
        <v>0</v>
      </c>
      <c r="C12" s="1174"/>
      <c r="D12" s="1175">
        <f t="shared" si="0"/>
        <v>0</v>
      </c>
      <c r="F12" s="1273"/>
      <c r="G12" s="1174"/>
      <c r="H12" s="1175">
        <f t="shared" si="1"/>
        <v>0</v>
      </c>
      <c r="J12" s="1273"/>
      <c r="K12" s="1273"/>
      <c r="L12" s="1175">
        <f t="shared" si="2"/>
        <v>0</v>
      </c>
      <c r="N12" s="1273">
        <f>-F25</f>
        <v>0</v>
      </c>
      <c r="O12" s="1176">
        <f>-G25</f>
        <v>0</v>
      </c>
      <c r="P12" s="1175">
        <f t="shared" si="3"/>
        <v>0</v>
      </c>
      <c r="R12" s="1273"/>
      <c r="S12" s="1176"/>
      <c r="T12" s="1176"/>
      <c r="U12" s="74"/>
      <c r="V12" s="1176"/>
      <c r="W12" s="1176"/>
      <c r="X12" s="2090"/>
      <c r="Z12" s="1273">
        <f t="shared" si="4"/>
        <v>0</v>
      </c>
      <c r="AA12" s="1184">
        <f t="shared" si="6"/>
        <v>0</v>
      </c>
      <c r="AB12" s="1175">
        <f t="shared" si="5"/>
        <v>0</v>
      </c>
      <c r="AC12" s="74"/>
      <c r="AD12" s="74"/>
      <c r="AE12" s="74"/>
      <c r="AG12" s="621"/>
    </row>
    <row r="13" spans="1:33" ht="14.45">
      <c r="A13" t="s">
        <v>1860</v>
      </c>
      <c r="B13" s="1273"/>
      <c r="C13" s="1174"/>
      <c r="D13" s="1175"/>
      <c r="F13" s="1273"/>
      <c r="G13" s="1174"/>
      <c r="H13" s="1175"/>
      <c r="J13" s="1273">
        <f>-SUM('Summary Total Pigs'!O149:O151)</f>
        <v>0</v>
      </c>
      <c r="K13" s="1273">
        <f>S24</f>
        <v>0</v>
      </c>
      <c r="L13" s="1175"/>
      <c r="N13" s="1273">
        <f>-R25</f>
        <v>0</v>
      </c>
      <c r="O13" s="1273">
        <f>-S25</f>
        <v>0</v>
      </c>
      <c r="P13" s="1175">
        <f t="shared" si="3"/>
        <v>0</v>
      </c>
      <c r="R13" s="1273"/>
      <c r="S13" s="1176"/>
      <c r="T13" s="1176"/>
      <c r="U13" s="74"/>
      <c r="V13" s="1176"/>
      <c r="W13" s="1176"/>
      <c r="X13" s="2090"/>
      <c r="Z13" s="1273">
        <f t="shared" si="4"/>
        <v>0</v>
      </c>
      <c r="AA13" s="1184">
        <f t="shared" si="6"/>
        <v>0</v>
      </c>
      <c r="AB13" s="1175">
        <f t="shared" si="5"/>
        <v>0</v>
      </c>
      <c r="AC13" s="74"/>
      <c r="AD13" s="74"/>
      <c r="AE13" s="74"/>
      <c r="AG13" s="621"/>
    </row>
    <row r="14" spans="1:33" ht="14.45">
      <c r="A14" t="s">
        <v>1861</v>
      </c>
      <c r="B14" s="1273">
        <f>+'Summary Total Pigs'!L15</f>
        <v>95</v>
      </c>
      <c r="C14" s="1273">
        <f>-W23</f>
        <v>0</v>
      </c>
      <c r="D14" s="1175">
        <f t="shared" si="0"/>
        <v>0</v>
      </c>
      <c r="F14" s="1273">
        <f>+'Summary Total Pigs'!L92</f>
        <v>17</v>
      </c>
      <c r="G14" s="1273">
        <f>-W26</f>
        <v>0</v>
      </c>
      <c r="H14" s="1175">
        <f t="shared" si="1"/>
        <v>0</v>
      </c>
      <c r="J14" s="1273">
        <f>+'Richlands Pig Cost'!AV21</f>
        <v>45</v>
      </c>
      <c r="K14" s="1273">
        <v>0</v>
      </c>
      <c r="L14" s="1175">
        <f>+IFERROR(K14/J14,0)</f>
        <v>0</v>
      </c>
      <c r="N14" s="1273">
        <f>+'Summary Total Pigs'!L53</f>
        <v>43</v>
      </c>
      <c r="O14" s="1273">
        <v>0</v>
      </c>
      <c r="P14" s="1175">
        <f t="shared" si="3"/>
        <v>0</v>
      </c>
      <c r="R14" s="1273">
        <f>+'Summary Total Pigs'!K149</f>
        <v>47</v>
      </c>
      <c r="S14" s="1273">
        <v>0</v>
      </c>
      <c r="T14" s="1175">
        <f>+IFERROR(S14/R14,0)</f>
        <v>0</v>
      </c>
      <c r="U14" s="74"/>
      <c r="V14" s="1176"/>
      <c r="W14" s="1176"/>
      <c r="X14" s="2090"/>
      <c r="Z14" s="1273">
        <f t="shared" si="4"/>
        <v>247</v>
      </c>
      <c r="AA14" s="1184">
        <f t="shared" si="6"/>
        <v>0</v>
      </c>
      <c r="AB14" s="1175"/>
      <c r="AC14" s="74"/>
      <c r="AD14" s="74"/>
      <c r="AE14" s="74"/>
      <c r="AG14" s="621"/>
    </row>
    <row r="15" spans="1:33" ht="14.45">
      <c r="A15" t="s">
        <v>1862</v>
      </c>
      <c r="B15" s="1273">
        <v>0</v>
      </c>
      <c r="C15" s="1174">
        <f>-'Grasmere Pig Cost'!AU53</f>
        <v>1171.627486775812</v>
      </c>
      <c r="D15" s="1175">
        <f t="shared" si="0"/>
        <v>0</v>
      </c>
      <c r="F15" s="1273">
        <f>-'Villa Pig Cost'!AU20</f>
        <v>0</v>
      </c>
      <c r="G15" s="1174">
        <f>-'Villa Pig Cost'!AU53</f>
        <v>0</v>
      </c>
      <c r="H15" s="1175">
        <f t="shared" si="1"/>
        <v>0</v>
      </c>
      <c r="J15" s="1273">
        <f>-'Richlands Pig Cost'!AU20</f>
        <v>0</v>
      </c>
      <c r="K15" s="1176">
        <f>-'Richlands Pig Cost'!AU53</f>
        <v>0</v>
      </c>
      <c r="L15" s="1175">
        <f>+IFERROR(K15/J15,0)</f>
        <v>0</v>
      </c>
      <c r="N15" s="1549">
        <f>-'Lionhead Pig Cost'!AU20</f>
        <v>0</v>
      </c>
      <c r="O15" s="1176">
        <f>-'Lionhead Pig Cost'!AU53</f>
        <v>0</v>
      </c>
      <c r="P15" s="1175">
        <f t="shared" si="3"/>
        <v>0</v>
      </c>
      <c r="R15" s="1273">
        <f>-'Porta Pig Cost'!AU20</f>
        <v>0</v>
      </c>
      <c r="S15" s="1176">
        <f>-'Porta Pig Cost'!AU53</f>
        <v>0</v>
      </c>
      <c r="T15" s="1175">
        <f>+IFERROR(S15/R15,0)</f>
        <v>0</v>
      </c>
      <c r="U15" s="1599"/>
      <c r="V15" s="1175">
        <f>-'Multiplier Pig Cost '!AV20</f>
        <v>0</v>
      </c>
      <c r="W15" s="2213">
        <f>-V15*-[98]Sheet1!$BV$20</f>
        <v>0</v>
      </c>
      <c r="X15" s="2092"/>
      <c r="Z15" s="1273">
        <f t="shared" si="4"/>
        <v>0</v>
      </c>
      <c r="AA15" s="1184">
        <f t="shared" si="6"/>
        <v>1171.627486775812</v>
      </c>
      <c r="AB15" s="1175">
        <f>+IFERROR(AA15/Z15,0)</f>
        <v>0</v>
      </c>
      <c r="AC15" s="74"/>
      <c r="AD15" s="74"/>
      <c r="AE15" s="74"/>
      <c r="AG15" s="621"/>
    </row>
    <row r="16" spans="1:33" ht="14.45">
      <c r="A16" t="s">
        <v>1863</v>
      </c>
      <c r="B16" s="1273">
        <f>-'Grasmere Pig Cost'!AV21</f>
        <v>0</v>
      </c>
      <c r="C16" s="1174">
        <f>-'Grasmere Pig Cost'!AU54</f>
        <v>0</v>
      </c>
      <c r="D16" s="1175">
        <f t="shared" si="0"/>
        <v>0</v>
      </c>
      <c r="F16" s="1273"/>
      <c r="G16" s="1174"/>
      <c r="H16" s="1175">
        <f t="shared" si="1"/>
        <v>0</v>
      </c>
      <c r="J16" s="1273"/>
      <c r="K16" s="1176"/>
      <c r="L16" s="1175">
        <f t="shared" si="2"/>
        <v>0</v>
      </c>
      <c r="N16" s="1549"/>
      <c r="O16" s="1176"/>
      <c r="P16" s="1175">
        <f t="shared" si="3"/>
        <v>0</v>
      </c>
      <c r="R16" s="1273"/>
      <c r="S16" s="1176"/>
      <c r="T16" s="1176"/>
      <c r="U16" s="74"/>
      <c r="V16" s="1176">
        <f>-'Multiplier Pig Cost '!AU20</f>
        <v>0</v>
      </c>
      <c r="W16" s="2213">
        <f>-V16*-[98]Sheet1!$BV$20</f>
        <v>0</v>
      </c>
      <c r="X16" s="2092">
        <f t="shared" ref="X16:X21" si="7">+IFERROR(W16/V16,0)</f>
        <v>0</v>
      </c>
      <c r="Z16" s="1273">
        <f t="shared" si="4"/>
        <v>0</v>
      </c>
      <c r="AA16" s="1184">
        <f t="shared" si="6"/>
        <v>0</v>
      </c>
      <c r="AB16" s="1175">
        <f t="shared" si="5"/>
        <v>0</v>
      </c>
      <c r="AC16" s="74"/>
      <c r="AD16" s="74"/>
      <c r="AE16" s="74"/>
      <c r="AG16" s="621"/>
    </row>
    <row r="17" spans="1:37" s="827" customFormat="1" ht="14.45">
      <c r="A17" s="827" t="s">
        <v>71</v>
      </c>
      <c r="B17" s="1272">
        <f>SUM(B5:B16)</f>
        <v>2886</v>
      </c>
      <c r="C17" s="1272">
        <f>SUM(C5:C16)</f>
        <v>363551.74420861714</v>
      </c>
      <c r="D17" s="1175">
        <f>+IFERROR(C17/B17,0)</f>
        <v>125.97080533909117</v>
      </c>
      <c r="F17" s="1272">
        <f>SUM(F5:F16)</f>
        <v>601</v>
      </c>
      <c r="G17" s="1272">
        <f>SUM(G5:G16)</f>
        <v>190189.39709473742</v>
      </c>
      <c r="H17" s="1175">
        <f t="shared" si="1"/>
        <v>316.45490365180933</v>
      </c>
      <c r="J17" s="1272">
        <f>SUM(J5:J16)</f>
        <v>1361</v>
      </c>
      <c r="K17" s="1272">
        <f>SUM(K5:K16)</f>
        <v>229956.27386037947</v>
      </c>
      <c r="L17" s="1175">
        <f>+IFERROR(K17/J17,0)</f>
        <v>168.96125926552497</v>
      </c>
      <c r="N17" s="1272">
        <f>SUM(N5:N16)</f>
        <v>1464</v>
      </c>
      <c r="O17" s="1272">
        <f>SUM(O5:O16)</f>
        <v>450038.54218253103</v>
      </c>
      <c r="P17" s="1175">
        <f t="shared" si="3"/>
        <v>307.40337580773979</v>
      </c>
      <c r="R17" s="1272">
        <f>SUM(R5:R16)</f>
        <v>802</v>
      </c>
      <c r="S17" s="1272">
        <f>SUM(S5:S16)</f>
        <v>203325.9089625715</v>
      </c>
      <c r="T17" s="1175">
        <f t="shared" ref="T17:T22" si="8">+IFERROR(S17/R17,0)</f>
        <v>253.5235772600642</v>
      </c>
      <c r="U17" s="1599"/>
      <c r="V17" s="2093">
        <f>SUM(V5:V16)</f>
        <v>227</v>
      </c>
      <c r="W17" s="2093">
        <f>SUM(W5:W16)</f>
        <v>50432.064982888871</v>
      </c>
      <c r="X17" s="2092">
        <f t="shared" si="7"/>
        <v>222.16768714929017</v>
      </c>
      <c r="Z17" s="1272">
        <f>SUM(Z5:Z16)</f>
        <v>7341</v>
      </c>
      <c r="AA17" s="1272">
        <f>SUM(AA5:AA16)</f>
        <v>1487493.9312917253</v>
      </c>
      <c r="AB17" s="1175">
        <f>+IFERROR(AA17/Z17,0)</f>
        <v>202.62824292218025</v>
      </c>
      <c r="AC17" s="1183"/>
      <c r="AD17" s="1183">
        <f>41401-277</f>
        <v>41124</v>
      </c>
      <c r="AE17" s="1183"/>
      <c r="AF17" s="1171"/>
    </row>
    <row r="18" spans="1:37" ht="14.45">
      <c r="A18" t="s">
        <v>1974</v>
      </c>
      <c r="B18" s="1273">
        <f>SUM('Summary Total Pigs'!Y15:Y17,'Summary Total Pigs'!W15:W17,'Summary Total Pigs'!W130:W132,'Summary Total Pigs'!Y130:Y132)</f>
        <v>-16</v>
      </c>
      <c r="C18" s="2213">
        <f>-B18*-[99]Sheet1!$BX$20</f>
        <v>-2656.0435440603815</v>
      </c>
      <c r="D18" s="1174">
        <f>+IFERROR(C18/B18,0)</f>
        <v>166.00272150377384</v>
      </c>
      <c r="F18" s="1273">
        <f>SUM('Summary Total Pigs'!W92:W94,'Summary Total Pigs'!Y92:Y94,'Villa Imported Boars'!F16)</f>
        <v>0</v>
      </c>
      <c r="G18" s="2213">
        <f>-F18*-[99]Sheet1!$BX$20</f>
        <v>0</v>
      </c>
      <c r="H18" s="1273">
        <f>+IFERROR(G18/F18,0)</f>
        <v>0</v>
      </c>
      <c r="J18" s="1273">
        <f>SUM('Summary Total Pigs'!W111:W113,'Summary Total Pigs'!Y111:Y113)-J45</f>
        <v>-6</v>
      </c>
      <c r="K18" s="2213">
        <f>-J18*-[99]Sheet1!$BX$20</f>
        <v>-996.01632902264305</v>
      </c>
      <c r="L18" s="1273">
        <f>+IFERROR(K18/J18,0)</f>
        <v>166.00272150377384</v>
      </c>
      <c r="N18" s="1273">
        <f>SUM('Summary Total Pigs'!W53:W55,'Summary Total Pigs'!Y53:Y55)</f>
        <v>-1</v>
      </c>
      <c r="O18" s="2213">
        <f>-N18*-[99]Sheet1!$BX$20</f>
        <v>-166.00272150377384</v>
      </c>
      <c r="P18" s="1273">
        <f>+IFERROR(O18/N18,0)</f>
        <v>166.00272150377384</v>
      </c>
      <c r="R18" s="2070">
        <v>0</v>
      </c>
      <c r="S18" s="2213">
        <f>-R18*-[99]Sheet1!$BX$20</f>
        <v>0</v>
      </c>
      <c r="T18" s="1175">
        <f t="shared" si="8"/>
        <v>0</v>
      </c>
      <c r="U18" s="74"/>
      <c r="V18" s="1174">
        <v>0</v>
      </c>
      <c r="W18" s="2213">
        <f>-V18*-[99]Sheet1!$BX$20</f>
        <v>0</v>
      </c>
      <c r="X18" s="2092">
        <f t="shared" si="7"/>
        <v>0</v>
      </c>
      <c r="Z18" s="1273">
        <f>+B18+F18+J18+N18+R18+V18</f>
        <v>-23</v>
      </c>
      <c r="AA18" s="1285">
        <f>+C18+G18+K18+O18+S18+W18</f>
        <v>-3818.0625945867982</v>
      </c>
      <c r="AB18" s="2092">
        <f>+IFERROR(AA18/Z18,0)</f>
        <v>166.00272150377384</v>
      </c>
      <c r="AC18" s="74"/>
      <c r="AD18" s="74"/>
      <c r="AE18" s="74"/>
      <c r="AG18" s="621"/>
    </row>
    <row r="19" spans="1:37" ht="14.45">
      <c r="A19" t="s">
        <v>229</v>
      </c>
      <c r="B19" s="1273">
        <f>SUM('Summary Total Pigs'!Z15:Z17,'Summary Total Pigs'!Z130:Z132)</f>
        <v>-35</v>
      </c>
      <c r="C19" s="2213">
        <f>-B19*-[99]Sheet1!$BX$20</f>
        <v>-5810.0952526320843</v>
      </c>
      <c r="D19" s="1174">
        <f t="shared" ref="D19:D31" si="9">+IFERROR(C19/B19,0)</f>
        <v>166.00272150377384</v>
      </c>
      <c r="F19" s="1273">
        <f>SUM('Summary Total Pigs'!Z92:Z94)</f>
        <v>-3</v>
      </c>
      <c r="G19" s="2213">
        <f>-F19*-[99]Sheet1!$BX$20</f>
        <v>-498.00816451132152</v>
      </c>
      <c r="H19" s="1273">
        <f t="shared" ref="H19:H31" si="10">+IFERROR(G19/F19,0)</f>
        <v>166.00272150377384</v>
      </c>
      <c r="J19" s="1273">
        <f>SUM('Summary Total Pigs'!Z111:Z113)</f>
        <v>-6</v>
      </c>
      <c r="K19" s="2213">
        <f>-J19*-[99]Sheet1!$BX$20</f>
        <v>-996.01632902264305</v>
      </c>
      <c r="L19" s="1273">
        <f t="shared" ref="L19:L31" si="11">+IFERROR(K19/J19,0)</f>
        <v>166.00272150377384</v>
      </c>
      <c r="N19" s="1273">
        <f>SUM('Summary Total Pigs'!Z53:Z55)</f>
        <v>-15</v>
      </c>
      <c r="O19" s="2213">
        <f>-N19*-[99]Sheet1!$BX$20</f>
        <v>-2490.0408225566075</v>
      </c>
      <c r="P19" s="1273">
        <f t="shared" ref="P19:P31" si="12">+IFERROR(O19/N19,0)</f>
        <v>166.00272150377384</v>
      </c>
      <c r="R19" s="1273">
        <f>SUM('Summary Total Pigs'!Z149:Z151)+'Porta TN70'!F565</f>
        <v>-3</v>
      </c>
      <c r="S19" s="2213">
        <f>-R19*-[99]Sheet1!$BX$20</f>
        <v>-498.00816451132152</v>
      </c>
      <c r="T19" s="1175">
        <f t="shared" si="8"/>
        <v>166.00272150377384</v>
      </c>
      <c r="U19" s="74"/>
      <c r="V19" s="1176">
        <f>SUM('Summary Total Pigs'!Z168:Z170)+'Grasmere Imported Sows'!F127+'Multiplier Imported Sows'!E302</f>
        <v>0</v>
      </c>
      <c r="W19" s="2213">
        <f>-V19*-[99]Sheet1!$BX$20</f>
        <v>0</v>
      </c>
      <c r="X19" s="2092">
        <f t="shared" si="7"/>
        <v>0</v>
      </c>
      <c r="Z19" s="1273">
        <f>+B19+F19+J19+N19+R19+V19</f>
        <v>-62</v>
      </c>
      <c r="AA19" s="1285">
        <f>+C19+G19+K19+O19+S19+W19</f>
        <v>-10292.168733233979</v>
      </c>
      <c r="AB19" s="2092">
        <f>+IFERROR(AA19/Z19,0)</f>
        <v>166.00272150377384</v>
      </c>
      <c r="AC19" s="74"/>
      <c r="AD19" s="74"/>
      <c r="AE19" s="74"/>
      <c r="AG19" s="621"/>
    </row>
    <row r="20" spans="1:37" ht="14.45">
      <c r="A20" t="s">
        <v>231</v>
      </c>
      <c r="B20" s="1273">
        <f>SUM('Summary Total Pigs'!AB15:AB17,'Summary Total Pigs'!AB130:AB132)</f>
        <v>0</v>
      </c>
      <c r="C20" s="2213">
        <f>-B20*-[99]Sheet1!$BX$20</f>
        <v>0</v>
      </c>
      <c r="D20" s="1174">
        <f t="shared" si="9"/>
        <v>0</v>
      </c>
      <c r="F20" s="1273">
        <f>SUM('Summary Total Pigs'!AB92:AB94)</f>
        <v>0</v>
      </c>
      <c r="G20" s="2213">
        <v>0</v>
      </c>
      <c r="H20" s="1273">
        <f t="shared" si="10"/>
        <v>0</v>
      </c>
      <c r="J20" s="1273">
        <f>SUM('Summary Total Pigs'!AB111:AB113)</f>
        <v>0</v>
      </c>
      <c r="K20" s="2213">
        <f>-J20*-[99]Sheet1!$BX$20</f>
        <v>0</v>
      </c>
      <c r="L20" s="1273">
        <f t="shared" si="11"/>
        <v>0</v>
      </c>
      <c r="N20" s="1273">
        <f>SUM('Summary Total Pigs'!AB53:AB55)</f>
        <v>0</v>
      </c>
      <c r="O20" s="2213">
        <f>-N20*-[99]Sheet1!$BX$20</f>
        <v>0</v>
      </c>
      <c r="P20" s="1273">
        <f t="shared" si="12"/>
        <v>0</v>
      </c>
      <c r="R20" s="1273"/>
      <c r="S20" s="2213">
        <f>-R20*-[99]Sheet1!$BX$20</f>
        <v>0</v>
      </c>
      <c r="T20" s="1175">
        <f t="shared" si="8"/>
        <v>0</v>
      </c>
      <c r="U20" s="74"/>
      <c r="V20" s="1176"/>
      <c r="W20" s="1176"/>
      <c r="X20" s="2092">
        <f t="shared" si="7"/>
        <v>0</v>
      </c>
      <c r="Z20" s="1273">
        <f t="shared" ref="Z20:Z31" si="13">+B20+F20+J20+N20+R20+V20</f>
        <v>0</v>
      </c>
      <c r="AA20" s="1285">
        <f t="shared" ref="AA20:AA31" si="14">+C20+G20+K20+O20+S20+W20</f>
        <v>0</v>
      </c>
      <c r="AB20" s="2092">
        <f t="shared" ref="AB20:AB31" si="15">+IFERROR(AA20/Z20,0)</f>
        <v>0</v>
      </c>
      <c r="AC20" s="74"/>
      <c r="AD20" s="74"/>
      <c r="AE20" s="74"/>
      <c r="AG20" s="621"/>
    </row>
    <row r="21" spans="1:37" ht="14.45">
      <c r="A21" t="s">
        <v>232</v>
      </c>
      <c r="B21" s="1273">
        <f>SUM('Summary Total Pigs'!AC15:AC17,'Summary Total Pigs'!AC130:AC132,'Summary Total Pigs'!U130:U132)</f>
        <v>0</v>
      </c>
      <c r="C21" s="2213">
        <f>-B21*-[99]Sheet1!$BX$20</f>
        <v>0</v>
      </c>
      <c r="D21" s="1174">
        <f t="shared" si="9"/>
        <v>0</v>
      </c>
      <c r="F21" s="1273">
        <f>SUM('Summary Total Pigs'!AC92:AC94)</f>
        <v>0</v>
      </c>
      <c r="G21" s="2213">
        <f>-F21*-[99]Sheet1!$BX$20</f>
        <v>0</v>
      </c>
      <c r="H21" s="1273">
        <f t="shared" si="10"/>
        <v>0</v>
      </c>
      <c r="J21" s="1273">
        <f>SUM('Summary Total Pigs'!AC111:AC113,'Summary Total Pigs'!AA111:AA113)</f>
        <v>0</v>
      </c>
      <c r="K21" s="2213">
        <f>-J21*-[99]Sheet1!$BX$20</f>
        <v>0</v>
      </c>
      <c r="L21" s="1273">
        <f t="shared" si="11"/>
        <v>0</v>
      </c>
      <c r="N21" s="1273">
        <f>SUM('Summary Total Pigs'!AC53:AC55,'Summary Total Pigs'!AA53:AA55)</f>
        <v>0</v>
      </c>
      <c r="O21" s="2213">
        <f>-N21*-[99]Sheet1!$BX$20</f>
        <v>0</v>
      </c>
      <c r="P21" s="1273">
        <f t="shared" si="12"/>
        <v>0</v>
      </c>
      <c r="R21" s="1273"/>
      <c r="S21" s="2213">
        <f>-R21*-[99]Sheet1!$BX$20</f>
        <v>0</v>
      </c>
      <c r="T21" s="1175">
        <f t="shared" si="8"/>
        <v>0</v>
      </c>
      <c r="U21" s="74"/>
      <c r="V21" s="1176"/>
      <c r="W21" s="1176"/>
      <c r="X21" s="2092">
        <f t="shared" si="7"/>
        <v>0</v>
      </c>
      <c r="Z21" s="1273">
        <f t="shared" si="13"/>
        <v>0</v>
      </c>
      <c r="AA21" s="1285">
        <f t="shared" si="14"/>
        <v>0</v>
      </c>
      <c r="AB21" s="2092">
        <f t="shared" si="15"/>
        <v>0</v>
      </c>
      <c r="AC21" s="74"/>
      <c r="AD21" s="74"/>
      <c r="AE21" s="74"/>
      <c r="AG21" s="621"/>
    </row>
    <row r="22" spans="1:37" ht="14.45">
      <c r="A22" t="s">
        <v>227</v>
      </c>
      <c r="B22" s="1273">
        <f>SUM('Summary Total Pigs'!X15:X17,'Summary Total Pigs'!X130:X132)</f>
        <v>-40</v>
      </c>
      <c r="C22" s="2213">
        <f>-B22*-[99]Sheet1!$BW$20</f>
        <v>-6642.3480287731345</v>
      </c>
      <c r="D22" s="1174">
        <f t="shared" si="9"/>
        <v>166.05870071932836</v>
      </c>
      <c r="F22" s="1273">
        <f>SUM('Summary Total Pigs'!X92:X94)</f>
        <v>-22</v>
      </c>
      <c r="G22" s="2213">
        <f>-F22*-[99]Sheet1!$BX$20</f>
        <v>-3652.0598730830243</v>
      </c>
      <c r="H22" s="1273">
        <f t="shared" si="10"/>
        <v>166.00272150377384</v>
      </c>
      <c r="J22" s="1273">
        <f>SUM('Summary Total Pigs'!X111:X113)+'Richlands A LINE'!F14</f>
        <v>-42</v>
      </c>
      <c r="K22" s="2213">
        <f>-J22*-[99]Sheet1!$BX$20</f>
        <v>-6972.1143031585016</v>
      </c>
      <c r="L22" s="1273">
        <f t="shared" si="11"/>
        <v>166.00272150377384</v>
      </c>
      <c r="N22" s="1273">
        <f>SUM('Summary Total Pigs'!X53:X55)</f>
        <v>-30</v>
      </c>
      <c r="O22" s="2213">
        <f>-N22*-[99]Sheet1!$BX$20</f>
        <v>-4980.081645113215</v>
      </c>
      <c r="P22" s="1273">
        <f t="shared" si="12"/>
        <v>166.00272150377384</v>
      </c>
      <c r="R22" s="1273">
        <f>SUM('Summary Total Pigs'!X149:X151)+'Porta TN70'!F566</f>
        <v>-27</v>
      </c>
      <c r="S22" s="2213">
        <f>-R22*-[99]Sheet1!$BX$20</f>
        <v>-4482.0734806018936</v>
      </c>
      <c r="T22" s="1175">
        <f t="shared" si="8"/>
        <v>166.00272150377384</v>
      </c>
      <c r="U22" s="74"/>
      <c r="V22" s="2090">
        <f>SUM('Summary Total Pigs'!X168:X170)+'Grasmere Imported Sows'!F125+'Multiplier Imported Sows'!E301</f>
        <v>-2</v>
      </c>
      <c r="W22" s="2213">
        <f>-V22*-[99]Sheet1!$BX$20</f>
        <v>-332.00544300754768</v>
      </c>
      <c r="X22" s="2092">
        <f>+IFERROR(W22/V22,0)</f>
        <v>166.00272150377384</v>
      </c>
      <c r="Z22" s="1273">
        <f t="shared" si="13"/>
        <v>-163</v>
      </c>
      <c r="AA22" s="1285">
        <f>+C22+G22+K22+O22+S22+W22</f>
        <v>-27060.682773737317</v>
      </c>
      <c r="AB22" s="2092">
        <f t="shared" si="15"/>
        <v>166.01645873458477</v>
      </c>
      <c r="AC22" s="74"/>
      <c r="AD22" s="74"/>
      <c r="AE22" s="74">
        <f>SUM(AA8:AA13)</f>
        <v>15116.400571955703</v>
      </c>
      <c r="AG22" s="621"/>
    </row>
    <row r="23" spans="1:37" ht="14.45">
      <c r="A23" t="s">
        <v>1975</v>
      </c>
      <c r="B23" s="1273">
        <f>'Summary Total Pigs'!T17</f>
        <v>-1</v>
      </c>
      <c r="C23" s="2214">
        <f t="shared" ref="C23:C31" si="16">-B23*-$D$17</f>
        <v>-125.97080533909117</v>
      </c>
      <c r="D23" s="1174">
        <f t="shared" si="9"/>
        <v>125.97080533909117</v>
      </c>
      <c r="F23" s="1273">
        <f>SUM('Summary Total Pigs'!O92:O94)</f>
        <v>0</v>
      </c>
      <c r="G23" s="2214">
        <f t="shared" ref="G23:G31" si="17">-F23*-$H$17</f>
        <v>0</v>
      </c>
      <c r="H23" s="1273">
        <f t="shared" si="10"/>
        <v>0</v>
      </c>
      <c r="J23" s="1273">
        <f>SUM('Summary Total Pigs'!O111:O113)</f>
        <v>0</v>
      </c>
      <c r="K23" s="2214">
        <f t="shared" ref="K23:K31" si="18">-J23*-$L$17</f>
        <v>0</v>
      </c>
      <c r="L23" s="1273">
        <f t="shared" si="11"/>
        <v>0</v>
      </c>
      <c r="N23" s="1273">
        <f>SUM('Summary Total Pigs'!O53:O55)</f>
        <v>0</v>
      </c>
      <c r="O23" s="2214">
        <f t="shared" ref="O23:O31" si="19">-N23*-$P$17</f>
        <v>0</v>
      </c>
      <c r="P23" s="1273">
        <f t="shared" si="12"/>
        <v>0</v>
      </c>
      <c r="R23" s="1273"/>
      <c r="S23" s="2213">
        <f>-R23*-[99]Sheet1!$BX$20</f>
        <v>0</v>
      </c>
      <c r="T23" s="1176"/>
      <c r="U23" s="74"/>
      <c r="V23" s="2090">
        <v>0</v>
      </c>
      <c r="W23" s="2213">
        <f>V23*X17</f>
        <v>0</v>
      </c>
      <c r="X23" s="2092">
        <f>+IFERROR(W23/V23,0)</f>
        <v>0</v>
      </c>
      <c r="Z23" s="1273">
        <f t="shared" si="13"/>
        <v>-1</v>
      </c>
      <c r="AA23" s="1285">
        <f>+C23+G23+K23+O23+S23+W23</f>
        <v>-125.97080533909117</v>
      </c>
      <c r="AB23" s="2092">
        <f t="shared" si="15"/>
        <v>125.97080533909117</v>
      </c>
      <c r="AC23" s="74"/>
      <c r="AD23" s="74"/>
      <c r="AE23" s="74">
        <f>SUM(AA24:AA30)</f>
        <v>-16557.042910572349</v>
      </c>
      <c r="AG23" s="621"/>
    </row>
    <row r="24" spans="1:37" ht="14.45">
      <c r="A24" t="s">
        <v>1976</v>
      </c>
      <c r="B24" s="1273">
        <f>SUM('Summary Total Pigs'!Q15:Q17)</f>
        <v>0</v>
      </c>
      <c r="C24" s="2214">
        <f>-B24*-$D$17</f>
        <v>0</v>
      </c>
      <c r="D24" s="1174">
        <f t="shared" si="9"/>
        <v>0</v>
      </c>
      <c r="F24" s="1273">
        <f>SUM('Summary Total Pigs'!S92:S94)</f>
        <v>0</v>
      </c>
      <c r="G24" s="2214">
        <f t="shared" si="17"/>
        <v>0</v>
      </c>
      <c r="H24" s="1273">
        <f t="shared" si="10"/>
        <v>0</v>
      </c>
      <c r="J24" s="1273"/>
      <c r="K24" s="2214">
        <f t="shared" si="18"/>
        <v>0</v>
      </c>
      <c r="L24" s="1273">
        <f t="shared" si="11"/>
        <v>0</v>
      </c>
      <c r="N24" s="1273">
        <f>SUM('Summary Total Pigs'!Q53:Q55)</f>
        <v>0</v>
      </c>
      <c r="O24" s="2214">
        <f t="shared" si="19"/>
        <v>0</v>
      </c>
      <c r="P24" s="1273">
        <f t="shared" si="12"/>
        <v>0</v>
      </c>
      <c r="R24" s="1273">
        <f>SUM('Summary Total Pigs'!O150)+'Porta TN70'!F563</f>
        <v>0</v>
      </c>
      <c r="S24" s="2213">
        <f>-R24*-[98]Sheet1!$BV$20</f>
        <v>0</v>
      </c>
      <c r="T24" s="1176"/>
      <c r="U24" s="74"/>
      <c r="V24" s="2090">
        <v>0</v>
      </c>
      <c r="W24" s="2213">
        <f>V24*X17</f>
        <v>0</v>
      </c>
      <c r="X24" s="2092">
        <f t="shared" ref="X24:X26" si="20">+IFERROR(W24/V24,0)</f>
        <v>0</v>
      </c>
      <c r="Z24" s="1273">
        <f t="shared" si="13"/>
        <v>0</v>
      </c>
      <c r="AA24" s="1285">
        <f>+C24+G24+K24+O24+S24+W24</f>
        <v>0</v>
      </c>
      <c r="AB24" s="2092">
        <f t="shared" si="15"/>
        <v>0</v>
      </c>
      <c r="AC24" s="74"/>
      <c r="AD24" s="74"/>
      <c r="AE24" s="74">
        <f>AE22+AE23</f>
        <v>-1440.6423386166462</v>
      </c>
      <c r="AK24" s="621"/>
    </row>
    <row r="25" spans="1:37" ht="14.45">
      <c r="A25" t="s">
        <v>1977</v>
      </c>
      <c r="B25" s="1549">
        <f>SUM('Summary Total Pigs'!O15:O17)</f>
        <v>0</v>
      </c>
      <c r="C25" s="2214">
        <f>-B25*-$D$17</f>
        <v>0</v>
      </c>
      <c r="D25" s="1174">
        <f t="shared" si="9"/>
        <v>0</v>
      </c>
      <c r="F25" s="1273">
        <f>SUM('Summary Total Pigs'!P92:P94)</f>
        <v>0</v>
      </c>
      <c r="G25" s="2214">
        <f t="shared" si="17"/>
        <v>0</v>
      </c>
      <c r="H25" s="1273">
        <f t="shared" si="10"/>
        <v>0</v>
      </c>
      <c r="J25" s="1273">
        <f>SUM('Summary Total Pigs'!P111:P113)</f>
        <v>0</v>
      </c>
      <c r="K25" s="2214">
        <f>-J25*-$L$17</f>
        <v>0</v>
      </c>
      <c r="L25" s="1273">
        <f t="shared" si="11"/>
        <v>0</v>
      </c>
      <c r="N25" s="1273"/>
      <c r="O25" s="2214">
        <f t="shared" si="19"/>
        <v>0</v>
      </c>
      <c r="P25" s="1273">
        <f t="shared" si="12"/>
        <v>0</v>
      </c>
      <c r="R25" s="1273">
        <f>SUM('Summary Total Pigs'!P149:P151)</f>
        <v>0</v>
      </c>
      <c r="S25" s="1181">
        <f>T17*R25</f>
        <v>0</v>
      </c>
      <c r="T25" s="1175">
        <f t="shared" ref="T25" si="21">+IFERROR(S25/R25,0)</f>
        <v>0</v>
      </c>
      <c r="U25" s="1183"/>
      <c r="V25" s="2091">
        <v>0</v>
      </c>
      <c r="W25" s="2213">
        <f>V25*X17</f>
        <v>0</v>
      </c>
      <c r="X25" s="2092">
        <f t="shared" si="20"/>
        <v>0</v>
      </c>
      <c r="Z25" s="1273">
        <f t="shared" si="13"/>
        <v>0</v>
      </c>
      <c r="AA25" s="1285">
        <f t="shared" si="14"/>
        <v>0</v>
      </c>
      <c r="AB25" s="2092">
        <f t="shared" si="15"/>
        <v>0</v>
      </c>
      <c r="AC25" s="74"/>
      <c r="AD25" s="74"/>
      <c r="AE25" s="74"/>
      <c r="AG25" s="621"/>
    </row>
    <row r="26" spans="1:37" ht="14.45">
      <c r="A26" t="s">
        <v>1978</v>
      </c>
      <c r="B26" s="1273">
        <f>SUM('Summary Total Pigs'!S15:S17)</f>
        <v>0</v>
      </c>
      <c r="C26" s="2214">
        <f>-B26*-$D$17</f>
        <v>0</v>
      </c>
      <c r="D26" s="1174">
        <f>+IFERROR(C26/B26,0)</f>
        <v>0</v>
      </c>
      <c r="F26" s="1273"/>
      <c r="G26" s="2214">
        <f t="shared" si="17"/>
        <v>0</v>
      </c>
      <c r="H26" s="1273">
        <f t="shared" si="10"/>
        <v>0</v>
      </c>
      <c r="J26" s="1549">
        <f>SUM('Summary Total Pigs'!S111:S113)</f>
        <v>0</v>
      </c>
      <c r="K26" s="2214">
        <f t="shared" si="18"/>
        <v>0</v>
      </c>
      <c r="L26" s="1273">
        <f t="shared" si="11"/>
        <v>0</v>
      </c>
      <c r="N26" s="1273">
        <f>SUM('Summary Total Pigs'!S53:S55)</f>
        <v>0</v>
      </c>
      <c r="O26" s="2214">
        <f t="shared" si="19"/>
        <v>0</v>
      </c>
      <c r="P26" s="1273">
        <f t="shared" si="12"/>
        <v>0</v>
      </c>
      <c r="R26" s="1273"/>
      <c r="S26" s="1181"/>
      <c r="T26" s="1181"/>
      <c r="U26" s="1183"/>
      <c r="V26" s="2091">
        <v>0</v>
      </c>
      <c r="W26" s="2213">
        <f>V26*X17</f>
        <v>0</v>
      </c>
      <c r="X26" s="2092">
        <f t="shared" si="20"/>
        <v>0</v>
      </c>
      <c r="Z26" s="1273">
        <f t="shared" si="13"/>
        <v>0</v>
      </c>
      <c r="AA26" s="1285">
        <f t="shared" si="14"/>
        <v>0</v>
      </c>
      <c r="AB26" s="2092">
        <f t="shared" si="15"/>
        <v>0</v>
      </c>
      <c r="AC26" s="74"/>
      <c r="AD26" s="74"/>
      <c r="AE26" s="74"/>
    </row>
    <row r="27" spans="1:37" ht="14.45">
      <c r="A27" t="s">
        <v>1870</v>
      </c>
      <c r="B27" s="1273">
        <f>SUM('Summary Total Pigs'!U15:U17)</f>
        <v>0</v>
      </c>
      <c r="C27" s="2214">
        <f>-B27*-$D$17</f>
        <v>0</v>
      </c>
      <c r="D27" s="1174">
        <f>+IFERROR(C27/B27,0)</f>
        <v>0</v>
      </c>
      <c r="F27" s="1273"/>
      <c r="G27" s="2214"/>
      <c r="H27" s="1273"/>
      <c r="J27" s="1549"/>
      <c r="K27" s="2214"/>
      <c r="L27" s="1273"/>
      <c r="N27" s="1273"/>
      <c r="O27" s="2214"/>
      <c r="P27" s="1273"/>
      <c r="R27" s="1273"/>
      <c r="S27" s="1181"/>
      <c r="T27" s="1181"/>
      <c r="U27" s="1183"/>
      <c r="V27" s="2091">
        <v>0</v>
      </c>
      <c r="W27" s="2213">
        <f>V27*X17</f>
        <v>0</v>
      </c>
      <c r="X27" s="2092">
        <f>+IFERROR(W27/V27,0)</f>
        <v>0</v>
      </c>
      <c r="Z27" s="1273">
        <f t="shared" si="13"/>
        <v>0</v>
      </c>
      <c r="AA27" s="1285">
        <f t="shared" si="14"/>
        <v>0</v>
      </c>
      <c r="AB27" s="2092">
        <f t="shared" ref="AB27" si="22">+IFERROR(AA27/Z27,0)</f>
        <v>0</v>
      </c>
      <c r="AC27" s="74"/>
      <c r="AD27" s="74"/>
      <c r="AE27" s="74"/>
    </row>
    <row r="28" spans="1:37" ht="14.45">
      <c r="A28" t="s">
        <v>1871</v>
      </c>
      <c r="B28" s="1273">
        <f>'Summary Total Pigs'!V18</f>
        <v>0</v>
      </c>
      <c r="C28" s="2214">
        <f>-B28*-$D$17</f>
        <v>0</v>
      </c>
      <c r="D28" s="1174">
        <f>+IFERROR(C28/B28,0)</f>
        <v>0</v>
      </c>
      <c r="F28" s="1273"/>
      <c r="G28" s="2214"/>
      <c r="H28" s="1273"/>
      <c r="J28" s="1549"/>
      <c r="K28" s="2214"/>
      <c r="L28" s="1273"/>
      <c r="N28" s="1273"/>
      <c r="O28" s="2214"/>
      <c r="P28" s="1273"/>
      <c r="R28" s="1273"/>
      <c r="S28" s="1181"/>
      <c r="T28" s="1181"/>
      <c r="U28" s="1183"/>
      <c r="V28" s="1181"/>
      <c r="W28" s="1181"/>
      <c r="X28" s="1181"/>
      <c r="Z28" s="1273">
        <f>+B28+F28+J28+N28+R28+V28</f>
        <v>0</v>
      </c>
      <c r="AA28" s="1285">
        <f>+C28+G28+K28+O28+S28+W28</f>
        <v>0</v>
      </c>
      <c r="AB28" s="2092"/>
      <c r="AC28" s="74"/>
      <c r="AD28" s="74"/>
      <c r="AE28" s="74"/>
    </row>
    <row r="29" spans="1:37" ht="14.45">
      <c r="A29" t="s">
        <v>1872</v>
      </c>
      <c r="B29" s="1273"/>
      <c r="C29" s="2214">
        <f t="shared" ref="C29" si="23">-B29*-$D$17</f>
        <v>0</v>
      </c>
      <c r="D29" s="1174">
        <f t="shared" si="9"/>
        <v>0</v>
      </c>
      <c r="F29" s="1273"/>
      <c r="G29" s="2214">
        <f t="shared" si="17"/>
        <v>0</v>
      </c>
      <c r="H29" s="1273">
        <f t="shared" si="10"/>
        <v>0</v>
      </c>
      <c r="J29" s="1273"/>
      <c r="K29" s="2214">
        <f t="shared" si="18"/>
        <v>0</v>
      </c>
      <c r="L29" s="1273">
        <f t="shared" si="11"/>
        <v>0</v>
      </c>
      <c r="N29" s="1273">
        <v>0</v>
      </c>
      <c r="O29" s="2214">
        <f t="shared" si="19"/>
        <v>0</v>
      </c>
      <c r="P29" s="1273">
        <f t="shared" si="12"/>
        <v>0</v>
      </c>
      <c r="R29" s="1273"/>
      <c r="S29" s="1181"/>
      <c r="T29" s="1181"/>
      <c r="U29" s="1183"/>
      <c r="V29" s="1181"/>
      <c r="W29" s="1181"/>
      <c r="X29" s="1181"/>
      <c r="Z29" s="1273">
        <f t="shared" si="13"/>
        <v>0</v>
      </c>
      <c r="AA29" s="1285">
        <f t="shared" si="14"/>
        <v>0</v>
      </c>
      <c r="AB29" s="2092">
        <f t="shared" si="15"/>
        <v>0</v>
      </c>
      <c r="AC29" s="74"/>
      <c r="AD29" s="74"/>
      <c r="AE29" s="74"/>
    </row>
    <row r="30" spans="1:37" ht="14.45">
      <c r="A30" t="s">
        <v>1873</v>
      </c>
      <c r="B30" s="1273"/>
      <c r="C30" s="2214">
        <f>-B30*-$D$17</f>
        <v>0</v>
      </c>
      <c r="D30" s="1174">
        <f t="shared" si="9"/>
        <v>0</v>
      </c>
      <c r="F30" s="1807">
        <f>-'Villa Pig Cost'!AU21</f>
        <v>0</v>
      </c>
      <c r="G30" s="2214">
        <f>-F30*-$H$17</f>
        <v>0</v>
      </c>
      <c r="H30" s="1273">
        <f t="shared" si="10"/>
        <v>0</v>
      </c>
      <c r="J30" s="1807">
        <f>-'Richlands Pig Cost'!AU21</f>
        <v>-45</v>
      </c>
      <c r="K30" s="2214">
        <f>-J30*-$L$17</f>
        <v>-7603.2566669486241</v>
      </c>
      <c r="L30" s="1273">
        <f t="shared" si="11"/>
        <v>168.96125926552497</v>
      </c>
      <c r="N30" s="1807">
        <f>-N45</f>
        <v>-6</v>
      </c>
      <c r="O30" s="2214">
        <f t="shared" si="19"/>
        <v>-1844.4202548464386</v>
      </c>
      <c r="P30" s="1273">
        <f t="shared" si="12"/>
        <v>307.40337580773979</v>
      </c>
      <c r="R30" s="1273"/>
      <c r="S30" s="1181"/>
      <c r="T30" s="1181"/>
      <c r="U30" s="1183"/>
      <c r="V30" s="1181">
        <f>-'Multiplier Pig Cost '!AU21</f>
        <v>-32</v>
      </c>
      <c r="W30" s="2213">
        <f>V30*X17</f>
        <v>-7109.3659887772856</v>
      </c>
      <c r="X30" s="2092">
        <f t="shared" ref="X30" si="24">+IFERROR(W30/V30,0)</f>
        <v>222.16768714929017</v>
      </c>
      <c r="Z30" s="1273">
        <f>+B30+F30+J30+N30+R30+V30</f>
        <v>-83</v>
      </c>
      <c r="AA30" s="1285">
        <f>+C30+G30+K30+O30+S30+W30</f>
        <v>-16557.042910572349</v>
      </c>
      <c r="AB30" s="2092">
        <f t="shared" si="15"/>
        <v>199.48244470569094</v>
      </c>
      <c r="AC30" s="74">
        <f>+L30/800</f>
        <v>0.21120157408190621</v>
      </c>
      <c r="AD30" s="74"/>
      <c r="AE30" s="74"/>
      <c r="AG30" s="621"/>
    </row>
    <row r="31" spans="1:37" ht="14.45">
      <c r="A31" t="s">
        <v>1874</v>
      </c>
      <c r="B31" s="1273"/>
      <c r="C31" s="2214">
        <f t="shared" si="16"/>
        <v>0</v>
      </c>
      <c r="D31" s="1174">
        <f t="shared" si="9"/>
        <v>0</v>
      </c>
      <c r="F31" s="1273"/>
      <c r="G31" s="2214">
        <f t="shared" si="17"/>
        <v>0</v>
      </c>
      <c r="H31" s="1273">
        <f t="shared" si="10"/>
        <v>0</v>
      </c>
      <c r="J31" s="1273"/>
      <c r="K31" s="2214">
        <f t="shared" si="18"/>
        <v>0</v>
      </c>
      <c r="L31" s="1273">
        <f t="shared" si="11"/>
        <v>0</v>
      </c>
      <c r="N31" s="1273"/>
      <c r="O31" s="2214">
        <f t="shared" si="19"/>
        <v>0</v>
      </c>
      <c r="P31" s="1273">
        <f t="shared" si="12"/>
        <v>0</v>
      </c>
      <c r="R31" s="1273"/>
      <c r="S31" s="1181"/>
      <c r="T31" s="1181"/>
      <c r="U31" s="1183"/>
      <c r="V31" s="1181"/>
      <c r="W31" s="1181"/>
      <c r="X31" s="1181"/>
      <c r="Z31" s="1273">
        <f t="shared" si="13"/>
        <v>0</v>
      </c>
      <c r="AA31" s="1285">
        <f t="shared" si="14"/>
        <v>0</v>
      </c>
      <c r="AB31" s="2092">
        <f t="shared" si="15"/>
        <v>0</v>
      </c>
      <c r="AC31" s="74"/>
      <c r="AD31" s="74"/>
      <c r="AE31" s="74"/>
    </row>
    <row r="32" spans="1:37" s="1171" customFormat="1" ht="14.45">
      <c r="A32" s="1171" t="s">
        <v>1979</v>
      </c>
      <c r="B32" s="1274">
        <f>SUM(B17:B31)</f>
        <v>2794</v>
      </c>
      <c r="C32" s="1175">
        <f>SUM(C17:C31)</f>
        <v>348317.2865778124</v>
      </c>
      <c r="D32" s="1175">
        <f>+C32/B32</f>
        <v>124.66617271933157</v>
      </c>
      <c r="F32" s="1274">
        <f>SUM(F17:F31)</f>
        <v>576</v>
      </c>
      <c r="G32" s="1175">
        <f>SUM(G17:G31)</f>
        <v>186039.32905714307</v>
      </c>
      <c r="H32" s="1175">
        <f>+G32/F32</f>
        <v>322.98494627976226</v>
      </c>
      <c r="J32" s="1274">
        <f>SUM(J17:J31)</f>
        <v>1262</v>
      </c>
      <c r="K32" s="1181">
        <f>SUM(K17:K31)</f>
        <v>213388.87023222705</v>
      </c>
      <c r="L32" s="1181">
        <f>+K32/J32</f>
        <v>169.08785279891208</v>
      </c>
      <c r="N32" s="1274">
        <f>SUM(N17:N31)</f>
        <v>1412</v>
      </c>
      <c r="O32" s="1181">
        <f>SUM(O17:O31)</f>
        <v>440557.99673851096</v>
      </c>
      <c r="P32" s="1181">
        <f>+O32/N32</f>
        <v>312.00991270432786</v>
      </c>
      <c r="R32" s="1274">
        <f>SUM(R17:R31)</f>
        <v>772</v>
      </c>
      <c r="S32" s="1181">
        <f>SUM(S17:S31)</f>
        <v>198345.82731745829</v>
      </c>
      <c r="T32" s="1181">
        <f>+S32/R32</f>
        <v>256.9246467842724</v>
      </c>
      <c r="U32" s="1183"/>
      <c r="V32" s="1274">
        <f>SUM(V17:V31)</f>
        <v>193</v>
      </c>
      <c r="W32" s="1181">
        <f>SUM(W17:W31)</f>
        <v>42990.693551104036</v>
      </c>
      <c r="X32" s="1181">
        <f>+W32/V32</f>
        <v>222.74970751867377</v>
      </c>
      <c r="Z32" s="1273">
        <f>+B32+F32+J32+N32+R32+V32</f>
        <v>7009</v>
      </c>
      <c r="AA32" s="1285">
        <f>+C32+G32+K32+O32+S32+W32</f>
        <v>1429640.0034742558</v>
      </c>
      <c r="AB32" s="1181">
        <f>+IFERROR(AA32/Z32,0)</f>
        <v>203.97203644945867</v>
      </c>
      <c r="AC32" s="1284">
        <f>+Z32-'Grasmere Valuation '!K163</f>
        <v>965</v>
      </c>
      <c r="AD32" s="1183" t="s">
        <v>207</v>
      </c>
      <c r="AE32" s="1183"/>
    </row>
    <row r="33" spans="1:34" ht="14.45">
      <c r="B33" s="1275">
        <f>SUM('Grasmere Valuation '!E41,'Grasmere Valuation '!E43,'Grasmere Valuation '!E44)</f>
        <v>2794</v>
      </c>
      <c r="C33" s="87">
        <f>SUM('Grasmere Valuation '!H41:H44)</f>
        <v>859155</v>
      </c>
      <c r="D33" s="1599">
        <f>+C33/B33</f>
        <v>307.5</v>
      </c>
      <c r="F33" s="1275">
        <f>SUM('Villa Valuation'!E44:E48)</f>
        <v>576</v>
      </c>
      <c r="G33" s="87">
        <f>SUM('Villa Valuation'!H44:H49)</f>
        <v>177120</v>
      </c>
      <c r="H33" s="87"/>
      <c r="J33" s="1275">
        <f>SUM('Richlands Valuation'!E82:E86)</f>
        <v>1262</v>
      </c>
      <c r="K33" s="87">
        <f>SUM('Richlands Valuation'!H82:H87)</f>
        <v>388065</v>
      </c>
      <c r="N33" s="1275">
        <f>SUM('Lionhead Valuation'!E55:E59)</f>
        <v>1412</v>
      </c>
      <c r="O33" s="87">
        <f>SUM('Lionhead Valuation'!H55:H60,'Lionhead Ext. Valuation'!H44:H49)</f>
        <v>434190</v>
      </c>
      <c r="P33" s="621"/>
      <c r="R33">
        <f>SUM('Porta Valuation'!E82:E86)</f>
        <v>775</v>
      </c>
      <c r="V33">
        <f>SUM('Multiplier Valuation'!E86:E90)</f>
        <v>194</v>
      </c>
      <c r="Z33" s="1275">
        <f>+B33+F33+J33+N33+R33+V33</f>
        <v>7013</v>
      </c>
      <c r="AA33" s="1183">
        <f>+C33+G33+K33+O33</f>
        <v>1858530</v>
      </c>
      <c r="AB33" s="2092">
        <f>'[27]Fair Value'!$CG$16</f>
        <v>1608714</v>
      </c>
      <c r="AC33" s="621">
        <f>AA33-AB33</f>
        <v>249816</v>
      </c>
      <c r="AD33" s="621"/>
      <c r="AE33" s="621"/>
      <c r="AH33" s="621"/>
    </row>
    <row r="34" spans="1:34">
      <c r="A34" t="s">
        <v>1612</v>
      </c>
      <c r="B34" s="1309">
        <f>+B32-B33</f>
        <v>0</v>
      </c>
      <c r="C34" s="87">
        <f>+C32-C33</f>
        <v>-510837.7134221876</v>
      </c>
      <c r="D34" s="87"/>
      <c r="F34" s="1310">
        <f>+F32-F33</f>
        <v>0</v>
      </c>
      <c r="G34" s="87">
        <f>+G32-G33</f>
        <v>8919.3290571430698</v>
      </c>
      <c r="H34" s="87"/>
      <c r="J34" s="1310">
        <f>+J32-J33</f>
        <v>0</v>
      </c>
      <c r="K34" s="87">
        <f>+K32-K33</f>
        <v>-174676.12976777295</v>
      </c>
      <c r="L34" s="621" t="s">
        <v>138</v>
      </c>
      <c r="N34" s="1310">
        <f>+N32-N33</f>
        <v>0</v>
      </c>
      <c r="O34" s="87">
        <f>+O32-O33</f>
        <v>6367.996738510963</v>
      </c>
      <c r="R34" s="1310">
        <f>R32-R33</f>
        <v>-3</v>
      </c>
      <c r="S34" s="621"/>
      <c r="V34" s="1310">
        <f>V32-V33</f>
        <v>-1</v>
      </c>
      <c r="Z34" s="1310">
        <f>+Z32-Z33</f>
        <v>-4</v>
      </c>
      <c r="AA34" s="621">
        <f>+AA32-AA33</f>
        <v>-428889.99652574421</v>
      </c>
    </row>
    <row r="35" spans="1:34">
      <c r="C35" s="87">
        <f>+'Total Pigs'!H36</f>
        <v>-90.783366996794896</v>
      </c>
      <c r="D35" s="87"/>
      <c r="G35" s="87">
        <f>+'Total Pigs'!H71</f>
        <v>-2096.7110402170501</v>
      </c>
      <c r="H35" s="87"/>
      <c r="K35" s="87">
        <f>+'Total Pigs'!H173</f>
        <v>2950.4777784509401</v>
      </c>
      <c r="O35" s="87">
        <f>+'Total Pigs'!H105</f>
        <v>-1243.85488656134</v>
      </c>
      <c r="P35" s="621"/>
      <c r="R35">
        <v>711.52</v>
      </c>
      <c r="S35" s="621"/>
      <c r="AA35" s="621">
        <f>+C35+G35+K35+O35</f>
        <v>-480.87151532424491</v>
      </c>
      <c r="AB35" s="24">
        <f>AA32-AA33</f>
        <v>-428889.99652574421</v>
      </c>
    </row>
    <row r="36" spans="1:34" ht="14.45">
      <c r="B36" s="1185"/>
      <c r="C36" s="1182">
        <f>+C34+C35</f>
        <v>-510928.4967891844</v>
      </c>
      <c r="D36" s="1185"/>
      <c r="F36" s="1185"/>
      <c r="G36" s="1182">
        <f>+G34+G35</f>
        <v>6822.6180169260197</v>
      </c>
      <c r="H36" s="1185"/>
      <c r="J36" s="1185"/>
      <c r="K36" s="1182">
        <f>+K34+K35</f>
        <v>-171725.65198932201</v>
      </c>
      <c r="L36" s="1185"/>
      <c r="N36" s="1185"/>
      <c r="O36" s="1182">
        <f>+O34+O35</f>
        <v>5124.1418519496228</v>
      </c>
      <c r="P36" s="1185"/>
      <c r="Z36" s="1185"/>
      <c r="AA36" s="1186">
        <f>+AA34+AA35</f>
        <v>-429370.86804106843</v>
      </c>
      <c r="AB36" s="1185"/>
      <c r="AC36" s="1185"/>
      <c r="AD36" s="1185"/>
      <c r="AE36" s="1185"/>
    </row>
    <row r="37" spans="1:34" ht="14.45">
      <c r="B37" s="1185">
        <v>376.90362673345953</v>
      </c>
      <c r="C37" s="1186">
        <f>493.72</f>
        <v>493.72</v>
      </c>
      <c r="D37" s="1186"/>
      <c r="F37" s="1185"/>
      <c r="G37" s="1186"/>
      <c r="H37" s="1185"/>
      <c r="J37" s="1185"/>
      <c r="K37" s="1186"/>
      <c r="L37" s="1185"/>
      <c r="N37" s="1185"/>
      <c r="O37" s="1186"/>
      <c r="P37" s="1185"/>
      <c r="Z37" s="1185"/>
      <c r="AA37" s="1186">
        <v>1312</v>
      </c>
      <c r="AB37" s="1185"/>
      <c r="AC37" s="1185"/>
      <c r="AD37" s="1185"/>
      <c r="AE37" s="1185"/>
    </row>
    <row r="38" spans="1:34" ht="14.45">
      <c r="B38" s="1185"/>
      <c r="C38" s="1186">
        <v>8072.1297497324413</v>
      </c>
      <c r="D38" s="1185"/>
      <c r="F38" s="1500"/>
      <c r="G38" s="1186"/>
      <c r="H38" s="1185"/>
      <c r="J38" s="1185"/>
      <c r="K38" s="1186"/>
      <c r="L38" s="1185"/>
      <c r="N38" s="1185"/>
      <c r="O38" s="1186"/>
      <c r="P38" s="1185"/>
      <c r="Z38" s="1185"/>
      <c r="AA38" s="1186"/>
      <c r="AB38" s="1185"/>
      <c r="AC38" s="1185"/>
      <c r="AD38" s="1185"/>
      <c r="AE38" s="1185"/>
    </row>
    <row r="39" spans="1:34" ht="14.45">
      <c r="B39" s="1185"/>
      <c r="C39" s="1186"/>
      <c r="D39" s="1185"/>
      <c r="F39" s="1185"/>
      <c r="G39" s="1185"/>
      <c r="H39" s="1185"/>
      <c r="J39" s="1185"/>
      <c r="K39" s="1185"/>
      <c r="L39" s="1185"/>
      <c r="N39" s="1185"/>
      <c r="O39" s="1185"/>
      <c r="P39" s="1185"/>
      <c r="R39" s="2123"/>
      <c r="Z39" s="1185"/>
      <c r="AA39" s="1903">
        <f>AA32-[94]Sheet1!$AW$14</f>
        <v>442443.89889706951</v>
      </c>
      <c r="AB39" s="1185"/>
      <c r="AC39" s="1185"/>
      <c r="AD39" s="1185"/>
      <c r="AE39" s="1185"/>
    </row>
    <row r="40" spans="1:34" ht="14.45">
      <c r="B40" s="1185"/>
      <c r="C40" s="1186"/>
      <c r="D40" s="1185"/>
      <c r="F40" s="1185"/>
      <c r="G40" s="1187"/>
      <c r="H40" s="1185"/>
      <c r="J40" s="1185"/>
      <c r="K40" s="1186"/>
      <c r="L40" s="1185"/>
      <c r="N40" s="1185"/>
      <c r="O40" s="1186"/>
      <c r="P40" s="1185"/>
      <c r="Z40" s="1185"/>
      <c r="AA40" s="1186"/>
      <c r="AB40" s="1185"/>
      <c r="AC40" s="1185"/>
      <c r="AD40" s="1185"/>
      <c r="AE40" s="1185"/>
    </row>
    <row r="41" spans="1:34">
      <c r="AA41">
        <f>[94]Sheet1!$AV$14</f>
        <v>997829.01207320578</v>
      </c>
    </row>
    <row r="42" spans="1:34">
      <c r="C42" s="621"/>
      <c r="AA42" s="621">
        <f>AA32-AA41</f>
        <v>431810.99140105001</v>
      </c>
    </row>
    <row r="43" spans="1:34">
      <c r="K43" s="621"/>
    </row>
    <row r="44" spans="1:34">
      <c r="C44" s="621"/>
    </row>
    <row r="45" spans="1:34">
      <c r="B45">
        <f>28-24</f>
        <v>4</v>
      </c>
      <c r="J45">
        <v>0</v>
      </c>
      <c r="N45">
        <v>6</v>
      </c>
    </row>
    <row r="46" spans="1:34">
      <c r="C46" s="621"/>
      <c r="G46" s="621"/>
    </row>
    <row r="47" spans="1:34">
      <c r="C47" s="621"/>
      <c r="G47" s="621"/>
      <c r="K47" s="621"/>
      <c r="L47" s="621"/>
    </row>
    <row r="51" spans="15:15">
      <c r="O51" s="1188"/>
    </row>
  </sheetData>
  <pageMargins left="0.70866141732283472" right="0.70866141732283472" top="0.74803149606299213" bottom="0.74803149606299213" header="0.31496062992125984" footer="0.31496062992125984"/>
  <pageSetup paperSize="9" scale="33" orientation="landscape" r:id="rId1"/>
  <colBreaks count="1" manualBreakCount="1">
    <brk id="30" max="41" man="1"/>
  </colBreaks>
  <legacy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65">
    <tabColor theme="6" tint="-0.249977111117893"/>
  </sheetPr>
  <dimension ref="A1:BE143"/>
  <sheetViews>
    <sheetView view="pageBreakPreview" zoomScale="60" zoomScaleNormal="59" workbookViewId="0">
      <pane xSplit="1" ySplit="3" topLeftCell="AC4" activePane="bottomRight" state="frozen"/>
      <selection pane="bottomRight" activeCell="C73" sqref="C73:AG81"/>
      <selection pane="bottomLeft" activeCell="A4" sqref="A4"/>
      <selection pane="topRight" activeCell="B1" sqref="B1"/>
    </sheetView>
  </sheetViews>
  <sheetFormatPr defaultColWidth="9.140625" defaultRowHeight="15.6"/>
  <cols>
    <col min="1" max="1" width="37.7109375" style="142" customWidth="1"/>
    <col min="2" max="2" width="24" style="1059" bestFit="1" customWidth="1"/>
    <col min="3" max="3" width="22.5703125" style="1059" bestFit="1" customWidth="1"/>
    <col min="4" max="4" width="24.7109375" style="1059" bestFit="1" customWidth="1"/>
    <col min="5" max="5" width="16.5703125" style="1059" bestFit="1" customWidth="1"/>
    <col min="6" max="6" width="24" style="1059" bestFit="1" customWidth="1"/>
    <col min="7" max="7" width="25.140625" style="1059" bestFit="1" customWidth="1"/>
    <col min="8" max="8" width="24.7109375" style="1059" bestFit="1" customWidth="1"/>
    <col min="9" max="9" width="27.5703125" style="1059" customWidth="1"/>
    <col min="10" max="10" width="25.5703125" style="1059" bestFit="1" customWidth="1"/>
    <col min="11" max="12" width="23.42578125" style="1059" bestFit="1" customWidth="1"/>
    <col min="13" max="13" width="22.28515625" style="1059" bestFit="1" customWidth="1"/>
    <col min="14" max="14" width="21.85546875" style="1059" bestFit="1" customWidth="1"/>
    <col min="15" max="15" width="23.42578125" style="1059" bestFit="1" customWidth="1"/>
    <col min="16" max="16" width="21.85546875" style="1059" bestFit="1" customWidth="1"/>
    <col min="17" max="17" width="22.28515625" style="1059" bestFit="1" customWidth="1"/>
    <col min="18" max="18" width="23" style="1059" bestFit="1" customWidth="1"/>
    <col min="19" max="19" width="15.42578125" style="1059" bestFit="1" customWidth="1"/>
    <col min="20" max="20" width="23.42578125" style="1059" bestFit="1" customWidth="1"/>
    <col min="21" max="25" width="23.42578125" style="1059" customWidth="1"/>
    <col min="26" max="26" width="28" style="1059" customWidth="1"/>
    <col min="27" max="27" width="21.85546875" style="142" bestFit="1" customWidth="1"/>
    <col min="28" max="28" width="46.5703125" style="131" bestFit="1" customWidth="1"/>
    <col min="29" max="29" width="21.28515625" style="142" customWidth="1"/>
    <col min="30" max="30" width="15.5703125" style="142" customWidth="1"/>
    <col min="31" max="32" width="25.42578125" style="142" customWidth="1"/>
    <col min="33" max="33" width="29.5703125" style="142" customWidth="1"/>
    <col min="34" max="48" width="29.5703125" style="142" hidden="1" customWidth="1"/>
    <col min="49" max="49" width="6" style="142" bestFit="1" customWidth="1"/>
    <col min="50" max="50" width="29.5703125" style="142" customWidth="1"/>
    <col min="51" max="51" width="19.28515625" style="142" customWidth="1"/>
    <col min="52" max="52" width="17.7109375" style="142" bestFit="1" customWidth="1"/>
    <col min="53" max="53" width="16.5703125" style="142" customWidth="1"/>
    <col min="54" max="55" width="16.28515625" style="142" bestFit="1" customWidth="1"/>
    <col min="56" max="56" width="27" style="142" bestFit="1" customWidth="1"/>
    <col min="57" max="57" width="9.7109375" style="142" bestFit="1" customWidth="1"/>
    <col min="58" max="16384" width="9.140625" style="142"/>
  </cols>
  <sheetData>
    <row r="1" spans="1:51">
      <c r="A1" s="1066" t="s">
        <v>82</v>
      </c>
      <c r="B1" s="1114"/>
      <c r="C1" s="1114" t="str">
        <f>[100]Items!$A$9</f>
        <v>FEED000008</v>
      </c>
      <c r="D1" s="1114" t="str">
        <f>[100]Items!$A$26</f>
        <v>FEED000025</v>
      </c>
      <c r="E1" s="1114" t="str">
        <f>'[101]SYSTEM EXTRACT'!A25</f>
        <v>FEED000024</v>
      </c>
      <c r="F1" s="1114" t="str">
        <f>[100]Items!$A$17</f>
        <v>FEED000016</v>
      </c>
      <c r="G1" s="1114" t="s">
        <v>1980</v>
      </c>
      <c r="H1" s="1114" t="str">
        <f>'[101]SYSTEM EXTRACT'!A19</f>
        <v>FEED000018</v>
      </c>
      <c r="I1" s="1114" t="str">
        <f>'[101]SYSTEM EXTRACT'!A23</f>
        <v>FEED000022</v>
      </c>
      <c r="J1" s="1114" t="str">
        <f>[100]Items!$A$20</f>
        <v>FEED000019</v>
      </c>
      <c r="K1" s="1114" t="str">
        <f>'[101]SYSTEM EXTRACT'!A11</f>
        <v>FEED000010</v>
      </c>
      <c r="L1" s="1114" t="str">
        <f>[100]Items!$A$22</f>
        <v>FEED000021</v>
      </c>
      <c r="M1" s="1114" t="str">
        <f>[100]Items!$A$21</f>
        <v>FEED000020</v>
      </c>
      <c r="N1" s="1114" t="str">
        <f>'[101]SYSTEM EXTRACT'!A24</f>
        <v>FEED000023</v>
      </c>
      <c r="O1" s="1114" t="str">
        <f>[100]Items!$A$10</f>
        <v>FEED000009</v>
      </c>
      <c r="P1" s="1114" t="str">
        <f>[100]Items!$A$12</f>
        <v>FEED000011</v>
      </c>
      <c r="Q1" s="1114" t="str">
        <f>'[101]SYSTEM EXTRACT'!A13</f>
        <v>FEED000012</v>
      </c>
      <c r="R1" s="1114" t="str">
        <f>'[101]SYSTEM EXTRACT'!A14</f>
        <v>FEED000013</v>
      </c>
      <c r="S1" s="1114">
        <v>0</v>
      </c>
      <c r="T1" s="1114">
        <v>0</v>
      </c>
      <c r="U1" s="1114">
        <v>0</v>
      </c>
      <c r="V1" s="1114">
        <v>0</v>
      </c>
      <c r="W1" s="1114" t="str">
        <f>'[101]SYSTEM EXTRACT'!A15</f>
        <v>FEED000014</v>
      </c>
      <c r="X1" s="1114" t="str">
        <f>'[101]SYSTEM EXTRACT'!A16</f>
        <v>FEED000015</v>
      </c>
      <c r="Y1" s="1114" t="str">
        <f>'[101]SYSTEM EXTRACT'!A7</f>
        <v>FEED000006</v>
      </c>
      <c r="Z1" s="1114" t="str">
        <f>'[101]SYSTEM EXTRACT'!A8</f>
        <v>FEED000007</v>
      </c>
      <c r="AA1" s="1114" t="str">
        <f>[100]Items!$A$4</f>
        <v>FEED000003</v>
      </c>
      <c r="AB1" s="1114" t="str">
        <f>'[101]SYSTEM EXTRACT'!A3</f>
        <v>FEED000002</v>
      </c>
      <c r="AC1" s="1114" t="str">
        <f>'[101]SYSTEM EXTRACT'!A5</f>
        <v>FEED000004</v>
      </c>
      <c r="AD1" s="1114" t="str">
        <f>'[101]SYSTEM EXTRACT'!A6</f>
        <v>FEED000005</v>
      </c>
      <c r="AE1" s="1114" t="str">
        <f>'[101]SYSTEM EXTRACT'!A2</f>
        <v>FEED000001</v>
      </c>
      <c r="AF1" s="1114" t="s">
        <v>1981</v>
      </c>
      <c r="AG1" s="1114" t="s">
        <v>1982</v>
      </c>
      <c r="AH1" s="1114" t="s">
        <v>1983</v>
      </c>
      <c r="AI1" s="1114" t="s">
        <v>1984</v>
      </c>
      <c r="AJ1" s="1114" t="s">
        <v>1985</v>
      </c>
      <c r="AK1" s="1114" t="s">
        <v>1986</v>
      </c>
      <c r="AL1" s="1114" t="s">
        <v>1987</v>
      </c>
      <c r="AM1" s="1114" t="s">
        <v>1988</v>
      </c>
      <c r="AN1" s="1114" t="s">
        <v>1989</v>
      </c>
      <c r="AO1" s="1114" t="s">
        <v>1990</v>
      </c>
      <c r="AP1" s="1114" t="s">
        <v>1991</v>
      </c>
      <c r="AQ1" s="1114" t="s">
        <v>1992</v>
      </c>
      <c r="AR1" s="1114"/>
      <c r="AS1" s="1114"/>
      <c r="AT1" s="1114"/>
      <c r="AU1" s="1114"/>
      <c r="AV1" s="1114"/>
      <c r="AW1" s="1114"/>
      <c r="AX1" s="1114"/>
      <c r="AY1" s="142">
        <f>[102]Summary!AG2</f>
        <v>0</v>
      </c>
    </row>
    <row r="2" spans="1:51" s="131" customFormat="1" ht="16.149999999999999" thickBot="1">
      <c r="A2" s="1122" t="s">
        <v>1993</v>
      </c>
      <c r="B2" s="1123" t="s">
        <v>1776</v>
      </c>
      <c r="C2" s="1123" t="s">
        <v>62</v>
      </c>
      <c r="D2" s="1123" t="s">
        <v>1994</v>
      </c>
      <c r="E2" s="1123" t="s">
        <v>1995</v>
      </c>
      <c r="F2" s="1123" t="s">
        <v>67</v>
      </c>
      <c r="G2" s="1123" t="s">
        <v>66</v>
      </c>
      <c r="H2" s="1123" t="s">
        <v>69</v>
      </c>
      <c r="I2" s="1123" t="s">
        <v>1996</v>
      </c>
      <c r="J2" s="1124" t="s">
        <v>1997</v>
      </c>
      <c r="K2" s="1124" t="s">
        <v>60</v>
      </c>
      <c r="L2" s="1124" t="s">
        <v>1998</v>
      </c>
      <c r="M2" s="1124" t="s">
        <v>1999</v>
      </c>
      <c r="N2" s="1124" t="s">
        <v>2000</v>
      </c>
      <c r="O2" s="1124" t="s">
        <v>1814</v>
      </c>
      <c r="P2" s="1124" t="s">
        <v>2001</v>
      </c>
      <c r="Q2" s="1124" t="s">
        <v>2002</v>
      </c>
      <c r="R2" s="1124" t="s">
        <v>2003</v>
      </c>
      <c r="S2" s="1124" t="s">
        <v>2004</v>
      </c>
      <c r="T2" s="1123" t="s">
        <v>1774</v>
      </c>
      <c r="U2" s="1123" t="s">
        <v>2005</v>
      </c>
      <c r="V2" s="1123" t="s">
        <v>2006</v>
      </c>
      <c r="W2" s="1123" t="s">
        <v>2007</v>
      </c>
      <c r="X2" s="1123" t="s">
        <v>2008</v>
      </c>
      <c r="Y2" s="1123" t="s">
        <v>2009</v>
      </c>
      <c r="Z2" s="1123" t="s">
        <v>2010</v>
      </c>
      <c r="AA2" s="1123" t="s">
        <v>2011</v>
      </c>
      <c r="AB2" s="1123" t="s">
        <v>2012</v>
      </c>
      <c r="AC2" s="1123" t="s">
        <v>2013</v>
      </c>
      <c r="AD2" s="1123" t="s">
        <v>2014</v>
      </c>
      <c r="AE2" s="1123" t="s">
        <v>2015</v>
      </c>
      <c r="AF2" s="1123" t="s">
        <v>2016</v>
      </c>
      <c r="AG2" s="1123" t="s">
        <v>2017</v>
      </c>
      <c r="AH2" s="1123" t="s">
        <v>2018</v>
      </c>
      <c r="AI2" s="1123" t="s">
        <v>2019</v>
      </c>
      <c r="AJ2" s="1123" t="s">
        <v>2020</v>
      </c>
      <c r="AK2" s="1123" t="s">
        <v>2021</v>
      </c>
      <c r="AL2" s="1123" t="s">
        <v>2022</v>
      </c>
      <c r="AM2" s="1123" t="s">
        <v>2023</v>
      </c>
      <c r="AN2" s="1123" t="s">
        <v>2024</v>
      </c>
      <c r="AO2" s="1123" t="s">
        <v>2025</v>
      </c>
      <c r="AP2" s="1123" t="s">
        <v>2026</v>
      </c>
      <c r="AQ2" s="1123" t="s">
        <v>2027</v>
      </c>
      <c r="AR2" s="1123"/>
      <c r="AS2" s="1123"/>
      <c r="AT2" s="1123"/>
      <c r="AU2" s="1123"/>
      <c r="AV2" s="1123"/>
      <c r="AW2" s="1123"/>
      <c r="AX2" s="1123"/>
      <c r="AY2" s="1123" t="str">
        <f>'FCA RData'!AF2</f>
        <v>Total</v>
      </c>
    </row>
    <row r="3" spans="1:51" s="1906" customFormat="1">
      <c r="A3" s="1904" t="s">
        <v>2028</v>
      </c>
      <c r="B3" s="1905"/>
      <c r="C3" s="1905" t="str">
        <f>[100]Items!$B$9</f>
        <v>Creep 3 Nosilac</v>
      </c>
      <c r="D3" s="1905" t="str">
        <f>[100]Items!$B$26</f>
        <v xml:space="preserve">Weaner </v>
      </c>
      <c r="E3" s="1905" t="str">
        <f>'[101]SYSTEM EXTRACT'!B25</f>
        <v>Weaner O.T.C</v>
      </c>
      <c r="F3" s="1905" t="str">
        <f>'[101]SYSTEM EXTRACT'!B17</f>
        <v>Grower 1</v>
      </c>
      <c r="G3" s="1905" t="str">
        <f>'[101]SYSTEM EXTRACT'!B18</f>
        <v>Grower 2</v>
      </c>
      <c r="H3" s="1905" t="str">
        <f>'[101]SYSTEM EXTRACT'!B19</f>
        <v>Grower 3</v>
      </c>
      <c r="I3" s="1905" t="str">
        <f>[100]Items!$B$23</f>
        <v xml:space="preserve"> Super Flush</v>
      </c>
      <c r="J3" s="1905" t="str">
        <f>[100]Items!$B$20</f>
        <v>Grower Finisher</v>
      </c>
      <c r="K3" s="1905" t="str">
        <f>'[101]SYSTEM EXTRACT'!B11</f>
        <v xml:space="preserve"> Drysow</v>
      </c>
      <c r="L3" s="1905" t="str">
        <f>'[101]SYSTEM EXTRACT'!B22</f>
        <v xml:space="preserve"> Lactating Sow</v>
      </c>
      <c r="M3" s="1905" t="str">
        <f>'[101]SYSTEM EXTRACT'!B21</f>
        <v xml:space="preserve"> Lactating Gilt</v>
      </c>
      <c r="N3" s="1905" t="str">
        <f>'[101]SYSTEM EXTRACT'!B24</f>
        <v xml:space="preserve"> Transition</v>
      </c>
      <c r="O3" s="1905" t="str">
        <f>[100]Items!$B$10</f>
        <v xml:space="preserve"> Dry Gilt</v>
      </c>
      <c r="P3" s="1905" t="str">
        <f>'[101]SYSTEM EXTRACT'!B12</f>
        <v>Gilt 1</v>
      </c>
      <c r="Q3" s="1905" t="str">
        <f>'[101]SYSTEM EXTRACT'!B13</f>
        <v>Gilt 2</v>
      </c>
      <c r="R3" s="1905" t="str">
        <f>'[101]SYSTEM EXTRACT'!B14</f>
        <v>Gilt 3</v>
      </c>
      <c r="S3" s="1905">
        <v>0</v>
      </c>
      <c r="T3" s="1905">
        <v>0</v>
      </c>
      <c r="U3" s="1905">
        <v>0</v>
      </c>
      <c r="V3" s="1905">
        <v>0</v>
      </c>
      <c r="W3" s="1905" t="str">
        <f>'[101]SYSTEM EXTRACT'!B15</f>
        <v xml:space="preserve"> Gilt 4</v>
      </c>
      <c r="X3" s="1905" t="str">
        <f>[100]Items!$B$16</f>
        <v xml:space="preserve"> Gilt 5</v>
      </c>
      <c r="Y3" s="1905" t="str">
        <f>'[101]SYSTEM EXTRACT'!B7</f>
        <v>Creep 1 Nosilac</v>
      </c>
      <c r="Z3" s="1905" t="str">
        <f>'[101]SYSTEM EXTRACT'!B8</f>
        <v xml:space="preserve"> Creep 2 Nosilac</v>
      </c>
      <c r="AA3" s="1906" t="str">
        <f>[100]Items!$B$4</f>
        <v>Creep- 3 Lacto</v>
      </c>
      <c r="AB3" s="1906" t="e">
        <f>[101]!Table1[[#This Row],[Description]]</f>
        <v>#REF!</v>
      </c>
      <c r="AC3" s="1906" t="str">
        <f>'[101]SYSTEM EXTRACT'!B5</f>
        <v xml:space="preserve"> Creep1-Lacto</v>
      </c>
      <c r="AD3" s="1906" t="str">
        <f>'[101]SYSTEM EXTRACT'!B6</f>
        <v>Creep2-Lacto</v>
      </c>
      <c r="AE3" s="1906" t="str">
        <f>'[101]SYSTEM EXTRACT'!B2</f>
        <v xml:space="preserve"> 90 plus V2</v>
      </c>
    </row>
    <row r="4" spans="1:51" ht="15">
      <c r="A4" s="1100"/>
      <c r="B4" s="1115"/>
      <c r="C4" s="1115" t="s">
        <v>2029</v>
      </c>
      <c r="D4" s="1115" t="s">
        <v>2029</v>
      </c>
      <c r="E4" s="1115" t="s">
        <v>2029</v>
      </c>
      <c r="F4" s="1115" t="s">
        <v>2029</v>
      </c>
      <c r="G4" s="1115" t="s">
        <v>2029</v>
      </c>
      <c r="H4" s="1115" t="s">
        <v>2029</v>
      </c>
      <c r="I4" s="1115" t="s">
        <v>2030</v>
      </c>
      <c r="J4" s="1115" t="s">
        <v>2031</v>
      </c>
      <c r="K4" s="1115" t="s">
        <v>2030</v>
      </c>
      <c r="L4" s="1115" t="s">
        <v>2029</v>
      </c>
      <c r="M4" s="1115" t="s">
        <v>2029</v>
      </c>
      <c r="N4" s="1115" t="s">
        <v>2030</v>
      </c>
      <c r="O4" s="1115" t="s">
        <v>1720</v>
      </c>
      <c r="P4" s="1115" t="s">
        <v>1720</v>
      </c>
      <c r="Q4" s="1115" t="s">
        <v>1720</v>
      </c>
      <c r="R4" s="1115" t="s">
        <v>1720</v>
      </c>
      <c r="S4" s="1115"/>
      <c r="T4" s="1115"/>
      <c r="U4" s="1115"/>
      <c r="V4" s="1115"/>
      <c r="W4" s="1115" t="s">
        <v>1720</v>
      </c>
      <c r="X4" s="1115" t="s">
        <v>1720</v>
      </c>
      <c r="Y4" s="1115" t="s">
        <v>2029</v>
      </c>
      <c r="Z4" s="1115" t="s">
        <v>2029</v>
      </c>
      <c r="AA4" s="1115" t="s">
        <v>2029</v>
      </c>
      <c r="AB4" s="1115" t="s">
        <v>1720</v>
      </c>
      <c r="AC4" s="1115" t="s">
        <v>2029</v>
      </c>
      <c r="AD4" s="1115" t="s">
        <v>2029</v>
      </c>
      <c r="AE4" s="1115" t="s">
        <v>2030</v>
      </c>
      <c r="AF4" s="1115" t="s">
        <v>2031</v>
      </c>
      <c r="AG4" s="1115" t="s">
        <v>2029</v>
      </c>
      <c r="AH4" s="1115"/>
      <c r="AI4" s="1115"/>
      <c r="AJ4" s="1115"/>
      <c r="AK4" s="1115"/>
      <c r="AL4" s="1115"/>
      <c r="AM4" s="1115"/>
      <c r="AN4" s="1115"/>
      <c r="AO4" s="1115"/>
      <c r="AP4" s="1115"/>
      <c r="AQ4" s="1115"/>
      <c r="AR4" s="1115"/>
      <c r="AS4" s="1115"/>
      <c r="AT4" s="1115"/>
      <c r="AU4" s="1115"/>
      <c r="AV4" s="1115"/>
      <c r="AW4" s="1115"/>
      <c r="AX4" s="1115"/>
      <c r="AY4" s="818"/>
    </row>
    <row r="5" spans="1:51" ht="15" hidden="1">
      <c r="A5" s="1100"/>
      <c r="B5" s="1115"/>
      <c r="C5" s="1115"/>
      <c r="D5" s="1115"/>
      <c r="E5" s="1115"/>
      <c r="F5" s="1115"/>
      <c r="G5" s="1115"/>
      <c r="H5" s="1115"/>
      <c r="I5" s="1115"/>
      <c r="J5" s="1115"/>
      <c r="K5" s="1115"/>
      <c r="L5" s="1115"/>
      <c r="M5" s="1115"/>
      <c r="N5" s="1115"/>
      <c r="O5" s="1115"/>
      <c r="P5" s="1115"/>
      <c r="Q5" s="1115"/>
      <c r="R5" s="1115"/>
      <c r="S5" s="1115"/>
      <c r="T5" s="1115"/>
      <c r="U5" s="1115"/>
      <c r="V5" s="1115"/>
      <c r="W5" s="1115"/>
      <c r="X5" s="1115"/>
      <c r="Y5" s="1115"/>
      <c r="Z5" s="1115"/>
      <c r="AA5" s="1115"/>
      <c r="AB5" s="1115"/>
      <c r="AC5" s="1115"/>
      <c r="AD5" s="1115"/>
      <c r="AE5" s="1115"/>
      <c r="AF5" s="1115"/>
      <c r="AG5" s="1115"/>
      <c r="AH5" s="1115"/>
      <c r="AI5" s="1115"/>
      <c r="AJ5" s="1115"/>
      <c r="AK5" s="1115"/>
      <c r="AL5" s="1115"/>
      <c r="AM5" s="1115"/>
      <c r="AN5" s="1115"/>
      <c r="AO5" s="1115"/>
      <c r="AP5" s="1115"/>
      <c r="AQ5" s="1115"/>
      <c r="AR5" s="1115"/>
      <c r="AS5" s="1115"/>
      <c r="AT5" s="1115"/>
      <c r="AU5" s="1115"/>
      <c r="AV5" s="1115"/>
      <c r="AW5" s="1115"/>
      <c r="AX5" s="1115"/>
      <c r="AY5" s="818"/>
    </row>
    <row r="6" spans="1:51" ht="15" hidden="1">
      <c r="A6" s="1100"/>
      <c r="B6" s="1115"/>
      <c r="C6" s="1115"/>
      <c r="D6" s="1115"/>
      <c r="E6" s="1115"/>
      <c r="F6" s="1115"/>
      <c r="G6" s="1115"/>
      <c r="H6" s="1115"/>
      <c r="I6" s="1115"/>
      <c r="J6" s="1115"/>
      <c r="K6" s="1115"/>
      <c r="L6" s="1115"/>
      <c r="M6" s="1115"/>
      <c r="N6" s="1115"/>
      <c r="O6" s="1115"/>
      <c r="P6" s="1115"/>
      <c r="Q6" s="1115"/>
      <c r="R6" s="1115"/>
      <c r="S6" s="1115"/>
      <c r="T6" s="1115"/>
      <c r="U6" s="1115"/>
      <c r="V6" s="1115"/>
      <c r="W6" s="1115"/>
      <c r="X6" s="1115"/>
      <c r="Y6" s="1115"/>
      <c r="Z6" s="1115"/>
      <c r="AA6" s="1115"/>
      <c r="AB6" s="1115"/>
      <c r="AC6" s="1115"/>
      <c r="AD6" s="1115"/>
      <c r="AE6" s="1115"/>
      <c r="AF6" s="1115"/>
      <c r="AG6" s="1115"/>
      <c r="AH6" s="1115"/>
      <c r="AI6" s="1115"/>
      <c r="AJ6" s="1115"/>
      <c r="AK6" s="1115"/>
      <c r="AL6" s="1115"/>
      <c r="AM6" s="1115"/>
      <c r="AN6" s="1115"/>
      <c r="AO6" s="1115"/>
      <c r="AP6" s="1115"/>
      <c r="AQ6" s="1115"/>
      <c r="AR6" s="1115"/>
      <c r="AS6" s="1115"/>
      <c r="AT6" s="1115"/>
      <c r="AU6" s="1115"/>
      <c r="AV6" s="1115"/>
      <c r="AW6" s="1115"/>
      <c r="AX6" s="1115"/>
      <c r="AY6" s="818"/>
    </row>
    <row r="7" spans="1:51" ht="15" hidden="1">
      <c r="A7" s="1100"/>
      <c r="B7" s="1115"/>
      <c r="C7" s="1115"/>
      <c r="D7" s="1115"/>
      <c r="E7" s="1115"/>
      <c r="F7" s="1115"/>
      <c r="G7" s="1115"/>
      <c r="H7" s="1115"/>
      <c r="I7" s="1115"/>
      <c r="J7" s="1115"/>
      <c r="K7" s="1115"/>
      <c r="L7" s="1115"/>
      <c r="M7" s="1115"/>
      <c r="N7" s="1115"/>
      <c r="O7" s="1115"/>
      <c r="P7" s="1115"/>
      <c r="Q7" s="1115"/>
      <c r="R7" s="1115"/>
      <c r="S7" s="1115"/>
      <c r="T7" s="1115"/>
      <c r="U7" s="1115"/>
      <c r="V7" s="1115"/>
      <c r="W7" s="1115"/>
      <c r="X7" s="1115"/>
      <c r="Y7" s="1115"/>
      <c r="Z7" s="1115"/>
      <c r="AA7" s="1115"/>
      <c r="AB7" s="1115"/>
      <c r="AC7" s="1115"/>
      <c r="AD7" s="1115"/>
      <c r="AE7" s="1115"/>
      <c r="AF7" s="1115"/>
      <c r="AG7" s="1115"/>
      <c r="AH7" s="1115"/>
      <c r="AI7" s="1115"/>
      <c r="AJ7" s="1115"/>
      <c r="AK7" s="1115"/>
      <c r="AL7" s="1115"/>
      <c r="AM7" s="1115"/>
      <c r="AN7" s="1115"/>
      <c r="AO7" s="1115"/>
      <c r="AP7" s="1115"/>
      <c r="AQ7" s="1115"/>
      <c r="AR7" s="1115"/>
      <c r="AS7" s="1115"/>
      <c r="AT7" s="1115"/>
      <c r="AU7" s="1115"/>
      <c r="AV7" s="1115"/>
      <c r="AW7" s="1115"/>
      <c r="AX7" s="1115"/>
      <c r="AY7" s="818"/>
    </row>
    <row r="8" spans="1:51" ht="15" hidden="1">
      <c r="A8" s="1100"/>
      <c r="B8" s="1115"/>
      <c r="C8" s="1115"/>
      <c r="D8" s="1115"/>
      <c r="E8" s="1115"/>
      <c r="F8" s="1115"/>
      <c r="G8" s="1115"/>
      <c r="H8" s="1115"/>
      <c r="I8" s="1115"/>
      <c r="J8" s="1115"/>
      <c r="K8" s="1115"/>
      <c r="L8" s="1115"/>
      <c r="M8" s="1115"/>
      <c r="N8" s="1115"/>
      <c r="O8" s="1115"/>
      <c r="P8" s="1115"/>
      <c r="Q8" s="1115"/>
      <c r="R8" s="1115"/>
      <c r="S8" s="1115"/>
      <c r="T8" s="1115"/>
      <c r="U8" s="1115"/>
      <c r="V8" s="1115"/>
      <c r="W8" s="1115"/>
      <c r="X8" s="1115"/>
      <c r="Y8" s="1115"/>
      <c r="Z8" s="1115"/>
      <c r="AA8" s="1115"/>
      <c r="AB8" s="1115"/>
      <c r="AC8" s="1115"/>
      <c r="AD8" s="1115"/>
      <c r="AE8" s="1115"/>
      <c r="AF8" s="1115"/>
      <c r="AG8" s="1115"/>
      <c r="AH8" s="1115"/>
      <c r="AI8" s="1115"/>
      <c r="AJ8" s="1115"/>
      <c r="AK8" s="1115"/>
      <c r="AL8" s="1115"/>
      <c r="AM8" s="1115"/>
      <c r="AN8" s="1115"/>
      <c r="AO8" s="1115"/>
      <c r="AP8" s="1115"/>
      <c r="AQ8" s="1115"/>
      <c r="AR8" s="1115"/>
      <c r="AS8" s="1115"/>
      <c r="AT8" s="1115"/>
      <c r="AU8" s="1115"/>
      <c r="AV8" s="1115"/>
      <c r="AW8" s="1115"/>
      <c r="AX8" s="1115"/>
      <c r="AY8" s="818"/>
    </row>
    <row r="9" spans="1:51" ht="15" hidden="1">
      <c r="A9" s="1100"/>
      <c r="B9" s="1115"/>
      <c r="C9" s="1115"/>
      <c r="D9" s="1115"/>
      <c r="E9" s="1115"/>
      <c r="F9" s="1115"/>
      <c r="G9" s="1115"/>
      <c r="H9" s="1115"/>
      <c r="I9" s="1115"/>
      <c r="J9" s="1115"/>
      <c r="K9" s="1115"/>
      <c r="L9" s="1115"/>
      <c r="M9" s="1115"/>
      <c r="N9" s="1115"/>
      <c r="O9" s="1115"/>
      <c r="P9" s="1115"/>
      <c r="Q9" s="1115"/>
      <c r="R9" s="1115"/>
      <c r="S9" s="1115"/>
      <c r="T9" s="1115"/>
      <c r="U9" s="1115"/>
      <c r="V9" s="1115"/>
      <c r="W9" s="1115"/>
      <c r="X9" s="1115"/>
      <c r="Y9" s="1115"/>
      <c r="Z9" s="1115"/>
      <c r="AA9" s="1115"/>
      <c r="AB9" s="1115"/>
      <c r="AC9" s="1115"/>
      <c r="AD9" s="1115"/>
      <c r="AE9" s="1115"/>
      <c r="AF9" s="1115"/>
      <c r="AG9" s="1115"/>
      <c r="AH9" s="1115"/>
      <c r="AI9" s="1115"/>
      <c r="AJ9" s="1115"/>
      <c r="AK9" s="1115"/>
      <c r="AL9" s="1115"/>
      <c r="AM9" s="1115"/>
      <c r="AN9" s="1115"/>
      <c r="AO9" s="1115"/>
      <c r="AP9" s="1115"/>
      <c r="AQ9" s="1115"/>
      <c r="AR9" s="1115"/>
      <c r="AS9" s="1115"/>
      <c r="AT9" s="1115"/>
      <c r="AU9" s="1115"/>
      <c r="AV9" s="1115"/>
      <c r="AW9" s="1115"/>
      <c r="AX9" s="1115"/>
      <c r="AY9" s="818"/>
    </row>
    <row r="10" spans="1:51" ht="15" hidden="1">
      <c r="A10" s="1100"/>
      <c r="B10" s="1115"/>
      <c r="C10" s="1115"/>
      <c r="D10" s="1115"/>
      <c r="E10" s="1115"/>
      <c r="F10" s="1115"/>
      <c r="G10" s="1115"/>
      <c r="H10" s="1115"/>
      <c r="I10" s="1115"/>
      <c r="J10" s="1115"/>
      <c r="K10" s="1115"/>
      <c r="L10" s="1115"/>
      <c r="M10" s="1115"/>
      <c r="N10" s="1115"/>
      <c r="O10" s="1115"/>
      <c r="P10" s="1115"/>
      <c r="Q10" s="1115"/>
      <c r="R10" s="1115"/>
      <c r="S10" s="1115"/>
      <c r="T10" s="1115"/>
      <c r="U10" s="1115"/>
      <c r="V10" s="1115"/>
      <c r="W10" s="1115"/>
      <c r="X10" s="1115"/>
      <c r="Y10" s="1115"/>
      <c r="Z10" s="1115"/>
      <c r="AA10" s="1115"/>
      <c r="AB10" s="1115"/>
      <c r="AC10" s="1115"/>
      <c r="AD10" s="1115"/>
      <c r="AE10" s="1115"/>
      <c r="AF10" s="1115"/>
      <c r="AG10" s="1115"/>
      <c r="AH10" s="1115"/>
      <c r="AI10" s="1115"/>
      <c r="AJ10" s="1115"/>
      <c r="AK10" s="1115"/>
      <c r="AL10" s="1115"/>
      <c r="AM10" s="1115"/>
      <c r="AN10" s="1115"/>
      <c r="AO10" s="1115"/>
      <c r="AP10" s="1115"/>
      <c r="AQ10" s="1115"/>
      <c r="AR10" s="1115"/>
      <c r="AS10" s="1115"/>
      <c r="AT10" s="1115"/>
      <c r="AU10" s="1115"/>
      <c r="AV10" s="1115"/>
      <c r="AW10" s="1115"/>
      <c r="AX10" s="1115"/>
      <c r="AY10" s="818"/>
    </row>
    <row r="11" spans="1:51" ht="15" hidden="1">
      <c r="A11" s="1100"/>
      <c r="B11" s="1115"/>
      <c r="C11" s="1115"/>
      <c r="D11" s="1115"/>
      <c r="E11" s="1115"/>
      <c r="F11" s="1115"/>
      <c r="G11" s="1115"/>
      <c r="H11" s="1115"/>
      <c r="I11" s="1115"/>
      <c r="J11" s="1115"/>
      <c r="K11" s="1115"/>
      <c r="L11" s="1115"/>
      <c r="M11" s="1115"/>
      <c r="N11" s="1115"/>
      <c r="O11" s="1115"/>
      <c r="P11" s="1115"/>
      <c r="Q11" s="1115"/>
      <c r="R11" s="1115"/>
      <c r="S11" s="1115"/>
      <c r="T11" s="1115"/>
      <c r="U11" s="1115"/>
      <c r="V11" s="1115"/>
      <c r="W11" s="1115"/>
      <c r="X11" s="1115"/>
      <c r="Y11" s="1115"/>
      <c r="Z11" s="1115"/>
      <c r="AA11" s="1115"/>
      <c r="AB11" s="1115"/>
      <c r="AC11" s="1115"/>
      <c r="AD11" s="1115"/>
      <c r="AE11" s="1115"/>
      <c r="AF11" s="1115"/>
      <c r="AG11" s="1115"/>
      <c r="AH11" s="1115"/>
      <c r="AI11" s="1115"/>
      <c r="AJ11" s="1115"/>
      <c r="AK11" s="1115"/>
      <c r="AL11" s="1115"/>
      <c r="AM11" s="1115"/>
      <c r="AN11" s="1115"/>
      <c r="AO11" s="1115"/>
      <c r="AP11" s="1115"/>
      <c r="AQ11" s="1115"/>
      <c r="AR11" s="1115"/>
      <c r="AS11" s="1115"/>
      <c r="AT11" s="1115"/>
      <c r="AU11" s="1115"/>
      <c r="AV11" s="1115"/>
      <c r="AW11" s="1115"/>
      <c r="AX11" s="1115"/>
      <c r="AY11" s="818"/>
    </row>
    <row r="12" spans="1:51" hidden="1">
      <c r="A12" s="1066"/>
      <c r="B12" s="1452"/>
      <c r="C12" s="1452"/>
      <c r="D12" s="1452"/>
      <c r="E12" s="1452"/>
      <c r="F12" s="1452"/>
      <c r="G12" s="1452"/>
      <c r="H12" s="1452"/>
      <c r="I12" s="1452"/>
      <c r="J12" s="1452"/>
      <c r="K12" s="1452"/>
      <c r="L12" s="1452"/>
      <c r="M12" s="1452"/>
      <c r="N12" s="1452"/>
      <c r="O12" s="1452"/>
      <c r="P12" s="1452"/>
      <c r="Q12" s="1452"/>
      <c r="R12" s="1452"/>
      <c r="S12" s="1452"/>
      <c r="T12" s="1452"/>
      <c r="U12" s="1452"/>
      <c r="V12" s="1452"/>
      <c r="W12" s="1452"/>
      <c r="X12" s="1452"/>
      <c r="Y12" s="1452"/>
      <c r="Z12" s="1452"/>
      <c r="AA12" s="1452"/>
      <c r="AB12" s="1452"/>
      <c r="AC12" s="1452"/>
      <c r="AD12" s="1452"/>
      <c r="AE12" s="1452"/>
      <c r="AF12" s="1452"/>
      <c r="AG12" s="1452"/>
      <c r="AH12" s="1452"/>
      <c r="AI12" s="1452"/>
      <c r="AJ12" s="1452"/>
      <c r="AK12" s="1452"/>
      <c r="AL12" s="1452"/>
      <c r="AM12" s="1452"/>
      <c r="AN12" s="1452"/>
      <c r="AO12" s="1452"/>
      <c r="AP12" s="1452"/>
      <c r="AQ12" s="1452"/>
      <c r="AR12" s="1452"/>
      <c r="AS12" s="1452"/>
      <c r="AT12" s="1452"/>
      <c r="AU12" s="1452"/>
      <c r="AV12" s="1452"/>
      <c r="AW12" s="1452"/>
      <c r="AX12" s="1452"/>
      <c r="AY12" s="1452"/>
    </row>
    <row r="13" spans="1:51" s="1910" customFormat="1" hidden="1">
      <c r="A13" s="1909"/>
      <c r="B13" s="1853"/>
      <c r="C13" s="1853"/>
      <c r="D13" s="1853"/>
      <c r="E13" s="1853"/>
      <c r="F13" s="1853"/>
      <c r="G13" s="1853"/>
      <c r="H13" s="1853"/>
      <c r="I13" s="1853"/>
      <c r="J13" s="1853"/>
      <c r="K13" s="1853"/>
      <c r="L13" s="1853"/>
      <c r="M13" s="1853"/>
      <c r="N13" s="1853"/>
      <c r="O13" s="1853"/>
      <c r="P13" s="1853"/>
      <c r="Q13" s="1853"/>
      <c r="R13" s="1853"/>
      <c r="S13" s="1853"/>
      <c r="T13" s="1853"/>
      <c r="U13" s="1853"/>
      <c r="V13" s="1853"/>
      <c r="W13" s="1853"/>
      <c r="X13" s="1853"/>
      <c r="Y13" s="1853"/>
      <c r="Z13" s="1853"/>
      <c r="AB13" s="1911"/>
    </row>
    <row r="14" spans="1:51" ht="15" hidden="1">
      <c r="A14" s="1117"/>
      <c r="AA14" s="1059"/>
      <c r="AB14" s="1059"/>
      <c r="AC14" s="1059"/>
      <c r="AD14" s="1059"/>
      <c r="AE14" s="1059"/>
      <c r="AF14" s="1059"/>
      <c r="AG14" s="1059"/>
      <c r="AH14" s="1059"/>
      <c r="AI14" s="1059"/>
      <c r="AJ14" s="1059"/>
      <c r="AK14" s="1059"/>
      <c r="AL14" s="1059"/>
      <c r="AM14" s="1059"/>
      <c r="AN14" s="1059"/>
      <c r="AO14" s="1059"/>
      <c r="AP14" s="1059"/>
      <c r="AQ14" s="1059"/>
      <c r="AR14" s="1059"/>
      <c r="AS14" s="1059"/>
      <c r="AT14" s="1059"/>
      <c r="AU14" s="1059"/>
      <c r="AV14" s="1059"/>
      <c r="AW14" s="1059"/>
      <c r="AX14" s="1059"/>
      <c r="AY14" s="818"/>
    </row>
    <row r="15" spans="1:51" ht="15" hidden="1">
      <c r="A15" s="1117"/>
      <c r="AA15" s="1059"/>
      <c r="AB15" s="1059"/>
      <c r="AC15" s="1059"/>
      <c r="AD15" s="1059"/>
      <c r="AE15" s="1059"/>
      <c r="AF15" s="1059"/>
      <c r="AG15" s="1059"/>
      <c r="AH15" s="1059"/>
      <c r="AI15" s="1059"/>
      <c r="AJ15" s="1059"/>
      <c r="AK15" s="1059"/>
      <c r="AL15" s="1059"/>
      <c r="AM15" s="1059"/>
      <c r="AN15" s="1059"/>
      <c r="AO15" s="1059"/>
      <c r="AP15" s="1059"/>
      <c r="AQ15" s="1059"/>
      <c r="AR15" s="1059"/>
      <c r="AS15" s="1059"/>
      <c r="AT15" s="1059"/>
      <c r="AU15" s="1059"/>
      <c r="AV15" s="1059"/>
      <c r="AW15" s="1059"/>
      <c r="AX15" s="1059"/>
      <c r="AY15" s="818"/>
    </row>
    <row r="16" spans="1:51" ht="15" hidden="1">
      <c r="A16" s="1117"/>
      <c r="AA16" s="1059"/>
      <c r="AB16" s="1059"/>
      <c r="AC16" s="1059"/>
      <c r="AD16" s="1059"/>
      <c r="AE16" s="1059"/>
      <c r="AF16" s="1059"/>
      <c r="AG16" s="1059"/>
      <c r="AH16" s="1059"/>
      <c r="AI16" s="1059"/>
      <c r="AJ16" s="1059"/>
      <c r="AK16" s="1059"/>
      <c r="AL16" s="1059"/>
      <c r="AM16" s="1059"/>
      <c r="AN16" s="1059"/>
      <c r="AO16" s="1059"/>
      <c r="AP16" s="1059"/>
      <c r="AQ16" s="1059"/>
      <c r="AR16" s="1059"/>
      <c r="AS16" s="1059"/>
      <c r="AT16" s="1059"/>
      <c r="AU16" s="1059"/>
      <c r="AV16" s="1059"/>
      <c r="AW16" s="1059"/>
      <c r="AX16" s="1059"/>
      <c r="AY16" s="818"/>
    </row>
    <row r="17" spans="1:51" ht="15" hidden="1">
      <c r="A17" s="1117"/>
      <c r="AA17" s="1059"/>
      <c r="AB17" s="1059"/>
      <c r="AC17" s="1059"/>
      <c r="AD17" s="1059"/>
      <c r="AE17" s="1059"/>
      <c r="AF17" s="1059"/>
      <c r="AG17" s="1059"/>
      <c r="AH17" s="1059"/>
      <c r="AI17" s="1059"/>
      <c r="AJ17" s="1059"/>
      <c r="AK17" s="1059"/>
      <c r="AL17" s="1059"/>
      <c r="AM17" s="1059"/>
      <c r="AN17" s="1059"/>
      <c r="AO17" s="1059"/>
      <c r="AP17" s="1059"/>
      <c r="AQ17" s="1059"/>
      <c r="AR17" s="1059"/>
      <c r="AS17" s="1059"/>
      <c r="AT17" s="1059"/>
      <c r="AU17" s="1059"/>
      <c r="AV17" s="1059"/>
      <c r="AW17" s="1059"/>
      <c r="AX17" s="1059"/>
      <c r="AY17" s="818"/>
    </row>
    <row r="18" spans="1:51" ht="15" hidden="1">
      <c r="A18" s="1117"/>
      <c r="AA18" s="1059"/>
      <c r="AB18" s="1059"/>
      <c r="AC18" s="1059"/>
      <c r="AD18" s="1059"/>
      <c r="AE18" s="1059"/>
      <c r="AF18" s="1059"/>
      <c r="AG18" s="1059"/>
      <c r="AH18" s="1059"/>
      <c r="AI18" s="1059"/>
      <c r="AJ18" s="1059"/>
      <c r="AK18" s="1059"/>
      <c r="AL18" s="1059"/>
      <c r="AM18" s="1059"/>
      <c r="AN18" s="1059"/>
      <c r="AO18" s="1059"/>
      <c r="AP18" s="1059"/>
      <c r="AQ18" s="1059"/>
      <c r="AR18" s="1059"/>
      <c r="AS18" s="1059"/>
      <c r="AT18" s="1059"/>
      <c r="AU18" s="1059"/>
      <c r="AV18" s="1059"/>
      <c r="AW18" s="1059"/>
      <c r="AX18" s="1059"/>
      <c r="AY18" s="818"/>
    </row>
    <row r="19" spans="1:51" ht="15" hidden="1">
      <c r="A19" s="1117"/>
      <c r="AA19" s="1059"/>
      <c r="AB19" s="1059"/>
      <c r="AC19" s="1059"/>
      <c r="AD19" s="1059"/>
      <c r="AE19" s="1059"/>
      <c r="AF19" s="1059"/>
      <c r="AG19" s="1059"/>
      <c r="AH19" s="1059"/>
      <c r="AI19" s="1059"/>
      <c r="AJ19" s="1059"/>
      <c r="AK19" s="1059"/>
      <c r="AL19" s="1059"/>
      <c r="AM19" s="1059"/>
      <c r="AN19" s="1059"/>
      <c r="AO19" s="1059"/>
      <c r="AP19" s="1059"/>
      <c r="AQ19" s="1059"/>
      <c r="AR19" s="1059"/>
      <c r="AS19" s="1059"/>
      <c r="AT19" s="1059"/>
      <c r="AU19" s="1059"/>
      <c r="AV19" s="1059"/>
      <c r="AW19" s="1059"/>
      <c r="AX19" s="1059"/>
      <c r="AY19" s="818"/>
    </row>
    <row r="20" spans="1:51" ht="15" hidden="1">
      <c r="A20" s="1117"/>
      <c r="AA20" s="1059"/>
      <c r="AB20" s="1059"/>
      <c r="AC20" s="1059"/>
      <c r="AD20" s="1059"/>
      <c r="AE20" s="1059"/>
      <c r="AF20" s="1059"/>
      <c r="AG20" s="1059"/>
      <c r="AH20" s="1059"/>
      <c r="AI20" s="1059"/>
      <c r="AJ20" s="1059"/>
      <c r="AK20" s="1059"/>
      <c r="AL20" s="1059"/>
      <c r="AM20" s="1059"/>
      <c r="AN20" s="1059"/>
      <c r="AO20" s="1059"/>
      <c r="AP20" s="1059"/>
      <c r="AQ20" s="1059"/>
      <c r="AR20" s="1059"/>
      <c r="AS20" s="1059"/>
      <c r="AT20" s="1059"/>
      <c r="AU20" s="1059"/>
      <c r="AV20" s="1059"/>
      <c r="AW20" s="1059"/>
      <c r="AX20" s="1059"/>
      <c r="AY20" s="818"/>
    </row>
    <row r="21" spans="1:51" hidden="1">
      <c r="A21" s="1117"/>
      <c r="B21" s="1452"/>
      <c r="C21" s="1452"/>
      <c r="D21" s="1452"/>
      <c r="E21" s="1452"/>
      <c r="F21" s="1452"/>
      <c r="G21" s="1452"/>
      <c r="H21" s="1452"/>
      <c r="I21" s="1452"/>
      <c r="J21" s="1452"/>
      <c r="K21" s="1452"/>
      <c r="L21" s="1452"/>
      <c r="M21" s="1452"/>
      <c r="N21" s="1452"/>
      <c r="O21" s="1452"/>
      <c r="P21" s="1452"/>
      <c r="Q21" s="1452"/>
      <c r="R21" s="1452"/>
      <c r="S21" s="1452"/>
      <c r="T21" s="1452"/>
      <c r="U21" s="1452"/>
      <c r="V21" s="1452"/>
      <c r="W21" s="1452"/>
      <c r="X21" s="1452"/>
      <c r="Y21" s="1452"/>
      <c r="Z21" s="1452"/>
      <c r="AA21" s="1452"/>
      <c r="AB21" s="1452"/>
      <c r="AC21" s="1452"/>
      <c r="AD21" s="1452"/>
      <c r="AE21" s="1452"/>
      <c r="AF21" s="1452"/>
      <c r="AG21" s="1452"/>
      <c r="AH21" s="1452"/>
      <c r="AI21" s="1452"/>
      <c r="AJ21" s="1452"/>
      <c r="AK21" s="1452"/>
      <c r="AL21" s="1452"/>
      <c r="AM21" s="1452"/>
      <c r="AN21" s="1452"/>
      <c r="AO21" s="1452"/>
      <c r="AP21" s="1452"/>
      <c r="AQ21" s="1452"/>
      <c r="AR21" s="1452"/>
      <c r="AS21" s="1452"/>
      <c r="AT21" s="1452"/>
      <c r="AU21" s="1452"/>
      <c r="AV21" s="1452"/>
      <c r="AW21" s="1452"/>
      <c r="AX21" s="1452"/>
      <c r="AY21" s="1452"/>
    </row>
    <row r="22" spans="1:51" s="1769" customFormat="1" hidden="1">
      <c r="A22" s="1913"/>
      <c r="B22" s="1087"/>
      <c r="C22" s="1087"/>
      <c r="D22" s="1087"/>
      <c r="E22" s="1087"/>
      <c r="F22" s="1087"/>
      <c r="G22" s="1087"/>
      <c r="H22" s="1087"/>
      <c r="I22" s="1087"/>
      <c r="J22" s="1087"/>
      <c r="K22" s="1087"/>
      <c r="L22" s="1087"/>
      <c r="M22" s="1087"/>
      <c r="N22" s="1087"/>
      <c r="O22" s="1087"/>
      <c r="P22" s="1087"/>
      <c r="Q22" s="1087"/>
      <c r="R22" s="1087"/>
      <c r="S22" s="1087"/>
      <c r="T22" s="1087"/>
      <c r="U22" s="1087"/>
      <c r="V22" s="1087"/>
      <c r="W22" s="1087"/>
      <c r="X22" s="1087"/>
      <c r="Y22" s="1087"/>
      <c r="Z22" s="1087"/>
      <c r="AA22" s="1060"/>
      <c r="AB22" s="1687"/>
    </row>
    <row r="23" spans="1:51" ht="15" hidden="1">
      <c r="A23" s="1118"/>
      <c r="B23" s="1115"/>
      <c r="C23" s="1115"/>
      <c r="D23" s="1115"/>
      <c r="E23" s="1115"/>
      <c r="F23" s="1115"/>
      <c r="G23" s="1115"/>
      <c r="H23" s="1115"/>
      <c r="I23" s="1115"/>
      <c r="J23" s="1115"/>
      <c r="K23" s="1115"/>
      <c r="L23" s="1115"/>
      <c r="M23" s="1115"/>
      <c r="N23" s="1115"/>
      <c r="O23" s="1115"/>
      <c r="P23" s="1115"/>
      <c r="Q23" s="1115"/>
      <c r="R23" s="1115"/>
      <c r="S23" s="1115"/>
      <c r="T23" s="1115"/>
      <c r="U23" s="1115"/>
      <c r="V23" s="1115"/>
      <c r="W23" s="1115"/>
      <c r="X23" s="1115"/>
      <c r="Y23" s="1115"/>
      <c r="Z23" s="1115"/>
      <c r="AA23" s="1115"/>
      <c r="AB23" s="1115"/>
      <c r="AC23" s="1115"/>
      <c r="AD23" s="1115"/>
      <c r="AE23" s="1115"/>
      <c r="AF23" s="1115"/>
      <c r="AG23" s="1115"/>
      <c r="AH23" s="1115"/>
      <c r="AI23" s="1115"/>
      <c r="AJ23" s="1115"/>
      <c r="AK23" s="1115"/>
      <c r="AL23" s="1115"/>
      <c r="AM23" s="1115"/>
      <c r="AN23" s="1115"/>
      <c r="AO23" s="1115"/>
      <c r="AP23" s="1115"/>
      <c r="AQ23" s="1115"/>
      <c r="AR23" s="1115"/>
      <c r="AS23" s="1115"/>
      <c r="AT23" s="1115"/>
      <c r="AU23" s="1115"/>
      <c r="AV23" s="1115"/>
      <c r="AW23" s="1115"/>
      <c r="AX23" s="1115"/>
      <c r="AY23" s="818"/>
    </row>
    <row r="24" spans="1:51" ht="15" hidden="1">
      <c r="A24" s="1118"/>
      <c r="B24" s="1115"/>
      <c r="C24" s="1115"/>
      <c r="D24" s="1115"/>
      <c r="E24" s="1115"/>
      <c r="F24" s="1115"/>
      <c r="G24" s="1115"/>
      <c r="H24" s="1115"/>
      <c r="I24" s="1115"/>
      <c r="J24" s="1115"/>
      <c r="K24" s="1115"/>
      <c r="L24" s="1115"/>
      <c r="M24" s="1115"/>
      <c r="N24" s="1115"/>
      <c r="O24" s="1115"/>
      <c r="P24" s="1115"/>
      <c r="Q24" s="1115"/>
      <c r="R24" s="1115"/>
      <c r="S24" s="1115"/>
      <c r="T24" s="1115"/>
      <c r="U24" s="1115"/>
      <c r="V24" s="1115"/>
      <c r="W24" s="1115"/>
      <c r="X24" s="1115"/>
      <c r="Y24" s="1115"/>
      <c r="Z24" s="1115"/>
      <c r="AA24" s="1115"/>
      <c r="AB24" s="1115"/>
      <c r="AC24" s="1115"/>
      <c r="AD24" s="1115"/>
      <c r="AE24" s="1115"/>
      <c r="AF24" s="1115"/>
      <c r="AG24" s="1115"/>
      <c r="AH24" s="1115"/>
      <c r="AI24" s="1115"/>
      <c r="AJ24" s="1115"/>
      <c r="AK24" s="1115"/>
      <c r="AL24" s="1115"/>
      <c r="AM24" s="1115"/>
      <c r="AN24" s="1115"/>
      <c r="AO24" s="1115"/>
      <c r="AP24" s="1115"/>
      <c r="AQ24" s="1115"/>
      <c r="AR24" s="1115"/>
      <c r="AS24" s="1115"/>
      <c r="AT24" s="1115"/>
      <c r="AU24" s="1115"/>
      <c r="AV24" s="1115"/>
      <c r="AW24" s="1115"/>
      <c r="AX24" s="1115"/>
      <c r="AY24" s="818"/>
    </row>
    <row r="25" spans="1:51" ht="15" hidden="1">
      <c r="A25" s="1118"/>
      <c r="B25" s="1115"/>
      <c r="C25" s="1115"/>
      <c r="D25" s="1115"/>
      <c r="E25" s="1115"/>
      <c r="F25" s="1115"/>
      <c r="G25" s="1115"/>
      <c r="H25" s="1115"/>
      <c r="I25" s="1115"/>
      <c r="J25" s="1115"/>
      <c r="K25" s="1115"/>
      <c r="L25" s="1115"/>
      <c r="M25" s="1115"/>
      <c r="N25" s="1115"/>
      <c r="O25" s="1115"/>
      <c r="P25" s="1115"/>
      <c r="Q25" s="1115"/>
      <c r="R25" s="1115"/>
      <c r="S25" s="1115"/>
      <c r="T25" s="1115"/>
      <c r="U25" s="1115"/>
      <c r="V25" s="1115"/>
      <c r="W25" s="1115"/>
      <c r="X25" s="1115"/>
      <c r="Y25" s="1115"/>
      <c r="Z25" s="1115"/>
      <c r="AA25" s="1115"/>
      <c r="AB25" s="1115"/>
      <c r="AC25" s="1115"/>
      <c r="AD25" s="1115"/>
      <c r="AE25" s="1115"/>
      <c r="AF25" s="1115"/>
      <c r="AG25" s="1115"/>
      <c r="AH25" s="1115"/>
      <c r="AI25" s="1115"/>
      <c r="AJ25" s="1115"/>
      <c r="AK25" s="1115"/>
      <c r="AL25" s="1115"/>
      <c r="AM25" s="1115"/>
      <c r="AN25" s="1115"/>
      <c r="AO25" s="1115"/>
      <c r="AP25" s="1115"/>
      <c r="AQ25" s="1115"/>
      <c r="AR25" s="1115"/>
      <c r="AS25" s="1115"/>
      <c r="AT25" s="1115"/>
      <c r="AU25" s="1115"/>
      <c r="AV25" s="1115"/>
      <c r="AW25" s="1115"/>
      <c r="AX25" s="1115"/>
      <c r="AY25" s="818"/>
    </row>
    <row r="26" spans="1:51" ht="15" hidden="1">
      <c r="A26" s="1118"/>
      <c r="B26" s="1115"/>
      <c r="C26" s="1115"/>
      <c r="D26" s="1115"/>
      <c r="E26" s="1115"/>
      <c r="F26" s="1115"/>
      <c r="G26" s="1115"/>
      <c r="H26" s="1115"/>
      <c r="I26" s="1115"/>
      <c r="J26" s="1115"/>
      <c r="K26" s="1115"/>
      <c r="L26" s="1115"/>
      <c r="M26" s="1115"/>
      <c r="N26" s="1115"/>
      <c r="O26" s="1115"/>
      <c r="P26" s="1115"/>
      <c r="Q26" s="1115"/>
      <c r="R26" s="1115"/>
      <c r="S26" s="1115"/>
      <c r="T26" s="1115"/>
      <c r="U26" s="1115"/>
      <c r="V26" s="1115"/>
      <c r="W26" s="1115"/>
      <c r="X26" s="1115"/>
      <c r="Y26" s="1115"/>
      <c r="Z26" s="1115"/>
      <c r="AA26" s="1115"/>
      <c r="AB26" s="1115"/>
      <c r="AC26" s="1115"/>
      <c r="AD26" s="1115"/>
      <c r="AE26" s="1115"/>
      <c r="AF26" s="1115"/>
      <c r="AG26" s="1115"/>
      <c r="AH26" s="1115"/>
      <c r="AI26" s="1115"/>
      <c r="AJ26" s="1115"/>
      <c r="AK26" s="1115"/>
      <c r="AL26" s="1115"/>
      <c r="AM26" s="1115"/>
      <c r="AN26" s="1115"/>
      <c r="AO26" s="1115"/>
      <c r="AP26" s="1115"/>
      <c r="AQ26" s="1115"/>
      <c r="AR26" s="1115"/>
      <c r="AS26" s="1115"/>
      <c r="AT26" s="1115"/>
      <c r="AU26" s="1115"/>
      <c r="AV26" s="1115"/>
      <c r="AW26" s="1115"/>
      <c r="AX26" s="1115"/>
      <c r="AY26" s="818"/>
    </row>
    <row r="27" spans="1:51" ht="15" hidden="1">
      <c r="A27" s="1118"/>
      <c r="B27" s="1115"/>
      <c r="C27" s="1115"/>
      <c r="D27" s="1115"/>
      <c r="E27" s="1115"/>
      <c r="F27" s="1115"/>
      <c r="G27" s="1115"/>
      <c r="H27" s="1115"/>
      <c r="I27" s="1115"/>
      <c r="J27" s="1115"/>
      <c r="K27" s="1115"/>
      <c r="L27" s="1115"/>
      <c r="M27" s="1115"/>
      <c r="N27" s="1115"/>
      <c r="O27" s="1115"/>
      <c r="P27" s="1115"/>
      <c r="Q27" s="1115"/>
      <c r="R27" s="1115"/>
      <c r="S27" s="1115"/>
      <c r="T27" s="1115"/>
      <c r="U27" s="1115"/>
      <c r="V27" s="1115"/>
      <c r="W27" s="1115"/>
      <c r="X27" s="1115"/>
      <c r="Y27" s="1115"/>
      <c r="Z27" s="1115"/>
      <c r="AA27" s="1115"/>
      <c r="AB27" s="1115"/>
      <c r="AC27" s="1115"/>
      <c r="AD27" s="1115"/>
      <c r="AE27" s="1115"/>
      <c r="AF27" s="1115"/>
      <c r="AG27" s="1115"/>
      <c r="AH27" s="1115"/>
      <c r="AI27" s="1115"/>
      <c r="AJ27" s="1115"/>
      <c r="AK27" s="1115"/>
      <c r="AL27" s="1115"/>
      <c r="AM27" s="1115"/>
      <c r="AN27" s="1115"/>
      <c r="AO27" s="1115"/>
      <c r="AP27" s="1115"/>
      <c r="AQ27" s="1115"/>
      <c r="AR27" s="1115"/>
      <c r="AS27" s="1115"/>
      <c r="AT27" s="1115"/>
      <c r="AU27" s="1115"/>
      <c r="AV27" s="1115"/>
      <c r="AW27" s="1115"/>
      <c r="AX27" s="1115"/>
      <c r="AY27" s="818"/>
    </row>
    <row r="28" spans="1:51" ht="15" hidden="1">
      <c r="A28" s="1118"/>
      <c r="B28" s="1115"/>
      <c r="C28" s="1115"/>
      <c r="D28" s="1115"/>
      <c r="E28" s="1115"/>
      <c r="F28" s="1115"/>
      <c r="G28" s="1115"/>
      <c r="H28" s="1115"/>
      <c r="I28" s="1115"/>
      <c r="J28" s="1115"/>
      <c r="K28" s="1115"/>
      <c r="L28" s="1115"/>
      <c r="M28" s="1115"/>
      <c r="N28" s="1115"/>
      <c r="O28" s="1115"/>
      <c r="P28" s="1115"/>
      <c r="Q28" s="1115"/>
      <c r="R28" s="1115"/>
      <c r="S28" s="1115"/>
      <c r="T28" s="1115"/>
      <c r="U28" s="1115"/>
      <c r="V28" s="1115"/>
      <c r="W28" s="1115"/>
      <c r="X28" s="1115"/>
      <c r="Y28" s="1115"/>
      <c r="Z28" s="1115"/>
      <c r="AA28" s="1115"/>
      <c r="AB28" s="1115"/>
      <c r="AC28" s="1115"/>
      <c r="AD28" s="1115"/>
      <c r="AE28" s="1115"/>
      <c r="AF28" s="1115"/>
      <c r="AG28" s="1115"/>
      <c r="AH28" s="1115"/>
      <c r="AI28" s="1115"/>
      <c r="AJ28" s="1115"/>
      <c r="AK28" s="1115"/>
      <c r="AL28" s="1115"/>
      <c r="AM28" s="1115"/>
      <c r="AN28" s="1115"/>
      <c r="AO28" s="1115"/>
      <c r="AP28" s="1115"/>
      <c r="AQ28" s="1115"/>
      <c r="AR28" s="1115"/>
      <c r="AS28" s="1115"/>
      <c r="AT28" s="1115"/>
      <c r="AU28" s="1115"/>
      <c r="AV28" s="1115"/>
      <c r="AW28" s="1115"/>
      <c r="AX28" s="1115"/>
      <c r="AY28" s="818"/>
    </row>
    <row r="29" spans="1:51" ht="15" hidden="1">
      <c r="A29" s="1118"/>
      <c r="B29" s="1115"/>
      <c r="C29" s="1115"/>
      <c r="D29" s="1115"/>
      <c r="E29" s="1115"/>
      <c r="F29" s="1115"/>
      <c r="G29" s="1115"/>
      <c r="H29" s="1115"/>
      <c r="I29" s="1115"/>
      <c r="J29" s="1115"/>
      <c r="K29" s="1115"/>
      <c r="L29" s="1115"/>
      <c r="M29" s="1115"/>
      <c r="N29" s="1115"/>
      <c r="O29" s="1115"/>
      <c r="P29" s="1115"/>
      <c r="Q29" s="1115"/>
      <c r="R29" s="1115"/>
      <c r="S29" s="1115"/>
      <c r="T29" s="1115"/>
      <c r="U29" s="1115"/>
      <c r="V29" s="1115"/>
      <c r="W29" s="1115"/>
      <c r="X29" s="1115"/>
      <c r="Y29" s="1115"/>
      <c r="Z29" s="1115"/>
      <c r="AA29" s="1115"/>
      <c r="AB29" s="1115"/>
      <c r="AC29" s="1115"/>
      <c r="AD29" s="1115"/>
      <c r="AE29" s="1115"/>
      <c r="AF29" s="1115"/>
      <c r="AG29" s="1115"/>
      <c r="AH29" s="1115"/>
      <c r="AI29" s="1115"/>
      <c r="AJ29" s="1115"/>
      <c r="AK29" s="1115"/>
      <c r="AL29" s="1115"/>
      <c r="AM29" s="1115"/>
      <c r="AN29" s="1115"/>
      <c r="AO29" s="1115"/>
      <c r="AP29" s="1115"/>
      <c r="AQ29" s="1115"/>
      <c r="AR29" s="1115"/>
      <c r="AS29" s="1115"/>
      <c r="AT29" s="1115"/>
      <c r="AU29" s="1115"/>
      <c r="AV29" s="1115"/>
      <c r="AW29" s="1115"/>
      <c r="AX29" s="1115"/>
      <c r="AY29" s="818"/>
    </row>
    <row r="30" spans="1:51" hidden="1">
      <c r="A30" s="1117"/>
      <c r="B30" s="1452"/>
      <c r="C30" s="1452"/>
      <c r="D30" s="1452"/>
      <c r="E30" s="1452"/>
      <c r="F30" s="1452"/>
      <c r="G30" s="1452"/>
      <c r="H30" s="1452"/>
      <c r="I30" s="1452"/>
      <c r="J30" s="1452"/>
      <c r="K30" s="1452"/>
      <c r="L30" s="1452"/>
      <c r="M30" s="1452"/>
      <c r="N30" s="1452"/>
      <c r="O30" s="1452"/>
      <c r="P30" s="1452"/>
      <c r="Q30" s="1452"/>
      <c r="R30" s="1452"/>
      <c r="S30" s="1452"/>
      <c r="T30" s="1452"/>
      <c r="U30" s="1452"/>
      <c r="V30" s="1452"/>
      <c r="W30" s="1452"/>
      <c r="X30" s="1452"/>
      <c r="Y30" s="1452"/>
      <c r="Z30" s="1452"/>
      <c r="AA30" s="1452"/>
      <c r="AB30" s="1452"/>
      <c r="AC30" s="1452"/>
      <c r="AD30" s="1452"/>
      <c r="AE30" s="1452"/>
      <c r="AF30" s="1452"/>
      <c r="AG30" s="1452"/>
      <c r="AH30" s="1452"/>
      <c r="AI30" s="1452"/>
      <c r="AJ30" s="1452"/>
      <c r="AK30" s="1452"/>
      <c r="AL30" s="1452"/>
      <c r="AM30" s="1452"/>
      <c r="AN30" s="1452"/>
      <c r="AO30" s="1452"/>
      <c r="AP30" s="1452"/>
      <c r="AQ30" s="1452"/>
      <c r="AR30" s="1452"/>
      <c r="AS30" s="1452"/>
      <c r="AT30" s="1452"/>
      <c r="AU30" s="1452"/>
      <c r="AV30" s="1452"/>
      <c r="AW30" s="1452"/>
      <c r="AX30" s="1452"/>
      <c r="AY30" s="1452"/>
    </row>
    <row r="31" spans="1:51" s="1918" customFormat="1" hidden="1">
      <c r="A31" s="1916"/>
      <c r="B31" s="1917"/>
      <c r="C31" s="1917"/>
      <c r="D31" s="1917"/>
      <c r="E31" s="1917"/>
      <c r="F31" s="1917"/>
      <c r="G31" s="1917"/>
      <c r="H31" s="1917"/>
      <c r="I31" s="1917"/>
      <c r="J31" s="1917"/>
      <c r="K31" s="1917"/>
      <c r="L31" s="1917"/>
      <c r="M31" s="1917"/>
      <c r="N31" s="1917"/>
      <c r="O31" s="1917"/>
      <c r="P31" s="1917"/>
      <c r="Q31" s="1917"/>
      <c r="R31" s="1917"/>
      <c r="S31" s="1917"/>
      <c r="T31" s="1917"/>
      <c r="U31" s="1917"/>
      <c r="V31" s="1917"/>
      <c r="W31" s="1917"/>
      <c r="X31" s="1917"/>
      <c r="Y31" s="1917"/>
      <c r="Z31" s="1917"/>
      <c r="AB31" s="1919"/>
    </row>
    <row r="32" spans="1:51" s="131" customFormat="1" ht="16.149999999999999" hidden="1" thickBot="1">
      <c r="A32" s="1126"/>
      <c r="B32" s="1125"/>
      <c r="C32" s="1125"/>
      <c r="D32" s="1125"/>
      <c r="E32" s="1125"/>
      <c r="F32" s="1125"/>
      <c r="G32" s="1125"/>
      <c r="H32" s="1125"/>
      <c r="I32" s="1125"/>
      <c r="J32" s="1125"/>
      <c r="K32" s="1125"/>
      <c r="L32" s="1125"/>
      <c r="M32" s="1125"/>
      <c r="N32" s="1125"/>
      <c r="O32" s="1125"/>
      <c r="P32" s="1125"/>
      <c r="Q32" s="1125"/>
      <c r="R32" s="1125"/>
      <c r="S32" s="1125"/>
      <c r="T32" s="1125"/>
      <c r="U32" s="1125"/>
      <c r="V32" s="1125"/>
      <c r="W32" s="1125"/>
      <c r="X32" s="1125"/>
      <c r="Y32" s="1125"/>
      <c r="Z32" s="1125"/>
    </row>
    <row r="33" spans="1:51" hidden="1">
      <c r="A33" s="1119"/>
      <c r="B33" s="1127"/>
      <c r="C33" s="1128"/>
      <c r="D33" s="1129"/>
    </row>
    <row r="34" spans="1:51" hidden="1">
      <c r="A34" s="1119"/>
      <c r="B34" s="1130"/>
      <c r="C34" s="1115"/>
      <c r="D34" s="1131"/>
    </row>
    <row r="35" spans="1:51" hidden="1">
      <c r="A35" s="1119"/>
      <c r="B35" s="1130"/>
      <c r="C35" s="1115"/>
      <c r="D35" s="1131"/>
    </row>
    <row r="36" spans="1:51" hidden="1">
      <c r="A36" s="1119"/>
      <c r="B36" s="1130"/>
      <c r="C36" s="1115"/>
      <c r="D36" s="1131"/>
    </row>
    <row r="37" spans="1:51" hidden="1">
      <c r="A37" s="1119"/>
      <c r="B37" s="1130"/>
      <c r="C37" s="1115"/>
      <c r="D37" s="1131"/>
    </row>
    <row r="38" spans="1:51" ht="16.149999999999999" hidden="1" thickBot="1">
      <c r="A38" s="1120"/>
      <c r="B38" s="1132"/>
      <c r="C38" s="1116"/>
      <c r="D38" s="1133"/>
    </row>
    <row r="39" spans="1:51" s="1924" customFormat="1" hidden="1">
      <c r="A39" s="1922"/>
      <c r="B39" s="1923"/>
      <c r="C39" s="1923"/>
      <c r="D39" s="1923"/>
      <c r="E39" s="1923"/>
      <c r="F39" s="1923"/>
      <c r="G39" s="1923"/>
      <c r="H39" s="1923"/>
      <c r="I39" s="1923"/>
      <c r="J39" s="1923"/>
      <c r="K39" s="1923"/>
      <c r="L39" s="1923"/>
      <c r="M39" s="1923"/>
      <c r="N39" s="1923"/>
      <c r="O39" s="1923"/>
      <c r="P39" s="1923"/>
      <c r="Q39" s="1923"/>
      <c r="R39" s="1923"/>
      <c r="S39" s="1923"/>
      <c r="T39" s="1923"/>
      <c r="U39" s="1923"/>
      <c r="V39" s="1923"/>
      <c r="W39" s="1923"/>
      <c r="X39" s="1923"/>
      <c r="Y39" s="1923"/>
      <c r="Z39" s="1923"/>
      <c r="AB39" s="1925"/>
    </row>
    <row r="40" spans="1:51" s="131" customFormat="1" hidden="1">
      <c r="A40" s="1090"/>
      <c r="B40" s="1125"/>
      <c r="C40" s="1125"/>
      <c r="D40" s="1125"/>
      <c r="E40" s="1125"/>
      <c r="F40" s="1125"/>
      <c r="G40" s="1125"/>
      <c r="H40" s="1125"/>
      <c r="I40" s="1125"/>
      <c r="J40" s="1125"/>
      <c r="K40" s="1125"/>
      <c r="L40" s="1125"/>
      <c r="M40" s="1125"/>
      <c r="N40" s="1125"/>
      <c r="O40" s="1125"/>
      <c r="P40" s="1125"/>
      <c r="Q40" s="1125"/>
      <c r="R40" s="1125"/>
      <c r="S40" s="1125"/>
      <c r="T40" s="1125"/>
      <c r="U40" s="1125"/>
      <c r="V40" s="1125"/>
      <c r="W40" s="1125"/>
      <c r="X40" s="1125"/>
      <c r="Y40" s="1125"/>
      <c r="Z40" s="1125"/>
    </row>
    <row r="41" spans="1:51" ht="15" hidden="1">
      <c r="A41" s="1118"/>
      <c r="B41" s="1115"/>
      <c r="C41" s="1115"/>
      <c r="D41" s="1115"/>
      <c r="E41" s="1115"/>
      <c r="F41" s="1115"/>
      <c r="G41" s="1115"/>
      <c r="H41" s="1115"/>
      <c r="I41" s="1115"/>
      <c r="J41" s="1115"/>
      <c r="K41" s="1115"/>
      <c r="L41" s="1115"/>
      <c r="M41" s="1115"/>
      <c r="N41" s="1115"/>
      <c r="O41" s="1115"/>
      <c r="P41" s="1115"/>
      <c r="Q41" s="1115"/>
      <c r="R41" s="1115"/>
      <c r="S41" s="1115"/>
      <c r="T41" s="1115"/>
      <c r="U41" s="1115"/>
      <c r="V41" s="1115"/>
      <c r="W41" s="1115"/>
      <c r="X41" s="1115"/>
      <c r="Y41" s="1115"/>
      <c r="Z41" s="1115"/>
      <c r="AA41" s="1115"/>
      <c r="AB41" s="1115"/>
      <c r="AC41" s="1115"/>
      <c r="AD41" s="1115"/>
      <c r="AE41" s="1115"/>
      <c r="AF41" s="1115"/>
      <c r="AG41" s="1115"/>
      <c r="AH41" s="1115"/>
      <c r="AI41" s="1115"/>
      <c r="AJ41" s="1115"/>
      <c r="AK41" s="1115"/>
      <c r="AL41" s="1115"/>
      <c r="AM41" s="1115"/>
      <c r="AN41" s="1115"/>
      <c r="AO41" s="1115"/>
      <c r="AP41" s="1115"/>
      <c r="AQ41" s="1115"/>
      <c r="AR41" s="1115"/>
      <c r="AS41" s="1115"/>
      <c r="AT41" s="1115"/>
      <c r="AU41" s="1115"/>
      <c r="AV41" s="1115"/>
      <c r="AW41" s="1115"/>
      <c r="AX41" s="1115"/>
      <c r="AY41" s="818"/>
    </row>
    <row r="42" spans="1:51" ht="15" hidden="1">
      <c r="A42" s="1118"/>
      <c r="B42" s="1115"/>
      <c r="C42" s="1115"/>
      <c r="D42" s="1115"/>
      <c r="E42" s="1115"/>
      <c r="F42" s="1115"/>
      <c r="G42" s="1115"/>
      <c r="H42" s="1115"/>
      <c r="I42" s="1115"/>
      <c r="J42" s="1115"/>
      <c r="K42" s="1115"/>
      <c r="L42" s="1115"/>
      <c r="M42" s="1115"/>
      <c r="N42" s="1115"/>
      <c r="O42" s="1115"/>
      <c r="P42" s="1115"/>
      <c r="Q42" s="1115"/>
      <c r="R42" s="1115"/>
      <c r="S42" s="1115"/>
      <c r="T42" s="1115"/>
      <c r="U42" s="1115"/>
      <c r="V42" s="1115"/>
      <c r="W42" s="1115"/>
      <c r="X42" s="1115"/>
      <c r="Y42" s="1115"/>
      <c r="Z42" s="1115"/>
      <c r="AA42" s="1115"/>
      <c r="AB42" s="1115"/>
      <c r="AC42" s="1115"/>
      <c r="AD42" s="1115"/>
      <c r="AE42" s="1115"/>
      <c r="AF42" s="1115"/>
      <c r="AG42" s="1115"/>
      <c r="AH42" s="1115"/>
      <c r="AI42" s="1115"/>
      <c r="AJ42" s="1115"/>
      <c r="AK42" s="1115"/>
      <c r="AL42" s="1115"/>
      <c r="AM42" s="1115"/>
      <c r="AN42" s="1115"/>
      <c r="AO42" s="1115"/>
      <c r="AP42" s="1115"/>
      <c r="AQ42" s="1115"/>
      <c r="AR42" s="1115"/>
      <c r="AS42" s="1115"/>
      <c r="AT42" s="1115"/>
      <c r="AU42" s="1115"/>
      <c r="AV42" s="1115"/>
      <c r="AW42" s="1115"/>
      <c r="AX42" s="1115"/>
      <c r="AY42" s="818"/>
    </row>
    <row r="43" spans="1:51" ht="15" hidden="1">
      <c r="A43" s="1118"/>
      <c r="B43" s="1115"/>
      <c r="C43" s="1115"/>
      <c r="D43" s="1115"/>
      <c r="E43" s="1115"/>
      <c r="F43" s="1115"/>
      <c r="G43" s="1115"/>
      <c r="H43" s="1115"/>
      <c r="I43" s="1115"/>
      <c r="J43" s="1115"/>
      <c r="K43" s="1115"/>
      <c r="L43" s="1115"/>
      <c r="M43" s="1115"/>
      <c r="N43" s="1115"/>
      <c r="O43" s="1115"/>
      <c r="P43" s="1115"/>
      <c r="Q43" s="1115"/>
      <c r="R43" s="1115"/>
      <c r="S43" s="1115"/>
      <c r="T43" s="1115"/>
      <c r="U43" s="1115"/>
      <c r="V43" s="1115"/>
      <c r="W43" s="1115"/>
      <c r="X43" s="1115"/>
      <c r="Y43" s="1115"/>
      <c r="Z43" s="1115"/>
      <c r="AA43" s="1115"/>
      <c r="AB43" s="1115"/>
      <c r="AC43" s="1115"/>
      <c r="AD43" s="1115"/>
      <c r="AE43" s="1115"/>
      <c r="AF43" s="1115"/>
      <c r="AG43" s="1115"/>
      <c r="AH43" s="1115"/>
      <c r="AI43" s="1115"/>
      <c r="AJ43" s="1115"/>
      <c r="AK43" s="1115"/>
      <c r="AL43" s="1115"/>
      <c r="AM43" s="1115"/>
      <c r="AN43" s="1115"/>
      <c r="AO43" s="1115"/>
      <c r="AP43" s="1115"/>
      <c r="AQ43" s="1115"/>
      <c r="AR43" s="1115"/>
      <c r="AS43" s="1115"/>
      <c r="AT43" s="1115"/>
      <c r="AU43" s="1115"/>
      <c r="AV43" s="1115"/>
      <c r="AW43" s="1115"/>
      <c r="AX43" s="1115"/>
      <c r="AY43" s="818"/>
    </row>
    <row r="44" spans="1:51" ht="15" hidden="1">
      <c r="A44" s="1118"/>
      <c r="B44" s="1115"/>
      <c r="C44" s="1115"/>
      <c r="D44" s="1115"/>
      <c r="E44" s="1115"/>
      <c r="F44" s="1115"/>
      <c r="G44" s="1115"/>
      <c r="H44" s="1115"/>
      <c r="I44" s="1115"/>
      <c r="J44" s="1115"/>
      <c r="K44" s="1115"/>
      <c r="L44" s="1115"/>
      <c r="M44" s="1115"/>
      <c r="N44" s="1115"/>
      <c r="O44" s="1115"/>
      <c r="P44" s="1115"/>
      <c r="Q44" s="1115"/>
      <c r="R44" s="1115"/>
      <c r="S44" s="1115"/>
      <c r="T44" s="1115"/>
      <c r="U44" s="1115"/>
      <c r="V44" s="1115"/>
      <c r="W44" s="1115"/>
      <c r="X44" s="1115"/>
      <c r="Y44" s="1115"/>
      <c r="Z44" s="1115"/>
      <c r="AA44" s="1115"/>
      <c r="AB44" s="1115"/>
      <c r="AC44" s="1115"/>
      <c r="AD44" s="1115"/>
      <c r="AE44" s="1115"/>
      <c r="AF44" s="1115"/>
      <c r="AG44" s="1115"/>
      <c r="AH44" s="1115"/>
      <c r="AI44" s="1115"/>
      <c r="AJ44" s="1115"/>
      <c r="AK44" s="1115"/>
      <c r="AL44" s="1115"/>
      <c r="AM44" s="1115"/>
      <c r="AN44" s="1115"/>
      <c r="AO44" s="1115"/>
      <c r="AP44" s="1115"/>
      <c r="AQ44" s="1115"/>
      <c r="AR44" s="1115"/>
      <c r="AS44" s="1115"/>
      <c r="AT44" s="1115"/>
      <c r="AU44" s="1115"/>
      <c r="AV44" s="1115"/>
      <c r="AW44" s="1115"/>
      <c r="AX44" s="1115"/>
      <c r="AY44" s="818"/>
    </row>
    <row r="45" spans="1:51" ht="15" hidden="1">
      <c r="A45" s="1762"/>
      <c r="B45" s="1115"/>
      <c r="C45" s="1115"/>
      <c r="D45" s="1115"/>
      <c r="E45" s="1115"/>
      <c r="F45" s="1115"/>
      <c r="G45" s="1115"/>
      <c r="H45" s="1115"/>
      <c r="I45" s="1115"/>
      <c r="J45" s="1115"/>
      <c r="K45" s="1115"/>
      <c r="L45" s="1115"/>
      <c r="M45" s="1115"/>
      <c r="N45" s="1115"/>
      <c r="O45" s="1115"/>
      <c r="P45" s="1115"/>
      <c r="Q45" s="1115"/>
      <c r="R45" s="1115"/>
      <c r="S45" s="1115"/>
      <c r="T45" s="1115"/>
      <c r="U45" s="1115"/>
      <c r="V45" s="1115"/>
      <c r="W45" s="1115"/>
      <c r="X45" s="1115"/>
      <c r="Y45" s="1115"/>
      <c r="Z45" s="1115"/>
      <c r="AA45" s="1115"/>
      <c r="AB45" s="1115"/>
      <c r="AC45" s="1115"/>
      <c r="AD45" s="1115"/>
      <c r="AE45" s="1115"/>
      <c r="AF45" s="1115"/>
      <c r="AG45" s="1115"/>
      <c r="AH45" s="1115"/>
      <c r="AI45" s="1115"/>
      <c r="AJ45" s="1115"/>
      <c r="AK45" s="1115"/>
      <c r="AL45" s="1115"/>
      <c r="AM45" s="1115"/>
      <c r="AN45" s="1115"/>
      <c r="AO45" s="1115"/>
      <c r="AP45" s="1115"/>
      <c r="AQ45" s="1115"/>
      <c r="AR45" s="1115"/>
      <c r="AS45" s="1115"/>
      <c r="AT45" s="1115"/>
      <c r="AU45" s="1115"/>
      <c r="AV45" s="1115"/>
      <c r="AW45" s="1115"/>
      <c r="AX45" s="1115"/>
      <c r="AY45" s="818"/>
    </row>
    <row r="46" spans="1:51" ht="15" hidden="1">
      <c r="A46" s="1118"/>
      <c r="B46" s="1115"/>
      <c r="C46" s="1115"/>
      <c r="D46" s="1115"/>
      <c r="E46" s="1115"/>
      <c r="F46" s="1115"/>
      <c r="G46" s="1115"/>
      <c r="H46" s="1115"/>
      <c r="I46" s="1115"/>
      <c r="J46" s="1115"/>
      <c r="K46" s="1115"/>
      <c r="L46" s="1115"/>
      <c r="M46" s="1115"/>
      <c r="N46" s="1115"/>
      <c r="O46" s="1115"/>
      <c r="P46" s="1115"/>
      <c r="Q46" s="1115"/>
      <c r="R46" s="1115"/>
      <c r="S46" s="1115"/>
      <c r="T46" s="1115"/>
      <c r="U46" s="1115"/>
      <c r="V46" s="1115"/>
      <c r="W46" s="1115"/>
      <c r="X46" s="1115"/>
      <c r="Y46" s="1115"/>
      <c r="Z46" s="1115"/>
      <c r="AA46" s="1115"/>
      <c r="AB46" s="1115"/>
      <c r="AC46" s="1115"/>
      <c r="AD46" s="1115"/>
      <c r="AE46" s="1115"/>
      <c r="AF46" s="1115"/>
      <c r="AG46" s="1115"/>
      <c r="AH46" s="1115"/>
      <c r="AI46" s="1115"/>
      <c r="AJ46" s="1115"/>
      <c r="AK46" s="1115"/>
      <c r="AL46" s="1115"/>
      <c r="AM46" s="1115"/>
      <c r="AN46" s="1115"/>
      <c r="AO46" s="1115"/>
      <c r="AP46" s="1115"/>
      <c r="AQ46" s="1115"/>
      <c r="AR46" s="1115"/>
      <c r="AS46" s="1115"/>
      <c r="AT46" s="1115"/>
      <c r="AU46" s="1115"/>
      <c r="AV46" s="1115"/>
      <c r="AW46" s="1115"/>
      <c r="AX46" s="1115"/>
      <c r="AY46" s="818"/>
    </row>
    <row r="47" spans="1:51" ht="15" hidden="1">
      <c r="A47" s="1118"/>
      <c r="B47" s="1115"/>
      <c r="C47" s="1115"/>
      <c r="D47" s="1115"/>
      <c r="E47" s="1115"/>
      <c r="F47" s="1115"/>
      <c r="G47" s="1115"/>
      <c r="H47" s="1115"/>
      <c r="I47" s="1115"/>
      <c r="J47" s="1115"/>
      <c r="K47" s="1115"/>
      <c r="L47" s="1115"/>
      <c r="M47" s="1115"/>
      <c r="N47" s="1115"/>
      <c r="O47" s="1115"/>
      <c r="P47" s="1115"/>
      <c r="Q47" s="1115"/>
      <c r="R47" s="1115"/>
      <c r="S47" s="1115"/>
      <c r="T47" s="1115"/>
      <c r="U47" s="1115"/>
      <c r="V47" s="1115"/>
      <c r="W47" s="1115"/>
      <c r="X47" s="1115"/>
      <c r="Y47" s="1115"/>
      <c r="Z47" s="1115"/>
      <c r="AA47" s="1115"/>
      <c r="AB47" s="1115"/>
      <c r="AC47" s="1115"/>
      <c r="AD47" s="1115"/>
      <c r="AE47" s="1115"/>
      <c r="AF47" s="1115"/>
      <c r="AG47" s="1115"/>
      <c r="AH47" s="1115"/>
      <c r="AI47" s="1115"/>
      <c r="AJ47" s="1115"/>
      <c r="AK47" s="1115"/>
      <c r="AL47" s="1115"/>
      <c r="AM47" s="1115"/>
      <c r="AN47" s="1115"/>
      <c r="AO47" s="1115"/>
      <c r="AP47" s="1115"/>
      <c r="AQ47" s="1115"/>
      <c r="AR47" s="1115"/>
      <c r="AS47" s="1115"/>
      <c r="AT47" s="1115"/>
      <c r="AU47" s="1115"/>
      <c r="AV47" s="1115"/>
      <c r="AW47" s="1115"/>
      <c r="AX47" s="1115"/>
      <c r="AY47" s="818"/>
    </row>
    <row r="48" spans="1:51" s="131" customFormat="1" hidden="1">
      <c r="A48" s="1494"/>
      <c r="B48" s="1452"/>
      <c r="C48" s="1452"/>
      <c r="D48" s="1452"/>
      <c r="E48" s="1452"/>
      <c r="F48" s="1452"/>
      <c r="G48" s="1452"/>
      <c r="H48" s="1452"/>
      <c r="I48" s="1452"/>
      <c r="J48" s="1452"/>
      <c r="K48" s="1452"/>
      <c r="L48" s="1452"/>
      <c r="M48" s="1452"/>
      <c r="N48" s="1452"/>
      <c r="O48" s="1452"/>
      <c r="P48" s="1452"/>
      <c r="Q48" s="1452"/>
      <c r="R48" s="1452"/>
      <c r="S48" s="1452"/>
      <c r="T48" s="1452"/>
      <c r="U48" s="1452"/>
      <c r="V48" s="1452"/>
      <c r="W48" s="1452"/>
      <c r="X48" s="1452"/>
      <c r="Y48" s="1452"/>
      <c r="Z48" s="1452"/>
      <c r="AA48" s="1452"/>
      <c r="AB48" s="1452"/>
      <c r="AC48" s="1452"/>
      <c r="AD48" s="1452"/>
      <c r="AE48" s="1452"/>
      <c r="AF48" s="2040"/>
      <c r="AG48" s="2040"/>
      <c r="AH48" s="2040"/>
      <c r="AI48" s="2040"/>
      <c r="AJ48" s="2040"/>
      <c r="AK48" s="2040"/>
      <c r="AL48" s="2040"/>
      <c r="AM48" s="2040"/>
      <c r="AN48" s="2040"/>
      <c r="AO48" s="2040"/>
      <c r="AP48" s="2040"/>
      <c r="AQ48" s="2040"/>
      <c r="AR48" s="2040"/>
      <c r="AS48" s="2040"/>
      <c r="AT48" s="2040"/>
      <c r="AU48" s="2040"/>
      <c r="AV48" s="2040"/>
      <c r="AW48" s="2040"/>
      <c r="AX48" s="2040"/>
      <c r="AY48" s="1088"/>
    </row>
    <row r="49" spans="1:56" hidden="1">
      <c r="A49" s="1100"/>
    </row>
    <row r="50" spans="1:56" hidden="1">
      <c r="A50" s="1066"/>
    </row>
    <row r="51" spans="1:56" ht="15">
      <c r="A51" s="1509"/>
      <c r="B51" s="1510"/>
      <c r="C51" s="1510"/>
      <c r="D51" s="1510"/>
      <c r="E51" s="1510"/>
      <c r="F51" s="1510"/>
      <c r="G51" s="1510"/>
      <c r="H51" s="1510"/>
      <c r="I51" s="1510"/>
      <c r="J51" s="1510"/>
      <c r="K51" s="1510"/>
      <c r="L51" s="1510"/>
      <c r="M51" s="1510"/>
      <c r="N51" s="1510"/>
      <c r="O51" s="1510"/>
      <c r="P51" s="1510"/>
      <c r="Q51" s="1510"/>
      <c r="R51" s="1510"/>
      <c r="S51" s="1510"/>
      <c r="T51" s="1510"/>
      <c r="U51" s="1510"/>
      <c r="V51" s="1510"/>
      <c r="W51" s="1510"/>
      <c r="X51" s="1510"/>
      <c r="Y51" s="1510"/>
      <c r="Z51" s="1510"/>
      <c r="AA51" s="1510"/>
      <c r="AB51" s="1510"/>
      <c r="AC51" s="1510"/>
      <c r="AD51" s="1510"/>
      <c r="AE51" s="1510"/>
      <c r="AF51" s="1510"/>
      <c r="AG51" s="1510"/>
      <c r="AH51" s="1510"/>
      <c r="AI51" s="1510"/>
      <c r="AJ51" s="1510"/>
      <c r="AK51" s="1510"/>
      <c r="AL51" s="1510"/>
      <c r="AM51" s="1510"/>
      <c r="AN51" s="1510"/>
      <c r="AO51" s="1510"/>
      <c r="AP51" s="1510"/>
      <c r="AQ51" s="1510"/>
      <c r="AR51" s="1510"/>
      <c r="AS51" s="1510"/>
      <c r="AT51" s="1510"/>
      <c r="AU51" s="1510"/>
      <c r="AV51" s="1510"/>
      <c r="AW51" s="1510"/>
      <c r="AX51" s="1510"/>
      <c r="AY51" s="818"/>
    </row>
    <row r="52" spans="1:56" ht="15">
      <c r="A52" s="1509"/>
      <c r="B52" s="1510"/>
      <c r="C52" s="1510"/>
      <c r="D52" s="1510"/>
      <c r="E52" s="1510"/>
      <c r="F52" s="1510"/>
      <c r="G52" s="1510"/>
      <c r="H52" s="1510"/>
      <c r="I52" s="1510"/>
      <c r="J52" s="1510"/>
      <c r="K52" s="1510"/>
      <c r="L52" s="1510"/>
      <c r="M52" s="1510"/>
      <c r="N52" s="1510"/>
      <c r="O52" s="1510"/>
      <c r="P52" s="1510"/>
      <c r="Q52" s="1510"/>
      <c r="R52" s="1510"/>
      <c r="S52" s="1510"/>
      <c r="T52" s="1510"/>
      <c r="U52" s="1510"/>
      <c r="V52" s="1510"/>
      <c r="W52" s="1510"/>
      <c r="X52" s="1510"/>
      <c r="Y52" s="1510"/>
      <c r="Z52" s="1510"/>
      <c r="AA52" s="1510"/>
      <c r="AB52" s="1510"/>
      <c r="AC52" s="1510"/>
      <c r="AD52" s="1510"/>
      <c r="AE52" s="1510"/>
      <c r="AF52" s="1510"/>
      <c r="AG52" s="1510"/>
      <c r="AH52" s="1510"/>
      <c r="AI52" s="1510"/>
      <c r="AJ52" s="1510"/>
      <c r="AK52" s="1510"/>
      <c r="AL52" s="1510"/>
      <c r="AM52" s="1510"/>
      <c r="AN52" s="1510"/>
      <c r="AO52" s="1510"/>
      <c r="AP52" s="1510"/>
      <c r="AQ52" s="1510"/>
      <c r="AR52" s="1510"/>
      <c r="AS52" s="1510"/>
      <c r="AT52" s="1510"/>
      <c r="AU52" s="1510"/>
      <c r="AV52" s="1510"/>
      <c r="AW52" s="1510"/>
      <c r="AX52" s="1510"/>
      <c r="AY52" s="818"/>
    </row>
    <row r="53" spans="1:56" ht="15">
      <c r="A53" s="1511"/>
      <c r="B53" s="1510"/>
      <c r="C53" s="1510"/>
      <c r="D53" s="1510"/>
      <c r="E53" s="1510"/>
      <c r="F53" s="1510"/>
      <c r="G53" s="1510"/>
      <c r="H53" s="1510"/>
      <c r="I53" s="1510"/>
      <c r="J53" s="1510"/>
      <c r="K53" s="1510"/>
      <c r="L53" s="1510"/>
      <c r="M53" s="1510"/>
      <c r="N53" s="1510"/>
      <c r="O53" s="1510"/>
      <c r="P53" s="1510"/>
      <c r="Q53" s="1510"/>
      <c r="R53" s="1510"/>
      <c r="S53" s="1510"/>
      <c r="T53" s="1510"/>
      <c r="U53" s="1510"/>
      <c r="V53" s="1510"/>
      <c r="W53" s="1510"/>
      <c r="X53" s="1510"/>
      <c r="Y53" s="1510"/>
      <c r="Z53" s="1510"/>
      <c r="AA53" s="1510"/>
      <c r="AB53" s="1510"/>
      <c r="AC53" s="1510"/>
      <c r="AD53" s="1510"/>
      <c r="AE53" s="1510"/>
      <c r="AF53" s="1510"/>
      <c r="AG53" s="1510"/>
      <c r="AH53" s="1510"/>
      <c r="AI53" s="1510"/>
      <c r="AJ53" s="1510"/>
      <c r="AK53" s="1510"/>
      <c r="AL53" s="1510"/>
      <c r="AM53" s="1510"/>
      <c r="AN53" s="1510"/>
      <c r="AO53" s="1510"/>
      <c r="AP53" s="1510"/>
      <c r="AQ53" s="1510"/>
      <c r="AR53" s="1510"/>
      <c r="AS53" s="1510"/>
      <c r="AT53" s="1510"/>
      <c r="AU53" s="1510"/>
      <c r="AV53" s="1510"/>
      <c r="AW53" s="1510"/>
      <c r="AX53" s="1510"/>
      <c r="AY53" s="818"/>
    </row>
    <row r="54" spans="1:56" ht="15">
      <c r="A54" s="1511"/>
      <c r="B54" s="1510"/>
      <c r="C54" s="1510"/>
      <c r="D54" s="1510"/>
      <c r="E54" s="1510"/>
      <c r="F54" s="1510"/>
      <c r="G54" s="1510"/>
      <c r="H54" s="1510"/>
      <c r="I54" s="1510"/>
      <c r="J54" s="1510"/>
      <c r="K54" s="1510"/>
      <c r="L54" s="1510"/>
      <c r="M54" s="1510"/>
      <c r="N54" s="1510"/>
      <c r="O54" s="1510"/>
      <c r="P54" s="1510"/>
      <c r="Q54" s="1510"/>
      <c r="R54" s="1510"/>
      <c r="S54" s="1510"/>
      <c r="T54" s="1510"/>
      <c r="U54" s="1510"/>
      <c r="V54" s="1510"/>
      <c r="W54" s="1510"/>
      <c r="X54" s="1510"/>
      <c r="Y54" s="1510"/>
      <c r="Z54" s="1510"/>
      <c r="AA54" s="1510"/>
      <c r="AB54" s="1510"/>
      <c r="AC54" s="1510"/>
      <c r="AD54" s="1510"/>
      <c r="AE54" s="1510"/>
      <c r="AF54" s="1510"/>
      <c r="AG54" s="1510"/>
      <c r="AH54" s="1510"/>
      <c r="AI54" s="1510"/>
      <c r="AJ54" s="1510"/>
      <c r="AK54" s="1510"/>
      <c r="AL54" s="1510"/>
      <c r="AM54" s="1510"/>
      <c r="AN54" s="1510"/>
      <c r="AO54" s="1510"/>
      <c r="AP54" s="1510"/>
      <c r="AQ54" s="1510"/>
      <c r="AR54" s="1510"/>
      <c r="AS54" s="1510"/>
      <c r="AT54" s="1510"/>
      <c r="AU54" s="1510"/>
      <c r="AV54" s="1510"/>
      <c r="AW54" s="1510"/>
      <c r="AX54" s="1510"/>
      <c r="AY54" s="818"/>
    </row>
    <row r="55" spans="1:56" ht="15">
      <c r="A55" s="1511"/>
      <c r="B55" s="1510"/>
      <c r="C55" s="1510"/>
      <c r="D55" s="1510"/>
      <c r="E55" s="1510"/>
      <c r="F55" s="1510"/>
      <c r="G55" s="1510"/>
      <c r="H55" s="1510"/>
      <c r="I55" s="1510"/>
      <c r="J55" s="1510"/>
      <c r="K55" s="1510"/>
      <c r="L55" s="1510"/>
      <c r="M55" s="1510"/>
      <c r="N55" s="1510"/>
      <c r="O55" s="1510"/>
      <c r="P55" s="1510"/>
      <c r="Q55" s="1510"/>
      <c r="R55" s="1510"/>
      <c r="S55" s="1510"/>
      <c r="T55" s="1510"/>
      <c r="U55" s="1510"/>
      <c r="V55" s="1510"/>
      <c r="W55" s="1510"/>
      <c r="X55" s="1510"/>
      <c r="Y55" s="1510"/>
      <c r="Z55" s="1510"/>
      <c r="AA55" s="1510"/>
      <c r="AB55" s="1510"/>
      <c r="AC55" s="1510"/>
      <c r="AD55" s="1510"/>
      <c r="AE55" s="1510"/>
      <c r="AF55" s="1510"/>
      <c r="AG55" s="1510"/>
      <c r="AH55" s="1510"/>
      <c r="AI55" s="1510"/>
      <c r="AJ55" s="1510"/>
      <c r="AK55" s="1510"/>
      <c r="AL55" s="1510"/>
      <c r="AM55" s="1510"/>
      <c r="AN55" s="1510"/>
      <c r="AO55" s="1510"/>
      <c r="AP55" s="1510"/>
      <c r="AQ55" s="1510"/>
      <c r="AR55" s="1510"/>
      <c r="AS55" s="1510"/>
      <c r="AT55" s="1510"/>
      <c r="AU55" s="1510"/>
      <c r="AV55" s="1510"/>
      <c r="AW55" s="1510"/>
      <c r="AX55" s="1510"/>
      <c r="AY55" s="818"/>
    </row>
    <row r="56" spans="1:56" ht="15">
      <c r="A56" s="1511"/>
      <c r="B56" s="1510"/>
      <c r="C56" s="1510"/>
      <c r="D56" s="1510"/>
      <c r="E56" s="1510"/>
      <c r="F56" s="1510"/>
      <c r="G56" s="1510"/>
      <c r="H56" s="1510"/>
      <c r="I56" s="1510"/>
      <c r="J56" s="1510"/>
      <c r="K56" s="1510"/>
      <c r="L56" s="1510"/>
      <c r="M56" s="1510"/>
      <c r="N56" s="1510"/>
      <c r="O56" s="1510"/>
      <c r="P56" s="1510"/>
      <c r="Q56" s="1510"/>
      <c r="R56" s="1510"/>
      <c r="S56" s="1510"/>
      <c r="T56" s="1510"/>
      <c r="U56" s="1510"/>
      <c r="V56" s="1510"/>
      <c r="W56" s="1510"/>
      <c r="X56" s="1510"/>
      <c r="Y56" s="1510"/>
      <c r="Z56" s="1510"/>
      <c r="AA56" s="1510"/>
      <c r="AB56" s="1510"/>
      <c r="AC56" s="1510"/>
      <c r="AD56" s="1510"/>
      <c r="AE56" s="1510"/>
      <c r="AF56" s="1510"/>
      <c r="AG56" s="1510"/>
      <c r="AH56" s="1510"/>
      <c r="AI56" s="1510"/>
      <c r="AJ56" s="1510"/>
      <c r="AK56" s="1510"/>
      <c r="AL56" s="1510"/>
      <c r="AM56" s="1510"/>
      <c r="AN56" s="1510"/>
      <c r="AO56" s="1510"/>
      <c r="AP56" s="1510"/>
      <c r="AQ56" s="1510"/>
      <c r="AR56" s="1510"/>
      <c r="AS56" s="1510"/>
      <c r="AT56" s="1510"/>
      <c r="AU56" s="1510"/>
      <c r="AV56" s="1510"/>
      <c r="AW56" s="1510"/>
      <c r="AX56" s="1510"/>
      <c r="AY56" s="818"/>
    </row>
    <row r="57" spans="1:56" ht="15">
      <c r="A57" s="1511"/>
      <c r="B57" s="1510"/>
      <c r="C57" s="1510"/>
      <c r="D57" s="1510"/>
      <c r="E57" s="1510"/>
      <c r="F57" s="1510"/>
      <c r="G57" s="1510"/>
      <c r="H57" s="1510"/>
      <c r="I57" s="1510"/>
      <c r="J57" s="1510"/>
      <c r="K57" s="1510"/>
      <c r="L57" s="1510"/>
      <c r="M57" s="1510"/>
      <c r="N57" s="1510"/>
      <c r="O57" s="1510"/>
      <c r="P57" s="1510"/>
      <c r="Q57" s="1510"/>
      <c r="R57" s="1510"/>
      <c r="S57" s="1510"/>
      <c r="T57" s="1510"/>
      <c r="U57" s="1510"/>
      <c r="V57" s="1510"/>
      <c r="W57" s="1510"/>
      <c r="X57" s="1510"/>
      <c r="Y57" s="1510"/>
      <c r="Z57" s="1510"/>
      <c r="AA57" s="1510"/>
      <c r="AB57" s="1510"/>
      <c r="AC57" s="1510"/>
      <c r="AD57" s="1510"/>
      <c r="AE57" s="1510"/>
      <c r="AF57" s="1510"/>
      <c r="AG57" s="1510"/>
      <c r="AH57" s="1510"/>
      <c r="AI57" s="1510"/>
      <c r="AJ57" s="1510"/>
      <c r="AK57" s="1510"/>
      <c r="AL57" s="1510"/>
      <c r="AM57" s="1510"/>
      <c r="AN57" s="1510"/>
      <c r="AO57" s="1510"/>
      <c r="AP57" s="1510"/>
      <c r="AQ57" s="1510"/>
      <c r="AR57" s="1510"/>
      <c r="AS57" s="1510"/>
      <c r="AT57" s="1510"/>
      <c r="AU57" s="1510"/>
      <c r="AV57" s="1510"/>
      <c r="AW57" s="1510"/>
      <c r="AX57" s="1510"/>
      <c r="AY57" s="818"/>
    </row>
    <row r="58" spans="1:56" s="131" customFormat="1">
      <c r="A58" s="1094"/>
      <c r="B58" s="1287"/>
      <c r="C58" s="1287"/>
      <c r="D58" s="1287"/>
      <c r="E58" s="1287"/>
      <c r="F58" s="1287"/>
      <c r="G58" s="1287"/>
      <c r="H58" s="1287"/>
      <c r="I58" s="1287"/>
      <c r="J58" s="1287"/>
      <c r="K58" s="1287"/>
      <c r="L58" s="1287"/>
      <c r="M58" s="1287"/>
      <c r="N58" s="1287"/>
      <c r="O58" s="1287"/>
      <c r="P58" s="1287"/>
      <c r="Q58" s="1287"/>
      <c r="R58" s="1287"/>
      <c r="S58" s="1287"/>
      <c r="T58" s="1287"/>
      <c r="U58" s="1287"/>
      <c r="V58" s="1287"/>
      <c r="W58" s="1287"/>
      <c r="X58" s="1287"/>
      <c r="Y58" s="1287"/>
      <c r="Z58" s="1287"/>
      <c r="AA58" s="1287"/>
      <c r="AB58" s="1287"/>
      <c r="AC58" s="1287"/>
      <c r="AD58" s="1287"/>
      <c r="AE58" s="1287"/>
      <c r="AF58" s="1287"/>
      <c r="AG58" s="1287"/>
      <c r="AH58" s="1287"/>
      <c r="AI58" s="1287"/>
      <c r="AJ58" s="1287"/>
      <c r="AK58" s="1287"/>
      <c r="AL58" s="1287"/>
      <c r="AM58" s="1287"/>
      <c r="AN58" s="1287"/>
      <c r="AO58" s="1287"/>
      <c r="AP58" s="1287"/>
      <c r="AQ58" s="1287"/>
      <c r="AR58" s="1287"/>
      <c r="AS58" s="1287"/>
      <c r="AT58" s="1287"/>
      <c r="AU58" s="1287"/>
      <c r="AV58" s="1287"/>
      <c r="AW58" s="1287"/>
      <c r="AX58" s="1287"/>
      <c r="AY58" s="1287"/>
      <c r="BA58" s="1125"/>
    </row>
    <row r="59" spans="1:56" s="1930" customFormat="1">
      <c r="A59" s="1928"/>
      <c r="B59" s="1929"/>
      <c r="C59" s="1929"/>
      <c r="D59" s="1929"/>
      <c r="E59" s="1929"/>
      <c r="F59" s="1929"/>
      <c r="G59" s="1929"/>
      <c r="H59" s="1929"/>
      <c r="I59" s="1929"/>
      <c r="J59" s="1929"/>
      <c r="K59" s="1929"/>
      <c r="L59" s="1929"/>
      <c r="M59" s="1929"/>
      <c r="N59" s="1929"/>
      <c r="O59" s="1929"/>
      <c r="P59" s="1929"/>
      <c r="Q59" s="1929"/>
      <c r="R59" s="1929"/>
      <c r="S59" s="1929"/>
      <c r="T59" s="1929"/>
      <c r="U59" s="1929"/>
      <c r="V59" s="1929"/>
      <c r="W59" s="1929"/>
      <c r="X59" s="1929"/>
      <c r="Y59" s="1929"/>
      <c r="Z59" s="1929"/>
      <c r="AB59" s="1931"/>
    </row>
    <row r="60" spans="1:56">
      <c r="A60" s="1097" t="s">
        <v>2032</v>
      </c>
    </row>
    <row r="61" spans="1:56" thickBot="1">
      <c r="A61" s="1121" t="s">
        <v>2033</v>
      </c>
      <c r="B61" s="1116">
        <f t="shared" ref="B61:AP61" si="0">SUM(B62:B70)</f>
        <v>0</v>
      </c>
      <c r="C61" s="1116">
        <f t="shared" si="0"/>
        <v>220368.7</v>
      </c>
      <c r="D61" s="1116">
        <f t="shared" si="0"/>
        <v>229956.5</v>
      </c>
      <c r="E61" s="1116">
        <f t="shared" si="0"/>
        <v>441376</v>
      </c>
      <c r="F61" s="1116">
        <f t="shared" si="0"/>
        <v>496821</v>
      </c>
      <c r="G61" s="1116">
        <f t="shared" si="0"/>
        <v>537771</v>
      </c>
      <c r="H61" s="1116">
        <f t="shared" si="0"/>
        <v>768321.9</v>
      </c>
      <c r="I61" s="1116">
        <f t="shared" si="0"/>
        <v>61813</v>
      </c>
      <c r="J61" s="1116">
        <f t="shared" si="0"/>
        <v>766829</v>
      </c>
      <c r="K61" s="1116">
        <f t="shared" si="0"/>
        <v>235856</v>
      </c>
      <c r="L61" s="1116">
        <f t="shared" si="0"/>
        <v>83393</v>
      </c>
      <c r="M61" s="1116">
        <f t="shared" si="0"/>
        <v>151317</v>
      </c>
      <c r="N61" s="1116">
        <f t="shared" si="0"/>
        <v>30621</v>
      </c>
      <c r="O61" s="1116">
        <f t="shared" si="0"/>
        <v>71854</v>
      </c>
      <c r="P61" s="1116">
        <f t="shared" si="0"/>
        <v>21759.599999999999</v>
      </c>
      <c r="Q61" s="1116">
        <f t="shared" si="0"/>
        <v>12818.6</v>
      </c>
      <c r="R61" s="1116">
        <f t="shared" si="0"/>
        <v>18257.099999999999</v>
      </c>
      <c r="S61" s="1116">
        <f t="shared" si="0"/>
        <v>0</v>
      </c>
      <c r="T61" s="1116">
        <f t="shared" si="0"/>
        <v>0</v>
      </c>
      <c r="U61" s="1116">
        <f t="shared" si="0"/>
        <v>0</v>
      </c>
      <c r="V61" s="1116">
        <f t="shared" si="0"/>
        <v>0</v>
      </c>
      <c r="W61" s="1116">
        <f t="shared" si="0"/>
        <v>36459.599999999999</v>
      </c>
      <c r="X61" s="1116">
        <f t="shared" si="0"/>
        <v>36089.5</v>
      </c>
      <c r="Y61" s="1116">
        <f t="shared" si="0"/>
        <v>6537</v>
      </c>
      <c r="Z61" s="1116">
        <f t="shared" si="0"/>
        <v>56729.5</v>
      </c>
      <c r="AA61" s="1116">
        <f t="shared" si="0"/>
        <v>0</v>
      </c>
      <c r="AB61" s="1116">
        <f t="shared" si="0"/>
        <v>5588</v>
      </c>
      <c r="AC61" s="1116">
        <f t="shared" si="0"/>
        <v>0</v>
      </c>
      <c r="AD61" s="1116">
        <f t="shared" si="0"/>
        <v>0</v>
      </c>
      <c r="AE61" s="1116">
        <f t="shared" si="0"/>
        <v>60926</v>
      </c>
      <c r="AF61" s="1116">
        <f t="shared" si="0"/>
        <v>659671.19999999995</v>
      </c>
      <c r="AG61" s="1116">
        <f t="shared" si="0"/>
        <v>10902</v>
      </c>
      <c r="AH61" s="1116">
        <f t="shared" si="0"/>
        <v>0</v>
      </c>
      <c r="AI61" s="1116">
        <f t="shared" si="0"/>
        <v>0</v>
      </c>
      <c r="AJ61" s="1116">
        <f t="shared" si="0"/>
        <v>0</v>
      </c>
      <c r="AK61" s="1116">
        <f t="shared" si="0"/>
        <v>0</v>
      </c>
      <c r="AL61" s="1116">
        <f t="shared" si="0"/>
        <v>0</v>
      </c>
      <c r="AM61" s="1116">
        <f t="shared" si="0"/>
        <v>0</v>
      </c>
      <c r="AN61" s="1116">
        <f t="shared" si="0"/>
        <v>0</v>
      </c>
      <c r="AO61" s="1116">
        <f t="shared" si="0"/>
        <v>0</v>
      </c>
      <c r="AP61" s="1116">
        <f t="shared" si="0"/>
        <v>0</v>
      </c>
      <c r="AQ61" s="1116"/>
      <c r="AR61" s="1116"/>
      <c r="AS61" s="1116"/>
      <c r="AT61" s="1116"/>
      <c r="AU61" s="1116"/>
      <c r="AV61" s="1116"/>
      <c r="AW61" s="1116"/>
      <c r="AX61" s="1116"/>
      <c r="AY61" s="1116">
        <f>SUM(AY62:AY70)</f>
        <v>5022036.2</v>
      </c>
      <c r="AZ61" s="1059">
        <f>'[103]Feed Cost &amp; Allocation'!AN41</f>
        <v>5022036.2</v>
      </c>
      <c r="BA61" s="818">
        <f>AY61-AZ61</f>
        <v>0</v>
      </c>
      <c r="BB61" s="142">
        <f>'[104]Item Ledger Entries'!$AD$1126</f>
        <v>-3729599.7</v>
      </c>
      <c r="BC61" s="818">
        <f>AY61+BB61</f>
        <v>1292436.5</v>
      </c>
      <c r="BD61" s="1057">
        <v>3706843.4000000004</v>
      </c>
    </row>
    <row r="62" spans="1:56" ht="15">
      <c r="A62" s="1121" t="s">
        <v>2034</v>
      </c>
      <c r="C62" s="1059">
        <f>IFERROR(_xlfn.XLOOKUP(C1,'[103]Feed Cost &amp; Allocation'!$B$1:$AK$1,'[103]Feed Cost &amp; Allocation'!$B$42:$AK$42),0)+IFERROR(_xlfn.XLOOKUP(C1,'[103]Feed Cost &amp; Allocation'!$B$1:$AK$1,'[103]Feed Cost &amp; Allocation'!$B$7:$AK$7),0)</f>
        <v>51030.7</v>
      </c>
      <c r="D62" s="1059">
        <f>IFERROR(_xlfn.XLOOKUP(D1,'[103]Feed Cost &amp; Allocation'!$B$1:$AK$1,'[103]Feed Cost &amp; Allocation'!$B$42:$AK$42),0)+IFERROR(_xlfn.XLOOKUP(D1,'[103]Feed Cost &amp; Allocation'!$B$1:$AK$1,'[103]Feed Cost &amp; Allocation'!$B$7:$AK$7),0)</f>
        <v>58103</v>
      </c>
      <c r="E62" s="1059">
        <f>IFERROR(_xlfn.XLOOKUP(E1,'[103]Feed Cost &amp; Allocation'!$B$1:$AK$1,'[103]Feed Cost &amp; Allocation'!$B$42:$AK$42),0)+IFERROR(_xlfn.XLOOKUP(E1,'[103]Feed Cost &amp; Allocation'!$B$1:$AK$1,'[103]Feed Cost &amp; Allocation'!$B$7:$AK$7),0)</f>
        <v>118205</v>
      </c>
      <c r="F62" s="1059">
        <f>IFERROR(_xlfn.XLOOKUP(F1,'[103]Feed Cost &amp; Allocation'!$B$1:$AK$1,'[103]Feed Cost &amp; Allocation'!$B$42:$AK$42),0)+IFERROR(_xlfn.XLOOKUP(F1,'[103]Feed Cost &amp; Allocation'!$B$1:$AK$1,'[103]Feed Cost &amp; Allocation'!$B$7:$AK$7),0)</f>
        <v>132581</v>
      </c>
      <c r="G62" s="1059">
        <f>IFERROR(_xlfn.XLOOKUP(G1,'[103]Feed Cost &amp; Allocation'!$B$1:$AK$1,'[103]Feed Cost &amp; Allocation'!$B$42:$AK$42),0)+IFERROR(_xlfn.XLOOKUP(G1,'[103]Feed Cost &amp; Allocation'!$B$1:$AK$1,'[103]Feed Cost &amp; Allocation'!$B$7:$AK$7),0)</f>
        <v>164536</v>
      </c>
      <c r="H62" s="1059">
        <f>IFERROR(_xlfn.XLOOKUP(H1,'[103]Feed Cost &amp; Allocation'!$B$1:$AK$1,'[103]Feed Cost &amp; Allocation'!$B$42:$AK$42),0)+IFERROR(_xlfn.XLOOKUP(H1,'[103]Feed Cost &amp; Allocation'!$B$1:$AK$1,'[103]Feed Cost &amp; Allocation'!$B$7:$AK$7),0)</f>
        <v>259803.9</v>
      </c>
      <c r="I62" s="1059">
        <f>IFERROR(_xlfn.XLOOKUP(I1,'[103]Feed Cost &amp; Allocation'!$B$1:$AK$1,'[103]Feed Cost &amp; Allocation'!$B$42:$AK$42),0)+IFERROR(_xlfn.XLOOKUP(I1,'[103]Feed Cost &amp; Allocation'!$B$1:$AK$1,'[103]Feed Cost &amp; Allocation'!$B$7:$AK$7),0)</f>
        <v>16519</v>
      </c>
      <c r="J62" s="1059">
        <f>IFERROR(_xlfn.XLOOKUP(J1,'[103]Feed Cost &amp; Allocation'!$B$1:$AK$1,'[103]Feed Cost &amp; Allocation'!$B$42:$AK$42),0)+IFERROR(_xlfn.XLOOKUP(J1,'[103]Feed Cost &amp; Allocation'!$B$1:$AK$1,'[103]Feed Cost &amp; Allocation'!$B$7:$AK$7),0)</f>
        <v>0</v>
      </c>
      <c r="K62" s="1059">
        <f>IFERROR(_xlfn.XLOOKUP(K1,'[103]Feed Cost &amp; Allocation'!$B$1:$AK$1,'[103]Feed Cost &amp; Allocation'!$B$42:$AK$42),0)+IFERROR(_xlfn.XLOOKUP(K1,'[103]Feed Cost &amp; Allocation'!$B$1:$AK$1,'[103]Feed Cost &amp; Allocation'!$B$7:$AK$7),0)-E105</f>
        <v>94622</v>
      </c>
      <c r="L62" s="1059">
        <f>IFERROR(_xlfn.XLOOKUP(L1,'[103]Feed Cost &amp; Allocation'!$B$1:$AK$1,'[103]Feed Cost &amp; Allocation'!$B$42:$AK$42),0)+IFERROR(_xlfn.XLOOKUP(L1,'[103]Feed Cost &amp; Allocation'!$B$1:$AK$1,'[103]Feed Cost &amp; Allocation'!$B$7:$AK$7),0)</f>
        <v>56238</v>
      </c>
      <c r="M62" s="1059">
        <f>IFERROR(_xlfn.XLOOKUP(M1,'[103]Feed Cost &amp; Allocation'!$B$1:$AK$1,'[103]Feed Cost &amp; Allocation'!$B$42:$AK$42),0)+IFERROR(_xlfn.XLOOKUP(M1,'[103]Feed Cost &amp; Allocation'!$B$1:$AK$1,'[103]Feed Cost &amp; Allocation'!$B$7:$AK$7),0)</f>
        <v>20112</v>
      </c>
      <c r="N62" s="1059">
        <f>IFERROR(_xlfn.XLOOKUP(N1,'[103]Feed Cost &amp; Allocation'!$B$1:$AK$1,'[103]Feed Cost &amp; Allocation'!$B$42:$AK$42),0)+IFERROR(_xlfn.XLOOKUP(N1,'[103]Feed Cost &amp; Allocation'!$B$1:$AK$1,'[103]Feed Cost &amp; Allocation'!$B$7:$AK$7),0)</f>
        <v>13076</v>
      </c>
      <c r="O62" s="1059">
        <f>IFERROR(_xlfn.XLOOKUP(O1,'[103]Feed Cost &amp; Allocation'!$B$1:$AK$1,'[103]Feed Cost &amp; Allocation'!$B$42:$AK$42),0)+IFERROR(_xlfn.XLOOKUP(O1,'[103]Feed Cost &amp; Allocation'!$B$1:$AK$1,'[103]Feed Cost &amp; Allocation'!$B$7:$AK$7),0)</f>
        <v>0</v>
      </c>
      <c r="P62" s="1059">
        <f>IFERROR(_xlfn.XLOOKUP(P1,'[103]Feed Cost &amp; Allocation'!$B$1:$AK$1,'[103]Feed Cost &amp; Allocation'!$B$42:$AK$42),0)+IFERROR(_xlfn.XLOOKUP(P1,'[103]Feed Cost &amp; Allocation'!$B$1:$AK$1,'[103]Feed Cost &amp; Allocation'!$B$7:$AK$7),0)</f>
        <v>6125</v>
      </c>
      <c r="Q62" s="1059">
        <f>IFERROR(_xlfn.XLOOKUP(Q1,'[103]Feed Cost &amp; Allocation'!$B$1:$AK$1,'[103]Feed Cost &amp; Allocation'!$B$42:$AK$42),0)+IFERROR(_xlfn.XLOOKUP(Q1,'[103]Feed Cost &amp; Allocation'!$B$1:$AK$1,'[103]Feed Cost &amp; Allocation'!$B$7:$AK$7),0)</f>
        <v>1084.5999999999999</v>
      </c>
      <c r="R62" s="1059">
        <f>IFERROR(_xlfn.XLOOKUP(R1,'[103]Feed Cost &amp; Allocation'!$B$1:$AK$1,'[103]Feed Cost &amp; Allocation'!$B$42:$AK$42),0)+IFERROR(_xlfn.XLOOKUP(R1,'[103]Feed Cost &amp; Allocation'!$B$1:$AK$1,'[103]Feed Cost &amp; Allocation'!$B$7:$AK$7),0)</f>
        <v>2924.1</v>
      </c>
      <c r="S62" s="1059">
        <f>IFERROR(_xlfn.XLOOKUP(S1,'[103]Feed Cost &amp; Allocation'!$B$1:$AK$1,'[103]Feed Cost &amp; Allocation'!$B$42:$AK$42),0)+IFERROR(_xlfn.XLOOKUP(S1,'[103]Feed Cost &amp; Allocation'!$B$1:$AK$1,'[103]Feed Cost &amp; Allocation'!$B$7:$AK$7),0)</f>
        <v>0</v>
      </c>
      <c r="T62" s="1059">
        <f>IFERROR(_xlfn.XLOOKUP(T1,'[103]Feed Cost &amp; Allocation'!$B$1:$AK$1,'[103]Feed Cost &amp; Allocation'!$B$42:$AK$42),0)+IFERROR(_xlfn.XLOOKUP(T1,'[103]Feed Cost &amp; Allocation'!$B$1:$AK$1,'[103]Feed Cost &amp; Allocation'!$B$7:$AK$7),0)</f>
        <v>0</v>
      </c>
      <c r="U62" s="1059">
        <f>IFERROR(_xlfn.XLOOKUP(U1,'[103]Feed Cost &amp; Allocation'!$B$1:$AK$1,'[103]Feed Cost &amp; Allocation'!$B$42:$AK$42),0)+IFERROR(_xlfn.XLOOKUP(U1,'[103]Feed Cost &amp; Allocation'!$B$1:$AK$1,'[103]Feed Cost &amp; Allocation'!$B$7:$AK$7),0)</f>
        <v>0</v>
      </c>
      <c r="V62" s="1059">
        <f>IFERROR(_xlfn.XLOOKUP(V1,'[103]Feed Cost &amp; Allocation'!$B$1:$AK$1,'[103]Feed Cost &amp; Allocation'!$B$42:$AK$42),0)+IFERROR(_xlfn.XLOOKUP(V1,'[103]Feed Cost &amp; Allocation'!$B$1:$AK$1,'[103]Feed Cost &amp; Allocation'!$B$7:$AK$7),0)</f>
        <v>0</v>
      </c>
      <c r="W62" s="1059">
        <f>IFERROR(_xlfn.XLOOKUP(W1,'[103]Feed Cost &amp; Allocation'!$B$1:$AK$1,'[103]Feed Cost &amp; Allocation'!$B$42:$AK$42),0)+IFERROR(_xlfn.XLOOKUP(W1,'[103]Feed Cost &amp; Allocation'!$B$1:$AK$1,'[103]Feed Cost &amp; Allocation'!$B$7:$AK$7),0)</f>
        <v>19259.599999999999</v>
      </c>
      <c r="X62" s="1059">
        <f>IFERROR(_xlfn.XLOOKUP(X1,'[103]Feed Cost &amp; Allocation'!$B$1:$AK$1,'[103]Feed Cost &amp; Allocation'!$B$42:$AK$42),0)+IFERROR(_xlfn.XLOOKUP(X1,'[103]Feed Cost &amp; Allocation'!$B$1:$AK$1,'[103]Feed Cost &amp; Allocation'!$B$7:$AK$7),0)</f>
        <v>12896.5</v>
      </c>
      <c r="Y62" s="1059">
        <f>IFERROR(_xlfn.XLOOKUP(Y1,'[103]Feed Cost &amp; Allocation'!$B$1:$AK$1,'[103]Feed Cost &amp; Allocation'!$B$42:$AK$42),0)+IFERROR(_xlfn.XLOOKUP(Y1,'[103]Feed Cost &amp; Allocation'!$B$1:$AK$1,'[103]Feed Cost &amp; Allocation'!$B$7:$AK$7),0)</f>
        <v>3038</v>
      </c>
      <c r="Z62" s="1059">
        <f>IFERROR(_xlfn.XLOOKUP(Z1,'[103]Feed Cost &amp; Allocation'!$B$1:$AK$1,'[103]Feed Cost &amp; Allocation'!$B$42:$AK$42),0)+IFERROR(_xlfn.XLOOKUP(Z1,'[103]Feed Cost &amp; Allocation'!$B$1:$AK$1,'[103]Feed Cost &amp; Allocation'!$B$7:$AK$7),0)</f>
        <v>19003.5</v>
      </c>
      <c r="AA62" s="1059">
        <f>IFERROR(_xlfn.XLOOKUP(AA1,'[103]Feed Cost &amp; Allocation'!$B$1:$AK$1,'[103]Feed Cost &amp; Allocation'!$B$42:$AK$42),0)+IFERROR(_xlfn.XLOOKUP(AA1,'[103]Feed Cost &amp; Allocation'!$B$1:$AK$1,'[103]Feed Cost &amp; Allocation'!$B$7:$AK$7),0)</f>
        <v>0</v>
      </c>
      <c r="AB62" s="1059">
        <f>IFERROR(_xlfn.XLOOKUP(AB1,'[103]Feed Cost &amp; Allocation'!$B$1:$AK$1,'[103]Feed Cost &amp; Allocation'!$B$42:$AK$42),0)+IFERROR(_xlfn.XLOOKUP(AB1,'[103]Feed Cost &amp; Allocation'!$B$1:$AK$1,'[103]Feed Cost &amp; Allocation'!$B$7:$AK$7),0)</f>
        <v>3563.1</v>
      </c>
      <c r="AC62" s="1059">
        <f>IFERROR(_xlfn.XLOOKUP(AC1,'[103]Feed Cost &amp; Allocation'!$B$1:$AK$1,'[103]Feed Cost &amp; Allocation'!$B$42:$AK$42),0)+IFERROR(_xlfn.XLOOKUP(AC1,'[103]Feed Cost &amp; Allocation'!$B$1:$AK$1,'[103]Feed Cost &amp; Allocation'!$B$7:$AK$7),0)</f>
        <v>0</v>
      </c>
      <c r="AD62" s="1059">
        <f>IFERROR(_xlfn.XLOOKUP(AD1,'[103]Feed Cost &amp; Allocation'!$B$1:$AK$1,'[103]Feed Cost &amp; Allocation'!$B$42:$AK$42),0)+IFERROR(_xlfn.XLOOKUP(AD1,'[103]Feed Cost &amp; Allocation'!$B$1:$AK$1,'[103]Feed Cost &amp; Allocation'!$B$7:$AK$7),0)</f>
        <v>0</v>
      </c>
      <c r="AE62" s="1059">
        <f>IFERROR(_xlfn.XLOOKUP(AE1,'[103]Feed Cost &amp; Allocation'!$B$1:$AK$1,'[103]Feed Cost &amp; Allocation'!$B$42:$AK$42),0)+IFERROR(_xlfn.XLOOKUP(AE1,'[103]Feed Cost &amp; Allocation'!$B$1:$AK$1,'[103]Feed Cost &amp; Allocation'!$B$7:$AK$7),0)</f>
        <v>31272</v>
      </c>
      <c r="AF62" s="1059">
        <f>IFERROR(_xlfn.XLOOKUP(AF1,'[103]Feed Cost &amp; Allocation'!$B$1:$AK$1,'[103]Feed Cost &amp; Allocation'!$B$42:$AK$42),0)+IFERROR(_xlfn.XLOOKUP(AF1,'[103]Feed Cost &amp; Allocation'!$B$1:$AK$1,'[103]Feed Cost &amp; Allocation'!$B$7:$AK$7),0)</f>
        <v>383041</v>
      </c>
      <c r="AG62" s="1059">
        <f>IFERROR(_xlfn.XLOOKUP(AG1,'[103]Feed Cost &amp; Allocation'!$B$1:$AL$1,'[103]Feed Cost &amp; Allocation'!$B$42:$AL$42),0)+IFERROR(_xlfn.XLOOKUP(AG1,'[103]Feed Cost &amp; Allocation'!$B$1:$AL$1,'[103]Feed Cost &amp; Allocation'!$B$7:$AL$7),0)</f>
        <v>0</v>
      </c>
      <c r="AH62" s="1059">
        <f>IFERROR(_xlfn.XLOOKUP(AH1,'[103]Feed Cost &amp; Allocation'!$B$1:$AK$1,'[103]Feed Cost &amp; Allocation'!$B$42:$AK$42),0)+IFERROR(_xlfn.XLOOKUP(AH1,'[103]Feed Cost &amp; Allocation'!$B$1:$AL$1,'[103]Feed Cost &amp; Allocation'!$B$7:$AL$7),0)</f>
        <v>0</v>
      </c>
      <c r="AI62" s="1059">
        <f>IFERROR(_xlfn.XLOOKUP(AI1,'[103]Feed Cost &amp; Allocation'!$B$1:$AK$1,'[103]Feed Cost &amp; Allocation'!$B$42:$AK$42),0)+IFERROR(_xlfn.XLOOKUP(AI1,'[103]Feed Cost &amp; Allocation'!$B$1:$AL$1,'[103]Feed Cost &amp; Allocation'!$B$7:$AL$7),0)</f>
        <v>0</v>
      </c>
      <c r="AJ62" s="1059">
        <f>IFERROR(_xlfn.XLOOKUP(AJ1,'[103]Feed Cost &amp; Allocation'!$B$1:$AK$1,'[103]Feed Cost &amp; Allocation'!$B$42:$AK$42),0)+IFERROR(_xlfn.XLOOKUP(AJ1,'[103]Feed Cost &amp; Allocation'!$B$1:$AL$1,'[103]Feed Cost &amp; Allocation'!$B$7:$AL$7),0)</f>
        <v>0</v>
      </c>
      <c r="AK62" s="1059">
        <f>IFERROR(_xlfn.XLOOKUP(AK1,'[103]Feed Cost &amp; Allocation'!$B$1:$AK$1,'[103]Feed Cost &amp; Allocation'!$B$42:$AK$42),0)+IFERROR(_xlfn.XLOOKUP(AK1,'[103]Feed Cost &amp; Allocation'!$B$1:$AL$1,'[103]Feed Cost &amp; Allocation'!$B$7:$AL$7),0)</f>
        <v>0</v>
      </c>
      <c r="AL62" s="1059">
        <f>IFERROR(_xlfn.XLOOKUP(AL1,'[103]Feed Cost &amp; Allocation'!$B$1:$AK$1,'[103]Feed Cost &amp; Allocation'!$B$42:$AK$42),0)+IFERROR(_xlfn.XLOOKUP(AL1,'[103]Feed Cost &amp; Allocation'!$B$1:$AL$1,'[103]Feed Cost &amp; Allocation'!$B$7:$AL$7),0)</f>
        <v>0</v>
      </c>
      <c r="AM62" s="1059">
        <f>IFERROR(_xlfn.XLOOKUP(AM1,'[103]Feed Cost &amp; Allocation'!$B$1:$AK$1,'[103]Feed Cost &amp; Allocation'!$B$42:$AK$42),0)+IFERROR(_xlfn.XLOOKUP(AM1,'[103]Feed Cost &amp; Allocation'!$B$1:$AL$1,'[103]Feed Cost &amp; Allocation'!$B$7:$AL$7),0)</f>
        <v>0</v>
      </c>
      <c r="AN62" s="1059">
        <f>IFERROR(_xlfn.XLOOKUP(AN1,'[103]Feed Cost &amp; Allocation'!$B$1:$AK$1,'[103]Feed Cost &amp; Allocation'!$B$42:$AK$42),0)+IFERROR(_xlfn.XLOOKUP(AN1,'[103]Feed Cost &amp; Allocation'!$B$1:$AL$1,'[103]Feed Cost &amp; Allocation'!$B$7:$AL$7),0)</f>
        <v>0</v>
      </c>
      <c r="AO62" s="1059">
        <f>IFERROR(_xlfn.XLOOKUP(AO1,'[103]Feed Cost &amp; Allocation'!$B$1:$AK$1,'[103]Feed Cost &amp; Allocation'!$B$42:$AK$42),0)+IFERROR(_xlfn.XLOOKUP(AO1,'[103]Feed Cost &amp; Allocation'!$B$1:$AL$1,'[103]Feed Cost &amp; Allocation'!$B$7:$AL$7),0)</f>
        <v>0</v>
      </c>
      <c r="AP62" s="1059">
        <f>IFERROR(_xlfn.XLOOKUP(AP1,'[103]Feed Cost &amp; Allocation'!$B$1:$AK$1,'[103]Feed Cost &amp; Allocation'!$B$42:$AK$42),0)+IFERROR(_xlfn.XLOOKUP(AP1,'[103]Feed Cost &amp; Allocation'!$B$1:$AL$1,'[103]Feed Cost &amp; Allocation'!$B$7:$AL$7),0)</f>
        <v>0</v>
      </c>
      <c r="AQ62" s="1059">
        <f>IFERROR(_xlfn.XLOOKUP(AQ1,'[103]Feed Cost &amp; Allocation'!$B$1:$AK$1,'[103]Feed Cost &amp; Allocation'!$B$42:$AK$42),0)+IFERROR(_xlfn.XLOOKUP(AQ1,'[103]Feed Cost &amp; Allocation'!$B$1:$AL$1,'[103]Feed Cost &amp; Allocation'!$B$7:$AL$7),0)</f>
        <v>0</v>
      </c>
      <c r="AR62" s="1059"/>
      <c r="AS62" s="1059"/>
      <c r="AT62" s="1059"/>
      <c r="AU62" s="1059"/>
      <c r="AV62" s="1059"/>
      <c r="AW62" s="1059"/>
      <c r="AX62" s="1059"/>
      <c r="AY62" s="818">
        <f>SUM(B62:AP62)</f>
        <v>1467034</v>
      </c>
      <c r="AZ62" s="1059">
        <f>'[103]Feed Cost &amp; Allocation'!AN42</f>
        <v>1467034</v>
      </c>
      <c r="BA62" s="818">
        <f t="shared" ref="BA62:BA70" si="1">AY62-AZ62</f>
        <v>0</v>
      </c>
    </row>
    <row r="63" spans="1:56" ht="15">
      <c r="A63" s="1121" t="s">
        <v>2035</v>
      </c>
      <c r="B63" s="1087"/>
      <c r="C63" s="1059">
        <f>IFERROR(_xlfn.XLOOKUP(C1,'[103]Feed Cost &amp; Allocation'!$B$1:$AK$1,'[103]Feed Cost &amp; Allocation'!$B$43:$AK$43),0)+IFERROR(_xlfn.XLOOKUP(C1,'[103]Feed Cost &amp; Allocation'!$B$1:$AK$1,'[103]Feed Cost &amp; Allocation'!$B$8:$AK$8),0)</f>
        <v>6400</v>
      </c>
      <c r="D63" s="1059">
        <f>IFERROR(_xlfn.XLOOKUP(D1,'[103]Feed Cost &amp; Allocation'!$B$1:$AK$1,'[103]Feed Cost &amp; Allocation'!$B$43:$AK$43),0)+IFERROR(_xlfn.XLOOKUP(D1,'[103]Feed Cost &amp; Allocation'!$B$1:$AK$1,'[103]Feed Cost &amp; Allocation'!$B$8:$AK$8),0)</f>
        <v>11974</v>
      </c>
      <c r="E63" s="1059">
        <f>IFERROR(_xlfn.XLOOKUP(E1,'[103]Feed Cost &amp; Allocation'!$B$1:$AK$1,'[103]Feed Cost &amp; Allocation'!$B$43:$AK$43),0)+IFERROR(_xlfn.XLOOKUP(E1,'[103]Feed Cost &amp; Allocation'!$B$1:$AK$1,'[103]Feed Cost &amp; Allocation'!$B$8:$AK$8),0)</f>
        <v>16617</v>
      </c>
      <c r="F63" s="1059">
        <f>IFERROR(_xlfn.XLOOKUP(F1,'[103]Feed Cost &amp; Allocation'!$B$1:$AK$1,'[103]Feed Cost &amp; Allocation'!$B$43:$AK$43),0)+IFERROR(_xlfn.XLOOKUP(F1,'[103]Feed Cost &amp; Allocation'!$B$1:$AK$1,'[103]Feed Cost &amp; Allocation'!$B$8:$AK$8),0)</f>
        <v>20149</v>
      </c>
      <c r="G63" s="1059">
        <f>IFERROR(_xlfn.XLOOKUP(G1,'[103]Feed Cost &amp; Allocation'!$B$1:$AK$1,'[103]Feed Cost &amp; Allocation'!$B$43:$AK$43),0)+IFERROR(_xlfn.XLOOKUP(G1,'[103]Feed Cost &amp; Allocation'!$B$1:$AK$1,'[103]Feed Cost &amp; Allocation'!$B$8:$AK$8),0)</f>
        <v>23963</v>
      </c>
      <c r="H63" s="1059">
        <f>IFERROR(_xlfn.XLOOKUP(H1,'[103]Feed Cost &amp; Allocation'!$B$1:$AK$1,'[103]Feed Cost &amp; Allocation'!$B$43:$AK$43),0)+IFERROR(_xlfn.XLOOKUP(H1,'[103]Feed Cost &amp; Allocation'!$B$1:$AK$1,'[103]Feed Cost &amp; Allocation'!$B$8:$AK$8),0)</f>
        <v>39257</v>
      </c>
      <c r="I63" s="1059">
        <f>IFERROR(_xlfn.XLOOKUP(I1,'[103]Feed Cost &amp; Allocation'!$B$1:$AK$1,'[103]Feed Cost &amp; Allocation'!$B$43:$AK$43),0)+IFERROR(_xlfn.XLOOKUP(I1,'[103]Feed Cost &amp; Allocation'!$B$1:$AK$1,'[103]Feed Cost &amp; Allocation'!$B$8:$AK$8),0)</f>
        <v>3816</v>
      </c>
      <c r="J63" s="1059">
        <f>IFERROR(_xlfn.XLOOKUP(J1,'[103]Feed Cost &amp; Allocation'!$B$1:$AK$1,'[103]Feed Cost &amp; Allocation'!$B$43:$AK$43),0)+IFERROR(_xlfn.XLOOKUP(J1,'[103]Feed Cost &amp; Allocation'!$B$1:$AK$1,'[103]Feed Cost &amp; Allocation'!$B$8:$AK$8),0)</f>
        <v>63282</v>
      </c>
      <c r="K63" s="1059">
        <f>IFERROR(_xlfn.XLOOKUP(K1,'[103]Feed Cost &amp; Allocation'!$B$1:$AK$1,'[103]Feed Cost &amp; Allocation'!$B$43:$AK$43),0)+IFERROR(_xlfn.XLOOKUP(K1,'[103]Feed Cost &amp; Allocation'!$B$1:$AK$1,'[103]Feed Cost &amp; Allocation'!$B$8:$AK$8),0)-E106</f>
        <v>15999</v>
      </c>
      <c r="L63" s="1059">
        <f>IFERROR(_xlfn.XLOOKUP(L1,'[103]Feed Cost &amp; Allocation'!$B$1:$AK$1,'[103]Feed Cost &amp; Allocation'!$B$43:$AK$43),0)+IFERROR(_xlfn.XLOOKUP(L1,'[103]Feed Cost &amp; Allocation'!$B$1:$AK$1,'[103]Feed Cost &amp; Allocation'!$B$8:$AK$8),0)</f>
        <v>12835</v>
      </c>
      <c r="M63" s="1059">
        <f>IFERROR(_xlfn.XLOOKUP(M1,'[103]Feed Cost &amp; Allocation'!$B$1:$AK$1,'[103]Feed Cost &amp; Allocation'!$B$43:$AK$43),0)+IFERROR(_xlfn.XLOOKUP(M1,'[103]Feed Cost &amp; Allocation'!$B$1:$AK$1,'[103]Feed Cost &amp; Allocation'!$B$8:$AK$8),0)</f>
        <v>3019</v>
      </c>
      <c r="N63" s="1059">
        <f>IFERROR(_xlfn.XLOOKUP(N1,'[103]Feed Cost &amp; Allocation'!$B$1:$AK$1,'[103]Feed Cost &amp; Allocation'!$B$43:$AK$43),0)+IFERROR(_xlfn.XLOOKUP(N1,'[103]Feed Cost &amp; Allocation'!$B$1:$AK$1,'[103]Feed Cost &amp; Allocation'!$B$8:$AK$8),0)</f>
        <v>1455</v>
      </c>
      <c r="O63" s="1059">
        <f>IFERROR(_xlfn.XLOOKUP(O1,'[103]Feed Cost &amp; Allocation'!$B$1:$AK$1,'[103]Feed Cost &amp; Allocation'!$B$43:$AK$43),0)+IFERROR(_xlfn.XLOOKUP(O1,'[103]Feed Cost &amp; Allocation'!$B$1:$AK$1,'[103]Feed Cost &amp; Allocation'!$B$8:$AK$8),0)</f>
        <v>4742</v>
      </c>
      <c r="P63" s="1059">
        <f>IFERROR(_xlfn.XLOOKUP(P1,'[103]Feed Cost &amp; Allocation'!$B$1:$AK$1,'[103]Feed Cost &amp; Allocation'!$B$43:$AK$43),0)+IFERROR(_xlfn.XLOOKUP(P1,'[103]Feed Cost &amp; Allocation'!$B$1:$AK$1,'[103]Feed Cost &amp; Allocation'!$B$8:$AK$8),0)</f>
        <v>717</v>
      </c>
      <c r="Q63" s="1059">
        <f>IFERROR(_xlfn.XLOOKUP(Q1,'[103]Feed Cost &amp; Allocation'!$B$1:$AK$1,'[103]Feed Cost &amp; Allocation'!$B$43:$AK$43),0)+IFERROR(_xlfn.XLOOKUP(Q1,'[103]Feed Cost &amp; Allocation'!$B$1:$AK$1,'[103]Feed Cost &amp; Allocation'!$B$8:$AK$8),0)</f>
        <v>700</v>
      </c>
      <c r="R63" s="1059">
        <f>IFERROR(_xlfn.XLOOKUP(R1,'[103]Feed Cost &amp; Allocation'!$B$1:$AK$1,'[103]Feed Cost &amp; Allocation'!$B$43:$AK$43),0)+IFERROR(_xlfn.XLOOKUP(R1,'[103]Feed Cost &amp; Allocation'!$B$1:$AK$1,'[103]Feed Cost &amp; Allocation'!$B$8:$AK$8),0)</f>
        <v>1000</v>
      </c>
      <c r="S63" s="1059">
        <f>IFERROR(_xlfn.XLOOKUP(S1,'[103]Feed Cost &amp; Allocation'!$B$1:$AK$1,'[103]Feed Cost &amp; Allocation'!$B$43:$AK$43),0)+IFERROR(_xlfn.XLOOKUP(S1,'[103]Feed Cost &amp; Allocation'!$B$1:$AK$1,'[103]Feed Cost &amp; Allocation'!$B$8:$AK$8),0)</f>
        <v>0</v>
      </c>
      <c r="T63" s="1059">
        <f>IFERROR(_xlfn.XLOOKUP(T1,'[103]Feed Cost &amp; Allocation'!$B$1:$AK$1,'[103]Feed Cost &amp; Allocation'!$B$43:$AK$43),0)+IFERROR(_xlfn.XLOOKUP(T1,'[103]Feed Cost &amp; Allocation'!$B$1:$AK$1,'[103]Feed Cost &amp; Allocation'!$B$8:$AK$8),0)</f>
        <v>0</v>
      </c>
      <c r="U63" s="1059">
        <f>IFERROR(_xlfn.XLOOKUP(U1,'[103]Feed Cost &amp; Allocation'!$B$1:$AK$1,'[103]Feed Cost &amp; Allocation'!$B$43:$AK$43),0)+IFERROR(_xlfn.XLOOKUP(U1,'[103]Feed Cost &amp; Allocation'!$B$1:$AK$1,'[103]Feed Cost &amp; Allocation'!$B$8:$AK$8),0)</f>
        <v>0</v>
      </c>
      <c r="V63" s="1059">
        <f>IFERROR(_xlfn.XLOOKUP(V1,'[103]Feed Cost &amp; Allocation'!$B$1:$AK$1,'[103]Feed Cost &amp; Allocation'!$B$43:$AK$43),0)+IFERROR(_xlfn.XLOOKUP(V1,'[103]Feed Cost &amp; Allocation'!$B$1:$AK$1,'[103]Feed Cost &amp; Allocation'!$B$8:$AK$8),0)</f>
        <v>0</v>
      </c>
      <c r="W63" s="1059">
        <f>IFERROR(_xlfn.XLOOKUP(W1,'[103]Feed Cost &amp; Allocation'!$B$1:$AK$1,'[103]Feed Cost &amp; Allocation'!$B$43:$AK$43),0)+IFERROR(_xlfn.XLOOKUP(W1,'[103]Feed Cost &amp; Allocation'!$B$1:$AK$1,'[103]Feed Cost &amp; Allocation'!$B$8:$AK$8),0)</f>
        <v>3050</v>
      </c>
      <c r="X63" s="1059">
        <f>IFERROR(_xlfn.XLOOKUP(X1,'[103]Feed Cost &amp; Allocation'!$B$1:$AK$1,'[103]Feed Cost &amp; Allocation'!$B$43:$AK$43),0)+IFERROR(_xlfn.XLOOKUP(X1,'[103]Feed Cost &amp; Allocation'!$B$1:$AK$1,'[103]Feed Cost &amp; Allocation'!$B$8:$AK$8),0)</f>
        <v>3500</v>
      </c>
      <c r="Y63" s="1059">
        <f>IFERROR(_xlfn.XLOOKUP(Y1,'[103]Feed Cost &amp; Allocation'!$B$1:$AK$1,'[103]Feed Cost &amp; Allocation'!$B$43:$AK$43),0)+IFERROR(_xlfn.XLOOKUP(Y1,'[103]Feed Cost &amp; Allocation'!$B$1:$AK$1,'[103]Feed Cost &amp; Allocation'!$B$8:$AK$8),0)</f>
        <v>250</v>
      </c>
      <c r="Z63" s="1059">
        <f>IFERROR(_xlfn.XLOOKUP(Z1,'[103]Feed Cost &amp; Allocation'!$B$1:$AK$1,'[103]Feed Cost &amp; Allocation'!$B$43:$AK$43),0)+IFERROR(_xlfn.XLOOKUP(Z1,'[103]Feed Cost &amp; Allocation'!$B$1:$AK$1,'[103]Feed Cost &amp; Allocation'!$B$8:$AK$8),0)</f>
        <v>0</v>
      </c>
      <c r="AA63" s="1059">
        <f>IFERROR(_xlfn.XLOOKUP(AA1,'[103]Feed Cost &amp; Allocation'!$B$1:$AK$1,'[103]Feed Cost &amp; Allocation'!$B$43:$AK$43),0)+IFERROR(_xlfn.XLOOKUP(AA1,'[103]Feed Cost &amp; Allocation'!$B$1:$AK$1,'[103]Feed Cost &amp; Allocation'!$B$8:$AK$8),0)</f>
        <v>0</v>
      </c>
      <c r="AB63" s="1059">
        <f>IFERROR(_xlfn.XLOOKUP(AB1,'[103]Feed Cost &amp; Allocation'!$B$1:$AK$1,'[103]Feed Cost &amp; Allocation'!$B$43:$AK$43),0)+IFERROR(_xlfn.XLOOKUP(AB1,'[103]Feed Cost &amp; Allocation'!$B$1:$AK$1,'[103]Feed Cost &amp; Allocation'!$B$8:$AK$8),0)</f>
        <v>100</v>
      </c>
      <c r="AC63" s="1059">
        <f>IFERROR(_xlfn.XLOOKUP(AC1,'[103]Feed Cost &amp; Allocation'!$B$1:$AK$1,'[103]Feed Cost &amp; Allocation'!$B$43:$AK$43),0)+IFERROR(_xlfn.XLOOKUP(AC1,'[103]Feed Cost &amp; Allocation'!$B$1:$AK$1,'[103]Feed Cost &amp; Allocation'!$B$8:$AK$8),0)</f>
        <v>0</v>
      </c>
      <c r="AD63" s="1059">
        <f>IFERROR(_xlfn.XLOOKUP(AD1,'[103]Feed Cost &amp; Allocation'!$B$1:$AK$1,'[103]Feed Cost &amp; Allocation'!$B$43:$AK$43),0)+IFERROR(_xlfn.XLOOKUP(AD1,'[103]Feed Cost &amp; Allocation'!$B$1:$AK$1,'[103]Feed Cost &amp; Allocation'!$B$8:$AK$8),0)</f>
        <v>0</v>
      </c>
      <c r="AE63" s="1059">
        <f>IFERROR(_xlfn.XLOOKUP(AE1,'[103]Feed Cost &amp; Allocation'!$B$1:$AK$1,'[103]Feed Cost &amp; Allocation'!$B$43:$AK$43),0)+IFERROR(_xlfn.XLOOKUP(AE1,'[103]Feed Cost &amp; Allocation'!$B$1:$AK$1,'[103]Feed Cost &amp; Allocation'!$B$8:$AK$8),0)</f>
        <v>5048</v>
      </c>
      <c r="AF63" s="1059">
        <f>IFERROR(_xlfn.XLOOKUP(AF1,'[103]Feed Cost &amp; Allocation'!$B$1:$AK$1,'[103]Feed Cost &amp; Allocation'!$B$43:$AK$43),0)+IFERROR(_xlfn.XLOOKUP(AF1,'[103]Feed Cost &amp; Allocation'!$B$1:$AK$1,'[103]Feed Cost &amp; Allocation'!$B$8:$AK$8),0)</f>
        <v>0</v>
      </c>
      <c r="AG63" s="1059">
        <f>IFERROR(_xlfn.XLOOKUP(AG1,'[103]Feed Cost &amp; Allocation'!$B$1:$AK$1,'[103]Feed Cost &amp; Allocation'!$B$43:$AK$43),0)+IFERROR(_xlfn.XLOOKUP(AG1,'[103]Feed Cost &amp; Allocation'!$B$1:$AL$1,'[103]Feed Cost &amp; Allocation'!$B$8:$AL$8),0)</f>
        <v>2910</v>
      </c>
      <c r="AH63" s="1059">
        <f>IFERROR(_xlfn.XLOOKUP(AH1,'[103]Feed Cost &amp; Allocation'!$B$1:$AK$1,'[103]Feed Cost &amp; Allocation'!$B$43:$AK$43),0)+IFERROR(_xlfn.XLOOKUP(AH1,'[103]Feed Cost &amp; Allocation'!$B$1:$AL$1,'[103]Feed Cost &amp; Allocation'!$B$8:$AL$8),0)</f>
        <v>0</v>
      </c>
      <c r="AI63" s="1059">
        <f>IFERROR(_xlfn.XLOOKUP(AI1,'[103]Feed Cost &amp; Allocation'!$B$1:$AK$1,'[103]Feed Cost &amp; Allocation'!$B$43:$AK$43),0)+IFERROR(_xlfn.XLOOKUP(AI1,'[103]Feed Cost &amp; Allocation'!$B$1:$AL$1,'[103]Feed Cost &amp; Allocation'!$B$8:$AL$8),0)</f>
        <v>0</v>
      </c>
      <c r="AJ63" s="1059">
        <f>IFERROR(_xlfn.XLOOKUP(AJ1,'[103]Feed Cost &amp; Allocation'!$B$1:$AK$1,'[103]Feed Cost &amp; Allocation'!$B$43:$AK$43),0)+IFERROR(_xlfn.XLOOKUP(AJ1,'[103]Feed Cost &amp; Allocation'!$B$1:$AL$1,'[103]Feed Cost &amp; Allocation'!$B$8:$AL$8),0)</f>
        <v>0</v>
      </c>
      <c r="AK63" s="1059">
        <f>IFERROR(_xlfn.XLOOKUP(AK1,'[103]Feed Cost &amp; Allocation'!$B$1:$AK$1,'[103]Feed Cost &amp; Allocation'!$B$43:$AK$43),0)+IFERROR(_xlfn.XLOOKUP(AK1,'[103]Feed Cost &amp; Allocation'!$B$1:$AL$1,'[103]Feed Cost &amp; Allocation'!$B$8:$AL$8),0)</f>
        <v>0</v>
      </c>
      <c r="AL63" s="1059">
        <f>IFERROR(_xlfn.XLOOKUP(AL1,'[103]Feed Cost &amp; Allocation'!$B$1:$AK$1,'[103]Feed Cost &amp; Allocation'!$B$43:$AK$43),0)+IFERROR(_xlfn.XLOOKUP(AL1,'[103]Feed Cost &amp; Allocation'!$B$1:$AL$1,'[103]Feed Cost &amp; Allocation'!$B$8:$AL$8),0)</f>
        <v>0</v>
      </c>
      <c r="AM63" s="1059">
        <f>IFERROR(_xlfn.XLOOKUP(AM1,'[103]Feed Cost &amp; Allocation'!$B$1:$AK$1,'[103]Feed Cost &amp; Allocation'!$B$43:$AK$43),0)+IFERROR(_xlfn.XLOOKUP(AM1,'[103]Feed Cost &amp; Allocation'!$B$1:$AL$1,'[103]Feed Cost &amp; Allocation'!$B$8:$AL$8),0)</f>
        <v>0</v>
      </c>
      <c r="AN63" s="1059">
        <f>IFERROR(_xlfn.XLOOKUP(AN1,'[103]Feed Cost &amp; Allocation'!$B$1:$AK$1,'[103]Feed Cost &amp; Allocation'!$B$43:$AK$43),0)+IFERROR(_xlfn.XLOOKUP(AN1,'[103]Feed Cost &amp; Allocation'!$B$1:$AL$1,'[103]Feed Cost &amp; Allocation'!$B$8:$AL$8),0)</f>
        <v>0</v>
      </c>
      <c r="AO63" s="1059">
        <f>IFERROR(_xlfn.XLOOKUP(AO1,'[103]Feed Cost &amp; Allocation'!$B$1:$AK$1,'[103]Feed Cost &amp; Allocation'!$B$43:$AK$43),0)+IFERROR(_xlfn.XLOOKUP(AO1,'[103]Feed Cost &amp; Allocation'!$B$1:$AL$1,'[103]Feed Cost &amp; Allocation'!$B$8:$AL$8),0)</f>
        <v>0</v>
      </c>
      <c r="AP63" s="1059">
        <f>IFERROR(_xlfn.XLOOKUP(AP1,'[103]Feed Cost &amp; Allocation'!$B$1:$AK$1,'[103]Feed Cost &amp; Allocation'!$B$43:$AK$43),0)+IFERROR(_xlfn.XLOOKUP(AP1,'[103]Feed Cost &amp; Allocation'!$B$1:$AL$1,'[103]Feed Cost &amp; Allocation'!$B$8:$AL$8),0)</f>
        <v>0</v>
      </c>
      <c r="AQ63" s="1059">
        <f>IFERROR(_xlfn.XLOOKUP(AQ1,'[103]Feed Cost &amp; Allocation'!$B$1:$AK$1,'[103]Feed Cost &amp; Allocation'!$B$43:$AK$43),0)+IFERROR(_xlfn.XLOOKUP(AQ1,'[103]Feed Cost &amp; Allocation'!$B$1:$AL$1,'[103]Feed Cost &amp; Allocation'!$B$8:$AL$8),0)</f>
        <v>0</v>
      </c>
      <c r="AR63" s="1059"/>
      <c r="AS63" s="1059"/>
      <c r="AT63" s="1059"/>
      <c r="AU63" s="1059"/>
      <c r="AV63" s="1059"/>
      <c r="AW63" s="1059"/>
      <c r="AX63" s="1059"/>
      <c r="AY63" s="818">
        <f>SUM(B63:AP63)</f>
        <v>240783</v>
      </c>
      <c r="AZ63" s="1059">
        <f>'[103]Feed Cost &amp; Allocation'!AN43</f>
        <v>240783</v>
      </c>
      <c r="BA63" s="818">
        <f t="shared" si="1"/>
        <v>0</v>
      </c>
    </row>
    <row r="64" spans="1:56" ht="15">
      <c r="A64" s="1121" t="s">
        <v>2036</v>
      </c>
      <c r="C64" s="1059">
        <f>IFERROR(_xlfn.XLOOKUP(C1,'[103]Feed Cost &amp; Allocation'!$B$1:$AK$1,'[103]Feed Cost &amp; Allocation'!$B$44:$AK$44),0)+IFERROR(_xlfn.XLOOKUP(C1,'[103]Feed Cost &amp; Allocation'!$B$1:$AK$1,'[103]Feed Cost &amp; Allocation'!$B$9:$AK$9),0)</f>
        <v>41585</v>
      </c>
      <c r="D64" s="1059">
        <f>IFERROR(_xlfn.XLOOKUP(D1,'[103]Feed Cost &amp; Allocation'!$B$1:$AK$1,'[103]Feed Cost &amp; Allocation'!$B$44:$AK$44),0)+IFERROR(_xlfn.XLOOKUP(D1,'[103]Feed Cost &amp; Allocation'!$B$1:$AK$1,'[103]Feed Cost &amp; Allocation'!$B$9:$AK$9),0)</f>
        <v>42089.5</v>
      </c>
      <c r="E64" s="1059">
        <f>IFERROR(_xlfn.XLOOKUP(E1,'[103]Feed Cost &amp; Allocation'!$B$1:$AK$1,'[103]Feed Cost &amp; Allocation'!$B$44:$AK$44),0)+IFERROR(_xlfn.XLOOKUP(E1,'[103]Feed Cost &amp; Allocation'!$B$1:$AK$1,'[103]Feed Cost &amp; Allocation'!$B$9:$AK$9),0)</f>
        <v>69331</v>
      </c>
      <c r="F64" s="1059">
        <f>IFERROR(_xlfn.XLOOKUP(F1,'[103]Feed Cost &amp; Allocation'!$B$1:$AK$1,'[103]Feed Cost &amp; Allocation'!$B$44:$AK$44),0)+IFERROR(_xlfn.XLOOKUP(F1,'[103]Feed Cost &amp; Allocation'!$B$1:$AK$1,'[103]Feed Cost &amp; Allocation'!$B$9:$AK$9),0)</f>
        <v>85171</v>
      </c>
      <c r="G64" s="1059">
        <f>IFERROR(_xlfn.XLOOKUP(G1,'[103]Feed Cost &amp; Allocation'!$B$1:$AK$1,'[103]Feed Cost &amp; Allocation'!$B$44:$AK$44),0)+IFERROR(_xlfn.XLOOKUP(G1,'[103]Feed Cost &amp; Allocation'!$B$1:$AK$1,'[103]Feed Cost &amp; Allocation'!$B$9:$AK$9),0)</f>
        <v>84795</v>
      </c>
      <c r="H64" s="1059">
        <f>IFERROR(_xlfn.XLOOKUP(H1,'[103]Feed Cost &amp; Allocation'!$B$1:$AK$1,'[103]Feed Cost &amp; Allocation'!$B$44:$AK$44),0)+IFERROR(_xlfn.XLOOKUP(H1,'[103]Feed Cost &amp; Allocation'!$B$1:$AK$1,'[103]Feed Cost &amp; Allocation'!$B$9:$AK$9),0)</f>
        <v>110777</v>
      </c>
      <c r="I64" s="1059">
        <f>IFERROR(_xlfn.XLOOKUP(I1,'[103]Feed Cost &amp; Allocation'!$B$1:$AK$1,'[103]Feed Cost &amp; Allocation'!$B$44:$AK$44),0)+IFERROR(_xlfn.XLOOKUP(I1,'[103]Feed Cost &amp; Allocation'!$B$1:$AK$1,'[103]Feed Cost &amp; Allocation'!$B$9:$AK$9),0)</f>
        <v>14162</v>
      </c>
      <c r="J64" s="1059">
        <f>IFERROR(_xlfn.XLOOKUP(J1,'[103]Feed Cost &amp; Allocation'!$B$1:$AK$1,'[103]Feed Cost &amp; Allocation'!$B$44:$AK$44),0)+IFERROR(_xlfn.XLOOKUP(J1,'[103]Feed Cost &amp; Allocation'!$B$1:$AK$1,'[103]Feed Cost &amp; Allocation'!$B$9:$AK$9),0)</f>
        <v>261588</v>
      </c>
      <c r="K64" s="1059">
        <f>IFERROR(_xlfn.XLOOKUP(K1,'[103]Feed Cost &amp; Allocation'!$B$1:$AK$1,'[103]Feed Cost &amp; Allocation'!$B$44:$AK$44),0)+IFERROR(_xlfn.XLOOKUP(K1,'[103]Feed Cost &amp; Allocation'!$B$1:$AK$1,'[103]Feed Cost &amp; Allocation'!$B$9:$AK$9),0)-E107</f>
        <v>42597</v>
      </c>
      <c r="L64" s="1059">
        <f>IFERROR(_xlfn.XLOOKUP(L1,'[103]Feed Cost &amp; Allocation'!$B$1:$AK$1,'[103]Feed Cost &amp; Allocation'!$B$44:$AK$44),0)+IFERROR(_xlfn.XLOOKUP(L1,'[103]Feed Cost &amp; Allocation'!$B$1:$AK$1,'[103]Feed Cost &amp; Allocation'!$B$9:$AK$9),0)</f>
        <v>0</v>
      </c>
      <c r="M64" s="1059">
        <f>IFERROR(_xlfn.XLOOKUP(M1,'[103]Feed Cost &amp; Allocation'!$B$1:$AK$1,'[103]Feed Cost &amp; Allocation'!$B$44:$AK$44),0)+IFERROR(_xlfn.XLOOKUP(M1,'[103]Feed Cost &amp; Allocation'!$B$1:$AK$1,'[103]Feed Cost &amp; Allocation'!$B$9:$AK$9),0)</f>
        <v>44977</v>
      </c>
      <c r="N64" s="1059">
        <f>IFERROR(_xlfn.XLOOKUP(N1,'[103]Feed Cost &amp; Allocation'!$B$1:$AK$1,'[103]Feed Cost &amp; Allocation'!$B$44:$AK$44),0)+IFERROR(_xlfn.XLOOKUP(N1,'[103]Feed Cost &amp; Allocation'!$B$1:$AK$1,'[103]Feed Cost &amp; Allocation'!$B$9:$AK$9),0)</f>
        <v>3500</v>
      </c>
      <c r="O64" s="1059">
        <f>IFERROR(_xlfn.XLOOKUP(O1,'[103]Feed Cost &amp; Allocation'!$B$1:$AK$1,'[103]Feed Cost &amp; Allocation'!$B$44:$AK$44),0)+IFERROR(_xlfn.XLOOKUP(O1,'[103]Feed Cost &amp; Allocation'!$B$1:$AK$1,'[103]Feed Cost &amp; Allocation'!$B$9:$AK$9),0)</f>
        <v>10353</v>
      </c>
      <c r="P64" s="1059">
        <f>IFERROR(_xlfn.XLOOKUP(P1,'[103]Feed Cost &amp; Allocation'!$B$1:$AK$1,'[103]Feed Cost &amp; Allocation'!$B$44:$AK$44),0)+IFERROR(_xlfn.XLOOKUP(P1,'[103]Feed Cost &amp; Allocation'!$B$1:$AK$1,'[103]Feed Cost &amp; Allocation'!$B$9:$AK$9),0)</f>
        <v>3418.6</v>
      </c>
      <c r="Q64" s="1059">
        <f>IFERROR(_xlfn.XLOOKUP(Q1,'[103]Feed Cost &amp; Allocation'!$B$1:$AK$1,'[103]Feed Cost &amp; Allocation'!$B$44:$AK$44),0)+IFERROR(_xlfn.XLOOKUP(Q1,'[103]Feed Cost &amp; Allocation'!$B$1:$AK$1,'[103]Feed Cost &amp; Allocation'!$B$9:$AK$9),0)</f>
        <v>2150</v>
      </c>
      <c r="R64" s="1059">
        <f>IFERROR(_xlfn.XLOOKUP(R1,'[103]Feed Cost &amp; Allocation'!$B$1:$AK$1,'[103]Feed Cost &amp; Allocation'!$B$44:$AK$44),0)+IFERROR(_xlfn.XLOOKUP(R1,'[103]Feed Cost &amp; Allocation'!$B$1:$AK$1,'[103]Feed Cost &amp; Allocation'!$B$9:$AK$9),0)</f>
        <v>3350</v>
      </c>
      <c r="S64" s="1059">
        <f>IFERROR(_xlfn.XLOOKUP(S1,'[103]Feed Cost &amp; Allocation'!$B$1:$AK$1,'[103]Feed Cost &amp; Allocation'!$B$44:$AK$44),0)+IFERROR(_xlfn.XLOOKUP(S1,'[103]Feed Cost &amp; Allocation'!$B$1:$AK$1,'[103]Feed Cost &amp; Allocation'!$B$9:$AK$9),0)</f>
        <v>0</v>
      </c>
      <c r="T64" s="1059">
        <f>IFERROR(_xlfn.XLOOKUP(T1,'[103]Feed Cost &amp; Allocation'!$B$1:$AK$1,'[103]Feed Cost &amp; Allocation'!$B$44:$AK$44),0)+IFERROR(_xlfn.XLOOKUP(T1,'[103]Feed Cost &amp; Allocation'!$B$1:$AK$1,'[103]Feed Cost &amp; Allocation'!$B$9:$AK$9),0)</f>
        <v>0</v>
      </c>
      <c r="U64" s="1059">
        <f>IFERROR(_xlfn.XLOOKUP(U1,'[103]Feed Cost &amp; Allocation'!$B$1:$AK$1,'[103]Feed Cost &amp; Allocation'!$B$44:$AK$44),0)+IFERROR(_xlfn.XLOOKUP(U1,'[103]Feed Cost &amp; Allocation'!$B$1:$AK$1,'[103]Feed Cost &amp; Allocation'!$B$9:$AK$9),0)</f>
        <v>0</v>
      </c>
      <c r="V64" s="1059">
        <f>IFERROR(_xlfn.XLOOKUP(V1,'[103]Feed Cost &amp; Allocation'!$B$1:$AK$1,'[103]Feed Cost &amp; Allocation'!$B$44:$AK$44),0)+IFERROR(_xlfn.XLOOKUP(V1,'[103]Feed Cost &amp; Allocation'!$B$1:$AK$1,'[103]Feed Cost &amp; Allocation'!$B$9:$AK$9),0)</f>
        <v>0</v>
      </c>
      <c r="W64" s="1059">
        <f>IFERROR(_xlfn.XLOOKUP(W1,'[103]Feed Cost &amp; Allocation'!$B$1:$AK$1,'[103]Feed Cost &amp; Allocation'!$B$44:$AK$44),0)+IFERROR(_xlfn.XLOOKUP(W1,'[103]Feed Cost &amp; Allocation'!$B$1:$AK$1,'[103]Feed Cost &amp; Allocation'!$B$9:$AK$9),0)</f>
        <v>6617</v>
      </c>
      <c r="X64" s="1059">
        <f>IFERROR(_xlfn.XLOOKUP(X1,'[103]Feed Cost &amp; Allocation'!$B$1:$AK$1,'[103]Feed Cost &amp; Allocation'!$B$44:$AK$44),0)+IFERROR(_xlfn.XLOOKUP(X1,'[103]Feed Cost &amp; Allocation'!$B$1:$AK$1,'[103]Feed Cost &amp; Allocation'!$B$9:$AK$9),0)</f>
        <v>4907</v>
      </c>
      <c r="Y64" s="1059">
        <f>IFERROR(_xlfn.XLOOKUP(Y1,'[103]Feed Cost &amp; Allocation'!$B$1:$AK$1,'[103]Feed Cost &amp; Allocation'!$B$44:$AK$44),0)+IFERROR(_xlfn.XLOOKUP(Y1,'[103]Feed Cost &amp; Allocation'!$B$1:$AK$1,'[103]Feed Cost &amp; Allocation'!$B$9:$AK$9),0)</f>
        <v>1634</v>
      </c>
      <c r="Z64" s="1059">
        <f>IFERROR(_xlfn.XLOOKUP(Z1,'[103]Feed Cost &amp; Allocation'!$B$1:$AK$1,'[103]Feed Cost &amp; Allocation'!$B$44:$AK$44),0)+IFERROR(_xlfn.XLOOKUP(Z1,'[103]Feed Cost &amp; Allocation'!$B$1:$AK$1,'[103]Feed Cost &amp; Allocation'!$B$9:$AK$9),0)</f>
        <v>9924</v>
      </c>
      <c r="AA64" s="1059">
        <f>IFERROR(_xlfn.XLOOKUP(AA1,'[103]Feed Cost &amp; Allocation'!$B$1:$AK$1,'[103]Feed Cost &amp; Allocation'!$B$44:$AK$44),0)+IFERROR(_xlfn.XLOOKUP(AA1,'[103]Feed Cost &amp; Allocation'!$B$1:$AK$1,'[103]Feed Cost &amp; Allocation'!$B$9:$AK$9),0)</f>
        <v>0</v>
      </c>
      <c r="AB64" s="1059">
        <f>IFERROR(_xlfn.XLOOKUP(AB1,'[103]Feed Cost &amp; Allocation'!$B$1:$AK$1,'[103]Feed Cost &amp; Allocation'!$B$44:$AK$44),0)+IFERROR(_xlfn.XLOOKUP(AB1,'[103]Feed Cost &amp; Allocation'!$B$1:$AK$1,'[103]Feed Cost &amp; Allocation'!$B$9:$AK$9),0)</f>
        <v>0</v>
      </c>
      <c r="AC64" s="1059">
        <f>IFERROR(_xlfn.XLOOKUP(AC1,'[103]Feed Cost &amp; Allocation'!$B$1:$AK$1,'[103]Feed Cost &amp; Allocation'!$B$44:$AK$44),0)+IFERROR(_xlfn.XLOOKUP(AC1,'[103]Feed Cost &amp; Allocation'!$B$1:$AK$1,'[103]Feed Cost &amp; Allocation'!$B$9:$AK$9),0)</f>
        <v>0</v>
      </c>
      <c r="AD64" s="1059">
        <f>IFERROR(_xlfn.XLOOKUP(AD1,'[103]Feed Cost &amp; Allocation'!$B$1:$AK$1,'[103]Feed Cost &amp; Allocation'!$B$44:$AK$44),0)+IFERROR(_xlfn.XLOOKUP(AD1,'[103]Feed Cost &amp; Allocation'!$B$1:$AK$1,'[103]Feed Cost &amp; Allocation'!$B$9:$AK$9),0)</f>
        <v>0</v>
      </c>
      <c r="AE64" s="1059">
        <f>IFERROR(_xlfn.XLOOKUP(AE1,'[103]Feed Cost &amp; Allocation'!$B$1:$AK$1,'[103]Feed Cost &amp; Allocation'!$B$44:$AK$44),0)+IFERROR(_xlfn.XLOOKUP(AE1,'[103]Feed Cost &amp; Allocation'!$B$1:$AK$1,'[103]Feed Cost &amp; Allocation'!$B$9:$AK$9),0)</f>
        <v>12717</v>
      </c>
      <c r="AF64" s="1059">
        <f>IFERROR(_xlfn.XLOOKUP(AF1,'[103]Feed Cost &amp; Allocation'!$B$1:$AK$1,'[103]Feed Cost &amp; Allocation'!$B$44:$AK$44),0)+IFERROR(_xlfn.XLOOKUP(AF1,'[103]Feed Cost &amp; Allocation'!$B$1:$AK$1,'[103]Feed Cost &amp; Allocation'!$B$9:$AK$9),0)</f>
        <v>0</v>
      </c>
      <c r="AG64" s="1059">
        <f>IFERROR(_xlfn.XLOOKUP(AG1,'[103]Feed Cost &amp; Allocation'!$B$1:$AK$1,'[103]Feed Cost &amp; Allocation'!$B$44:$AK$44),0)+IFERROR(_xlfn.XLOOKUP(AG1,'[103]Feed Cost &amp; Allocation'!$B$1:$AL$1,'[103]Feed Cost &amp; Allocation'!$B$9:$AL$9),0)</f>
        <v>900</v>
      </c>
      <c r="AH64" s="1059">
        <f>IFERROR(_xlfn.XLOOKUP(AH1,'[103]Feed Cost &amp; Allocation'!$B$1:$AK$1,'[103]Feed Cost &amp; Allocation'!$B$44:$AK$44),0)+IFERROR(_xlfn.XLOOKUP(AH1,'[103]Feed Cost &amp; Allocation'!$B$1:$AL$1,'[103]Feed Cost &amp; Allocation'!$B$9:$AL$9),0)</f>
        <v>0</v>
      </c>
      <c r="AI64" s="1059">
        <f>IFERROR(_xlfn.XLOOKUP(AI1,'[103]Feed Cost &amp; Allocation'!$B$1:$AK$1,'[103]Feed Cost &amp; Allocation'!$B$44:$AK$44),0)+IFERROR(_xlfn.XLOOKUP(AI1,'[103]Feed Cost &amp; Allocation'!$B$1:$AL$1,'[103]Feed Cost &amp; Allocation'!$B$9:$AL$9),0)</f>
        <v>0</v>
      </c>
      <c r="AJ64" s="1059">
        <f>IFERROR(_xlfn.XLOOKUP(AJ1,'[103]Feed Cost &amp; Allocation'!$B$1:$AK$1,'[103]Feed Cost &amp; Allocation'!$B$44:$AK$44),0)+IFERROR(_xlfn.XLOOKUP(AJ1,'[103]Feed Cost &amp; Allocation'!$B$1:$AL$1,'[103]Feed Cost &amp; Allocation'!$B$9:$AL$9),0)</f>
        <v>0</v>
      </c>
      <c r="AK64" s="1059">
        <f>IFERROR(_xlfn.XLOOKUP(AK1,'[103]Feed Cost &amp; Allocation'!$B$1:$AK$1,'[103]Feed Cost &amp; Allocation'!$B$44:$AK$44),0)+IFERROR(_xlfn.XLOOKUP(AK1,'[103]Feed Cost &amp; Allocation'!$B$1:$AL$1,'[103]Feed Cost &amp; Allocation'!$B$9:$AL$9),0)</f>
        <v>0</v>
      </c>
      <c r="AL64" s="1059">
        <f>IFERROR(_xlfn.XLOOKUP(AL1,'[103]Feed Cost &amp; Allocation'!$B$1:$AK$1,'[103]Feed Cost &amp; Allocation'!$B$44:$AK$44),0)+IFERROR(_xlfn.XLOOKUP(AL1,'[103]Feed Cost &amp; Allocation'!$B$1:$AL$1,'[103]Feed Cost &amp; Allocation'!$B$9:$AL$9),0)</f>
        <v>0</v>
      </c>
      <c r="AM64" s="1059">
        <f>IFERROR(_xlfn.XLOOKUP(AM1,'[103]Feed Cost &amp; Allocation'!$B$1:$AK$1,'[103]Feed Cost &amp; Allocation'!$B$44:$AK$44),0)+IFERROR(_xlfn.XLOOKUP(AM1,'[103]Feed Cost &amp; Allocation'!$B$1:$AL$1,'[103]Feed Cost &amp; Allocation'!$B$9:$AL$9),0)</f>
        <v>0</v>
      </c>
      <c r="AN64" s="1059">
        <f>IFERROR(_xlfn.XLOOKUP(AN1,'[103]Feed Cost &amp; Allocation'!$B$1:$AK$1,'[103]Feed Cost &amp; Allocation'!$B$44:$AK$44),0)+IFERROR(_xlfn.XLOOKUP(AN1,'[103]Feed Cost &amp; Allocation'!$B$1:$AL$1,'[103]Feed Cost &amp; Allocation'!$B$9:$AL$9),0)</f>
        <v>0</v>
      </c>
      <c r="AO64" s="1059">
        <f>IFERROR(_xlfn.XLOOKUP(AO1,'[103]Feed Cost &amp; Allocation'!$B$1:$AK$1,'[103]Feed Cost &amp; Allocation'!$B$44:$AK$44),0)+IFERROR(_xlfn.XLOOKUP(AO1,'[103]Feed Cost &amp; Allocation'!$B$1:$AL$1,'[103]Feed Cost &amp; Allocation'!$B$9:$AL$9),0)</f>
        <v>0</v>
      </c>
      <c r="AP64" s="1059">
        <f>IFERROR(_xlfn.XLOOKUP(AP1,'[103]Feed Cost &amp; Allocation'!$B$1:$AK$1,'[103]Feed Cost &amp; Allocation'!$B$44:$AK$44),0)+IFERROR(_xlfn.XLOOKUP(AP1,'[103]Feed Cost &amp; Allocation'!$B$1:$AL$1,'[103]Feed Cost &amp; Allocation'!$B$9:$AL$9),0)</f>
        <v>0</v>
      </c>
      <c r="AQ64" s="1059">
        <f>IFERROR(_xlfn.XLOOKUP(AQ1,'[103]Feed Cost &amp; Allocation'!$B$1:$AK$1,'[103]Feed Cost &amp; Allocation'!$B$44:$AK$44),0)+IFERROR(_xlfn.XLOOKUP(AQ1,'[103]Feed Cost &amp; Allocation'!$B$1:$AL$1,'[103]Feed Cost &amp; Allocation'!$B$9:$AL$9),0)</f>
        <v>0</v>
      </c>
      <c r="AR64" s="1059"/>
      <c r="AS64" s="1059"/>
      <c r="AT64" s="1059"/>
      <c r="AU64" s="1059"/>
      <c r="AV64" s="1059"/>
      <c r="AW64" s="1059"/>
      <c r="AX64" s="1059"/>
      <c r="AY64" s="818">
        <f t="shared" ref="AY64:AY70" si="2">SUM(B64:AP64)</f>
        <v>856543.1</v>
      </c>
      <c r="AZ64" s="1059">
        <f>'[103]Feed Cost &amp; Allocation'!AN44</f>
        <v>856543.1</v>
      </c>
      <c r="BA64" s="818">
        <f t="shared" si="1"/>
        <v>0</v>
      </c>
    </row>
    <row r="65" spans="1:57" ht="15">
      <c r="A65" s="1121" t="s">
        <v>2037</v>
      </c>
      <c r="C65" s="1059">
        <f>IFERROR(_xlfn.XLOOKUP(C1,'[103]Feed Cost &amp; Allocation'!$B$1:$AK$1,'[103]Feed Cost &amp; Allocation'!$B$45:$AK$45),0)+IFERROR(_xlfn.XLOOKUP(C1,'[103]Feed Cost &amp; Allocation'!$B$1:$AK$1,'[103]Feed Cost &amp; Allocation'!$B$10:$AK$10),0)</f>
        <v>45771</v>
      </c>
      <c r="D65" s="1059">
        <f>IFERROR(_xlfn.XLOOKUP(D1,'[103]Feed Cost &amp; Allocation'!$B$1:$AK$1,'[103]Feed Cost &amp; Allocation'!$B$45:$AK$45),0)+IFERROR(_xlfn.XLOOKUP(D1,'[103]Feed Cost &amp; Allocation'!$B$1:$AK$1,'[103]Feed Cost &amp; Allocation'!$B$10:$AK$10),0)</f>
        <v>42444</v>
      </c>
      <c r="E65" s="1059">
        <f>IFERROR(_xlfn.XLOOKUP(E1,'[103]Feed Cost &amp; Allocation'!$B$1:$AK$1,'[103]Feed Cost &amp; Allocation'!$B$45:$AK$45),0)+IFERROR(_xlfn.XLOOKUP(E1,'[103]Feed Cost &amp; Allocation'!$B$1:$AK$1,'[103]Feed Cost &amp; Allocation'!$B$10:$AK$10),0)</f>
        <v>75743</v>
      </c>
      <c r="F65" s="1059">
        <f>IFERROR(_xlfn.XLOOKUP(F1,'[103]Feed Cost &amp; Allocation'!$B$1:$AK$1,'[103]Feed Cost &amp; Allocation'!$B$45:$AK$45),0)+IFERROR(_xlfn.XLOOKUP(F1,'[103]Feed Cost &amp; Allocation'!$B$1:$AK$1,'[103]Feed Cost &amp; Allocation'!$B$10:$AK$10),0)</f>
        <v>75319</v>
      </c>
      <c r="G65" s="1059">
        <f>IFERROR(_xlfn.XLOOKUP(G1,'[103]Feed Cost &amp; Allocation'!$B$1:$AK$1,'[103]Feed Cost &amp; Allocation'!$B$45:$AK$45),0)+IFERROR(_xlfn.XLOOKUP(G1,'[103]Feed Cost &amp; Allocation'!$B$1:$AK$1,'[103]Feed Cost &amp; Allocation'!$B$10:$AK$10),0)</f>
        <v>82406</v>
      </c>
      <c r="H65" s="1059">
        <f>IFERROR(_xlfn.XLOOKUP(H1,'[103]Feed Cost &amp; Allocation'!$B$1:$AK$1,'[103]Feed Cost &amp; Allocation'!$B$45:$AK$45),0)+IFERROR(_xlfn.XLOOKUP(H1,'[103]Feed Cost &amp; Allocation'!$B$1:$AK$1,'[103]Feed Cost &amp; Allocation'!$B$10:$AK$10),0)</f>
        <v>46217</v>
      </c>
      <c r="I65" s="1059">
        <f>IFERROR(_xlfn.XLOOKUP(I1,'[103]Feed Cost &amp; Allocation'!$B$1:$AK$1,'[103]Feed Cost &amp; Allocation'!$B$45:$AK$45),0)+IFERROR(_xlfn.XLOOKUP(I1,'[103]Feed Cost &amp; Allocation'!$B$1:$AK$1,'[103]Feed Cost &amp; Allocation'!$B$10:$AK$10),0)</f>
        <v>11224</v>
      </c>
      <c r="J65" s="1059">
        <f>IFERROR(_xlfn.XLOOKUP(J1,'[103]Feed Cost &amp; Allocation'!$B$1:$AK$1,'[103]Feed Cost &amp; Allocation'!$B$45:$AK$45),0)+IFERROR(_xlfn.XLOOKUP(J1,'[103]Feed Cost &amp; Allocation'!$B$1:$AK$1,'[103]Feed Cost &amp; Allocation'!$B$10:$AK$10),0)</f>
        <v>220983</v>
      </c>
      <c r="K65" s="1059">
        <f>IFERROR(_xlfn.XLOOKUP(K1,'[103]Feed Cost &amp; Allocation'!$B$1:$AK$1,'[103]Feed Cost &amp; Allocation'!$B$45:$AK$45),0)+IFERROR(_xlfn.XLOOKUP(K1,'[103]Feed Cost &amp; Allocation'!$B$1:$AK$1,'[103]Feed Cost &amp; Allocation'!$B$10:$AK$10),0)-E108</f>
        <v>35573</v>
      </c>
      <c r="L65" s="1059">
        <f>IFERROR(_xlfn.XLOOKUP(L1,'[103]Feed Cost &amp; Allocation'!$B$1:$AK$1,'[103]Feed Cost &amp; Allocation'!$B$45:$AK$45),0)+IFERROR(_xlfn.XLOOKUP(L1,'[103]Feed Cost &amp; Allocation'!$B$1:$AK$1,'[103]Feed Cost &amp; Allocation'!$B$10:$AK$10),0)</f>
        <v>0</v>
      </c>
      <c r="M65" s="1059">
        <f>IFERROR(_xlfn.XLOOKUP(M1,'[103]Feed Cost &amp; Allocation'!$B$1:$AK$1,'[103]Feed Cost &amp; Allocation'!$B$45:$AK$45),0)+IFERROR(_xlfn.XLOOKUP(M1,'[103]Feed Cost &amp; Allocation'!$B$1:$AK$1,'[103]Feed Cost &amp; Allocation'!$B$10:$AK$10),0)</f>
        <v>36282</v>
      </c>
      <c r="N65" s="1059">
        <f>IFERROR(_xlfn.XLOOKUP(N1,'[103]Feed Cost &amp; Allocation'!$B$1:$AK$1,'[103]Feed Cost &amp; Allocation'!$B$45:$AK$45),0)+IFERROR(_xlfn.XLOOKUP(N1,'[103]Feed Cost &amp; Allocation'!$B$1:$AK$1,'[103]Feed Cost &amp; Allocation'!$B$10:$AK$10),0)</f>
        <v>5470</v>
      </c>
      <c r="O65" s="1059">
        <f>IFERROR(_xlfn.XLOOKUP(O1,'[103]Feed Cost &amp; Allocation'!$B$1:$AK$1,'[103]Feed Cost &amp; Allocation'!$B$45:$AK$45),0)+IFERROR(_xlfn.XLOOKUP(O1,'[103]Feed Cost &amp; Allocation'!$B$1:$AK$1,'[103]Feed Cost &amp; Allocation'!$B$10:$AK$10),0)</f>
        <v>13665</v>
      </c>
      <c r="P65" s="1059">
        <f>IFERROR(_xlfn.XLOOKUP(P1,'[103]Feed Cost &amp; Allocation'!$B$1:$AK$1,'[103]Feed Cost &amp; Allocation'!$B$45:$AK$45),0)+IFERROR(_xlfn.XLOOKUP(P1,'[103]Feed Cost &amp; Allocation'!$B$1:$AK$1,'[103]Feed Cost &amp; Allocation'!$B$10:$AK$10),0)</f>
        <v>3950</v>
      </c>
      <c r="Q65" s="1059">
        <f>IFERROR(_xlfn.XLOOKUP(Q1,'[103]Feed Cost &amp; Allocation'!$B$1:$AK$1,'[103]Feed Cost &amp; Allocation'!$B$45:$AK$45),0)+IFERROR(_xlfn.XLOOKUP(Q1,'[103]Feed Cost &amp; Allocation'!$B$1:$AK$1,'[103]Feed Cost &amp; Allocation'!$B$10:$AK$10),0)</f>
        <v>4855</v>
      </c>
      <c r="R65" s="1059">
        <f>IFERROR(_xlfn.XLOOKUP(R1,'[103]Feed Cost &amp; Allocation'!$B$1:$AK$1,'[103]Feed Cost &amp; Allocation'!$B$45:$AK$45),0)+IFERROR(_xlfn.XLOOKUP(R1,'[103]Feed Cost &amp; Allocation'!$B$1:$AK$1,'[103]Feed Cost &amp; Allocation'!$B$10:$AK$10),0)</f>
        <v>4567</v>
      </c>
      <c r="S65" s="1059">
        <f>IFERROR(_xlfn.XLOOKUP(S1,'[103]Feed Cost &amp; Allocation'!$B$1:$AK$1,'[103]Feed Cost &amp; Allocation'!$B$45:$AK$45),0)+IFERROR(_xlfn.XLOOKUP(S1,'[103]Feed Cost &amp; Allocation'!$B$1:$AK$1,'[103]Feed Cost &amp; Allocation'!$B$10:$AK$10),0)</f>
        <v>0</v>
      </c>
      <c r="T65" s="1059">
        <f>IFERROR(_xlfn.XLOOKUP(T1,'[103]Feed Cost &amp; Allocation'!$B$1:$AK$1,'[103]Feed Cost &amp; Allocation'!$B$45:$AK$45),0)+IFERROR(_xlfn.XLOOKUP(T1,'[103]Feed Cost &amp; Allocation'!$B$1:$AK$1,'[103]Feed Cost &amp; Allocation'!$B$10:$AK$10),0)</f>
        <v>0</v>
      </c>
      <c r="U65" s="1059">
        <f>IFERROR(_xlfn.XLOOKUP(U1,'[103]Feed Cost &amp; Allocation'!$B$1:$AK$1,'[103]Feed Cost &amp; Allocation'!$B$45:$AK$45),0)+IFERROR(_xlfn.XLOOKUP(U1,'[103]Feed Cost &amp; Allocation'!$B$1:$AK$1,'[103]Feed Cost &amp; Allocation'!$B$10:$AK$10),0)</f>
        <v>0</v>
      </c>
      <c r="V65" s="1059">
        <f>IFERROR(_xlfn.XLOOKUP(V1,'[103]Feed Cost &amp; Allocation'!$B$1:$AK$1,'[103]Feed Cost &amp; Allocation'!$B$45:$AK$45),0)+IFERROR(_xlfn.XLOOKUP(V1,'[103]Feed Cost &amp; Allocation'!$B$1:$AK$1,'[103]Feed Cost &amp; Allocation'!$B$10:$AK$10),0)</f>
        <v>0</v>
      </c>
      <c r="W65" s="1059">
        <f>IFERROR(_xlfn.XLOOKUP(W1,'[103]Feed Cost &amp; Allocation'!$B$1:$AK$1,'[103]Feed Cost &amp; Allocation'!$B$45:$AK$45),0)+IFERROR(_xlfn.XLOOKUP(W1,'[103]Feed Cost &amp; Allocation'!$B$1:$AK$1,'[103]Feed Cost &amp; Allocation'!$B$10:$AK$10),0)</f>
        <v>3100</v>
      </c>
      <c r="X65" s="1059">
        <f>IFERROR(_xlfn.XLOOKUP(X1,'[103]Feed Cost &amp; Allocation'!$B$1:$AK$1,'[103]Feed Cost &amp; Allocation'!$B$45:$AK$45),0)+IFERROR(_xlfn.XLOOKUP(X1,'[103]Feed Cost &amp; Allocation'!$B$1:$AK$1,'[103]Feed Cost &amp; Allocation'!$B$10:$AK$10),0)</f>
        <v>5697</v>
      </c>
      <c r="Y65" s="1059">
        <f>IFERROR(_xlfn.XLOOKUP(Y1,'[103]Feed Cost &amp; Allocation'!$B$1:$AK$1,'[103]Feed Cost &amp; Allocation'!$B$45:$AK$45),0)+IFERROR(_xlfn.XLOOKUP(Y1,'[103]Feed Cost &amp; Allocation'!$B$1:$AK$1,'[103]Feed Cost &amp; Allocation'!$B$10:$AK$10),0)</f>
        <v>1615</v>
      </c>
      <c r="Z65" s="1059">
        <f>IFERROR(_xlfn.XLOOKUP(Z1,'[103]Feed Cost &amp; Allocation'!$B$1:$AK$1,'[103]Feed Cost &amp; Allocation'!$B$45:$AK$45),0)+IFERROR(_xlfn.XLOOKUP(Z1,'[103]Feed Cost &amp; Allocation'!$B$1:$AK$1,'[103]Feed Cost &amp; Allocation'!$B$10:$AK$10),0)</f>
        <v>8322</v>
      </c>
      <c r="AA65" s="1059">
        <f>IFERROR(_xlfn.XLOOKUP(AA1,'[103]Feed Cost &amp; Allocation'!$B$1:$AK$1,'[103]Feed Cost &amp; Allocation'!$B$45:$AK$45),0)+IFERROR(_xlfn.XLOOKUP(AA1,'[103]Feed Cost &amp; Allocation'!$B$1:$AK$1,'[103]Feed Cost &amp; Allocation'!$B$10:$AK$10),0)</f>
        <v>0</v>
      </c>
      <c r="AB65" s="1059">
        <f>IFERROR(_xlfn.XLOOKUP(AB1,'[103]Feed Cost &amp; Allocation'!$B$1:$AK$1,'[103]Feed Cost &amp; Allocation'!$B$45:$AK$45),0)+IFERROR(_xlfn.XLOOKUP(AB1,'[103]Feed Cost &amp; Allocation'!$B$1:$AK$1,'[103]Feed Cost &amp; Allocation'!$B$10:$AK$10),0)</f>
        <v>1000</v>
      </c>
      <c r="AC65" s="1059">
        <f>IFERROR(_xlfn.XLOOKUP(AC1,'[103]Feed Cost &amp; Allocation'!$B$1:$AK$1,'[103]Feed Cost &amp; Allocation'!$B$45:$AK$45),0)+IFERROR(_xlfn.XLOOKUP(AC1,'[103]Feed Cost &amp; Allocation'!$B$1:$AK$1,'[103]Feed Cost &amp; Allocation'!$B$10:$AK$10),0)</f>
        <v>0</v>
      </c>
      <c r="AD65" s="1059">
        <f>IFERROR(_xlfn.XLOOKUP(AD1,'[103]Feed Cost &amp; Allocation'!$B$1:$AK$1,'[103]Feed Cost &amp; Allocation'!$B$45:$AK$45),0)+IFERROR(_xlfn.XLOOKUP(AD1,'[103]Feed Cost &amp; Allocation'!$B$1:$AK$1,'[103]Feed Cost &amp; Allocation'!$B$10:$AK$10),0)</f>
        <v>0</v>
      </c>
      <c r="AE65" s="1059">
        <f>IFERROR(_xlfn.XLOOKUP(AE1,'[103]Feed Cost &amp; Allocation'!$B$1:$AK$1,'[103]Feed Cost &amp; Allocation'!$B$45:$AK$45),0)+IFERROR(_xlfn.XLOOKUP(AE1,'[103]Feed Cost &amp; Allocation'!$B$1:$AK$1,'[103]Feed Cost &amp; Allocation'!$B$10:$AK$10),0)</f>
        <v>11889</v>
      </c>
      <c r="AF65" s="1059">
        <f>IFERROR(_xlfn.XLOOKUP(AF1,'[103]Feed Cost &amp; Allocation'!$B$1:$AK$1,'[103]Feed Cost &amp; Allocation'!$B$45:$AK$45),0)+IFERROR(_xlfn.XLOOKUP(AF1,'[103]Feed Cost &amp; Allocation'!$B$1:$AK$1,'[103]Feed Cost &amp; Allocation'!$B$10:$AK$10),0)</f>
        <v>0</v>
      </c>
      <c r="AG65" s="1059">
        <f>IFERROR(_xlfn.XLOOKUP(AG1,'[103]Feed Cost &amp; Allocation'!$B$1:$AK$1,'[103]Feed Cost &amp; Allocation'!$B$45:$AK$45),0)+IFERROR(_xlfn.XLOOKUP(AG1,'[103]Feed Cost &amp; Allocation'!$B$1:$AL$1,'[103]Feed Cost &amp; Allocation'!$B$10:$AL$10),0)</f>
        <v>0</v>
      </c>
      <c r="AH65" s="1059">
        <f>IFERROR(_xlfn.XLOOKUP(AH1,'[103]Feed Cost &amp; Allocation'!$B$1:$AK$1,'[103]Feed Cost &amp; Allocation'!$B$45:$AK$45),0)+IFERROR(_xlfn.XLOOKUP(AH1,'[103]Feed Cost &amp; Allocation'!$B$1:$AL$1,'[103]Feed Cost &amp; Allocation'!$B$10:$AL$10),0)</f>
        <v>0</v>
      </c>
      <c r="AI65" s="1059">
        <f>IFERROR(_xlfn.XLOOKUP(AI1,'[103]Feed Cost &amp; Allocation'!$B$1:$AK$1,'[103]Feed Cost &amp; Allocation'!$B$45:$AK$45),0)+IFERROR(_xlfn.XLOOKUP(AI1,'[103]Feed Cost &amp; Allocation'!$B$1:$AL$1,'[103]Feed Cost &amp; Allocation'!$B$10:$AL$10),0)</f>
        <v>0</v>
      </c>
      <c r="AJ65" s="1059">
        <f>IFERROR(_xlfn.XLOOKUP(AJ1,'[103]Feed Cost &amp; Allocation'!$B$1:$AK$1,'[103]Feed Cost &amp; Allocation'!$B$45:$AK$45),0)+IFERROR(_xlfn.XLOOKUP(AJ1,'[103]Feed Cost &amp; Allocation'!$B$1:$AL$1,'[103]Feed Cost &amp; Allocation'!$B$10:$AL$10),0)</f>
        <v>0</v>
      </c>
      <c r="AK65" s="1059">
        <f>IFERROR(_xlfn.XLOOKUP(AK1,'[103]Feed Cost &amp; Allocation'!$B$1:$AK$1,'[103]Feed Cost &amp; Allocation'!$B$45:$AK$45),0)+IFERROR(_xlfn.XLOOKUP(AK1,'[103]Feed Cost &amp; Allocation'!$B$1:$AL$1,'[103]Feed Cost &amp; Allocation'!$B$10:$AL$10),0)</f>
        <v>0</v>
      </c>
      <c r="AL65" s="1059">
        <f>IFERROR(_xlfn.XLOOKUP(AL1,'[103]Feed Cost &amp; Allocation'!$B$1:$AK$1,'[103]Feed Cost &amp; Allocation'!$B$45:$AK$45),0)+IFERROR(_xlfn.XLOOKUP(AL1,'[103]Feed Cost &amp; Allocation'!$B$1:$AL$1,'[103]Feed Cost &amp; Allocation'!$B$10:$AL$10),0)</f>
        <v>0</v>
      </c>
      <c r="AM65" s="1059">
        <f>IFERROR(_xlfn.XLOOKUP(AM1,'[103]Feed Cost &amp; Allocation'!$B$1:$AK$1,'[103]Feed Cost &amp; Allocation'!$B$45:$AK$45),0)+IFERROR(_xlfn.XLOOKUP(AM1,'[103]Feed Cost &amp; Allocation'!$B$1:$AL$1,'[103]Feed Cost &amp; Allocation'!$B$10:$AL$10),0)</f>
        <v>0</v>
      </c>
      <c r="AN65" s="1059">
        <f>IFERROR(_xlfn.XLOOKUP(AN1,'[103]Feed Cost &amp; Allocation'!$B$1:$AK$1,'[103]Feed Cost &amp; Allocation'!$B$45:$AK$45),0)+IFERROR(_xlfn.XLOOKUP(AN1,'[103]Feed Cost &amp; Allocation'!$B$1:$AL$1,'[103]Feed Cost &amp; Allocation'!$B$10:$AL$10),0)</f>
        <v>0</v>
      </c>
      <c r="AO65" s="1059">
        <f>IFERROR(_xlfn.XLOOKUP(AO1,'[103]Feed Cost &amp; Allocation'!$B$1:$AK$1,'[103]Feed Cost &amp; Allocation'!$B$45:$AK$45),0)+IFERROR(_xlfn.XLOOKUP(AO1,'[103]Feed Cost &amp; Allocation'!$B$1:$AL$1,'[103]Feed Cost &amp; Allocation'!$B$10:$AL$10),0)</f>
        <v>0</v>
      </c>
      <c r="AP65" s="1059">
        <f>IFERROR(_xlfn.XLOOKUP(AP1,'[103]Feed Cost &amp; Allocation'!$B$1:$AK$1,'[103]Feed Cost &amp; Allocation'!$B$45:$AK$45),0)+IFERROR(_xlfn.XLOOKUP(AP1,'[103]Feed Cost &amp; Allocation'!$B$1:$AL$1,'[103]Feed Cost &amp; Allocation'!$B$10:$AL$10),0)</f>
        <v>0</v>
      </c>
      <c r="AQ65" s="1059">
        <f>IFERROR(_xlfn.XLOOKUP(AQ1,'[103]Feed Cost &amp; Allocation'!$B$1:$AK$1,'[103]Feed Cost &amp; Allocation'!$B$45:$AK$45),0)+IFERROR(_xlfn.XLOOKUP(AQ1,'[103]Feed Cost &amp; Allocation'!$B$1:$AL$1,'[103]Feed Cost &amp; Allocation'!$B$10:$AL$10),0)</f>
        <v>0</v>
      </c>
      <c r="AR65" s="1059"/>
      <c r="AS65" s="1059"/>
      <c r="AT65" s="1059"/>
      <c r="AU65" s="1059"/>
      <c r="AV65" s="1059"/>
      <c r="AW65" s="1059"/>
      <c r="AX65" s="1059"/>
      <c r="AY65" s="818">
        <f t="shared" si="2"/>
        <v>736092</v>
      </c>
      <c r="AZ65" s="1059">
        <f>'[103]Feed Cost &amp; Allocation'!AN45</f>
        <v>736092</v>
      </c>
      <c r="BA65" s="818">
        <f t="shared" si="1"/>
        <v>0</v>
      </c>
    </row>
    <row r="66" spans="1:57" ht="15">
      <c r="A66" s="1121" t="s">
        <v>2038</v>
      </c>
      <c r="B66" s="805"/>
      <c r="C66" s="1059">
        <f>IFERROR(_xlfn.XLOOKUP(C1,'[103]Feed Cost &amp; Allocation'!$B$1:$AK$1,'[103]Feed Cost &amp; Allocation'!$B$46:$AK$46),0)+IFERROR(_xlfn.XLOOKUP(C1,'[103]Feed Cost &amp; Allocation'!$B$1:$AK$1,'[103]Feed Cost &amp; Allocation'!$B$11:$AK$11),0)</f>
        <v>21975</v>
      </c>
      <c r="D66" s="1059">
        <f>IFERROR(_xlfn.XLOOKUP(D1,'[103]Feed Cost &amp; Allocation'!$B$1:$AK$1,'[103]Feed Cost &amp; Allocation'!$B$46:$AK$46),0)+IFERROR(_xlfn.XLOOKUP(D1,'[103]Feed Cost &amp; Allocation'!$B$1:$AK$1,'[103]Feed Cost &amp; Allocation'!$B$11:$AK$11),0)</f>
        <v>18018</v>
      </c>
      <c r="E66" s="1059">
        <f>IFERROR(_xlfn.XLOOKUP(E1,'[103]Feed Cost &amp; Allocation'!$B$1:$AK$1,'[103]Feed Cost &amp; Allocation'!$B$46:$AK$46),0)+IFERROR(_xlfn.XLOOKUP(E1,'[103]Feed Cost &amp; Allocation'!$B$1:$AK$1,'[103]Feed Cost &amp; Allocation'!$B$11:$AK$11),0)</f>
        <v>40748</v>
      </c>
      <c r="F66" s="1059">
        <f>IFERROR(_xlfn.XLOOKUP(F1,'[103]Feed Cost &amp; Allocation'!$B$1:$AK$1,'[103]Feed Cost &amp; Allocation'!$B$46:$AK$46),0)+IFERROR(_xlfn.XLOOKUP(F1,'[103]Feed Cost &amp; Allocation'!$B$1:$AK$1,'[103]Feed Cost &amp; Allocation'!$B$11:$AK$11),0)</f>
        <v>51858</v>
      </c>
      <c r="G66" s="1059">
        <f>IFERROR(_xlfn.XLOOKUP(G1,'[103]Feed Cost &amp; Allocation'!$B$1:$AK$1,'[103]Feed Cost &amp; Allocation'!$B$46:$AK$46),0)+IFERROR(_xlfn.XLOOKUP(G1,'[103]Feed Cost &amp; Allocation'!$B$1:$AK$1,'[103]Feed Cost &amp; Allocation'!$B$11:$AK$11),0)</f>
        <v>52103</v>
      </c>
      <c r="H66" s="1059">
        <f>IFERROR(_xlfn.XLOOKUP(H1,'[103]Feed Cost &amp; Allocation'!$B$1:$AK$1,'[103]Feed Cost &amp; Allocation'!$B$46:$AK$46),0)+IFERROR(_xlfn.XLOOKUP(H1,'[103]Feed Cost &amp; Allocation'!$B$1:$AK$1,'[103]Feed Cost &amp; Allocation'!$B$11:$AK$11),0)</f>
        <v>84811</v>
      </c>
      <c r="I66" s="1059">
        <f>IFERROR(_xlfn.XLOOKUP(I1,'[103]Feed Cost &amp; Allocation'!$B$1:$AK$1,'[103]Feed Cost &amp; Allocation'!$B$46:$AK$46),0)+IFERROR(_xlfn.XLOOKUP(I1,'[103]Feed Cost &amp; Allocation'!$B$1:$AK$1,'[103]Feed Cost &amp; Allocation'!$B$11:$AK$11),0)</f>
        <v>0</v>
      </c>
      <c r="J66" s="1059">
        <f>IFERROR(_xlfn.XLOOKUP(J1,'[103]Feed Cost &amp; Allocation'!$B$1:$AK$1,'[103]Feed Cost &amp; Allocation'!$B$46:$AK$46),0)+IFERROR(_xlfn.XLOOKUP(J1,'[103]Feed Cost &amp; Allocation'!$B$1:$AK$1,'[103]Feed Cost &amp; Allocation'!$B$11:$AK$11),0)</f>
        <v>139235</v>
      </c>
      <c r="K66" s="1059">
        <f>IFERROR(_xlfn.XLOOKUP(K1,'[103]Feed Cost &amp; Allocation'!$B$1:$AK$1,'[103]Feed Cost &amp; Allocation'!$B$46:$AK$46),0)+IFERROR(_xlfn.XLOOKUP(K1,'[103]Feed Cost &amp; Allocation'!$B$1:$AK$1,'[103]Feed Cost &amp; Allocation'!$B$11:$AK$11),0)</f>
        <v>0</v>
      </c>
      <c r="L66" s="1059">
        <f>IFERROR(_xlfn.XLOOKUP(L1,'[103]Feed Cost &amp; Allocation'!$B$1:$AK$1,'[103]Feed Cost &amp; Allocation'!$B$46:$AK$46),0)+IFERROR(_xlfn.XLOOKUP(L1,'[103]Feed Cost &amp; Allocation'!$B$1:$AK$1,'[103]Feed Cost &amp; Allocation'!$B$11:$AK$11),0)</f>
        <v>0</v>
      </c>
      <c r="M66" s="1059">
        <f>IFERROR(_xlfn.XLOOKUP(M1,'[103]Feed Cost &amp; Allocation'!$B$1:$AK$1,'[103]Feed Cost &amp; Allocation'!$B$46:$AK$46),0)+IFERROR(_xlfn.XLOOKUP(M1,'[103]Feed Cost &amp; Allocation'!$B$1:$AK$1,'[103]Feed Cost &amp; Allocation'!$B$11:$AK$11),0)</f>
        <v>0</v>
      </c>
      <c r="N66" s="1059">
        <f>IFERROR(_xlfn.XLOOKUP(N1,'[103]Feed Cost &amp; Allocation'!$B$1:$AK$1,'[103]Feed Cost &amp; Allocation'!$B$46:$AK$46),0)+IFERROR(_xlfn.XLOOKUP(N1,'[103]Feed Cost &amp; Allocation'!$B$1:$AK$1,'[103]Feed Cost &amp; Allocation'!$B$11:$AK$11),0)</f>
        <v>0</v>
      </c>
      <c r="O66" s="1059">
        <f>IFERROR(_xlfn.XLOOKUP(O1,'[103]Feed Cost &amp; Allocation'!$B$1:$AK$1,'[103]Feed Cost &amp; Allocation'!$B$46:$AK$46),0)+IFERROR(_xlfn.XLOOKUP(O1,'[103]Feed Cost &amp; Allocation'!$B$1:$AK$1,'[103]Feed Cost &amp; Allocation'!$B$11:$AK$11),0)</f>
        <v>0</v>
      </c>
      <c r="P66" s="1059">
        <f>IFERROR(_xlfn.XLOOKUP(P1,'[103]Feed Cost &amp; Allocation'!$B$1:$AK$1,'[103]Feed Cost &amp; Allocation'!$B$46:$AK$46),0)+IFERROR(_xlfn.XLOOKUP(P1,'[103]Feed Cost &amp; Allocation'!$B$1:$AK$1,'[103]Feed Cost &amp; Allocation'!$B$11:$AK$11),0)</f>
        <v>0</v>
      </c>
      <c r="Q66" s="1059">
        <f>IFERROR(_xlfn.XLOOKUP(Q1,'[103]Feed Cost &amp; Allocation'!$B$1:$AK$1,'[103]Feed Cost &amp; Allocation'!$B$46:$AK$46),0)+IFERROR(_xlfn.XLOOKUP(Q1,'[103]Feed Cost &amp; Allocation'!$B$1:$AK$1,'[103]Feed Cost &amp; Allocation'!$B$11:$AK$11),0)</f>
        <v>0</v>
      </c>
      <c r="R66" s="1059">
        <f>IFERROR(_xlfn.XLOOKUP(R1,'[103]Feed Cost &amp; Allocation'!$B$1:$AK$1,'[103]Feed Cost &amp; Allocation'!$B$46:$AK$46),0)+IFERROR(_xlfn.XLOOKUP(R1,'[103]Feed Cost &amp; Allocation'!$B$1:$AK$1,'[103]Feed Cost &amp; Allocation'!$B$11:$AK$11),0)</f>
        <v>0</v>
      </c>
      <c r="S66" s="1059">
        <f>IFERROR(_xlfn.XLOOKUP(S1,'[103]Feed Cost &amp; Allocation'!$B$1:$AK$1,'[103]Feed Cost &amp; Allocation'!$B$46:$AK$46),0)+IFERROR(_xlfn.XLOOKUP(S1,'[103]Feed Cost &amp; Allocation'!$B$1:$AK$1,'[103]Feed Cost &amp; Allocation'!$B$11:$AK$11),0)</f>
        <v>0</v>
      </c>
      <c r="T66" s="1059">
        <f>IFERROR(_xlfn.XLOOKUP(T1,'[103]Feed Cost &amp; Allocation'!$B$1:$AK$1,'[103]Feed Cost &amp; Allocation'!$B$46:$AK$46),0)+IFERROR(_xlfn.XLOOKUP(T1,'[103]Feed Cost &amp; Allocation'!$B$1:$AK$1,'[103]Feed Cost &amp; Allocation'!$B$11:$AK$11),0)</f>
        <v>0</v>
      </c>
      <c r="U66" s="1059">
        <f>IFERROR(_xlfn.XLOOKUP(U1,'[103]Feed Cost &amp; Allocation'!$B$1:$AK$1,'[103]Feed Cost &amp; Allocation'!$B$46:$AK$46),0)+IFERROR(_xlfn.XLOOKUP(U1,'[103]Feed Cost &amp; Allocation'!$B$1:$AK$1,'[103]Feed Cost &amp; Allocation'!$B$11:$AK$11),0)</f>
        <v>0</v>
      </c>
      <c r="V66" s="1059">
        <f>IFERROR(_xlfn.XLOOKUP(V1,'[103]Feed Cost &amp; Allocation'!$B$1:$AK$1,'[103]Feed Cost &amp; Allocation'!$B$46:$AK$46),0)+IFERROR(_xlfn.XLOOKUP(V1,'[103]Feed Cost &amp; Allocation'!$B$1:$AK$1,'[103]Feed Cost &amp; Allocation'!$B$11:$AK$11),0)</f>
        <v>0</v>
      </c>
      <c r="W66" s="1059">
        <f>IFERROR(_xlfn.XLOOKUP(W1,'[103]Feed Cost &amp; Allocation'!$B$1:$AK$1,'[103]Feed Cost &amp; Allocation'!$B$46:$AK$46),0)+IFERROR(_xlfn.XLOOKUP(W1,'[103]Feed Cost &amp; Allocation'!$B$1:$AK$1,'[103]Feed Cost &amp; Allocation'!$B$11:$AK$11),0)</f>
        <v>0</v>
      </c>
      <c r="X66" s="1059">
        <f>IFERROR(_xlfn.XLOOKUP(X1,'[103]Feed Cost &amp; Allocation'!$B$1:$AK$1,'[103]Feed Cost &amp; Allocation'!$B$46:$AK$46),0)+IFERROR(_xlfn.XLOOKUP(X1,'[103]Feed Cost &amp; Allocation'!$B$1:$AK$1,'[103]Feed Cost &amp; Allocation'!$B$11:$AK$11),0)</f>
        <v>0</v>
      </c>
      <c r="Y66" s="1059">
        <f>IFERROR(_xlfn.XLOOKUP(Y1,'[103]Feed Cost &amp; Allocation'!$B$1:$AK$1,'[103]Feed Cost &amp; Allocation'!$B$46:$AK$46),0)+IFERROR(_xlfn.XLOOKUP(Y1,'[103]Feed Cost &amp; Allocation'!$B$1:$AK$1,'[103]Feed Cost &amp; Allocation'!$B$11:$AK$11),0)</f>
        <v>0</v>
      </c>
      <c r="Z66" s="1059">
        <f>IFERROR(_xlfn.XLOOKUP(Z1,'[103]Feed Cost &amp; Allocation'!$B$1:$AK$1,'[103]Feed Cost &amp; Allocation'!$B$46:$AK$46),0)+IFERROR(_xlfn.XLOOKUP(Z1,'[103]Feed Cost &amp; Allocation'!$B$1:$AK$1,'[103]Feed Cost &amp; Allocation'!$B$11:$AK$11),0)</f>
        <v>0</v>
      </c>
      <c r="AA66" s="1059">
        <f>IFERROR(_xlfn.XLOOKUP(AA1,'[103]Feed Cost &amp; Allocation'!$B$1:$AK$1,'[103]Feed Cost &amp; Allocation'!$B$46:$AK$46),0)+IFERROR(_xlfn.XLOOKUP(AA1,'[103]Feed Cost &amp; Allocation'!$B$1:$AK$1,'[103]Feed Cost &amp; Allocation'!$B$11:$AK$11),0)</f>
        <v>0</v>
      </c>
      <c r="AB66" s="1059">
        <f>IFERROR(_xlfn.XLOOKUP(AB1,'[103]Feed Cost &amp; Allocation'!$B$1:$AK$1,'[103]Feed Cost &amp; Allocation'!$B$46:$AK$46),0)+IFERROR(_xlfn.XLOOKUP(AB1,'[103]Feed Cost &amp; Allocation'!$B$1:$AK$1,'[103]Feed Cost &amp; Allocation'!$B$11:$AK$11),0)</f>
        <v>0</v>
      </c>
      <c r="AC66" s="1059">
        <f>IFERROR(_xlfn.XLOOKUP(AC1,'[103]Feed Cost &amp; Allocation'!$B$1:$AK$1,'[103]Feed Cost &amp; Allocation'!$B$46:$AK$46),0)+IFERROR(_xlfn.XLOOKUP(AC1,'[103]Feed Cost &amp; Allocation'!$B$1:$AK$1,'[103]Feed Cost &amp; Allocation'!$B$11:$AK$11),0)</f>
        <v>0</v>
      </c>
      <c r="AD66" s="1059">
        <f>IFERROR(_xlfn.XLOOKUP(AD1,'[103]Feed Cost &amp; Allocation'!$B$1:$AK$1,'[103]Feed Cost &amp; Allocation'!$B$46:$AK$46),0)+IFERROR(_xlfn.XLOOKUP(AD1,'[103]Feed Cost &amp; Allocation'!$B$1:$AK$1,'[103]Feed Cost &amp; Allocation'!$B$11:$AK$11),0)</f>
        <v>0</v>
      </c>
      <c r="AE66" s="1059">
        <f>IFERROR(_xlfn.XLOOKUP(AE1,'[103]Feed Cost &amp; Allocation'!$B$1:$AK$1,'[103]Feed Cost &amp; Allocation'!$B$46:$AK$46),0)+IFERROR(_xlfn.XLOOKUP(AE1,'[103]Feed Cost &amp; Allocation'!$B$1:$AK$1,'[103]Feed Cost &amp; Allocation'!$B$11:$AK$11),0)</f>
        <v>0</v>
      </c>
      <c r="AF66" s="1059">
        <f>IFERROR(_xlfn.XLOOKUP(AF1,'[103]Feed Cost &amp; Allocation'!$B$1:$AK$1,'[103]Feed Cost &amp; Allocation'!$B$46:$AK$46),0)+IFERROR(_xlfn.XLOOKUP(AF1,'[103]Feed Cost &amp; Allocation'!$B$1:$AK$1,'[103]Feed Cost &amp; Allocation'!$B$11:$AK$11),0)</f>
        <v>0</v>
      </c>
      <c r="AG66" s="1059">
        <f>IFERROR(_xlfn.XLOOKUP(AG1,'[103]Feed Cost &amp; Allocation'!$B$1:$AK$1,'[103]Feed Cost &amp; Allocation'!$B$46:$AK$46),0)+IFERROR(_xlfn.XLOOKUP(AG1,'[103]Feed Cost &amp; Allocation'!$B$1:$AL$1,'[103]Feed Cost &amp; Allocation'!$B$11:$AL$11),0)</f>
        <v>5542</v>
      </c>
      <c r="AH66" s="1059">
        <f>IFERROR(_xlfn.XLOOKUP(AH1,'[103]Feed Cost &amp; Allocation'!$B$1:$AK$1,'[103]Feed Cost &amp; Allocation'!$B$46:$AK$46),0)+IFERROR(_xlfn.XLOOKUP(AH1,'[103]Feed Cost &amp; Allocation'!$B$1:$AL$1,'[103]Feed Cost &amp; Allocation'!$B$11:$AL$11),0)</f>
        <v>0</v>
      </c>
      <c r="AI66" s="1059">
        <f>IFERROR(_xlfn.XLOOKUP(AI1,'[103]Feed Cost &amp; Allocation'!$B$1:$AK$1,'[103]Feed Cost &amp; Allocation'!$B$46:$AK$46),0)+IFERROR(_xlfn.XLOOKUP(AI1,'[103]Feed Cost &amp; Allocation'!$B$1:$AL$1,'[103]Feed Cost &amp; Allocation'!$B$11:$AL$11),0)</f>
        <v>0</v>
      </c>
      <c r="AJ66" s="1059">
        <f>IFERROR(_xlfn.XLOOKUP(AJ1,'[103]Feed Cost &amp; Allocation'!$B$1:$AK$1,'[103]Feed Cost &amp; Allocation'!$B$46:$AK$46),0)+IFERROR(_xlfn.XLOOKUP(AJ1,'[103]Feed Cost &amp; Allocation'!$B$1:$AL$1,'[103]Feed Cost &amp; Allocation'!$B$11:$AL$11),0)</f>
        <v>0</v>
      </c>
      <c r="AK66" s="1059">
        <f>IFERROR(_xlfn.XLOOKUP(AK1,'[103]Feed Cost &amp; Allocation'!$B$1:$AK$1,'[103]Feed Cost &amp; Allocation'!$B$46:$AK$46),0)+IFERROR(_xlfn.XLOOKUP(AK1,'[103]Feed Cost &amp; Allocation'!$B$1:$AL$1,'[103]Feed Cost &amp; Allocation'!$B$11:$AL$11),0)</f>
        <v>0</v>
      </c>
      <c r="AL66" s="1059">
        <f>IFERROR(_xlfn.XLOOKUP(AL1,'[103]Feed Cost &amp; Allocation'!$B$1:$AK$1,'[103]Feed Cost &amp; Allocation'!$B$46:$AK$46),0)+IFERROR(_xlfn.XLOOKUP(AL1,'[103]Feed Cost &amp; Allocation'!$B$1:$AL$1,'[103]Feed Cost &amp; Allocation'!$B$11:$AL$11),0)</f>
        <v>0</v>
      </c>
      <c r="AM66" s="1059">
        <f>IFERROR(_xlfn.XLOOKUP(AM1,'[103]Feed Cost &amp; Allocation'!$B$1:$AK$1,'[103]Feed Cost &amp; Allocation'!$B$46:$AK$46),0)+IFERROR(_xlfn.XLOOKUP(AM1,'[103]Feed Cost &amp; Allocation'!$B$1:$AL$1,'[103]Feed Cost &amp; Allocation'!$B$11:$AL$11),0)</f>
        <v>0</v>
      </c>
      <c r="AN66" s="1059">
        <f>IFERROR(_xlfn.XLOOKUP(AN1,'[103]Feed Cost &amp; Allocation'!$B$1:$AK$1,'[103]Feed Cost &amp; Allocation'!$B$46:$AK$46),0)+IFERROR(_xlfn.XLOOKUP(AN1,'[103]Feed Cost &amp; Allocation'!$B$1:$AL$1,'[103]Feed Cost &amp; Allocation'!$B$11:$AL$11),0)</f>
        <v>0</v>
      </c>
      <c r="AO66" s="1059">
        <f>IFERROR(_xlfn.XLOOKUP(AO1,'[103]Feed Cost &amp; Allocation'!$B$1:$AK$1,'[103]Feed Cost &amp; Allocation'!$B$46:$AK$46),0)+IFERROR(_xlfn.XLOOKUP(AO1,'[103]Feed Cost &amp; Allocation'!$B$1:$AL$1,'[103]Feed Cost &amp; Allocation'!$B$11:$AL$11),0)</f>
        <v>0</v>
      </c>
      <c r="AP66" s="1059">
        <f>IFERROR(_xlfn.XLOOKUP(AP1,'[103]Feed Cost &amp; Allocation'!$B$1:$AK$1,'[103]Feed Cost &amp; Allocation'!$B$46:$AK$46),0)+IFERROR(_xlfn.XLOOKUP(AP1,'[103]Feed Cost &amp; Allocation'!$B$1:$AL$1,'[103]Feed Cost &amp; Allocation'!$B$11:$AL$11),0)</f>
        <v>0</v>
      </c>
      <c r="AQ66" s="1059">
        <f>IFERROR(_xlfn.XLOOKUP(AQ1,'[103]Feed Cost &amp; Allocation'!$B$1:$AK$1,'[103]Feed Cost &amp; Allocation'!$B$46:$AK$46),0)+IFERROR(_xlfn.XLOOKUP(AQ1,'[103]Feed Cost &amp; Allocation'!$B$1:$AL$1,'[103]Feed Cost &amp; Allocation'!$B$11:$AL$11),0)</f>
        <v>0</v>
      </c>
      <c r="AR66" s="1059"/>
      <c r="AS66" s="1059"/>
      <c r="AT66" s="1059"/>
      <c r="AU66" s="1059"/>
      <c r="AV66" s="1059"/>
      <c r="AW66" s="1059"/>
      <c r="AX66" s="1059"/>
      <c r="AY66" s="818">
        <f t="shared" si="2"/>
        <v>414290</v>
      </c>
      <c r="AZ66" s="1059">
        <f>'[103]Feed Cost &amp; Allocation'!AN46</f>
        <v>414290</v>
      </c>
      <c r="BA66" s="818">
        <f t="shared" si="1"/>
        <v>0</v>
      </c>
    </row>
    <row r="67" spans="1:57" ht="15">
      <c r="A67" s="1121" t="s">
        <v>2039</v>
      </c>
      <c r="AA67" s="1059"/>
      <c r="AB67" s="1059"/>
      <c r="AC67" s="1059"/>
      <c r="AD67" s="1059"/>
      <c r="AE67" s="1059"/>
      <c r="AF67" s="1059"/>
      <c r="AG67" s="1059"/>
      <c r="AH67" s="1059"/>
      <c r="AI67" s="1059"/>
      <c r="AJ67" s="1059"/>
      <c r="AK67" s="1059"/>
      <c r="AL67" s="1059"/>
      <c r="AM67" s="1059"/>
      <c r="AN67" s="1059"/>
      <c r="AO67" s="1059"/>
      <c r="AP67" s="1059"/>
      <c r="AQ67" s="1059"/>
      <c r="AR67" s="1059"/>
      <c r="AS67" s="1059"/>
      <c r="AT67" s="1059"/>
      <c r="AU67" s="1059"/>
      <c r="AV67" s="1059"/>
      <c r="AW67" s="1059"/>
      <c r="AX67" s="1059"/>
      <c r="AY67" s="818">
        <f>SUM(B67:AP67)</f>
        <v>0</v>
      </c>
      <c r="AZ67" s="1059">
        <f>'[103]Feed Cost &amp; Allocation'!AN47</f>
        <v>0</v>
      </c>
      <c r="BA67" s="818">
        <f t="shared" si="1"/>
        <v>0</v>
      </c>
    </row>
    <row r="68" spans="1:57" ht="15">
      <c r="A68" s="1121" t="s">
        <v>2040</v>
      </c>
      <c r="C68" s="1059">
        <f>IFERROR(_xlfn.XLOOKUP(C1,'[103]Feed Cost &amp; Allocation'!$B$1:$AK$1,'[103]Feed Cost &amp; Allocation'!$B$48:$AK$48),0)+IFERROR(_xlfn.XLOOKUP(C1,'[103]Feed Cost &amp; Allocation'!$B$1:$AK$1,'[103]Feed Cost &amp; Allocation'!$B$13:$AK$13),0)</f>
        <v>5595</v>
      </c>
      <c r="D68" s="1059">
        <f>IFERROR(_xlfn.XLOOKUP(D1,'[103]Feed Cost &amp; Allocation'!$B$1:$AK$1,'[103]Feed Cost &amp; Allocation'!$B$48:$AK$48),0)+IFERROR(_xlfn.XLOOKUP(D1,'[103]Feed Cost &amp; Allocation'!$B$1:$AK$1,'[103]Feed Cost &amp; Allocation'!$B$13:$AK$13),0)</f>
        <v>0</v>
      </c>
      <c r="E68" s="1059">
        <f>IFERROR(_xlfn.XLOOKUP(E1,'[103]Feed Cost &amp; Allocation'!$B$1:$AK$1,'[103]Feed Cost &amp; Allocation'!$B$48:$AK$48),0)+IFERROR(_xlfn.XLOOKUP(E1,'[103]Feed Cost &amp; Allocation'!$B$1:$AK$1,'[103]Feed Cost &amp; Allocation'!$B$13:$AK$13),0)</f>
        <v>27362</v>
      </c>
      <c r="F68" s="1059">
        <f>IFERROR(_xlfn.XLOOKUP(F1,'[103]Feed Cost &amp; Allocation'!$B$1:$AK$1,'[103]Feed Cost &amp; Allocation'!$B$48:$AK$48),0)+IFERROR(_xlfn.XLOOKUP(F1,'[103]Feed Cost &amp; Allocation'!$B$1:$AK$1,'[103]Feed Cost &amp; Allocation'!$B$13:$AK$13),0)</f>
        <v>19155</v>
      </c>
      <c r="G68" s="1059">
        <f>IFERROR(_xlfn.XLOOKUP(G1,'[103]Feed Cost &amp; Allocation'!$B$1:$AK$1,'[103]Feed Cost &amp; Allocation'!$B$48:$AK$48),0)+IFERROR(_xlfn.XLOOKUP(G1,'[103]Feed Cost &amp; Allocation'!$B$1:$AK$1,'[103]Feed Cost &amp; Allocation'!$B$13:$AK$13),0)</f>
        <v>27289</v>
      </c>
      <c r="H68" s="1059">
        <f>IFERROR(_xlfn.XLOOKUP(H1,'[103]Feed Cost &amp; Allocation'!$B$1:$AK$1,'[103]Feed Cost &amp; Allocation'!$B$48:$AK$48),0)+IFERROR(_xlfn.XLOOKUP(H1,'[103]Feed Cost &amp; Allocation'!$B$1:$AK$1,'[103]Feed Cost &amp; Allocation'!$B$13:$AK$13),0)</f>
        <v>35500</v>
      </c>
      <c r="I68" s="1059">
        <f>IFERROR(_xlfn.XLOOKUP(I1,'[103]Feed Cost &amp; Allocation'!$B$1:$AK$1,'[103]Feed Cost &amp; Allocation'!$B$48:$AK$48),0)+IFERROR(_xlfn.XLOOKUP(I1,'[103]Feed Cost &amp; Allocation'!$B$1:$AK$1,'[103]Feed Cost &amp; Allocation'!$B$13:$AK$13),0)</f>
        <v>0</v>
      </c>
      <c r="J68" s="1059">
        <f>IFERROR(_xlfn.XLOOKUP(J1,'[103]Feed Cost &amp; Allocation'!$B$1:$AK$1,'[103]Feed Cost &amp; Allocation'!$B$48:$AK$48),0)+IFERROR(_xlfn.XLOOKUP(J1,'[103]Feed Cost &amp; Allocation'!$B$1:$AK$1,'[103]Feed Cost &amp; Allocation'!$B$13:$AK$13),0)</f>
        <v>81741</v>
      </c>
      <c r="K68" s="1059">
        <f>IFERROR(_xlfn.XLOOKUP(K1,'[103]Feed Cost &amp; Allocation'!$B$1:$AK$1,'[103]Feed Cost &amp; Allocation'!$B$48:$AK$48),0)+IFERROR(_xlfn.XLOOKUP(K1,'[103]Feed Cost &amp; Allocation'!$B$1:$AK$1,'[103]Feed Cost &amp; Allocation'!$B$13:$AK$13),0)</f>
        <v>0</v>
      </c>
      <c r="L68" s="1059">
        <f>IFERROR(_xlfn.XLOOKUP(L1,'[103]Feed Cost &amp; Allocation'!$B$1:$AK$1,'[103]Feed Cost &amp; Allocation'!$B$48:$AK$48),0)+IFERROR(_xlfn.XLOOKUP(L1,'[103]Feed Cost &amp; Allocation'!$B$1:$AK$1,'[103]Feed Cost &amp; Allocation'!$B$13:$AK$13),0)</f>
        <v>0</v>
      </c>
      <c r="M68" s="1059">
        <f>IFERROR(_xlfn.XLOOKUP(M1,'[103]Feed Cost &amp; Allocation'!$B$1:$AK$1,'[103]Feed Cost &amp; Allocation'!$B$48:$AK$48),0)+IFERROR(_xlfn.XLOOKUP(M1,'[103]Feed Cost &amp; Allocation'!$B$1:$AK$1,'[103]Feed Cost &amp; Allocation'!$B$13:$AK$13),0)</f>
        <v>0</v>
      </c>
      <c r="N68" s="1059">
        <f>IFERROR(_xlfn.XLOOKUP(N1,'[103]Feed Cost &amp; Allocation'!$B$1:$AK$1,'[103]Feed Cost &amp; Allocation'!$B$48:$AK$48),0)+IFERROR(_xlfn.XLOOKUP(N1,'[103]Feed Cost &amp; Allocation'!$B$1:$AK$1,'[103]Feed Cost &amp; Allocation'!$B$13:$AK$13),0)</f>
        <v>0</v>
      </c>
      <c r="O68" s="1059">
        <f>IFERROR(_xlfn.XLOOKUP(O1,'[103]Feed Cost &amp; Allocation'!$B$1:$AK$1,'[103]Feed Cost &amp; Allocation'!$B$48:$AK$48),0)+IFERROR(_xlfn.XLOOKUP(O1,'[103]Feed Cost &amp; Allocation'!$B$1:$AK$1,'[103]Feed Cost &amp; Allocation'!$B$13:$AK$13),0)</f>
        <v>0</v>
      </c>
      <c r="P68" s="1059">
        <f>IFERROR(_xlfn.XLOOKUP(P1,'[103]Feed Cost &amp; Allocation'!$B$1:$AK$1,'[103]Feed Cost &amp; Allocation'!$B$48:$AK$48),0)+IFERROR(_xlfn.XLOOKUP(P1,'[103]Feed Cost &amp; Allocation'!$B$1:$AK$1,'[103]Feed Cost &amp; Allocation'!$B$13:$AK$13),0)</f>
        <v>0</v>
      </c>
      <c r="Q68" s="1059">
        <f>IFERROR(_xlfn.XLOOKUP(Q1,'[103]Feed Cost &amp; Allocation'!$B$1:$AK$1,'[103]Feed Cost &amp; Allocation'!$B$48:$AK$48),0)+IFERROR(_xlfn.XLOOKUP(Q1,'[103]Feed Cost &amp; Allocation'!$B$1:$AK$1,'[103]Feed Cost &amp; Allocation'!$B$13:$AK$13),0)</f>
        <v>0</v>
      </c>
      <c r="R68" s="1059">
        <f>IFERROR(_xlfn.XLOOKUP(R1,'[103]Feed Cost &amp; Allocation'!$B$1:$AK$1,'[103]Feed Cost &amp; Allocation'!$B$48:$AK$48),0)+IFERROR(_xlfn.XLOOKUP(R1,'[103]Feed Cost &amp; Allocation'!$B$1:$AK$1,'[103]Feed Cost &amp; Allocation'!$B$13:$AK$13),0)</f>
        <v>0</v>
      </c>
      <c r="S68" s="1059">
        <f>IFERROR(_xlfn.XLOOKUP(S1,'[103]Feed Cost &amp; Allocation'!$B$1:$AK$1,'[103]Feed Cost &amp; Allocation'!$B$48:$AK$48),0)+IFERROR(_xlfn.XLOOKUP(S1,'[103]Feed Cost &amp; Allocation'!$B$1:$AK$1,'[103]Feed Cost &amp; Allocation'!$B$13:$AK$13),0)</f>
        <v>0</v>
      </c>
      <c r="T68" s="1059">
        <f>IFERROR(_xlfn.XLOOKUP(T1,'[103]Feed Cost &amp; Allocation'!$B$1:$AK$1,'[103]Feed Cost &amp; Allocation'!$B$48:$AK$48),0)+IFERROR(_xlfn.XLOOKUP(T1,'[103]Feed Cost &amp; Allocation'!$B$1:$AK$1,'[103]Feed Cost &amp; Allocation'!$B$13:$AK$13),0)</f>
        <v>0</v>
      </c>
      <c r="U68" s="1059">
        <f>IFERROR(_xlfn.XLOOKUP(U1,'[103]Feed Cost &amp; Allocation'!$B$1:$AK$1,'[103]Feed Cost &amp; Allocation'!$B$48:$AK$48),0)+IFERROR(_xlfn.XLOOKUP(U1,'[103]Feed Cost &amp; Allocation'!$B$1:$AK$1,'[103]Feed Cost &amp; Allocation'!$B$13:$AK$13),0)</f>
        <v>0</v>
      </c>
      <c r="V68" s="1059">
        <f>IFERROR(_xlfn.XLOOKUP(V1,'[103]Feed Cost &amp; Allocation'!$B$1:$AK$1,'[103]Feed Cost &amp; Allocation'!$B$48:$AK$48),0)+IFERROR(_xlfn.XLOOKUP(V1,'[103]Feed Cost &amp; Allocation'!$B$1:$AK$1,'[103]Feed Cost &amp; Allocation'!$B$13:$AK$13),0)</f>
        <v>0</v>
      </c>
      <c r="W68" s="1059">
        <f>IFERROR(_xlfn.XLOOKUP(W1,'[103]Feed Cost &amp; Allocation'!$B$1:$AK$1,'[103]Feed Cost &amp; Allocation'!$B$48:$AK$48),0)+IFERROR(_xlfn.XLOOKUP(W1,'[103]Feed Cost &amp; Allocation'!$B$1:$AK$1,'[103]Feed Cost &amp; Allocation'!$B$13:$AK$13),0)</f>
        <v>0</v>
      </c>
      <c r="X68" s="1059">
        <f>IFERROR(_xlfn.XLOOKUP(X1,'[103]Feed Cost &amp; Allocation'!$B$1:$AK$1,'[103]Feed Cost &amp; Allocation'!$B$48:$AK$48),0)+IFERROR(_xlfn.XLOOKUP(X1,'[103]Feed Cost &amp; Allocation'!$B$1:$AK$1,'[103]Feed Cost &amp; Allocation'!$B$13:$AK$13),0)</f>
        <v>0</v>
      </c>
      <c r="Y68" s="1059">
        <f>IFERROR(_xlfn.XLOOKUP(Y1,'[103]Feed Cost &amp; Allocation'!$B$1:$AK$1,'[103]Feed Cost &amp; Allocation'!$B$48:$AK$48),0)+IFERROR(_xlfn.XLOOKUP(Y1,'[103]Feed Cost &amp; Allocation'!$B$1:$AK$1,'[103]Feed Cost &amp; Allocation'!$B$13:$AK$13),0)</f>
        <v>0</v>
      </c>
      <c r="Z68" s="1059">
        <f>IFERROR(_xlfn.XLOOKUP(Z1,'[103]Feed Cost &amp; Allocation'!$B$1:$AK$1,'[103]Feed Cost &amp; Allocation'!$B$48:$AK$48),0)+IFERROR(_xlfn.XLOOKUP(Z1,'[103]Feed Cost &amp; Allocation'!$B$1:$AK$1,'[103]Feed Cost &amp; Allocation'!$B$13:$AK$13),0)</f>
        <v>0</v>
      </c>
      <c r="AA68" s="1059">
        <f>IFERROR(_xlfn.XLOOKUP(AA1,'[103]Feed Cost &amp; Allocation'!$B$1:$AK$1,'[103]Feed Cost &amp; Allocation'!$B$48:$AK$48),0)+IFERROR(_xlfn.XLOOKUP(AA1,'[103]Feed Cost &amp; Allocation'!$B$1:$AK$1,'[103]Feed Cost &amp; Allocation'!$B$13:$AK$13),0)</f>
        <v>0</v>
      </c>
      <c r="AB68" s="1059">
        <f>IFERROR(_xlfn.XLOOKUP(AB1,'[103]Feed Cost &amp; Allocation'!$B$1:$AK$1,'[103]Feed Cost &amp; Allocation'!$B$48:$AK$48),0)+IFERROR(_xlfn.XLOOKUP(AB1,'[103]Feed Cost &amp; Allocation'!$B$1:$AK$1,'[103]Feed Cost &amp; Allocation'!$B$13:$AK$13),0)</f>
        <v>0</v>
      </c>
      <c r="AC68" s="1059">
        <f>IFERROR(_xlfn.XLOOKUP(AC1,'[103]Feed Cost &amp; Allocation'!$B$1:$AK$1,'[103]Feed Cost &amp; Allocation'!$B$48:$AK$48),0)+IFERROR(_xlfn.XLOOKUP(AC1,'[103]Feed Cost &amp; Allocation'!$B$1:$AK$1,'[103]Feed Cost &amp; Allocation'!$B$13:$AK$13),0)</f>
        <v>0</v>
      </c>
      <c r="AD68" s="1059">
        <f>IFERROR(_xlfn.XLOOKUP(AD1,'[103]Feed Cost &amp; Allocation'!$B$1:$AK$1,'[103]Feed Cost &amp; Allocation'!$B$48:$AK$48),0)+IFERROR(_xlfn.XLOOKUP(AD1,'[103]Feed Cost &amp; Allocation'!$B$1:$AK$1,'[103]Feed Cost &amp; Allocation'!$B$13:$AK$13),0)</f>
        <v>0</v>
      </c>
      <c r="AE68" s="1059">
        <f>IFERROR(_xlfn.XLOOKUP(AE1,'[103]Feed Cost &amp; Allocation'!$B$1:$AK$1,'[103]Feed Cost &amp; Allocation'!$B$48:$AK$48),0)+IFERROR(_xlfn.XLOOKUP(AE1,'[103]Feed Cost &amp; Allocation'!$B$1:$AK$1,'[103]Feed Cost &amp; Allocation'!$B$13:$AK$13),0)</f>
        <v>0</v>
      </c>
      <c r="AF68" s="1059">
        <f>IFERROR(_xlfn.XLOOKUP(AF1,'[103]Feed Cost &amp; Allocation'!$B$1:$AK$1,'[103]Feed Cost &amp; Allocation'!$B$48:$AK$48),0)+IFERROR(_xlfn.XLOOKUP(AF1,'[103]Feed Cost &amp; Allocation'!$B$1:$AK$1,'[103]Feed Cost &amp; Allocation'!$B$13:$AK$13),0)</f>
        <v>0</v>
      </c>
      <c r="AG68" s="1059">
        <f>IFERROR(_xlfn.XLOOKUP(AG1,'[103]Feed Cost &amp; Allocation'!$B$1:$AK$1,'[103]Feed Cost &amp; Allocation'!$B$48:$AK$48),0)+IFERROR(_xlfn.XLOOKUP(AG1,'[103]Feed Cost &amp; Allocation'!$B$1:$AL$1,'[103]Feed Cost &amp; Allocation'!$B$13:$AL$13),0)</f>
        <v>1550</v>
      </c>
      <c r="AH68" s="1059">
        <f>IFERROR(_xlfn.XLOOKUP(AH1,'[103]Feed Cost &amp; Allocation'!$B$1:$AK$1,'[103]Feed Cost &amp; Allocation'!$B$48:$AK$48),0)+IFERROR(_xlfn.XLOOKUP(AH1,'[103]Feed Cost &amp; Allocation'!$B$1:$AL$1,'[103]Feed Cost &amp; Allocation'!$B$13:$AL$13),0)</f>
        <v>0</v>
      </c>
      <c r="AI68" s="1059">
        <f>IFERROR(_xlfn.XLOOKUP(AI1,'[103]Feed Cost &amp; Allocation'!$B$1:$AK$1,'[103]Feed Cost &amp; Allocation'!$B$48:$AK$48),0)+IFERROR(_xlfn.XLOOKUP(AI1,'[103]Feed Cost &amp; Allocation'!$B$1:$AL$1,'[103]Feed Cost &amp; Allocation'!$B$13:$AL$13),0)</f>
        <v>0</v>
      </c>
      <c r="AJ68" s="1059">
        <f>IFERROR(_xlfn.XLOOKUP(AJ1,'[103]Feed Cost &amp; Allocation'!$B$1:$AK$1,'[103]Feed Cost &amp; Allocation'!$B$48:$AK$48),0)+IFERROR(_xlfn.XLOOKUP(AJ1,'[103]Feed Cost &amp; Allocation'!$B$1:$AL$1,'[103]Feed Cost &amp; Allocation'!$B$13:$AL$13),0)</f>
        <v>0</v>
      </c>
      <c r="AK68" s="1059">
        <f>IFERROR(_xlfn.XLOOKUP(AK1,'[103]Feed Cost &amp; Allocation'!$B$1:$AK$1,'[103]Feed Cost &amp; Allocation'!$B$48:$AK$48),0)+IFERROR(_xlfn.XLOOKUP(AK1,'[103]Feed Cost &amp; Allocation'!$B$1:$AL$1,'[103]Feed Cost &amp; Allocation'!$B$13:$AL$13),0)</f>
        <v>0</v>
      </c>
      <c r="AL68" s="1059">
        <f>IFERROR(_xlfn.XLOOKUP(AL1,'[103]Feed Cost &amp; Allocation'!$B$1:$AK$1,'[103]Feed Cost &amp; Allocation'!$B$48:$AK$48),0)+IFERROR(_xlfn.XLOOKUP(AL1,'[103]Feed Cost &amp; Allocation'!$B$1:$AL$1,'[103]Feed Cost &amp; Allocation'!$B$13:$AL$13),0)</f>
        <v>0</v>
      </c>
      <c r="AM68" s="1059">
        <f>IFERROR(_xlfn.XLOOKUP(AM1,'[103]Feed Cost &amp; Allocation'!$B$1:$AK$1,'[103]Feed Cost &amp; Allocation'!$B$48:$AK$48),0)+IFERROR(_xlfn.XLOOKUP(AM1,'[103]Feed Cost &amp; Allocation'!$B$1:$AL$1,'[103]Feed Cost &amp; Allocation'!$B$13:$AL$13),0)</f>
        <v>0</v>
      </c>
      <c r="AN68" s="1059">
        <f>IFERROR(_xlfn.XLOOKUP(AN1,'[103]Feed Cost &amp; Allocation'!$B$1:$AK$1,'[103]Feed Cost &amp; Allocation'!$B$48:$AK$48),0)+IFERROR(_xlfn.XLOOKUP(AN1,'[103]Feed Cost &amp; Allocation'!$B$1:$AL$1,'[103]Feed Cost &amp; Allocation'!$B$13:$AL$13),0)</f>
        <v>0</v>
      </c>
      <c r="AO68" s="1059">
        <f>IFERROR(_xlfn.XLOOKUP(AO1,'[103]Feed Cost &amp; Allocation'!$B$1:$AK$1,'[103]Feed Cost &amp; Allocation'!$B$48:$AK$48),0)+IFERROR(_xlfn.XLOOKUP(AO1,'[103]Feed Cost &amp; Allocation'!$B$1:$AL$1,'[103]Feed Cost &amp; Allocation'!$B$13:$AL$13),0)</f>
        <v>0</v>
      </c>
      <c r="AP68" s="1059">
        <f>IFERROR(_xlfn.XLOOKUP(AP1,'[103]Feed Cost &amp; Allocation'!$B$1:$AK$1,'[103]Feed Cost &amp; Allocation'!$B$48:$AK$48),0)+IFERROR(_xlfn.XLOOKUP(AP1,'[103]Feed Cost &amp; Allocation'!$B$1:$AL$1,'[103]Feed Cost &amp; Allocation'!$B$13:$AL$13),0)</f>
        <v>0</v>
      </c>
      <c r="AQ68" s="1059">
        <f>IFERROR(_xlfn.XLOOKUP(AQ1,'[103]Feed Cost &amp; Allocation'!$B$1:$AK$1,'[103]Feed Cost &amp; Allocation'!$B$48:$AK$48),0)+IFERROR(_xlfn.XLOOKUP(AQ1,'[103]Feed Cost &amp; Allocation'!$B$1:$AL$1,'[103]Feed Cost &amp; Allocation'!$B$13:$AL$13),0)</f>
        <v>0</v>
      </c>
      <c r="AR68" s="1059"/>
      <c r="AS68" s="1059"/>
      <c r="AT68" s="1059"/>
      <c r="AU68" s="1059"/>
      <c r="AV68" s="1059"/>
      <c r="AW68" s="1059"/>
      <c r="AX68" s="1059"/>
      <c r="AY68" s="818">
        <f t="shared" si="2"/>
        <v>198192</v>
      </c>
      <c r="AZ68" s="1059">
        <f>'[103]Feed Cost &amp; Allocation'!AN48</f>
        <v>198192</v>
      </c>
      <c r="BA68" s="818">
        <f t="shared" si="1"/>
        <v>0</v>
      </c>
    </row>
    <row r="69" spans="1:57" ht="15">
      <c r="A69" s="1121" t="s">
        <v>2041</v>
      </c>
      <c r="C69" s="1059">
        <f>IFERROR(_xlfn.XLOOKUP(C1,'[103]Feed Cost &amp; Allocation'!$B$1:$AK$1,'[103]Feed Cost &amp; Allocation'!$B$49:$AK$49),0)+IFERROR(_xlfn.XLOOKUP(C1,'[103]Feed Cost &amp; Allocation'!$B$1:$AK$1,'[103]Feed Cost &amp; Allocation'!$B$14:$AK$14),0)</f>
        <v>39665</v>
      </c>
      <c r="D69" s="1059">
        <f>IFERROR(_xlfn.XLOOKUP(D1,'[103]Feed Cost &amp; Allocation'!$B$1:$AK$1,'[103]Feed Cost &amp; Allocation'!$B$49:$AK$49),0)+IFERROR(_xlfn.XLOOKUP(D1,'[103]Feed Cost &amp; Allocation'!$B$1:$AK$1,'[103]Feed Cost &amp; Allocation'!$B$14:$AK$14),0)</f>
        <v>43278</v>
      </c>
      <c r="E69" s="1059">
        <f>IFERROR(_xlfn.XLOOKUP(E1,'[103]Feed Cost &amp; Allocation'!$B$1:$AK$1,'[103]Feed Cost &amp; Allocation'!$B$49:$AK$49),0)+IFERROR(_xlfn.XLOOKUP(E1,'[103]Feed Cost &amp; Allocation'!$B$1:$AK$1,'[103]Feed Cost &amp; Allocation'!$B$14:$AK$14),0)</f>
        <v>63210</v>
      </c>
      <c r="F69" s="1059">
        <f>IFERROR(_xlfn.XLOOKUP(F1,'[103]Feed Cost &amp; Allocation'!$B$1:$AK$1,'[103]Feed Cost &amp; Allocation'!$B$49:$AK$49),0)+IFERROR(_xlfn.XLOOKUP(F1,'[103]Feed Cost &amp; Allocation'!$B$1:$AK$1,'[103]Feed Cost &amp; Allocation'!$B$14:$AK$14),0)</f>
        <v>85544</v>
      </c>
      <c r="G69" s="1059">
        <f>IFERROR(_xlfn.XLOOKUP(G1,'[103]Feed Cost &amp; Allocation'!$B$1:$AK$1,'[103]Feed Cost &amp; Allocation'!$B$49:$AK$49),0)+IFERROR(_xlfn.XLOOKUP(G1,'[103]Feed Cost &amp; Allocation'!$B$1:$AK$1,'[103]Feed Cost &amp; Allocation'!$B$14:$AK$14),0)</f>
        <v>73501</v>
      </c>
      <c r="H69" s="1059">
        <f>IFERROR(_xlfn.XLOOKUP(H1,'[103]Feed Cost &amp; Allocation'!$B$1:$AK$1,'[103]Feed Cost &amp; Allocation'!$B$49:$AK$49),0)+IFERROR(_xlfn.XLOOKUP(H1,'[103]Feed Cost &amp; Allocation'!$B$1:$AK$1,'[103]Feed Cost &amp; Allocation'!$B$14:$AK$14),0)</f>
        <v>154785</v>
      </c>
      <c r="I69" s="1059">
        <f>IFERROR(_xlfn.XLOOKUP(I1,'[103]Feed Cost &amp; Allocation'!$B$1:$AK$1,'[103]Feed Cost &amp; Allocation'!$B$49:$AK$49),0)+IFERROR(_xlfn.XLOOKUP(I1,'[103]Feed Cost &amp; Allocation'!$B$1:$AK$1,'[103]Feed Cost &amp; Allocation'!$B$14:$AK$14),0)</f>
        <v>10067</v>
      </c>
      <c r="J69" s="1059">
        <f>IFERROR(_xlfn.XLOOKUP(J1,'[103]Feed Cost &amp; Allocation'!$B$1:$AK$1,'[103]Feed Cost &amp; Allocation'!$B$49:$AK$49),0)+IFERROR(_xlfn.XLOOKUP(J1,'[103]Feed Cost &amp; Allocation'!$B$1:$AK$1,'[103]Feed Cost &amp; Allocation'!$B$14:$AK$14),0)</f>
        <v>0</v>
      </c>
      <c r="K69" s="1059">
        <f>IFERROR(_xlfn.XLOOKUP(K1,'[103]Feed Cost &amp; Allocation'!$B$1:$AK$1,'[103]Feed Cost &amp; Allocation'!$B$49:$AK$49),0)+IFERROR(_xlfn.XLOOKUP(K1,'[103]Feed Cost &amp; Allocation'!$B$1:$AK$1,'[103]Feed Cost &amp; Allocation'!$B$14:$AK$14),0)-E112</f>
        <v>47065</v>
      </c>
      <c r="L69" s="1059">
        <f>IFERROR(_xlfn.XLOOKUP(L1,'[103]Feed Cost &amp; Allocation'!$B$1:$AK$1,'[103]Feed Cost &amp; Allocation'!$B$49:$AK$49),0)+IFERROR(_xlfn.XLOOKUP(L1,'[103]Feed Cost &amp; Allocation'!$B$1:$AK$1,'[103]Feed Cost &amp; Allocation'!$B$14:$AK$14),0)</f>
        <v>0</v>
      </c>
      <c r="M69" s="1059">
        <f>IFERROR(_xlfn.XLOOKUP(M1,'[103]Feed Cost &amp; Allocation'!$B$1:$AK$1,'[103]Feed Cost &amp; Allocation'!$B$49:$AK$49),0)+IFERROR(_xlfn.XLOOKUP(M1,'[103]Feed Cost &amp; Allocation'!$B$1:$AK$1,'[103]Feed Cost &amp; Allocation'!$B$14:$AK$14),0)</f>
        <v>46927</v>
      </c>
      <c r="N69" s="1059">
        <f>IFERROR(_xlfn.XLOOKUP(N1,'[103]Feed Cost &amp; Allocation'!$B$1:$AK$1,'[103]Feed Cost &amp; Allocation'!$B$49:$AK$49),0)+IFERROR(_xlfn.XLOOKUP(N1,'[103]Feed Cost &amp; Allocation'!$B$1:$AK$1,'[103]Feed Cost &amp; Allocation'!$B$14:$AK$14),0)</f>
        <v>5065</v>
      </c>
      <c r="O69" s="1059">
        <f>IFERROR(_xlfn.XLOOKUP(O1,'[103]Feed Cost &amp; Allocation'!$B$1:$AK$1,'[103]Feed Cost &amp; Allocation'!$B$49:$AK$49),0)+IFERROR(_xlfn.XLOOKUP(O1,'[103]Feed Cost &amp; Allocation'!$B$1:$AK$1,'[103]Feed Cost &amp; Allocation'!$B$14:$AK$14),0)</f>
        <v>15061</v>
      </c>
      <c r="P69" s="1059">
        <f>IFERROR(_xlfn.XLOOKUP(P1,'[103]Feed Cost &amp; Allocation'!$B$1:$AK$1,'[103]Feed Cost &amp; Allocation'!$B$49:$AK$49),0)+IFERROR(_xlfn.XLOOKUP(P1,'[103]Feed Cost &amp; Allocation'!$B$1:$AK$1,'[103]Feed Cost &amp; Allocation'!$B$14:$AK$14),0)</f>
        <v>5549</v>
      </c>
      <c r="Q69" s="1059">
        <f>IFERROR(_xlfn.XLOOKUP(Q1,'[103]Feed Cost &amp; Allocation'!$B$1:$AK$1,'[103]Feed Cost &amp; Allocation'!$B$49:$AK$49),0)+IFERROR(_xlfn.XLOOKUP(Q1,'[103]Feed Cost &amp; Allocation'!$B$1:$AK$1,'[103]Feed Cost &amp; Allocation'!$B$14:$AK$14),0)</f>
        <v>2029</v>
      </c>
      <c r="R69" s="1059">
        <f>IFERROR(_xlfn.XLOOKUP(R1,'[103]Feed Cost &amp; Allocation'!$B$1:$AK$1,'[103]Feed Cost &amp; Allocation'!$B$49:$AK$49),0)+IFERROR(_xlfn.XLOOKUP(R1,'[103]Feed Cost &amp; Allocation'!$B$1:$AK$1,'[103]Feed Cost &amp; Allocation'!$B$14:$AK$14),0)</f>
        <v>4397</v>
      </c>
      <c r="S69" s="1059">
        <f>IFERROR(_xlfn.XLOOKUP(S1,'[103]Feed Cost &amp; Allocation'!$B$1:$AK$1,'[103]Feed Cost &amp; Allocation'!$B$49:$AK$49),0)+IFERROR(_xlfn.XLOOKUP(S1,'[103]Feed Cost &amp; Allocation'!$B$1:$AK$1,'[103]Feed Cost &amp; Allocation'!$B$14:$AK$14),0)</f>
        <v>0</v>
      </c>
      <c r="T69" s="1059">
        <f>IFERROR(_xlfn.XLOOKUP(T1,'[103]Feed Cost &amp; Allocation'!$B$1:$AK$1,'[103]Feed Cost &amp; Allocation'!$B$49:$AK$49),0)+IFERROR(_xlfn.XLOOKUP(T1,'[103]Feed Cost &amp; Allocation'!$B$1:$AK$1,'[103]Feed Cost &amp; Allocation'!$B$14:$AK$14),0)</f>
        <v>0</v>
      </c>
      <c r="U69" s="1059">
        <f>IFERROR(_xlfn.XLOOKUP(U1,'[103]Feed Cost &amp; Allocation'!$B$1:$AK$1,'[103]Feed Cost &amp; Allocation'!$B$49:$AK$49),0)+IFERROR(_xlfn.XLOOKUP(U1,'[103]Feed Cost &amp; Allocation'!$B$1:$AK$1,'[103]Feed Cost &amp; Allocation'!$B$14:$AK$14),0)</f>
        <v>0</v>
      </c>
      <c r="V69" s="1059">
        <f>IFERROR(_xlfn.XLOOKUP(V1,'[103]Feed Cost &amp; Allocation'!$B$1:$AK$1,'[103]Feed Cost &amp; Allocation'!$B$49:$AK$49),0)+IFERROR(_xlfn.XLOOKUP(V1,'[103]Feed Cost &amp; Allocation'!$B$1:$AK$1,'[103]Feed Cost &amp; Allocation'!$B$14:$AK$14),0)</f>
        <v>0</v>
      </c>
      <c r="W69" s="1059">
        <f>IFERROR(_xlfn.XLOOKUP(W1,'[103]Feed Cost &amp; Allocation'!$B$1:$AK$1,'[103]Feed Cost &amp; Allocation'!$B$49:$AK$49),0)+IFERROR(_xlfn.XLOOKUP(W1,'[103]Feed Cost &amp; Allocation'!$B$1:$AK$1,'[103]Feed Cost &amp; Allocation'!$B$14:$AK$14),0)</f>
        <v>2333</v>
      </c>
      <c r="X69" s="1059">
        <f>IFERROR(_xlfn.XLOOKUP(X1,'[103]Feed Cost &amp; Allocation'!$B$1:$AK$1,'[103]Feed Cost &amp; Allocation'!$B$49:$AK$49),0)+IFERROR(_xlfn.XLOOKUP(X1,'[103]Feed Cost &amp; Allocation'!$B$1:$AK$1,'[103]Feed Cost &amp; Allocation'!$B$14:$AK$14),0)</f>
        <v>6866</v>
      </c>
      <c r="Y69" s="1059">
        <f>IFERROR(_xlfn.XLOOKUP(Y1,'[103]Feed Cost &amp; Allocation'!$B$1:$AK$1,'[103]Feed Cost &amp; Allocation'!$B$49:$AK$49),0)+IFERROR(_xlfn.XLOOKUP(Y1,'[103]Feed Cost &amp; Allocation'!$B$1:$AK$1,'[103]Feed Cost &amp; Allocation'!$B$14:$AK$14),0)</f>
        <v>0</v>
      </c>
      <c r="Z69" s="1059">
        <f>IFERROR(_xlfn.XLOOKUP(Z1,'[103]Feed Cost &amp; Allocation'!$B$1:$AK$1,'[103]Feed Cost &amp; Allocation'!$B$49:$AK$49),0)+IFERROR(_xlfn.XLOOKUP(Z1,'[103]Feed Cost &amp; Allocation'!$B$1:$AK$1,'[103]Feed Cost &amp; Allocation'!$B$14:$AK$14),0)</f>
        <v>15366</v>
      </c>
      <c r="AA69" s="1059">
        <f>IFERROR(_xlfn.XLOOKUP(AA1,'[103]Feed Cost &amp; Allocation'!$B$1:$AK$1,'[103]Feed Cost &amp; Allocation'!$B$49:$AK$49),0)+IFERROR(_xlfn.XLOOKUP(AA1,'[103]Feed Cost &amp; Allocation'!$B$1:$AK$1,'[103]Feed Cost &amp; Allocation'!$B$14:$AK$14),0)</f>
        <v>0</v>
      </c>
      <c r="AB69" s="1059">
        <f>IFERROR(_xlfn.XLOOKUP(AB1,'[103]Feed Cost &amp; Allocation'!$B$1:$AK$1,'[103]Feed Cost &amp; Allocation'!$B$49:$AK$49),0)+IFERROR(_xlfn.XLOOKUP(AB1,'[103]Feed Cost &amp; Allocation'!$B$1:$AK$1,'[103]Feed Cost &amp; Allocation'!$B$14:$AK$14),0)</f>
        <v>400</v>
      </c>
      <c r="AC69" s="1059">
        <f>IFERROR(_xlfn.XLOOKUP(AC1,'[103]Feed Cost &amp; Allocation'!$B$1:$AK$1,'[103]Feed Cost &amp; Allocation'!$B$49:$AK$49),0)+IFERROR(_xlfn.XLOOKUP(AC1,'[103]Feed Cost &amp; Allocation'!$B$1:$AK$1,'[103]Feed Cost &amp; Allocation'!$B$14:$AK$14),0)</f>
        <v>0</v>
      </c>
      <c r="AD69" s="1059">
        <f>IFERROR(_xlfn.XLOOKUP(AD1,'[103]Feed Cost &amp; Allocation'!$B$1:$AK$1,'[103]Feed Cost &amp; Allocation'!$B$49:$AK$49),0)+IFERROR(_xlfn.XLOOKUP(AD1,'[103]Feed Cost &amp; Allocation'!$B$1:$AK$1,'[103]Feed Cost &amp; Allocation'!$B$14:$AK$14),0)</f>
        <v>0</v>
      </c>
      <c r="AE69" s="1059">
        <f>IFERROR(_xlfn.XLOOKUP(AE1,'[103]Feed Cost &amp; Allocation'!$B$1:$AK$1,'[103]Feed Cost &amp; Allocation'!$B$49:$AK$49),0)+IFERROR(_xlfn.XLOOKUP(AE1,'[103]Feed Cost &amp; Allocation'!$B$1:$AK$1,'[103]Feed Cost &amp; Allocation'!$B$14:$AK$14),0)</f>
        <v>0</v>
      </c>
      <c r="AF69" s="1059">
        <f>IFERROR(_xlfn.XLOOKUP(AF1,'[103]Feed Cost &amp; Allocation'!$B$1:$AK$1,'[103]Feed Cost &amp; Allocation'!$B$49:$AK$49),0)+IFERROR(_xlfn.XLOOKUP(AF1,'[103]Feed Cost &amp; Allocation'!$B$1:$AK$1,'[103]Feed Cost &amp; Allocation'!$B$14:$AK$14),0)</f>
        <v>207339.2</v>
      </c>
      <c r="AG69" s="1059">
        <f>IFERROR(_xlfn.XLOOKUP(AG1,'[103]Feed Cost &amp; Allocation'!$B$1:$AL$1,'[103]Feed Cost &amp; Allocation'!$B$49:$AL$49),0)+IFERROR(_xlfn.XLOOKUP(AG1,'[103]Feed Cost &amp; Allocation'!$B$1:$AL$1,'[103]Feed Cost &amp; Allocation'!$B$14:$AL$14),0)</f>
        <v>0</v>
      </c>
      <c r="AH69" s="1059">
        <f>IFERROR(_xlfn.XLOOKUP(AH1,'[103]Feed Cost &amp; Allocation'!$B$1:$AL$1,'[103]Feed Cost &amp; Allocation'!$B$49:$AL$49),0)+IFERROR(_xlfn.XLOOKUP(AH1,'[103]Feed Cost &amp; Allocation'!$B$1:$AL$1,'[103]Feed Cost &amp; Allocation'!$B$14:$AL$14),0)</f>
        <v>0</v>
      </c>
      <c r="AI69" s="1059">
        <f>IFERROR(_xlfn.XLOOKUP(AI1,'[103]Feed Cost &amp; Allocation'!$B$1:$AL$1,'[103]Feed Cost &amp; Allocation'!$B$49:$AL$49),0)+IFERROR(_xlfn.XLOOKUP(AI1,'[103]Feed Cost &amp; Allocation'!$B$1:$AL$1,'[103]Feed Cost &amp; Allocation'!$B$14:$AL$14),0)</f>
        <v>0</v>
      </c>
      <c r="AJ69" s="1059">
        <f>IFERROR(_xlfn.XLOOKUP(AJ1,'[103]Feed Cost &amp; Allocation'!$B$1:$AL$1,'[103]Feed Cost &amp; Allocation'!$B$49:$AL$49),0)+IFERROR(_xlfn.XLOOKUP(AJ1,'[103]Feed Cost &amp; Allocation'!$B$1:$AL$1,'[103]Feed Cost &amp; Allocation'!$B$14:$AL$14),0)</f>
        <v>0</v>
      </c>
      <c r="AK69" s="1059">
        <f>IFERROR(_xlfn.XLOOKUP(AK1,'[103]Feed Cost &amp; Allocation'!$B$1:$AL$1,'[103]Feed Cost &amp; Allocation'!$B$49:$AL$49),0)+IFERROR(_xlfn.XLOOKUP(AK1,'[103]Feed Cost &amp; Allocation'!$B$1:$AL$1,'[103]Feed Cost &amp; Allocation'!$B$14:$AL$14),0)</f>
        <v>0</v>
      </c>
      <c r="AL69" s="1059">
        <f>IFERROR(_xlfn.XLOOKUP(AL1,'[103]Feed Cost &amp; Allocation'!$B$1:$AL$1,'[103]Feed Cost &amp; Allocation'!$B$49:$AL$49),0)+IFERROR(_xlfn.XLOOKUP(AL1,'[103]Feed Cost &amp; Allocation'!$B$1:$AL$1,'[103]Feed Cost &amp; Allocation'!$B$14:$AL$14),0)</f>
        <v>0</v>
      </c>
      <c r="AM69" s="1059">
        <f>IFERROR(_xlfn.XLOOKUP(AM1,'[103]Feed Cost &amp; Allocation'!$B$1:$AL$1,'[103]Feed Cost &amp; Allocation'!$B$49:$AL$49),0)+IFERROR(_xlfn.XLOOKUP(AM1,'[103]Feed Cost &amp; Allocation'!$B$1:$AL$1,'[103]Feed Cost &amp; Allocation'!$B$14:$AL$14),0)</f>
        <v>0</v>
      </c>
      <c r="AN69" s="1059">
        <f>IFERROR(_xlfn.XLOOKUP(AN1,'[103]Feed Cost &amp; Allocation'!$B$1:$AL$1,'[103]Feed Cost &amp; Allocation'!$B$49:$AL$49),0)+IFERROR(_xlfn.XLOOKUP(AN1,'[103]Feed Cost &amp; Allocation'!$B$1:$AL$1,'[103]Feed Cost &amp; Allocation'!$B$14:$AL$14),0)</f>
        <v>0</v>
      </c>
      <c r="AO69" s="1059">
        <f>IFERROR(_xlfn.XLOOKUP(AO1,'[103]Feed Cost &amp; Allocation'!$B$1:$AL$1,'[103]Feed Cost &amp; Allocation'!$B$49:$AL$49),0)+IFERROR(_xlfn.XLOOKUP(AO1,'[103]Feed Cost &amp; Allocation'!$B$1:$AL$1,'[103]Feed Cost &amp; Allocation'!$B$14:$AL$14),0)</f>
        <v>0</v>
      </c>
      <c r="AP69" s="1059">
        <f>IFERROR(_xlfn.XLOOKUP(AP1,'[103]Feed Cost &amp; Allocation'!$B$1:$AL$1,'[103]Feed Cost &amp; Allocation'!$B$49:$AL$49),0)+IFERROR(_xlfn.XLOOKUP(AP1,'[103]Feed Cost &amp; Allocation'!$B$1:$AL$1,'[103]Feed Cost &amp; Allocation'!$B$14:$AL$14),0)</f>
        <v>0</v>
      </c>
      <c r="AQ69" s="1059">
        <f>IFERROR(_xlfn.XLOOKUP(AQ1,'[103]Feed Cost &amp; Allocation'!$B$1:$AL$1,'[103]Feed Cost &amp; Allocation'!$B$49:$AL$49),0)+IFERROR(_xlfn.XLOOKUP(AQ1,'[103]Feed Cost &amp; Allocation'!$B$1:$AL$1,'[103]Feed Cost &amp; Allocation'!$B$14:$AL$14),0)</f>
        <v>0</v>
      </c>
      <c r="AR69" s="1059"/>
      <c r="AS69" s="1059"/>
      <c r="AT69" s="1059"/>
      <c r="AU69" s="1059"/>
      <c r="AV69" s="1059"/>
      <c r="AW69" s="1059"/>
      <c r="AX69" s="1059"/>
      <c r="AY69" s="818">
        <f>SUM(B69:AQ69)</f>
        <v>828447.2</v>
      </c>
      <c r="AZ69" s="1059">
        <f>'[103]Feed Cost &amp; Allocation'!AN49</f>
        <v>828447.2</v>
      </c>
      <c r="BA69" s="818">
        <f t="shared" si="1"/>
        <v>0</v>
      </c>
    </row>
    <row r="70" spans="1:57" ht="15">
      <c r="A70" s="1121" t="s">
        <v>2042</v>
      </c>
      <c r="C70" s="1059">
        <f>IFERROR(_xlfn.XLOOKUP(C1,'[103]Feed Cost &amp; Allocation'!$B$1:$AK$1,'[103]Feed Cost &amp; Allocation'!$B$50:$AK$50),0)+IFERROR(_xlfn.XLOOKUP(C2,'[103]Feed Cost &amp; Allocation'!$B$1:$AK$1,'[103]Feed Cost &amp; Allocation'!$B$15:$AK$15),0)</f>
        <v>8347</v>
      </c>
      <c r="D70" s="1059">
        <f>IFERROR(_xlfn.XLOOKUP(D1,'[103]Feed Cost &amp; Allocation'!$B$1:$AK$1,'[103]Feed Cost &amp; Allocation'!$B$50:$AK$50),0)+IFERROR(_xlfn.XLOOKUP(D2,'[103]Feed Cost &amp; Allocation'!$B$1:$AK$1,'[103]Feed Cost &amp; Allocation'!$B$15:$AK$15),0)</f>
        <v>14050</v>
      </c>
      <c r="E70" s="1059">
        <f>IFERROR(_xlfn.XLOOKUP(E1,'[103]Feed Cost &amp; Allocation'!$B$1:$AK$1,'[103]Feed Cost &amp; Allocation'!$B$50:$AK$50),0)+IFERROR(_xlfn.XLOOKUP(E2,'[103]Feed Cost &amp; Allocation'!$B$1:$AK$1,'[103]Feed Cost &amp; Allocation'!$B$15:$AK$15),0)</f>
        <v>30160</v>
      </c>
      <c r="F70" s="1059">
        <f>IFERROR(_xlfn.XLOOKUP(F1,'[103]Feed Cost &amp; Allocation'!$B$1:$AK$1,'[103]Feed Cost &amp; Allocation'!$B$50:$AK$50),0)+IFERROR(_xlfn.XLOOKUP(F2,'[103]Feed Cost &amp; Allocation'!$B$1:$AK$1,'[103]Feed Cost &amp; Allocation'!$B$15:$AK$15),0)</f>
        <v>27044</v>
      </c>
      <c r="G70" s="1059">
        <f>IFERROR(_xlfn.XLOOKUP(G1,'[103]Feed Cost &amp; Allocation'!$B$1:$AK$1,'[103]Feed Cost &amp; Allocation'!$B$50:$AK$50),0)+IFERROR(_xlfn.XLOOKUP(G2,'[103]Feed Cost &amp; Allocation'!$B$1:$AK$1,'[103]Feed Cost &amp; Allocation'!$B$15:$AK$15),0)</f>
        <v>29178</v>
      </c>
      <c r="H70" s="1059">
        <f>IFERROR(_xlfn.XLOOKUP(H1,'[103]Feed Cost &amp; Allocation'!$B$1:$AK$1,'[103]Feed Cost &amp; Allocation'!$B$50:$AK$50),0)+IFERROR(_xlfn.XLOOKUP(H2,'[103]Feed Cost &amp; Allocation'!$B$1:$AK$1,'[103]Feed Cost &amp; Allocation'!$B$15:$AK$15),0)</f>
        <v>37171</v>
      </c>
      <c r="I70" s="1059">
        <f>IFERROR(_xlfn.XLOOKUP(I1,'[103]Feed Cost &amp; Allocation'!$B$1:$AK$1,'[103]Feed Cost &amp; Allocation'!$B$50:$AK$50),0)+IFERROR(_xlfn.XLOOKUP(I2,'[103]Feed Cost &amp; Allocation'!$B$1:$AK$1,'[103]Feed Cost &amp; Allocation'!$B$15:$AK$15),0)</f>
        <v>6025</v>
      </c>
      <c r="J70" s="1059">
        <f>IFERROR(_xlfn.XLOOKUP(J1,'[103]Feed Cost &amp; Allocation'!$B$1:$AK$1,'[103]Feed Cost &amp; Allocation'!$B$50:$AK$50),0)+IFERROR(_xlfn.XLOOKUP(J2,'[103]Feed Cost &amp; Allocation'!$B$1:$AK$1,'[103]Feed Cost &amp; Allocation'!$B$15:$AK$15),0)</f>
        <v>0</v>
      </c>
      <c r="K70" s="1059">
        <f>IFERROR(_xlfn.XLOOKUP(K1,'[103]Feed Cost &amp; Allocation'!$B$1:$AK$1,'[103]Feed Cost &amp; Allocation'!$B$50:$AK$50),0)+IFERROR(_xlfn.XLOOKUP(K2,'[103]Feed Cost &amp; Allocation'!$B$1:$AK$1,'[103]Feed Cost &amp; Allocation'!$B$15:$AK$15),0)</f>
        <v>0</v>
      </c>
      <c r="L70" s="1059">
        <f>IFERROR(_xlfn.XLOOKUP(L1,'[103]Feed Cost &amp; Allocation'!$B$1:$AK$1,'[103]Feed Cost &amp; Allocation'!$B$50:$AK$50),0)+IFERROR(_xlfn.XLOOKUP(L2,'[103]Feed Cost &amp; Allocation'!$B$1:$AK$1,'[103]Feed Cost &amp; Allocation'!$B$15:$AK$15),0)</f>
        <v>14320</v>
      </c>
      <c r="M70" s="1059">
        <f>IFERROR(_xlfn.XLOOKUP(M1,'[103]Feed Cost &amp; Allocation'!$B$1:$AK$1,'[103]Feed Cost &amp; Allocation'!$B$50:$AK$50),0)+IFERROR(_xlfn.XLOOKUP(M2,'[103]Feed Cost &amp; Allocation'!$B$1:$AK$1,'[103]Feed Cost &amp; Allocation'!$B$15:$AK$15),0)</f>
        <v>0</v>
      </c>
      <c r="N70" s="1059">
        <f>IFERROR(_xlfn.XLOOKUP(N1,'[103]Feed Cost &amp; Allocation'!$B$1:$AK$1,'[103]Feed Cost &amp; Allocation'!$B$50:$AK$50),0)+IFERROR(_xlfn.XLOOKUP(N2,'[103]Feed Cost &amp; Allocation'!$B$1:$AK$1,'[103]Feed Cost &amp; Allocation'!$B$15:$AK$15),0)</f>
        <v>2055</v>
      </c>
      <c r="O70" s="1059">
        <f>IFERROR(_xlfn.XLOOKUP(O1,'[103]Feed Cost &amp; Allocation'!$B$1:$AK$1,'[103]Feed Cost &amp; Allocation'!$B$50:$AK$50),0)+IFERROR(_xlfn.XLOOKUP(O2,'[103]Feed Cost &amp; Allocation'!$B$1:$AK$1,'[103]Feed Cost &amp; Allocation'!$B$15:$AK$15),0)</f>
        <v>28033</v>
      </c>
      <c r="P70" s="1059">
        <f>IFERROR(_xlfn.XLOOKUP(P1,'[103]Feed Cost &amp; Allocation'!$B$1:$AK$1,'[103]Feed Cost &amp; Allocation'!$B$50:$AK$50),0)+IFERROR(_xlfn.XLOOKUP(P2,'[103]Feed Cost &amp; Allocation'!$B$1:$AK$1,'[103]Feed Cost &amp; Allocation'!$B$15:$AK$15),0)</f>
        <v>2000</v>
      </c>
      <c r="Q70" s="1059">
        <f>IFERROR(_xlfn.XLOOKUP(Q1,'[103]Feed Cost &amp; Allocation'!$B$1:$AK$1,'[103]Feed Cost &amp; Allocation'!$B$50:$AK$50),0)+IFERROR(_xlfn.XLOOKUP(Q2,'[103]Feed Cost &amp; Allocation'!$B$1:$AK$1,'[103]Feed Cost &amp; Allocation'!$B$15:$AK$15),0)</f>
        <v>2000</v>
      </c>
      <c r="R70" s="1059">
        <f>IFERROR(_xlfn.XLOOKUP(R1,'[103]Feed Cost &amp; Allocation'!$B$1:$AK$1,'[103]Feed Cost &amp; Allocation'!$B$50:$AK$50),0)+IFERROR(_xlfn.XLOOKUP(R2,'[103]Feed Cost &amp; Allocation'!$B$1:$AK$1,'[103]Feed Cost &amp; Allocation'!$B$15:$AK$15),0)</f>
        <v>2019</v>
      </c>
      <c r="S70" s="1059">
        <f>IFERROR(_xlfn.XLOOKUP(S1,'[103]Feed Cost &amp; Allocation'!$B$1:$AK$1,'[103]Feed Cost &amp; Allocation'!$B$50:$AK$50),0)+IFERROR(_xlfn.XLOOKUP(S2,'[103]Feed Cost &amp; Allocation'!$B$1:$AK$1,'[103]Feed Cost &amp; Allocation'!$B$15:$AK$15),0)</f>
        <v>0</v>
      </c>
      <c r="T70" s="1059">
        <f>IFERROR(_xlfn.XLOOKUP(T1,'[103]Feed Cost &amp; Allocation'!$B$1:$AK$1,'[103]Feed Cost &amp; Allocation'!$B$50:$AK$50),0)+IFERROR(_xlfn.XLOOKUP(T2,'[103]Feed Cost &amp; Allocation'!$B$1:$AK$1,'[103]Feed Cost &amp; Allocation'!$B$15:$AK$15),0)</f>
        <v>0</v>
      </c>
      <c r="U70" s="1059">
        <f>IFERROR(_xlfn.XLOOKUP(U1,'[103]Feed Cost &amp; Allocation'!$B$1:$AK$1,'[103]Feed Cost &amp; Allocation'!$B$50:$AK$50),0)+IFERROR(_xlfn.XLOOKUP(U2,'[103]Feed Cost &amp; Allocation'!$B$1:$AK$1,'[103]Feed Cost &amp; Allocation'!$B$15:$AK$15),0)</f>
        <v>0</v>
      </c>
      <c r="V70" s="1059">
        <f>IFERROR(_xlfn.XLOOKUP(V1,'[103]Feed Cost &amp; Allocation'!$B$1:$AK$1,'[103]Feed Cost &amp; Allocation'!$B$50:$AK$50),0)+IFERROR(_xlfn.XLOOKUP(V2,'[103]Feed Cost &amp; Allocation'!$B$1:$AK$1,'[103]Feed Cost &amp; Allocation'!$B$15:$AK$15),0)</f>
        <v>0</v>
      </c>
      <c r="W70" s="1059">
        <f>IFERROR(_xlfn.XLOOKUP(W1,'[103]Feed Cost &amp; Allocation'!$B$1:$AK$1,'[103]Feed Cost &amp; Allocation'!$B$50:$AK$50),0)+IFERROR(_xlfn.XLOOKUP(W2,'[103]Feed Cost &amp; Allocation'!$B$1:$AK$1,'[103]Feed Cost &amp; Allocation'!$B$15:$AK$15),0)</f>
        <v>2100</v>
      </c>
      <c r="X70" s="1059">
        <f>IFERROR(_xlfn.XLOOKUP(X1,'[103]Feed Cost &amp; Allocation'!$B$1:$AK$1,'[103]Feed Cost &amp; Allocation'!$B$50:$AK$50),0)+IFERROR(_xlfn.XLOOKUP(X2,'[103]Feed Cost &amp; Allocation'!$B$1:$AK$1,'[103]Feed Cost &amp; Allocation'!$B$15:$AK$15),0)</f>
        <v>2223</v>
      </c>
      <c r="Y70" s="1059">
        <f>IFERROR(_xlfn.XLOOKUP(Y1,'[103]Feed Cost &amp; Allocation'!$B$1:$AK$1,'[103]Feed Cost &amp; Allocation'!$B$50:$AK$50),0)+IFERROR(_xlfn.XLOOKUP(Y2,'[103]Feed Cost &amp; Allocation'!$B$1:$AK$1,'[103]Feed Cost &amp; Allocation'!$B$15:$AK$15),0)</f>
        <v>0</v>
      </c>
      <c r="Z70" s="1059">
        <f>IFERROR(_xlfn.XLOOKUP(Z1,'[103]Feed Cost &amp; Allocation'!$B$1:$AK$1,'[103]Feed Cost &amp; Allocation'!$B$50:$AK$50),0)+IFERROR(_xlfn.XLOOKUP(Z2,'[103]Feed Cost &amp; Allocation'!$B$1:$AK$1,'[103]Feed Cost &amp; Allocation'!$B$15:$AK$15),0)</f>
        <v>4114</v>
      </c>
      <c r="AA70" s="1059">
        <f>IFERROR(_xlfn.XLOOKUP(AA1,'[103]Feed Cost &amp; Allocation'!$B$1:$AK$1,'[103]Feed Cost &amp; Allocation'!$B$50:$AK$50),0)+IFERROR(_xlfn.XLOOKUP(AA2,'[103]Feed Cost &amp; Allocation'!$B$1:$AK$1,'[103]Feed Cost &amp; Allocation'!$B$15:$AK$15),0)</f>
        <v>0</v>
      </c>
      <c r="AB70" s="1059">
        <f>IFERROR(_xlfn.XLOOKUP(AB1,'[103]Feed Cost &amp; Allocation'!$B$1:$AK$1,'[103]Feed Cost &amp; Allocation'!$B$50:$AK$50),0)+IFERROR(_xlfn.XLOOKUP(AB2,'[103]Feed Cost &amp; Allocation'!$B$1:$AK$1,'[103]Feed Cost &amp; Allocation'!$B$15:$AK$15),0)</f>
        <v>524.9</v>
      </c>
      <c r="AC70" s="1059">
        <f>IFERROR(_xlfn.XLOOKUP(AC1,'[103]Feed Cost &amp; Allocation'!$B$1:$AK$1,'[103]Feed Cost &amp; Allocation'!$B$50:$AK$50),0)+IFERROR(_xlfn.XLOOKUP(AC2,'[103]Feed Cost &amp; Allocation'!$B$1:$AK$1,'[103]Feed Cost &amp; Allocation'!$B$15:$AK$15),0)</f>
        <v>0</v>
      </c>
      <c r="AD70" s="1059">
        <f>IFERROR(_xlfn.XLOOKUP(AD1,'[103]Feed Cost &amp; Allocation'!$B$1:$AK$1,'[103]Feed Cost &amp; Allocation'!$B$50:$AK$50),0)+IFERROR(_xlfn.XLOOKUP(AD2,'[103]Feed Cost &amp; Allocation'!$B$1:$AK$1,'[103]Feed Cost &amp; Allocation'!$B$15:$AK$15),0)</f>
        <v>0</v>
      </c>
      <c r="AE70" s="1059">
        <f>IFERROR(_xlfn.XLOOKUP(AE1,'[103]Feed Cost &amp; Allocation'!$B$1:$AK$1,'[103]Feed Cost &amp; Allocation'!$B$50:$AK$50),0)+IFERROR(_xlfn.XLOOKUP(AE2,'[103]Feed Cost &amp; Allocation'!$B$1:$AK$1,'[103]Feed Cost &amp; Allocation'!$B$15:$AK$15),0)</f>
        <v>0</v>
      </c>
      <c r="AF70" s="1059">
        <f>IFERROR(_xlfn.XLOOKUP(AF1,'[103]Feed Cost &amp; Allocation'!$B$1:$AK$1,'[103]Feed Cost &amp; Allocation'!$B$50:$AK$50),0)+IFERROR(_xlfn.XLOOKUP(AF2,'[103]Feed Cost &amp; Allocation'!$B$1:$AK$1,'[103]Feed Cost &amp; Allocation'!$B$15:$AK$15),0)</f>
        <v>69291</v>
      </c>
      <c r="AG70" s="1059">
        <f>IFERROR(_xlfn.XLOOKUP(AG1,'[103]Feed Cost &amp; Allocation'!$B$1:$AK$1,'[103]Feed Cost &amp; Allocation'!$B$50:$AK$50),0)+IFERROR(_xlfn.XLOOKUP(AG2,'[103]Feed Cost &amp; Allocation'!$B$1:$AL$1,'[103]Feed Cost &amp; Allocation'!$B$15:$AL$15),0)</f>
        <v>0</v>
      </c>
      <c r="AH70" s="1059">
        <f>IFERROR(_xlfn.XLOOKUP(AH1,'[103]Feed Cost &amp; Allocation'!$B$1:$AK$1,'[103]Feed Cost &amp; Allocation'!$B$50:$AK$50),0)+IFERROR(_xlfn.XLOOKUP(AH2,'[103]Feed Cost &amp; Allocation'!$B$1:$AL$1,'[103]Feed Cost &amp; Allocation'!$B$15:$AL$15),0)</f>
        <v>0</v>
      </c>
      <c r="AI70" s="1059">
        <f>IFERROR(_xlfn.XLOOKUP(AI1,'[103]Feed Cost &amp; Allocation'!$B$1:$AK$1,'[103]Feed Cost &amp; Allocation'!$B$50:$AK$50),0)+IFERROR(_xlfn.XLOOKUP(AI2,'[103]Feed Cost &amp; Allocation'!$B$1:$AL$1,'[103]Feed Cost &amp; Allocation'!$B$15:$AL$15),0)</f>
        <v>0</v>
      </c>
      <c r="AJ70" s="1059">
        <f>IFERROR(_xlfn.XLOOKUP(AJ1,'[103]Feed Cost &amp; Allocation'!$B$1:$AK$1,'[103]Feed Cost &amp; Allocation'!$B$50:$AK$50),0)+IFERROR(_xlfn.XLOOKUP(AJ2,'[103]Feed Cost &amp; Allocation'!$B$1:$AL$1,'[103]Feed Cost &amp; Allocation'!$B$15:$AL$15),0)</f>
        <v>0</v>
      </c>
      <c r="AK70" s="1059">
        <f>IFERROR(_xlfn.XLOOKUP(AK1,'[103]Feed Cost &amp; Allocation'!$B$1:$AK$1,'[103]Feed Cost &amp; Allocation'!$B$50:$AK$50),0)+IFERROR(_xlfn.XLOOKUP(AK2,'[103]Feed Cost &amp; Allocation'!$B$1:$AL$1,'[103]Feed Cost &amp; Allocation'!$B$15:$AL$15),0)</f>
        <v>0</v>
      </c>
      <c r="AL70" s="1059">
        <f>IFERROR(_xlfn.XLOOKUP(AL1,'[103]Feed Cost &amp; Allocation'!$B$1:$AK$1,'[103]Feed Cost &amp; Allocation'!$B$50:$AK$50),0)+IFERROR(_xlfn.XLOOKUP(AL2,'[103]Feed Cost &amp; Allocation'!$B$1:$AL$1,'[103]Feed Cost &amp; Allocation'!$B$15:$AL$15),0)</f>
        <v>0</v>
      </c>
      <c r="AM70" s="1059">
        <f>IFERROR(_xlfn.XLOOKUP(AM1,'[103]Feed Cost &amp; Allocation'!$B$1:$AK$1,'[103]Feed Cost &amp; Allocation'!$B$50:$AK$50),0)+IFERROR(_xlfn.XLOOKUP(AM2,'[103]Feed Cost &amp; Allocation'!$B$1:$AL$1,'[103]Feed Cost &amp; Allocation'!$B$15:$AL$15),0)</f>
        <v>0</v>
      </c>
      <c r="AN70" s="1059">
        <f>IFERROR(_xlfn.XLOOKUP(AN1,'[103]Feed Cost &amp; Allocation'!$B$1:$AK$1,'[103]Feed Cost &amp; Allocation'!$B$50:$AK$50),0)+IFERROR(_xlfn.XLOOKUP(AN2,'[103]Feed Cost &amp; Allocation'!$B$1:$AL$1,'[103]Feed Cost &amp; Allocation'!$B$15:$AL$15),0)</f>
        <v>0</v>
      </c>
      <c r="AO70" s="1059">
        <f>IFERROR(_xlfn.XLOOKUP(AO1,'[103]Feed Cost &amp; Allocation'!$B$1:$AK$1,'[103]Feed Cost &amp; Allocation'!$B$50:$AK$50),0)+IFERROR(_xlfn.XLOOKUP(AO2,'[103]Feed Cost &amp; Allocation'!$B$1:$AL$1,'[103]Feed Cost &amp; Allocation'!$B$15:$AL$15),0)</f>
        <v>0</v>
      </c>
      <c r="AP70" s="1059">
        <f>IFERROR(_xlfn.XLOOKUP(AP1,'[103]Feed Cost &amp; Allocation'!$B$1:$AK$1,'[103]Feed Cost &amp; Allocation'!$B$50:$AK$50),0)+IFERROR(_xlfn.XLOOKUP(AP2,'[103]Feed Cost &amp; Allocation'!$B$1:$AL$1,'[103]Feed Cost &amp; Allocation'!$B$15:$AL$15),0)</f>
        <v>0</v>
      </c>
      <c r="AQ70" s="1059">
        <f>IFERROR(_xlfn.XLOOKUP(AQ1,'[103]Feed Cost &amp; Allocation'!$B$1:$AK$1,'[103]Feed Cost &amp; Allocation'!$B$50:$AK$50),0)+IFERROR(_xlfn.XLOOKUP(AQ2,'[103]Feed Cost &amp; Allocation'!$B$1:$AL$1,'[103]Feed Cost &amp; Allocation'!$B$15:$AL$15),0)</f>
        <v>0</v>
      </c>
      <c r="AR70" s="1059"/>
      <c r="AS70" s="1059"/>
      <c r="AT70" s="1059"/>
      <c r="AU70" s="1059"/>
      <c r="AV70" s="1059"/>
      <c r="AW70" s="1059"/>
      <c r="AX70" s="1059"/>
      <c r="AY70" s="818">
        <f t="shared" si="2"/>
        <v>280654.90000000002</v>
      </c>
      <c r="AZ70" s="818">
        <f>'[103]Feed Cost &amp; Allocation'!$AN$50</f>
        <v>280654.90000000002</v>
      </c>
      <c r="BA70" s="818">
        <f t="shared" si="1"/>
        <v>0</v>
      </c>
    </row>
    <row r="71" spans="1:57">
      <c r="A71" s="1073" t="s">
        <v>183</v>
      </c>
      <c r="BD71" s="818">
        <f>'[103]Feed Cost &amp; Allocation'!$AF$68</f>
        <v>0</v>
      </c>
    </row>
    <row r="72" spans="1:57" thickBot="1">
      <c r="A72" s="1121" t="s">
        <v>2043</v>
      </c>
      <c r="B72" s="1116">
        <f t="shared" ref="B72:AG72" si="3">SUM(B73:B80)</f>
        <v>0</v>
      </c>
      <c r="C72" s="1116">
        <f t="shared" si="3"/>
        <v>212021.7</v>
      </c>
      <c r="D72" s="1116">
        <f t="shared" si="3"/>
        <v>215906.5</v>
      </c>
      <c r="E72" s="1116">
        <f t="shared" si="3"/>
        <v>411216</v>
      </c>
      <c r="F72" s="1116">
        <f t="shared" si="3"/>
        <v>469777</v>
      </c>
      <c r="G72" s="1116">
        <f t="shared" si="3"/>
        <v>508593</v>
      </c>
      <c r="H72" s="1116">
        <f t="shared" si="3"/>
        <v>731150.9</v>
      </c>
      <c r="I72" s="1116">
        <f t="shared" si="3"/>
        <v>55788</v>
      </c>
      <c r="J72" s="1116">
        <f t="shared" si="3"/>
        <v>766829</v>
      </c>
      <c r="K72" s="1116">
        <f t="shared" si="3"/>
        <v>235856</v>
      </c>
      <c r="L72" s="1116">
        <f t="shared" si="3"/>
        <v>69073</v>
      </c>
      <c r="M72" s="1116">
        <f t="shared" si="3"/>
        <v>151317</v>
      </c>
      <c r="N72" s="1116">
        <f t="shared" si="3"/>
        <v>28566</v>
      </c>
      <c r="O72" s="1116">
        <f t="shared" si="3"/>
        <v>43821</v>
      </c>
      <c r="P72" s="1116">
        <f t="shared" si="3"/>
        <v>19759.599999999999</v>
      </c>
      <c r="Q72" s="1116">
        <f t="shared" si="3"/>
        <v>10818.6</v>
      </c>
      <c r="R72" s="1116">
        <f t="shared" si="3"/>
        <v>16238.1</v>
      </c>
      <c r="S72" s="1116">
        <f t="shared" si="3"/>
        <v>0</v>
      </c>
      <c r="T72" s="1116">
        <f t="shared" si="3"/>
        <v>0</v>
      </c>
      <c r="U72" s="1116">
        <f t="shared" si="3"/>
        <v>0</v>
      </c>
      <c r="V72" s="1116">
        <f t="shared" si="3"/>
        <v>0</v>
      </c>
      <c r="W72" s="1116">
        <f t="shared" si="3"/>
        <v>34359.599999999999</v>
      </c>
      <c r="X72" s="1116">
        <f t="shared" si="3"/>
        <v>33866.5</v>
      </c>
      <c r="Y72" s="1116">
        <f t="shared" si="3"/>
        <v>6537</v>
      </c>
      <c r="Z72" s="1116">
        <f t="shared" si="3"/>
        <v>52615.5</v>
      </c>
      <c r="AA72" s="1116">
        <f t="shared" si="3"/>
        <v>0</v>
      </c>
      <c r="AB72" s="1116">
        <f t="shared" si="3"/>
        <v>5063.1000000000004</v>
      </c>
      <c r="AC72" s="1116">
        <f t="shared" si="3"/>
        <v>0</v>
      </c>
      <c r="AD72" s="1116">
        <f t="shared" si="3"/>
        <v>0</v>
      </c>
      <c r="AE72" s="1116">
        <f t="shared" si="3"/>
        <v>60926</v>
      </c>
      <c r="AF72" s="1116">
        <f t="shared" si="3"/>
        <v>590380.19999999995</v>
      </c>
      <c r="AG72" s="1116">
        <f t="shared" si="3"/>
        <v>10902</v>
      </c>
      <c r="AH72" s="1116">
        <f t="shared" ref="AH72:AQ72" si="4">SUM(AH73:AH80)</f>
        <v>0</v>
      </c>
      <c r="AI72" s="1116">
        <f t="shared" si="4"/>
        <v>0</v>
      </c>
      <c r="AJ72" s="1116">
        <f t="shared" si="4"/>
        <v>0</v>
      </c>
      <c r="AK72" s="1116">
        <f t="shared" si="4"/>
        <v>0</v>
      </c>
      <c r="AL72" s="1116">
        <f t="shared" si="4"/>
        <v>0</v>
      </c>
      <c r="AM72" s="1116">
        <f t="shared" si="4"/>
        <v>0</v>
      </c>
      <c r="AN72" s="1116">
        <f t="shared" si="4"/>
        <v>0</v>
      </c>
      <c r="AO72" s="1116">
        <f t="shared" si="4"/>
        <v>0</v>
      </c>
      <c r="AP72" s="1116">
        <f t="shared" si="4"/>
        <v>0</v>
      </c>
      <c r="AQ72" s="1116">
        <f t="shared" si="4"/>
        <v>0</v>
      </c>
      <c r="AR72" s="1116"/>
      <c r="AS72" s="1116"/>
      <c r="AT72" s="1116"/>
      <c r="AU72" s="1116"/>
      <c r="AV72" s="1116"/>
      <c r="AW72" s="1116"/>
      <c r="AX72" s="1116"/>
      <c r="AY72" s="1116">
        <f>SUM(AY73:AY81)</f>
        <v>5022036.2</v>
      </c>
      <c r="AZ72" s="1116">
        <f>SUM(AZ73:AZ81)</f>
        <v>2218034.3834701693</v>
      </c>
      <c r="BA72" s="1990">
        <f>AY72-AZ72</f>
        <v>2804001.8165298309</v>
      </c>
      <c r="BB72" s="818">
        <f>'[103]Feed Cost &amp; Allocation'!$AN$57+'[103]Feed Cost &amp; Allocation'!$AN$68</f>
        <v>2218034.3834701693</v>
      </c>
      <c r="BC72" s="818">
        <f>AY72-BB72</f>
        <v>2804001.8165298309</v>
      </c>
      <c r="BD72" s="1763">
        <v>1617451.6999999997</v>
      </c>
      <c r="BE72" s="818">
        <f>BD71-BD72</f>
        <v>-1617451.6999999997</v>
      </c>
    </row>
    <row r="73" spans="1:57" ht="15">
      <c r="A73" s="1121" t="s">
        <v>2034</v>
      </c>
      <c r="B73" s="2003">
        <f>B62*B84</f>
        <v>0</v>
      </c>
      <c r="C73" s="1095">
        <f>+C62</f>
        <v>51030.7</v>
      </c>
      <c r="D73" s="1095">
        <f t="shared" ref="D73:AG73" si="5">+D62</f>
        <v>58103</v>
      </c>
      <c r="E73" s="1095">
        <f t="shared" si="5"/>
        <v>118205</v>
      </c>
      <c r="F73" s="1095">
        <f t="shared" si="5"/>
        <v>132581</v>
      </c>
      <c r="G73" s="1095">
        <f t="shared" si="5"/>
        <v>164536</v>
      </c>
      <c r="H73" s="1095">
        <f t="shared" si="5"/>
        <v>259803.9</v>
      </c>
      <c r="I73" s="1095">
        <f t="shared" si="5"/>
        <v>16519</v>
      </c>
      <c r="J73" s="1095">
        <f t="shared" si="5"/>
        <v>0</v>
      </c>
      <c r="K73" s="1095">
        <f t="shared" si="5"/>
        <v>94622</v>
      </c>
      <c r="L73" s="1095">
        <f t="shared" si="5"/>
        <v>56238</v>
      </c>
      <c r="M73" s="1095">
        <f t="shared" si="5"/>
        <v>20112</v>
      </c>
      <c r="N73" s="1095">
        <f t="shared" si="5"/>
        <v>13076</v>
      </c>
      <c r="O73" s="1095">
        <f t="shared" si="5"/>
        <v>0</v>
      </c>
      <c r="P73" s="1095">
        <f t="shared" si="5"/>
        <v>6125</v>
      </c>
      <c r="Q73" s="1095">
        <f t="shared" si="5"/>
        <v>1084.5999999999999</v>
      </c>
      <c r="R73" s="1095">
        <f t="shared" si="5"/>
        <v>2924.1</v>
      </c>
      <c r="S73" s="1095">
        <f t="shared" si="5"/>
        <v>0</v>
      </c>
      <c r="T73" s="1095">
        <f t="shared" si="5"/>
        <v>0</v>
      </c>
      <c r="U73" s="1095">
        <f t="shared" si="5"/>
        <v>0</v>
      </c>
      <c r="V73" s="1095">
        <f t="shared" si="5"/>
        <v>0</v>
      </c>
      <c r="W73" s="1095">
        <f t="shared" si="5"/>
        <v>19259.599999999999</v>
      </c>
      <c r="X73" s="1095">
        <f t="shared" si="5"/>
        <v>12896.5</v>
      </c>
      <c r="Y73" s="1095">
        <f t="shared" si="5"/>
        <v>3038</v>
      </c>
      <c r="Z73" s="1095">
        <f t="shared" si="5"/>
        <v>19003.5</v>
      </c>
      <c r="AA73" s="1095">
        <f t="shared" si="5"/>
        <v>0</v>
      </c>
      <c r="AB73" s="1095">
        <f t="shared" si="5"/>
        <v>3563.1</v>
      </c>
      <c r="AC73" s="1095">
        <f t="shared" si="5"/>
        <v>0</v>
      </c>
      <c r="AD73" s="1095">
        <f t="shared" si="5"/>
        <v>0</v>
      </c>
      <c r="AE73" s="1095">
        <f t="shared" si="5"/>
        <v>31272</v>
      </c>
      <c r="AF73" s="1095">
        <f t="shared" si="5"/>
        <v>383041</v>
      </c>
      <c r="AG73" s="1095">
        <f t="shared" si="5"/>
        <v>0</v>
      </c>
      <c r="AH73" s="1095">
        <f>IFERROR(_xlfn.XLOOKUP(AH1,'[103]Feed Cost &amp; Allocation'!$B$1:$AK$1,'[103]Feed Cost &amp; Allocation'!$B$58:$AK$58),0)+IFERROR(_xlfn.XLOOKUP(AH1,'[103]Feed Cost &amp; Allocation'!$B$1:$AK$1,'[103]Feed Cost &amp; Allocation'!$B$69:$AK$69),0)</f>
        <v>0</v>
      </c>
      <c r="AI73" s="1095">
        <f>IFERROR(_xlfn.XLOOKUP(AI1,'[103]Feed Cost &amp; Allocation'!$B$1:$AK$1,'[103]Feed Cost &amp; Allocation'!$B$58:$AK$58),0)+IFERROR(_xlfn.XLOOKUP(AI1,'[103]Feed Cost &amp; Allocation'!$B$1:$AK$1,'[103]Feed Cost &amp; Allocation'!$B$69:$AK$69),0)</f>
        <v>0</v>
      </c>
      <c r="AJ73" s="1095">
        <f>IFERROR(_xlfn.XLOOKUP(AJ1,'[103]Feed Cost &amp; Allocation'!$B$1:$AK$1,'[103]Feed Cost &amp; Allocation'!$B$58:$AK$58),0)+IFERROR(_xlfn.XLOOKUP(AJ1,'[103]Feed Cost &amp; Allocation'!$B$1:$AK$1,'[103]Feed Cost &amp; Allocation'!$B$69:$AK$69),0)</f>
        <v>0</v>
      </c>
      <c r="AK73" s="1095">
        <f>IFERROR(_xlfn.XLOOKUP(AK1,'[103]Feed Cost &amp; Allocation'!$B$1:$AK$1,'[103]Feed Cost &amp; Allocation'!$B$58:$AK$58),0)+IFERROR(_xlfn.XLOOKUP(AK1,'[103]Feed Cost &amp; Allocation'!$B$1:$AK$1,'[103]Feed Cost &amp; Allocation'!$B$69:$AK$69),0)</f>
        <v>0</v>
      </c>
      <c r="AL73" s="1095">
        <f>IFERROR(_xlfn.XLOOKUP(AL1,'[103]Feed Cost &amp; Allocation'!$B$1:$AK$1,'[103]Feed Cost &amp; Allocation'!$B$58:$AK$58),0)+IFERROR(_xlfn.XLOOKUP(AL1,'[103]Feed Cost &amp; Allocation'!$B$1:$AK$1,'[103]Feed Cost &amp; Allocation'!$B$69:$AK$69),0)</f>
        <v>0</v>
      </c>
      <c r="AM73" s="1095">
        <f>IFERROR(_xlfn.XLOOKUP(AM1,'[103]Feed Cost &amp; Allocation'!$B$1:$AK$1,'[103]Feed Cost &amp; Allocation'!$B$58:$AK$58),0)+IFERROR(_xlfn.XLOOKUP(AM1,'[103]Feed Cost &amp; Allocation'!$B$1:$AK$1,'[103]Feed Cost &amp; Allocation'!$B$69:$AK$69),0)</f>
        <v>0</v>
      </c>
      <c r="AN73" s="1095">
        <f>IFERROR(_xlfn.XLOOKUP(AN1,'[103]Feed Cost &amp; Allocation'!$B$1:$AK$1,'[103]Feed Cost &amp; Allocation'!$B$58:$AK$58),0)+IFERROR(_xlfn.XLOOKUP(AN1,'[103]Feed Cost &amp; Allocation'!$B$1:$AK$1,'[103]Feed Cost &amp; Allocation'!$B$69:$AK$69),0)</f>
        <v>0</v>
      </c>
      <c r="AO73" s="1095">
        <f>IFERROR(_xlfn.XLOOKUP(AO1,'[103]Feed Cost &amp; Allocation'!$B$1:$AK$1,'[103]Feed Cost &amp; Allocation'!$B$58:$AK$58),0)+IFERROR(_xlfn.XLOOKUP(AO1,'[103]Feed Cost &amp; Allocation'!$B$1:$AK$1,'[103]Feed Cost &amp; Allocation'!$B$69:$AK$69),0)</f>
        <v>0</v>
      </c>
      <c r="AP73" s="1095">
        <f>IFERROR(_xlfn.XLOOKUP(AP1,'[103]Feed Cost &amp; Allocation'!$B$1:$AK$1,'[103]Feed Cost &amp; Allocation'!$B$58:$AK$58),0)+IFERROR(_xlfn.XLOOKUP(AP1,'[103]Feed Cost &amp; Allocation'!$B$1:$AK$1,'[103]Feed Cost &amp; Allocation'!$B$69:$AK$69),0)</f>
        <v>0</v>
      </c>
      <c r="AQ73" s="1095"/>
      <c r="AR73" s="1095"/>
      <c r="AS73" s="1095"/>
      <c r="AT73" s="1095"/>
      <c r="AU73" s="1095"/>
      <c r="AV73" s="1095"/>
      <c r="AW73" s="1095"/>
      <c r="AX73" s="1095"/>
      <c r="AY73" s="818">
        <f>SUM(B73:AP73)</f>
        <v>1467034</v>
      </c>
      <c r="AZ73" s="818">
        <f>'[103]Feed Cost &amp; Allocation'!$AO$69</f>
        <v>641930.53772786167</v>
      </c>
      <c r="BA73" s="1990">
        <f>AY73-AZ73</f>
        <v>825103.46227213833</v>
      </c>
      <c r="BB73" s="818">
        <f>AZ72-BB72</f>
        <v>0</v>
      </c>
      <c r="BC73" s="818">
        <f t="shared" ref="BC73:BC80" si="6">AY73-AZ73</f>
        <v>825103.46227213833</v>
      </c>
    </row>
    <row r="74" spans="1:57" ht="15">
      <c r="A74" s="1121" t="s">
        <v>2035</v>
      </c>
      <c r="B74" s="1115">
        <f t="shared" ref="B74:B80" si="7">B63*B85</f>
        <v>0</v>
      </c>
      <c r="C74" s="1095">
        <f t="shared" ref="C74:AG74" si="8">+C63</f>
        <v>6400</v>
      </c>
      <c r="D74" s="1095">
        <f t="shared" si="8"/>
        <v>11974</v>
      </c>
      <c r="E74" s="1095">
        <f t="shared" si="8"/>
        <v>16617</v>
      </c>
      <c r="F74" s="1095">
        <f t="shared" si="8"/>
        <v>20149</v>
      </c>
      <c r="G74" s="1095">
        <f t="shared" si="8"/>
        <v>23963</v>
      </c>
      <c r="H74" s="1095">
        <f t="shared" si="8"/>
        <v>39257</v>
      </c>
      <c r="I74" s="1095">
        <f t="shared" si="8"/>
        <v>3816</v>
      </c>
      <c r="J74" s="1095">
        <f t="shared" si="8"/>
        <v>63282</v>
      </c>
      <c r="K74" s="1095">
        <f t="shared" si="8"/>
        <v>15999</v>
      </c>
      <c r="L74" s="1095">
        <f t="shared" si="8"/>
        <v>12835</v>
      </c>
      <c r="M74" s="1095">
        <f t="shared" si="8"/>
        <v>3019</v>
      </c>
      <c r="N74" s="1095">
        <f t="shared" si="8"/>
        <v>1455</v>
      </c>
      <c r="O74" s="1095">
        <f t="shared" si="8"/>
        <v>4742</v>
      </c>
      <c r="P74" s="1095">
        <f t="shared" si="8"/>
        <v>717</v>
      </c>
      <c r="Q74" s="1095">
        <f t="shared" si="8"/>
        <v>700</v>
      </c>
      <c r="R74" s="1095">
        <f t="shared" si="8"/>
        <v>1000</v>
      </c>
      <c r="S74" s="1095">
        <f t="shared" si="8"/>
        <v>0</v>
      </c>
      <c r="T74" s="1095">
        <f t="shared" si="8"/>
        <v>0</v>
      </c>
      <c r="U74" s="1095">
        <f t="shared" si="8"/>
        <v>0</v>
      </c>
      <c r="V74" s="1095">
        <f t="shared" si="8"/>
        <v>0</v>
      </c>
      <c r="W74" s="1095">
        <f t="shared" si="8"/>
        <v>3050</v>
      </c>
      <c r="X74" s="1095">
        <f t="shared" si="8"/>
        <v>3500</v>
      </c>
      <c r="Y74" s="1095">
        <f t="shared" si="8"/>
        <v>250</v>
      </c>
      <c r="Z74" s="1095">
        <f t="shared" si="8"/>
        <v>0</v>
      </c>
      <c r="AA74" s="1095">
        <f t="shared" si="8"/>
        <v>0</v>
      </c>
      <c r="AB74" s="1095">
        <f t="shared" si="8"/>
        <v>100</v>
      </c>
      <c r="AC74" s="1095">
        <f t="shared" si="8"/>
        <v>0</v>
      </c>
      <c r="AD74" s="1095">
        <f t="shared" si="8"/>
        <v>0</v>
      </c>
      <c r="AE74" s="1095">
        <f t="shared" si="8"/>
        <v>5048</v>
      </c>
      <c r="AF74" s="1095">
        <f t="shared" si="8"/>
        <v>0</v>
      </c>
      <c r="AG74" s="1095">
        <f t="shared" si="8"/>
        <v>2910</v>
      </c>
      <c r="AH74" s="1095">
        <f>IFERROR(_xlfn.XLOOKUP(AH1,'[103]Feed Cost &amp; Allocation'!$B$1:$AK$1,'[103]Feed Cost &amp; Allocation'!$B$59:$AK$59),0)+IFERROR(_xlfn.XLOOKUP(AH1,'[103]Feed Cost &amp; Allocation'!$B$1:$AK$1,'[103]Feed Cost &amp; Allocation'!$B$70:$AK$70),0)</f>
        <v>0</v>
      </c>
      <c r="AI74" s="1095">
        <f>IFERROR(_xlfn.XLOOKUP(AI1,'[103]Feed Cost &amp; Allocation'!$B$1:$AK$1,'[103]Feed Cost &amp; Allocation'!$B$59:$AK$59),0)+IFERROR(_xlfn.XLOOKUP(AI1,'[103]Feed Cost &amp; Allocation'!$B$1:$AK$1,'[103]Feed Cost &amp; Allocation'!$B$70:$AK$70),0)</f>
        <v>0</v>
      </c>
      <c r="AJ74" s="1095">
        <f>IFERROR(_xlfn.XLOOKUP(AJ1,'[103]Feed Cost &amp; Allocation'!$B$1:$AK$1,'[103]Feed Cost &amp; Allocation'!$B$59:$AK$59),0)+IFERROR(_xlfn.XLOOKUP(AJ1,'[103]Feed Cost &amp; Allocation'!$B$1:$AK$1,'[103]Feed Cost &amp; Allocation'!$B$70:$AK$70),0)</f>
        <v>0</v>
      </c>
      <c r="AK74" s="1095">
        <f>IFERROR(_xlfn.XLOOKUP(AK1,'[103]Feed Cost &amp; Allocation'!$B$1:$AK$1,'[103]Feed Cost &amp; Allocation'!$B$59:$AK$59),0)+IFERROR(_xlfn.XLOOKUP(AK1,'[103]Feed Cost &amp; Allocation'!$B$1:$AK$1,'[103]Feed Cost &amp; Allocation'!$B$70:$AK$70),0)</f>
        <v>0</v>
      </c>
      <c r="AL74" s="1095">
        <f>IFERROR(_xlfn.XLOOKUP(AL1,'[103]Feed Cost &amp; Allocation'!$B$1:$AK$1,'[103]Feed Cost &amp; Allocation'!$B$59:$AK$59),0)+IFERROR(_xlfn.XLOOKUP(AL1,'[103]Feed Cost &amp; Allocation'!$B$1:$AK$1,'[103]Feed Cost &amp; Allocation'!$B$70:$AK$70),0)</f>
        <v>0</v>
      </c>
      <c r="AM74" s="1095">
        <f>IFERROR(_xlfn.XLOOKUP(AM1,'[103]Feed Cost &amp; Allocation'!$B$1:$AK$1,'[103]Feed Cost &amp; Allocation'!$B$59:$AK$59),0)+IFERROR(_xlfn.XLOOKUP(AM1,'[103]Feed Cost &amp; Allocation'!$B$1:$AK$1,'[103]Feed Cost &amp; Allocation'!$B$70:$AK$70),0)</f>
        <v>0</v>
      </c>
      <c r="AN74" s="1095">
        <f>IFERROR(_xlfn.XLOOKUP(AN1,'[103]Feed Cost &amp; Allocation'!$B$1:$AK$1,'[103]Feed Cost &amp; Allocation'!$B$59:$AK$59),0)+IFERROR(_xlfn.XLOOKUP(AN1,'[103]Feed Cost &amp; Allocation'!$B$1:$AK$1,'[103]Feed Cost &amp; Allocation'!$B$70:$AK$70),0)</f>
        <v>0</v>
      </c>
      <c r="AO74" s="1095">
        <f>IFERROR(_xlfn.XLOOKUP(AO1,'[103]Feed Cost &amp; Allocation'!$B$1:$AK$1,'[103]Feed Cost &amp; Allocation'!$B$59:$AK$59),0)+IFERROR(_xlfn.XLOOKUP(AO1,'[103]Feed Cost &amp; Allocation'!$B$1:$AK$1,'[103]Feed Cost &amp; Allocation'!$B$70:$AK$70),0)</f>
        <v>0</v>
      </c>
      <c r="AP74" s="1095">
        <f>IFERROR(_xlfn.XLOOKUP(AP1,'[103]Feed Cost &amp; Allocation'!$B$1:$AK$1,'[103]Feed Cost &amp; Allocation'!$B$59:$AK$59),0)+IFERROR(_xlfn.XLOOKUP(AP1,'[103]Feed Cost &amp; Allocation'!$B$1:$AK$1,'[103]Feed Cost &amp; Allocation'!$B$70:$AK$70),0)</f>
        <v>0</v>
      </c>
      <c r="AQ74" s="1095"/>
      <c r="AR74" s="1095"/>
      <c r="AS74" s="1095"/>
      <c r="AT74" s="1095"/>
      <c r="AU74" s="1095"/>
      <c r="AV74" s="1095"/>
      <c r="AW74" s="1095"/>
      <c r="AX74" s="1095"/>
      <c r="AY74" s="818">
        <f t="shared" ref="AY74:AY79" si="9">SUM(B74:AP74)</f>
        <v>240783</v>
      </c>
      <c r="AZ74" s="818">
        <f>'[103]Feed Cost &amp; Allocation'!$AO$70</f>
        <v>104844.7605310247</v>
      </c>
      <c r="BA74" s="1990">
        <f t="shared" ref="BA74:BA81" si="10">AY74-AZ74</f>
        <v>135938.23946897528</v>
      </c>
      <c r="BC74" s="818">
        <f t="shared" si="6"/>
        <v>135938.23946897528</v>
      </c>
    </row>
    <row r="75" spans="1:57" ht="15">
      <c r="A75" s="1121" t="s">
        <v>2036</v>
      </c>
      <c r="B75" s="1115">
        <f t="shared" si="7"/>
        <v>0</v>
      </c>
      <c r="C75" s="1095">
        <f t="shared" ref="C75:AG75" si="11">+C64</f>
        <v>41585</v>
      </c>
      <c r="D75" s="1095">
        <f t="shared" si="11"/>
        <v>42089.5</v>
      </c>
      <c r="E75" s="1095">
        <f t="shared" si="11"/>
        <v>69331</v>
      </c>
      <c r="F75" s="1095">
        <f t="shared" si="11"/>
        <v>85171</v>
      </c>
      <c r="G75" s="1095">
        <f t="shared" si="11"/>
        <v>84795</v>
      </c>
      <c r="H75" s="1095">
        <f t="shared" si="11"/>
        <v>110777</v>
      </c>
      <c r="I75" s="1095">
        <f t="shared" si="11"/>
        <v>14162</v>
      </c>
      <c r="J75" s="1095">
        <f t="shared" si="11"/>
        <v>261588</v>
      </c>
      <c r="K75" s="1095">
        <f t="shared" si="11"/>
        <v>42597</v>
      </c>
      <c r="L75" s="1095">
        <f t="shared" si="11"/>
        <v>0</v>
      </c>
      <c r="M75" s="1095">
        <f t="shared" si="11"/>
        <v>44977</v>
      </c>
      <c r="N75" s="1095">
        <f t="shared" si="11"/>
        <v>3500</v>
      </c>
      <c r="O75" s="1095">
        <f t="shared" si="11"/>
        <v>10353</v>
      </c>
      <c r="P75" s="1095">
        <f t="shared" si="11"/>
        <v>3418.6</v>
      </c>
      <c r="Q75" s="1095">
        <f t="shared" si="11"/>
        <v>2150</v>
      </c>
      <c r="R75" s="1095">
        <f t="shared" si="11"/>
        <v>3350</v>
      </c>
      <c r="S75" s="1095">
        <f t="shared" si="11"/>
        <v>0</v>
      </c>
      <c r="T75" s="1095">
        <f t="shared" si="11"/>
        <v>0</v>
      </c>
      <c r="U75" s="1095">
        <f t="shared" si="11"/>
        <v>0</v>
      </c>
      <c r="V75" s="1095">
        <f t="shared" si="11"/>
        <v>0</v>
      </c>
      <c r="W75" s="1095">
        <f t="shared" si="11"/>
        <v>6617</v>
      </c>
      <c r="X75" s="1095">
        <f t="shared" si="11"/>
        <v>4907</v>
      </c>
      <c r="Y75" s="1095">
        <f t="shared" si="11"/>
        <v>1634</v>
      </c>
      <c r="Z75" s="1095">
        <f t="shared" si="11"/>
        <v>9924</v>
      </c>
      <c r="AA75" s="1095">
        <f t="shared" si="11"/>
        <v>0</v>
      </c>
      <c r="AB75" s="1095">
        <f t="shared" si="11"/>
        <v>0</v>
      </c>
      <c r="AC75" s="1095">
        <f t="shared" si="11"/>
        <v>0</v>
      </c>
      <c r="AD75" s="1095">
        <f t="shared" si="11"/>
        <v>0</v>
      </c>
      <c r="AE75" s="1095">
        <f t="shared" si="11"/>
        <v>12717</v>
      </c>
      <c r="AF75" s="1095">
        <f t="shared" si="11"/>
        <v>0</v>
      </c>
      <c r="AG75" s="1095">
        <f t="shared" si="11"/>
        <v>900</v>
      </c>
      <c r="AH75" s="1095">
        <f>IFERROR(_xlfn.XLOOKUP(AH1,'[103]Feed Cost &amp; Allocation'!$B$1:$AK$1,'[103]Feed Cost &amp; Allocation'!$B$60:$AK$60),0)+IFERROR(_xlfn.XLOOKUP(AH1,'[103]Feed Cost &amp; Allocation'!$B$1:$AK$1,'[103]Feed Cost &amp; Allocation'!$B$71:$AK$71),0)</f>
        <v>0</v>
      </c>
      <c r="AI75" s="1095">
        <f>IFERROR(_xlfn.XLOOKUP(AI1,'[103]Feed Cost &amp; Allocation'!$B$1:$AK$1,'[103]Feed Cost &amp; Allocation'!$B$60:$AK$60),0)+IFERROR(_xlfn.XLOOKUP(AI1,'[103]Feed Cost &amp; Allocation'!$B$1:$AK$1,'[103]Feed Cost &amp; Allocation'!$B$71:$AK$71),0)</f>
        <v>0</v>
      </c>
      <c r="AJ75" s="1095">
        <f>IFERROR(_xlfn.XLOOKUP(AJ1,'[103]Feed Cost &amp; Allocation'!$B$1:$AK$1,'[103]Feed Cost &amp; Allocation'!$B$60:$AK$60),0)+IFERROR(_xlfn.XLOOKUP(AJ1,'[103]Feed Cost &amp; Allocation'!$B$1:$AK$1,'[103]Feed Cost &amp; Allocation'!$B$71:$AK$71),0)</f>
        <v>0</v>
      </c>
      <c r="AK75" s="1095">
        <f>IFERROR(_xlfn.XLOOKUP(AK1,'[103]Feed Cost &amp; Allocation'!$B$1:$AK$1,'[103]Feed Cost &amp; Allocation'!$B$60:$AK$60),0)+IFERROR(_xlfn.XLOOKUP(AK1,'[103]Feed Cost &amp; Allocation'!$B$1:$AK$1,'[103]Feed Cost &amp; Allocation'!$B$71:$AK$71),0)</f>
        <v>0</v>
      </c>
      <c r="AL75" s="1095">
        <f>IFERROR(_xlfn.XLOOKUP(AL1,'[103]Feed Cost &amp; Allocation'!$B$1:$AK$1,'[103]Feed Cost &amp; Allocation'!$B$60:$AK$60),0)+IFERROR(_xlfn.XLOOKUP(AL1,'[103]Feed Cost &amp; Allocation'!$B$1:$AK$1,'[103]Feed Cost &amp; Allocation'!$B$71:$AK$71),0)</f>
        <v>0</v>
      </c>
      <c r="AM75" s="1095">
        <f>IFERROR(_xlfn.XLOOKUP(AM1,'[103]Feed Cost &amp; Allocation'!$B$1:$AK$1,'[103]Feed Cost &amp; Allocation'!$B$60:$AK$60),0)+IFERROR(_xlfn.XLOOKUP(AM1,'[103]Feed Cost &amp; Allocation'!$B$1:$AK$1,'[103]Feed Cost &amp; Allocation'!$B$71:$AK$71),0)</f>
        <v>0</v>
      </c>
      <c r="AN75" s="1095">
        <f>IFERROR(_xlfn.XLOOKUP(AN1,'[103]Feed Cost &amp; Allocation'!$B$1:$AK$1,'[103]Feed Cost &amp; Allocation'!$B$60:$AK$60),0)+IFERROR(_xlfn.XLOOKUP(AN1,'[103]Feed Cost &amp; Allocation'!$B$1:$AK$1,'[103]Feed Cost &amp; Allocation'!$B$71:$AK$71),0)</f>
        <v>0</v>
      </c>
      <c r="AO75" s="1095">
        <f>IFERROR(_xlfn.XLOOKUP(AO1,'[103]Feed Cost &amp; Allocation'!$B$1:$AK$1,'[103]Feed Cost &amp; Allocation'!$B$60:$AK$60),0)+IFERROR(_xlfn.XLOOKUP(AO1,'[103]Feed Cost &amp; Allocation'!$B$1:$AK$1,'[103]Feed Cost &amp; Allocation'!$B$71:$AK$71),0)</f>
        <v>0</v>
      </c>
      <c r="AP75" s="1095">
        <f>IFERROR(_xlfn.XLOOKUP(AP1,'[103]Feed Cost &amp; Allocation'!$B$1:$AK$1,'[103]Feed Cost &amp; Allocation'!$B$60:$AK$60),0)+IFERROR(_xlfn.XLOOKUP(AP1,'[103]Feed Cost &amp; Allocation'!$B$1:$AK$1,'[103]Feed Cost &amp; Allocation'!$B$71:$AK$71),0)</f>
        <v>0</v>
      </c>
      <c r="AQ75" s="1095"/>
      <c r="AR75" s="1095"/>
      <c r="AS75" s="1095"/>
      <c r="AT75" s="1095"/>
      <c r="AU75" s="1095"/>
      <c r="AV75" s="1095"/>
      <c r="AW75" s="1095"/>
      <c r="AX75" s="1095"/>
      <c r="AY75" s="818">
        <f t="shared" si="9"/>
        <v>856543.1</v>
      </c>
      <c r="AZ75" s="818">
        <f>'[103]Feed Cost &amp; Allocation'!$AO$71</f>
        <v>379295.569825146</v>
      </c>
      <c r="BA75" s="1990">
        <f t="shared" si="10"/>
        <v>477247.53017485398</v>
      </c>
      <c r="BC75" s="818">
        <f t="shared" si="6"/>
        <v>477247.53017485398</v>
      </c>
    </row>
    <row r="76" spans="1:57" ht="15">
      <c r="A76" s="1121" t="s">
        <v>2037</v>
      </c>
      <c r="B76" s="1115">
        <f t="shared" si="7"/>
        <v>0</v>
      </c>
      <c r="C76" s="1095">
        <f t="shared" ref="C76:AG76" si="12">+C65</f>
        <v>45771</v>
      </c>
      <c r="D76" s="1095">
        <f t="shared" si="12"/>
        <v>42444</v>
      </c>
      <c r="E76" s="1095">
        <f t="shared" si="12"/>
        <v>75743</v>
      </c>
      <c r="F76" s="1095">
        <f t="shared" si="12"/>
        <v>75319</v>
      </c>
      <c r="G76" s="1095">
        <f t="shared" si="12"/>
        <v>82406</v>
      </c>
      <c r="H76" s="1095">
        <f t="shared" si="12"/>
        <v>46217</v>
      </c>
      <c r="I76" s="1095">
        <f t="shared" si="12"/>
        <v>11224</v>
      </c>
      <c r="J76" s="1095">
        <f t="shared" si="12"/>
        <v>220983</v>
      </c>
      <c r="K76" s="1095">
        <f t="shared" si="12"/>
        <v>35573</v>
      </c>
      <c r="L76" s="1095">
        <f t="shared" si="12"/>
        <v>0</v>
      </c>
      <c r="M76" s="1095">
        <f t="shared" si="12"/>
        <v>36282</v>
      </c>
      <c r="N76" s="1095">
        <f t="shared" si="12"/>
        <v>5470</v>
      </c>
      <c r="O76" s="1095">
        <f t="shared" si="12"/>
        <v>13665</v>
      </c>
      <c r="P76" s="1095">
        <f t="shared" si="12"/>
        <v>3950</v>
      </c>
      <c r="Q76" s="1095">
        <f t="shared" si="12"/>
        <v>4855</v>
      </c>
      <c r="R76" s="1095">
        <f t="shared" si="12"/>
        <v>4567</v>
      </c>
      <c r="S76" s="1095">
        <f t="shared" si="12"/>
        <v>0</v>
      </c>
      <c r="T76" s="1095">
        <f t="shared" si="12"/>
        <v>0</v>
      </c>
      <c r="U76" s="1095">
        <f t="shared" si="12"/>
        <v>0</v>
      </c>
      <c r="V76" s="1095">
        <f t="shared" si="12"/>
        <v>0</v>
      </c>
      <c r="W76" s="1095">
        <f t="shared" si="12"/>
        <v>3100</v>
      </c>
      <c r="X76" s="1095">
        <f t="shared" si="12"/>
        <v>5697</v>
      </c>
      <c r="Y76" s="1095">
        <f t="shared" si="12"/>
        <v>1615</v>
      </c>
      <c r="Z76" s="1095">
        <f t="shared" si="12"/>
        <v>8322</v>
      </c>
      <c r="AA76" s="1095">
        <f t="shared" si="12"/>
        <v>0</v>
      </c>
      <c r="AB76" s="1095">
        <f t="shared" si="12"/>
        <v>1000</v>
      </c>
      <c r="AC76" s="1095">
        <f t="shared" si="12"/>
        <v>0</v>
      </c>
      <c r="AD76" s="1095">
        <f t="shared" si="12"/>
        <v>0</v>
      </c>
      <c r="AE76" s="1095">
        <f t="shared" si="12"/>
        <v>11889</v>
      </c>
      <c r="AF76" s="1095">
        <f t="shared" si="12"/>
        <v>0</v>
      </c>
      <c r="AG76" s="1095">
        <f t="shared" si="12"/>
        <v>0</v>
      </c>
      <c r="AH76" s="1095">
        <f>IFERROR(_xlfn.XLOOKUP(AH1,'[103]Feed Cost &amp; Allocation'!$B$1:$AK$1,'[103]Feed Cost &amp; Allocation'!$B$61:$AK$61),0)+IFERROR(_xlfn.XLOOKUP(AH1,'[103]Feed Cost &amp; Allocation'!$B$1:$AK$1,'[103]Feed Cost &amp; Allocation'!$B$72:$AK$72),0)</f>
        <v>0</v>
      </c>
      <c r="AI76" s="1095">
        <f>IFERROR(_xlfn.XLOOKUP(AI1,'[103]Feed Cost &amp; Allocation'!$B$1:$AK$1,'[103]Feed Cost &amp; Allocation'!$B$61:$AK$61),0)+IFERROR(_xlfn.XLOOKUP(AI1,'[103]Feed Cost &amp; Allocation'!$B$1:$AK$1,'[103]Feed Cost &amp; Allocation'!$B$72:$AK$72),0)</f>
        <v>0</v>
      </c>
      <c r="AJ76" s="1095">
        <f>IFERROR(_xlfn.XLOOKUP(AJ1,'[103]Feed Cost &amp; Allocation'!$B$1:$AK$1,'[103]Feed Cost &amp; Allocation'!$B$61:$AK$61),0)+IFERROR(_xlfn.XLOOKUP(AJ1,'[103]Feed Cost &amp; Allocation'!$B$1:$AK$1,'[103]Feed Cost &amp; Allocation'!$B$72:$AK$72),0)</f>
        <v>0</v>
      </c>
      <c r="AK76" s="1095">
        <f>IFERROR(_xlfn.XLOOKUP(AK1,'[103]Feed Cost &amp; Allocation'!$B$1:$AK$1,'[103]Feed Cost &amp; Allocation'!$B$61:$AK$61),0)+IFERROR(_xlfn.XLOOKUP(AK1,'[103]Feed Cost &amp; Allocation'!$B$1:$AK$1,'[103]Feed Cost &amp; Allocation'!$B$72:$AK$72),0)</f>
        <v>0</v>
      </c>
      <c r="AL76" s="1095">
        <f>IFERROR(_xlfn.XLOOKUP(AL1,'[103]Feed Cost &amp; Allocation'!$B$1:$AK$1,'[103]Feed Cost &amp; Allocation'!$B$61:$AK$61),0)+IFERROR(_xlfn.XLOOKUP(AL1,'[103]Feed Cost &amp; Allocation'!$B$1:$AK$1,'[103]Feed Cost &amp; Allocation'!$B$72:$AK$72),0)</f>
        <v>0</v>
      </c>
      <c r="AM76" s="1095">
        <f>IFERROR(_xlfn.XLOOKUP(AM1,'[103]Feed Cost &amp; Allocation'!$B$1:$AK$1,'[103]Feed Cost &amp; Allocation'!$B$61:$AK$61),0)+IFERROR(_xlfn.XLOOKUP(AM1,'[103]Feed Cost &amp; Allocation'!$B$1:$AK$1,'[103]Feed Cost &amp; Allocation'!$B$72:$AK$72),0)</f>
        <v>0</v>
      </c>
      <c r="AN76" s="1095">
        <f>IFERROR(_xlfn.XLOOKUP(AN1,'[103]Feed Cost &amp; Allocation'!$B$1:$AK$1,'[103]Feed Cost &amp; Allocation'!$B$61:$AK$61),0)+IFERROR(_xlfn.XLOOKUP(AN1,'[103]Feed Cost &amp; Allocation'!$B$1:$AK$1,'[103]Feed Cost &amp; Allocation'!$B$72:$AK$72),0)</f>
        <v>0</v>
      </c>
      <c r="AO76" s="1095">
        <f>IFERROR(_xlfn.XLOOKUP(AO1,'[103]Feed Cost &amp; Allocation'!$B$1:$AK$1,'[103]Feed Cost &amp; Allocation'!$B$61:$AK$61),0)+IFERROR(_xlfn.XLOOKUP(AO1,'[103]Feed Cost &amp; Allocation'!$B$1:$AK$1,'[103]Feed Cost &amp; Allocation'!$B$72:$AK$72),0)</f>
        <v>0</v>
      </c>
      <c r="AP76" s="1095">
        <f>IFERROR(_xlfn.XLOOKUP(AP1,'[103]Feed Cost &amp; Allocation'!$B$1:$AK$1,'[103]Feed Cost &amp; Allocation'!$B$61:$AK$61),0)+IFERROR(_xlfn.XLOOKUP(AP1,'[103]Feed Cost &amp; Allocation'!$B$1:$AK$1,'[103]Feed Cost &amp; Allocation'!$B$72:$AK$72),0)</f>
        <v>0</v>
      </c>
      <c r="AQ76" s="1095"/>
      <c r="AR76" s="1095"/>
      <c r="AS76" s="1095"/>
      <c r="AT76" s="1095"/>
      <c r="AU76" s="1095"/>
      <c r="AV76" s="1095"/>
      <c r="AW76" s="1095"/>
      <c r="AX76" s="1095"/>
      <c r="AY76" s="818">
        <f>SUM(B76:AP76)</f>
        <v>736092</v>
      </c>
      <c r="AZ76" s="818">
        <f>'[103]Feed Cost &amp; Allocation'!$AO$72</f>
        <v>330543.80172126228</v>
      </c>
      <c r="BA76" s="1990">
        <f t="shared" si="10"/>
        <v>405548.19827873772</v>
      </c>
      <c r="BC76" s="818">
        <f t="shared" si="6"/>
        <v>405548.19827873772</v>
      </c>
    </row>
    <row r="77" spans="1:57" ht="15">
      <c r="A77" s="1121" t="s">
        <v>2038</v>
      </c>
      <c r="B77" s="1115">
        <f t="shared" si="7"/>
        <v>0</v>
      </c>
      <c r="C77" s="1095">
        <f t="shared" ref="C77:AG77" si="13">+C66</f>
        <v>21975</v>
      </c>
      <c r="D77" s="1095">
        <f t="shared" si="13"/>
        <v>18018</v>
      </c>
      <c r="E77" s="1095">
        <f t="shared" si="13"/>
        <v>40748</v>
      </c>
      <c r="F77" s="1095">
        <f t="shared" si="13"/>
        <v>51858</v>
      </c>
      <c r="G77" s="1095">
        <f t="shared" si="13"/>
        <v>52103</v>
      </c>
      <c r="H77" s="1095">
        <f t="shared" si="13"/>
        <v>84811</v>
      </c>
      <c r="I77" s="1095">
        <f t="shared" si="13"/>
        <v>0</v>
      </c>
      <c r="J77" s="1095">
        <f t="shared" si="13"/>
        <v>139235</v>
      </c>
      <c r="K77" s="1095">
        <f t="shared" si="13"/>
        <v>0</v>
      </c>
      <c r="L77" s="1095">
        <f t="shared" si="13"/>
        <v>0</v>
      </c>
      <c r="M77" s="1095">
        <f t="shared" si="13"/>
        <v>0</v>
      </c>
      <c r="N77" s="1095">
        <f t="shared" si="13"/>
        <v>0</v>
      </c>
      <c r="O77" s="1095">
        <f t="shared" si="13"/>
        <v>0</v>
      </c>
      <c r="P77" s="1095">
        <f t="shared" si="13"/>
        <v>0</v>
      </c>
      <c r="Q77" s="1095">
        <f t="shared" si="13"/>
        <v>0</v>
      </c>
      <c r="R77" s="1095">
        <f t="shared" si="13"/>
        <v>0</v>
      </c>
      <c r="S77" s="1095">
        <f t="shared" si="13"/>
        <v>0</v>
      </c>
      <c r="T77" s="1095">
        <f t="shared" si="13"/>
        <v>0</v>
      </c>
      <c r="U77" s="1095">
        <f t="shared" si="13"/>
        <v>0</v>
      </c>
      <c r="V77" s="1095">
        <f t="shared" si="13"/>
        <v>0</v>
      </c>
      <c r="W77" s="1095">
        <f t="shared" si="13"/>
        <v>0</v>
      </c>
      <c r="X77" s="1095">
        <f t="shared" si="13"/>
        <v>0</v>
      </c>
      <c r="Y77" s="1095">
        <f t="shared" si="13"/>
        <v>0</v>
      </c>
      <c r="Z77" s="1095">
        <f t="shared" si="13"/>
        <v>0</v>
      </c>
      <c r="AA77" s="1095">
        <f t="shared" si="13"/>
        <v>0</v>
      </c>
      <c r="AB77" s="1095">
        <f t="shared" si="13"/>
        <v>0</v>
      </c>
      <c r="AC77" s="1095">
        <f t="shared" si="13"/>
        <v>0</v>
      </c>
      <c r="AD77" s="1095">
        <f t="shared" si="13"/>
        <v>0</v>
      </c>
      <c r="AE77" s="1095">
        <f t="shared" si="13"/>
        <v>0</v>
      </c>
      <c r="AF77" s="1095">
        <f t="shared" si="13"/>
        <v>0</v>
      </c>
      <c r="AG77" s="1095">
        <f t="shared" si="13"/>
        <v>5542</v>
      </c>
      <c r="AH77" s="1095">
        <f>IFERROR(_xlfn.XLOOKUP(AH1,'[103]Feed Cost &amp; Allocation'!$B$1:$AK$1,'[103]Feed Cost &amp; Allocation'!$B$62:$AK$62),0)+IFERROR(_xlfn.XLOOKUP(AH1,'[103]Feed Cost &amp; Allocation'!$B$1:$AK$1,'[103]Feed Cost &amp; Allocation'!$B$73:$AK$73),0)</f>
        <v>0</v>
      </c>
      <c r="AI77" s="1095">
        <f>IFERROR(_xlfn.XLOOKUP(AI1,'[103]Feed Cost &amp; Allocation'!$B$1:$AK$1,'[103]Feed Cost &amp; Allocation'!$B$62:$AK$62),0)+IFERROR(_xlfn.XLOOKUP(AI1,'[103]Feed Cost &amp; Allocation'!$B$1:$AK$1,'[103]Feed Cost &amp; Allocation'!$B$73:$AK$73),0)</f>
        <v>0</v>
      </c>
      <c r="AJ77" s="1095">
        <f>IFERROR(_xlfn.XLOOKUP(AJ1,'[103]Feed Cost &amp; Allocation'!$B$1:$AK$1,'[103]Feed Cost &amp; Allocation'!$B$62:$AK$62),0)+IFERROR(_xlfn.XLOOKUP(AJ1,'[103]Feed Cost &amp; Allocation'!$B$1:$AK$1,'[103]Feed Cost &amp; Allocation'!$B$73:$AK$73),0)</f>
        <v>0</v>
      </c>
      <c r="AK77" s="1095">
        <f>IFERROR(_xlfn.XLOOKUP(AK1,'[103]Feed Cost &amp; Allocation'!$B$1:$AK$1,'[103]Feed Cost &amp; Allocation'!$B$62:$AK$62),0)+IFERROR(_xlfn.XLOOKUP(AK1,'[103]Feed Cost &amp; Allocation'!$B$1:$AK$1,'[103]Feed Cost &amp; Allocation'!$B$73:$AK$73),0)</f>
        <v>0</v>
      </c>
      <c r="AL77" s="1095">
        <f>IFERROR(_xlfn.XLOOKUP(AL1,'[103]Feed Cost &amp; Allocation'!$B$1:$AK$1,'[103]Feed Cost &amp; Allocation'!$B$62:$AK$62),0)+IFERROR(_xlfn.XLOOKUP(AL1,'[103]Feed Cost &amp; Allocation'!$B$1:$AK$1,'[103]Feed Cost &amp; Allocation'!$B$73:$AK$73),0)</f>
        <v>0</v>
      </c>
      <c r="AM77" s="1095">
        <f>IFERROR(_xlfn.XLOOKUP(AM1,'[103]Feed Cost &amp; Allocation'!$B$1:$AK$1,'[103]Feed Cost &amp; Allocation'!$B$62:$AK$62),0)+IFERROR(_xlfn.XLOOKUP(AM1,'[103]Feed Cost &amp; Allocation'!$B$1:$AK$1,'[103]Feed Cost &amp; Allocation'!$B$73:$AK$73),0)</f>
        <v>0</v>
      </c>
      <c r="AN77" s="1095">
        <f>IFERROR(_xlfn.XLOOKUP(AN1,'[103]Feed Cost &amp; Allocation'!$B$1:$AK$1,'[103]Feed Cost &amp; Allocation'!$B$62:$AK$62),0)+IFERROR(_xlfn.XLOOKUP(AN1,'[103]Feed Cost &amp; Allocation'!$B$1:$AK$1,'[103]Feed Cost &amp; Allocation'!$B$73:$AK$73),0)</f>
        <v>0</v>
      </c>
      <c r="AO77" s="1095">
        <f>IFERROR(_xlfn.XLOOKUP(AO1,'[103]Feed Cost &amp; Allocation'!$B$1:$AK$1,'[103]Feed Cost &amp; Allocation'!$B$62:$AK$62),0)+IFERROR(_xlfn.XLOOKUP(AO1,'[103]Feed Cost &amp; Allocation'!$B$1:$AK$1,'[103]Feed Cost &amp; Allocation'!$B$73:$AK$73),0)</f>
        <v>0</v>
      </c>
      <c r="AP77" s="1095">
        <f>IFERROR(_xlfn.XLOOKUP(AP1,'[103]Feed Cost &amp; Allocation'!$B$1:$AK$1,'[103]Feed Cost &amp; Allocation'!$B$62:$AK$62),0)+IFERROR(_xlfn.XLOOKUP(AP1,'[103]Feed Cost &amp; Allocation'!$B$1:$AK$1,'[103]Feed Cost &amp; Allocation'!$B$73:$AK$73),0)</f>
        <v>0</v>
      </c>
      <c r="AQ77" s="1095"/>
      <c r="AR77" s="1095"/>
      <c r="AS77" s="1095"/>
      <c r="AT77" s="1095"/>
      <c r="AU77" s="1095"/>
      <c r="AV77" s="1095"/>
      <c r="AW77" s="1095"/>
      <c r="AX77" s="1095"/>
      <c r="AY77" s="818">
        <f t="shared" si="9"/>
        <v>414290</v>
      </c>
      <c r="AZ77" s="818">
        <f>'[103]Feed Cost &amp; Allocation'!$AO$73</f>
        <v>183296.93369695891</v>
      </c>
      <c r="BA77" s="1990">
        <f t="shared" si="10"/>
        <v>230993.06630304109</v>
      </c>
      <c r="BC77" s="818">
        <f t="shared" si="6"/>
        <v>230993.06630304109</v>
      </c>
    </row>
    <row r="78" spans="1:57" ht="15">
      <c r="A78" s="1121" t="s">
        <v>2039</v>
      </c>
      <c r="B78" s="1115"/>
      <c r="C78" s="1095">
        <f t="shared" ref="C78:AG78" si="14">+C67</f>
        <v>0</v>
      </c>
      <c r="D78" s="1095">
        <f t="shared" si="14"/>
        <v>0</v>
      </c>
      <c r="E78" s="1095">
        <f t="shared" si="14"/>
        <v>0</v>
      </c>
      <c r="F78" s="1095">
        <f t="shared" si="14"/>
        <v>0</v>
      </c>
      <c r="G78" s="1095">
        <f t="shared" si="14"/>
        <v>0</v>
      </c>
      <c r="H78" s="1095">
        <f t="shared" si="14"/>
        <v>0</v>
      </c>
      <c r="I78" s="1095">
        <f t="shared" si="14"/>
        <v>0</v>
      </c>
      <c r="J78" s="1095">
        <f t="shared" si="14"/>
        <v>0</v>
      </c>
      <c r="K78" s="1095">
        <f t="shared" si="14"/>
        <v>0</v>
      </c>
      <c r="L78" s="1095">
        <f t="shared" si="14"/>
        <v>0</v>
      </c>
      <c r="M78" s="1095">
        <f t="shared" si="14"/>
        <v>0</v>
      </c>
      <c r="N78" s="1095">
        <f t="shared" si="14"/>
        <v>0</v>
      </c>
      <c r="O78" s="1095">
        <f t="shared" si="14"/>
        <v>0</v>
      </c>
      <c r="P78" s="1095">
        <f t="shared" si="14"/>
        <v>0</v>
      </c>
      <c r="Q78" s="1095">
        <f t="shared" si="14"/>
        <v>0</v>
      </c>
      <c r="R78" s="1095">
        <f t="shared" si="14"/>
        <v>0</v>
      </c>
      <c r="S78" s="1095">
        <f t="shared" si="14"/>
        <v>0</v>
      </c>
      <c r="T78" s="1095">
        <f t="shared" si="14"/>
        <v>0</v>
      </c>
      <c r="U78" s="1095">
        <f t="shared" si="14"/>
        <v>0</v>
      </c>
      <c r="V78" s="1095">
        <f t="shared" si="14"/>
        <v>0</v>
      </c>
      <c r="W78" s="1095">
        <f t="shared" si="14"/>
        <v>0</v>
      </c>
      <c r="X78" s="1095">
        <f t="shared" si="14"/>
        <v>0</v>
      </c>
      <c r="Y78" s="1095">
        <f t="shared" si="14"/>
        <v>0</v>
      </c>
      <c r="Z78" s="1095">
        <f t="shared" si="14"/>
        <v>0</v>
      </c>
      <c r="AA78" s="1095">
        <f t="shared" si="14"/>
        <v>0</v>
      </c>
      <c r="AB78" s="1095">
        <f t="shared" si="14"/>
        <v>0</v>
      </c>
      <c r="AC78" s="1095">
        <f t="shared" si="14"/>
        <v>0</v>
      </c>
      <c r="AD78" s="1095">
        <f t="shared" si="14"/>
        <v>0</v>
      </c>
      <c r="AE78" s="1095">
        <f t="shared" si="14"/>
        <v>0</v>
      </c>
      <c r="AF78" s="1095">
        <f t="shared" si="14"/>
        <v>0</v>
      </c>
      <c r="AG78" s="1095">
        <f t="shared" si="14"/>
        <v>0</v>
      </c>
      <c r="AH78" s="1095"/>
      <c r="AI78" s="1095"/>
      <c r="AJ78" s="1095"/>
      <c r="AK78" s="1095"/>
      <c r="AL78" s="1095"/>
      <c r="AM78" s="1095"/>
      <c r="AN78" s="1095"/>
      <c r="AO78" s="1095"/>
      <c r="AP78" s="1095"/>
      <c r="AQ78" s="1095"/>
      <c r="AR78" s="1095"/>
      <c r="AS78" s="1095"/>
      <c r="AT78" s="1095"/>
      <c r="AU78" s="1095"/>
      <c r="AV78" s="1095"/>
      <c r="AW78" s="1095"/>
      <c r="AX78" s="1095"/>
      <c r="AY78" s="818">
        <f t="shared" si="9"/>
        <v>0</v>
      </c>
      <c r="AZ78" s="818">
        <f>'[103]Feed Cost &amp; Allocation'!AG74</f>
        <v>0</v>
      </c>
      <c r="BA78" s="1990">
        <f t="shared" si="10"/>
        <v>0</v>
      </c>
      <c r="BC78" s="818">
        <f t="shared" si="6"/>
        <v>0</v>
      </c>
    </row>
    <row r="79" spans="1:57" ht="15">
      <c r="A79" s="1121" t="s">
        <v>2040</v>
      </c>
      <c r="B79" s="1115">
        <f t="shared" si="7"/>
        <v>0</v>
      </c>
      <c r="C79" s="1095">
        <f t="shared" ref="C79:AG79" si="15">+C68</f>
        <v>5595</v>
      </c>
      <c r="D79" s="1095">
        <f t="shared" si="15"/>
        <v>0</v>
      </c>
      <c r="E79" s="1095">
        <f t="shared" si="15"/>
        <v>27362</v>
      </c>
      <c r="F79" s="1095">
        <f t="shared" si="15"/>
        <v>19155</v>
      </c>
      <c r="G79" s="1095">
        <f t="shared" si="15"/>
        <v>27289</v>
      </c>
      <c r="H79" s="1095">
        <f t="shared" si="15"/>
        <v>35500</v>
      </c>
      <c r="I79" s="1095">
        <f t="shared" si="15"/>
        <v>0</v>
      </c>
      <c r="J79" s="1095">
        <f t="shared" si="15"/>
        <v>81741</v>
      </c>
      <c r="K79" s="1095">
        <f t="shared" si="15"/>
        <v>0</v>
      </c>
      <c r="L79" s="1095">
        <f t="shared" si="15"/>
        <v>0</v>
      </c>
      <c r="M79" s="1095">
        <f t="shared" si="15"/>
        <v>0</v>
      </c>
      <c r="N79" s="1095">
        <f t="shared" si="15"/>
        <v>0</v>
      </c>
      <c r="O79" s="1095">
        <f t="shared" si="15"/>
        <v>0</v>
      </c>
      <c r="P79" s="1095">
        <f t="shared" si="15"/>
        <v>0</v>
      </c>
      <c r="Q79" s="1095">
        <f t="shared" si="15"/>
        <v>0</v>
      </c>
      <c r="R79" s="1095">
        <f t="shared" si="15"/>
        <v>0</v>
      </c>
      <c r="S79" s="1095">
        <f t="shared" si="15"/>
        <v>0</v>
      </c>
      <c r="T79" s="1095">
        <f t="shared" si="15"/>
        <v>0</v>
      </c>
      <c r="U79" s="1095">
        <f t="shared" si="15"/>
        <v>0</v>
      </c>
      <c r="V79" s="1095">
        <f t="shared" si="15"/>
        <v>0</v>
      </c>
      <c r="W79" s="1095">
        <f t="shared" si="15"/>
        <v>0</v>
      </c>
      <c r="X79" s="1095">
        <f t="shared" si="15"/>
        <v>0</v>
      </c>
      <c r="Y79" s="1095">
        <f t="shared" si="15"/>
        <v>0</v>
      </c>
      <c r="Z79" s="1095">
        <f t="shared" si="15"/>
        <v>0</v>
      </c>
      <c r="AA79" s="1095">
        <f t="shared" si="15"/>
        <v>0</v>
      </c>
      <c r="AB79" s="1095">
        <f t="shared" si="15"/>
        <v>0</v>
      </c>
      <c r="AC79" s="1095">
        <f t="shared" si="15"/>
        <v>0</v>
      </c>
      <c r="AD79" s="1095">
        <f t="shared" si="15"/>
        <v>0</v>
      </c>
      <c r="AE79" s="1095">
        <f t="shared" si="15"/>
        <v>0</v>
      </c>
      <c r="AF79" s="1095">
        <f t="shared" si="15"/>
        <v>0</v>
      </c>
      <c r="AG79" s="1095">
        <f t="shared" si="15"/>
        <v>1550</v>
      </c>
      <c r="AH79" s="1095">
        <f>IFERROR(_xlfn.XLOOKUP(AH1,'[103]Feed Cost &amp; Allocation'!$B$1:$AK$1,'[103]Feed Cost &amp; Allocation'!$B$64:$AK$64),0)+IFERROR(_xlfn.XLOOKUP(AH1,'[103]Feed Cost &amp; Allocation'!$B$1:$AK$1,'[103]Feed Cost &amp; Allocation'!$B$75:$AK$75),0)</f>
        <v>0</v>
      </c>
      <c r="AI79" s="1095">
        <f>IFERROR(_xlfn.XLOOKUP(AI1,'[103]Feed Cost &amp; Allocation'!$B$1:$AK$1,'[103]Feed Cost &amp; Allocation'!$B$64:$AK$64),0)+IFERROR(_xlfn.XLOOKUP(AI1,'[103]Feed Cost &amp; Allocation'!$B$1:$AK$1,'[103]Feed Cost &amp; Allocation'!$B$75:$AK$75),0)</f>
        <v>0</v>
      </c>
      <c r="AJ79" s="1095">
        <f>IFERROR(_xlfn.XLOOKUP(AJ1,'[103]Feed Cost &amp; Allocation'!$B$1:$AK$1,'[103]Feed Cost &amp; Allocation'!$B$64:$AK$64),0)+IFERROR(_xlfn.XLOOKUP(AJ1,'[103]Feed Cost &amp; Allocation'!$B$1:$AK$1,'[103]Feed Cost &amp; Allocation'!$B$75:$AK$75),0)</f>
        <v>0</v>
      </c>
      <c r="AK79" s="1095">
        <f>IFERROR(_xlfn.XLOOKUP(AK1,'[103]Feed Cost &amp; Allocation'!$B$1:$AK$1,'[103]Feed Cost &amp; Allocation'!$B$64:$AK$64),0)+IFERROR(_xlfn.XLOOKUP(AK1,'[103]Feed Cost &amp; Allocation'!$B$1:$AK$1,'[103]Feed Cost &amp; Allocation'!$B$75:$AK$75),0)</f>
        <v>0</v>
      </c>
      <c r="AL79" s="1095">
        <f>IFERROR(_xlfn.XLOOKUP(AL1,'[103]Feed Cost &amp; Allocation'!$B$1:$AK$1,'[103]Feed Cost &amp; Allocation'!$B$64:$AK$64),0)+IFERROR(_xlfn.XLOOKUP(AL1,'[103]Feed Cost &amp; Allocation'!$B$1:$AK$1,'[103]Feed Cost &amp; Allocation'!$B$75:$AK$75),0)</f>
        <v>0</v>
      </c>
      <c r="AM79" s="1095">
        <f>IFERROR(_xlfn.XLOOKUP(AM1,'[103]Feed Cost &amp; Allocation'!$B$1:$AK$1,'[103]Feed Cost &amp; Allocation'!$B$64:$AK$64),0)+IFERROR(_xlfn.XLOOKUP(AM1,'[103]Feed Cost &amp; Allocation'!$B$1:$AK$1,'[103]Feed Cost &amp; Allocation'!$B$75:$AK$75),0)</f>
        <v>0</v>
      </c>
      <c r="AN79" s="1095">
        <f>IFERROR(_xlfn.XLOOKUP(AN1,'[103]Feed Cost &amp; Allocation'!$B$1:$AK$1,'[103]Feed Cost &amp; Allocation'!$B$64:$AK$64),0)+IFERROR(_xlfn.XLOOKUP(AN1,'[103]Feed Cost &amp; Allocation'!$B$1:$AK$1,'[103]Feed Cost &amp; Allocation'!$B$75:$AK$75),0)</f>
        <v>0</v>
      </c>
      <c r="AO79" s="1095">
        <f>IFERROR(_xlfn.XLOOKUP(AO1,'[103]Feed Cost &amp; Allocation'!$B$1:$AK$1,'[103]Feed Cost &amp; Allocation'!$B$64:$AK$64),0)+IFERROR(_xlfn.XLOOKUP(AO1,'[103]Feed Cost &amp; Allocation'!$B$1:$AK$1,'[103]Feed Cost &amp; Allocation'!$B$75:$AK$75),0)</f>
        <v>0</v>
      </c>
      <c r="AP79" s="1095">
        <f>IFERROR(_xlfn.XLOOKUP(AP1,'[103]Feed Cost &amp; Allocation'!$B$1:$AK$1,'[103]Feed Cost &amp; Allocation'!$B$64:$AK$64),0)+IFERROR(_xlfn.XLOOKUP(AP1,'[103]Feed Cost &amp; Allocation'!$B$1:$AK$1,'[103]Feed Cost &amp; Allocation'!$B$75:$AK$75),0)</f>
        <v>0</v>
      </c>
      <c r="AQ79" s="1095"/>
      <c r="AR79" s="1095"/>
      <c r="AS79" s="1095"/>
      <c r="AT79" s="1095"/>
      <c r="AU79" s="1095"/>
      <c r="AV79" s="1095"/>
      <c r="AW79" s="1095"/>
      <c r="AX79" s="1095"/>
      <c r="AY79" s="818">
        <f t="shared" si="9"/>
        <v>198192</v>
      </c>
      <c r="AZ79" s="818">
        <f>'[103]Feed Cost &amp; Allocation'!$AO$75</f>
        <v>86359.328306580661</v>
      </c>
      <c r="BA79" s="1990">
        <f t="shared" si="10"/>
        <v>111832.67169341934</v>
      </c>
      <c r="BB79" s="818">
        <f>AY72-AY78</f>
        <v>5022036.2</v>
      </c>
      <c r="BC79" s="818">
        <f t="shared" si="6"/>
        <v>111832.67169341934</v>
      </c>
    </row>
    <row r="80" spans="1:57" ht="15">
      <c r="A80" s="1121" t="s">
        <v>2041</v>
      </c>
      <c r="B80" s="1989">
        <f t="shared" si="7"/>
        <v>0</v>
      </c>
      <c r="C80" s="1095">
        <f t="shared" ref="C80:AG80" si="16">+C69</f>
        <v>39665</v>
      </c>
      <c r="D80" s="1095">
        <f t="shared" si="16"/>
        <v>43278</v>
      </c>
      <c r="E80" s="1095">
        <f t="shared" si="16"/>
        <v>63210</v>
      </c>
      <c r="F80" s="1095">
        <f t="shared" si="16"/>
        <v>85544</v>
      </c>
      <c r="G80" s="1095">
        <f t="shared" si="16"/>
        <v>73501</v>
      </c>
      <c r="H80" s="1095">
        <f t="shared" si="16"/>
        <v>154785</v>
      </c>
      <c r="I80" s="1095">
        <f t="shared" si="16"/>
        <v>10067</v>
      </c>
      <c r="J80" s="1095">
        <f t="shared" si="16"/>
        <v>0</v>
      </c>
      <c r="K80" s="1095">
        <f t="shared" si="16"/>
        <v>47065</v>
      </c>
      <c r="L80" s="1095">
        <f t="shared" si="16"/>
        <v>0</v>
      </c>
      <c r="M80" s="1095">
        <f t="shared" si="16"/>
        <v>46927</v>
      </c>
      <c r="N80" s="1095">
        <f t="shared" si="16"/>
        <v>5065</v>
      </c>
      <c r="O80" s="1095">
        <f t="shared" si="16"/>
        <v>15061</v>
      </c>
      <c r="P80" s="1095">
        <f t="shared" si="16"/>
        <v>5549</v>
      </c>
      <c r="Q80" s="1095">
        <f t="shared" si="16"/>
        <v>2029</v>
      </c>
      <c r="R80" s="1095">
        <f t="shared" si="16"/>
        <v>4397</v>
      </c>
      <c r="S80" s="1095">
        <f t="shared" si="16"/>
        <v>0</v>
      </c>
      <c r="T80" s="1095">
        <f t="shared" si="16"/>
        <v>0</v>
      </c>
      <c r="U80" s="1095">
        <f t="shared" si="16"/>
        <v>0</v>
      </c>
      <c r="V80" s="1095">
        <f t="shared" si="16"/>
        <v>0</v>
      </c>
      <c r="W80" s="1095">
        <f t="shared" si="16"/>
        <v>2333</v>
      </c>
      <c r="X80" s="1095">
        <f t="shared" si="16"/>
        <v>6866</v>
      </c>
      <c r="Y80" s="1095">
        <f t="shared" si="16"/>
        <v>0</v>
      </c>
      <c r="Z80" s="1095">
        <f t="shared" si="16"/>
        <v>15366</v>
      </c>
      <c r="AA80" s="1095">
        <f t="shared" si="16"/>
        <v>0</v>
      </c>
      <c r="AB80" s="1095">
        <f t="shared" si="16"/>
        <v>400</v>
      </c>
      <c r="AC80" s="1095">
        <f t="shared" si="16"/>
        <v>0</v>
      </c>
      <c r="AD80" s="1095">
        <f t="shared" si="16"/>
        <v>0</v>
      </c>
      <c r="AE80" s="1095">
        <f t="shared" si="16"/>
        <v>0</v>
      </c>
      <c r="AF80" s="1095">
        <f t="shared" si="16"/>
        <v>207339.2</v>
      </c>
      <c r="AG80" s="1095">
        <f t="shared" si="16"/>
        <v>0</v>
      </c>
      <c r="AH80" s="1095">
        <f>IFERROR(_xlfn.XLOOKUP(AH1,'[103]Feed Cost &amp; Allocation'!$B$1:$AL$1,'[103]Feed Cost &amp; Allocation'!$B$65:$AL$65),0)+IFERROR(_xlfn.XLOOKUP(AH1,'[103]Feed Cost &amp; Allocation'!$B$1:$AL$1,'[103]Feed Cost &amp; Allocation'!$B$76:$AL$76),0)</f>
        <v>0</v>
      </c>
      <c r="AI80" s="1095">
        <f>IFERROR(_xlfn.XLOOKUP(AI1,'[103]Feed Cost &amp; Allocation'!$B$1:$AL$1,'[103]Feed Cost &amp; Allocation'!$B$65:$AL$65),0)+IFERROR(_xlfn.XLOOKUP(AI1,'[103]Feed Cost &amp; Allocation'!$B$1:$AL$1,'[103]Feed Cost &amp; Allocation'!$B$76:$AL$76),0)</f>
        <v>0</v>
      </c>
      <c r="AJ80" s="1095">
        <f>IFERROR(_xlfn.XLOOKUP(AJ1,'[103]Feed Cost &amp; Allocation'!$B$1:$AL$1,'[103]Feed Cost &amp; Allocation'!$B$65:$AL$65),0)+IFERROR(_xlfn.XLOOKUP(AJ1,'[103]Feed Cost &amp; Allocation'!$B$1:$AL$1,'[103]Feed Cost &amp; Allocation'!$B$76:$AL$76),0)</f>
        <v>0</v>
      </c>
      <c r="AK80" s="1095">
        <f>IFERROR(_xlfn.XLOOKUP(AK1,'[103]Feed Cost &amp; Allocation'!$B$1:$AL$1,'[103]Feed Cost &amp; Allocation'!$B$65:$AL$65),0)+IFERROR(_xlfn.XLOOKUP(AK1,'[103]Feed Cost &amp; Allocation'!$B$1:$AL$1,'[103]Feed Cost &amp; Allocation'!$B$76:$AL$76),0)</f>
        <v>0</v>
      </c>
      <c r="AL80" s="1095">
        <f>IFERROR(_xlfn.XLOOKUP(AL1,'[103]Feed Cost &amp; Allocation'!$B$1:$AL$1,'[103]Feed Cost &amp; Allocation'!$B$65:$AL$65),0)+IFERROR(_xlfn.XLOOKUP(AL1,'[103]Feed Cost &amp; Allocation'!$B$1:$AL$1,'[103]Feed Cost &amp; Allocation'!$B$76:$AL$76),0)</f>
        <v>0</v>
      </c>
      <c r="AM80" s="1095">
        <f>IFERROR(_xlfn.XLOOKUP(AM1,'[103]Feed Cost &amp; Allocation'!$B$1:$AL$1,'[103]Feed Cost &amp; Allocation'!$B$65:$AL$65),0)+IFERROR(_xlfn.XLOOKUP(AM1,'[103]Feed Cost &amp; Allocation'!$B$1:$AL$1,'[103]Feed Cost &amp; Allocation'!$B$76:$AL$76),0)</f>
        <v>0</v>
      </c>
      <c r="AN80" s="1095">
        <f>IFERROR(_xlfn.XLOOKUP(AN1,'[103]Feed Cost &amp; Allocation'!$B$1:$AL$1,'[103]Feed Cost &amp; Allocation'!$B$65:$AL$65),0)+IFERROR(_xlfn.XLOOKUP(AN1,'[103]Feed Cost &amp; Allocation'!$B$1:$AL$1,'[103]Feed Cost &amp; Allocation'!$B$76:$AL$76),0)</f>
        <v>0</v>
      </c>
      <c r="AO80" s="1095">
        <f>IFERROR(_xlfn.XLOOKUP(AO1,'[103]Feed Cost &amp; Allocation'!$B$1:$AL$1,'[103]Feed Cost &amp; Allocation'!$B$65:$AL$65),0)+IFERROR(_xlfn.XLOOKUP(AO1,'[103]Feed Cost &amp; Allocation'!$B$1:$AL$1,'[103]Feed Cost &amp; Allocation'!$B$76:$AL$76),0)</f>
        <v>0</v>
      </c>
      <c r="AP80" s="1095">
        <f>IFERROR(_xlfn.XLOOKUP(AP1,'[103]Feed Cost &amp; Allocation'!$B$1:$AL$1,'[103]Feed Cost &amp; Allocation'!$B$65:$AL$65),0)+IFERROR(_xlfn.XLOOKUP(AP1,'[103]Feed Cost &amp; Allocation'!$B$1:$AL$1,'[103]Feed Cost &amp; Allocation'!$B$76:$AL$76),0)</f>
        <v>0</v>
      </c>
      <c r="AQ80" s="1095">
        <f>IFERROR(_xlfn.XLOOKUP(AQ1,'[103]Feed Cost &amp; Allocation'!$B$1:$AL$1,'[103]Feed Cost &amp; Allocation'!$B$65:$AL$65),0)+IFERROR(_xlfn.XLOOKUP(AQ1,'[103]Feed Cost &amp; Allocation'!$B$1:$AL$1,'[103]Feed Cost &amp; Allocation'!$B$76:$AL$76),0)</f>
        <v>0</v>
      </c>
      <c r="AR80" s="1095"/>
      <c r="AS80" s="1095"/>
      <c r="AT80" s="1095"/>
      <c r="AU80" s="1095"/>
      <c r="AV80" s="1095"/>
      <c r="AW80" s="1095"/>
      <c r="AX80" s="1095"/>
      <c r="AY80" s="818">
        <f>SUM(B80:AQ80)</f>
        <v>828447.2</v>
      </c>
      <c r="AZ80" s="818">
        <f>'[103]Feed Cost &amp; Allocation'!$AO$76</f>
        <v>367681.99052596895</v>
      </c>
      <c r="BA80" s="1990">
        <f t="shared" si="10"/>
        <v>460765.209474031</v>
      </c>
      <c r="BC80" s="818">
        <f t="shared" si="6"/>
        <v>460765.209474031</v>
      </c>
    </row>
    <row r="81" spans="1:55" ht="15">
      <c r="A81" s="1121" t="s">
        <v>2042</v>
      </c>
      <c r="B81" s="1115"/>
      <c r="C81" s="1095">
        <f t="shared" ref="C81:AG81" si="17">+C70</f>
        <v>8347</v>
      </c>
      <c r="D81" s="1095">
        <f t="shared" si="17"/>
        <v>14050</v>
      </c>
      <c r="E81" s="1095">
        <f t="shared" si="17"/>
        <v>30160</v>
      </c>
      <c r="F81" s="1095">
        <f t="shared" si="17"/>
        <v>27044</v>
      </c>
      <c r="G81" s="1095">
        <f t="shared" si="17"/>
        <v>29178</v>
      </c>
      <c r="H81" s="1095">
        <f t="shared" si="17"/>
        <v>37171</v>
      </c>
      <c r="I81" s="1095">
        <f t="shared" si="17"/>
        <v>6025</v>
      </c>
      <c r="J81" s="1095">
        <f t="shared" si="17"/>
        <v>0</v>
      </c>
      <c r="K81" s="1095">
        <f t="shared" si="17"/>
        <v>0</v>
      </c>
      <c r="L81" s="1095">
        <f t="shared" si="17"/>
        <v>14320</v>
      </c>
      <c r="M81" s="1095">
        <f t="shared" si="17"/>
        <v>0</v>
      </c>
      <c r="N81" s="1095">
        <f t="shared" si="17"/>
        <v>2055</v>
      </c>
      <c r="O81" s="1095">
        <f t="shared" si="17"/>
        <v>28033</v>
      </c>
      <c r="P81" s="1095">
        <f t="shared" si="17"/>
        <v>2000</v>
      </c>
      <c r="Q81" s="1095">
        <f t="shared" si="17"/>
        <v>2000</v>
      </c>
      <c r="R81" s="1095">
        <f t="shared" si="17"/>
        <v>2019</v>
      </c>
      <c r="S81" s="1095">
        <f t="shared" si="17"/>
        <v>0</v>
      </c>
      <c r="T81" s="1095">
        <f t="shared" si="17"/>
        <v>0</v>
      </c>
      <c r="U81" s="1095">
        <f t="shared" si="17"/>
        <v>0</v>
      </c>
      <c r="V81" s="1095">
        <f t="shared" si="17"/>
        <v>0</v>
      </c>
      <c r="W81" s="1095">
        <f t="shared" si="17"/>
        <v>2100</v>
      </c>
      <c r="X81" s="1095">
        <f t="shared" si="17"/>
        <v>2223</v>
      </c>
      <c r="Y81" s="1095">
        <f t="shared" si="17"/>
        <v>0</v>
      </c>
      <c r="Z81" s="1095">
        <f t="shared" si="17"/>
        <v>4114</v>
      </c>
      <c r="AA81" s="1095">
        <f t="shared" si="17"/>
        <v>0</v>
      </c>
      <c r="AB81" s="1095">
        <f t="shared" si="17"/>
        <v>524.9</v>
      </c>
      <c r="AC81" s="1095">
        <f t="shared" si="17"/>
        <v>0</v>
      </c>
      <c r="AD81" s="1095">
        <f t="shared" si="17"/>
        <v>0</v>
      </c>
      <c r="AE81" s="1095">
        <f t="shared" si="17"/>
        <v>0</v>
      </c>
      <c r="AF81" s="1095">
        <f t="shared" si="17"/>
        <v>69291</v>
      </c>
      <c r="AG81" s="1095">
        <f t="shared" si="17"/>
        <v>0</v>
      </c>
      <c r="AH81" s="1095">
        <f>IFERROR(_xlfn.XLOOKUP(AH1,'[103]Feed Cost &amp; Allocation'!$B$1:$AK$1,'[103]Feed Cost &amp; Allocation'!$B$66:$AK$66),0)+IFERROR(_xlfn.XLOOKUP(AH1,'[103]Feed Cost &amp; Allocation'!$B$1:$AK$1,'[103]Feed Cost &amp; Allocation'!$B$77:$AK$77),0)</f>
        <v>0</v>
      </c>
      <c r="AI81" s="1095">
        <f>IFERROR(_xlfn.XLOOKUP(AI1,'[103]Feed Cost &amp; Allocation'!$B$1:$AK$1,'[103]Feed Cost &amp; Allocation'!$B$66:$AK$66),0)+IFERROR(_xlfn.XLOOKUP(AI1,'[103]Feed Cost &amp; Allocation'!$B$1:$AK$1,'[103]Feed Cost &amp; Allocation'!$B$77:$AK$77),0)</f>
        <v>0</v>
      </c>
      <c r="AJ81" s="1095">
        <f>IFERROR(_xlfn.XLOOKUP(AJ1,'[103]Feed Cost &amp; Allocation'!$B$1:$AK$1,'[103]Feed Cost &amp; Allocation'!$B$66:$AK$66),0)+IFERROR(_xlfn.XLOOKUP(AJ1,'[103]Feed Cost &amp; Allocation'!$B$1:$AK$1,'[103]Feed Cost &amp; Allocation'!$B$77:$AK$77),0)</f>
        <v>0</v>
      </c>
      <c r="AK81" s="1095">
        <f>IFERROR(_xlfn.XLOOKUP(AK1,'[103]Feed Cost &amp; Allocation'!$B$1:$AK$1,'[103]Feed Cost &amp; Allocation'!$B$66:$AK$66),0)+IFERROR(_xlfn.XLOOKUP(AK1,'[103]Feed Cost &amp; Allocation'!$B$1:$AK$1,'[103]Feed Cost &amp; Allocation'!$B$77:$AK$77),0)</f>
        <v>0</v>
      </c>
      <c r="AL81" s="1095">
        <f>IFERROR(_xlfn.XLOOKUP(AL1,'[103]Feed Cost &amp; Allocation'!$B$1:$AK$1,'[103]Feed Cost &amp; Allocation'!$B$66:$AK$66),0)+IFERROR(_xlfn.XLOOKUP(AL1,'[103]Feed Cost &amp; Allocation'!$B$1:$AK$1,'[103]Feed Cost &amp; Allocation'!$B$77:$AK$77),0)</f>
        <v>0</v>
      </c>
      <c r="AM81" s="1095">
        <f>IFERROR(_xlfn.XLOOKUP(AM1,'[103]Feed Cost &amp; Allocation'!$B$1:$AK$1,'[103]Feed Cost &amp; Allocation'!$B$66:$AK$66),0)+IFERROR(_xlfn.XLOOKUP(AM1,'[103]Feed Cost &amp; Allocation'!$B$1:$AK$1,'[103]Feed Cost &amp; Allocation'!$B$77:$AK$77),0)</f>
        <v>0</v>
      </c>
      <c r="AN81" s="1095">
        <f>IFERROR(_xlfn.XLOOKUP(AN1,'[103]Feed Cost &amp; Allocation'!$B$1:$AK$1,'[103]Feed Cost &amp; Allocation'!$B$66:$AK$66),0)+IFERROR(_xlfn.XLOOKUP(AN1,'[103]Feed Cost &amp; Allocation'!$B$1:$AK$1,'[103]Feed Cost &amp; Allocation'!$B$77:$AK$77),0)</f>
        <v>0</v>
      </c>
      <c r="AO81" s="1095">
        <f>IFERROR(_xlfn.XLOOKUP(AO1,'[103]Feed Cost &amp; Allocation'!$B$1:$AK$1,'[103]Feed Cost &amp; Allocation'!$B$66:$AK$66),0)+IFERROR(_xlfn.XLOOKUP(AO1,'[103]Feed Cost &amp; Allocation'!$B$1:$AK$1,'[103]Feed Cost &amp; Allocation'!$B$77:$AK$77),0)</f>
        <v>0</v>
      </c>
      <c r="AP81" s="1095">
        <f>IFERROR(_xlfn.XLOOKUP(AP1,'[103]Feed Cost &amp; Allocation'!$B$1:$AK$1,'[103]Feed Cost &amp; Allocation'!$B$66:$AK$66),0)+IFERROR(_xlfn.XLOOKUP(AP1,'[103]Feed Cost &amp; Allocation'!$B$1:$AK$1,'[103]Feed Cost &amp; Allocation'!$B$77:$AK$77),0)</f>
        <v>0</v>
      </c>
      <c r="AQ81" s="1095"/>
      <c r="AR81" s="1095"/>
      <c r="AS81" s="1095"/>
      <c r="AT81" s="1095"/>
      <c r="AU81" s="1095"/>
      <c r="AV81" s="1095"/>
      <c r="AW81" s="1095"/>
      <c r="AX81" s="1095"/>
      <c r="AY81" s="818">
        <f>SUM(B81:AP81)</f>
        <v>280654.90000000002</v>
      </c>
      <c r="AZ81" s="818">
        <f>'[103]Feed Cost &amp; Allocation'!$AO$77</f>
        <v>124081.4611353661</v>
      </c>
      <c r="BA81" s="1990">
        <f t="shared" si="10"/>
        <v>156573.43886463391</v>
      </c>
      <c r="BB81" s="818">
        <f>'Total Pigs'!D335</f>
        <v>5022036.2</v>
      </c>
    </row>
    <row r="82" spans="1:55">
      <c r="A82" s="1066" t="s">
        <v>1824</v>
      </c>
      <c r="B82" s="1059">
        <f>IFERROR(_xlfn.XLOOKUP(B1,'[103]Feed Cost &amp; Allocation'!$B$1:$AB$1,'[103]Feed Cost &amp; Allocation'!$B$53:$AB$53),0)</f>
        <v>0</v>
      </c>
      <c r="C82" s="1059">
        <f>IFERROR(C72/C61,0)</f>
        <v>0.96212257003830404</v>
      </c>
      <c r="D82" s="1059">
        <f t="shared" ref="D82:AP82" si="18">IFERROR(D72/D61,0)</f>
        <v>0.93890148789010097</v>
      </c>
      <c r="E82" s="1059">
        <f t="shared" si="18"/>
        <v>0.93166823751178129</v>
      </c>
      <c r="F82" s="1059">
        <f t="shared" si="18"/>
        <v>0.94556590804333951</v>
      </c>
      <c r="G82" s="1059">
        <f t="shared" si="18"/>
        <v>0.94574270460846721</v>
      </c>
      <c r="H82" s="1059">
        <f t="shared" si="18"/>
        <v>0.95162053821451664</v>
      </c>
      <c r="I82" s="1059">
        <f t="shared" si="18"/>
        <v>0.90252859430864063</v>
      </c>
      <c r="J82" s="1059">
        <f t="shared" si="18"/>
        <v>1</v>
      </c>
      <c r="K82" s="1059">
        <f>IFERROR(K72/K61,0)</f>
        <v>1</v>
      </c>
      <c r="L82" s="1059">
        <f t="shared" si="18"/>
        <v>0.82828294940822367</v>
      </c>
      <c r="M82" s="1059">
        <f t="shared" si="18"/>
        <v>1</v>
      </c>
      <c r="N82" s="1059">
        <f t="shared" si="18"/>
        <v>0.93288919369060452</v>
      </c>
      <c r="O82" s="1059">
        <f t="shared" si="18"/>
        <v>0.60986166392963514</v>
      </c>
      <c r="P82" s="1059">
        <f t="shared" si="18"/>
        <v>0.90808654570856084</v>
      </c>
      <c r="Q82" s="1059">
        <f t="shared" si="18"/>
        <v>0.843976721326822</v>
      </c>
      <c r="R82" s="1059">
        <f t="shared" si="18"/>
        <v>0.88941288594574175</v>
      </c>
      <c r="S82" s="1059">
        <f t="shared" si="18"/>
        <v>0</v>
      </c>
      <c r="T82" s="1059">
        <f t="shared" si="18"/>
        <v>0</v>
      </c>
      <c r="U82" s="1059">
        <f t="shared" si="18"/>
        <v>0</v>
      </c>
      <c r="V82" s="1059">
        <f t="shared" si="18"/>
        <v>0</v>
      </c>
      <c r="W82" s="1059">
        <f t="shared" si="18"/>
        <v>0.94240200111904682</v>
      </c>
      <c r="X82" s="1059">
        <f t="shared" si="18"/>
        <v>0.93840313664639297</v>
      </c>
      <c r="Y82" s="1059">
        <f t="shared" si="18"/>
        <v>1</v>
      </c>
      <c r="Z82" s="1059">
        <f t="shared" si="18"/>
        <v>0.92748041142615389</v>
      </c>
      <c r="AA82" s="1059">
        <f t="shared" si="18"/>
        <v>0</v>
      </c>
      <c r="AB82" s="1059">
        <f t="shared" si="18"/>
        <v>0.90606657122405165</v>
      </c>
      <c r="AC82" s="1059">
        <f t="shared" si="18"/>
        <v>0</v>
      </c>
      <c r="AD82" s="1059">
        <f t="shared" si="18"/>
        <v>0</v>
      </c>
      <c r="AE82" s="1059">
        <f t="shared" si="18"/>
        <v>1</v>
      </c>
      <c r="AF82" s="1059">
        <f t="shared" si="18"/>
        <v>0.89496130799707485</v>
      </c>
      <c r="AG82" s="1059">
        <f t="shared" si="18"/>
        <v>1</v>
      </c>
      <c r="AH82" s="1059">
        <f t="shared" si="18"/>
        <v>0</v>
      </c>
      <c r="AI82" s="1059">
        <f t="shared" si="18"/>
        <v>0</v>
      </c>
      <c r="AJ82" s="1059">
        <f t="shared" si="18"/>
        <v>0</v>
      </c>
      <c r="AK82" s="1059">
        <f t="shared" si="18"/>
        <v>0</v>
      </c>
      <c r="AL82" s="1059">
        <f t="shared" si="18"/>
        <v>0</v>
      </c>
      <c r="AM82" s="1059">
        <f t="shared" si="18"/>
        <v>0</v>
      </c>
      <c r="AN82" s="1059">
        <f t="shared" si="18"/>
        <v>0</v>
      </c>
      <c r="AO82" s="1059">
        <f t="shared" si="18"/>
        <v>0</v>
      </c>
      <c r="AP82" s="1059">
        <f t="shared" si="18"/>
        <v>0</v>
      </c>
      <c r="AQ82" s="1059"/>
      <c r="AR82" s="1059"/>
      <c r="AS82" s="1059"/>
      <c r="AT82" s="1059"/>
      <c r="AU82" s="1059"/>
      <c r="AV82" s="1059"/>
      <c r="AW82" s="1059"/>
      <c r="AX82" s="1059"/>
      <c r="AY82" s="1059"/>
      <c r="AZ82" s="818">
        <f>X80+W80+R80+Q80+P80</f>
        <v>21174</v>
      </c>
      <c r="BB82" s="818">
        <f>BB79-BB81</f>
        <v>0</v>
      </c>
    </row>
    <row r="83" spans="1:55" ht="15">
      <c r="A83" s="1100" t="s">
        <v>2044</v>
      </c>
      <c r="B83" s="805"/>
      <c r="C83" s="805">
        <f>IFERROR(C72/C61,0)</f>
        <v>0.96212257003830404</v>
      </c>
      <c r="D83" s="805">
        <f t="shared" ref="C83:AX88" si="19">IFERROR(D72/D61,0)</f>
        <v>0.93890148789010097</v>
      </c>
      <c r="E83" s="805">
        <f t="shared" si="19"/>
        <v>0.93166823751178129</v>
      </c>
      <c r="F83" s="805">
        <f t="shared" si="19"/>
        <v>0.94556590804333951</v>
      </c>
      <c r="G83" s="805">
        <f t="shared" si="19"/>
        <v>0.94574270460846721</v>
      </c>
      <c r="H83" s="805">
        <f t="shared" si="19"/>
        <v>0.95162053821451664</v>
      </c>
      <c r="I83" s="805">
        <f t="shared" si="19"/>
        <v>0.90252859430864063</v>
      </c>
      <c r="J83" s="805">
        <f t="shared" si="19"/>
        <v>1</v>
      </c>
      <c r="K83" s="805">
        <f>IFERROR(K72/K61,0)</f>
        <v>1</v>
      </c>
      <c r="L83" s="805">
        <f t="shared" si="19"/>
        <v>0.82828294940822367</v>
      </c>
      <c r="M83" s="805">
        <f t="shared" si="19"/>
        <v>1</v>
      </c>
      <c r="N83" s="805">
        <f t="shared" si="19"/>
        <v>0.93288919369060452</v>
      </c>
      <c r="O83" s="805">
        <f t="shared" si="19"/>
        <v>0.60986166392963514</v>
      </c>
      <c r="P83" s="805">
        <f t="shared" si="19"/>
        <v>0.90808654570856084</v>
      </c>
      <c r="Q83" s="805">
        <f t="shared" si="19"/>
        <v>0.843976721326822</v>
      </c>
      <c r="R83" s="805">
        <f t="shared" si="19"/>
        <v>0.88941288594574175</v>
      </c>
      <c r="S83" s="805">
        <f t="shared" si="19"/>
        <v>0</v>
      </c>
      <c r="T83" s="805">
        <f t="shared" si="19"/>
        <v>0</v>
      </c>
      <c r="U83" s="805">
        <f t="shared" si="19"/>
        <v>0</v>
      </c>
      <c r="V83" s="805">
        <f t="shared" si="19"/>
        <v>0</v>
      </c>
      <c r="W83" s="805">
        <f t="shared" si="19"/>
        <v>0.94240200111904682</v>
      </c>
      <c r="X83" s="805">
        <f t="shared" si="19"/>
        <v>0.93840313664639297</v>
      </c>
      <c r="Y83" s="805">
        <f t="shared" si="19"/>
        <v>1</v>
      </c>
      <c r="Z83" s="805">
        <f t="shared" si="19"/>
        <v>0.92748041142615389</v>
      </c>
      <c r="AA83" s="805">
        <f t="shared" si="19"/>
        <v>0</v>
      </c>
      <c r="AB83" s="805">
        <f t="shared" si="19"/>
        <v>0.90606657122405165</v>
      </c>
      <c r="AC83" s="805">
        <f t="shared" si="19"/>
        <v>0</v>
      </c>
      <c r="AD83" s="805">
        <f t="shared" si="19"/>
        <v>0</v>
      </c>
      <c r="AE83" s="805">
        <f t="shared" si="19"/>
        <v>1</v>
      </c>
      <c r="AF83" s="805">
        <f t="shared" si="19"/>
        <v>0.89496130799707485</v>
      </c>
      <c r="AG83" s="805">
        <f t="shared" si="19"/>
        <v>1</v>
      </c>
      <c r="AH83" s="805">
        <f t="shared" si="19"/>
        <v>0</v>
      </c>
      <c r="AI83" s="805">
        <f t="shared" si="19"/>
        <v>0</v>
      </c>
      <c r="AJ83" s="805">
        <f t="shared" si="19"/>
        <v>0</v>
      </c>
      <c r="AK83" s="805">
        <f t="shared" si="19"/>
        <v>0</v>
      </c>
      <c r="AL83" s="805">
        <f t="shared" si="19"/>
        <v>0</v>
      </c>
      <c r="AM83" s="805">
        <f t="shared" si="19"/>
        <v>0</v>
      </c>
      <c r="AN83" s="805">
        <f t="shared" si="19"/>
        <v>0</v>
      </c>
      <c r="AO83" s="805">
        <f t="shared" si="19"/>
        <v>0</v>
      </c>
      <c r="AP83" s="805">
        <f t="shared" si="19"/>
        <v>0</v>
      </c>
      <c r="AQ83" s="805">
        <f t="shared" si="19"/>
        <v>0</v>
      </c>
      <c r="AR83" s="805">
        <f t="shared" si="19"/>
        <v>0</v>
      </c>
      <c r="AS83" s="805">
        <f t="shared" si="19"/>
        <v>0</v>
      </c>
      <c r="AT83" s="805">
        <f t="shared" si="19"/>
        <v>0</v>
      </c>
      <c r="AU83" s="805">
        <f t="shared" si="19"/>
        <v>0</v>
      </c>
      <c r="AV83" s="805">
        <f t="shared" si="19"/>
        <v>0</v>
      </c>
      <c r="AW83" s="805">
        <f t="shared" si="19"/>
        <v>0</v>
      </c>
      <c r="AX83" s="805">
        <f t="shared" si="19"/>
        <v>0</v>
      </c>
      <c r="AY83" s="805">
        <f>IFERROR(AY72/AY61,0)</f>
        <v>1</v>
      </c>
      <c r="AZ83" s="1059">
        <v>0.42647173128356725</v>
      </c>
      <c r="BA83" s="818">
        <f>AY83-AZ83</f>
        <v>0.5735282687164327</v>
      </c>
    </row>
    <row r="84" spans="1:55" ht="15">
      <c r="A84" s="1121" t="s">
        <v>2034</v>
      </c>
      <c r="C84" s="1059">
        <f>IFERROR(C73/C62,0)</f>
        <v>1</v>
      </c>
      <c r="D84" s="1059">
        <f t="shared" si="19"/>
        <v>1</v>
      </c>
      <c r="E84" s="1059">
        <f t="shared" si="19"/>
        <v>1</v>
      </c>
      <c r="F84" s="1059">
        <f t="shared" si="19"/>
        <v>1</v>
      </c>
      <c r="G84" s="1059">
        <f t="shared" si="19"/>
        <v>1</v>
      </c>
      <c r="H84" s="1059">
        <f t="shared" si="19"/>
        <v>1</v>
      </c>
      <c r="I84" s="1059">
        <f t="shared" si="19"/>
        <v>1</v>
      </c>
      <c r="J84" s="1059">
        <f t="shared" si="19"/>
        <v>0</v>
      </c>
      <c r="K84" s="1059">
        <f>IFERROR(K73/K62,0)</f>
        <v>1</v>
      </c>
      <c r="L84" s="1059">
        <f t="shared" si="19"/>
        <v>1</v>
      </c>
      <c r="M84" s="1059">
        <f t="shared" si="19"/>
        <v>1</v>
      </c>
      <c r="N84" s="1059">
        <f t="shared" si="19"/>
        <v>1</v>
      </c>
      <c r="O84" s="1059">
        <f t="shared" si="19"/>
        <v>0</v>
      </c>
      <c r="P84" s="1059">
        <f t="shared" si="19"/>
        <v>1</v>
      </c>
      <c r="Q84" s="1059">
        <f t="shared" si="19"/>
        <v>1</v>
      </c>
      <c r="R84" s="1059">
        <f t="shared" si="19"/>
        <v>1</v>
      </c>
      <c r="S84" s="1059">
        <f t="shared" si="19"/>
        <v>0</v>
      </c>
      <c r="T84" s="1059">
        <f t="shared" si="19"/>
        <v>0</v>
      </c>
      <c r="U84" s="1059">
        <f t="shared" si="19"/>
        <v>0</v>
      </c>
      <c r="V84" s="1059">
        <f t="shared" si="19"/>
        <v>0</v>
      </c>
      <c r="W84" s="1059">
        <f t="shared" si="19"/>
        <v>1</v>
      </c>
      <c r="X84" s="1059">
        <f t="shared" si="19"/>
        <v>1</v>
      </c>
      <c r="Y84" s="1059">
        <f t="shared" si="19"/>
        <v>1</v>
      </c>
      <c r="Z84" s="1059">
        <f t="shared" si="19"/>
        <v>1</v>
      </c>
      <c r="AA84" s="1059">
        <f t="shared" si="19"/>
        <v>0</v>
      </c>
      <c r="AB84" s="1059">
        <f t="shared" si="19"/>
        <v>1</v>
      </c>
      <c r="AC84" s="1059">
        <f t="shared" si="19"/>
        <v>0</v>
      </c>
      <c r="AD84" s="1059">
        <f t="shared" si="19"/>
        <v>0</v>
      </c>
      <c r="AE84" s="1059">
        <f t="shared" si="19"/>
        <v>1</v>
      </c>
      <c r="AF84" s="1059">
        <f t="shared" si="19"/>
        <v>1</v>
      </c>
      <c r="AG84" s="1059">
        <f t="shared" si="19"/>
        <v>0</v>
      </c>
      <c r="AH84" s="1059">
        <f t="shared" si="19"/>
        <v>0</v>
      </c>
      <c r="AI84" s="1059">
        <f t="shared" si="19"/>
        <v>0</v>
      </c>
      <c r="AJ84" s="1059">
        <f t="shared" si="19"/>
        <v>0</v>
      </c>
      <c r="AK84" s="1059">
        <f t="shared" si="19"/>
        <v>0</v>
      </c>
      <c r="AL84" s="1059">
        <f t="shared" si="19"/>
        <v>0</v>
      </c>
      <c r="AM84" s="1059">
        <f t="shared" si="19"/>
        <v>0</v>
      </c>
      <c r="AN84" s="1059">
        <f t="shared" si="19"/>
        <v>0</v>
      </c>
      <c r="AO84" s="1059">
        <f t="shared" si="19"/>
        <v>0</v>
      </c>
      <c r="AP84" s="1059">
        <f t="shared" si="19"/>
        <v>0</v>
      </c>
      <c r="AQ84" s="1059">
        <f t="shared" si="19"/>
        <v>0</v>
      </c>
      <c r="AR84" s="1059">
        <f t="shared" si="19"/>
        <v>0</v>
      </c>
      <c r="AS84" s="1059">
        <f t="shared" si="19"/>
        <v>0</v>
      </c>
      <c r="AT84" s="1059">
        <f t="shared" si="19"/>
        <v>0</v>
      </c>
      <c r="AU84" s="1059">
        <f t="shared" si="19"/>
        <v>0</v>
      </c>
      <c r="AV84" s="1059">
        <f t="shared" si="19"/>
        <v>0</v>
      </c>
      <c r="AW84" s="1059">
        <f t="shared" si="19"/>
        <v>0</v>
      </c>
      <c r="AX84" s="1059">
        <f t="shared" si="19"/>
        <v>0</v>
      </c>
      <c r="AY84" s="1059">
        <f t="shared" ref="AY84:AY92" si="20">IFERROR(AY73/AY62,0)</f>
        <v>1</v>
      </c>
      <c r="AZ84" s="1059">
        <v>0.42508964964201312</v>
      </c>
      <c r="BA84" s="818">
        <f t="shared" ref="BA84:BA91" si="21">AY84-AZ84</f>
        <v>0.57491035035798688</v>
      </c>
    </row>
    <row r="85" spans="1:55" ht="15">
      <c r="A85" s="1121" t="s">
        <v>2035</v>
      </c>
      <c r="C85" s="1059">
        <f>IFERROR(C74/C63,0)</f>
        <v>1</v>
      </c>
      <c r="D85" s="1059">
        <f t="shared" si="19"/>
        <v>1</v>
      </c>
      <c r="E85" s="1059">
        <f t="shared" si="19"/>
        <v>1</v>
      </c>
      <c r="F85" s="1059">
        <f t="shared" si="19"/>
        <v>1</v>
      </c>
      <c r="G85" s="1059">
        <f t="shared" si="19"/>
        <v>1</v>
      </c>
      <c r="H85" s="1059">
        <f t="shared" si="19"/>
        <v>1</v>
      </c>
      <c r="I85" s="1059">
        <f t="shared" si="19"/>
        <v>1</v>
      </c>
      <c r="J85" s="1059">
        <f t="shared" si="19"/>
        <v>1</v>
      </c>
      <c r="K85" s="1059">
        <f t="shared" si="19"/>
        <v>1</v>
      </c>
      <c r="L85" s="1059">
        <f t="shared" si="19"/>
        <v>1</v>
      </c>
      <c r="M85" s="1059">
        <f t="shared" si="19"/>
        <v>1</v>
      </c>
      <c r="N85" s="1059">
        <f t="shared" si="19"/>
        <v>1</v>
      </c>
      <c r="O85" s="1059">
        <f t="shared" si="19"/>
        <v>1</v>
      </c>
      <c r="P85" s="1059">
        <f t="shared" si="19"/>
        <v>1</v>
      </c>
      <c r="Q85" s="1059">
        <f t="shared" si="19"/>
        <v>1</v>
      </c>
      <c r="R85" s="1059">
        <f t="shared" si="19"/>
        <v>1</v>
      </c>
      <c r="S85" s="1059">
        <f t="shared" si="19"/>
        <v>0</v>
      </c>
      <c r="T85" s="1059">
        <f t="shared" si="19"/>
        <v>0</v>
      </c>
      <c r="U85" s="1059">
        <f t="shared" si="19"/>
        <v>0</v>
      </c>
      <c r="V85" s="1059">
        <f t="shared" si="19"/>
        <v>0</v>
      </c>
      <c r="W85" s="1059">
        <f t="shared" si="19"/>
        <v>1</v>
      </c>
      <c r="X85" s="1059">
        <f t="shared" si="19"/>
        <v>1</v>
      </c>
      <c r="Y85" s="1059">
        <f t="shared" si="19"/>
        <v>1</v>
      </c>
      <c r="Z85" s="1059">
        <f t="shared" si="19"/>
        <v>0</v>
      </c>
      <c r="AA85" s="1059">
        <f t="shared" si="19"/>
        <v>0</v>
      </c>
      <c r="AB85" s="1059">
        <f t="shared" si="19"/>
        <v>1</v>
      </c>
      <c r="AC85" s="1059">
        <f t="shared" si="19"/>
        <v>0</v>
      </c>
      <c r="AD85" s="1059">
        <f t="shared" si="19"/>
        <v>0</v>
      </c>
      <c r="AE85" s="1059">
        <f t="shared" si="19"/>
        <v>1</v>
      </c>
      <c r="AF85" s="1059">
        <f t="shared" si="19"/>
        <v>0</v>
      </c>
      <c r="AG85" s="1059">
        <f t="shared" si="19"/>
        <v>1</v>
      </c>
      <c r="AH85" s="1059">
        <f t="shared" si="19"/>
        <v>0</v>
      </c>
      <c r="AI85" s="1059">
        <f t="shared" si="19"/>
        <v>0</v>
      </c>
      <c r="AJ85" s="1059">
        <f t="shared" si="19"/>
        <v>0</v>
      </c>
      <c r="AK85" s="1059">
        <f t="shared" si="19"/>
        <v>0</v>
      </c>
      <c r="AL85" s="1059">
        <f t="shared" si="19"/>
        <v>0</v>
      </c>
      <c r="AM85" s="1059">
        <f t="shared" si="19"/>
        <v>0</v>
      </c>
      <c r="AN85" s="1059">
        <f t="shared" si="19"/>
        <v>0</v>
      </c>
      <c r="AO85" s="1059">
        <f t="shared" si="19"/>
        <v>0</v>
      </c>
      <c r="AP85" s="1059">
        <f t="shared" si="19"/>
        <v>0</v>
      </c>
      <c r="AQ85" s="1059">
        <f t="shared" si="19"/>
        <v>0</v>
      </c>
      <c r="AR85" s="1059">
        <f t="shared" si="19"/>
        <v>0</v>
      </c>
      <c r="AS85" s="1059">
        <f t="shared" si="19"/>
        <v>0</v>
      </c>
      <c r="AT85" s="1059">
        <f t="shared" si="19"/>
        <v>0</v>
      </c>
      <c r="AU85" s="1059">
        <f t="shared" si="19"/>
        <v>0</v>
      </c>
      <c r="AV85" s="1059">
        <f t="shared" si="19"/>
        <v>0</v>
      </c>
      <c r="AW85" s="1059">
        <f t="shared" si="19"/>
        <v>0</v>
      </c>
      <c r="AX85" s="1059">
        <f t="shared" si="19"/>
        <v>0</v>
      </c>
      <c r="AY85" s="1059">
        <f t="shared" si="20"/>
        <v>1</v>
      </c>
      <c r="AZ85" s="805">
        <v>0.41961165714497584</v>
      </c>
      <c r="BA85" s="818">
        <f t="shared" si="21"/>
        <v>0.58038834285502416</v>
      </c>
    </row>
    <row r="86" spans="1:55" ht="15">
      <c r="A86" s="1121" t="s">
        <v>2036</v>
      </c>
      <c r="C86" s="1059">
        <f t="shared" si="19"/>
        <v>1</v>
      </c>
      <c r="D86" s="1059">
        <f t="shared" si="19"/>
        <v>1</v>
      </c>
      <c r="E86" s="1059">
        <f t="shared" si="19"/>
        <v>1</v>
      </c>
      <c r="F86" s="1059">
        <f t="shared" si="19"/>
        <v>1</v>
      </c>
      <c r="G86" s="1059">
        <f t="shared" si="19"/>
        <v>1</v>
      </c>
      <c r="H86" s="1059">
        <f t="shared" si="19"/>
        <v>1</v>
      </c>
      <c r="I86" s="1059">
        <f t="shared" si="19"/>
        <v>1</v>
      </c>
      <c r="J86" s="1059">
        <f t="shared" si="19"/>
        <v>1</v>
      </c>
      <c r="K86" s="1059">
        <f t="shared" si="19"/>
        <v>1</v>
      </c>
      <c r="L86" s="1059">
        <f t="shared" si="19"/>
        <v>0</v>
      </c>
      <c r="M86" s="1059">
        <f t="shared" si="19"/>
        <v>1</v>
      </c>
      <c r="N86" s="1059">
        <f t="shared" si="19"/>
        <v>1</v>
      </c>
      <c r="O86" s="1059">
        <f t="shared" si="19"/>
        <v>1</v>
      </c>
      <c r="P86" s="1059">
        <f t="shared" si="19"/>
        <v>1</v>
      </c>
      <c r="Q86" s="1059">
        <f t="shared" si="19"/>
        <v>1</v>
      </c>
      <c r="R86" s="1059">
        <f t="shared" si="19"/>
        <v>1</v>
      </c>
      <c r="S86" s="1059">
        <f t="shared" si="19"/>
        <v>0</v>
      </c>
      <c r="T86" s="1059">
        <f t="shared" si="19"/>
        <v>0</v>
      </c>
      <c r="U86" s="1059">
        <f t="shared" si="19"/>
        <v>0</v>
      </c>
      <c r="V86" s="1059">
        <f t="shared" si="19"/>
        <v>0</v>
      </c>
      <c r="W86" s="1059">
        <f t="shared" si="19"/>
        <v>1</v>
      </c>
      <c r="X86" s="1059">
        <f t="shared" si="19"/>
        <v>1</v>
      </c>
      <c r="Y86" s="1059">
        <f t="shared" si="19"/>
        <v>1</v>
      </c>
      <c r="Z86" s="1059">
        <f t="shared" si="19"/>
        <v>1</v>
      </c>
      <c r="AA86" s="1059">
        <f t="shared" si="19"/>
        <v>0</v>
      </c>
      <c r="AB86" s="1059">
        <f t="shared" si="19"/>
        <v>0</v>
      </c>
      <c r="AC86" s="1059">
        <f t="shared" si="19"/>
        <v>0</v>
      </c>
      <c r="AD86" s="1059">
        <f t="shared" si="19"/>
        <v>0</v>
      </c>
      <c r="AE86" s="1059">
        <f t="shared" si="19"/>
        <v>1</v>
      </c>
      <c r="AF86" s="1059">
        <f t="shared" si="19"/>
        <v>0</v>
      </c>
      <c r="AG86" s="1059">
        <f t="shared" si="19"/>
        <v>1</v>
      </c>
      <c r="AH86" s="1059">
        <f t="shared" si="19"/>
        <v>0</v>
      </c>
      <c r="AI86" s="1059">
        <f t="shared" si="19"/>
        <v>0</v>
      </c>
      <c r="AJ86" s="1059">
        <f t="shared" si="19"/>
        <v>0</v>
      </c>
      <c r="AK86" s="1059">
        <f t="shared" si="19"/>
        <v>0</v>
      </c>
      <c r="AL86" s="1059">
        <f t="shared" si="19"/>
        <v>0</v>
      </c>
      <c r="AM86" s="1059">
        <f t="shared" si="19"/>
        <v>0</v>
      </c>
      <c r="AN86" s="1059">
        <f t="shared" si="19"/>
        <v>0</v>
      </c>
      <c r="AO86" s="1059">
        <f t="shared" si="19"/>
        <v>0</v>
      </c>
      <c r="AP86" s="1059">
        <f t="shared" si="19"/>
        <v>0</v>
      </c>
      <c r="AQ86" s="1059">
        <f t="shared" si="19"/>
        <v>0</v>
      </c>
      <c r="AR86" s="1059">
        <f t="shared" si="19"/>
        <v>0</v>
      </c>
      <c r="AS86" s="1059">
        <f t="shared" si="19"/>
        <v>0</v>
      </c>
      <c r="AT86" s="1059">
        <f t="shared" si="19"/>
        <v>0</v>
      </c>
      <c r="AU86" s="1059">
        <f t="shared" si="19"/>
        <v>0</v>
      </c>
      <c r="AV86" s="1059">
        <f t="shared" si="19"/>
        <v>0</v>
      </c>
      <c r="AW86" s="1059">
        <f t="shared" si="19"/>
        <v>0</v>
      </c>
      <c r="AX86" s="1059">
        <f t="shared" si="19"/>
        <v>0</v>
      </c>
      <c r="AY86" s="1059">
        <f t="shared" si="20"/>
        <v>1</v>
      </c>
      <c r="AZ86" s="805">
        <v>0.42841014508392566</v>
      </c>
      <c r="BA86" s="818">
        <f t="shared" si="21"/>
        <v>0.57158985491607428</v>
      </c>
      <c r="BC86" s="818">
        <f>AY72-AY78</f>
        <v>5022036.2</v>
      </c>
    </row>
    <row r="87" spans="1:55" ht="15">
      <c r="A87" s="1121" t="s">
        <v>2037</v>
      </c>
      <c r="C87" s="1059">
        <f t="shared" si="19"/>
        <v>1</v>
      </c>
      <c r="D87" s="1059">
        <f t="shared" si="19"/>
        <v>1</v>
      </c>
      <c r="E87" s="1059">
        <f t="shared" si="19"/>
        <v>1</v>
      </c>
      <c r="F87" s="1059">
        <f t="shared" si="19"/>
        <v>1</v>
      </c>
      <c r="G87" s="1059">
        <f t="shared" si="19"/>
        <v>1</v>
      </c>
      <c r="H87" s="1059">
        <f t="shared" si="19"/>
        <v>1</v>
      </c>
      <c r="I87" s="1059">
        <f t="shared" si="19"/>
        <v>1</v>
      </c>
      <c r="J87" s="1059">
        <f t="shared" si="19"/>
        <v>1</v>
      </c>
      <c r="K87" s="1059">
        <f t="shared" si="19"/>
        <v>1</v>
      </c>
      <c r="L87" s="1059">
        <f t="shared" si="19"/>
        <v>0</v>
      </c>
      <c r="M87" s="1059">
        <f t="shared" si="19"/>
        <v>1</v>
      </c>
      <c r="N87" s="1059">
        <f t="shared" si="19"/>
        <v>1</v>
      </c>
      <c r="O87" s="1059">
        <f t="shared" si="19"/>
        <v>1</v>
      </c>
      <c r="P87" s="1059">
        <f t="shared" si="19"/>
        <v>1</v>
      </c>
      <c r="Q87" s="1059">
        <f t="shared" si="19"/>
        <v>1</v>
      </c>
      <c r="R87" s="1059">
        <f t="shared" si="19"/>
        <v>1</v>
      </c>
      <c r="S87" s="1059">
        <f t="shared" si="19"/>
        <v>0</v>
      </c>
      <c r="T87" s="1059">
        <f t="shared" si="19"/>
        <v>0</v>
      </c>
      <c r="U87" s="1059">
        <f t="shared" si="19"/>
        <v>0</v>
      </c>
      <c r="V87" s="1059">
        <f t="shared" si="19"/>
        <v>0</v>
      </c>
      <c r="W87" s="1059">
        <f t="shared" si="19"/>
        <v>1</v>
      </c>
      <c r="X87" s="1059">
        <f t="shared" si="19"/>
        <v>1</v>
      </c>
      <c r="Y87" s="1059">
        <f t="shared" si="19"/>
        <v>1</v>
      </c>
      <c r="Z87" s="1059">
        <f t="shared" si="19"/>
        <v>1</v>
      </c>
      <c r="AA87" s="1059">
        <f t="shared" si="19"/>
        <v>0</v>
      </c>
      <c r="AB87" s="1059">
        <f t="shared" si="19"/>
        <v>1</v>
      </c>
      <c r="AC87" s="1059">
        <f t="shared" si="19"/>
        <v>0</v>
      </c>
      <c r="AD87" s="1059">
        <f t="shared" si="19"/>
        <v>0</v>
      </c>
      <c r="AE87" s="1059">
        <f t="shared" si="19"/>
        <v>1</v>
      </c>
      <c r="AF87" s="1059">
        <f t="shared" si="19"/>
        <v>0</v>
      </c>
      <c r="AG87" s="1059">
        <f t="shared" si="19"/>
        <v>0</v>
      </c>
      <c r="AH87" s="1059">
        <f t="shared" si="19"/>
        <v>0</v>
      </c>
      <c r="AI87" s="1059">
        <f t="shared" si="19"/>
        <v>0</v>
      </c>
      <c r="AJ87" s="1059">
        <f t="shared" si="19"/>
        <v>0</v>
      </c>
      <c r="AK87" s="1059">
        <f t="shared" si="19"/>
        <v>0</v>
      </c>
      <c r="AL87" s="1059">
        <f t="shared" si="19"/>
        <v>0</v>
      </c>
      <c r="AM87" s="1059">
        <f t="shared" si="19"/>
        <v>0</v>
      </c>
      <c r="AN87" s="1059">
        <f t="shared" si="19"/>
        <v>0</v>
      </c>
      <c r="AO87" s="1059">
        <f t="shared" si="19"/>
        <v>0</v>
      </c>
      <c r="AP87" s="1059">
        <f t="shared" si="19"/>
        <v>0</v>
      </c>
      <c r="AQ87" s="1059">
        <f t="shared" si="19"/>
        <v>0</v>
      </c>
      <c r="AR87" s="1059">
        <f t="shared" si="19"/>
        <v>0</v>
      </c>
      <c r="AS87" s="1059">
        <f t="shared" si="19"/>
        <v>0</v>
      </c>
      <c r="AT87" s="1059">
        <f t="shared" si="19"/>
        <v>0</v>
      </c>
      <c r="AU87" s="1059">
        <f t="shared" si="19"/>
        <v>0</v>
      </c>
      <c r="AV87" s="1059">
        <f t="shared" si="19"/>
        <v>0</v>
      </c>
      <c r="AW87" s="1059">
        <f t="shared" si="19"/>
        <v>0</v>
      </c>
      <c r="AX87" s="1059">
        <f t="shared" si="19"/>
        <v>0</v>
      </c>
      <c r="AY87" s="1059">
        <f t="shared" si="20"/>
        <v>1</v>
      </c>
      <c r="AZ87" s="1059">
        <v>0.42918784402819993</v>
      </c>
      <c r="BA87" s="818">
        <f t="shared" si="21"/>
        <v>0.57081215597180002</v>
      </c>
    </row>
    <row r="88" spans="1:55" ht="15">
      <c r="A88" s="142" t="s">
        <v>2038</v>
      </c>
      <c r="C88" s="1059">
        <f t="shared" si="19"/>
        <v>1</v>
      </c>
      <c r="D88" s="1059">
        <f t="shared" si="19"/>
        <v>1</v>
      </c>
      <c r="E88" s="1059">
        <f t="shared" si="19"/>
        <v>1</v>
      </c>
      <c r="F88" s="1059">
        <f t="shared" si="19"/>
        <v>1</v>
      </c>
      <c r="G88" s="1059">
        <f t="shared" si="19"/>
        <v>1</v>
      </c>
      <c r="H88" s="1059">
        <f t="shared" si="19"/>
        <v>1</v>
      </c>
      <c r="I88" s="1059">
        <f t="shared" si="19"/>
        <v>0</v>
      </c>
      <c r="J88" s="1059">
        <f t="shared" si="19"/>
        <v>1</v>
      </c>
      <c r="K88" s="1059">
        <f t="shared" si="19"/>
        <v>0</v>
      </c>
      <c r="L88" s="1059">
        <f t="shared" ref="C88:AX92" si="22">IFERROR(L77/L66,0)</f>
        <v>0</v>
      </c>
      <c r="M88" s="1059">
        <f t="shared" si="22"/>
        <v>0</v>
      </c>
      <c r="N88" s="1059">
        <f t="shared" si="22"/>
        <v>0</v>
      </c>
      <c r="O88" s="1059">
        <f t="shared" si="22"/>
        <v>0</v>
      </c>
      <c r="P88" s="1059">
        <f t="shared" si="22"/>
        <v>0</v>
      </c>
      <c r="Q88" s="1059">
        <f t="shared" si="22"/>
        <v>0</v>
      </c>
      <c r="R88" s="1059">
        <f t="shared" si="22"/>
        <v>0</v>
      </c>
      <c r="S88" s="1059">
        <f t="shared" si="22"/>
        <v>0</v>
      </c>
      <c r="T88" s="1059">
        <f t="shared" si="22"/>
        <v>0</v>
      </c>
      <c r="U88" s="1059">
        <f t="shared" si="22"/>
        <v>0</v>
      </c>
      <c r="V88" s="1059">
        <f t="shared" si="22"/>
        <v>0</v>
      </c>
      <c r="W88" s="1059">
        <f t="shared" si="22"/>
        <v>0</v>
      </c>
      <c r="X88" s="1059">
        <f t="shared" si="22"/>
        <v>0</v>
      </c>
      <c r="Y88" s="1059">
        <f t="shared" si="22"/>
        <v>0</v>
      </c>
      <c r="Z88" s="1059">
        <f t="shared" si="22"/>
        <v>0</v>
      </c>
      <c r="AA88" s="1059">
        <f t="shared" si="22"/>
        <v>0</v>
      </c>
      <c r="AB88" s="1059">
        <f t="shared" si="22"/>
        <v>0</v>
      </c>
      <c r="AC88" s="1059">
        <f t="shared" si="22"/>
        <v>0</v>
      </c>
      <c r="AD88" s="1059">
        <f t="shared" si="22"/>
        <v>0</v>
      </c>
      <c r="AE88" s="1059">
        <f t="shared" si="22"/>
        <v>0</v>
      </c>
      <c r="AF88" s="1059">
        <f t="shared" si="22"/>
        <v>0</v>
      </c>
      <c r="AG88" s="1059">
        <f t="shared" si="22"/>
        <v>1</v>
      </c>
      <c r="AH88" s="1059">
        <f t="shared" si="22"/>
        <v>0</v>
      </c>
      <c r="AI88" s="1059">
        <f t="shared" si="22"/>
        <v>0</v>
      </c>
      <c r="AJ88" s="1059">
        <f t="shared" si="22"/>
        <v>0</v>
      </c>
      <c r="AK88" s="1059">
        <f t="shared" si="22"/>
        <v>0</v>
      </c>
      <c r="AL88" s="1059">
        <f t="shared" si="22"/>
        <v>0</v>
      </c>
      <c r="AM88" s="1059">
        <f t="shared" si="22"/>
        <v>0</v>
      </c>
      <c r="AN88" s="1059">
        <f t="shared" si="22"/>
        <v>0</v>
      </c>
      <c r="AO88" s="1059">
        <f t="shared" si="22"/>
        <v>0</v>
      </c>
      <c r="AP88" s="1059">
        <f t="shared" si="22"/>
        <v>0</v>
      </c>
      <c r="AQ88" s="1059">
        <f t="shared" si="22"/>
        <v>0</v>
      </c>
      <c r="AR88" s="1059">
        <f t="shared" si="22"/>
        <v>0</v>
      </c>
      <c r="AS88" s="1059">
        <f t="shared" si="22"/>
        <v>0</v>
      </c>
      <c r="AT88" s="1059">
        <f t="shared" si="22"/>
        <v>0</v>
      </c>
      <c r="AU88" s="1059">
        <f t="shared" si="22"/>
        <v>0</v>
      </c>
      <c r="AV88" s="1059">
        <f t="shared" si="22"/>
        <v>0</v>
      </c>
      <c r="AW88" s="1059">
        <f t="shared" si="22"/>
        <v>0</v>
      </c>
      <c r="AX88" s="1059">
        <f t="shared" si="22"/>
        <v>0</v>
      </c>
      <c r="AY88" s="1059">
        <f t="shared" si="20"/>
        <v>1</v>
      </c>
      <c r="AZ88" s="1059">
        <v>0.42602059742266202</v>
      </c>
      <c r="BA88" s="818">
        <f t="shared" si="21"/>
        <v>0.57397940257733793</v>
      </c>
    </row>
    <row r="89" spans="1:55" ht="15">
      <c r="A89" s="142" t="s">
        <v>2039</v>
      </c>
      <c r="C89" s="1059">
        <f t="shared" si="22"/>
        <v>0</v>
      </c>
      <c r="D89" s="1059">
        <f t="shared" si="22"/>
        <v>0</v>
      </c>
      <c r="E89" s="1059">
        <f t="shared" si="22"/>
        <v>0</v>
      </c>
      <c r="F89" s="1059">
        <f t="shared" si="22"/>
        <v>0</v>
      </c>
      <c r="G89" s="1059">
        <f t="shared" si="22"/>
        <v>0</v>
      </c>
      <c r="H89" s="1059">
        <f t="shared" si="22"/>
        <v>0</v>
      </c>
      <c r="I89" s="1059">
        <f t="shared" si="22"/>
        <v>0</v>
      </c>
      <c r="J89" s="1059">
        <f t="shared" si="22"/>
        <v>0</v>
      </c>
      <c r="K89" s="1059">
        <f t="shared" si="22"/>
        <v>0</v>
      </c>
      <c r="L89" s="1059">
        <f t="shared" si="22"/>
        <v>0</v>
      </c>
      <c r="M89" s="1059">
        <f t="shared" si="22"/>
        <v>0</v>
      </c>
      <c r="N89" s="1059">
        <f t="shared" si="22"/>
        <v>0</v>
      </c>
      <c r="O89" s="1059">
        <f t="shared" si="22"/>
        <v>0</v>
      </c>
      <c r="P89" s="1059">
        <f t="shared" si="22"/>
        <v>0</v>
      </c>
      <c r="Q89" s="1059">
        <f t="shared" si="22"/>
        <v>0</v>
      </c>
      <c r="R89" s="1059">
        <f t="shared" si="22"/>
        <v>0</v>
      </c>
      <c r="S89" s="1059">
        <f t="shared" si="22"/>
        <v>0</v>
      </c>
      <c r="T89" s="1059">
        <f t="shared" si="22"/>
        <v>0</v>
      </c>
      <c r="U89" s="1059">
        <f t="shared" si="22"/>
        <v>0</v>
      </c>
      <c r="V89" s="1059">
        <f t="shared" si="22"/>
        <v>0</v>
      </c>
      <c r="W89" s="1059">
        <f t="shared" si="22"/>
        <v>0</v>
      </c>
      <c r="X89" s="1059">
        <f t="shared" si="22"/>
        <v>0</v>
      </c>
      <c r="Y89" s="1059">
        <f t="shared" si="22"/>
        <v>0</v>
      </c>
      <c r="Z89" s="1059">
        <f t="shared" si="22"/>
        <v>0</v>
      </c>
      <c r="AA89" s="1059">
        <f t="shared" si="22"/>
        <v>0</v>
      </c>
      <c r="AB89" s="1059">
        <f t="shared" si="22"/>
        <v>0</v>
      </c>
      <c r="AC89" s="1059">
        <f t="shared" si="22"/>
        <v>0</v>
      </c>
      <c r="AD89" s="1059">
        <f t="shared" si="22"/>
        <v>0</v>
      </c>
      <c r="AE89" s="1059">
        <f t="shared" si="22"/>
        <v>0</v>
      </c>
      <c r="AF89" s="1059">
        <f t="shared" si="22"/>
        <v>0</v>
      </c>
      <c r="AG89" s="1059">
        <f t="shared" si="22"/>
        <v>0</v>
      </c>
      <c r="AH89" s="1059">
        <f t="shared" si="22"/>
        <v>0</v>
      </c>
      <c r="AI89" s="1059">
        <f t="shared" si="22"/>
        <v>0</v>
      </c>
      <c r="AJ89" s="1059">
        <f t="shared" si="22"/>
        <v>0</v>
      </c>
      <c r="AK89" s="1059">
        <f t="shared" si="22"/>
        <v>0</v>
      </c>
      <c r="AL89" s="1059">
        <f t="shared" si="22"/>
        <v>0</v>
      </c>
      <c r="AM89" s="1059">
        <f t="shared" si="22"/>
        <v>0</v>
      </c>
      <c r="AN89" s="1059">
        <f t="shared" si="22"/>
        <v>0</v>
      </c>
      <c r="AO89" s="1059">
        <f t="shared" si="22"/>
        <v>0</v>
      </c>
      <c r="AP89" s="1059">
        <f t="shared" si="22"/>
        <v>0</v>
      </c>
      <c r="AQ89" s="1059">
        <f t="shared" si="22"/>
        <v>0</v>
      </c>
      <c r="AR89" s="1059">
        <f t="shared" si="22"/>
        <v>0</v>
      </c>
      <c r="AS89" s="1059">
        <f t="shared" si="22"/>
        <v>0</v>
      </c>
      <c r="AT89" s="1059">
        <f t="shared" si="22"/>
        <v>0</v>
      </c>
      <c r="AU89" s="1059">
        <f t="shared" si="22"/>
        <v>0</v>
      </c>
      <c r="AV89" s="1059">
        <f t="shared" si="22"/>
        <v>0</v>
      </c>
      <c r="AW89" s="1059">
        <f t="shared" si="22"/>
        <v>0</v>
      </c>
      <c r="AX89" s="1059">
        <f t="shared" si="22"/>
        <v>0</v>
      </c>
      <c r="AY89" s="1059">
        <f t="shared" si="20"/>
        <v>0</v>
      </c>
      <c r="AZ89" s="1059">
        <v>0.42231794913258786</v>
      </c>
      <c r="BA89" s="818">
        <f t="shared" si="21"/>
        <v>-0.42231794913258786</v>
      </c>
      <c r="BC89" s="142">
        <v>1523482.4953100001</v>
      </c>
    </row>
    <row r="90" spans="1:55" ht="15">
      <c r="A90" s="142" t="s">
        <v>2045</v>
      </c>
      <c r="C90" s="1059">
        <f t="shared" si="22"/>
        <v>1</v>
      </c>
      <c r="D90" s="1059">
        <f t="shared" si="22"/>
        <v>0</v>
      </c>
      <c r="E90" s="1059">
        <f t="shared" si="22"/>
        <v>1</v>
      </c>
      <c r="F90" s="1059">
        <f t="shared" si="22"/>
        <v>1</v>
      </c>
      <c r="G90" s="1059">
        <f t="shared" si="22"/>
        <v>1</v>
      </c>
      <c r="H90" s="1059">
        <f t="shared" si="22"/>
        <v>1</v>
      </c>
      <c r="I90" s="1059">
        <f t="shared" si="22"/>
        <v>0</v>
      </c>
      <c r="J90" s="1059">
        <f t="shared" si="22"/>
        <v>1</v>
      </c>
      <c r="K90" s="1059">
        <f t="shared" si="22"/>
        <v>0</v>
      </c>
      <c r="L90" s="1059">
        <f t="shared" si="22"/>
        <v>0</v>
      </c>
      <c r="M90" s="1059">
        <f t="shared" si="22"/>
        <v>0</v>
      </c>
      <c r="N90" s="1059">
        <f t="shared" si="22"/>
        <v>0</v>
      </c>
      <c r="O90" s="1059">
        <f t="shared" si="22"/>
        <v>0</v>
      </c>
      <c r="P90" s="1059">
        <f t="shared" si="22"/>
        <v>0</v>
      </c>
      <c r="Q90" s="1059">
        <f t="shared" si="22"/>
        <v>0</v>
      </c>
      <c r="R90" s="1059">
        <f t="shared" si="22"/>
        <v>0</v>
      </c>
      <c r="S90" s="1059">
        <f t="shared" si="22"/>
        <v>0</v>
      </c>
      <c r="T90" s="1059">
        <f t="shared" si="22"/>
        <v>0</v>
      </c>
      <c r="U90" s="1059">
        <f t="shared" si="22"/>
        <v>0</v>
      </c>
      <c r="V90" s="1059">
        <f t="shared" si="22"/>
        <v>0</v>
      </c>
      <c r="W90" s="1059">
        <f t="shared" si="22"/>
        <v>0</v>
      </c>
      <c r="X90" s="1059">
        <f t="shared" si="22"/>
        <v>0</v>
      </c>
      <c r="Y90" s="1059">
        <f t="shared" si="22"/>
        <v>0</v>
      </c>
      <c r="Z90" s="1059">
        <f t="shared" si="22"/>
        <v>0</v>
      </c>
      <c r="AA90" s="1059">
        <f t="shared" si="22"/>
        <v>0</v>
      </c>
      <c r="AB90" s="1059">
        <f t="shared" si="22"/>
        <v>0</v>
      </c>
      <c r="AC90" s="1059">
        <f t="shared" si="22"/>
        <v>0</v>
      </c>
      <c r="AD90" s="1059">
        <f t="shared" si="22"/>
        <v>0</v>
      </c>
      <c r="AE90" s="1059">
        <f t="shared" si="22"/>
        <v>0</v>
      </c>
      <c r="AF90" s="1059">
        <f t="shared" si="22"/>
        <v>0</v>
      </c>
      <c r="AG90" s="1059">
        <f t="shared" si="22"/>
        <v>1</v>
      </c>
      <c r="AH90" s="1059">
        <f t="shared" si="22"/>
        <v>0</v>
      </c>
      <c r="AI90" s="1059">
        <f t="shared" si="22"/>
        <v>0</v>
      </c>
      <c r="AJ90" s="1059">
        <f t="shared" si="22"/>
        <v>0</v>
      </c>
      <c r="AK90" s="1059">
        <f t="shared" si="22"/>
        <v>0</v>
      </c>
      <c r="AL90" s="1059">
        <f t="shared" si="22"/>
        <v>0</v>
      </c>
      <c r="AM90" s="1059">
        <f t="shared" si="22"/>
        <v>0</v>
      </c>
      <c r="AN90" s="1059">
        <f t="shared" si="22"/>
        <v>0</v>
      </c>
      <c r="AO90" s="1059">
        <f t="shared" si="22"/>
        <v>0</v>
      </c>
      <c r="AP90" s="1059">
        <f t="shared" si="22"/>
        <v>0</v>
      </c>
      <c r="AQ90" s="1059">
        <f t="shared" si="22"/>
        <v>0</v>
      </c>
      <c r="AR90" s="1059">
        <f t="shared" si="22"/>
        <v>0</v>
      </c>
      <c r="AS90" s="1059">
        <f t="shared" si="22"/>
        <v>0</v>
      </c>
      <c r="AT90" s="1059">
        <f t="shared" si="22"/>
        <v>0</v>
      </c>
      <c r="AU90" s="1059">
        <f t="shared" si="22"/>
        <v>0</v>
      </c>
      <c r="AV90" s="1059">
        <f t="shared" si="22"/>
        <v>0</v>
      </c>
      <c r="AW90" s="1059">
        <f t="shared" si="22"/>
        <v>0</v>
      </c>
      <c r="AX90" s="1059">
        <f t="shared" si="22"/>
        <v>0</v>
      </c>
      <c r="AY90" s="1059">
        <f t="shared" si="20"/>
        <v>1</v>
      </c>
      <c r="AZ90" s="1059">
        <v>0.44133841605501911</v>
      </c>
      <c r="BA90" s="818">
        <f t="shared" si="21"/>
        <v>0.55866158394498089</v>
      </c>
    </row>
    <row r="91" spans="1:55" ht="15">
      <c r="A91" s="142" t="s">
        <v>2041</v>
      </c>
      <c r="C91" s="1059">
        <f t="shared" si="22"/>
        <v>1</v>
      </c>
      <c r="D91" s="1059">
        <f t="shared" si="22"/>
        <v>1</v>
      </c>
      <c r="E91" s="1059">
        <f t="shared" si="22"/>
        <v>1</v>
      </c>
      <c r="F91" s="1059">
        <f t="shared" si="22"/>
        <v>1</v>
      </c>
      <c r="G91" s="1059">
        <f t="shared" si="22"/>
        <v>1</v>
      </c>
      <c r="H91" s="1059">
        <f t="shared" si="22"/>
        <v>1</v>
      </c>
      <c r="I91" s="1059">
        <f t="shared" si="22"/>
        <v>1</v>
      </c>
      <c r="J91" s="1059">
        <f t="shared" si="22"/>
        <v>0</v>
      </c>
      <c r="K91" s="1059">
        <f t="shared" si="22"/>
        <v>1</v>
      </c>
      <c r="L91" s="1059">
        <f t="shared" si="22"/>
        <v>0</v>
      </c>
      <c r="M91" s="1059">
        <f t="shared" si="22"/>
        <v>1</v>
      </c>
      <c r="N91" s="1059">
        <f t="shared" si="22"/>
        <v>1</v>
      </c>
      <c r="O91" s="1059">
        <f t="shared" si="22"/>
        <v>1</v>
      </c>
      <c r="P91" s="1059">
        <f t="shared" si="22"/>
        <v>1</v>
      </c>
      <c r="Q91" s="1059">
        <f t="shared" si="22"/>
        <v>1</v>
      </c>
      <c r="R91" s="1059">
        <f t="shared" si="22"/>
        <v>1</v>
      </c>
      <c r="S91" s="1059">
        <f t="shared" si="22"/>
        <v>0</v>
      </c>
      <c r="T91" s="1059">
        <f t="shared" si="22"/>
        <v>0</v>
      </c>
      <c r="U91" s="1059">
        <f t="shared" si="22"/>
        <v>0</v>
      </c>
      <c r="V91" s="1059">
        <f t="shared" si="22"/>
        <v>0</v>
      </c>
      <c r="W91" s="1059">
        <f t="shared" si="22"/>
        <v>1</v>
      </c>
      <c r="X91" s="1059">
        <f t="shared" si="22"/>
        <v>1</v>
      </c>
      <c r="Y91" s="1059">
        <f t="shared" si="22"/>
        <v>0</v>
      </c>
      <c r="Z91" s="1059">
        <f t="shared" si="22"/>
        <v>1</v>
      </c>
      <c r="AA91" s="1059">
        <f t="shared" si="22"/>
        <v>0</v>
      </c>
      <c r="AB91" s="1059">
        <f t="shared" si="22"/>
        <v>1</v>
      </c>
      <c r="AC91" s="1059">
        <f t="shared" si="22"/>
        <v>0</v>
      </c>
      <c r="AD91" s="1059">
        <f t="shared" si="22"/>
        <v>0</v>
      </c>
      <c r="AE91" s="1059">
        <f t="shared" si="22"/>
        <v>0</v>
      </c>
      <c r="AF91" s="1059">
        <f t="shared" si="22"/>
        <v>1</v>
      </c>
      <c r="AG91" s="1059">
        <f t="shared" si="22"/>
        <v>0</v>
      </c>
      <c r="AH91" s="1059">
        <f t="shared" si="22"/>
        <v>0</v>
      </c>
      <c r="AI91" s="1059">
        <f t="shared" si="22"/>
        <v>0</v>
      </c>
      <c r="AJ91" s="1059">
        <f t="shared" si="22"/>
        <v>0</v>
      </c>
      <c r="AK91" s="1059">
        <f t="shared" si="22"/>
        <v>0</v>
      </c>
      <c r="AL91" s="1059">
        <f t="shared" si="22"/>
        <v>0</v>
      </c>
      <c r="AM91" s="1059">
        <f t="shared" si="22"/>
        <v>0</v>
      </c>
      <c r="AN91" s="1059">
        <f t="shared" si="22"/>
        <v>0</v>
      </c>
      <c r="AO91" s="1059">
        <f t="shared" si="22"/>
        <v>0</v>
      </c>
      <c r="AP91" s="1059">
        <f t="shared" si="22"/>
        <v>0</v>
      </c>
      <c r="AQ91" s="1059">
        <f t="shared" si="22"/>
        <v>0</v>
      </c>
      <c r="AR91" s="1059">
        <f t="shared" si="22"/>
        <v>0</v>
      </c>
      <c r="AS91" s="1059">
        <f t="shared" si="22"/>
        <v>0</v>
      </c>
      <c r="AT91" s="1059">
        <f t="shared" si="22"/>
        <v>0</v>
      </c>
      <c r="AU91" s="1059">
        <f t="shared" si="22"/>
        <v>0</v>
      </c>
      <c r="AV91" s="1059">
        <f t="shared" si="22"/>
        <v>0</v>
      </c>
      <c r="AW91" s="1059">
        <f t="shared" si="22"/>
        <v>0</v>
      </c>
      <c r="AX91" s="1059">
        <f t="shared" si="22"/>
        <v>0</v>
      </c>
      <c r="AY91" s="1059">
        <f t="shared" si="20"/>
        <v>1</v>
      </c>
      <c r="AZ91" s="1059">
        <v>0.4029987841413305</v>
      </c>
      <c r="BA91" s="818">
        <f t="shared" si="21"/>
        <v>0.5970012158586695</v>
      </c>
      <c r="BC91" s="1990">
        <f>BC89+A118</f>
        <v>1523482.4953100001</v>
      </c>
    </row>
    <row r="92" spans="1:55" ht="15">
      <c r="A92" s="1121" t="s">
        <v>2042</v>
      </c>
      <c r="C92" s="1059">
        <f t="shared" si="22"/>
        <v>1</v>
      </c>
      <c r="D92" s="1059">
        <f t="shared" si="22"/>
        <v>1</v>
      </c>
      <c r="E92" s="1059">
        <f t="shared" si="22"/>
        <v>1</v>
      </c>
      <c r="F92" s="1059">
        <f t="shared" si="22"/>
        <v>1</v>
      </c>
      <c r="G92" s="1059">
        <f t="shared" si="22"/>
        <v>1</v>
      </c>
      <c r="H92" s="1059">
        <f t="shared" si="22"/>
        <v>1</v>
      </c>
      <c r="I92" s="1059">
        <f t="shared" si="22"/>
        <v>1</v>
      </c>
      <c r="J92" s="1059">
        <f t="shared" si="22"/>
        <v>0</v>
      </c>
      <c r="K92" s="1059">
        <f t="shared" si="22"/>
        <v>0</v>
      </c>
      <c r="L92" s="1059">
        <f t="shared" si="22"/>
        <v>1</v>
      </c>
      <c r="M92" s="1059">
        <f t="shared" si="22"/>
        <v>0</v>
      </c>
      <c r="N92" s="1059">
        <f t="shared" si="22"/>
        <v>1</v>
      </c>
      <c r="O92" s="1059">
        <f t="shared" si="22"/>
        <v>1</v>
      </c>
      <c r="P92" s="1059">
        <f t="shared" si="22"/>
        <v>1</v>
      </c>
      <c r="Q92" s="1059">
        <f t="shared" si="22"/>
        <v>1</v>
      </c>
      <c r="R92" s="1059">
        <f t="shared" si="22"/>
        <v>1</v>
      </c>
      <c r="S92" s="1059">
        <f t="shared" si="22"/>
        <v>0</v>
      </c>
      <c r="T92" s="1059">
        <f t="shared" si="22"/>
        <v>0</v>
      </c>
      <c r="U92" s="1059">
        <f t="shared" si="22"/>
        <v>0</v>
      </c>
      <c r="V92" s="1059">
        <f t="shared" si="22"/>
        <v>0</v>
      </c>
      <c r="W92" s="1059">
        <f t="shared" si="22"/>
        <v>1</v>
      </c>
      <c r="X92" s="1059">
        <f t="shared" si="22"/>
        <v>1</v>
      </c>
      <c r="Y92" s="1059">
        <f t="shared" si="22"/>
        <v>0</v>
      </c>
      <c r="Z92" s="1059">
        <f t="shared" si="22"/>
        <v>1</v>
      </c>
      <c r="AA92" s="1059">
        <f t="shared" si="22"/>
        <v>0</v>
      </c>
      <c r="AB92" s="1059">
        <f t="shared" si="22"/>
        <v>1</v>
      </c>
      <c r="AC92" s="1059">
        <f t="shared" si="22"/>
        <v>0</v>
      </c>
      <c r="AD92" s="1059">
        <f t="shared" si="22"/>
        <v>0</v>
      </c>
      <c r="AE92" s="1059">
        <f t="shared" si="22"/>
        <v>0</v>
      </c>
      <c r="AF92" s="1059">
        <f t="shared" si="22"/>
        <v>1</v>
      </c>
      <c r="AG92" s="1059">
        <f t="shared" si="22"/>
        <v>0</v>
      </c>
      <c r="AH92" s="1059">
        <f t="shared" si="22"/>
        <v>0</v>
      </c>
      <c r="AI92" s="1059">
        <f t="shared" si="22"/>
        <v>0</v>
      </c>
      <c r="AJ92" s="1059">
        <f t="shared" si="22"/>
        <v>0</v>
      </c>
      <c r="AK92" s="1059">
        <f t="shared" si="22"/>
        <v>0</v>
      </c>
      <c r="AL92" s="1059">
        <f t="shared" si="22"/>
        <v>0</v>
      </c>
      <c r="AM92" s="1059">
        <f t="shared" si="22"/>
        <v>0</v>
      </c>
      <c r="AN92" s="1059">
        <f t="shared" si="22"/>
        <v>0</v>
      </c>
      <c r="AO92" s="1059">
        <f t="shared" si="22"/>
        <v>0</v>
      </c>
      <c r="AP92" s="1059">
        <f t="shared" si="22"/>
        <v>0</v>
      </c>
      <c r="AQ92" s="1059">
        <f t="shared" si="22"/>
        <v>0</v>
      </c>
      <c r="AR92" s="1059">
        <f t="shared" si="22"/>
        <v>0</v>
      </c>
      <c r="AS92" s="1059">
        <f t="shared" si="22"/>
        <v>0</v>
      </c>
      <c r="AT92" s="1059">
        <f t="shared" si="22"/>
        <v>0</v>
      </c>
      <c r="AU92" s="1059">
        <f t="shared" si="22"/>
        <v>0</v>
      </c>
      <c r="AV92" s="1059">
        <f t="shared" si="22"/>
        <v>0</v>
      </c>
      <c r="AW92" s="1059">
        <f t="shared" si="22"/>
        <v>0</v>
      </c>
      <c r="AX92" s="1059">
        <f t="shared" si="22"/>
        <v>0</v>
      </c>
      <c r="AY92" s="1059">
        <f t="shared" si="20"/>
        <v>1</v>
      </c>
      <c r="BC92" s="818"/>
    </row>
    <row r="93" spans="1:55">
      <c r="A93" s="1790"/>
    </row>
    <row r="94" spans="1:55">
      <c r="A94" s="805"/>
      <c r="B94" s="805"/>
      <c r="C94" s="805"/>
      <c r="D94" s="805"/>
      <c r="E94" s="805"/>
      <c r="F94" s="805"/>
      <c r="G94" s="805"/>
      <c r="H94" s="805"/>
      <c r="I94" s="805"/>
      <c r="J94" s="805"/>
      <c r="K94" s="805"/>
      <c r="L94" s="805"/>
      <c r="M94" s="805"/>
      <c r="N94" s="805"/>
      <c r="O94" s="805"/>
      <c r="P94" s="805"/>
      <c r="Q94" s="805"/>
      <c r="R94" s="805"/>
      <c r="S94" s="805"/>
      <c r="T94" s="805"/>
      <c r="U94" s="805"/>
      <c r="V94" s="805"/>
      <c r="W94" s="805"/>
      <c r="X94" s="805"/>
      <c r="Y94" s="805"/>
      <c r="Z94" s="805"/>
      <c r="BA94" s="818"/>
    </row>
    <row r="95" spans="1:55">
      <c r="A95" s="805"/>
      <c r="B95" s="805"/>
      <c r="C95" s="805"/>
      <c r="D95" s="805"/>
      <c r="E95" s="805"/>
      <c r="F95" s="805"/>
      <c r="G95" s="805"/>
      <c r="H95" s="805"/>
      <c r="I95" s="805" t="str">
        <f>'[105]Feed Cost &amp; Allocation'!A116</f>
        <v>Feed Consumed Gras</v>
      </c>
      <c r="J95" s="805"/>
      <c r="K95" s="805"/>
      <c r="L95" s="805"/>
      <c r="M95" s="805"/>
      <c r="N95" s="805"/>
      <c r="O95" s="805"/>
      <c r="P95" s="805"/>
      <c r="Q95" s="805"/>
      <c r="R95" s="805"/>
      <c r="S95" s="805"/>
      <c r="T95" s="805"/>
      <c r="U95" s="805"/>
      <c r="V95" s="805"/>
      <c r="W95" s="805"/>
      <c r="X95" s="805"/>
      <c r="Y95" s="805"/>
      <c r="Z95" s="805"/>
      <c r="AZ95" s="818"/>
    </row>
    <row r="96" spans="1:55">
      <c r="A96" s="805"/>
      <c r="B96" s="805"/>
      <c r="C96" s="805"/>
      <c r="D96" s="805"/>
      <c r="E96" s="805"/>
      <c r="F96" s="805"/>
      <c r="G96" s="805"/>
      <c r="H96" s="805"/>
      <c r="I96" s="805" t="str">
        <f>'[105]Feed Cost &amp; Allocation'!A117</f>
        <v>Feed Consumed Villa</v>
      </c>
      <c r="J96" s="805"/>
      <c r="K96" s="805"/>
      <c r="L96" s="805"/>
      <c r="M96" s="805"/>
      <c r="N96" s="805"/>
      <c r="O96" s="805"/>
      <c r="P96" s="805"/>
      <c r="Q96" s="805"/>
      <c r="R96" s="805"/>
      <c r="S96" s="805"/>
      <c r="T96" s="805"/>
      <c r="U96" s="805"/>
      <c r="V96" s="805"/>
      <c r="W96" s="805"/>
      <c r="X96" s="805"/>
      <c r="Y96" s="805"/>
      <c r="Z96" s="805"/>
    </row>
    <row r="97" spans="1:55">
      <c r="A97" s="805"/>
      <c r="B97" s="805"/>
      <c r="C97" s="805"/>
      <c r="D97" s="805"/>
      <c r="E97" s="805"/>
      <c r="F97" s="805"/>
      <c r="G97" s="805"/>
      <c r="H97" s="805"/>
      <c r="I97" s="805" t="str">
        <f>'[105]Feed Cost &amp; Allocation'!A118</f>
        <v>Feed Consumed L/head</v>
      </c>
      <c r="J97" s="805"/>
      <c r="K97" s="805"/>
      <c r="L97" s="805"/>
      <c r="M97" s="805"/>
      <c r="N97" s="805"/>
      <c r="O97" s="805"/>
      <c r="P97" s="805"/>
      <c r="Q97" s="805"/>
      <c r="R97" s="805"/>
      <c r="S97" s="805"/>
      <c r="T97" s="805"/>
      <c r="U97" s="805"/>
      <c r="V97" s="805"/>
      <c r="W97" s="805"/>
      <c r="X97" s="805"/>
      <c r="Y97" s="805"/>
      <c r="Z97" s="805"/>
      <c r="AY97" s="818"/>
      <c r="BA97" s="818"/>
    </row>
    <row r="98" spans="1:55">
      <c r="A98" s="805"/>
      <c r="B98" s="805"/>
      <c r="C98" s="805"/>
      <c r="D98" s="805"/>
      <c r="E98" s="805"/>
      <c r="F98" s="805"/>
      <c r="G98" s="805"/>
      <c r="H98" s="805"/>
      <c r="I98" s="805" t="str">
        <f>'[105]Feed Cost &amp; Allocation'!A119</f>
        <v>Feed Consumed Rich</v>
      </c>
      <c r="J98" s="805"/>
      <c r="K98" s="805"/>
      <c r="L98" s="805"/>
      <c r="M98" s="805"/>
      <c r="N98" s="805"/>
      <c r="O98" s="805"/>
      <c r="P98" s="805"/>
      <c r="Q98" s="805"/>
      <c r="R98" s="805"/>
      <c r="S98" s="805"/>
      <c r="T98" s="805"/>
      <c r="U98" s="805"/>
      <c r="V98" s="805"/>
      <c r="W98" s="805"/>
      <c r="X98" s="805"/>
      <c r="Y98" s="805"/>
      <c r="Z98" s="805"/>
      <c r="BA98" s="818"/>
      <c r="BC98" s="818"/>
    </row>
    <row r="99" spans="1:55">
      <c r="A99" s="805"/>
      <c r="B99" s="805"/>
      <c r="C99" s="805"/>
      <c r="D99" s="805"/>
      <c r="E99" s="805"/>
      <c r="F99" s="805"/>
      <c r="G99" s="805"/>
      <c r="H99" s="805"/>
      <c r="I99" s="805" t="str">
        <f>'[105]Feed Cost &amp; Allocation'!A120</f>
        <v>Feed Consumed Learig</v>
      </c>
      <c r="J99" s="805"/>
      <c r="K99" s="805"/>
      <c r="L99" s="805"/>
      <c r="M99" s="805"/>
      <c r="N99" s="805"/>
      <c r="O99" s="805"/>
      <c r="P99" s="805"/>
      <c r="Q99" s="805"/>
      <c r="R99" s="805"/>
      <c r="S99" s="805"/>
      <c r="T99" s="805"/>
      <c r="U99" s="805"/>
      <c r="V99" s="805"/>
      <c r="W99" s="805"/>
      <c r="X99" s="805"/>
      <c r="Y99" s="805"/>
      <c r="Z99" s="805"/>
    </row>
    <row r="100" spans="1:55">
      <c r="A100" s="805"/>
      <c r="B100" s="805"/>
      <c r="C100" s="805"/>
      <c r="D100" s="805"/>
      <c r="E100" s="805"/>
      <c r="F100" s="805"/>
      <c r="G100" s="805"/>
      <c r="H100" s="805"/>
      <c r="I100" s="805" t="str">
        <f>'[105]Feed Cost &amp; Allocation'!A121</f>
        <v>Feed Consumed Selous</v>
      </c>
      <c r="J100" s="805"/>
      <c r="K100" s="805"/>
      <c r="L100" s="805"/>
      <c r="M100" s="805"/>
      <c r="N100" s="805"/>
      <c r="O100" s="805"/>
      <c r="P100" s="805"/>
      <c r="Q100" s="805"/>
      <c r="R100" s="805"/>
      <c r="S100" s="805"/>
      <c r="T100" s="805"/>
      <c r="U100" s="805"/>
      <c r="V100" s="805"/>
      <c r="W100" s="805"/>
      <c r="X100" s="805"/>
      <c r="Y100" s="805"/>
      <c r="Z100" s="805"/>
      <c r="AY100" s="818"/>
    </row>
    <row r="101" spans="1:55">
      <c r="A101" s="805"/>
      <c r="B101" s="805"/>
      <c r="C101" s="805"/>
      <c r="D101" s="805"/>
      <c r="E101" s="805"/>
      <c r="F101" s="805"/>
      <c r="G101" s="805"/>
      <c r="H101" s="805"/>
      <c r="I101" s="805" t="str">
        <f>'[105]Feed Cost &amp; Allocation'!A122</f>
        <v>Feed Consumed Lionshead Ext.</v>
      </c>
      <c r="J101" s="805"/>
      <c r="K101" s="805"/>
      <c r="L101" s="805"/>
      <c r="M101" s="805"/>
      <c r="N101" s="805"/>
      <c r="O101" s="805"/>
      <c r="P101" s="805"/>
      <c r="Q101" s="805"/>
      <c r="R101" s="805"/>
      <c r="S101" s="805"/>
      <c r="T101" s="805"/>
      <c r="U101" s="805"/>
      <c r="V101" s="805"/>
      <c r="W101" s="805"/>
      <c r="X101" s="805"/>
      <c r="Y101" s="805"/>
      <c r="Z101" s="805"/>
      <c r="AY101" s="818"/>
    </row>
    <row r="102" spans="1:55">
      <c r="A102" s="805"/>
      <c r="B102" s="805"/>
      <c r="C102" s="805"/>
      <c r="D102" s="805"/>
      <c r="E102" s="805"/>
      <c r="F102" s="805"/>
      <c r="G102" s="805"/>
      <c r="H102" s="805"/>
      <c r="I102" s="805" t="str">
        <f>'[105]Feed Cost &amp; Allocation'!A123</f>
        <v>Feed Consumed Porta</v>
      </c>
      <c r="J102" s="805"/>
      <c r="K102" s="805"/>
      <c r="L102" s="805"/>
      <c r="M102" s="805"/>
      <c r="N102" s="805"/>
      <c r="O102" s="805"/>
      <c r="P102" s="805"/>
      <c r="Q102" s="805"/>
      <c r="R102" s="805"/>
      <c r="S102" s="805"/>
      <c r="T102" s="805"/>
      <c r="U102" s="805"/>
      <c r="V102" s="805"/>
      <c r="W102" s="805"/>
      <c r="X102" s="805"/>
      <c r="Y102" s="805"/>
      <c r="Z102" s="805"/>
      <c r="AY102" s="818"/>
    </row>
    <row r="103" spans="1:55">
      <c r="B103" s="805"/>
      <c r="C103" s="805"/>
      <c r="D103" s="805"/>
      <c r="E103" s="805"/>
      <c r="J103" s="805"/>
    </row>
    <row r="104" spans="1:55">
      <c r="B104" s="805"/>
      <c r="C104" s="805"/>
      <c r="D104" s="805"/>
      <c r="E104" s="805"/>
      <c r="J104" s="1059">
        <f>SUM(J95:J103)</f>
        <v>0</v>
      </c>
    </row>
    <row r="105" spans="1:55">
      <c r="A105" s="818" t="str">
        <f>A62</f>
        <v>Feed Consumed Gras</v>
      </c>
      <c r="B105" s="805"/>
      <c r="C105" s="805"/>
      <c r="D105" s="2075"/>
      <c r="E105" s="805"/>
    </row>
    <row r="106" spans="1:55">
      <c r="A106" s="818" t="str">
        <f t="shared" ref="A106:A112" si="23">A63</f>
        <v>Feed Consumed Villa</v>
      </c>
      <c r="B106" s="805"/>
      <c r="C106" s="805"/>
      <c r="D106" s="2075"/>
      <c r="E106" s="805"/>
    </row>
    <row r="107" spans="1:55" ht="15">
      <c r="A107" s="818" t="str">
        <f t="shared" si="23"/>
        <v>Feed Consumed L/head</v>
      </c>
      <c r="B107" s="805"/>
      <c r="D107" s="2075"/>
      <c r="E107" s="805"/>
      <c r="K107" s="2004"/>
      <c r="N107" s="2004"/>
      <c r="AA107" s="1059"/>
      <c r="AB107" s="1059"/>
      <c r="AC107" s="1059"/>
      <c r="AD107" s="1059"/>
      <c r="AE107" s="1059"/>
      <c r="AF107" s="1059"/>
      <c r="AG107" s="1059"/>
      <c r="AH107" s="1059"/>
      <c r="AI107" s="1059"/>
      <c r="AJ107" s="1059"/>
      <c r="AK107" s="1059"/>
      <c r="AL107" s="1059"/>
      <c r="AM107" s="1059"/>
      <c r="AN107" s="1059"/>
      <c r="AO107" s="1059"/>
      <c r="AP107" s="1059"/>
      <c r="AQ107" s="1059"/>
      <c r="AR107" s="1059"/>
      <c r="AS107" s="1059"/>
      <c r="AT107" s="1059"/>
      <c r="AU107" s="1059"/>
      <c r="AV107" s="1059"/>
      <c r="AW107" s="1059"/>
      <c r="AX107" s="1059"/>
    </row>
    <row r="108" spans="1:55" ht="15">
      <c r="A108" s="818" t="str">
        <f t="shared" si="23"/>
        <v>Feed Consumed Rich</v>
      </c>
      <c r="B108" s="805"/>
      <c r="D108" s="805"/>
      <c r="E108" s="805"/>
      <c r="K108" s="2004"/>
      <c r="N108" s="2004"/>
      <c r="AA108" s="1059"/>
      <c r="AB108" s="1059"/>
      <c r="AC108" s="1059"/>
      <c r="AD108" s="1059"/>
      <c r="AE108" s="1059"/>
      <c r="AF108" s="1059"/>
      <c r="AG108" s="1059"/>
      <c r="AH108" s="1059"/>
      <c r="AI108" s="1059"/>
      <c r="AJ108" s="1059"/>
      <c r="AK108" s="1059"/>
      <c r="AL108" s="1059"/>
      <c r="AM108" s="1059"/>
      <c r="AN108" s="1059"/>
      <c r="AO108" s="1059"/>
      <c r="AP108" s="1059"/>
      <c r="AQ108" s="1059"/>
      <c r="AR108" s="1059"/>
      <c r="AS108" s="1059"/>
      <c r="AT108" s="1059"/>
      <c r="AU108" s="1059"/>
      <c r="AV108" s="1059"/>
      <c r="AW108" s="1059"/>
      <c r="AX108" s="1059"/>
    </row>
    <row r="109" spans="1:55" ht="15">
      <c r="A109" s="818" t="str">
        <f t="shared" si="23"/>
        <v>Feed Consumed Learig</v>
      </c>
      <c r="B109" s="805"/>
      <c r="D109" s="2075"/>
      <c r="E109" s="805"/>
      <c r="K109" s="2004"/>
      <c r="N109" s="2004"/>
      <c r="AA109" s="1059"/>
      <c r="AB109" s="1059"/>
      <c r="AC109" s="1059"/>
      <c r="AD109" s="1059"/>
      <c r="AE109" s="1059"/>
      <c r="AF109" s="1059"/>
      <c r="AG109" s="1059"/>
      <c r="AH109" s="1059"/>
      <c r="AI109" s="1059"/>
      <c r="AJ109" s="1059"/>
      <c r="AK109" s="1059"/>
      <c r="AL109" s="1059"/>
      <c r="AM109" s="1059"/>
      <c r="AN109" s="1059"/>
      <c r="AO109" s="1059"/>
      <c r="AP109" s="1059"/>
      <c r="AQ109" s="1059"/>
      <c r="AR109" s="1059"/>
      <c r="AS109" s="1059"/>
      <c r="AT109" s="1059"/>
      <c r="AU109" s="1059"/>
      <c r="AV109" s="1059"/>
      <c r="AW109" s="1059"/>
      <c r="AX109" s="1059"/>
    </row>
    <row r="110" spans="1:55" ht="15">
      <c r="A110" s="818" t="str">
        <f t="shared" si="23"/>
        <v>Feed Consumed Selous</v>
      </c>
      <c r="B110" s="805"/>
      <c r="D110" s="2075"/>
      <c r="E110" s="805"/>
      <c r="K110" s="2004"/>
      <c r="N110" s="2004"/>
      <c r="AA110" s="1059"/>
      <c r="AB110" s="1059"/>
      <c r="AC110" s="1059"/>
      <c r="AD110" s="1059"/>
      <c r="AE110" s="1059"/>
      <c r="AF110" s="1059"/>
      <c r="AG110" s="1059"/>
      <c r="AH110" s="1059"/>
      <c r="AI110" s="1059"/>
      <c r="AJ110" s="1059"/>
      <c r="AK110" s="1059"/>
      <c r="AL110" s="1059"/>
      <c r="AM110" s="1059"/>
      <c r="AN110" s="1059"/>
      <c r="AO110" s="1059"/>
      <c r="AP110" s="1059"/>
      <c r="AQ110" s="1059"/>
      <c r="AR110" s="1059"/>
      <c r="AS110" s="1059"/>
      <c r="AT110" s="1059"/>
      <c r="AU110" s="1059"/>
      <c r="AV110" s="1059"/>
      <c r="AW110" s="1059"/>
      <c r="AX110" s="1059"/>
    </row>
    <row r="111" spans="1:55" ht="15">
      <c r="A111" s="818" t="str">
        <f t="shared" si="23"/>
        <v>Feed Consumed Lionshead Ext.</v>
      </c>
      <c r="B111" s="805"/>
      <c r="D111" s="2075"/>
      <c r="E111" s="805"/>
      <c r="K111" s="2004"/>
      <c r="N111" s="2004"/>
      <c r="AA111" s="1059"/>
      <c r="AB111" s="1059"/>
      <c r="AC111" s="1059"/>
      <c r="AD111" s="1059"/>
      <c r="AE111" s="1059"/>
      <c r="AF111" s="1059"/>
      <c r="AG111" s="1059"/>
      <c r="AH111" s="1059"/>
      <c r="AI111" s="1059"/>
      <c r="AJ111" s="1059"/>
      <c r="AK111" s="1059"/>
      <c r="AL111" s="1059"/>
      <c r="AM111" s="1059"/>
      <c r="AN111" s="1059"/>
      <c r="AO111" s="1059"/>
      <c r="AP111" s="1059"/>
      <c r="AQ111" s="1059"/>
      <c r="AR111" s="1059"/>
      <c r="AS111" s="1059"/>
      <c r="AT111" s="1059"/>
      <c r="AU111" s="1059"/>
      <c r="AV111" s="1059"/>
      <c r="AW111" s="1059"/>
      <c r="AX111" s="1059"/>
    </row>
    <row r="112" spans="1:55" ht="15">
      <c r="A112" s="818" t="str">
        <f t="shared" si="23"/>
        <v>Feed Consumed Porta</v>
      </c>
      <c r="B112" s="805"/>
      <c r="D112" s="2075"/>
      <c r="E112" s="805"/>
      <c r="K112" s="2004"/>
      <c r="N112" s="2004"/>
      <c r="AA112" s="1059"/>
      <c r="AB112" s="1059"/>
      <c r="AC112" s="1059"/>
      <c r="AD112" s="1059"/>
      <c r="AE112" s="1059"/>
      <c r="AF112" s="1059"/>
      <c r="AG112" s="1059"/>
      <c r="AH112" s="1059"/>
      <c r="AI112" s="1059"/>
      <c r="AJ112" s="1059"/>
      <c r="AK112" s="1059"/>
      <c r="AL112" s="1059"/>
      <c r="AM112" s="1059"/>
      <c r="AN112" s="1059"/>
      <c r="AO112" s="1059"/>
      <c r="AP112" s="1059"/>
      <c r="AQ112" s="1059"/>
      <c r="AR112" s="1059"/>
      <c r="AS112" s="1059"/>
      <c r="AT112" s="1059"/>
      <c r="AU112" s="1059"/>
      <c r="AV112" s="1059"/>
      <c r="AW112" s="1059"/>
      <c r="AX112" s="1059"/>
    </row>
    <row r="113" spans="1:50" ht="15">
      <c r="A113" s="818"/>
      <c r="D113" s="2004"/>
      <c r="E113" s="2004"/>
      <c r="F113" s="2004"/>
      <c r="G113" s="2004"/>
      <c r="K113" s="2004"/>
      <c r="N113" s="2004"/>
      <c r="AA113" s="1059"/>
      <c r="AB113" s="1059"/>
      <c r="AC113" s="1059"/>
      <c r="AD113" s="1059"/>
      <c r="AE113" s="1059"/>
      <c r="AF113" s="1059"/>
      <c r="AG113" s="1059"/>
      <c r="AH113" s="1059"/>
      <c r="AI113" s="1059"/>
      <c r="AJ113" s="1059"/>
      <c r="AK113" s="1059"/>
      <c r="AL113" s="1059"/>
      <c r="AM113" s="1059"/>
      <c r="AN113" s="1059"/>
      <c r="AO113" s="1059"/>
      <c r="AP113" s="1059"/>
      <c r="AQ113" s="1059"/>
      <c r="AR113" s="1059"/>
      <c r="AS113" s="1059"/>
      <c r="AT113" s="1059"/>
      <c r="AU113" s="1059"/>
      <c r="AV113" s="1059"/>
      <c r="AW113" s="1059"/>
      <c r="AX113" s="1059"/>
    </row>
    <row r="114" spans="1:50" ht="15">
      <c r="A114" s="818"/>
      <c r="D114" s="2004"/>
      <c r="E114" s="2004"/>
      <c r="F114" s="2004"/>
      <c r="G114" s="2004"/>
      <c r="K114" s="2004"/>
      <c r="N114" s="2004"/>
      <c r="AA114" s="1059"/>
      <c r="AB114" s="1059"/>
      <c r="AC114" s="1059"/>
      <c r="AD114" s="1059"/>
      <c r="AE114" s="1059"/>
      <c r="AF114" s="1059"/>
      <c r="AG114" s="1059"/>
      <c r="AH114" s="1059"/>
      <c r="AI114" s="1059"/>
      <c r="AJ114" s="1059"/>
      <c r="AK114" s="1059"/>
      <c r="AL114" s="1059"/>
      <c r="AM114" s="1059"/>
      <c r="AN114" s="1059"/>
      <c r="AO114" s="1059"/>
      <c r="AP114" s="1059"/>
      <c r="AQ114" s="1059"/>
      <c r="AR114" s="1059"/>
      <c r="AS114" s="1059"/>
      <c r="AT114" s="1059"/>
      <c r="AU114" s="1059"/>
      <c r="AV114" s="1059"/>
      <c r="AW114" s="1059"/>
      <c r="AX114" s="1059"/>
    </row>
    <row r="115" spans="1:50">
      <c r="F115" s="2004"/>
      <c r="N115" s="2004"/>
    </row>
    <row r="118" spans="1:50">
      <c r="A118" s="818"/>
    </row>
    <row r="131" spans="1:1">
      <c r="A131" s="142" t="s">
        <v>2034</v>
      </c>
    </row>
    <row r="132" spans="1:1">
      <c r="A132" s="142" t="s">
        <v>2035</v>
      </c>
    </row>
    <row r="133" spans="1:1">
      <c r="A133" s="142" t="s">
        <v>2036</v>
      </c>
    </row>
    <row r="134" spans="1:1">
      <c r="A134" s="142" t="s">
        <v>2037</v>
      </c>
    </row>
    <row r="135" spans="1:1">
      <c r="A135" s="142" t="s">
        <v>2038</v>
      </c>
    </row>
    <row r="136" spans="1:1">
      <c r="A136" s="142" t="s">
        <v>2039</v>
      </c>
    </row>
    <row r="137" spans="1:1">
      <c r="A137" s="142" t="s">
        <v>2040</v>
      </c>
    </row>
    <row r="138" spans="1:1">
      <c r="A138" s="142" t="s">
        <v>2041</v>
      </c>
    </row>
    <row r="139" spans="1:1">
      <c r="A139" s="142" t="s">
        <v>2042</v>
      </c>
    </row>
    <row r="143" spans="1:1">
      <c r="A143" s="2005"/>
    </row>
  </sheetData>
  <pageMargins left="0.7" right="0.7" top="0.75" bottom="0.75" header="0.3" footer="0.3"/>
  <pageSetup paperSize="9" scale="18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66">
    <tabColor theme="6" tint="-0.249977111117893"/>
  </sheetPr>
  <dimension ref="A1:AK194"/>
  <sheetViews>
    <sheetView view="pageBreakPreview" zoomScale="87" zoomScaleNormal="100" zoomScaleSheetLayoutView="87" workbookViewId="0">
      <pane xSplit="1" ySplit="2" topLeftCell="B208" activePane="bottomRight" state="frozen"/>
      <selection pane="bottomRight" activeCell="AC12" sqref="AC12"/>
      <selection pane="bottomLeft" activeCell="A3" sqref="A3"/>
      <selection pane="topRight" activeCell="B1" sqref="B1"/>
    </sheetView>
  </sheetViews>
  <sheetFormatPr defaultColWidth="18.7109375" defaultRowHeight="13.15"/>
  <cols>
    <col min="1" max="1" width="46.5703125" customWidth="1"/>
    <col min="33" max="33" width="20" bestFit="1" customWidth="1"/>
    <col min="34" max="34" width="19.28515625" bestFit="1" customWidth="1"/>
  </cols>
  <sheetData>
    <row r="1" spans="1:34" ht="15.6">
      <c r="A1" s="1413" t="s">
        <v>82</v>
      </c>
      <c r="B1" s="1414"/>
      <c r="C1" s="1414"/>
      <c r="D1" s="1414"/>
      <c r="E1" s="1414"/>
      <c r="F1" s="1414"/>
      <c r="G1" s="1414"/>
      <c r="H1" s="1414"/>
      <c r="I1" s="1956"/>
      <c r="J1" s="1414"/>
      <c r="K1" s="1414"/>
      <c r="L1" s="1414"/>
      <c r="M1" s="1414"/>
      <c r="N1" s="1956"/>
      <c r="O1" s="1956"/>
      <c r="P1" s="1414"/>
      <c r="Q1" s="1414"/>
      <c r="R1" s="1414"/>
      <c r="S1" s="1414"/>
      <c r="T1" s="1414"/>
      <c r="U1" s="1414"/>
      <c r="V1" s="1414"/>
      <c r="W1" s="1414"/>
      <c r="X1" s="1414"/>
      <c r="Y1" s="1414"/>
      <c r="Z1" s="1414"/>
      <c r="AA1" s="1414"/>
      <c r="AB1" s="1414"/>
      <c r="AC1" s="1414"/>
      <c r="AD1" s="1414"/>
      <c r="AE1" s="1414"/>
      <c r="AF1" s="1413"/>
      <c r="AG1" s="1104"/>
      <c r="AH1" s="1104"/>
    </row>
    <row r="2" spans="1:34" ht="15.6" thickBot="1">
      <c r="A2" s="1415" t="s">
        <v>1993</v>
      </c>
      <c r="B2" s="1416" t="s">
        <v>1776</v>
      </c>
      <c r="C2" s="1416" t="s">
        <v>62</v>
      </c>
      <c r="D2" s="1416" t="s">
        <v>1994</v>
      </c>
      <c r="E2" s="1416" t="s">
        <v>1995</v>
      </c>
      <c r="F2" s="1416" t="s">
        <v>67</v>
      </c>
      <c r="G2" s="1416" t="s">
        <v>66</v>
      </c>
      <c r="H2" s="1416" t="s">
        <v>69</v>
      </c>
      <c r="I2" s="1957" t="s">
        <v>1996</v>
      </c>
      <c r="J2" s="1417" t="s">
        <v>1997</v>
      </c>
      <c r="K2" s="1417" t="s">
        <v>60</v>
      </c>
      <c r="L2" s="1417" t="s">
        <v>1998</v>
      </c>
      <c r="M2" s="1417" t="s">
        <v>1999</v>
      </c>
      <c r="N2" s="1958" t="s">
        <v>2000</v>
      </c>
      <c r="O2" s="1958" t="s">
        <v>1814</v>
      </c>
      <c r="P2" s="1417" t="s">
        <v>2001</v>
      </c>
      <c r="Q2" s="1417" t="s">
        <v>2002</v>
      </c>
      <c r="R2" s="1417" t="s">
        <v>2003</v>
      </c>
      <c r="S2" s="1417" t="s">
        <v>2004</v>
      </c>
      <c r="T2" s="1416" t="s">
        <v>1774</v>
      </c>
      <c r="U2" s="1416" t="s">
        <v>2005</v>
      </c>
      <c r="V2" s="1416" t="s">
        <v>2006</v>
      </c>
      <c r="W2" s="1417" t="s">
        <v>2007</v>
      </c>
      <c r="X2" s="1417" t="s">
        <v>2008</v>
      </c>
      <c r="Y2" s="1417" t="s">
        <v>2009</v>
      </c>
      <c r="Z2" s="1417" t="s">
        <v>2010</v>
      </c>
      <c r="AA2" s="1417" t="s">
        <v>2011</v>
      </c>
      <c r="AB2" s="1416" t="s">
        <v>2012</v>
      </c>
      <c r="AC2" s="1416" t="s">
        <v>2013</v>
      </c>
      <c r="AD2" s="1416" t="s">
        <v>2014</v>
      </c>
      <c r="AE2" s="1416" t="s">
        <v>2015</v>
      </c>
      <c r="AF2" s="1959" t="s">
        <v>71</v>
      </c>
      <c r="AG2" s="1105"/>
      <c r="AH2" s="1105"/>
    </row>
    <row r="3" spans="1:34" ht="15">
      <c r="A3" s="1418" t="s">
        <v>159</v>
      </c>
      <c r="B3" s="1419">
        <v>0</v>
      </c>
      <c r="C3" s="1419">
        <v>75198</v>
      </c>
      <c r="D3" s="1419">
        <v>414018</v>
      </c>
      <c r="E3" s="1413"/>
      <c r="F3" s="1419">
        <v>259380</v>
      </c>
      <c r="G3" s="1419">
        <v>295780</v>
      </c>
      <c r="H3" s="1419">
        <v>380328</v>
      </c>
      <c r="I3" s="1960">
        <v>33480</v>
      </c>
      <c r="J3" s="1419">
        <v>691834</v>
      </c>
      <c r="K3" s="1419">
        <v>142560</v>
      </c>
      <c r="L3" s="1419">
        <v>98908</v>
      </c>
      <c r="M3" s="1419">
        <v>25746</v>
      </c>
      <c r="N3" s="1960">
        <v>11352</v>
      </c>
      <c r="O3" s="1960">
        <v>41810</v>
      </c>
      <c r="P3" s="1419">
        <v>13090</v>
      </c>
      <c r="Q3" s="1419">
        <v>11280</v>
      </c>
      <c r="R3" s="1419">
        <v>16960</v>
      </c>
      <c r="S3" s="1419"/>
      <c r="T3" s="1419">
        <v>0</v>
      </c>
      <c r="U3" s="1419">
        <v>0</v>
      </c>
      <c r="V3" s="1419">
        <v>0</v>
      </c>
      <c r="W3" s="1419">
        <v>21516</v>
      </c>
      <c r="X3" s="1419">
        <v>31740</v>
      </c>
      <c r="Y3" s="1419">
        <v>3230</v>
      </c>
      <c r="Z3" s="1419">
        <v>19778</v>
      </c>
      <c r="AA3" s="1419">
        <v>17442</v>
      </c>
      <c r="AB3" s="1419">
        <v>2444</v>
      </c>
      <c r="AC3" s="1419">
        <v>706</v>
      </c>
      <c r="AD3" s="1419">
        <v>2840</v>
      </c>
      <c r="AE3" s="1419">
        <v>24058</v>
      </c>
      <c r="AF3" s="1420">
        <v>2635478</v>
      </c>
      <c r="AG3" s="1106"/>
      <c r="AH3" s="1106"/>
    </row>
    <row r="4" spans="1:34" ht="15">
      <c r="A4" s="1418" t="s">
        <v>2046</v>
      </c>
      <c r="B4" s="1419">
        <v>0</v>
      </c>
      <c r="C4" s="1419">
        <v>0</v>
      </c>
      <c r="D4" s="1419">
        <v>0</v>
      </c>
      <c r="E4" s="1413"/>
      <c r="F4" s="1419">
        <v>0</v>
      </c>
      <c r="G4" s="1419">
        <v>0</v>
      </c>
      <c r="H4" s="1419">
        <v>0</v>
      </c>
      <c r="I4" s="1960">
        <v>0</v>
      </c>
      <c r="J4" s="1419">
        <v>0</v>
      </c>
      <c r="K4" s="1419">
        <v>0</v>
      </c>
      <c r="L4" s="1419">
        <v>0</v>
      </c>
      <c r="M4" s="1419">
        <v>0</v>
      </c>
      <c r="N4" s="1960">
        <v>0</v>
      </c>
      <c r="O4" s="1960">
        <v>0</v>
      </c>
      <c r="P4" s="1419">
        <v>0</v>
      </c>
      <c r="Q4" s="1419">
        <v>0</v>
      </c>
      <c r="R4" s="1419">
        <v>0</v>
      </c>
      <c r="S4" s="1419"/>
      <c r="T4" s="1419">
        <v>0</v>
      </c>
      <c r="U4" s="1419">
        <v>0</v>
      </c>
      <c r="V4" s="1419">
        <v>0</v>
      </c>
      <c r="W4" s="1419">
        <v>0</v>
      </c>
      <c r="X4" s="1419">
        <v>0</v>
      </c>
      <c r="Y4" s="1419">
        <v>0</v>
      </c>
      <c r="Z4" s="1419">
        <v>0</v>
      </c>
      <c r="AA4" s="1419">
        <v>0</v>
      </c>
      <c r="AB4" s="1419">
        <v>0</v>
      </c>
      <c r="AC4" s="1419">
        <v>0</v>
      </c>
      <c r="AD4" s="1419">
        <v>0</v>
      </c>
      <c r="AE4" s="1419">
        <v>0</v>
      </c>
      <c r="AF4" s="1420">
        <v>0</v>
      </c>
      <c r="AG4" s="1106"/>
      <c r="AH4" s="1106"/>
    </row>
    <row r="5" spans="1:34" ht="15">
      <c r="A5" s="1418" t="s">
        <v>2047</v>
      </c>
      <c r="B5" s="1419">
        <v>0</v>
      </c>
      <c r="C5" s="1419">
        <v>24900</v>
      </c>
      <c r="D5" s="1419">
        <v>0</v>
      </c>
      <c r="E5" s="1413"/>
      <c r="F5" s="1419">
        <v>0</v>
      </c>
      <c r="G5" s="1419">
        <v>0</v>
      </c>
      <c r="H5" s="1419">
        <v>0</v>
      </c>
      <c r="I5" s="1960">
        <v>0</v>
      </c>
      <c r="J5" s="1419">
        <v>0</v>
      </c>
      <c r="K5" s="1419">
        <v>0</v>
      </c>
      <c r="L5" s="1419">
        <v>0</v>
      </c>
      <c r="M5" s="1419">
        <v>0</v>
      </c>
      <c r="N5" s="1960">
        <v>0</v>
      </c>
      <c r="O5" s="1960">
        <v>0</v>
      </c>
      <c r="P5" s="1419">
        <v>0</v>
      </c>
      <c r="Q5" s="1419">
        <v>0</v>
      </c>
      <c r="R5" s="1419">
        <v>0</v>
      </c>
      <c r="S5" s="1419"/>
      <c r="T5" s="1419">
        <v>0</v>
      </c>
      <c r="U5" s="1419">
        <v>0</v>
      </c>
      <c r="V5" s="1419">
        <v>0</v>
      </c>
      <c r="W5" s="1419">
        <v>0</v>
      </c>
      <c r="X5" s="1419">
        <v>0</v>
      </c>
      <c r="Y5" s="1419">
        <v>2500</v>
      </c>
      <c r="Z5" s="1419">
        <v>15500</v>
      </c>
      <c r="AA5" s="1419">
        <v>3800</v>
      </c>
      <c r="AB5" s="1419">
        <v>0</v>
      </c>
      <c r="AC5" s="1419">
        <v>400</v>
      </c>
      <c r="AD5" s="1419">
        <v>1600</v>
      </c>
      <c r="AE5" s="1419">
        <v>0</v>
      </c>
      <c r="AF5" s="1420">
        <v>48700</v>
      </c>
      <c r="AG5" s="1106"/>
      <c r="AH5" s="1106"/>
    </row>
    <row r="6" spans="1:34" ht="15">
      <c r="A6" s="1418" t="s">
        <v>2048</v>
      </c>
      <c r="B6" s="1419">
        <v>0</v>
      </c>
      <c r="C6" s="1419">
        <v>0</v>
      </c>
      <c r="D6" s="1419">
        <v>0</v>
      </c>
      <c r="E6" s="1413"/>
      <c r="F6" s="1419">
        <v>0</v>
      </c>
      <c r="G6" s="1419">
        <v>0</v>
      </c>
      <c r="H6" s="1419">
        <v>0</v>
      </c>
      <c r="I6" s="1960">
        <v>0</v>
      </c>
      <c r="J6" s="1419">
        <v>0</v>
      </c>
      <c r="K6" s="1419">
        <v>0</v>
      </c>
      <c r="L6" s="1419">
        <v>0</v>
      </c>
      <c r="M6" s="1419">
        <v>0</v>
      </c>
      <c r="N6" s="1960">
        <v>0</v>
      </c>
      <c r="O6" s="1960">
        <v>0</v>
      </c>
      <c r="P6" s="1419">
        <v>0</v>
      </c>
      <c r="Q6" s="1419">
        <v>0</v>
      </c>
      <c r="R6" s="1419">
        <v>0</v>
      </c>
      <c r="S6" s="1419"/>
      <c r="T6" s="1419">
        <v>0</v>
      </c>
      <c r="U6" s="1419">
        <v>0</v>
      </c>
      <c r="V6" s="1419">
        <v>0</v>
      </c>
      <c r="W6" s="1419">
        <v>0</v>
      </c>
      <c r="X6" s="1419">
        <v>0</v>
      </c>
      <c r="Y6" s="1419">
        <v>0</v>
      </c>
      <c r="Z6" s="1419">
        <v>0</v>
      </c>
      <c r="AA6" s="1419">
        <v>0</v>
      </c>
      <c r="AB6" s="1419">
        <v>0</v>
      </c>
      <c r="AC6" s="1419">
        <v>0</v>
      </c>
      <c r="AD6" s="1419">
        <v>0</v>
      </c>
      <c r="AE6" s="1419">
        <v>0</v>
      </c>
      <c r="AF6" s="1420">
        <v>0</v>
      </c>
      <c r="AG6" s="1106"/>
      <c r="AH6" s="1106"/>
    </row>
    <row r="7" spans="1:34" ht="15">
      <c r="A7" s="1418" t="s">
        <v>2049</v>
      </c>
      <c r="B7" s="1419">
        <v>0</v>
      </c>
      <c r="C7" s="1419">
        <v>12450</v>
      </c>
      <c r="D7" s="1419">
        <v>0</v>
      </c>
      <c r="E7" s="1413"/>
      <c r="F7" s="1419">
        <v>0</v>
      </c>
      <c r="G7" s="1419">
        <v>0</v>
      </c>
      <c r="H7" s="1419">
        <v>0</v>
      </c>
      <c r="I7" s="1960">
        <v>0</v>
      </c>
      <c r="J7" s="1419">
        <v>0</v>
      </c>
      <c r="K7" s="1419">
        <v>0</v>
      </c>
      <c r="L7" s="1419">
        <v>0</v>
      </c>
      <c r="M7" s="1419">
        <v>0</v>
      </c>
      <c r="N7" s="1960">
        <v>0</v>
      </c>
      <c r="O7" s="1960">
        <v>0</v>
      </c>
      <c r="P7" s="1419">
        <v>0</v>
      </c>
      <c r="Q7" s="1419">
        <v>0</v>
      </c>
      <c r="R7" s="1419">
        <v>0</v>
      </c>
      <c r="S7" s="1419"/>
      <c r="T7" s="1419">
        <v>0</v>
      </c>
      <c r="U7" s="1419">
        <v>0</v>
      </c>
      <c r="V7" s="1419">
        <v>0</v>
      </c>
      <c r="W7" s="1419">
        <v>0</v>
      </c>
      <c r="X7" s="1419">
        <v>0</v>
      </c>
      <c r="Y7" s="1419">
        <v>1500</v>
      </c>
      <c r="Z7" s="1419">
        <v>9300</v>
      </c>
      <c r="AA7" s="1419">
        <v>0</v>
      </c>
      <c r="AB7" s="1419">
        <v>0</v>
      </c>
      <c r="AC7" s="1419">
        <v>0</v>
      </c>
      <c r="AD7" s="1419">
        <v>0</v>
      </c>
      <c r="AE7" s="1419">
        <v>0</v>
      </c>
      <c r="AF7" s="1420">
        <v>23250</v>
      </c>
      <c r="AG7" s="1106"/>
      <c r="AH7" s="1106"/>
    </row>
    <row r="8" spans="1:34" ht="15">
      <c r="A8" s="1418" t="s">
        <v>2050</v>
      </c>
      <c r="B8" s="1419">
        <v>0</v>
      </c>
      <c r="C8" s="1419">
        <v>16102</v>
      </c>
      <c r="D8" s="1419">
        <v>90882</v>
      </c>
      <c r="E8" s="1413"/>
      <c r="F8" s="1419">
        <v>66132</v>
      </c>
      <c r="G8" s="1419">
        <v>75440</v>
      </c>
      <c r="H8" s="1419">
        <v>87906</v>
      </c>
      <c r="I8" s="1960">
        <v>5580</v>
      </c>
      <c r="J8" s="1419">
        <v>173758</v>
      </c>
      <c r="K8" s="1419">
        <v>22140</v>
      </c>
      <c r="L8" s="1419">
        <v>12166</v>
      </c>
      <c r="M8" s="1419">
        <v>2772</v>
      </c>
      <c r="N8" s="1960">
        <v>1518</v>
      </c>
      <c r="O8" s="1960">
        <v>8362</v>
      </c>
      <c r="P8" s="1419">
        <v>3278</v>
      </c>
      <c r="Q8" s="1419">
        <v>2520</v>
      </c>
      <c r="R8" s="1419">
        <v>3328</v>
      </c>
      <c r="S8" s="1419"/>
      <c r="T8" s="1419">
        <v>0</v>
      </c>
      <c r="U8" s="1419">
        <v>0</v>
      </c>
      <c r="V8" s="1419">
        <v>0</v>
      </c>
      <c r="W8" s="1419">
        <v>4004</v>
      </c>
      <c r="X8" s="1419">
        <v>6240</v>
      </c>
      <c r="Y8" s="1419">
        <v>310</v>
      </c>
      <c r="Z8" s="1419">
        <v>1984</v>
      </c>
      <c r="AA8" s="1419">
        <v>3572</v>
      </c>
      <c r="AB8" s="1419">
        <v>340</v>
      </c>
      <c r="AC8" s="1419">
        <v>80</v>
      </c>
      <c r="AD8" s="1419">
        <v>320</v>
      </c>
      <c r="AE8" s="1419">
        <v>3542</v>
      </c>
      <c r="AF8" s="1420">
        <v>592276</v>
      </c>
      <c r="AG8" s="1106"/>
      <c r="AH8" s="1106"/>
    </row>
    <row r="9" spans="1:34" ht="15">
      <c r="A9" s="1418" t="s">
        <v>2051</v>
      </c>
      <c r="B9" s="1419">
        <v>0</v>
      </c>
      <c r="C9" s="1419">
        <v>0</v>
      </c>
      <c r="D9" s="1419">
        <v>0</v>
      </c>
      <c r="E9" s="1413"/>
      <c r="F9" s="1419">
        <v>17820</v>
      </c>
      <c r="G9" s="1419">
        <v>20700</v>
      </c>
      <c r="H9" s="1419">
        <v>26910</v>
      </c>
      <c r="I9" s="1960">
        <v>1500</v>
      </c>
      <c r="J9" s="1419">
        <v>47970</v>
      </c>
      <c r="K9" s="1419">
        <v>27000</v>
      </c>
      <c r="L9" s="1419">
        <v>3950</v>
      </c>
      <c r="M9" s="1419">
        <v>1218</v>
      </c>
      <c r="N9" s="1960">
        <v>1760</v>
      </c>
      <c r="O9" s="1960">
        <v>5180</v>
      </c>
      <c r="P9" s="1419">
        <v>1100</v>
      </c>
      <c r="Q9" s="1419">
        <v>2000</v>
      </c>
      <c r="R9" s="1419">
        <v>3840</v>
      </c>
      <c r="S9" s="1419"/>
      <c r="T9" s="1419">
        <v>0</v>
      </c>
      <c r="U9" s="1419">
        <v>0</v>
      </c>
      <c r="V9" s="1419">
        <v>0</v>
      </c>
      <c r="W9" s="1419">
        <v>6600</v>
      </c>
      <c r="X9" s="1419">
        <v>6000</v>
      </c>
      <c r="Y9" s="1419">
        <v>0</v>
      </c>
      <c r="Z9" s="1419">
        <v>0</v>
      </c>
      <c r="AA9" s="1419">
        <v>0</v>
      </c>
      <c r="AB9" s="1419">
        <v>280</v>
      </c>
      <c r="AC9" s="1419">
        <v>0</v>
      </c>
      <c r="AD9" s="1419">
        <v>0</v>
      </c>
      <c r="AE9" s="1419">
        <v>2760</v>
      </c>
      <c r="AF9" s="1420">
        <v>176588</v>
      </c>
      <c r="AG9" s="1106"/>
      <c r="AH9" s="1106"/>
    </row>
    <row r="10" spans="1:34" ht="15">
      <c r="A10" s="1418" t="s">
        <v>2052</v>
      </c>
      <c r="B10" s="1419">
        <v>0</v>
      </c>
      <c r="C10" s="1419">
        <v>16600</v>
      </c>
      <c r="D10" s="1419">
        <v>29700</v>
      </c>
      <c r="E10" s="1413"/>
      <c r="F10" s="1419">
        <v>0</v>
      </c>
      <c r="G10" s="1419">
        <v>0</v>
      </c>
      <c r="H10" s="1419">
        <v>0</v>
      </c>
      <c r="I10" s="1960">
        <v>4500</v>
      </c>
      <c r="J10" s="1419">
        <v>0</v>
      </c>
      <c r="K10" s="1419">
        <v>0</v>
      </c>
      <c r="L10" s="1419">
        <v>15800</v>
      </c>
      <c r="M10" s="1419">
        <v>5040</v>
      </c>
      <c r="N10" s="1960">
        <v>0</v>
      </c>
      <c r="O10" s="1960">
        <v>0</v>
      </c>
      <c r="P10" s="1419">
        <v>0</v>
      </c>
      <c r="Q10" s="1419">
        <v>0</v>
      </c>
      <c r="R10" s="1419">
        <v>0</v>
      </c>
      <c r="S10" s="1419"/>
      <c r="T10" s="1419">
        <v>0</v>
      </c>
      <c r="U10" s="1419">
        <v>0</v>
      </c>
      <c r="V10" s="1419">
        <v>0</v>
      </c>
      <c r="W10" s="1419">
        <v>0</v>
      </c>
      <c r="X10" s="1419">
        <v>0</v>
      </c>
      <c r="Y10" s="1419">
        <v>1000</v>
      </c>
      <c r="Z10" s="1419">
        <v>6200</v>
      </c>
      <c r="AA10" s="1419">
        <v>3800</v>
      </c>
      <c r="AB10" s="1419">
        <v>0</v>
      </c>
      <c r="AC10" s="1419">
        <v>184</v>
      </c>
      <c r="AD10" s="1419">
        <v>768</v>
      </c>
      <c r="AE10" s="1419">
        <v>0</v>
      </c>
      <c r="AF10" s="1420">
        <v>83592</v>
      </c>
      <c r="AG10" s="1106"/>
      <c r="AH10" s="1106"/>
    </row>
    <row r="11" spans="1:34" ht="15">
      <c r="A11" s="1961" t="s">
        <v>2053</v>
      </c>
      <c r="B11" s="1419">
        <v>0</v>
      </c>
      <c r="C11" s="1419">
        <v>0</v>
      </c>
      <c r="D11" s="1419">
        <v>0</v>
      </c>
      <c r="E11" s="1413"/>
      <c r="F11" s="1419">
        <v>0</v>
      </c>
      <c r="G11" s="1419">
        <v>0</v>
      </c>
      <c r="H11" s="1419">
        <v>0</v>
      </c>
      <c r="I11" s="1960">
        <v>0</v>
      </c>
      <c r="J11" s="1419">
        <v>0</v>
      </c>
      <c r="K11" s="1419">
        <v>0</v>
      </c>
      <c r="L11" s="1419">
        <v>0</v>
      </c>
      <c r="M11" s="1419">
        <v>0</v>
      </c>
      <c r="N11" s="1960">
        <v>0</v>
      </c>
      <c r="O11" s="1960">
        <v>0</v>
      </c>
      <c r="P11" s="1419">
        <v>0</v>
      </c>
      <c r="Q11" s="1419">
        <v>0</v>
      </c>
      <c r="R11" s="1419">
        <v>0</v>
      </c>
      <c r="S11" s="1419"/>
      <c r="T11" s="1419">
        <v>0</v>
      </c>
      <c r="U11" s="1419">
        <v>0</v>
      </c>
      <c r="V11" s="1419">
        <v>0</v>
      </c>
      <c r="W11" s="1419">
        <v>0</v>
      </c>
      <c r="X11" s="1419">
        <v>0</v>
      </c>
      <c r="Y11" s="1419">
        <v>0</v>
      </c>
      <c r="Z11" s="1419">
        <v>0</v>
      </c>
      <c r="AA11" s="1419">
        <v>0</v>
      </c>
      <c r="AB11" s="1419">
        <v>0</v>
      </c>
      <c r="AC11" s="1419">
        <v>0</v>
      </c>
      <c r="AD11" s="1419">
        <v>0</v>
      </c>
      <c r="AE11" s="1419">
        <v>0</v>
      </c>
      <c r="AF11" s="1420">
        <v>0</v>
      </c>
      <c r="AG11" s="1106"/>
      <c r="AH11" s="1106"/>
    </row>
    <row r="12" spans="1:34" ht="15">
      <c r="A12" s="1418" t="s">
        <v>2054</v>
      </c>
      <c r="B12" s="1419">
        <v>0</v>
      </c>
      <c r="C12" s="1419">
        <v>9960</v>
      </c>
      <c r="D12" s="1419">
        <v>19602</v>
      </c>
      <c r="E12" s="1413"/>
      <c r="F12" s="1419">
        <v>39600</v>
      </c>
      <c r="G12" s="1419">
        <v>55200</v>
      </c>
      <c r="H12" s="1419">
        <v>88504</v>
      </c>
      <c r="I12" s="1960">
        <v>11400</v>
      </c>
      <c r="J12" s="1419">
        <v>124722</v>
      </c>
      <c r="K12" s="1419">
        <v>69930</v>
      </c>
      <c r="L12" s="1419">
        <v>16116</v>
      </c>
      <c r="M12" s="1419">
        <v>4200</v>
      </c>
      <c r="N12" s="1960">
        <v>6754</v>
      </c>
      <c r="O12" s="1960">
        <v>16206</v>
      </c>
      <c r="P12" s="1419">
        <v>3586</v>
      </c>
      <c r="Q12" s="1419">
        <v>3500</v>
      </c>
      <c r="R12" s="1419">
        <v>6912</v>
      </c>
      <c r="S12" s="1419"/>
      <c r="T12" s="1419">
        <v>0</v>
      </c>
      <c r="U12" s="1419">
        <v>0</v>
      </c>
      <c r="V12" s="1419">
        <v>0</v>
      </c>
      <c r="W12" s="1419">
        <v>10648</v>
      </c>
      <c r="X12" s="1419">
        <v>14100</v>
      </c>
      <c r="Y12" s="1419">
        <v>350</v>
      </c>
      <c r="Z12" s="1419">
        <v>2170</v>
      </c>
      <c r="AA12" s="1419">
        <v>2280</v>
      </c>
      <c r="AB12" s="1419">
        <v>772</v>
      </c>
      <c r="AC12" s="1419">
        <v>66</v>
      </c>
      <c r="AD12" s="1419">
        <v>176</v>
      </c>
      <c r="AE12" s="1419">
        <v>14076</v>
      </c>
      <c r="AF12" s="1420">
        <v>520830</v>
      </c>
      <c r="AG12" s="1106"/>
      <c r="AH12" s="1106"/>
    </row>
    <row r="13" spans="1:34" ht="15">
      <c r="A13" s="1418" t="s">
        <v>2055</v>
      </c>
      <c r="B13" s="1419">
        <v>0</v>
      </c>
      <c r="C13" s="1419">
        <v>0</v>
      </c>
      <c r="D13" s="1419">
        <v>0</v>
      </c>
      <c r="E13" s="1413"/>
      <c r="F13" s="1419">
        <v>0</v>
      </c>
      <c r="G13" s="1419">
        <v>0</v>
      </c>
      <c r="H13" s="1419">
        <v>0</v>
      </c>
      <c r="I13" s="1960">
        <v>0</v>
      </c>
      <c r="J13" s="1419">
        <v>0</v>
      </c>
      <c r="K13" s="1419">
        <v>0</v>
      </c>
      <c r="L13" s="1419">
        <v>0</v>
      </c>
      <c r="M13" s="1419">
        <v>0</v>
      </c>
      <c r="N13" s="1960">
        <v>0</v>
      </c>
      <c r="O13" s="1960">
        <v>0</v>
      </c>
      <c r="P13" s="1419">
        <v>0</v>
      </c>
      <c r="Q13" s="1419">
        <v>0</v>
      </c>
      <c r="R13" s="1419">
        <v>0</v>
      </c>
      <c r="S13" s="1419"/>
      <c r="T13" s="1419">
        <v>0</v>
      </c>
      <c r="U13" s="1419">
        <v>0</v>
      </c>
      <c r="V13" s="1419">
        <v>0</v>
      </c>
      <c r="W13" s="1419">
        <v>0</v>
      </c>
      <c r="X13" s="1419">
        <v>0</v>
      </c>
      <c r="Y13" s="1419">
        <v>0</v>
      </c>
      <c r="Z13" s="1419">
        <v>0</v>
      </c>
      <c r="AA13" s="1419">
        <v>0</v>
      </c>
      <c r="AB13" s="1419">
        <v>0</v>
      </c>
      <c r="AC13" s="1419">
        <v>0</v>
      </c>
      <c r="AD13" s="1419">
        <v>0</v>
      </c>
      <c r="AE13" s="1419">
        <v>0</v>
      </c>
      <c r="AF13" s="1420">
        <v>0</v>
      </c>
      <c r="AG13" s="1106"/>
      <c r="AH13" s="1106"/>
    </row>
    <row r="14" spans="1:34" ht="15">
      <c r="A14" s="1418" t="s">
        <v>2056</v>
      </c>
      <c r="B14" s="1419">
        <v>0</v>
      </c>
      <c r="C14" s="1419">
        <v>0</v>
      </c>
      <c r="D14" s="1419">
        <v>0</v>
      </c>
      <c r="E14" s="1413"/>
      <c r="F14" s="1419">
        <v>0</v>
      </c>
      <c r="G14" s="1419">
        <v>0</v>
      </c>
      <c r="H14" s="1419">
        <v>0</v>
      </c>
      <c r="I14" s="1960">
        <v>0</v>
      </c>
      <c r="J14" s="1419">
        <v>0</v>
      </c>
      <c r="K14" s="1419">
        <v>0</v>
      </c>
      <c r="L14" s="1419">
        <v>0</v>
      </c>
      <c r="M14" s="1419">
        <v>0</v>
      </c>
      <c r="N14" s="1960">
        <v>0</v>
      </c>
      <c r="O14" s="1960">
        <v>0</v>
      </c>
      <c r="P14" s="1419">
        <v>0</v>
      </c>
      <c r="Q14" s="1419">
        <v>0</v>
      </c>
      <c r="R14" s="1419">
        <v>0</v>
      </c>
      <c r="S14" s="1419"/>
      <c r="T14" s="1419">
        <v>0</v>
      </c>
      <c r="U14" s="1419">
        <v>0</v>
      </c>
      <c r="V14" s="1419">
        <v>0</v>
      </c>
      <c r="W14" s="1419">
        <v>0</v>
      </c>
      <c r="X14" s="1419">
        <v>0</v>
      </c>
      <c r="Y14" s="1419">
        <v>0</v>
      </c>
      <c r="Z14" s="1419">
        <v>18</v>
      </c>
      <c r="AA14" s="1419">
        <v>0</v>
      </c>
      <c r="AB14" s="1419">
        <v>0</v>
      </c>
      <c r="AC14" s="1419">
        <v>0</v>
      </c>
      <c r="AD14" s="1419">
        <v>0</v>
      </c>
      <c r="AE14" s="1419">
        <v>0</v>
      </c>
      <c r="AF14" s="1420">
        <v>18</v>
      </c>
      <c r="AG14" s="1106"/>
      <c r="AH14" s="1106"/>
    </row>
    <row r="15" spans="1:34" ht="15">
      <c r="A15" s="1418" t="s">
        <v>2057</v>
      </c>
      <c r="B15" s="1419">
        <v>0</v>
      </c>
      <c r="C15" s="1419">
        <v>332</v>
      </c>
      <c r="D15" s="1419">
        <v>1188</v>
      </c>
      <c r="E15" s="1413"/>
      <c r="F15" s="1419">
        <v>0</v>
      </c>
      <c r="G15" s="1419">
        <v>0</v>
      </c>
      <c r="H15" s="1419">
        <v>0</v>
      </c>
      <c r="I15" s="1960">
        <v>0</v>
      </c>
      <c r="J15" s="1419">
        <v>0</v>
      </c>
      <c r="K15" s="1419">
        <v>270</v>
      </c>
      <c r="L15" s="1419">
        <v>158</v>
      </c>
      <c r="M15" s="1419">
        <v>42</v>
      </c>
      <c r="N15" s="1960">
        <v>0</v>
      </c>
      <c r="O15" s="1960">
        <v>74</v>
      </c>
      <c r="P15" s="1419">
        <v>0</v>
      </c>
      <c r="Q15" s="1419">
        <v>0</v>
      </c>
      <c r="R15" s="1419">
        <v>0</v>
      </c>
      <c r="S15" s="1419"/>
      <c r="T15" s="1419">
        <v>0</v>
      </c>
      <c r="U15" s="1419">
        <v>0</v>
      </c>
      <c r="V15" s="1419">
        <v>0</v>
      </c>
      <c r="W15" s="1419">
        <v>0</v>
      </c>
      <c r="X15" s="1419">
        <v>0</v>
      </c>
      <c r="Y15" s="1419">
        <v>20</v>
      </c>
      <c r="Z15" s="1419">
        <v>124</v>
      </c>
      <c r="AA15" s="1419">
        <v>76</v>
      </c>
      <c r="AB15" s="1419">
        <v>4</v>
      </c>
      <c r="AC15" s="1419">
        <v>4</v>
      </c>
      <c r="AD15" s="1419">
        <v>16</v>
      </c>
      <c r="AE15" s="1419">
        <v>0</v>
      </c>
      <c r="AF15" s="1420">
        <v>2308</v>
      </c>
      <c r="AG15" s="1106"/>
      <c r="AH15" s="1106"/>
    </row>
    <row r="16" spans="1:34" ht="15">
      <c r="A16" s="1418" t="s">
        <v>2058</v>
      </c>
      <c r="B16" s="1419">
        <v>0</v>
      </c>
      <c r="C16" s="1419">
        <v>1162</v>
      </c>
      <c r="D16" s="1419">
        <v>5940</v>
      </c>
      <c r="E16" s="1413"/>
      <c r="F16" s="1419">
        <v>3168</v>
      </c>
      <c r="G16" s="1419">
        <v>3680</v>
      </c>
      <c r="H16" s="1419">
        <v>4784</v>
      </c>
      <c r="I16" s="1960">
        <v>360</v>
      </c>
      <c r="J16" s="1419">
        <v>8528</v>
      </c>
      <c r="K16" s="1419">
        <v>2700</v>
      </c>
      <c r="L16" s="1419">
        <v>2370</v>
      </c>
      <c r="M16" s="1419">
        <v>588</v>
      </c>
      <c r="N16" s="1960">
        <v>110</v>
      </c>
      <c r="O16" s="1960">
        <v>740</v>
      </c>
      <c r="P16" s="1419">
        <v>220</v>
      </c>
      <c r="Q16" s="1419">
        <v>200</v>
      </c>
      <c r="R16" s="1419">
        <v>320</v>
      </c>
      <c r="S16" s="1419"/>
      <c r="T16" s="1419">
        <v>0</v>
      </c>
      <c r="U16" s="1419">
        <v>0</v>
      </c>
      <c r="V16" s="1419">
        <v>0</v>
      </c>
      <c r="W16" s="1419">
        <v>440</v>
      </c>
      <c r="X16" s="1419">
        <v>600</v>
      </c>
      <c r="Y16" s="1419">
        <v>50</v>
      </c>
      <c r="Z16" s="1419">
        <v>310</v>
      </c>
      <c r="AA16" s="1419">
        <v>190</v>
      </c>
      <c r="AB16" s="1419">
        <v>56</v>
      </c>
      <c r="AC16" s="1419">
        <v>1</v>
      </c>
      <c r="AD16" s="1419">
        <v>16</v>
      </c>
      <c r="AE16" s="1419">
        <v>460</v>
      </c>
      <c r="AF16" s="1420">
        <v>36993</v>
      </c>
      <c r="AG16" s="1106"/>
      <c r="AH16" s="1106"/>
    </row>
    <row r="17" spans="1:34" ht="15">
      <c r="A17" s="1418" t="s">
        <v>2059</v>
      </c>
      <c r="B17" s="1419">
        <v>0</v>
      </c>
      <c r="C17" s="1419">
        <v>0</v>
      </c>
      <c r="D17" s="1419">
        <v>0</v>
      </c>
      <c r="E17" s="1413"/>
      <c r="F17" s="1419">
        <v>0</v>
      </c>
      <c r="G17" s="1419">
        <v>0</v>
      </c>
      <c r="H17" s="1419">
        <v>0</v>
      </c>
      <c r="I17" s="1960">
        <v>0</v>
      </c>
      <c r="J17" s="1419">
        <v>0</v>
      </c>
      <c r="K17" s="1419">
        <v>0</v>
      </c>
      <c r="L17" s="1419">
        <v>0</v>
      </c>
      <c r="M17" s="1419">
        <v>0</v>
      </c>
      <c r="N17" s="1960">
        <v>0</v>
      </c>
      <c r="O17" s="1960">
        <v>0</v>
      </c>
      <c r="P17" s="1419">
        <v>0</v>
      </c>
      <c r="Q17" s="1419">
        <v>0</v>
      </c>
      <c r="R17" s="1419">
        <v>0</v>
      </c>
      <c r="S17" s="1419"/>
      <c r="T17" s="1419">
        <v>0</v>
      </c>
      <c r="U17" s="1419">
        <v>0</v>
      </c>
      <c r="V17" s="1419">
        <v>0</v>
      </c>
      <c r="W17" s="1419">
        <v>0</v>
      </c>
      <c r="X17" s="1419">
        <v>0</v>
      </c>
      <c r="Y17" s="1419">
        <v>0</v>
      </c>
      <c r="Z17" s="1419">
        <v>0</v>
      </c>
      <c r="AA17" s="1419">
        <v>0</v>
      </c>
      <c r="AB17" s="1419">
        <v>0</v>
      </c>
      <c r="AC17" s="1419">
        <v>0</v>
      </c>
      <c r="AD17" s="1419">
        <v>0</v>
      </c>
      <c r="AE17" s="1419">
        <v>0</v>
      </c>
      <c r="AF17" s="1420">
        <v>0</v>
      </c>
      <c r="AG17" s="1106"/>
      <c r="AH17" s="1106"/>
    </row>
    <row r="18" spans="1:34" ht="15">
      <c r="A18" s="1962" t="s">
        <v>2060</v>
      </c>
      <c r="B18" s="1419">
        <v>0</v>
      </c>
      <c r="C18" s="1419">
        <v>4150</v>
      </c>
      <c r="D18" s="1419">
        <v>14850</v>
      </c>
      <c r="E18" s="1413"/>
      <c r="F18" s="1419">
        <v>0</v>
      </c>
      <c r="G18" s="1419">
        <v>0</v>
      </c>
      <c r="H18" s="1419">
        <v>0</v>
      </c>
      <c r="I18" s="1960">
        <v>0</v>
      </c>
      <c r="J18" s="1419">
        <v>0</v>
      </c>
      <c r="K18" s="1419">
        <v>0</v>
      </c>
      <c r="L18" s="1419">
        <v>3950</v>
      </c>
      <c r="M18" s="1419">
        <v>1050</v>
      </c>
      <c r="N18" s="1960">
        <v>0</v>
      </c>
      <c r="O18" s="1960">
        <v>0</v>
      </c>
      <c r="P18" s="1419">
        <v>0</v>
      </c>
      <c r="Q18" s="1419">
        <v>0</v>
      </c>
      <c r="R18" s="1419">
        <v>0</v>
      </c>
      <c r="S18" s="1419"/>
      <c r="T18" s="1419">
        <v>0</v>
      </c>
      <c r="U18" s="1419">
        <v>0</v>
      </c>
      <c r="V18" s="1419">
        <v>0</v>
      </c>
      <c r="W18" s="1419">
        <v>0</v>
      </c>
      <c r="X18" s="1419">
        <v>0</v>
      </c>
      <c r="Y18" s="1419">
        <v>500</v>
      </c>
      <c r="Z18" s="1419">
        <v>3100</v>
      </c>
      <c r="AA18" s="1419">
        <v>0</v>
      </c>
      <c r="AB18" s="1419">
        <v>0</v>
      </c>
      <c r="AC18" s="1419">
        <v>0</v>
      </c>
      <c r="AD18" s="1419">
        <v>0</v>
      </c>
      <c r="AE18" s="1419">
        <v>0</v>
      </c>
      <c r="AF18" s="1420">
        <v>27600</v>
      </c>
      <c r="AG18" s="1106"/>
      <c r="AH18" s="1106"/>
    </row>
    <row r="19" spans="1:34" ht="15">
      <c r="A19" s="1962" t="s">
        <v>2061</v>
      </c>
      <c r="B19" s="1419">
        <v>0</v>
      </c>
      <c r="C19" s="1419">
        <v>0</v>
      </c>
      <c r="D19" s="1419">
        <v>0</v>
      </c>
      <c r="E19" s="1413"/>
      <c r="F19" s="1419">
        <v>0</v>
      </c>
      <c r="G19" s="1419">
        <v>0</v>
      </c>
      <c r="H19" s="1419">
        <v>0</v>
      </c>
      <c r="I19" s="1960">
        <v>0</v>
      </c>
      <c r="J19" s="1419">
        <v>0</v>
      </c>
      <c r="K19" s="1419">
        <v>0</v>
      </c>
      <c r="L19" s="1419">
        <v>0</v>
      </c>
      <c r="M19" s="1419">
        <v>0</v>
      </c>
      <c r="N19" s="1960">
        <v>0</v>
      </c>
      <c r="O19" s="1960">
        <v>0</v>
      </c>
      <c r="P19" s="1419">
        <v>0</v>
      </c>
      <c r="Q19" s="1419">
        <v>0</v>
      </c>
      <c r="R19" s="1419">
        <v>0</v>
      </c>
      <c r="S19" s="1419"/>
      <c r="T19" s="1419">
        <v>0</v>
      </c>
      <c r="U19" s="1419">
        <v>0</v>
      </c>
      <c r="V19" s="1419">
        <v>0</v>
      </c>
      <c r="W19" s="1419">
        <v>0</v>
      </c>
      <c r="X19" s="1419">
        <v>0</v>
      </c>
      <c r="Y19" s="1419">
        <v>0</v>
      </c>
      <c r="Z19" s="1419">
        <v>0</v>
      </c>
      <c r="AA19" s="1419">
        <v>0</v>
      </c>
      <c r="AB19" s="1419">
        <v>0</v>
      </c>
      <c r="AC19" s="1419">
        <v>0</v>
      </c>
      <c r="AD19" s="1419">
        <v>0</v>
      </c>
      <c r="AE19" s="1419">
        <v>0</v>
      </c>
      <c r="AF19" s="1420">
        <v>0</v>
      </c>
      <c r="AG19" s="1106"/>
      <c r="AH19" s="1106"/>
    </row>
    <row r="20" spans="1:34" ht="15">
      <c r="A20" s="1418" t="s">
        <v>2062</v>
      </c>
      <c r="B20" s="1419">
        <v>0</v>
      </c>
      <c r="C20" s="1419">
        <v>0</v>
      </c>
      <c r="D20" s="1419">
        <v>0</v>
      </c>
      <c r="E20" s="1413"/>
      <c r="F20" s="1419">
        <v>0</v>
      </c>
      <c r="G20" s="1419">
        <v>0</v>
      </c>
      <c r="H20" s="1419">
        <v>0</v>
      </c>
      <c r="I20" s="1960">
        <v>0</v>
      </c>
      <c r="J20" s="1419">
        <v>0</v>
      </c>
      <c r="K20" s="1419">
        <v>0</v>
      </c>
      <c r="L20" s="1419">
        <v>0</v>
      </c>
      <c r="M20" s="1419">
        <v>0</v>
      </c>
      <c r="N20" s="1960">
        <v>0</v>
      </c>
      <c r="O20" s="1960">
        <v>0</v>
      </c>
      <c r="P20" s="1419">
        <v>0</v>
      </c>
      <c r="Q20" s="1419">
        <v>0</v>
      </c>
      <c r="R20" s="1419">
        <v>0</v>
      </c>
      <c r="S20" s="1419"/>
      <c r="T20" s="1419">
        <v>0</v>
      </c>
      <c r="U20" s="1419">
        <v>0</v>
      </c>
      <c r="V20" s="1419">
        <v>0</v>
      </c>
      <c r="W20" s="1419">
        <v>0</v>
      </c>
      <c r="X20" s="1419">
        <v>0</v>
      </c>
      <c r="Y20" s="1419">
        <v>0</v>
      </c>
      <c r="Z20" s="1419">
        <v>0</v>
      </c>
      <c r="AA20" s="1419">
        <v>0</v>
      </c>
      <c r="AB20" s="1419">
        <v>0</v>
      </c>
      <c r="AC20" s="1419">
        <v>0</v>
      </c>
      <c r="AD20" s="1419">
        <v>0</v>
      </c>
      <c r="AE20" s="1419">
        <v>0</v>
      </c>
      <c r="AF20" s="1420">
        <v>0</v>
      </c>
      <c r="AG20" s="1106"/>
      <c r="AH20" s="1106"/>
    </row>
    <row r="21" spans="1:34" ht="15">
      <c r="A21" s="1418" t="s">
        <v>2063</v>
      </c>
      <c r="B21" s="1419">
        <v>0</v>
      </c>
      <c r="C21" s="1419">
        <v>0</v>
      </c>
      <c r="D21" s="1419">
        <v>648</v>
      </c>
      <c r="E21" s="1413"/>
      <c r="F21" s="1419">
        <v>0</v>
      </c>
      <c r="G21" s="1419">
        <v>920</v>
      </c>
      <c r="H21" s="1419">
        <v>0</v>
      </c>
      <c r="I21" s="1960">
        <v>0</v>
      </c>
      <c r="J21" s="1419">
        <v>0</v>
      </c>
      <c r="K21" s="1419">
        <v>0</v>
      </c>
      <c r="L21" s="1419">
        <v>0</v>
      </c>
      <c r="M21" s="1419">
        <v>0</v>
      </c>
      <c r="N21" s="1960">
        <v>0</v>
      </c>
      <c r="O21" s="1960">
        <v>0</v>
      </c>
      <c r="P21" s="1419">
        <v>44</v>
      </c>
      <c r="Q21" s="1419">
        <v>0</v>
      </c>
      <c r="R21" s="1419">
        <v>0</v>
      </c>
      <c r="S21" s="1419"/>
      <c r="T21" s="1419">
        <v>0</v>
      </c>
      <c r="U21" s="1419">
        <v>0</v>
      </c>
      <c r="V21" s="1419">
        <v>0</v>
      </c>
      <c r="W21" s="1419">
        <v>0</v>
      </c>
      <c r="X21" s="1419">
        <v>0</v>
      </c>
      <c r="Y21" s="1419">
        <v>0</v>
      </c>
      <c r="Z21" s="1419">
        <v>0</v>
      </c>
      <c r="AA21" s="1419">
        <v>0</v>
      </c>
      <c r="AB21" s="1419">
        <v>0</v>
      </c>
      <c r="AC21" s="1419">
        <v>0</v>
      </c>
      <c r="AD21" s="1419">
        <v>0</v>
      </c>
      <c r="AE21" s="1419">
        <v>0</v>
      </c>
      <c r="AF21" s="1420">
        <v>1612</v>
      </c>
      <c r="AG21" s="1106"/>
      <c r="AH21" s="1106"/>
    </row>
    <row r="22" spans="1:34" ht="15">
      <c r="A22" s="1418" t="s">
        <v>2064</v>
      </c>
      <c r="B22" s="1419">
        <v>0</v>
      </c>
      <c r="C22" s="1419">
        <v>0</v>
      </c>
      <c r="D22" s="1419">
        <v>0</v>
      </c>
      <c r="E22" s="1413"/>
      <c r="F22" s="1419">
        <v>0</v>
      </c>
      <c r="G22" s="1419">
        <v>0</v>
      </c>
      <c r="H22" s="1419">
        <v>0</v>
      </c>
      <c r="I22" s="1960">
        <v>0</v>
      </c>
      <c r="J22" s="1419">
        <v>0</v>
      </c>
      <c r="K22" s="1419">
        <v>0</v>
      </c>
      <c r="L22" s="1419">
        <v>0</v>
      </c>
      <c r="M22" s="1419">
        <v>0</v>
      </c>
      <c r="N22" s="1960">
        <v>0</v>
      </c>
      <c r="O22" s="1960">
        <v>0</v>
      </c>
      <c r="P22" s="1419">
        <v>0</v>
      </c>
      <c r="Q22" s="1419">
        <v>0</v>
      </c>
      <c r="R22" s="1419">
        <v>0</v>
      </c>
      <c r="S22" s="1419"/>
      <c r="T22" s="1419">
        <v>0</v>
      </c>
      <c r="U22" s="1419">
        <v>0</v>
      </c>
      <c r="V22" s="1419">
        <v>0</v>
      </c>
      <c r="W22" s="1419">
        <v>0</v>
      </c>
      <c r="X22" s="1419">
        <v>0</v>
      </c>
      <c r="Y22" s="1419">
        <v>0</v>
      </c>
      <c r="Z22" s="1419">
        <v>0</v>
      </c>
      <c r="AA22" s="1419">
        <v>0</v>
      </c>
      <c r="AB22" s="1419">
        <v>0</v>
      </c>
      <c r="AC22" s="1419">
        <v>0</v>
      </c>
      <c r="AD22" s="1419">
        <v>0</v>
      </c>
      <c r="AE22" s="1419">
        <v>0</v>
      </c>
      <c r="AF22" s="1420">
        <v>0</v>
      </c>
      <c r="AG22" s="1106"/>
      <c r="AH22" s="1106"/>
    </row>
    <row r="23" spans="1:34" ht="15">
      <c r="A23" s="1418" t="s">
        <v>2065</v>
      </c>
      <c r="B23" s="1419">
        <v>0</v>
      </c>
      <c r="C23" s="1419">
        <v>0</v>
      </c>
      <c r="D23" s="1419">
        <v>135</v>
      </c>
      <c r="E23" s="1413"/>
      <c r="F23" s="1419">
        <v>0</v>
      </c>
      <c r="G23" s="1419">
        <v>0</v>
      </c>
      <c r="H23" s="1419">
        <v>0</v>
      </c>
      <c r="I23" s="1960">
        <v>0</v>
      </c>
      <c r="J23" s="1419">
        <v>0</v>
      </c>
      <c r="K23" s="1419">
        <v>0</v>
      </c>
      <c r="L23" s="1419">
        <v>0</v>
      </c>
      <c r="M23" s="1419">
        <v>0</v>
      </c>
      <c r="N23" s="1960">
        <v>0</v>
      </c>
      <c r="O23" s="1960">
        <v>0</v>
      </c>
      <c r="P23" s="1419">
        <v>0</v>
      </c>
      <c r="Q23" s="1419">
        <v>0</v>
      </c>
      <c r="R23" s="1419">
        <v>0</v>
      </c>
      <c r="S23" s="1419"/>
      <c r="T23" s="1419">
        <v>0</v>
      </c>
      <c r="U23" s="1419">
        <v>0</v>
      </c>
      <c r="V23" s="1419">
        <v>0</v>
      </c>
      <c r="W23" s="1419">
        <v>0</v>
      </c>
      <c r="X23" s="1419">
        <v>0</v>
      </c>
      <c r="Y23" s="1419">
        <v>0</v>
      </c>
      <c r="Z23" s="1419">
        <v>0</v>
      </c>
      <c r="AA23" s="1419">
        <v>0</v>
      </c>
      <c r="AB23" s="1419">
        <v>0</v>
      </c>
      <c r="AC23" s="1419">
        <v>0</v>
      </c>
      <c r="AD23" s="1419">
        <v>0</v>
      </c>
      <c r="AE23" s="1419">
        <v>0</v>
      </c>
      <c r="AF23" s="1420">
        <v>135</v>
      </c>
      <c r="AG23" s="1106"/>
      <c r="AH23" s="1106"/>
    </row>
    <row r="24" spans="1:34" ht="15">
      <c r="A24" s="1421" t="s">
        <v>2066</v>
      </c>
      <c r="B24" s="1419">
        <v>0</v>
      </c>
      <c r="C24" s="1419">
        <v>0</v>
      </c>
      <c r="D24" s="1419">
        <v>0</v>
      </c>
      <c r="E24" s="1413"/>
      <c r="F24" s="1419">
        <v>0</v>
      </c>
      <c r="G24" s="1419">
        <v>0</v>
      </c>
      <c r="H24" s="1419">
        <v>0</v>
      </c>
      <c r="I24" s="1960">
        <v>0</v>
      </c>
      <c r="J24" s="1419">
        <v>266.5</v>
      </c>
      <c r="K24" s="1419">
        <v>0</v>
      </c>
      <c r="L24" s="1419">
        <v>0</v>
      </c>
      <c r="M24" s="1419">
        <v>0</v>
      </c>
      <c r="N24" s="1960">
        <v>0</v>
      </c>
      <c r="O24" s="1960">
        <v>0</v>
      </c>
      <c r="P24" s="1419">
        <v>0</v>
      </c>
      <c r="Q24" s="1419">
        <v>0</v>
      </c>
      <c r="R24" s="1419">
        <v>0</v>
      </c>
      <c r="S24" s="1419"/>
      <c r="T24" s="1419">
        <v>0</v>
      </c>
      <c r="U24" s="1419">
        <v>0</v>
      </c>
      <c r="V24" s="1419">
        <v>0</v>
      </c>
      <c r="W24" s="1419">
        <v>0</v>
      </c>
      <c r="X24" s="1419">
        <v>0</v>
      </c>
      <c r="Y24" s="1419">
        <v>0</v>
      </c>
      <c r="Z24" s="1419">
        <v>0</v>
      </c>
      <c r="AA24" s="1419">
        <v>0</v>
      </c>
      <c r="AB24" s="1419">
        <v>0</v>
      </c>
      <c r="AC24" s="1419">
        <v>0</v>
      </c>
      <c r="AD24" s="1419">
        <v>0</v>
      </c>
      <c r="AE24" s="1419">
        <v>0</v>
      </c>
      <c r="AF24" s="1420">
        <v>266.5</v>
      </c>
      <c r="AG24" s="1106"/>
      <c r="AH24" s="1106"/>
    </row>
    <row r="25" spans="1:34" ht="15">
      <c r="A25" s="1961" t="s">
        <v>2067</v>
      </c>
      <c r="B25" s="1419">
        <v>0</v>
      </c>
      <c r="C25" s="1419">
        <v>0</v>
      </c>
      <c r="D25" s="1419">
        <v>0</v>
      </c>
      <c r="E25" s="1413"/>
      <c r="F25" s="1419">
        <v>0</v>
      </c>
      <c r="G25" s="1419">
        <v>0</v>
      </c>
      <c r="H25" s="1419">
        <v>0</v>
      </c>
      <c r="I25" s="1960">
        <v>0</v>
      </c>
      <c r="J25" s="1419">
        <v>0</v>
      </c>
      <c r="K25" s="1419">
        <v>0</v>
      </c>
      <c r="L25" s="1419">
        <v>0</v>
      </c>
      <c r="M25" s="1419">
        <v>0</v>
      </c>
      <c r="N25" s="1960">
        <v>0</v>
      </c>
      <c r="O25" s="1960">
        <v>0</v>
      </c>
      <c r="P25" s="1419">
        <v>0</v>
      </c>
      <c r="Q25" s="1419">
        <v>0</v>
      </c>
      <c r="R25" s="1419">
        <v>0</v>
      </c>
      <c r="S25" s="1419"/>
      <c r="T25" s="1419">
        <v>0</v>
      </c>
      <c r="U25" s="1419">
        <v>0</v>
      </c>
      <c r="V25" s="1419">
        <v>0</v>
      </c>
      <c r="W25" s="1419">
        <v>0</v>
      </c>
      <c r="X25" s="1419">
        <v>0</v>
      </c>
      <c r="Y25" s="1419">
        <v>0</v>
      </c>
      <c r="Z25" s="1419">
        <v>0</v>
      </c>
      <c r="AA25" s="1419">
        <v>0</v>
      </c>
      <c r="AB25" s="1419">
        <v>0</v>
      </c>
      <c r="AC25" s="1419">
        <v>0</v>
      </c>
      <c r="AD25" s="1419">
        <v>0</v>
      </c>
      <c r="AE25" s="1419">
        <v>0</v>
      </c>
      <c r="AF25" s="1420">
        <v>0</v>
      </c>
      <c r="AG25" s="1106"/>
      <c r="AH25" s="1106"/>
    </row>
    <row r="26" spans="1:34" ht="15">
      <c r="A26" s="1963" t="s">
        <v>2068</v>
      </c>
      <c r="B26" s="1419">
        <v>0</v>
      </c>
      <c r="C26" s="1419">
        <v>332</v>
      </c>
      <c r="D26" s="1419">
        <v>0</v>
      </c>
      <c r="E26" s="1413"/>
      <c r="F26" s="1419">
        <v>0</v>
      </c>
      <c r="G26" s="1419">
        <v>0</v>
      </c>
      <c r="H26" s="1419">
        <v>0</v>
      </c>
      <c r="I26" s="1960">
        <v>0</v>
      </c>
      <c r="J26" s="1419">
        <v>0</v>
      </c>
      <c r="K26" s="1419">
        <v>0</v>
      </c>
      <c r="L26" s="1419">
        <v>0</v>
      </c>
      <c r="M26" s="1419">
        <v>0</v>
      </c>
      <c r="N26" s="1960">
        <v>0</v>
      </c>
      <c r="O26" s="1960">
        <v>0</v>
      </c>
      <c r="P26" s="1419">
        <v>0</v>
      </c>
      <c r="Q26" s="1419">
        <v>0</v>
      </c>
      <c r="R26" s="1419">
        <v>0</v>
      </c>
      <c r="S26" s="1419"/>
      <c r="T26" s="1419">
        <v>0</v>
      </c>
      <c r="U26" s="1419">
        <v>0</v>
      </c>
      <c r="V26" s="1419">
        <v>0</v>
      </c>
      <c r="W26" s="1419">
        <v>0</v>
      </c>
      <c r="X26" s="1419">
        <v>0</v>
      </c>
      <c r="Y26" s="1419">
        <v>30</v>
      </c>
      <c r="Z26" s="1419">
        <v>186</v>
      </c>
      <c r="AA26" s="1419">
        <v>76</v>
      </c>
      <c r="AB26" s="1419">
        <v>0</v>
      </c>
      <c r="AC26" s="1419">
        <v>6</v>
      </c>
      <c r="AD26" s="1419">
        <v>24</v>
      </c>
      <c r="AE26" s="1419">
        <v>0</v>
      </c>
      <c r="AF26" s="1420">
        <v>654</v>
      </c>
      <c r="AG26" s="1106"/>
      <c r="AH26" s="1106"/>
    </row>
    <row r="27" spans="1:34" ht="15">
      <c r="A27" s="1961" t="s">
        <v>2069</v>
      </c>
      <c r="B27" s="1419">
        <v>0</v>
      </c>
      <c r="C27" s="1419">
        <v>0</v>
      </c>
      <c r="D27" s="1419">
        <v>0</v>
      </c>
      <c r="E27" s="1413"/>
      <c r="F27" s="1419">
        <v>0</v>
      </c>
      <c r="G27" s="1419">
        <v>0</v>
      </c>
      <c r="H27" s="1419">
        <v>0</v>
      </c>
      <c r="I27" s="1960">
        <v>0</v>
      </c>
      <c r="J27" s="1419">
        <v>0</v>
      </c>
      <c r="K27" s="1419">
        <v>0</v>
      </c>
      <c r="L27" s="1419">
        <v>0</v>
      </c>
      <c r="M27" s="1419">
        <v>0</v>
      </c>
      <c r="N27" s="1960">
        <v>0</v>
      </c>
      <c r="O27" s="1960">
        <v>0</v>
      </c>
      <c r="P27" s="1419">
        <v>0</v>
      </c>
      <c r="Q27" s="1419">
        <v>0</v>
      </c>
      <c r="R27" s="1419">
        <v>0</v>
      </c>
      <c r="S27" s="1419"/>
      <c r="T27" s="1419">
        <v>0</v>
      </c>
      <c r="U27" s="1419">
        <v>0</v>
      </c>
      <c r="V27" s="1419">
        <v>0</v>
      </c>
      <c r="W27" s="1419">
        <v>0</v>
      </c>
      <c r="X27" s="1419">
        <v>0</v>
      </c>
      <c r="Y27" s="1419">
        <v>0</v>
      </c>
      <c r="Z27" s="1419">
        <v>0</v>
      </c>
      <c r="AA27" s="1419">
        <v>0</v>
      </c>
      <c r="AB27" s="1419">
        <v>0</v>
      </c>
      <c r="AC27" s="1419">
        <v>0</v>
      </c>
      <c r="AD27" s="1419">
        <v>0</v>
      </c>
      <c r="AE27" s="1419">
        <v>0</v>
      </c>
      <c r="AF27" s="1420">
        <v>0</v>
      </c>
      <c r="AG27" s="1106"/>
      <c r="AH27" s="1106"/>
    </row>
    <row r="28" spans="1:34" ht="15">
      <c r="A28" s="1963" t="s">
        <v>2070</v>
      </c>
      <c r="B28" s="1419">
        <v>0</v>
      </c>
      <c r="C28" s="1419">
        <v>166</v>
      </c>
      <c r="D28" s="1419">
        <v>594</v>
      </c>
      <c r="E28" s="1413"/>
      <c r="F28" s="1419">
        <v>396</v>
      </c>
      <c r="G28" s="1419">
        <v>460</v>
      </c>
      <c r="H28" s="1419">
        <v>598</v>
      </c>
      <c r="I28" s="1960">
        <v>60</v>
      </c>
      <c r="J28" s="1419">
        <v>1066</v>
      </c>
      <c r="K28" s="1419">
        <v>270</v>
      </c>
      <c r="L28" s="1419">
        <v>158</v>
      </c>
      <c r="M28" s="1419">
        <v>42</v>
      </c>
      <c r="N28" s="1960">
        <v>22</v>
      </c>
      <c r="O28" s="1960">
        <v>74</v>
      </c>
      <c r="P28" s="1419">
        <v>22</v>
      </c>
      <c r="Q28" s="1419">
        <v>20</v>
      </c>
      <c r="R28" s="1419">
        <v>32</v>
      </c>
      <c r="S28" s="1419"/>
      <c r="T28" s="1419">
        <v>0</v>
      </c>
      <c r="U28" s="1419">
        <v>0</v>
      </c>
      <c r="V28" s="1419">
        <v>0</v>
      </c>
      <c r="W28" s="1419">
        <v>44</v>
      </c>
      <c r="X28" s="1419">
        <v>60</v>
      </c>
      <c r="Y28" s="1419">
        <v>10</v>
      </c>
      <c r="Z28" s="1419">
        <v>62</v>
      </c>
      <c r="AA28" s="1419">
        <v>38</v>
      </c>
      <c r="AB28" s="1419">
        <v>4</v>
      </c>
      <c r="AC28" s="1419">
        <v>2</v>
      </c>
      <c r="AD28" s="1419">
        <v>8</v>
      </c>
      <c r="AE28" s="1419">
        <v>46</v>
      </c>
      <c r="AF28" s="1420">
        <v>4254</v>
      </c>
      <c r="AG28" s="1106"/>
      <c r="AH28" s="1106"/>
    </row>
    <row r="29" spans="1:34" ht="15">
      <c r="A29" s="1963" t="s">
        <v>2071</v>
      </c>
      <c r="B29" s="1419">
        <v>0</v>
      </c>
      <c r="C29" s="1419">
        <v>0</v>
      </c>
      <c r="D29" s="1419">
        <v>0</v>
      </c>
      <c r="E29" s="1413"/>
      <c r="F29" s="1419">
        <v>0</v>
      </c>
      <c r="G29" s="1419">
        <v>0</v>
      </c>
      <c r="H29" s="1419">
        <v>0</v>
      </c>
      <c r="I29" s="1960">
        <v>0</v>
      </c>
      <c r="J29" s="1419">
        <v>0</v>
      </c>
      <c r="K29" s="1419">
        <v>0</v>
      </c>
      <c r="L29" s="1419">
        <v>0</v>
      </c>
      <c r="M29" s="1419">
        <v>0</v>
      </c>
      <c r="N29" s="1960">
        <v>0</v>
      </c>
      <c r="O29" s="1960">
        <v>0</v>
      </c>
      <c r="P29" s="1419">
        <v>0</v>
      </c>
      <c r="Q29" s="1419">
        <v>0</v>
      </c>
      <c r="R29" s="1419">
        <v>0</v>
      </c>
      <c r="S29" s="1419"/>
      <c r="T29" s="1419">
        <v>0</v>
      </c>
      <c r="U29" s="1419">
        <v>0</v>
      </c>
      <c r="V29" s="1419">
        <v>0</v>
      </c>
      <c r="W29" s="1419">
        <v>0</v>
      </c>
      <c r="X29" s="1419">
        <v>0</v>
      </c>
      <c r="Y29" s="1419">
        <v>0</v>
      </c>
      <c r="Z29" s="1419">
        <v>0</v>
      </c>
      <c r="AA29" s="1419">
        <v>0</v>
      </c>
      <c r="AB29" s="1419">
        <v>0</v>
      </c>
      <c r="AC29" s="1419">
        <v>0</v>
      </c>
      <c r="AD29" s="1419">
        <v>0</v>
      </c>
      <c r="AE29" s="1419">
        <v>0</v>
      </c>
      <c r="AF29" s="1420">
        <v>0</v>
      </c>
      <c r="AG29" s="1106"/>
      <c r="AH29" s="1106"/>
    </row>
    <row r="30" spans="1:34" ht="15">
      <c r="A30" s="1963" t="s">
        <v>2072</v>
      </c>
      <c r="B30" s="1419">
        <v>0</v>
      </c>
      <c r="C30" s="1419">
        <v>0</v>
      </c>
      <c r="D30" s="1419">
        <v>0</v>
      </c>
      <c r="E30" s="1413"/>
      <c r="F30" s="1419">
        <v>198</v>
      </c>
      <c r="G30" s="1419">
        <v>230</v>
      </c>
      <c r="H30" s="1419">
        <v>299</v>
      </c>
      <c r="I30" s="1960">
        <v>0</v>
      </c>
      <c r="J30" s="1419">
        <v>0</v>
      </c>
      <c r="K30" s="1419">
        <v>0</v>
      </c>
      <c r="L30" s="1419">
        <v>0</v>
      </c>
      <c r="M30" s="1419">
        <v>0</v>
      </c>
      <c r="N30" s="1960">
        <v>0</v>
      </c>
      <c r="O30" s="1960">
        <v>0</v>
      </c>
      <c r="P30" s="1419">
        <v>0</v>
      </c>
      <c r="Q30" s="1419">
        <v>0</v>
      </c>
      <c r="R30" s="1419">
        <v>0</v>
      </c>
      <c r="S30" s="1419"/>
      <c r="T30" s="1419">
        <v>0</v>
      </c>
      <c r="U30" s="1419">
        <v>0</v>
      </c>
      <c r="V30" s="1419">
        <v>0</v>
      </c>
      <c r="W30" s="1419">
        <v>0</v>
      </c>
      <c r="X30" s="1419">
        <v>0</v>
      </c>
      <c r="Y30" s="1419">
        <v>0</v>
      </c>
      <c r="Z30" s="1419">
        <v>0</v>
      </c>
      <c r="AA30" s="1419">
        <v>0</v>
      </c>
      <c r="AB30" s="1419">
        <v>0</v>
      </c>
      <c r="AC30" s="1419">
        <v>0</v>
      </c>
      <c r="AD30" s="1419">
        <v>0</v>
      </c>
      <c r="AE30" s="1419">
        <v>0</v>
      </c>
      <c r="AF30" s="1420">
        <v>727</v>
      </c>
      <c r="AG30" s="1106"/>
      <c r="AH30" s="1106"/>
    </row>
    <row r="31" spans="1:34" ht="15">
      <c r="A31" s="1963" t="s">
        <v>2073</v>
      </c>
      <c r="B31" s="1419">
        <v>0</v>
      </c>
      <c r="C31" s="1419">
        <v>124.5</v>
      </c>
      <c r="D31" s="1419">
        <v>445.5</v>
      </c>
      <c r="E31" s="1413"/>
      <c r="F31" s="1419">
        <v>0</v>
      </c>
      <c r="G31" s="1419">
        <v>0</v>
      </c>
      <c r="H31" s="1419">
        <v>0</v>
      </c>
      <c r="I31" s="1960">
        <v>45</v>
      </c>
      <c r="J31" s="1419">
        <v>0</v>
      </c>
      <c r="K31" s="1419">
        <v>202.5</v>
      </c>
      <c r="L31" s="1419">
        <v>118.5</v>
      </c>
      <c r="M31" s="1419">
        <v>31.5</v>
      </c>
      <c r="N31" s="1960">
        <v>16.5</v>
      </c>
      <c r="O31" s="1960">
        <v>55.5</v>
      </c>
      <c r="P31" s="1419">
        <v>16.5</v>
      </c>
      <c r="Q31" s="1419">
        <v>15</v>
      </c>
      <c r="R31" s="1419">
        <v>24</v>
      </c>
      <c r="S31" s="1419"/>
      <c r="T31" s="1419">
        <v>0</v>
      </c>
      <c r="U31" s="1419">
        <v>0</v>
      </c>
      <c r="V31" s="1419">
        <v>0</v>
      </c>
      <c r="W31" s="1419">
        <v>33</v>
      </c>
      <c r="X31" s="1419">
        <v>45</v>
      </c>
      <c r="Y31" s="1419">
        <v>7.5</v>
      </c>
      <c r="Z31" s="1419">
        <v>46.5</v>
      </c>
      <c r="AA31" s="1419">
        <v>28.5</v>
      </c>
      <c r="AB31" s="1419">
        <v>3</v>
      </c>
      <c r="AC31" s="1419">
        <v>1.5</v>
      </c>
      <c r="AD31" s="1419">
        <v>6</v>
      </c>
      <c r="AE31" s="1419">
        <v>34.5</v>
      </c>
      <c r="AF31" s="1420">
        <v>1300.5</v>
      </c>
      <c r="AG31" s="1106"/>
      <c r="AH31" s="1106"/>
    </row>
    <row r="32" spans="1:34" ht="15">
      <c r="A32" s="1963" t="s">
        <v>2074</v>
      </c>
      <c r="B32" s="1419">
        <v>0</v>
      </c>
      <c r="C32" s="1419">
        <v>0</v>
      </c>
      <c r="D32" s="1419">
        <v>0</v>
      </c>
      <c r="E32" s="1413"/>
      <c r="F32" s="1419">
        <v>0</v>
      </c>
      <c r="G32" s="1419">
        <v>0</v>
      </c>
      <c r="H32" s="1419">
        <v>0</v>
      </c>
      <c r="I32" s="1960">
        <v>0</v>
      </c>
      <c r="J32" s="1419">
        <v>0</v>
      </c>
      <c r="K32" s="1419">
        <v>0</v>
      </c>
      <c r="L32" s="1419">
        <v>0</v>
      </c>
      <c r="M32" s="1419">
        <v>0</v>
      </c>
      <c r="N32" s="1960">
        <v>0</v>
      </c>
      <c r="O32" s="1960">
        <v>0</v>
      </c>
      <c r="P32" s="1419">
        <v>0</v>
      </c>
      <c r="Q32" s="1419">
        <v>0</v>
      </c>
      <c r="R32" s="1419">
        <v>0</v>
      </c>
      <c r="S32" s="1419"/>
      <c r="T32" s="1419">
        <v>0</v>
      </c>
      <c r="U32" s="1419">
        <v>0</v>
      </c>
      <c r="V32" s="1419">
        <v>0</v>
      </c>
      <c r="W32" s="1419">
        <v>0</v>
      </c>
      <c r="X32" s="1419">
        <v>0</v>
      </c>
      <c r="Y32" s="1419">
        <v>200</v>
      </c>
      <c r="Z32" s="1419">
        <v>1240</v>
      </c>
      <c r="AA32" s="1419">
        <v>0</v>
      </c>
      <c r="AB32" s="1419">
        <v>0</v>
      </c>
      <c r="AC32" s="1419">
        <v>0</v>
      </c>
      <c r="AD32" s="1419">
        <v>0</v>
      </c>
      <c r="AE32" s="1419">
        <v>0</v>
      </c>
      <c r="AF32" s="1420">
        <v>1440</v>
      </c>
      <c r="AG32" s="1106"/>
      <c r="AH32" s="1106"/>
    </row>
    <row r="33" spans="1:34" ht="15">
      <c r="A33" s="1963" t="s">
        <v>2075</v>
      </c>
      <c r="B33" s="1419">
        <v>0</v>
      </c>
      <c r="C33" s="1419">
        <v>0</v>
      </c>
      <c r="D33" s="1419">
        <v>0</v>
      </c>
      <c r="E33" s="1413"/>
      <c r="F33" s="1419">
        <v>0</v>
      </c>
      <c r="G33" s="1419">
        <v>0</v>
      </c>
      <c r="H33" s="1419">
        <v>0</v>
      </c>
      <c r="I33" s="1960">
        <v>0</v>
      </c>
      <c r="J33" s="1419">
        <v>0</v>
      </c>
      <c r="K33" s="1419">
        <v>0</v>
      </c>
      <c r="L33" s="1419">
        <v>0</v>
      </c>
      <c r="M33" s="1419">
        <v>0</v>
      </c>
      <c r="N33" s="1960">
        <v>0</v>
      </c>
      <c r="O33" s="1960">
        <v>0</v>
      </c>
      <c r="P33" s="1419">
        <v>0</v>
      </c>
      <c r="Q33" s="1419">
        <v>0</v>
      </c>
      <c r="R33" s="1419">
        <v>0</v>
      </c>
      <c r="S33" s="1419"/>
      <c r="T33" s="1419">
        <v>0</v>
      </c>
      <c r="U33" s="1419">
        <v>0</v>
      </c>
      <c r="V33" s="1419">
        <v>0</v>
      </c>
      <c r="W33" s="1419">
        <v>0</v>
      </c>
      <c r="X33" s="1419">
        <v>0</v>
      </c>
      <c r="Y33" s="1419">
        <v>0</v>
      </c>
      <c r="Z33" s="1419">
        <v>0</v>
      </c>
      <c r="AA33" s="1419">
        <v>0</v>
      </c>
      <c r="AB33" s="1419">
        <v>0</v>
      </c>
      <c r="AC33" s="1419">
        <v>0</v>
      </c>
      <c r="AD33" s="1419">
        <v>0</v>
      </c>
      <c r="AE33" s="1419">
        <v>0</v>
      </c>
      <c r="AF33" s="1420">
        <v>0</v>
      </c>
      <c r="AG33" s="1106"/>
      <c r="AH33" s="1106"/>
    </row>
    <row r="34" spans="1:34" ht="15">
      <c r="A34" s="1961" t="s">
        <v>2076</v>
      </c>
      <c r="B34" s="1419">
        <v>0</v>
      </c>
      <c r="C34" s="1419">
        <v>0</v>
      </c>
      <c r="D34" s="1419">
        <v>0</v>
      </c>
      <c r="E34" s="1413"/>
      <c r="F34" s="1419">
        <v>0</v>
      </c>
      <c r="G34" s="1419">
        <v>0</v>
      </c>
      <c r="H34" s="1419">
        <v>0</v>
      </c>
      <c r="I34" s="1960">
        <v>0</v>
      </c>
      <c r="J34" s="1419">
        <v>0</v>
      </c>
      <c r="K34" s="1419">
        <v>0</v>
      </c>
      <c r="L34" s="1419">
        <v>0</v>
      </c>
      <c r="M34" s="1419">
        <v>0</v>
      </c>
      <c r="N34" s="1960">
        <v>0</v>
      </c>
      <c r="O34" s="1960">
        <v>0</v>
      </c>
      <c r="P34" s="1419">
        <v>0</v>
      </c>
      <c r="Q34" s="1419">
        <v>0</v>
      </c>
      <c r="R34" s="1419">
        <v>0</v>
      </c>
      <c r="S34" s="1419"/>
      <c r="T34" s="1419">
        <v>0</v>
      </c>
      <c r="U34" s="1419">
        <v>0</v>
      </c>
      <c r="V34" s="1419">
        <v>0</v>
      </c>
      <c r="W34" s="1419">
        <v>0</v>
      </c>
      <c r="X34" s="1419">
        <v>0</v>
      </c>
      <c r="Y34" s="1419">
        <v>0</v>
      </c>
      <c r="Z34" s="1419">
        <v>0</v>
      </c>
      <c r="AA34" s="1419">
        <v>0</v>
      </c>
      <c r="AB34" s="1419">
        <v>0</v>
      </c>
      <c r="AC34" s="1419">
        <v>0</v>
      </c>
      <c r="AD34" s="1419">
        <v>0</v>
      </c>
      <c r="AE34" s="1419">
        <v>0</v>
      </c>
      <c r="AF34" s="1420">
        <v>0</v>
      </c>
      <c r="AG34" s="1106"/>
      <c r="AH34" s="1106"/>
    </row>
    <row r="35" spans="1:34" ht="15">
      <c r="A35" s="1963" t="s">
        <v>2077</v>
      </c>
      <c r="B35" s="1419">
        <v>0</v>
      </c>
      <c r="C35" s="1419">
        <v>0</v>
      </c>
      <c r="D35" s="1419">
        <v>0</v>
      </c>
      <c r="E35" s="1413"/>
      <c r="F35" s="1419">
        <v>0</v>
      </c>
      <c r="G35" s="1419">
        <v>0</v>
      </c>
      <c r="H35" s="1419">
        <v>0</v>
      </c>
      <c r="I35" s="1960">
        <v>0</v>
      </c>
      <c r="J35" s="1419">
        <v>0</v>
      </c>
      <c r="K35" s="1419">
        <v>0</v>
      </c>
      <c r="L35" s="1419">
        <v>0</v>
      </c>
      <c r="M35" s="1419">
        <v>0</v>
      </c>
      <c r="N35" s="1960">
        <v>0</v>
      </c>
      <c r="O35" s="1960">
        <v>0</v>
      </c>
      <c r="P35" s="1419">
        <v>0</v>
      </c>
      <c r="Q35" s="1419">
        <v>0</v>
      </c>
      <c r="R35" s="1419">
        <v>0</v>
      </c>
      <c r="S35" s="1419"/>
      <c r="T35" s="1419">
        <v>0</v>
      </c>
      <c r="U35" s="1419">
        <v>0</v>
      </c>
      <c r="V35" s="1419">
        <v>0</v>
      </c>
      <c r="W35" s="1419">
        <v>0</v>
      </c>
      <c r="X35" s="1419">
        <v>0</v>
      </c>
      <c r="Y35" s="1419">
        <v>0</v>
      </c>
      <c r="Z35" s="1419">
        <v>0</v>
      </c>
      <c r="AA35" s="1419">
        <v>0</v>
      </c>
      <c r="AB35" s="1419">
        <v>0</v>
      </c>
      <c r="AC35" s="1419">
        <v>0</v>
      </c>
      <c r="AD35" s="1419">
        <v>0</v>
      </c>
      <c r="AE35" s="1419">
        <v>0</v>
      </c>
      <c r="AF35" s="1420">
        <v>0</v>
      </c>
      <c r="AG35" s="1106"/>
      <c r="AH35" s="1106"/>
    </row>
    <row r="36" spans="1:34" ht="15">
      <c r="A36" s="1963" t="s">
        <v>2078</v>
      </c>
      <c r="B36" s="1419">
        <v>0</v>
      </c>
      <c r="C36" s="1419">
        <v>498</v>
      </c>
      <c r="D36" s="1419">
        <v>1114</v>
      </c>
      <c r="E36" s="1413"/>
      <c r="F36" s="1419">
        <v>0</v>
      </c>
      <c r="G36" s="1419">
        <v>0</v>
      </c>
      <c r="H36" s="1419">
        <v>0</v>
      </c>
      <c r="I36" s="1960">
        <v>0</v>
      </c>
      <c r="J36" s="1419">
        <v>0</v>
      </c>
      <c r="K36" s="1419">
        <v>0</v>
      </c>
      <c r="L36" s="1419">
        <v>0</v>
      </c>
      <c r="M36" s="1419">
        <v>0</v>
      </c>
      <c r="N36" s="1960">
        <v>0</v>
      </c>
      <c r="O36" s="1960">
        <v>0</v>
      </c>
      <c r="P36" s="1419">
        <v>0</v>
      </c>
      <c r="Q36" s="1419">
        <v>0</v>
      </c>
      <c r="R36" s="1419">
        <v>0</v>
      </c>
      <c r="S36" s="1419"/>
      <c r="T36" s="1419">
        <v>0</v>
      </c>
      <c r="U36" s="1419">
        <v>0</v>
      </c>
      <c r="V36" s="1419">
        <v>0</v>
      </c>
      <c r="W36" s="1419">
        <v>0</v>
      </c>
      <c r="X36" s="1419">
        <v>0</v>
      </c>
      <c r="Y36" s="1419">
        <v>24</v>
      </c>
      <c r="Z36" s="1419">
        <v>186</v>
      </c>
      <c r="AA36" s="1419">
        <v>114</v>
      </c>
      <c r="AB36" s="1419">
        <v>0</v>
      </c>
      <c r="AC36" s="1419">
        <v>6</v>
      </c>
      <c r="AD36" s="1419">
        <v>24</v>
      </c>
      <c r="AE36" s="1419">
        <v>0</v>
      </c>
      <c r="AF36" s="1420">
        <v>1966</v>
      </c>
      <c r="AG36" s="1106"/>
      <c r="AH36" s="1106"/>
    </row>
    <row r="37" spans="1:34" ht="15">
      <c r="A37" s="1963" t="s">
        <v>2079</v>
      </c>
      <c r="B37" s="1419">
        <v>0</v>
      </c>
      <c r="C37" s="1419">
        <v>0</v>
      </c>
      <c r="D37" s="1419">
        <v>0</v>
      </c>
      <c r="E37" s="1413"/>
      <c r="F37" s="1419">
        <v>0</v>
      </c>
      <c r="G37" s="1419">
        <v>0</v>
      </c>
      <c r="H37" s="1419">
        <v>0</v>
      </c>
      <c r="I37" s="1960">
        <v>0</v>
      </c>
      <c r="J37" s="1419">
        <v>0</v>
      </c>
      <c r="K37" s="1419">
        <v>0</v>
      </c>
      <c r="L37" s="1419">
        <v>0</v>
      </c>
      <c r="M37" s="1419">
        <v>0</v>
      </c>
      <c r="N37" s="1960">
        <v>0</v>
      </c>
      <c r="O37" s="1960">
        <v>0</v>
      </c>
      <c r="P37" s="1419">
        <v>0</v>
      </c>
      <c r="Q37" s="1419">
        <v>0</v>
      </c>
      <c r="R37" s="1419">
        <v>0</v>
      </c>
      <c r="S37" s="1419"/>
      <c r="T37" s="1419">
        <v>0</v>
      </c>
      <c r="U37" s="1419">
        <v>0</v>
      </c>
      <c r="V37" s="1419">
        <v>0</v>
      </c>
      <c r="W37" s="1419">
        <v>0</v>
      </c>
      <c r="X37" s="1419">
        <v>0</v>
      </c>
      <c r="Y37" s="1419">
        <v>0</v>
      </c>
      <c r="Z37" s="1419">
        <v>0</v>
      </c>
      <c r="AA37" s="1419">
        <v>0</v>
      </c>
      <c r="AB37" s="1419">
        <v>0</v>
      </c>
      <c r="AC37" s="1419">
        <v>0</v>
      </c>
      <c r="AD37" s="1419">
        <v>0</v>
      </c>
      <c r="AE37" s="1419">
        <v>0</v>
      </c>
      <c r="AF37" s="1420">
        <v>0</v>
      </c>
      <c r="AG37" s="1106"/>
      <c r="AH37" s="1106"/>
    </row>
    <row r="38" spans="1:34" ht="15">
      <c r="A38" s="1418" t="s">
        <v>2080</v>
      </c>
      <c r="B38" s="1419">
        <v>0</v>
      </c>
      <c r="C38" s="1419">
        <v>4150</v>
      </c>
      <c r="D38" s="1419">
        <v>16632</v>
      </c>
      <c r="E38" s="1413"/>
      <c r="F38" s="1419">
        <v>9504</v>
      </c>
      <c r="G38" s="1419">
        <v>8280</v>
      </c>
      <c r="H38" s="1419">
        <v>8970</v>
      </c>
      <c r="I38" s="1960">
        <v>3000</v>
      </c>
      <c r="J38" s="1419">
        <v>18122</v>
      </c>
      <c r="K38" s="1419">
        <v>4860</v>
      </c>
      <c r="L38" s="1419">
        <v>4424</v>
      </c>
      <c r="M38" s="1419">
        <v>1260</v>
      </c>
      <c r="N38" s="1960">
        <v>462</v>
      </c>
      <c r="O38" s="1960">
        <v>1554</v>
      </c>
      <c r="P38" s="1419">
        <v>682</v>
      </c>
      <c r="Q38" s="1419">
        <v>480</v>
      </c>
      <c r="R38" s="1419">
        <v>576</v>
      </c>
      <c r="S38" s="1419"/>
      <c r="T38" s="1419">
        <v>0</v>
      </c>
      <c r="U38" s="1419">
        <v>0</v>
      </c>
      <c r="V38" s="1419">
        <v>0</v>
      </c>
      <c r="W38" s="1419">
        <v>704</v>
      </c>
      <c r="X38" s="1419">
        <v>1208</v>
      </c>
      <c r="Y38" s="1419">
        <v>260</v>
      </c>
      <c r="Z38" s="1419">
        <v>1798</v>
      </c>
      <c r="AA38" s="1419">
        <v>874</v>
      </c>
      <c r="AB38" s="1419">
        <v>100</v>
      </c>
      <c r="AC38" s="1419">
        <v>44</v>
      </c>
      <c r="AD38" s="1419">
        <v>200</v>
      </c>
      <c r="AE38" s="1419">
        <v>1012</v>
      </c>
      <c r="AF38" s="1420">
        <v>89156</v>
      </c>
      <c r="AG38" s="1106"/>
      <c r="AH38" s="1106"/>
    </row>
    <row r="39" spans="1:34" ht="15">
      <c r="A39" s="1418" t="s">
        <v>2081</v>
      </c>
      <c r="B39" s="1419">
        <v>0</v>
      </c>
      <c r="C39" s="1419">
        <v>0</v>
      </c>
      <c r="D39" s="1419">
        <v>0</v>
      </c>
      <c r="E39" s="1413"/>
      <c r="F39" s="1419">
        <v>0</v>
      </c>
      <c r="G39" s="1419">
        <v>0</v>
      </c>
      <c r="H39" s="1419">
        <v>0</v>
      </c>
      <c r="I39" s="1960">
        <v>0</v>
      </c>
      <c r="J39" s="1419">
        <v>0</v>
      </c>
      <c r="K39" s="1419">
        <v>0</v>
      </c>
      <c r="L39" s="1419">
        <v>0</v>
      </c>
      <c r="M39" s="1419">
        <v>0</v>
      </c>
      <c r="N39" s="1960">
        <v>0</v>
      </c>
      <c r="O39" s="1960">
        <v>0</v>
      </c>
      <c r="P39" s="1419">
        <v>0</v>
      </c>
      <c r="Q39" s="1419">
        <v>0</v>
      </c>
      <c r="R39" s="1419">
        <v>0</v>
      </c>
      <c r="S39" s="1419"/>
      <c r="T39" s="1419">
        <v>0</v>
      </c>
      <c r="U39" s="1419">
        <v>0</v>
      </c>
      <c r="V39" s="1419">
        <v>0</v>
      </c>
      <c r="W39" s="1419">
        <v>0</v>
      </c>
      <c r="X39" s="1419">
        <v>0</v>
      </c>
      <c r="Y39" s="1419">
        <v>0</v>
      </c>
      <c r="Z39" s="1419">
        <v>0</v>
      </c>
      <c r="AA39" s="1419">
        <v>5700</v>
      </c>
      <c r="AB39" s="1419">
        <v>0</v>
      </c>
      <c r="AC39" s="1419">
        <v>500</v>
      </c>
      <c r="AD39" s="1419">
        <v>2000</v>
      </c>
      <c r="AE39" s="1419">
        <v>0</v>
      </c>
      <c r="AF39" s="1420">
        <v>8200</v>
      </c>
      <c r="AG39" s="1106"/>
      <c r="AH39" s="1106"/>
    </row>
    <row r="40" spans="1:34" ht="15">
      <c r="A40" s="1418" t="s">
        <v>2082</v>
      </c>
      <c r="B40" s="1419">
        <v>0</v>
      </c>
      <c r="C40" s="1419">
        <v>0</v>
      </c>
      <c r="D40" s="1419">
        <v>0</v>
      </c>
      <c r="E40" s="1413"/>
      <c r="F40" s="1419">
        <v>0</v>
      </c>
      <c r="G40" s="1419">
        <v>0</v>
      </c>
      <c r="H40" s="1419">
        <v>0</v>
      </c>
      <c r="I40" s="1960">
        <v>0</v>
      </c>
      <c r="J40" s="1419">
        <v>190</v>
      </c>
      <c r="K40" s="1419">
        <v>0</v>
      </c>
      <c r="L40" s="1419">
        <v>0</v>
      </c>
      <c r="M40" s="1419">
        <v>0</v>
      </c>
      <c r="N40" s="1960">
        <v>0</v>
      </c>
      <c r="O40" s="1960">
        <v>0</v>
      </c>
      <c r="P40" s="1419">
        <v>0</v>
      </c>
      <c r="Q40" s="1419">
        <v>0</v>
      </c>
      <c r="R40" s="1419">
        <v>0</v>
      </c>
      <c r="S40" s="1419"/>
      <c r="T40" s="1419">
        <v>0</v>
      </c>
      <c r="U40" s="1419">
        <v>0</v>
      </c>
      <c r="V40" s="1419">
        <v>0</v>
      </c>
      <c r="W40" s="1419">
        <v>0</v>
      </c>
      <c r="X40" s="1419">
        <v>0</v>
      </c>
      <c r="Y40" s="1419">
        <v>0</v>
      </c>
      <c r="Z40" s="1419">
        <v>0</v>
      </c>
      <c r="AA40" s="1419">
        <v>0</v>
      </c>
      <c r="AB40" s="1419">
        <v>0</v>
      </c>
      <c r="AC40" s="1419">
        <v>0</v>
      </c>
      <c r="AD40" s="1419">
        <v>0</v>
      </c>
      <c r="AE40" s="1419">
        <v>0</v>
      </c>
      <c r="AF40" s="1420">
        <v>190</v>
      </c>
      <c r="AG40" s="1106"/>
      <c r="AH40" s="1106"/>
    </row>
    <row r="41" spans="1:34" ht="15">
      <c r="A41" s="1418"/>
      <c r="B41" s="1419">
        <v>0</v>
      </c>
      <c r="C41" s="1419">
        <v>0</v>
      </c>
      <c r="D41" s="1419">
        <v>0</v>
      </c>
      <c r="E41" s="1413"/>
      <c r="F41" s="1419">
        <v>0</v>
      </c>
      <c r="G41" s="1419">
        <v>0</v>
      </c>
      <c r="H41" s="1419">
        <v>0</v>
      </c>
      <c r="I41" s="1960">
        <v>0</v>
      </c>
      <c r="J41" s="1419">
        <v>0</v>
      </c>
      <c r="K41" s="1419">
        <v>0</v>
      </c>
      <c r="L41" s="1419">
        <v>0</v>
      </c>
      <c r="M41" s="1419">
        <v>0</v>
      </c>
      <c r="N41" s="1960">
        <v>0</v>
      </c>
      <c r="O41" s="1960">
        <v>0</v>
      </c>
      <c r="P41" s="1419">
        <v>0</v>
      </c>
      <c r="Q41" s="1419">
        <v>0</v>
      </c>
      <c r="R41" s="1419">
        <v>0</v>
      </c>
      <c r="S41" s="1419"/>
      <c r="T41" s="1419">
        <v>0</v>
      </c>
      <c r="U41" s="1419">
        <v>0</v>
      </c>
      <c r="V41" s="1419">
        <v>0</v>
      </c>
      <c r="W41" s="1419">
        <v>0</v>
      </c>
      <c r="X41" s="1419">
        <v>0</v>
      </c>
      <c r="Y41" s="1419">
        <v>0</v>
      </c>
      <c r="Z41" s="1419">
        <v>0</v>
      </c>
      <c r="AA41" s="1419">
        <v>0</v>
      </c>
      <c r="AB41" s="1419">
        <v>0</v>
      </c>
      <c r="AC41" s="1419">
        <v>0</v>
      </c>
      <c r="AD41" s="1419">
        <v>0</v>
      </c>
      <c r="AE41" s="1419">
        <v>0</v>
      </c>
      <c r="AF41" s="1420">
        <v>0</v>
      </c>
      <c r="AG41" s="1106"/>
      <c r="AH41" s="1106"/>
    </row>
    <row r="42" spans="1:34" ht="15">
      <c r="A42" s="1418"/>
      <c r="B42" s="1419">
        <v>0</v>
      </c>
      <c r="C42" s="1419">
        <v>0</v>
      </c>
      <c r="D42" s="1419">
        <v>0</v>
      </c>
      <c r="E42" s="1413"/>
      <c r="F42" s="1419">
        <v>0</v>
      </c>
      <c r="G42" s="1419">
        <v>0</v>
      </c>
      <c r="H42" s="1419">
        <v>0</v>
      </c>
      <c r="I42" s="1960">
        <v>0</v>
      </c>
      <c r="J42" s="1419">
        <v>0</v>
      </c>
      <c r="K42" s="1419">
        <v>0</v>
      </c>
      <c r="L42" s="1419">
        <v>0</v>
      </c>
      <c r="M42" s="1419">
        <v>0</v>
      </c>
      <c r="N42" s="1960">
        <v>0</v>
      </c>
      <c r="O42" s="1960">
        <v>0</v>
      </c>
      <c r="P42" s="1419">
        <v>0</v>
      </c>
      <c r="Q42" s="1419">
        <v>0</v>
      </c>
      <c r="R42" s="1419">
        <v>0</v>
      </c>
      <c r="S42" s="1419"/>
      <c r="T42" s="1419">
        <v>0</v>
      </c>
      <c r="U42" s="1419">
        <v>0</v>
      </c>
      <c r="V42" s="1419">
        <v>0</v>
      </c>
      <c r="W42" s="1419">
        <v>0</v>
      </c>
      <c r="X42" s="1419">
        <v>0</v>
      </c>
      <c r="Y42" s="1419">
        <v>0</v>
      </c>
      <c r="Z42" s="1419">
        <v>0</v>
      </c>
      <c r="AA42" s="1419">
        <v>0</v>
      </c>
      <c r="AB42" s="1419">
        <v>0</v>
      </c>
      <c r="AC42" s="1419">
        <v>0</v>
      </c>
      <c r="AD42" s="1419">
        <v>0</v>
      </c>
      <c r="AE42" s="1419">
        <v>0</v>
      </c>
      <c r="AF42" s="1420">
        <v>0</v>
      </c>
      <c r="AG42" s="1106"/>
      <c r="AH42" s="1106"/>
    </row>
    <row r="43" spans="1:34" ht="15">
      <c r="A43" s="1418"/>
      <c r="B43" s="1419">
        <v>0</v>
      </c>
      <c r="C43" s="1419">
        <v>0</v>
      </c>
      <c r="D43" s="1419">
        <v>0</v>
      </c>
      <c r="E43" s="1413"/>
      <c r="F43" s="1419">
        <v>0</v>
      </c>
      <c r="G43" s="1419">
        <v>0</v>
      </c>
      <c r="H43" s="1419">
        <v>0</v>
      </c>
      <c r="I43" s="1960">
        <v>0</v>
      </c>
      <c r="J43" s="1419">
        <v>0</v>
      </c>
      <c r="K43" s="1419">
        <v>0</v>
      </c>
      <c r="L43" s="1419">
        <v>0</v>
      </c>
      <c r="M43" s="1419">
        <v>0</v>
      </c>
      <c r="N43" s="1960">
        <v>0</v>
      </c>
      <c r="O43" s="1960">
        <v>0</v>
      </c>
      <c r="P43" s="1419">
        <v>0</v>
      </c>
      <c r="Q43" s="1419">
        <v>0</v>
      </c>
      <c r="R43" s="1419">
        <v>0</v>
      </c>
      <c r="S43" s="1419"/>
      <c r="T43" s="1419">
        <v>0</v>
      </c>
      <c r="U43" s="1419">
        <v>0</v>
      </c>
      <c r="V43" s="1419">
        <v>0</v>
      </c>
      <c r="W43" s="1419">
        <v>0</v>
      </c>
      <c r="X43" s="1419">
        <v>0</v>
      </c>
      <c r="Y43" s="1419">
        <v>0</v>
      </c>
      <c r="Z43" s="1419">
        <v>0</v>
      </c>
      <c r="AA43" s="1419">
        <v>0</v>
      </c>
      <c r="AB43" s="1419">
        <v>0</v>
      </c>
      <c r="AC43" s="1419">
        <v>0</v>
      </c>
      <c r="AD43" s="1419">
        <v>0</v>
      </c>
      <c r="AE43" s="1419">
        <v>0</v>
      </c>
      <c r="AF43" s="1420">
        <v>0</v>
      </c>
      <c r="AG43" s="1106"/>
      <c r="AH43" s="1106"/>
    </row>
    <row r="44" spans="1:34" ht="15">
      <c r="A44" s="1418"/>
      <c r="B44" s="1419">
        <v>0</v>
      </c>
      <c r="C44" s="1419">
        <v>0</v>
      </c>
      <c r="D44" s="1419">
        <v>0</v>
      </c>
      <c r="E44" s="1413"/>
      <c r="F44" s="1419">
        <v>0</v>
      </c>
      <c r="G44" s="1419">
        <v>0</v>
      </c>
      <c r="H44" s="1419">
        <v>0</v>
      </c>
      <c r="I44" s="1960">
        <v>0</v>
      </c>
      <c r="J44" s="1419">
        <v>0</v>
      </c>
      <c r="K44" s="1419">
        <v>0</v>
      </c>
      <c r="L44" s="1419">
        <v>0</v>
      </c>
      <c r="M44" s="1419">
        <v>0</v>
      </c>
      <c r="N44" s="1960">
        <v>0</v>
      </c>
      <c r="O44" s="1960">
        <v>0</v>
      </c>
      <c r="P44" s="1419">
        <v>0</v>
      </c>
      <c r="Q44" s="1419">
        <v>0</v>
      </c>
      <c r="R44" s="1419">
        <v>0</v>
      </c>
      <c r="S44" s="1419"/>
      <c r="T44" s="1419">
        <v>0</v>
      </c>
      <c r="U44" s="1419">
        <v>0</v>
      </c>
      <c r="V44" s="1419">
        <v>0</v>
      </c>
      <c r="W44" s="1419">
        <v>0</v>
      </c>
      <c r="X44" s="1419">
        <v>0</v>
      </c>
      <c r="Y44" s="1419">
        <v>0</v>
      </c>
      <c r="Z44" s="1419">
        <v>0</v>
      </c>
      <c r="AA44" s="1419">
        <v>0</v>
      </c>
      <c r="AB44" s="1419">
        <v>0</v>
      </c>
      <c r="AC44" s="1419">
        <v>0</v>
      </c>
      <c r="AD44" s="1419">
        <v>0</v>
      </c>
      <c r="AE44" s="1419">
        <v>0</v>
      </c>
      <c r="AF44" s="1420">
        <v>0</v>
      </c>
      <c r="AG44" s="1106"/>
      <c r="AH44" s="1106"/>
    </row>
    <row r="45" spans="1:34" ht="15">
      <c r="A45" s="1418"/>
      <c r="B45" s="1419">
        <v>0</v>
      </c>
      <c r="C45" s="1419">
        <v>0</v>
      </c>
      <c r="D45" s="1419">
        <v>0</v>
      </c>
      <c r="E45" s="1413"/>
      <c r="F45" s="1419">
        <v>0</v>
      </c>
      <c r="G45" s="1419">
        <v>0</v>
      </c>
      <c r="H45" s="1419">
        <v>0</v>
      </c>
      <c r="I45" s="1960">
        <v>0</v>
      </c>
      <c r="J45" s="1419">
        <v>0</v>
      </c>
      <c r="K45" s="1419">
        <v>0</v>
      </c>
      <c r="L45" s="1419">
        <v>0</v>
      </c>
      <c r="M45" s="1419">
        <v>0</v>
      </c>
      <c r="N45" s="1960">
        <v>0</v>
      </c>
      <c r="O45" s="1960">
        <v>0</v>
      </c>
      <c r="P45" s="1419">
        <v>0</v>
      </c>
      <c r="Q45" s="1419">
        <v>0</v>
      </c>
      <c r="R45" s="1419">
        <v>0</v>
      </c>
      <c r="S45" s="1419"/>
      <c r="T45" s="1419">
        <v>0</v>
      </c>
      <c r="U45" s="1419">
        <v>0</v>
      </c>
      <c r="V45" s="1419">
        <v>0</v>
      </c>
      <c r="W45" s="1419">
        <v>0</v>
      </c>
      <c r="X45" s="1419">
        <v>0</v>
      </c>
      <c r="Y45" s="1419">
        <v>0</v>
      </c>
      <c r="Z45" s="1419">
        <v>0</v>
      </c>
      <c r="AA45" s="1419">
        <v>0</v>
      </c>
      <c r="AB45" s="1419">
        <v>0</v>
      </c>
      <c r="AC45" s="1419">
        <v>0</v>
      </c>
      <c r="AD45" s="1419">
        <v>0</v>
      </c>
      <c r="AE45" s="1419">
        <v>0</v>
      </c>
      <c r="AF45" s="1420">
        <v>0</v>
      </c>
      <c r="AG45" s="1106"/>
      <c r="AH45" s="1106"/>
    </row>
    <row r="46" spans="1:34" ht="15">
      <c r="A46" s="1418"/>
      <c r="B46" s="1419">
        <v>0</v>
      </c>
      <c r="C46" s="1419">
        <v>0</v>
      </c>
      <c r="D46" s="1419">
        <v>0</v>
      </c>
      <c r="E46" s="1413"/>
      <c r="F46" s="1419">
        <v>0</v>
      </c>
      <c r="G46" s="1419">
        <v>0</v>
      </c>
      <c r="H46" s="1419">
        <v>0</v>
      </c>
      <c r="I46" s="1960">
        <v>0</v>
      </c>
      <c r="J46" s="1419">
        <v>0</v>
      </c>
      <c r="K46" s="1419">
        <v>0</v>
      </c>
      <c r="L46" s="1419">
        <v>0</v>
      </c>
      <c r="M46" s="1419">
        <v>0</v>
      </c>
      <c r="N46" s="1960">
        <v>0</v>
      </c>
      <c r="O46" s="1960">
        <v>0</v>
      </c>
      <c r="P46" s="1419">
        <v>0</v>
      </c>
      <c r="Q46" s="1419">
        <v>0</v>
      </c>
      <c r="R46" s="1419">
        <v>0</v>
      </c>
      <c r="S46" s="1419"/>
      <c r="T46" s="1419">
        <v>0</v>
      </c>
      <c r="U46" s="1419">
        <v>0</v>
      </c>
      <c r="V46" s="1419">
        <v>0</v>
      </c>
      <c r="W46" s="1419">
        <v>0</v>
      </c>
      <c r="X46" s="1419">
        <v>0</v>
      </c>
      <c r="Y46" s="1419">
        <v>0</v>
      </c>
      <c r="Z46" s="1419">
        <v>0</v>
      </c>
      <c r="AA46" s="1419">
        <v>0</v>
      </c>
      <c r="AB46" s="1419">
        <v>0</v>
      </c>
      <c r="AC46" s="1419">
        <v>0</v>
      </c>
      <c r="AD46" s="1419">
        <v>0</v>
      </c>
      <c r="AE46" s="1419">
        <v>0</v>
      </c>
      <c r="AF46" s="1420">
        <v>0</v>
      </c>
      <c r="AG46" s="1106"/>
      <c r="AH46" s="1106"/>
    </row>
    <row r="47" spans="1:34" ht="15">
      <c r="A47" s="1418"/>
      <c r="B47" s="1419"/>
      <c r="C47" s="1419"/>
      <c r="D47" s="1419"/>
      <c r="E47" s="1413"/>
      <c r="F47" s="1419"/>
      <c r="G47" s="1419"/>
      <c r="H47" s="1419"/>
      <c r="I47" s="1960">
        <v>0</v>
      </c>
      <c r="J47" s="1419"/>
      <c r="K47" s="1419"/>
      <c r="L47" s="1419"/>
      <c r="M47" s="1419"/>
      <c r="N47" s="1960"/>
      <c r="O47" s="1960"/>
      <c r="P47" s="1419"/>
      <c r="Q47" s="1419"/>
      <c r="R47" s="1419"/>
      <c r="S47" s="1419"/>
      <c r="T47" s="1419"/>
      <c r="U47" s="1419"/>
      <c r="V47" s="1419"/>
      <c r="W47" s="1419">
        <v>0</v>
      </c>
      <c r="X47" s="1419">
        <v>0</v>
      </c>
      <c r="Y47" s="1419">
        <v>0</v>
      </c>
      <c r="Z47" s="1419">
        <v>0</v>
      </c>
      <c r="AA47" s="1419">
        <v>0</v>
      </c>
      <c r="AB47" s="1419">
        <v>0</v>
      </c>
      <c r="AC47" s="1419">
        <v>0</v>
      </c>
      <c r="AD47" s="1419">
        <v>0</v>
      </c>
      <c r="AE47" s="1419">
        <v>0</v>
      </c>
      <c r="AF47" s="1420">
        <v>0</v>
      </c>
      <c r="AG47" s="1106"/>
      <c r="AH47" s="1106"/>
    </row>
    <row r="48" spans="1:34" ht="15">
      <c r="A48" s="1418"/>
      <c r="B48" s="1419"/>
      <c r="C48" s="1419"/>
      <c r="D48" s="1419"/>
      <c r="E48" s="1413"/>
      <c r="F48" s="1419"/>
      <c r="G48" s="1419"/>
      <c r="H48" s="1419"/>
      <c r="I48" s="1960">
        <v>0</v>
      </c>
      <c r="J48" s="1419"/>
      <c r="K48" s="1419"/>
      <c r="L48" s="1419"/>
      <c r="M48" s="1419"/>
      <c r="N48" s="1960"/>
      <c r="O48" s="1960"/>
      <c r="P48" s="1419"/>
      <c r="Q48" s="1419"/>
      <c r="R48" s="1419"/>
      <c r="S48" s="1419"/>
      <c r="T48" s="1419"/>
      <c r="U48" s="1419"/>
      <c r="V48" s="1419"/>
      <c r="W48" s="1419">
        <v>0</v>
      </c>
      <c r="X48" s="1419">
        <v>0</v>
      </c>
      <c r="Y48" s="1419">
        <v>0</v>
      </c>
      <c r="Z48" s="1419">
        <v>0</v>
      </c>
      <c r="AA48" s="1419">
        <v>0</v>
      </c>
      <c r="AB48" s="1419">
        <v>0</v>
      </c>
      <c r="AC48" s="1419">
        <v>0</v>
      </c>
      <c r="AD48" s="1419">
        <v>0</v>
      </c>
      <c r="AE48" s="1419">
        <v>0</v>
      </c>
      <c r="AF48" s="1420">
        <v>0</v>
      </c>
      <c r="AG48" s="1106"/>
      <c r="AH48" s="1106"/>
    </row>
    <row r="49" spans="1:34" s="1" customFormat="1" ht="16.149999999999999" thickBot="1">
      <c r="A49" s="1422"/>
      <c r="B49" s="1423">
        <v>0</v>
      </c>
      <c r="C49" s="1423">
        <v>166124.5</v>
      </c>
      <c r="D49" s="1423">
        <v>595748.5</v>
      </c>
      <c r="E49" s="1423">
        <v>0</v>
      </c>
      <c r="F49" s="1423">
        <v>396198</v>
      </c>
      <c r="G49" s="1423">
        <v>460690</v>
      </c>
      <c r="H49" s="1423">
        <v>598299</v>
      </c>
      <c r="I49" s="1964">
        <v>59925</v>
      </c>
      <c r="J49" s="1423">
        <v>1066456.5</v>
      </c>
      <c r="K49" s="1423">
        <v>269932.5</v>
      </c>
      <c r="L49" s="1423">
        <v>158118.5</v>
      </c>
      <c r="M49" s="1423">
        <v>41989.5</v>
      </c>
      <c r="N49" s="1964">
        <v>21994.5</v>
      </c>
      <c r="O49" s="1964">
        <v>74055.5</v>
      </c>
      <c r="P49" s="1423">
        <v>22038.5</v>
      </c>
      <c r="Q49" s="1423">
        <v>20015</v>
      </c>
      <c r="R49" s="1423">
        <v>31992</v>
      </c>
      <c r="S49" s="1423">
        <v>0</v>
      </c>
      <c r="T49" s="1423">
        <v>0</v>
      </c>
      <c r="U49" s="1423">
        <v>0</v>
      </c>
      <c r="V49" s="1423">
        <v>0</v>
      </c>
      <c r="W49" s="1423">
        <v>43989</v>
      </c>
      <c r="X49" s="1423">
        <v>59993</v>
      </c>
      <c r="Y49" s="1423">
        <v>9991.5</v>
      </c>
      <c r="Z49" s="1423">
        <v>62002.5</v>
      </c>
      <c r="AA49" s="1423">
        <v>37990.5</v>
      </c>
      <c r="AB49" s="1423">
        <v>4003</v>
      </c>
      <c r="AC49" s="1423">
        <v>2000.5</v>
      </c>
      <c r="AD49" s="1423">
        <v>7998</v>
      </c>
      <c r="AE49" s="1423">
        <v>45988.5</v>
      </c>
      <c r="AF49" s="1424">
        <v>4257534</v>
      </c>
      <c r="AG49" s="1109"/>
      <c r="AH49" s="1104"/>
    </row>
    <row r="50" spans="1:34" ht="15">
      <c r="A50" s="1413"/>
      <c r="B50" s="1419"/>
      <c r="C50" s="1425"/>
      <c r="D50" s="1425"/>
      <c r="E50" s="1425"/>
      <c r="F50" s="1425"/>
      <c r="G50" s="1425"/>
      <c r="H50" s="1425"/>
      <c r="I50" s="1965"/>
      <c r="J50" s="1425"/>
      <c r="K50" s="1425"/>
      <c r="L50" s="1425"/>
      <c r="M50" s="1425"/>
      <c r="N50" s="1965"/>
      <c r="O50" s="1965"/>
      <c r="P50" s="1425"/>
      <c r="Q50" s="1425"/>
      <c r="R50" s="1425"/>
      <c r="S50" s="1425"/>
      <c r="T50" s="1425"/>
      <c r="U50" s="1425"/>
      <c r="V50" s="1425"/>
      <c r="W50" s="1425"/>
      <c r="X50" s="1425"/>
      <c r="Y50" s="1425"/>
      <c r="Z50" s="1425"/>
      <c r="AA50" s="1425"/>
      <c r="AB50" s="1425"/>
      <c r="AC50" s="1425"/>
      <c r="AD50" s="1425"/>
      <c r="AE50" s="1425"/>
      <c r="AF50" s="1426"/>
      <c r="AG50" s="1105"/>
      <c r="AH50" s="1106"/>
    </row>
    <row r="51" spans="1:34" ht="15">
      <c r="A51" s="1418" t="s">
        <v>159</v>
      </c>
      <c r="B51" s="1427">
        <v>0</v>
      </c>
      <c r="C51" s="1427">
        <v>25339.47006</v>
      </c>
      <c r="D51" s="1427">
        <v>139511.64546</v>
      </c>
      <c r="E51" s="1428"/>
      <c r="F51" s="1427">
        <v>87403.278600000005</v>
      </c>
      <c r="G51" s="1427">
        <v>99668.986600000004</v>
      </c>
      <c r="H51" s="1427">
        <v>128159.12616</v>
      </c>
      <c r="I51" s="1966">
        <v>11281.7556</v>
      </c>
      <c r="J51" s="1427">
        <v>233127.30298000001</v>
      </c>
      <c r="K51" s="1427">
        <v>48038.443200000002</v>
      </c>
      <c r="L51" s="1427">
        <v>33329.028760000001</v>
      </c>
      <c r="M51" s="1427">
        <v>8675.6296199999997</v>
      </c>
      <c r="N51" s="1966">
        <v>3825.2834399999997</v>
      </c>
      <c r="O51" s="1966">
        <v>14088.715699999999</v>
      </c>
      <c r="P51" s="1427">
        <v>4410.9372999999996</v>
      </c>
      <c r="Q51" s="1427">
        <v>3801.0216</v>
      </c>
      <c r="R51" s="1427">
        <v>5715.0111999999999</v>
      </c>
      <c r="S51" s="1427"/>
      <c r="T51" s="1427">
        <v>0</v>
      </c>
      <c r="U51" s="1427">
        <v>0</v>
      </c>
      <c r="V51" s="1427">
        <v>0</v>
      </c>
      <c r="W51" s="1427">
        <v>7250.2465199999997</v>
      </c>
      <c r="X51" s="1427">
        <v>10695.427799999999</v>
      </c>
      <c r="Y51" s="1427">
        <v>1088.4131</v>
      </c>
      <c r="Z51" s="1427">
        <v>6664.5926600000003</v>
      </c>
      <c r="AA51" s="1427">
        <v>5877.4307399999998</v>
      </c>
      <c r="AB51" s="1427">
        <v>823.55467999999996</v>
      </c>
      <c r="AC51" s="1427">
        <v>237.90081999999998</v>
      </c>
      <c r="AD51" s="1427">
        <v>956.99479999999994</v>
      </c>
      <c r="AE51" s="1427">
        <v>8106.8242599999994</v>
      </c>
      <c r="AF51" s="1967">
        <v>888077.02165999974</v>
      </c>
      <c r="AG51" s="1107"/>
      <c r="AH51" s="1108"/>
    </row>
    <row r="52" spans="1:34" ht="15">
      <c r="A52" s="1418" t="s">
        <v>2046</v>
      </c>
      <c r="B52" s="1427">
        <v>0</v>
      </c>
      <c r="C52" s="1427">
        <v>0</v>
      </c>
      <c r="D52" s="1427">
        <v>0</v>
      </c>
      <c r="E52" s="1428"/>
      <c r="F52" s="1427">
        <v>0</v>
      </c>
      <c r="G52" s="1427">
        <v>0</v>
      </c>
      <c r="H52" s="1427">
        <v>0</v>
      </c>
      <c r="I52" s="1966">
        <v>0</v>
      </c>
      <c r="J52" s="1427">
        <v>0</v>
      </c>
      <c r="K52" s="1427">
        <v>0</v>
      </c>
      <c r="L52" s="1427">
        <v>0</v>
      </c>
      <c r="M52" s="1427">
        <v>0</v>
      </c>
      <c r="N52" s="1966">
        <v>0</v>
      </c>
      <c r="O52" s="1966">
        <v>0</v>
      </c>
      <c r="P52" s="1427">
        <v>0</v>
      </c>
      <c r="Q52" s="1427">
        <v>0</v>
      </c>
      <c r="R52" s="1427">
        <v>0</v>
      </c>
      <c r="S52" s="1801"/>
      <c r="T52" s="1427">
        <v>0</v>
      </c>
      <c r="U52" s="1427">
        <v>0</v>
      </c>
      <c r="V52" s="1427">
        <v>0</v>
      </c>
      <c r="W52" s="1427">
        <v>0</v>
      </c>
      <c r="X52" s="1427">
        <v>0</v>
      </c>
      <c r="Y52" s="1427">
        <v>0</v>
      </c>
      <c r="Z52" s="1427">
        <v>0</v>
      </c>
      <c r="AA52" s="1427">
        <v>0</v>
      </c>
      <c r="AB52" s="1427">
        <v>0</v>
      </c>
      <c r="AC52" s="1427">
        <v>0</v>
      </c>
      <c r="AD52" s="1427">
        <v>0</v>
      </c>
      <c r="AE52" s="1427">
        <v>0</v>
      </c>
      <c r="AF52" s="1967">
        <v>0</v>
      </c>
      <c r="AG52" s="1107"/>
      <c r="AH52" s="1108"/>
    </row>
    <row r="53" spans="1:34" ht="15">
      <c r="A53" s="1418" t="s">
        <v>2047</v>
      </c>
      <c r="B53" s="1427">
        <v>0</v>
      </c>
      <c r="C53" s="1427">
        <v>10207.257</v>
      </c>
      <c r="D53" s="1427">
        <v>0</v>
      </c>
      <c r="E53" s="1428"/>
      <c r="F53" s="1427">
        <v>0</v>
      </c>
      <c r="G53" s="1427">
        <v>0</v>
      </c>
      <c r="H53" s="1427">
        <v>0</v>
      </c>
      <c r="I53" s="1966">
        <v>0</v>
      </c>
      <c r="J53" s="1427">
        <v>0</v>
      </c>
      <c r="K53" s="1427">
        <v>0</v>
      </c>
      <c r="L53" s="1427">
        <v>0</v>
      </c>
      <c r="M53" s="1427">
        <v>0</v>
      </c>
      <c r="N53" s="1966">
        <v>0</v>
      </c>
      <c r="O53" s="1966">
        <v>0</v>
      </c>
      <c r="P53" s="1427">
        <v>0</v>
      </c>
      <c r="Q53" s="1427">
        <v>0</v>
      </c>
      <c r="R53" s="1427">
        <v>0</v>
      </c>
      <c r="S53" s="1427"/>
      <c r="T53" s="1427">
        <v>0</v>
      </c>
      <c r="U53" s="1427">
        <v>0</v>
      </c>
      <c r="V53" s="1427">
        <v>0</v>
      </c>
      <c r="W53" s="1427">
        <v>0</v>
      </c>
      <c r="X53" s="1427">
        <v>0</v>
      </c>
      <c r="Y53" s="1427">
        <v>1024.825</v>
      </c>
      <c r="Z53" s="1427">
        <v>6353.915</v>
      </c>
      <c r="AA53" s="1427">
        <v>1557.7340000000002</v>
      </c>
      <c r="AB53" s="1427">
        <v>0</v>
      </c>
      <c r="AC53" s="1427">
        <v>163.97200000000001</v>
      </c>
      <c r="AD53" s="1427">
        <v>655.88800000000003</v>
      </c>
      <c r="AE53" s="1427">
        <v>0</v>
      </c>
      <c r="AF53" s="1967">
        <v>19963.591</v>
      </c>
      <c r="AG53" s="1108"/>
      <c r="AH53" s="1108"/>
    </row>
    <row r="54" spans="1:34" ht="15">
      <c r="A54" s="1418" t="s">
        <v>2048</v>
      </c>
      <c r="B54" s="1427">
        <v>0</v>
      </c>
      <c r="C54" s="1427">
        <v>0</v>
      </c>
      <c r="D54" s="1427">
        <v>0</v>
      </c>
      <c r="E54" s="1428"/>
      <c r="F54" s="1427">
        <v>0</v>
      </c>
      <c r="G54" s="1427">
        <v>0</v>
      </c>
      <c r="H54" s="1427">
        <v>0</v>
      </c>
      <c r="I54" s="1966">
        <v>0</v>
      </c>
      <c r="J54" s="1427">
        <v>0</v>
      </c>
      <c r="K54" s="1427">
        <v>0</v>
      </c>
      <c r="L54" s="1427">
        <v>0</v>
      </c>
      <c r="M54" s="1427">
        <v>0</v>
      </c>
      <c r="N54" s="1966">
        <v>0</v>
      </c>
      <c r="O54" s="1966">
        <v>0</v>
      </c>
      <c r="P54" s="1427">
        <v>0</v>
      </c>
      <c r="Q54" s="1427">
        <v>0</v>
      </c>
      <c r="R54" s="1427">
        <v>0</v>
      </c>
      <c r="S54" s="1427"/>
      <c r="T54" s="1427">
        <v>0</v>
      </c>
      <c r="U54" s="1427">
        <v>0</v>
      </c>
      <c r="V54" s="1427">
        <v>0</v>
      </c>
      <c r="W54" s="1427">
        <v>0</v>
      </c>
      <c r="X54" s="1427">
        <v>0</v>
      </c>
      <c r="Y54" s="1427">
        <v>0</v>
      </c>
      <c r="Z54" s="1427">
        <v>0</v>
      </c>
      <c r="AA54" s="1427">
        <v>0</v>
      </c>
      <c r="AB54" s="1427">
        <v>0</v>
      </c>
      <c r="AC54" s="1427">
        <v>0</v>
      </c>
      <c r="AD54" s="1427">
        <v>0</v>
      </c>
      <c r="AE54" s="1427">
        <v>0</v>
      </c>
      <c r="AF54" s="1967">
        <v>0</v>
      </c>
      <c r="AG54" s="1108"/>
      <c r="AH54" s="1108"/>
    </row>
    <row r="55" spans="1:34" ht="15">
      <c r="A55" s="1418" t="s">
        <v>2049</v>
      </c>
      <c r="B55" s="1427">
        <v>0</v>
      </c>
      <c r="C55" s="1427">
        <v>17430.995999999999</v>
      </c>
      <c r="D55" s="1427">
        <v>0</v>
      </c>
      <c r="E55" s="1428"/>
      <c r="F55" s="1427">
        <v>0</v>
      </c>
      <c r="G55" s="1427">
        <v>0</v>
      </c>
      <c r="H55" s="1427">
        <v>0</v>
      </c>
      <c r="I55" s="1966">
        <v>0</v>
      </c>
      <c r="J55" s="1427">
        <v>0</v>
      </c>
      <c r="K55" s="1427">
        <v>0</v>
      </c>
      <c r="L55" s="1427">
        <v>0</v>
      </c>
      <c r="M55" s="1427">
        <v>0</v>
      </c>
      <c r="N55" s="1966">
        <v>0</v>
      </c>
      <c r="O55" s="1966">
        <v>0</v>
      </c>
      <c r="P55" s="1427">
        <v>0</v>
      </c>
      <c r="Q55" s="1427">
        <v>0</v>
      </c>
      <c r="R55" s="1427">
        <v>0</v>
      </c>
      <c r="S55" s="1427"/>
      <c r="T55" s="1427">
        <v>0</v>
      </c>
      <c r="U55" s="1427">
        <v>0</v>
      </c>
      <c r="V55" s="1427">
        <v>0</v>
      </c>
      <c r="W55" s="1427">
        <v>0</v>
      </c>
      <c r="X55" s="1427">
        <v>0</v>
      </c>
      <c r="Y55" s="1427">
        <v>2100.12</v>
      </c>
      <c r="Z55" s="1427">
        <v>13020.744000000001</v>
      </c>
      <c r="AA55" s="1427">
        <v>0</v>
      </c>
      <c r="AB55" s="1427">
        <v>0</v>
      </c>
      <c r="AC55" s="1427">
        <v>0</v>
      </c>
      <c r="AD55" s="1427">
        <v>0</v>
      </c>
      <c r="AE55" s="1427">
        <v>0</v>
      </c>
      <c r="AF55" s="1967">
        <v>32551.86</v>
      </c>
      <c r="AG55" s="1108"/>
      <c r="AH55" s="1108"/>
    </row>
    <row r="56" spans="1:34" ht="15">
      <c r="A56" s="1418" t="s">
        <v>2050</v>
      </c>
      <c r="B56" s="1427">
        <v>0</v>
      </c>
      <c r="C56" s="1427">
        <v>10145.226119999999</v>
      </c>
      <c r="D56" s="1427">
        <v>57261.112919999992</v>
      </c>
      <c r="E56" s="1428"/>
      <c r="F56" s="1427">
        <v>41667.127919999999</v>
      </c>
      <c r="G56" s="1427">
        <v>47531.7264</v>
      </c>
      <c r="H56" s="1427">
        <v>55386.054359999995</v>
      </c>
      <c r="I56" s="1966">
        <v>3515.7347999999997</v>
      </c>
      <c r="J56" s="1427">
        <v>109477.96548</v>
      </c>
      <c r="K56" s="1427">
        <v>13949.528399999999</v>
      </c>
      <c r="L56" s="1427">
        <v>7665.3099599999996</v>
      </c>
      <c r="M56" s="1427">
        <v>1746.5263199999999</v>
      </c>
      <c r="N56" s="1966">
        <v>956.43107999999995</v>
      </c>
      <c r="O56" s="1966">
        <v>5268.5617199999997</v>
      </c>
      <c r="P56" s="1427">
        <v>2065.3366799999999</v>
      </c>
      <c r="Q56" s="1427">
        <v>1587.7511999999999</v>
      </c>
      <c r="R56" s="1427">
        <v>2096.83968</v>
      </c>
      <c r="S56" s="1427"/>
      <c r="T56" s="1427">
        <v>0</v>
      </c>
      <c r="U56" s="1427">
        <v>0</v>
      </c>
      <c r="V56" s="1427">
        <v>0</v>
      </c>
      <c r="W56" s="1427">
        <v>2522.7602399999996</v>
      </c>
      <c r="X56" s="1427">
        <v>3931.5743999999995</v>
      </c>
      <c r="Y56" s="1427">
        <v>195.31859999999998</v>
      </c>
      <c r="Z56" s="1427">
        <v>1250.0390399999999</v>
      </c>
      <c r="AA56" s="1427">
        <v>2250.5743199999997</v>
      </c>
      <c r="AB56" s="1427">
        <v>214.22039999999998</v>
      </c>
      <c r="AC56" s="1427">
        <v>50.404799999999994</v>
      </c>
      <c r="AD56" s="1427">
        <v>201.61919999999998</v>
      </c>
      <c r="AE56" s="1427">
        <v>2231.6725199999996</v>
      </c>
      <c r="AF56" s="1967">
        <v>373169.41655999998</v>
      </c>
      <c r="AG56" s="1108"/>
      <c r="AH56" s="1108"/>
    </row>
    <row r="57" spans="1:34" ht="15">
      <c r="A57" s="1418" t="s">
        <v>2051</v>
      </c>
      <c r="B57" s="1427">
        <v>0</v>
      </c>
      <c r="C57" s="1427">
        <v>0</v>
      </c>
      <c r="D57" s="1427">
        <v>0</v>
      </c>
      <c r="E57" s="1428"/>
      <c r="F57" s="1427">
        <v>5580.8676000000005</v>
      </c>
      <c r="G57" s="1427">
        <v>6482.826</v>
      </c>
      <c r="H57" s="1427">
        <v>8427.6738000000005</v>
      </c>
      <c r="I57" s="1966">
        <v>469.77000000000004</v>
      </c>
      <c r="J57" s="1427">
        <v>15023.2446</v>
      </c>
      <c r="K57" s="1427">
        <v>8455.86</v>
      </c>
      <c r="L57" s="1427">
        <v>1237.0610000000001</v>
      </c>
      <c r="M57" s="1427">
        <v>381.45323999999999</v>
      </c>
      <c r="N57" s="1966">
        <v>551.19680000000005</v>
      </c>
      <c r="O57" s="1966">
        <v>1622.2724000000001</v>
      </c>
      <c r="P57" s="1427">
        <v>344.49799999999999</v>
      </c>
      <c r="Q57" s="1427">
        <v>626.36</v>
      </c>
      <c r="R57" s="1427">
        <v>1202.6112000000001</v>
      </c>
      <c r="S57" s="1427"/>
      <c r="T57" s="1427">
        <v>0</v>
      </c>
      <c r="U57" s="1427">
        <v>0</v>
      </c>
      <c r="V57" s="1427">
        <v>0</v>
      </c>
      <c r="W57" s="1427">
        <v>2066.9880000000003</v>
      </c>
      <c r="X57" s="1427">
        <v>1879.0800000000002</v>
      </c>
      <c r="Y57" s="1427">
        <v>0</v>
      </c>
      <c r="Z57" s="1427">
        <v>0</v>
      </c>
      <c r="AA57" s="1427">
        <v>0</v>
      </c>
      <c r="AB57" s="1427">
        <v>87.690400000000011</v>
      </c>
      <c r="AC57" s="1427">
        <v>0</v>
      </c>
      <c r="AD57" s="1427">
        <v>0</v>
      </c>
      <c r="AE57" s="1427">
        <v>864.3768</v>
      </c>
      <c r="AF57" s="1967">
        <v>55303.829840000006</v>
      </c>
      <c r="AG57" s="1108"/>
      <c r="AH57" s="1108"/>
    </row>
    <row r="58" spans="1:34" ht="15">
      <c r="A58" s="1418" t="s">
        <v>2052</v>
      </c>
      <c r="B58" s="1427">
        <v>0</v>
      </c>
      <c r="C58" s="1427">
        <v>12005.119999999999</v>
      </c>
      <c r="D58" s="1427">
        <v>21479.039999999997</v>
      </c>
      <c r="E58" s="1428"/>
      <c r="F58" s="1427">
        <v>0</v>
      </c>
      <c r="G58" s="1427">
        <v>0</v>
      </c>
      <c r="H58" s="1427">
        <v>0</v>
      </c>
      <c r="I58" s="1966">
        <v>3254.3999999999996</v>
      </c>
      <c r="J58" s="1427">
        <v>0</v>
      </c>
      <c r="K58" s="1427">
        <v>0</v>
      </c>
      <c r="L58" s="1427">
        <v>11426.56</v>
      </c>
      <c r="M58" s="1427">
        <v>3644.9279999999999</v>
      </c>
      <c r="N58" s="1966">
        <v>0</v>
      </c>
      <c r="O58" s="1966">
        <v>0</v>
      </c>
      <c r="P58" s="1427">
        <v>0</v>
      </c>
      <c r="Q58" s="1427">
        <v>0</v>
      </c>
      <c r="R58" s="1427">
        <v>0</v>
      </c>
      <c r="S58" s="1427"/>
      <c r="T58" s="1427">
        <v>0</v>
      </c>
      <c r="U58" s="1427">
        <v>0</v>
      </c>
      <c r="V58" s="1427">
        <v>0</v>
      </c>
      <c r="W58" s="1427">
        <v>0</v>
      </c>
      <c r="X58" s="1427">
        <v>0</v>
      </c>
      <c r="Y58" s="1427">
        <v>723.19999999999993</v>
      </c>
      <c r="Z58" s="1427">
        <v>4483.84</v>
      </c>
      <c r="AA58" s="1427">
        <v>2748.16</v>
      </c>
      <c r="AB58" s="1427">
        <v>0</v>
      </c>
      <c r="AC58" s="1427">
        <v>133.06879999999998</v>
      </c>
      <c r="AD58" s="1427">
        <v>555.41759999999999</v>
      </c>
      <c r="AE58" s="1427">
        <v>0</v>
      </c>
      <c r="AF58" s="1967">
        <v>60453.734399999994</v>
      </c>
      <c r="AG58" s="1108"/>
      <c r="AH58" s="1108"/>
    </row>
    <row r="59" spans="1:34" ht="15">
      <c r="A59" s="1963" t="s">
        <v>2083</v>
      </c>
      <c r="B59" s="1427">
        <v>0</v>
      </c>
      <c r="C59" s="1427">
        <v>0</v>
      </c>
      <c r="D59" s="1427">
        <v>0</v>
      </c>
      <c r="E59" s="1428"/>
      <c r="F59" s="1427">
        <v>0</v>
      </c>
      <c r="G59" s="1427">
        <v>0</v>
      </c>
      <c r="H59" s="1427">
        <v>0</v>
      </c>
      <c r="I59" s="1966">
        <v>0</v>
      </c>
      <c r="J59" s="1427">
        <v>0</v>
      </c>
      <c r="K59" s="1427">
        <v>0</v>
      </c>
      <c r="L59" s="1427">
        <v>0</v>
      </c>
      <c r="M59" s="1427">
        <v>0</v>
      </c>
      <c r="N59" s="1966">
        <v>0</v>
      </c>
      <c r="O59" s="1966">
        <v>0</v>
      </c>
      <c r="P59" s="1427">
        <v>0</v>
      </c>
      <c r="Q59" s="1427">
        <v>0</v>
      </c>
      <c r="R59" s="1427">
        <v>0</v>
      </c>
      <c r="S59" s="1427"/>
      <c r="T59" s="1427">
        <v>0</v>
      </c>
      <c r="U59" s="1427">
        <v>0</v>
      </c>
      <c r="V59" s="1427">
        <v>0</v>
      </c>
      <c r="W59" s="1427">
        <v>0</v>
      </c>
      <c r="X59" s="1427">
        <v>0</v>
      </c>
      <c r="Y59" s="1427">
        <v>0</v>
      </c>
      <c r="Z59" s="1427">
        <v>0</v>
      </c>
      <c r="AA59" s="1427">
        <v>0</v>
      </c>
      <c r="AB59" s="1427">
        <v>0</v>
      </c>
      <c r="AC59" s="1427">
        <v>0</v>
      </c>
      <c r="AD59" s="1427">
        <v>0</v>
      </c>
      <c r="AE59" s="1427">
        <v>0</v>
      </c>
      <c r="AF59" s="1967">
        <v>0</v>
      </c>
      <c r="AG59" s="1108"/>
      <c r="AH59" s="1108"/>
    </row>
    <row r="60" spans="1:34" ht="15">
      <c r="A60" s="1418" t="s">
        <v>2054</v>
      </c>
      <c r="B60" s="1427">
        <v>0</v>
      </c>
      <c r="C60" s="1427">
        <v>2368.2887999999998</v>
      </c>
      <c r="D60" s="1427">
        <v>4660.9635600000001</v>
      </c>
      <c r="E60" s="1428"/>
      <c r="F60" s="1427">
        <v>9416.0879999999997</v>
      </c>
      <c r="G60" s="1427">
        <v>13125.456</v>
      </c>
      <c r="H60" s="1427">
        <v>21044.48112</v>
      </c>
      <c r="I60" s="1966">
        <v>2710.692</v>
      </c>
      <c r="J60" s="1427">
        <v>29656.39716</v>
      </c>
      <c r="K60" s="1427">
        <v>16627.955399999999</v>
      </c>
      <c r="L60" s="1427">
        <v>3832.0624800000001</v>
      </c>
      <c r="M60" s="1427">
        <v>998.67599999999993</v>
      </c>
      <c r="N60" s="1966">
        <v>1605.96612</v>
      </c>
      <c r="O60" s="1966">
        <v>3853.4626799999996</v>
      </c>
      <c r="P60" s="1427">
        <v>852.67908</v>
      </c>
      <c r="Q60" s="1427">
        <v>832.23</v>
      </c>
      <c r="R60" s="1427">
        <v>1643.5353599999999</v>
      </c>
      <c r="S60" s="1427"/>
      <c r="T60" s="1427">
        <v>0</v>
      </c>
      <c r="U60" s="1427">
        <v>0</v>
      </c>
      <c r="V60" s="1427">
        <v>0</v>
      </c>
      <c r="W60" s="1427">
        <v>2531.8814400000001</v>
      </c>
      <c r="X60" s="1427">
        <v>3352.6979999999999</v>
      </c>
      <c r="Y60" s="1427">
        <v>83.222999999999999</v>
      </c>
      <c r="Z60" s="1427">
        <v>515.98259999999993</v>
      </c>
      <c r="AA60" s="1427">
        <v>542.13839999999993</v>
      </c>
      <c r="AB60" s="1427">
        <v>183.56616</v>
      </c>
      <c r="AC60" s="1427">
        <v>15.693479999999999</v>
      </c>
      <c r="AD60" s="1427">
        <v>41.84928</v>
      </c>
      <c r="AE60" s="1427">
        <v>3346.9912799999997</v>
      </c>
      <c r="AF60" s="1967">
        <v>123842.95739999998</v>
      </c>
      <c r="AG60" s="1108"/>
      <c r="AH60" s="1108"/>
    </row>
    <row r="61" spans="1:34" ht="15">
      <c r="A61" s="1418" t="s">
        <v>2055</v>
      </c>
      <c r="B61" s="1427">
        <v>0</v>
      </c>
      <c r="C61" s="1427">
        <v>0</v>
      </c>
      <c r="D61" s="1427">
        <v>0</v>
      </c>
      <c r="E61" s="1428"/>
      <c r="F61" s="1427">
        <v>0</v>
      </c>
      <c r="G61" s="1427">
        <v>0</v>
      </c>
      <c r="H61" s="1427">
        <v>0</v>
      </c>
      <c r="I61" s="1966">
        <v>0</v>
      </c>
      <c r="J61" s="1427">
        <v>0</v>
      </c>
      <c r="K61" s="1427">
        <v>0</v>
      </c>
      <c r="L61" s="1427">
        <v>0</v>
      </c>
      <c r="M61" s="1427">
        <v>0</v>
      </c>
      <c r="N61" s="1966">
        <v>0</v>
      </c>
      <c r="O61" s="1966">
        <v>0</v>
      </c>
      <c r="P61" s="1427">
        <v>0</v>
      </c>
      <c r="Q61" s="1427">
        <v>0</v>
      </c>
      <c r="R61" s="1427">
        <v>0</v>
      </c>
      <c r="S61" s="1427"/>
      <c r="T61" s="1427">
        <v>0</v>
      </c>
      <c r="U61" s="1427">
        <v>0</v>
      </c>
      <c r="V61" s="1427">
        <v>0</v>
      </c>
      <c r="W61" s="1427">
        <v>0</v>
      </c>
      <c r="X61" s="1427">
        <v>0</v>
      </c>
      <c r="Y61" s="1427">
        <v>0</v>
      </c>
      <c r="Z61" s="1427">
        <v>0</v>
      </c>
      <c r="AA61" s="1427">
        <v>0</v>
      </c>
      <c r="AB61" s="1427">
        <v>0</v>
      </c>
      <c r="AC61" s="1427">
        <v>0</v>
      </c>
      <c r="AD61" s="1427">
        <v>0</v>
      </c>
      <c r="AE61" s="1427">
        <v>0</v>
      </c>
      <c r="AF61" s="1967">
        <v>0</v>
      </c>
      <c r="AG61" s="1108"/>
      <c r="AH61" s="1108"/>
    </row>
    <row r="62" spans="1:34" ht="15">
      <c r="A62" s="1418" t="s">
        <v>2056</v>
      </c>
      <c r="B62" s="1427">
        <v>0</v>
      </c>
      <c r="C62" s="1427">
        <v>0</v>
      </c>
      <c r="D62" s="1427">
        <v>0</v>
      </c>
      <c r="E62" s="1428"/>
      <c r="F62" s="1427">
        <v>0</v>
      </c>
      <c r="G62" s="1427">
        <v>0</v>
      </c>
      <c r="H62" s="1427">
        <v>0</v>
      </c>
      <c r="I62" s="1966">
        <v>0</v>
      </c>
      <c r="J62" s="1427">
        <v>0</v>
      </c>
      <c r="K62" s="1427">
        <v>0</v>
      </c>
      <c r="L62" s="1427">
        <v>0</v>
      </c>
      <c r="M62" s="1427">
        <v>0</v>
      </c>
      <c r="N62" s="1966">
        <v>0</v>
      </c>
      <c r="O62" s="1966">
        <v>0</v>
      </c>
      <c r="P62" s="1427">
        <v>0</v>
      </c>
      <c r="Q62" s="1427">
        <v>0</v>
      </c>
      <c r="R62" s="1427">
        <v>0</v>
      </c>
      <c r="S62" s="1427"/>
      <c r="T62" s="1427">
        <v>0</v>
      </c>
      <c r="U62" s="1427">
        <v>0</v>
      </c>
      <c r="V62" s="1427">
        <v>0</v>
      </c>
      <c r="W62" s="1427">
        <v>0</v>
      </c>
      <c r="X62" s="1427">
        <v>0</v>
      </c>
      <c r="Y62" s="1427">
        <v>0</v>
      </c>
      <c r="Z62" s="1427">
        <v>26.414999999999999</v>
      </c>
      <c r="AA62" s="1427">
        <v>0</v>
      </c>
      <c r="AB62" s="1427">
        <v>0</v>
      </c>
      <c r="AC62" s="1427">
        <v>0</v>
      </c>
      <c r="AD62" s="1427">
        <v>0</v>
      </c>
      <c r="AE62" s="1427">
        <v>0</v>
      </c>
      <c r="AF62" s="1967">
        <v>26.414999999999999</v>
      </c>
      <c r="AG62" s="1108"/>
      <c r="AH62" s="1108"/>
    </row>
    <row r="63" spans="1:34" ht="15">
      <c r="A63" s="1418" t="s">
        <v>2057</v>
      </c>
      <c r="B63" s="1427">
        <v>0</v>
      </c>
      <c r="C63" s="1427">
        <v>718.40152</v>
      </c>
      <c r="D63" s="1427">
        <v>2570.6656800000001</v>
      </c>
      <c r="E63" s="1428"/>
      <c r="F63" s="1427">
        <v>0</v>
      </c>
      <c r="G63" s="1427">
        <v>0</v>
      </c>
      <c r="H63" s="1427">
        <v>0</v>
      </c>
      <c r="I63" s="1966">
        <v>0</v>
      </c>
      <c r="J63" s="1427">
        <v>0</v>
      </c>
      <c r="K63" s="1427">
        <v>584.24220000000003</v>
      </c>
      <c r="L63" s="1427">
        <v>341.88988000000001</v>
      </c>
      <c r="M63" s="1427">
        <v>90.88212</v>
      </c>
      <c r="N63" s="1966">
        <v>0</v>
      </c>
      <c r="O63" s="1966">
        <v>160.12564</v>
      </c>
      <c r="P63" s="1427">
        <v>0</v>
      </c>
      <c r="Q63" s="1427">
        <v>0</v>
      </c>
      <c r="R63" s="1427">
        <v>0</v>
      </c>
      <c r="S63" s="1427"/>
      <c r="T63" s="1427">
        <v>0</v>
      </c>
      <c r="U63" s="1427">
        <v>0</v>
      </c>
      <c r="V63" s="1427">
        <v>0</v>
      </c>
      <c r="W63" s="1427">
        <v>0</v>
      </c>
      <c r="X63" s="1427">
        <v>0</v>
      </c>
      <c r="Y63" s="1427">
        <v>43.277200000000001</v>
      </c>
      <c r="Z63" s="1427">
        <v>268.31864000000002</v>
      </c>
      <c r="AA63" s="1427">
        <v>164.45336</v>
      </c>
      <c r="AB63" s="1427">
        <v>8.6554400000000005</v>
      </c>
      <c r="AC63" s="1427">
        <v>8.6554400000000005</v>
      </c>
      <c r="AD63" s="1427">
        <v>34.621760000000002</v>
      </c>
      <c r="AE63" s="1427">
        <v>0</v>
      </c>
      <c r="AF63" s="1967">
        <v>4994.1888800000024</v>
      </c>
      <c r="AG63" s="1108"/>
      <c r="AH63" s="1108"/>
    </row>
    <row r="64" spans="1:34" ht="15">
      <c r="A64" s="1418" t="s">
        <v>2058</v>
      </c>
      <c r="B64" s="1427">
        <v>0</v>
      </c>
      <c r="C64" s="1427">
        <v>122.03324000000001</v>
      </c>
      <c r="D64" s="1427">
        <v>623.81880000000001</v>
      </c>
      <c r="E64" s="1428"/>
      <c r="F64" s="1427">
        <v>332.70336000000003</v>
      </c>
      <c r="G64" s="1427">
        <v>386.47360000000003</v>
      </c>
      <c r="H64" s="1427">
        <v>502.41568000000001</v>
      </c>
      <c r="I64" s="1966">
        <v>37.807200000000002</v>
      </c>
      <c r="J64" s="1427">
        <v>895.61055999999996</v>
      </c>
      <c r="K64" s="1427">
        <v>283.55400000000003</v>
      </c>
      <c r="L64" s="1427">
        <v>248.8974</v>
      </c>
      <c r="M64" s="1427">
        <v>61.751760000000004</v>
      </c>
      <c r="N64" s="1966">
        <v>11.552200000000001</v>
      </c>
      <c r="O64" s="1966">
        <v>77.714799999999997</v>
      </c>
      <c r="P64" s="1427">
        <v>23.104400000000002</v>
      </c>
      <c r="Q64" s="1427">
        <v>21.004000000000001</v>
      </c>
      <c r="R64" s="1427">
        <v>33.606400000000001</v>
      </c>
      <c r="S64" s="1427"/>
      <c r="T64" s="1427">
        <v>0</v>
      </c>
      <c r="U64" s="1427">
        <v>0</v>
      </c>
      <c r="V64" s="1427">
        <v>0</v>
      </c>
      <c r="W64" s="1427">
        <v>46.208800000000004</v>
      </c>
      <c r="X64" s="1427">
        <v>63.012</v>
      </c>
      <c r="Y64" s="1427">
        <v>5.2510000000000003</v>
      </c>
      <c r="Z64" s="1427">
        <v>32.556200000000004</v>
      </c>
      <c r="AA64" s="1427">
        <v>19.953800000000001</v>
      </c>
      <c r="AB64" s="1427">
        <v>5.8811200000000001</v>
      </c>
      <c r="AC64" s="1427">
        <v>0.10502</v>
      </c>
      <c r="AD64" s="1427">
        <v>1.68032</v>
      </c>
      <c r="AE64" s="1427">
        <v>48.309200000000004</v>
      </c>
      <c r="AF64" s="1967">
        <v>3885.0048600000009</v>
      </c>
      <c r="AG64" s="1108"/>
      <c r="AH64" s="1108"/>
    </row>
    <row r="65" spans="1:34" ht="15">
      <c r="A65" s="1418" t="s">
        <v>2059</v>
      </c>
      <c r="B65" s="1427">
        <v>0</v>
      </c>
      <c r="C65" s="1427">
        <v>0</v>
      </c>
      <c r="D65" s="1427">
        <v>0</v>
      </c>
      <c r="E65" s="1428"/>
      <c r="F65" s="1427">
        <v>0</v>
      </c>
      <c r="G65" s="1427">
        <v>0</v>
      </c>
      <c r="H65" s="1427">
        <v>0</v>
      </c>
      <c r="I65" s="1966">
        <v>0</v>
      </c>
      <c r="J65" s="1427">
        <v>0</v>
      </c>
      <c r="K65" s="1427">
        <v>0</v>
      </c>
      <c r="L65" s="1427">
        <v>0</v>
      </c>
      <c r="M65" s="1427">
        <v>0</v>
      </c>
      <c r="N65" s="1966">
        <v>0</v>
      </c>
      <c r="O65" s="1966">
        <v>0</v>
      </c>
      <c r="P65" s="1427">
        <v>0</v>
      </c>
      <c r="Q65" s="1427">
        <v>0</v>
      </c>
      <c r="R65" s="1427">
        <v>0</v>
      </c>
      <c r="S65" s="1427"/>
      <c r="T65" s="1427">
        <v>0</v>
      </c>
      <c r="U65" s="1427">
        <v>0</v>
      </c>
      <c r="V65" s="1427">
        <v>0</v>
      </c>
      <c r="W65" s="1427">
        <v>0</v>
      </c>
      <c r="X65" s="1427">
        <v>0</v>
      </c>
      <c r="Y65" s="1427">
        <v>0</v>
      </c>
      <c r="Z65" s="1427">
        <v>0</v>
      </c>
      <c r="AA65" s="1427">
        <v>0</v>
      </c>
      <c r="AB65" s="1427">
        <v>0</v>
      </c>
      <c r="AC65" s="1427">
        <v>0</v>
      </c>
      <c r="AD65" s="1427">
        <v>0</v>
      </c>
      <c r="AE65" s="1427">
        <v>0</v>
      </c>
      <c r="AF65" s="1967">
        <v>0</v>
      </c>
      <c r="AG65" s="1108"/>
      <c r="AH65" s="1108"/>
    </row>
    <row r="66" spans="1:34" ht="15">
      <c r="A66" s="1962" t="s">
        <v>2060</v>
      </c>
      <c r="B66" s="1427">
        <v>0</v>
      </c>
      <c r="C66" s="1427">
        <v>6021.2764999999999</v>
      </c>
      <c r="D66" s="1427">
        <v>21546.013499999997</v>
      </c>
      <c r="E66" s="1428"/>
      <c r="F66" s="1427">
        <v>0</v>
      </c>
      <c r="G66" s="1427">
        <v>0</v>
      </c>
      <c r="H66" s="1427">
        <v>0</v>
      </c>
      <c r="I66" s="1966">
        <v>0</v>
      </c>
      <c r="J66" s="1427">
        <v>0</v>
      </c>
      <c r="K66" s="1427">
        <v>0</v>
      </c>
      <c r="L66" s="1427">
        <v>5731.0944999999992</v>
      </c>
      <c r="M66" s="1427">
        <v>1523.4555</v>
      </c>
      <c r="N66" s="1966">
        <v>0</v>
      </c>
      <c r="O66" s="1966">
        <v>0</v>
      </c>
      <c r="P66" s="1427">
        <v>0</v>
      </c>
      <c r="Q66" s="1427">
        <v>0</v>
      </c>
      <c r="R66" s="1427">
        <v>0</v>
      </c>
      <c r="S66" s="1427"/>
      <c r="T66" s="1427">
        <v>0</v>
      </c>
      <c r="U66" s="1427">
        <v>0</v>
      </c>
      <c r="V66" s="1427">
        <v>0</v>
      </c>
      <c r="W66" s="1427">
        <v>0</v>
      </c>
      <c r="X66" s="1427">
        <v>0</v>
      </c>
      <c r="Y66" s="1427">
        <v>725.45499999999993</v>
      </c>
      <c r="Z66" s="1427">
        <v>4497.8209999999999</v>
      </c>
      <c r="AA66" s="1427">
        <v>0</v>
      </c>
      <c r="AB66" s="1427">
        <v>0</v>
      </c>
      <c r="AC66" s="1427">
        <v>0</v>
      </c>
      <c r="AD66" s="1427">
        <v>0</v>
      </c>
      <c r="AE66" s="1427">
        <v>0</v>
      </c>
      <c r="AF66" s="1967">
        <v>40045.115999999995</v>
      </c>
      <c r="AG66" s="1108"/>
      <c r="AH66" s="1108"/>
    </row>
    <row r="67" spans="1:34" ht="15">
      <c r="A67" s="1962" t="s">
        <v>2061</v>
      </c>
      <c r="B67" s="1427">
        <v>0</v>
      </c>
      <c r="C67" s="1427">
        <v>0</v>
      </c>
      <c r="D67" s="1427">
        <v>0</v>
      </c>
      <c r="E67" s="1428"/>
      <c r="F67" s="1427">
        <v>0</v>
      </c>
      <c r="G67" s="1427">
        <v>0</v>
      </c>
      <c r="H67" s="1427">
        <v>0</v>
      </c>
      <c r="I67" s="1966">
        <v>0</v>
      </c>
      <c r="J67" s="1427">
        <v>0</v>
      </c>
      <c r="K67" s="1427">
        <v>0</v>
      </c>
      <c r="L67" s="1427">
        <v>0</v>
      </c>
      <c r="M67" s="1427">
        <v>0</v>
      </c>
      <c r="N67" s="1966">
        <v>0</v>
      </c>
      <c r="O67" s="1966">
        <v>0</v>
      </c>
      <c r="P67" s="1427">
        <v>0</v>
      </c>
      <c r="Q67" s="1427">
        <v>0</v>
      </c>
      <c r="R67" s="1427">
        <v>0</v>
      </c>
      <c r="S67" s="1427"/>
      <c r="T67" s="1427">
        <v>0</v>
      </c>
      <c r="U67" s="1427">
        <v>0</v>
      </c>
      <c r="V67" s="1427">
        <v>0</v>
      </c>
      <c r="W67" s="1427">
        <v>0</v>
      </c>
      <c r="X67" s="1427">
        <v>0</v>
      </c>
      <c r="Y67" s="1427">
        <v>0</v>
      </c>
      <c r="Z67" s="1427">
        <v>0</v>
      </c>
      <c r="AA67" s="1427">
        <v>0</v>
      </c>
      <c r="AB67" s="1427">
        <v>0</v>
      </c>
      <c r="AC67" s="1427">
        <v>0</v>
      </c>
      <c r="AD67" s="1427">
        <v>0</v>
      </c>
      <c r="AE67" s="1427">
        <v>0</v>
      </c>
      <c r="AF67" s="1967">
        <v>0</v>
      </c>
      <c r="AG67" s="1108"/>
      <c r="AH67" s="1108"/>
    </row>
    <row r="68" spans="1:34" ht="15">
      <c r="A68" s="1418" t="s">
        <v>2062</v>
      </c>
      <c r="B68" s="1427">
        <v>0</v>
      </c>
      <c r="C68" s="1427">
        <v>0</v>
      </c>
      <c r="D68" s="1427">
        <v>0</v>
      </c>
      <c r="E68" s="1428"/>
      <c r="F68" s="1427">
        <v>0</v>
      </c>
      <c r="G68" s="1427">
        <v>0</v>
      </c>
      <c r="H68" s="1427">
        <v>0</v>
      </c>
      <c r="I68" s="1966">
        <v>0</v>
      </c>
      <c r="J68" s="1427">
        <v>0</v>
      </c>
      <c r="K68" s="1427">
        <v>0</v>
      </c>
      <c r="L68" s="1427">
        <v>0</v>
      </c>
      <c r="M68" s="1427">
        <v>0</v>
      </c>
      <c r="N68" s="1966">
        <v>0</v>
      </c>
      <c r="O68" s="1966">
        <v>0</v>
      </c>
      <c r="P68" s="1427">
        <v>0</v>
      </c>
      <c r="Q68" s="1427">
        <v>0</v>
      </c>
      <c r="R68" s="1427">
        <v>0</v>
      </c>
      <c r="S68" s="1427"/>
      <c r="T68" s="1427">
        <v>0</v>
      </c>
      <c r="U68" s="1427">
        <v>0</v>
      </c>
      <c r="V68" s="1427">
        <v>0</v>
      </c>
      <c r="W68" s="1427">
        <v>0</v>
      </c>
      <c r="X68" s="1427">
        <v>0</v>
      </c>
      <c r="Y68" s="1427">
        <v>0</v>
      </c>
      <c r="Z68" s="1427">
        <v>0</v>
      </c>
      <c r="AA68" s="1427">
        <v>0</v>
      </c>
      <c r="AB68" s="1427">
        <v>0</v>
      </c>
      <c r="AC68" s="1427">
        <v>0</v>
      </c>
      <c r="AD68" s="1427">
        <v>0</v>
      </c>
      <c r="AE68" s="1427">
        <v>0</v>
      </c>
      <c r="AF68" s="1967">
        <v>0</v>
      </c>
      <c r="AG68" s="1108"/>
      <c r="AH68" s="1108"/>
    </row>
    <row r="69" spans="1:34" ht="15">
      <c r="A69" s="1418" t="s">
        <v>2063</v>
      </c>
      <c r="B69" s="1427">
        <v>0</v>
      </c>
      <c r="C69" s="1427">
        <v>0</v>
      </c>
      <c r="D69" s="1427">
        <v>3499.6276800000001</v>
      </c>
      <c r="E69" s="1428"/>
      <c r="F69" s="1427">
        <v>0</v>
      </c>
      <c r="G69" s="1427">
        <v>4968.6072000000004</v>
      </c>
      <c r="H69" s="1427">
        <v>0</v>
      </c>
      <c r="I69" s="1966">
        <v>0</v>
      </c>
      <c r="J69" s="1427">
        <v>0</v>
      </c>
      <c r="K69" s="1427">
        <v>0</v>
      </c>
      <c r="L69" s="1427">
        <v>0</v>
      </c>
      <c r="M69" s="1427">
        <v>0</v>
      </c>
      <c r="N69" s="1966">
        <v>0</v>
      </c>
      <c r="O69" s="1966">
        <v>0</v>
      </c>
      <c r="P69" s="1427">
        <v>237.62904</v>
      </c>
      <c r="Q69" s="1427">
        <v>0</v>
      </c>
      <c r="R69" s="1427">
        <v>0</v>
      </c>
      <c r="S69" s="1427"/>
      <c r="T69" s="1427">
        <v>0</v>
      </c>
      <c r="U69" s="1427">
        <v>0</v>
      </c>
      <c r="V69" s="1427">
        <v>0</v>
      </c>
      <c r="W69" s="1427">
        <v>0</v>
      </c>
      <c r="X69" s="1427">
        <v>0</v>
      </c>
      <c r="Y69" s="1427">
        <v>0</v>
      </c>
      <c r="Z69" s="1427">
        <v>0</v>
      </c>
      <c r="AA69" s="1427">
        <v>0</v>
      </c>
      <c r="AB69" s="1427">
        <v>0</v>
      </c>
      <c r="AC69" s="1427">
        <v>0</v>
      </c>
      <c r="AD69" s="1427">
        <v>0</v>
      </c>
      <c r="AE69" s="1427">
        <v>0</v>
      </c>
      <c r="AF69" s="1967">
        <v>8705.8639199999998</v>
      </c>
      <c r="AG69" s="1108"/>
      <c r="AH69" s="1108"/>
    </row>
    <row r="70" spans="1:34" ht="15">
      <c r="A70" s="1418" t="s">
        <v>2064</v>
      </c>
      <c r="B70" s="1427">
        <v>0</v>
      </c>
      <c r="C70" s="1427">
        <v>0</v>
      </c>
      <c r="D70" s="1427">
        <v>0</v>
      </c>
      <c r="E70" s="1428"/>
      <c r="F70" s="1427">
        <v>0</v>
      </c>
      <c r="G70" s="1427">
        <v>0</v>
      </c>
      <c r="H70" s="1427">
        <v>0</v>
      </c>
      <c r="I70" s="1966">
        <v>0</v>
      </c>
      <c r="J70" s="1427">
        <v>0</v>
      </c>
      <c r="K70" s="1427">
        <v>0</v>
      </c>
      <c r="L70" s="1427">
        <v>0</v>
      </c>
      <c r="M70" s="1427">
        <v>0</v>
      </c>
      <c r="N70" s="1966">
        <v>0</v>
      </c>
      <c r="O70" s="1966">
        <v>0</v>
      </c>
      <c r="P70" s="1427">
        <v>0</v>
      </c>
      <c r="Q70" s="1427">
        <v>0</v>
      </c>
      <c r="R70" s="1427">
        <v>0</v>
      </c>
      <c r="S70" s="1427"/>
      <c r="T70" s="1427">
        <v>0</v>
      </c>
      <c r="U70" s="1427">
        <v>0</v>
      </c>
      <c r="V70" s="1427">
        <v>0</v>
      </c>
      <c r="W70" s="1427">
        <v>0</v>
      </c>
      <c r="X70" s="1427">
        <v>0</v>
      </c>
      <c r="Y70" s="1427">
        <v>0</v>
      </c>
      <c r="Z70" s="1427">
        <v>0</v>
      </c>
      <c r="AA70" s="1427">
        <v>0</v>
      </c>
      <c r="AB70" s="1427">
        <v>0</v>
      </c>
      <c r="AC70" s="1427">
        <v>0</v>
      </c>
      <c r="AD70" s="1427">
        <v>0</v>
      </c>
      <c r="AE70" s="1427">
        <v>0</v>
      </c>
      <c r="AF70" s="1967">
        <v>0</v>
      </c>
      <c r="AG70" s="1108"/>
      <c r="AH70" s="1108"/>
    </row>
    <row r="71" spans="1:34" ht="15">
      <c r="A71" s="1418" t="s">
        <v>2065</v>
      </c>
      <c r="B71" s="1427">
        <v>0</v>
      </c>
      <c r="C71" s="1427">
        <v>0</v>
      </c>
      <c r="D71" s="1427">
        <v>628.53030000000001</v>
      </c>
      <c r="E71" s="1428"/>
      <c r="F71" s="1427">
        <v>0</v>
      </c>
      <c r="G71" s="1427">
        <v>0</v>
      </c>
      <c r="H71" s="1427">
        <v>0</v>
      </c>
      <c r="I71" s="1966">
        <v>0</v>
      </c>
      <c r="J71" s="1427">
        <v>0</v>
      </c>
      <c r="K71" s="1427">
        <v>0</v>
      </c>
      <c r="L71" s="1427">
        <v>0</v>
      </c>
      <c r="M71" s="1427">
        <v>0</v>
      </c>
      <c r="N71" s="1966">
        <v>0</v>
      </c>
      <c r="O71" s="1966">
        <v>0</v>
      </c>
      <c r="P71" s="1427">
        <v>0</v>
      </c>
      <c r="Q71" s="1427">
        <v>0</v>
      </c>
      <c r="R71" s="1427">
        <v>0</v>
      </c>
      <c r="S71" s="1427"/>
      <c r="T71" s="1427">
        <v>0</v>
      </c>
      <c r="U71" s="1427">
        <v>0</v>
      </c>
      <c r="V71" s="1427">
        <v>0</v>
      </c>
      <c r="W71" s="1427">
        <v>0</v>
      </c>
      <c r="X71" s="1427">
        <v>0</v>
      </c>
      <c r="Y71" s="1427">
        <v>0</v>
      </c>
      <c r="Z71" s="1427">
        <v>0</v>
      </c>
      <c r="AA71" s="1427">
        <v>0</v>
      </c>
      <c r="AB71" s="1427">
        <v>0</v>
      </c>
      <c r="AC71" s="1427">
        <v>0</v>
      </c>
      <c r="AD71" s="1427">
        <v>0</v>
      </c>
      <c r="AE71" s="1427">
        <v>0</v>
      </c>
      <c r="AF71" s="1967">
        <v>628.53030000000001</v>
      </c>
      <c r="AG71" s="1108"/>
      <c r="AH71" s="1108"/>
    </row>
    <row r="72" spans="1:34" ht="15">
      <c r="A72" s="1421" t="s">
        <v>2066</v>
      </c>
      <c r="B72" s="1427">
        <v>0</v>
      </c>
      <c r="C72" s="1427">
        <v>0</v>
      </c>
      <c r="D72" s="1427">
        <v>0</v>
      </c>
      <c r="E72" s="1428"/>
      <c r="F72" s="1427">
        <v>0</v>
      </c>
      <c r="G72" s="1427">
        <v>0</v>
      </c>
      <c r="H72" s="1427">
        <v>0</v>
      </c>
      <c r="I72" s="1966">
        <v>0</v>
      </c>
      <c r="J72" s="1427">
        <v>14787.578650000001</v>
      </c>
      <c r="K72" s="1427">
        <v>0</v>
      </c>
      <c r="L72" s="1427">
        <v>0</v>
      </c>
      <c r="M72" s="1427">
        <v>0</v>
      </c>
      <c r="N72" s="1966">
        <v>0</v>
      </c>
      <c r="O72" s="1966">
        <v>0</v>
      </c>
      <c r="P72" s="1427">
        <v>0</v>
      </c>
      <c r="Q72" s="1427">
        <v>0</v>
      </c>
      <c r="R72" s="1427">
        <v>0</v>
      </c>
      <c r="S72" s="1427"/>
      <c r="T72" s="1427">
        <v>0</v>
      </c>
      <c r="U72" s="1427">
        <v>0</v>
      </c>
      <c r="V72" s="1427">
        <v>0</v>
      </c>
      <c r="W72" s="1427">
        <v>0</v>
      </c>
      <c r="X72" s="1427">
        <v>0</v>
      </c>
      <c r="Y72" s="1427">
        <v>0</v>
      </c>
      <c r="Z72" s="1427">
        <v>0</v>
      </c>
      <c r="AA72" s="1427">
        <v>0</v>
      </c>
      <c r="AB72" s="1427">
        <v>0</v>
      </c>
      <c r="AC72" s="1427">
        <v>0</v>
      </c>
      <c r="AD72" s="1427">
        <v>0</v>
      </c>
      <c r="AE72" s="1427">
        <v>0</v>
      </c>
      <c r="AF72" s="1967">
        <v>14787.578650000001</v>
      </c>
      <c r="AG72" s="1108"/>
      <c r="AH72" s="1108"/>
    </row>
    <row r="73" spans="1:34" ht="15">
      <c r="A73" s="1421" t="s">
        <v>2067</v>
      </c>
      <c r="B73" s="1427">
        <v>0</v>
      </c>
      <c r="C73" s="1427">
        <v>0</v>
      </c>
      <c r="D73" s="1427">
        <v>0</v>
      </c>
      <c r="E73" s="1428"/>
      <c r="F73" s="1427">
        <v>0</v>
      </c>
      <c r="G73" s="1427">
        <v>0</v>
      </c>
      <c r="H73" s="1427">
        <v>0</v>
      </c>
      <c r="I73" s="1966">
        <v>0</v>
      </c>
      <c r="J73" s="1427">
        <v>0</v>
      </c>
      <c r="K73" s="1427">
        <v>0</v>
      </c>
      <c r="L73" s="1427">
        <v>0</v>
      </c>
      <c r="M73" s="1427">
        <v>0</v>
      </c>
      <c r="N73" s="1966">
        <v>0</v>
      </c>
      <c r="O73" s="1966">
        <v>0</v>
      </c>
      <c r="P73" s="1427">
        <v>0</v>
      </c>
      <c r="Q73" s="1427">
        <v>0</v>
      </c>
      <c r="R73" s="1427">
        <v>0</v>
      </c>
      <c r="S73" s="1427"/>
      <c r="T73" s="1427">
        <v>0</v>
      </c>
      <c r="U73" s="1427">
        <v>0</v>
      </c>
      <c r="V73" s="1427">
        <v>0</v>
      </c>
      <c r="W73" s="1427">
        <v>0</v>
      </c>
      <c r="X73" s="1427">
        <v>0</v>
      </c>
      <c r="Y73" s="1427">
        <v>0</v>
      </c>
      <c r="Z73" s="1427">
        <v>0</v>
      </c>
      <c r="AA73" s="1427">
        <v>0</v>
      </c>
      <c r="AB73" s="1427">
        <v>0</v>
      </c>
      <c r="AC73" s="1427">
        <v>0</v>
      </c>
      <c r="AD73" s="1427">
        <v>0</v>
      </c>
      <c r="AE73" s="1427">
        <v>0</v>
      </c>
      <c r="AF73" s="1967">
        <v>0</v>
      </c>
      <c r="AG73" s="1108"/>
      <c r="AH73" s="1108"/>
    </row>
    <row r="74" spans="1:34" ht="15">
      <c r="A74" s="1418" t="s">
        <v>2068</v>
      </c>
      <c r="B74" s="1427">
        <v>0</v>
      </c>
      <c r="C74" s="1427">
        <v>1301.3204799999999</v>
      </c>
      <c r="D74" s="1427">
        <v>0</v>
      </c>
      <c r="E74" s="1428"/>
      <c r="F74" s="1427">
        <v>0</v>
      </c>
      <c r="G74" s="1427">
        <v>0</v>
      </c>
      <c r="H74" s="1427">
        <v>0</v>
      </c>
      <c r="I74" s="1966">
        <v>0</v>
      </c>
      <c r="J74" s="1427">
        <v>0</v>
      </c>
      <c r="K74" s="1427">
        <v>0</v>
      </c>
      <c r="L74" s="1427">
        <v>0</v>
      </c>
      <c r="M74" s="1427">
        <v>0</v>
      </c>
      <c r="N74" s="1966">
        <v>0</v>
      </c>
      <c r="O74" s="1966">
        <v>0</v>
      </c>
      <c r="P74" s="1427">
        <v>0</v>
      </c>
      <c r="Q74" s="1427">
        <v>0</v>
      </c>
      <c r="R74" s="1427">
        <v>0</v>
      </c>
      <c r="S74" s="1427"/>
      <c r="T74" s="1427">
        <v>0</v>
      </c>
      <c r="U74" s="1427">
        <v>0</v>
      </c>
      <c r="V74" s="1427">
        <v>0</v>
      </c>
      <c r="W74" s="1427">
        <v>0</v>
      </c>
      <c r="X74" s="1427">
        <v>0</v>
      </c>
      <c r="Y74" s="1427">
        <v>117.58919999999999</v>
      </c>
      <c r="Z74" s="1427">
        <v>729.05304000000001</v>
      </c>
      <c r="AA74" s="1427">
        <v>297.89263999999997</v>
      </c>
      <c r="AB74" s="1427">
        <v>0</v>
      </c>
      <c r="AC74" s="1427">
        <v>23.51784</v>
      </c>
      <c r="AD74" s="1427">
        <v>94.071359999999999</v>
      </c>
      <c r="AE74" s="1427">
        <v>0</v>
      </c>
      <c r="AF74" s="1967">
        <v>2563.4445599999995</v>
      </c>
      <c r="AG74" s="1108"/>
      <c r="AH74" s="1108"/>
    </row>
    <row r="75" spans="1:34" ht="15">
      <c r="A75" s="1421" t="s">
        <v>2069</v>
      </c>
      <c r="B75" s="1427">
        <v>0</v>
      </c>
      <c r="C75" s="1427">
        <v>0</v>
      </c>
      <c r="D75" s="1427">
        <v>0</v>
      </c>
      <c r="E75" s="1428"/>
      <c r="F75" s="1427">
        <v>0</v>
      </c>
      <c r="G75" s="1427">
        <v>0</v>
      </c>
      <c r="H75" s="1427">
        <v>0</v>
      </c>
      <c r="I75" s="1966">
        <v>0</v>
      </c>
      <c r="J75" s="1427">
        <v>0</v>
      </c>
      <c r="K75" s="1427">
        <v>0</v>
      </c>
      <c r="L75" s="1427">
        <v>0</v>
      </c>
      <c r="M75" s="1427">
        <v>0</v>
      </c>
      <c r="N75" s="1966">
        <v>0</v>
      </c>
      <c r="O75" s="1966">
        <v>0</v>
      </c>
      <c r="P75" s="1427">
        <v>0</v>
      </c>
      <c r="Q75" s="1427">
        <v>0</v>
      </c>
      <c r="R75" s="1427">
        <v>0</v>
      </c>
      <c r="S75" s="1427"/>
      <c r="T75" s="1427">
        <v>0</v>
      </c>
      <c r="U75" s="1427">
        <v>0</v>
      </c>
      <c r="V75" s="1427">
        <v>0</v>
      </c>
      <c r="W75" s="1427">
        <v>0</v>
      </c>
      <c r="X75" s="1427">
        <v>0</v>
      </c>
      <c r="Y75" s="1427">
        <v>0</v>
      </c>
      <c r="Z75" s="1427">
        <v>0</v>
      </c>
      <c r="AA75" s="1427">
        <v>0</v>
      </c>
      <c r="AB75" s="1427">
        <v>0</v>
      </c>
      <c r="AC75" s="1427">
        <v>0</v>
      </c>
      <c r="AD75" s="1427">
        <v>0</v>
      </c>
      <c r="AE75" s="1427">
        <v>0</v>
      </c>
      <c r="AF75" s="1967">
        <v>0</v>
      </c>
      <c r="AG75" s="1108"/>
      <c r="AH75" s="1108"/>
    </row>
    <row r="76" spans="1:34" ht="15">
      <c r="A76" s="1418" t="s">
        <v>2070</v>
      </c>
      <c r="B76" s="1427">
        <v>0</v>
      </c>
      <c r="C76" s="1427">
        <v>223.63852000000003</v>
      </c>
      <c r="D76" s="1427">
        <v>800.24868000000004</v>
      </c>
      <c r="E76" s="1428"/>
      <c r="F76" s="1427">
        <v>533.49912000000006</v>
      </c>
      <c r="G76" s="1427">
        <v>619.72120000000007</v>
      </c>
      <c r="H76" s="1427">
        <v>805.63756000000001</v>
      </c>
      <c r="I76" s="1966">
        <v>80.833200000000005</v>
      </c>
      <c r="J76" s="1427">
        <v>1436.13652</v>
      </c>
      <c r="K76" s="1427">
        <v>363.74940000000004</v>
      </c>
      <c r="L76" s="1427">
        <v>212.86076000000003</v>
      </c>
      <c r="M76" s="1427">
        <v>56.583240000000004</v>
      </c>
      <c r="N76" s="1966">
        <v>29.638840000000002</v>
      </c>
      <c r="O76" s="1966">
        <v>99.694280000000006</v>
      </c>
      <c r="P76" s="1427">
        <v>29.638840000000002</v>
      </c>
      <c r="Q76" s="1427">
        <v>26.944400000000002</v>
      </c>
      <c r="R76" s="1427">
        <v>43.111040000000003</v>
      </c>
      <c r="S76" s="1427"/>
      <c r="T76" s="1427">
        <v>0</v>
      </c>
      <c r="U76" s="1427">
        <v>0</v>
      </c>
      <c r="V76" s="1427">
        <v>0</v>
      </c>
      <c r="W76" s="1427">
        <v>59.277680000000004</v>
      </c>
      <c r="X76" s="1427">
        <v>80.833200000000005</v>
      </c>
      <c r="Y76" s="1427">
        <v>13.472200000000001</v>
      </c>
      <c r="Z76" s="1427">
        <v>83.527640000000005</v>
      </c>
      <c r="AA76" s="1427">
        <v>51.194360000000003</v>
      </c>
      <c r="AB76" s="1427">
        <v>5.3888800000000003</v>
      </c>
      <c r="AC76" s="1427">
        <v>2.6944400000000002</v>
      </c>
      <c r="AD76" s="1427">
        <v>10.777760000000001</v>
      </c>
      <c r="AE76" s="1427">
        <v>61.972120000000004</v>
      </c>
      <c r="AF76" s="1967">
        <v>5731.0738800000008</v>
      </c>
      <c r="AG76" s="1108"/>
      <c r="AH76" s="1108"/>
    </row>
    <row r="77" spans="1:34" ht="15">
      <c r="A77" s="1421" t="s">
        <v>2071</v>
      </c>
      <c r="B77" s="1427">
        <v>0</v>
      </c>
      <c r="C77" s="1427">
        <v>0</v>
      </c>
      <c r="D77" s="1427">
        <v>0</v>
      </c>
      <c r="E77" s="1428"/>
      <c r="F77" s="1427">
        <v>0</v>
      </c>
      <c r="G77" s="1427">
        <v>0</v>
      </c>
      <c r="H77" s="1427">
        <v>0</v>
      </c>
      <c r="I77" s="1966">
        <v>0</v>
      </c>
      <c r="J77" s="1427">
        <v>0</v>
      </c>
      <c r="K77" s="1427">
        <v>0</v>
      </c>
      <c r="L77" s="1427">
        <v>0</v>
      </c>
      <c r="M77" s="1427">
        <v>0</v>
      </c>
      <c r="N77" s="1966">
        <v>0</v>
      </c>
      <c r="O77" s="1966">
        <v>0</v>
      </c>
      <c r="P77" s="1427">
        <v>0</v>
      </c>
      <c r="Q77" s="1427">
        <v>0</v>
      </c>
      <c r="R77" s="1427">
        <v>0</v>
      </c>
      <c r="S77" s="1427"/>
      <c r="T77" s="1427">
        <v>0</v>
      </c>
      <c r="U77" s="1427">
        <v>0</v>
      </c>
      <c r="V77" s="1427">
        <v>0</v>
      </c>
      <c r="W77" s="1427">
        <v>0</v>
      </c>
      <c r="X77" s="1427">
        <v>0</v>
      </c>
      <c r="Y77" s="1427">
        <v>0</v>
      </c>
      <c r="Z77" s="1427">
        <v>0</v>
      </c>
      <c r="AA77" s="1427">
        <v>0</v>
      </c>
      <c r="AB77" s="1427">
        <v>0</v>
      </c>
      <c r="AC77" s="1427">
        <v>0</v>
      </c>
      <c r="AD77" s="1427">
        <v>0</v>
      </c>
      <c r="AE77" s="1427">
        <v>0</v>
      </c>
      <c r="AF77" s="1967">
        <v>0</v>
      </c>
      <c r="AG77" s="1108"/>
      <c r="AH77" s="1108"/>
    </row>
    <row r="78" spans="1:34" ht="15">
      <c r="A78" s="1418" t="s">
        <v>2072</v>
      </c>
      <c r="B78" s="1427">
        <v>0</v>
      </c>
      <c r="C78" s="1427">
        <v>0</v>
      </c>
      <c r="D78" s="1427">
        <v>0</v>
      </c>
      <c r="E78" s="1428"/>
      <c r="F78" s="1427">
        <v>1061.1037800000001</v>
      </c>
      <c r="G78" s="1427">
        <v>1232.5953</v>
      </c>
      <c r="H78" s="1427">
        <v>1602.3738900000001</v>
      </c>
      <c r="I78" s="1966">
        <v>0</v>
      </c>
      <c r="J78" s="1427">
        <v>0</v>
      </c>
      <c r="K78" s="1427">
        <v>0</v>
      </c>
      <c r="L78" s="1427">
        <v>0</v>
      </c>
      <c r="M78" s="1427">
        <v>0</v>
      </c>
      <c r="N78" s="1966">
        <v>0</v>
      </c>
      <c r="O78" s="1966">
        <v>0</v>
      </c>
      <c r="P78" s="1427">
        <v>0</v>
      </c>
      <c r="Q78" s="1427">
        <v>0</v>
      </c>
      <c r="R78" s="1427">
        <v>0</v>
      </c>
      <c r="S78" s="1427"/>
      <c r="T78" s="1427">
        <v>0</v>
      </c>
      <c r="U78" s="1427">
        <v>0</v>
      </c>
      <c r="V78" s="1427">
        <v>0</v>
      </c>
      <c r="W78" s="1427">
        <v>0</v>
      </c>
      <c r="X78" s="1427">
        <v>0</v>
      </c>
      <c r="Y78" s="1427">
        <v>0</v>
      </c>
      <c r="Z78" s="1427">
        <v>0</v>
      </c>
      <c r="AA78" s="1427">
        <v>0</v>
      </c>
      <c r="AB78" s="1427">
        <v>0</v>
      </c>
      <c r="AC78" s="1427">
        <v>0</v>
      </c>
      <c r="AD78" s="1427">
        <v>0</v>
      </c>
      <c r="AE78" s="1427">
        <v>0</v>
      </c>
      <c r="AF78" s="1967">
        <v>3896.0729700000002</v>
      </c>
      <c r="AG78" s="1108"/>
      <c r="AH78" s="1108"/>
    </row>
    <row r="79" spans="1:34" ht="15">
      <c r="A79" s="1418" t="s">
        <v>2073</v>
      </c>
      <c r="B79" s="1427">
        <v>0</v>
      </c>
      <c r="C79" s="1427">
        <v>894.94210500000008</v>
      </c>
      <c r="D79" s="1427">
        <v>3202.3831950000003</v>
      </c>
      <c r="E79" s="1428"/>
      <c r="F79" s="1427">
        <v>0</v>
      </c>
      <c r="G79" s="1427">
        <v>0</v>
      </c>
      <c r="H79" s="1427">
        <v>0</v>
      </c>
      <c r="I79" s="1966">
        <v>323.47305</v>
      </c>
      <c r="J79" s="1427">
        <v>0</v>
      </c>
      <c r="K79" s="1427">
        <v>1455.628725</v>
      </c>
      <c r="L79" s="1427">
        <v>851.812365</v>
      </c>
      <c r="M79" s="1427">
        <v>226.43113500000001</v>
      </c>
      <c r="N79" s="1966">
        <v>118.606785</v>
      </c>
      <c r="O79" s="1966">
        <v>398.95009500000003</v>
      </c>
      <c r="P79" s="1427">
        <v>118.606785</v>
      </c>
      <c r="Q79" s="1427">
        <v>107.82435000000001</v>
      </c>
      <c r="R79" s="1427">
        <v>172.51895999999999</v>
      </c>
      <c r="S79" s="1427"/>
      <c r="T79" s="1427">
        <v>0</v>
      </c>
      <c r="U79" s="1427">
        <v>0</v>
      </c>
      <c r="V79" s="1427">
        <v>0</v>
      </c>
      <c r="W79" s="1427">
        <v>237.21357</v>
      </c>
      <c r="X79" s="1427">
        <v>323.47305</v>
      </c>
      <c r="Y79" s="1427">
        <v>53.912175000000005</v>
      </c>
      <c r="Z79" s="1427">
        <v>334.25548500000002</v>
      </c>
      <c r="AA79" s="1427">
        <v>204.866265</v>
      </c>
      <c r="AB79" s="1427">
        <v>21.564869999999999</v>
      </c>
      <c r="AC79" s="1427">
        <v>10.782435</v>
      </c>
      <c r="AD79" s="1427">
        <v>43.129739999999998</v>
      </c>
      <c r="AE79" s="1427">
        <v>247.996005</v>
      </c>
      <c r="AF79" s="1967">
        <v>9348.3711449999992</v>
      </c>
      <c r="AG79" s="1108"/>
      <c r="AH79" s="1108"/>
    </row>
    <row r="80" spans="1:34" ht="15">
      <c r="A80" s="1418" t="s">
        <v>2074</v>
      </c>
      <c r="B80" s="1427">
        <v>0</v>
      </c>
      <c r="C80" s="1427">
        <v>0</v>
      </c>
      <c r="D80" s="1427">
        <v>0</v>
      </c>
      <c r="E80" s="1428"/>
      <c r="F80" s="1427">
        <v>0</v>
      </c>
      <c r="G80" s="1427">
        <v>0</v>
      </c>
      <c r="H80" s="1427">
        <v>0</v>
      </c>
      <c r="I80" s="1966">
        <v>0</v>
      </c>
      <c r="J80" s="1427">
        <v>0</v>
      </c>
      <c r="K80" s="1427">
        <v>0</v>
      </c>
      <c r="L80" s="1427">
        <v>0</v>
      </c>
      <c r="M80" s="1427">
        <v>0</v>
      </c>
      <c r="N80" s="1966">
        <v>0</v>
      </c>
      <c r="O80" s="1966">
        <v>0</v>
      </c>
      <c r="P80" s="1427">
        <v>0</v>
      </c>
      <c r="Q80" s="1427">
        <v>0</v>
      </c>
      <c r="R80" s="1427">
        <v>0</v>
      </c>
      <c r="S80" s="1427"/>
      <c r="T80" s="1427">
        <v>0</v>
      </c>
      <c r="U80" s="1427">
        <v>0</v>
      </c>
      <c r="V80" s="1427">
        <v>0</v>
      </c>
      <c r="W80" s="1427">
        <v>0</v>
      </c>
      <c r="X80" s="1427">
        <v>0</v>
      </c>
      <c r="Y80" s="1427">
        <v>198.69800000000001</v>
      </c>
      <c r="Z80" s="1427">
        <v>1231.9276</v>
      </c>
      <c r="AA80" s="1427">
        <v>0</v>
      </c>
      <c r="AB80" s="1427">
        <v>0</v>
      </c>
      <c r="AC80" s="1427">
        <v>0</v>
      </c>
      <c r="AD80" s="1427">
        <v>0</v>
      </c>
      <c r="AE80" s="1427">
        <v>0</v>
      </c>
      <c r="AF80" s="1967">
        <v>1430.6256000000001</v>
      </c>
      <c r="AG80" s="1108"/>
      <c r="AH80" s="1108"/>
    </row>
    <row r="81" spans="1:34" ht="15">
      <c r="A81" s="1418" t="s">
        <v>2075</v>
      </c>
      <c r="B81" s="1427">
        <v>0</v>
      </c>
      <c r="C81" s="1427">
        <v>0</v>
      </c>
      <c r="D81" s="1427">
        <v>0</v>
      </c>
      <c r="E81" s="1428"/>
      <c r="F81" s="1427">
        <v>0</v>
      </c>
      <c r="G81" s="1427">
        <v>0</v>
      </c>
      <c r="H81" s="1427">
        <v>0</v>
      </c>
      <c r="I81" s="1966">
        <v>0</v>
      </c>
      <c r="J81" s="1427">
        <v>0</v>
      </c>
      <c r="K81" s="1427">
        <v>0</v>
      </c>
      <c r="L81" s="1427">
        <v>0</v>
      </c>
      <c r="M81" s="1427">
        <v>0</v>
      </c>
      <c r="N81" s="1966">
        <v>0</v>
      </c>
      <c r="O81" s="1966">
        <v>0</v>
      </c>
      <c r="P81" s="1427">
        <v>0</v>
      </c>
      <c r="Q81" s="1427">
        <v>0</v>
      </c>
      <c r="R81" s="1427">
        <v>0</v>
      </c>
      <c r="S81" s="1427"/>
      <c r="T81" s="1427">
        <v>0</v>
      </c>
      <c r="U81" s="1427">
        <v>0</v>
      </c>
      <c r="V81" s="1427">
        <v>0</v>
      </c>
      <c r="W81" s="1427">
        <v>0</v>
      </c>
      <c r="X81" s="1427">
        <v>0</v>
      </c>
      <c r="Y81" s="1427">
        <v>0</v>
      </c>
      <c r="Z81" s="1427">
        <v>0</v>
      </c>
      <c r="AA81" s="1427">
        <v>0</v>
      </c>
      <c r="AB81" s="1427">
        <v>0</v>
      </c>
      <c r="AC81" s="1427">
        <v>0</v>
      </c>
      <c r="AD81" s="1427">
        <v>0</v>
      </c>
      <c r="AE81" s="1427">
        <v>0</v>
      </c>
      <c r="AF81" s="1967">
        <v>0</v>
      </c>
      <c r="AG81" s="1108"/>
      <c r="AH81" s="1108"/>
    </row>
    <row r="82" spans="1:34" ht="15">
      <c r="A82" s="1961" t="s">
        <v>2076</v>
      </c>
      <c r="B82" s="1427">
        <v>0</v>
      </c>
      <c r="C82" s="1427">
        <v>0</v>
      </c>
      <c r="D82" s="1427">
        <v>0</v>
      </c>
      <c r="E82" s="1428"/>
      <c r="F82" s="1427">
        <v>0</v>
      </c>
      <c r="G82" s="1427">
        <v>0</v>
      </c>
      <c r="H82" s="1427">
        <v>0</v>
      </c>
      <c r="I82" s="1966">
        <v>0</v>
      </c>
      <c r="J82" s="1427">
        <v>0</v>
      </c>
      <c r="K82" s="1427">
        <v>0</v>
      </c>
      <c r="L82" s="1427">
        <v>0</v>
      </c>
      <c r="M82" s="1427">
        <v>0</v>
      </c>
      <c r="N82" s="1966">
        <v>0</v>
      </c>
      <c r="O82" s="1966">
        <v>0</v>
      </c>
      <c r="P82" s="1427">
        <v>0</v>
      </c>
      <c r="Q82" s="1427">
        <v>0</v>
      </c>
      <c r="R82" s="1427">
        <v>0</v>
      </c>
      <c r="S82" s="1427"/>
      <c r="T82" s="1427">
        <v>0</v>
      </c>
      <c r="U82" s="1427">
        <v>0</v>
      </c>
      <c r="V82" s="1427">
        <v>0</v>
      </c>
      <c r="W82" s="1427">
        <v>0</v>
      </c>
      <c r="X82" s="1427">
        <v>0</v>
      </c>
      <c r="Y82" s="1427">
        <v>0</v>
      </c>
      <c r="Z82" s="1427">
        <v>0</v>
      </c>
      <c r="AA82" s="1427">
        <v>0</v>
      </c>
      <c r="AB82" s="1427">
        <v>0</v>
      </c>
      <c r="AC82" s="1427">
        <v>0</v>
      </c>
      <c r="AD82" s="1427">
        <v>0</v>
      </c>
      <c r="AE82" s="1427">
        <v>0</v>
      </c>
      <c r="AF82" s="1967">
        <v>0</v>
      </c>
      <c r="AG82" s="1108"/>
      <c r="AH82" s="1108"/>
    </row>
    <row r="83" spans="1:34" ht="15">
      <c r="A83" s="1418" t="s">
        <v>2077</v>
      </c>
      <c r="B83" s="1427">
        <v>0</v>
      </c>
      <c r="C83" s="1427">
        <v>0</v>
      </c>
      <c r="D83" s="1427">
        <v>0</v>
      </c>
      <c r="E83" s="1428"/>
      <c r="F83" s="1427">
        <v>0</v>
      </c>
      <c r="G83" s="1427">
        <v>0</v>
      </c>
      <c r="H83" s="1427">
        <v>0</v>
      </c>
      <c r="I83" s="1966">
        <v>0</v>
      </c>
      <c r="J83" s="1427">
        <v>0</v>
      </c>
      <c r="K83" s="1427">
        <v>0</v>
      </c>
      <c r="L83" s="1427">
        <v>0</v>
      </c>
      <c r="M83" s="1427">
        <v>0</v>
      </c>
      <c r="N83" s="1966">
        <v>0</v>
      </c>
      <c r="O83" s="1966">
        <v>0</v>
      </c>
      <c r="P83" s="1427">
        <v>0</v>
      </c>
      <c r="Q83" s="1427">
        <v>0</v>
      </c>
      <c r="R83" s="1427">
        <v>0</v>
      </c>
      <c r="S83" s="1427"/>
      <c r="T83" s="1427">
        <v>0</v>
      </c>
      <c r="U83" s="1427">
        <v>0</v>
      </c>
      <c r="V83" s="1427">
        <v>0</v>
      </c>
      <c r="W83" s="1427">
        <v>0</v>
      </c>
      <c r="X83" s="1427">
        <v>0</v>
      </c>
      <c r="Y83" s="1427">
        <v>0</v>
      </c>
      <c r="Z83" s="1427">
        <v>0</v>
      </c>
      <c r="AA83" s="1427">
        <v>0</v>
      </c>
      <c r="AB83" s="1427">
        <v>0</v>
      </c>
      <c r="AC83" s="1427">
        <v>0</v>
      </c>
      <c r="AD83" s="1427">
        <v>0</v>
      </c>
      <c r="AE83" s="1427">
        <v>0</v>
      </c>
      <c r="AF83" s="1967">
        <v>0</v>
      </c>
      <c r="AG83" s="1108"/>
      <c r="AH83" s="1108"/>
    </row>
    <row r="84" spans="1:34" ht="15">
      <c r="A84" s="1418" t="s">
        <v>2078</v>
      </c>
      <c r="B84" s="1427">
        <v>0</v>
      </c>
      <c r="C84" s="1427">
        <v>1155.8480400000001</v>
      </c>
      <c r="D84" s="1427">
        <v>2585.5717199999999</v>
      </c>
      <c r="E84" s="1428"/>
      <c r="F84" s="1427">
        <v>0</v>
      </c>
      <c r="G84" s="1427">
        <v>0</v>
      </c>
      <c r="H84" s="1427">
        <v>0</v>
      </c>
      <c r="I84" s="1966">
        <v>0</v>
      </c>
      <c r="J84" s="1427">
        <v>0</v>
      </c>
      <c r="K84" s="1427">
        <v>0</v>
      </c>
      <c r="L84" s="1427">
        <v>0</v>
      </c>
      <c r="M84" s="1427">
        <v>0</v>
      </c>
      <c r="N84" s="1966">
        <v>0</v>
      </c>
      <c r="O84" s="1966">
        <v>0</v>
      </c>
      <c r="P84" s="1427">
        <v>0</v>
      </c>
      <c r="Q84" s="1427">
        <v>0</v>
      </c>
      <c r="R84" s="1427">
        <v>0</v>
      </c>
      <c r="S84" s="1427"/>
      <c r="T84" s="1427">
        <v>0</v>
      </c>
      <c r="U84" s="1427">
        <v>0</v>
      </c>
      <c r="V84" s="1427">
        <v>0</v>
      </c>
      <c r="W84" s="1427">
        <v>0</v>
      </c>
      <c r="X84" s="1427">
        <v>0</v>
      </c>
      <c r="Y84" s="1427">
        <v>55.703519999999997</v>
      </c>
      <c r="Z84" s="1427">
        <v>431.70228000000003</v>
      </c>
      <c r="AA84" s="1427">
        <v>264.59172000000001</v>
      </c>
      <c r="AB84" s="1427">
        <v>0</v>
      </c>
      <c r="AC84" s="1427">
        <v>13.925879999999999</v>
      </c>
      <c r="AD84" s="1427">
        <v>55.703519999999997</v>
      </c>
      <c r="AE84" s="1427">
        <v>0</v>
      </c>
      <c r="AF84" s="1967">
        <v>4563.0466800000004</v>
      </c>
      <c r="AG84" s="1108"/>
      <c r="AH84" s="1108"/>
    </row>
    <row r="85" spans="1:34" ht="15">
      <c r="A85" s="1418" t="s">
        <v>2079</v>
      </c>
      <c r="B85" s="1427">
        <v>0</v>
      </c>
      <c r="C85" s="1427">
        <v>0</v>
      </c>
      <c r="D85" s="1427">
        <v>0</v>
      </c>
      <c r="E85" s="1428"/>
      <c r="F85" s="1427">
        <v>0</v>
      </c>
      <c r="G85" s="1427">
        <v>0</v>
      </c>
      <c r="H85" s="1427">
        <v>0</v>
      </c>
      <c r="I85" s="1966">
        <v>0</v>
      </c>
      <c r="J85" s="1427">
        <v>0</v>
      </c>
      <c r="K85" s="1427">
        <v>0</v>
      </c>
      <c r="L85" s="1427">
        <v>0</v>
      </c>
      <c r="M85" s="1427">
        <v>0</v>
      </c>
      <c r="N85" s="1966">
        <v>0</v>
      </c>
      <c r="O85" s="1966">
        <v>0</v>
      </c>
      <c r="P85" s="1427">
        <v>0</v>
      </c>
      <c r="Q85" s="1427">
        <v>0</v>
      </c>
      <c r="R85" s="1427">
        <v>0</v>
      </c>
      <c r="S85" s="1427"/>
      <c r="T85" s="1427">
        <v>0</v>
      </c>
      <c r="U85" s="1427">
        <v>0</v>
      </c>
      <c r="V85" s="1427">
        <v>0</v>
      </c>
      <c r="W85" s="1427">
        <v>0</v>
      </c>
      <c r="X85" s="1427">
        <v>0</v>
      </c>
      <c r="Y85" s="1427">
        <v>0</v>
      </c>
      <c r="Z85" s="1427">
        <v>0</v>
      </c>
      <c r="AA85" s="1427">
        <v>0</v>
      </c>
      <c r="AB85" s="1427">
        <v>0</v>
      </c>
      <c r="AC85" s="1427">
        <v>0</v>
      </c>
      <c r="AD85" s="1427">
        <v>0</v>
      </c>
      <c r="AE85" s="1427">
        <v>0</v>
      </c>
      <c r="AF85" s="1967">
        <v>0</v>
      </c>
      <c r="AG85" s="1108"/>
      <c r="AH85" s="1108"/>
    </row>
    <row r="86" spans="1:34" ht="15">
      <c r="A86" s="1418" t="s">
        <v>2080</v>
      </c>
      <c r="B86" s="1427">
        <v>0</v>
      </c>
      <c r="C86" s="1427">
        <v>13016.440416666666</v>
      </c>
      <c r="D86" s="1427">
        <v>48158.90935943061</v>
      </c>
      <c r="E86" s="1428"/>
      <c r="F86" s="1427">
        <v>22358.785979381442</v>
      </c>
      <c r="G86" s="1427">
        <v>18356.841685477801</v>
      </c>
      <c r="H86" s="1427">
        <v>19128.565996343692</v>
      </c>
      <c r="I86" s="1966">
        <v>5846.0941176470587</v>
      </c>
      <c r="J86" s="1427">
        <v>42651.740909090913</v>
      </c>
      <c r="K86" s="1427">
        <v>9748.6862264150932</v>
      </c>
      <c r="L86" s="1427">
        <v>11863.892540344514</v>
      </c>
      <c r="M86" s="1427">
        <v>3348.8700000000003</v>
      </c>
      <c r="N86" s="1966">
        <v>1247.8013186813187</v>
      </c>
      <c r="O86" s="1966">
        <v>2901.5295007882291</v>
      </c>
      <c r="P86" s="1427">
        <v>1875.8335947712419</v>
      </c>
      <c r="Q86" s="1427">
        <v>1201.7626666666667</v>
      </c>
      <c r="R86" s="1427">
        <v>1247.0386147186146</v>
      </c>
      <c r="S86" s="1427"/>
      <c r="T86" s="1427">
        <v>0</v>
      </c>
      <c r="U86" s="1427">
        <v>0</v>
      </c>
      <c r="V86" s="1427">
        <v>0</v>
      </c>
      <c r="W86" s="1427">
        <v>1682.9057142857143</v>
      </c>
      <c r="X86" s="1427">
        <v>2860.245511627907</v>
      </c>
      <c r="Y86" s="1427">
        <v>789.82258064516122</v>
      </c>
      <c r="Z86" s="1427">
        <v>5655.0632558139541</v>
      </c>
      <c r="AA86" s="1427">
        <v>2773.0239215686274</v>
      </c>
      <c r="AB86" s="1427">
        <v>406.91999999999996</v>
      </c>
      <c r="AC86" s="1427">
        <v>161.05583999999999</v>
      </c>
      <c r="AD86" s="1427">
        <v>752.84799999999996</v>
      </c>
      <c r="AE86" s="1427">
        <v>3704.2843199999998</v>
      </c>
      <c r="AF86" s="1967">
        <v>221738.96207036523</v>
      </c>
      <c r="AG86" s="1108"/>
      <c r="AH86" s="1108"/>
    </row>
    <row r="87" spans="1:34" ht="15">
      <c r="A87" s="1418" t="s">
        <v>2081</v>
      </c>
      <c r="B87" s="1427"/>
      <c r="C87" s="1427"/>
      <c r="D87" s="1427"/>
      <c r="E87" s="1428"/>
      <c r="F87" s="1427"/>
      <c r="G87" s="1427"/>
      <c r="H87" s="1427"/>
      <c r="I87" s="1966"/>
      <c r="J87" s="1427"/>
      <c r="K87" s="1427"/>
      <c r="L87" s="1427"/>
      <c r="M87" s="1427"/>
      <c r="N87" s="1966"/>
      <c r="O87" s="1966"/>
      <c r="P87" s="1427"/>
      <c r="Q87" s="1427"/>
      <c r="R87" s="1427"/>
      <c r="S87" s="1427"/>
      <c r="T87" s="1427">
        <v>0</v>
      </c>
      <c r="U87" s="1427">
        <v>0</v>
      </c>
      <c r="V87" s="1427">
        <v>0</v>
      </c>
      <c r="W87" s="1427">
        <v>0</v>
      </c>
      <c r="X87" s="1427">
        <v>0</v>
      </c>
      <c r="Y87" s="1427">
        <v>0</v>
      </c>
      <c r="Z87" s="1427">
        <v>0</v>
      </c>
      <c r="AA87" s="1427">
        <v>18084.96</v>
      </c>
      <c r="AB87" s="1427">
        <v>0</v>
      </c>
      <c r="AC87" s="1427">
        <v>672.56009389671362</v>
      </c>
      <c r="AD87" s="1427">
        <v>2690.2403755868545</v>
      </c>
      <c r="AE87" s="1427">
        <v>0</v>
      </c>
      <c r="AF87" s="1967">
        <v>21447.760469483568</v>
      </c>
      <c r="AG87" s="1108"/>
      <c r="AH87" s="1108"/>
    </row>
    <row r="88" spans="1:34" ht="15">
      <c r="A88" s="1418"/>
      <c r="B88" s="1427"/>
      <c r="C88" s="1427"/>
      <c r="D88" s="1427"/>
      <c r="E88" s="1428"/>
      <c r="F88" s="1427"/>
      <c r="G88" s="1427"/>
      <c r="H88" s="1427"/>
      <c r="I88" s="1966"/>
      <c r="J88" s="1427"/>
      <c r="K88" s="1427"/>
      <c r="L88" s="1427"/>
      <c r="M88" s="1427"/>
      <c r="N88" s="1966"/>
      <c r="O88" s="1966"/>
      <c r="P88" s="1427"/>
      <c r="Q88" s="1427"/>
      <c r="R88" s="1427"/>
      <c r="S88" s="1427"/>
      <c r="T88" s="1427"/>
      <c r="U88" s="1427"/>
      <c r="V88" s="1427"/>
      <c r="W88" s="1427">
        <v>0</v>
      </c>
      <c r="X88" s="1427">
        <v>0</v>
      </c>
      <c r="Y88" s="1427">
        <v>0</v>
      </c>
      <c r="Z88" s="1427">
        <v>0</v>
      </c>
      <c r="AA88" s="1427">
        <v>0</v>
      </c>
      <c r="AB88" s="1427">
        <v>0</v>
      </c>
      <c r="AC88" s="1427">
        <v>0</v>
      </c>
      <c r="AD88" s="1427">
        <v>0</v>
      </c>
      <c r="AE88" s="1427">
        <v>0</v>
      </c>
      <c r="AF88" s="1967">
        <v>0</v>
      </c>
      <c r="AG88" s="1108"/>
      <c r="AH88" s="1108"/>
    </row>
    <row r="89" spans="1:34" ht="15">
      <c r="A89" s="1418"/>
      <c r="B89" s="1427"/>
      <c r="C89" s="1427"/>
      <c r="D89" s="1427"/>
      <c r="E89" s="1428"/>
      <c r="F89" s="1427"/>
      <c r="G89" s="1427"/>
      <c r="H89" s="1427"/>
      <c r="I89" s="1966"/>
      <c r="J89" s="1427"/>
      <c r="K89" s="1427"/>
      <c r="L89" s="1427"/>
      <c r="M89" s="1427"/>
      <c r="N89" s="1966"/>
      <c r="O89" s="1966"/>
      <c r="P89" s="1427"/>
      <c r="Q89" s="1427"/>
      <c r="R89" s="1427"/>
      <c r="S89" s="1427"/>
      <c r="T89" s="1427"/>
      <c r="U89" s="1427"/>
      <c r="V89" s="1427"/>
      <c r="W89" s="1427">
        <v>0</v>
      </c>
      <c r="X89" s="1427">
        <v>0</v>
      </c>
      <c r="Y89" s="1427">
        <v>0</v>
      </c>
      <c r="Z89" s="1427">
        <v>0</v>
      </c>
      <c r="AA89" s="1427">
        <v>0</v>
      </c>
      <c r="AB89" s="1427">
        <v>0</v>
      </c>
      <c r="AC89" s="1427">
        <v>0</v>
      </c>
      <c r="AD89" s="1427">
        <v>0</v>
      </c>
      <c r="AE89" s="1427">
        <v>0</v>
      </c>
      <c r="AF89" s="1967">
        <v>0</v>
      </c>
      <c r="AG89" s="1108"/>
      <c r="AH89" s="1108"/>
    </row>
    <row r="90" spans="1:34" ht="15">
      <c r="A90" s="1418"/>
      <c r="B90" s="1427"/>
      <c r="C90" s="1427"/>
      <c r="D90" s="1427"/>
      <c r="E90" s="1428"/>
      <c r="F90" s="1427"/>
      <c r="G90" s="1427"/>
      <c r="H90" s="1427"/>
      <c r="I90" s="1966"/>
      <c r="J90" s="1427"/>
      <c r="K90" s="1427"/>
      <c r="L90" s="1427"/>
      <c r="M90" s="1427"/>
      <c r="N90" s="1966"/>
      <c r="O90" s="1966"/>
      <c r="P90" s="1427"/>
      <c r="Q90" s="1427"/>
      <c r="R90" s="1427"/>
      <c r="S90" s="1427"/>
      <c r="T90" s="1427"/>
      <c r="U90" s="1427"/>
      <c r="V90" s="1427"/>
      <c r="W90" s="1427">
        <v>0</v>
      </c>
      <c r="X90" s="1427">
        <v>0</v>
      </c>
      <c r="Y90" s="1427">
        <v>0</v>
      </c>
      <c r="Z90" s="1427">
        <v>0</v>
      </c>
      <c r="AA90" s="1427">
        <v>0</v>
      </c>
      <c r="AB90" s="1427">
        <v>0</v>
      </c>
      <c r="AC90" s="1427">
        <v>0</v>
      </c>
      <c r="AD90" s="1427">
        <v>0</v>
      </c>
      <c r="AE90" s="1427">
        <v>0</v>
      </c>
      <c r="AF90" s="1967">
        <v>0</v>
      </c>
      <c r="AG90" s="1108"/>
      <c r="AH90" s="1108"/>
    </row>
    <row r="91" spans="1:34" ht="15">
      <c r="A91" s="1418"/>
      <c r="B91" s="1427"/>
      <c r="C91" s="1427"/>
      <c r="D91" s="1427"/>
      <c r="E91" s="1428"/>
      <c r="F91" s="1427"/>
      <c r="G91" s="1427"/>
      <c r="H91" s="1427"/>
      <c r="I91" s="1966"/>
      <c r="J91" s="1427"/>
      <c r="K91" s="1427"/>
      <c r="L91" s="1427"/>
      <c r="M91" s="1427"/>
      <c r="N91" s="1966"/>
      <c r="O91" s="1966"/>
      <c r="P91" s="1427"/>
      <c r="Q91" s="1427"/>
      <c r="R91" s="1427"/>
      <c r="S91" s="1427"/>
      <c r="T91" s="1427"/>
      <c r="U91" s="1427"/>
      <c r="V91" s="1427"/>
      <c r="W91" s="1427">
        <v>0</v>
      </c>
      <c r="X91" s="1427">
        <v>0</v>
      </c>
      <c r="Y91" s="1427">
        <v>0</v>
      </c>
      <c r="Z91" s="1427">
        <v>0</v>
      </c>
      <c r="AA91" s="1427">
        <v>0</v>
      </c>
      <c r="AB91" s="1427">
        <v>0</v>
      </c>
      <c r="AC91" s="1427">
        <v>0</v>
      </c>
      <c r="AD91" s="1427">
        <v>0</v>
      </c>
      <c r="AE91" s="1427">
        <v>0</v>
      </c>
      <c r="AF91" s="1967">
        <v>0</v>
      </c>
      <c r="AG91" s="1108"/>
      <c r="AH91" s="1108"/>
    </row>
    <row r="92" spans="1:34" ht="15">
      <c r="A92" s="1418"/>
      <c r="B92" s="1427"/>
      <c r="C92" s="1427"/>
      <c r="D92" s="1427"/>
      <c r="E92" s="1428"/>
      <c r="F92" s="1427"/>
      <c r="G92" s="1427"/>
      <c r="H92" s="1427"/>
      <c r="I92" s="1966"/>
      <c r="J92" s="1427"/>
      <c r="K92" s="1427"/>
      <c r="L92" s="1427"/>
      <c r="M92" s="1427"/>
      <c r="N92" s="1966"/>
      <c r="O92" s="1966"/>
      <c r="P92" s="1427"/>
      <c r="Q92" s="1427"/>
      <c r="R92" s="1427"/>
      <c r="S92" s="1427"/>
      <c r="T92" s="1427"/>
      <c r="U92" s="1427"/>
      <c r="V92" s="1427"/>
      <c r="W92" s="1427">
        <v>0</v>
      </c>
      <c r="X92" s="1427">
        <v>0</v>
      </c>
      <c r="Y92" s="1427">
        <v>0</v>
      </c>
      <c r="Z92" s="1427">
        <v>0</v>
      </c>
      <c r="AA92" s="1427">
        <v>0</v>
      </c>
      <c r="AB92" s="1427">
        <v>0</v>
      </c>
      <c r="AC92" s="1427">
        <v>0</v>
      </c>
      <c r="AD92" s="1427">
        <v>0</v>
      </c>
      <c r="AE92" s="1427">
        <v>0</v>
      </c>
      <c r="AF92" s="1967">
        <v>0</v>
      </c>
      <c r="AG92" s="1108"/>
      <c r="AH92" s="1108"/>
    </row>
    <row r="93" spans="1:34" ht="15">
      <c r="A93" s="1418"/>
      <c r="B93" s="1427"/>
      <c r="C93" s="1427"/>
      <c r="D93" s="1427"/>
      <c r="E93" s="1428"/>
      <c r="F93" s="1427"/>
      <c r="G93" s="1427"/>
      <c r="H93" s="1427"/>
      <c r="I93" s="1966"/>
      <c r="J93" s="1427"/>
      <c r="K93" s="1427"/>
      <c r="L93" s="1427"/>
      <c r="M93" s="1427"/>
      <c r="N93" s="1966"/>
      <c r="O93" s="1966"/>
      <c r="P93" s="1427"/>
      <c r="Q93" s="1427"/>
      <c r="R93" s="1427"/>
      <c r="S93" s="1427"/>
      <c r="T93" s="1427"/>
      <c r="U93" s="1427"/>
      <c r="V93" s="1427"/>
      <c r="W93" s="1427">
        <v>0</v>
      </c>
      <c r="X93" s="1427">
        <v>0</v>
      </c>
      <c r="Y93" s="1427">
        <v>0</v>
      </c>
      <c r="Z93" s="1427">
        <v>0</v>
      </c>
      <c r="AA93" s="1427">
        <v>0</v>
      </c>
      <c r="AB93" s="1427">
        <v>0</v>
      </c>
      <c r="AC93" s="1427">
        <v>0</v>
      </c>
      <c r="AD93" s="1427">
        <v>0</v>
      </c>
      <c r="AE93" s="1427">
        <v>0</v>
      </c>
      <c r="AF93" s="1967">
        <v>0</v>
      </c>
      <c r="AG93" s="1108"/>
      <c r="AH93" s="1108"/>
    </row>
    <row r="94" spans="1:34" ht="15">
      <c r="A94" s="1418"/>
      <c r="B94" s="1427"/>
      <c r="C94" s="1427"/>
      <c r="D94" s="1427"/>
      <c r="E94" s="1428"/>
      <c r="F94" s="1427"/>
      <c r="G94" s="1427"/>
      <c r="H94" s="1427"/>
      <c r="I94" s="1966"/>
      <c r="J94" s="1427"/>
      <c r="K94" s="1427"/>
      <c r="L94" s="1427"/>
      <c r="M94" s="1427"/>
      <c r="N94" s="1966"/>
      <c r="O94" s="1966"/>
      <c r="P94" s="1427"/>
      <c r="Q94" s="1427"/>
      <c r="R94" s="1427"/>
      <c r="S94" s="1427"/>
      <c r="T94" s="1427"/>
      <c r="U94" s="1427"/>
      <c r="V94" s="1427"/>
      <c r="W94" s="1427">
        <v>0</v>
      </c>
      <c r="X94" s="1427">
        <v>0</v>
      </c>
      <c r="Y94" s="1427">
        <v>0</v>
      </c>
      <c r="Z94" s="1427">
        <v>0</v>
      </c>
      <c r="AA94" s="1427">
        <v>0</v>
      </c>
      <c r="AB94" s="1427">
        <v>0</v>
      </c>
      <c r="AC94" s="1427">
        <v>0</v>
      </c>
      <c r="AD94" s="1427">
        <v>0</v>
      </c>
      <c r="AE94" s="1427">
        <v>0</v>
      </c>
      <c r="AF94" s="1967">
        <v>0</v>
      </c>
      <c r="AG94" s="1108"/>
      <c r="AH94" s="1108"/>
    </row>
    <row r="95" spans="1:34" ht="15">
      <c r="A95" s="1418"/>
      <c r="B95" s="1427"/>
      <c r="C95" s="1427"/>
      <c r="D95" s="1427"/>
      <c r="E95" s="1428"/>
      <c r="F95" s="1427"/>
      <c r="G95" s="1427"/>
      <c r="H95" s="1427"/>
      <c r="I95" s="1966"/>
      <c r="J95" s="1427"/>
      <c r="K95" s="1427"/>
      <c r="L95" s="1427"/>
      <c r="M95" s="1427"/>
      <c r="N95" s="1966"/>
      <c r="O95" s="1966"/>
      <c r="P95" s="1427"/>
      <c r="Q95" s="1427"/>
      <c r="R95" s="1427"/>
      <c r="S95" s="1427"/>
      <c r="T95" s="1427"/>
      <c r="U95" s="1427"/>
      <c r="V95" s="1427"/>
      <c r="W95" s="1427">
        <v>0</v>
      </c>
      <c r="X95" s="1427">
        <v>0</v>
      </c>
      <c r="Y95" s="1427">
        <v>0</v>
      </c>
      <c r="Z95" s="1427">
        <v>0</v>
      </c>
      <c r="AA95" s="1427">
        <v>0</v>
      </c>
      <c r="AB95" s="1427">
        <v>0</v>
      </c>
      <c r="AC95" s="1427">
        <v>0</v>
      </c>
      <c r="AD95" s="1427">
        <v>0</v>
      </c>
      <c r="AE95" s="1427">
        <v>0</v>
      </c>
      <c r="AF95" s="1967">
        <v>0</v>
      </c>
      <c r="AG95" s="1108"/>
      <c r="AH95" s="1108"/>
    </row>
    <row r="96" spans="1:34" ht="15">
      <c r="A96" s="1418"/>
      <c r="B96" s="1427"/>
      <c r="C96" s="1427"/>
      <c r="D96" s="1427"/>
      <c r="E96" s="1428"/>
      <c r="F96" s="1427"/>
      <c r="G96" s="1427"/>
      <c r="H96" s="1427"/>
      <c r="I96" s="1966"/>
      <c r="J96" s="1427"/>
      <c r="K96" s="1427"/>
      <c r="L96" s="1427"/>
      <c r="M96" s="1427"/>
      <c r="N96" s="1966"/>
      <c r="O96" s="1966"/>
      <c r="P96" s="1427"/>
      <c r="Q96" s="1427"/>
      <c r="R96" s="1427"/>
      <c r="S96" s="1427"/>
      <c r="T96" s="1427"/>
      <c r="U96" s="1427"/>
      <c r="V96" s="1427"/>
      <c r="W96" s="1427">
        <v>0</v>
      </c>
      <c r="X96" s="1427">
        <v>0</v>
      </c>
      <c r="Y96" s="1427">
        <v>0</v>
      </c>
      <c r="Z96" s="1427">
        <v>0</v>
      </c>
      <c r="AA96" s="1427">
        <v>0</v>
      </c>
      <c r="AB96" s="1427">
        <v>0</v>
      </c>
      <c r="AC96" s="1427">
        <v>0</v>
      </c>
      <c r="AD96" s="1427">
        <v>0</v>
      </c>
      <c r="AE96" s="1427">
        <v>0</v>
      </c>
      <c r="AF96" s="1967">
        <v>0</v>
      </c>
      <c r="AG96" s="1108"/>
      <c r="AH96" s="1108"/>
    </row>
    <row r="97" spans="1:37" s="1" customFormat="1" ht="16.149999999999999" thickBot="1">
      <c r="A97" s="1422"/>
      <c r="B97" s="1429">
        <v>0</v>
      </c>
      <c r="C97" s="1429">
        <v>100950.25880166663</v>
      </c>
      <c r="D97" s="1429">
        <v>306528.53085443063</v>
      </c>
      <c r="E97" s="1429">
        <v>0</v>
      </c>
      <c r="F97" s="1429">
        <v>168353.45435938146</v>
      </c>
      <c r="G97" s="1429">
        <v>192373.23398547777</v>
      </c>
      <c r="H97" s="1429">
        <v>235056.3285663437</v>
      </c>
      <c r="I97" s="1968">
        <v>27520.559967647059</v>
      </c>
      <c r="J97" s="1429">
        <v>447055.97685909085</v>
      </c>
      <c r="K97" s="1429">
        <v>99507.64755141511</v>
      </c>
      <c r="L97" s="1429">
        <v>76740.469645344521</v>
      </c>
      <c r="M97" s="1429">
        <v>20755.186934999998</v>
      </c>
      <c r="N97" s="1968">
        <v>8346.4765836813167</v>
      </c>
      <c r="O97" s="1968">
        <v>28471.026815788231</v>
      </c>
      <c r="P97" s="1429">
        <v>9958.2637197712411</v>
      </c>
      <c r="Q97" s="1429">
        <v>8204.8982166666665</v>
      </c>
      <c r="R97" s="1429">
        <v>12154.272454718614</v>
      </c>
      <c r="S97" s="1429">
        <v>0</v>
      </c>
      <c r="T97" s="1429">
        <v>0</v>
      </c>
      <c r="U97" s="1429">
        <v>0</v>
      </c>
      <c r="V97" s="1429">
        <v>0</v>
      </c>
      <c r="W97" s="1429">
        <v>16397.481964285715</v>
      </c>
      <c r="X97" s="1429">
        <v>23186.343961627907</v>
      </c>
      <c r="Y97" s="1429">
        <v>7218.2805756451617</v>
      </c>
      <c r="Z97" s="1429">
        <v>45579.753440813962</v>
      </c>
      <c r="AA97" s="1429">
        <v>34836.973526568625</v>
      </c>
      <c r="AB97" s="1429">
        <v>1757.4419499999999</v>
      </c>
      <c r="AC97" s="1429">
        <v>1494.3368888967134</v>
      </c>
      <c r="AD97" s="1429">
        <v>6094.8417155868538</v>
      </c>
      <c r="AE97" s="1429">
        <v>18612.426504999999</v>
      </c>
      <c r="AF97" s="1429">
        <v>1897154.4658448484</v>
      </c>
      <c r="AG97" s="1104"/>
      <c r="AH97" s="1104"/>
    </row>
    <row r="98" spans="1:37" ht="15">
      <c r="A98" s="1413"/>
      <c r="B98" s="1413"/>
      <c r="C98" s="1413"/>
      <c r="D98" s="1413"/>
      <c r="E98" s="1413"/>
      <c r="F98" s="1413"/>
      <c r="G98" s="1413"/>
      <c r="H98" s="1413"/>
      <c r="I98" s="1969"/>
      <c r="J98" s="1413"/>
      <c r="K98" s="1413"/>
      <c r="L98" s="1413"/>
      <c r="M98" s="1413"/>
      <c r="N98" s="1969"/>
      <c r="O98" s="1969"/>
      <c r="P98" s="1413"/>
      <c r="Q98" s="1413"/>
      <c r="R98" s="1413"/>
      <c r="S98" s="1413"/>
      <c r="T98" s="1413"/>
      <c r="U98" s="1413"/>
      <c r="V98" s="1413"/>
      <c r="W98" s="1413"/>
      <c r="X98" s="1413"/>
      <c r="Y98" s="1413"/>
      <c r="Z98" s="1413"/>
      <c r="AA98" s="1413"/>
      <c r="AB98" s="1413"/>
      <c r="AC98" s="1413"/>
      <c r="AD98" s="1413"/>
      <c r="AE98" s="1413"/>
      <c r="AF98" s="1430"/>
      <c r="AG98" s="1106"/>
      <c r="AH98" s="1106"/>
    </row>
    <row r="99" spans="1:37" ht="15">
      <c r="A99" s="1418" t="s">
        <v>2084</v>
      </c>
      <c r="B99" s="1425" t="e">
        <v>#DIV/0!</v>
      </c>
      <c r="C99" s="1425">
        <v>0.60767833041885233</v>
      </c>
      <c r="D99" s="1425">
        <v>0.51452673545032956</v>
      </c>
      <c r="E99" s="1425"/>
      <c r="F99" s="1425">
        <v>0.42492252449376688</v>
      </c>
      <c r="G99" s="1425">
        <v>0.41757631809997564</v>
      </c>
      <c r="H99" s="1425">
        <v>0.39287434638256741</v>
      </c>
      <c r="I99" s="1965">
        <v>0.45925006203833224</v>
      </c>
      <c r="J99" s="1425">
        <v>0.41919757332726731</v>
      </c>
      <c r="K99" s="1425">
        <v>0.36863900253365234</v>
      </c>
      <c r="L99" s="1425">
        <v>0.48533517359034217</v>
      </c>
      <c r="M99" s="1425">
        <v>0.49429469117279312</v>
      </c>
      <c r="N99" s="1965">
        <v>0.37948016930056683</v>
      </c>
      <c r="O99" s="1965">
        <v>0.38445526417063192</v>
      </c>
      <c r="P99" s="1425">
        <v>0.45185760009852038</v>
      </c>
      <c r="Q99" s="1425">
        <v>0.40993745774002832</v>
      </c>
      <c r="R99" s="1425">
        <v>0.37991599320825875</v>
      </c>
      <c r="S99" s="1425"/>
      <c r="T99" s="1425">
        <v>0</v>
      </c>
      <c r="U99" s="1425">
        <v>0</v>
      </c>
      <c r="V99" s="1425">
        <v>0</v>
      </c>
      <c r="W99" s="1425">
        <v>0.37276323545172008</v>
      </c>
      <c r="X99" s="1425">
        <v>0.3864841558453137</v>
      </c>
      <c r="Y99" s="1425">
        <v>0.72244213337788732</v>
      </c>
      <c r="Z99" s="1425">
        <v>0.73512767131670431</v>
      </c>
      <c r="AA99" s="1425">
        <v>0.91699170915277828</v>
      </c>
      <c r="AB99" s="1425">
        <v>0.43903121408943291</v>
      </c>
      <c r="AC99" s="1425">
        <v>0.74698169902360079</v>
      </c>
      <c r="AD99" s="1425">
        <v>0.76204572587982666</v>
      </c>
      <c r="AE99" s="1425">
        <v>0.40471914728682168</v>
      </c>
      <c r="AF99" s="1970">
        <v>0.44559936945773032</v>
      </c>
      <c r="AG99" s="1105"/>
      <c r="AH99" s="1105"/>
    </row>
    <row r="100" spans="1:37" ht="15">
      <c r="A100" s="1413"/>
      <c r="B100" s="1413"/>
      <c r="C100" s="1413"/>
      <c r="D100" s="1413"/>
      <c r="E100" s="1413"/>
      <c r="F100" s="1413"/>
      <c r="G100" s="1413"/>
      <c r="H100" s="1413"/>
      <c r="I100" s="1969"/>
      <c r="J100" s="1413"/>
      <c r="K100" s="1413"/>
      <c r="L100" s="1413"/>
      <c r="M100" s="1413"/>
      <c r="N100" s="1969"/>
      <c r="O100" s="1969"/>
      <c r="P100" s="1413"/>
      <c r="Q100" s="1413"/>
      <c r="R100" s="1413"/>
      <c r="S100" s="1413"/>
      <c r="T100" s="1413"/>
      <c r="U100" s="1413"/>
      <c r="V100" s="1413"/>
      <c r="W100" s="1413"/>
      <c r="X100" s="1413"/>
      <c r="Y100" s="1413"/>
      <c r="Z100" s="1413"/>
      <c r="AA100" s="1413"/>
      <c r="AB100" s="1413"/>
      <c r="AC100" s="1413"/>
      <c r="AD100" s="1413"/>
      <c r="AE100" s="1413"/>
      <c r="AF100" s="1430"/>
      <c r="AG100" s="1106"/>
      <c r="AH100" s="1106"/>
    </row>
    <row r="101" spans="1:37" ht="15">
      <c r="A101" s="1413" t="s">
        <v>2085</v>
      </c>
      <c r="B101" s="1425">
        <v>0</v>
      </c>
      <c r="C101" s="1425">
        <v>167.83089116464944</v>
      </c>
      <c r="D101" s="1425">
        <v>597.40845515237515</v>
      </c>
      <c r="E101" s="1425"/>
      <c r="F101" s="1425">
        <v>397.91853497716625</v>
      </c>
      <c r="G101" s="1425">
        <v>461.96610914015139</v>
      </c>
      <c r="H101" s="1425">
        <v>603.07356762068343</v>
      </c>
      <c r="I101" s="1965">
        <v>60.614220910709577</v>
      </c>
      <c r="J101" s="1914">
        <v>1071.9162490568876</v>
      </c>
      <c r="K101" s="1914">
        <v>271.77495511427134</v>
      </c>
      <c r="L101" s="1914">
        <v>159.25237000281874</v>
      </c>
      <c r="M101" s="1914">
        <v>42.190813722797913</v>
      </c>
      <c r="N101" s="1965">
        <v>22.976263028505176</v>
      </c>
      <c r="O101" s="1965">
        <v>75.601876923524443</v>
      </c>
      <c r="P101" s="1914">
        <v>21.925862629386547</v>
      </c>
      <c r="Q101" s="1914">
        <v>20.211079197345946</v>
      </c>
      <c r="R101" s="1914">
        <v>32.163361151644622</v>
      </c>
      <c r="S101" s="1425"/>
      <c r="T101" s="1425">
        <v>0</v>
      </c>
      <c r="U101" s="1425">
        <v>0</v>
      </c>
      <c r="V101" s="1425">
        <v>0</v>
      </c>
      <c r="W101" s="1425">
        <v>45.528422838948472</v>
      </c>
      <c r="X101" s="1425">
        <v>60.757024744006202</v>
      </c>
      <c r="Y101" s="1425">
        <v>10.193298192968536</v>
      </c>
      <c r="Z101" s="1425">
        <v>61.784841051195421</v>
      </c>
      <c r="AA101" s="1425">
        <v>38.976242032051857</v>
      </c>
      <c r="AB101" s="1425">
        <v>4.4591224280162125</v>
      </c>
      <c r="AC101" s="1425">
        <v>2.029737995337995</v>
      </c>
      <c r="AD101" s="1425">
        <v>8.02</v>
      </c>
      <c r="AE101" s="1425">
        <v>47.375038381843133</v>
      </c>
      <c r="AF101" s="1431">
        <v>4285.9483374572865</v>
      </c>
      <c r="AG101" s="1105"/>
      <c r="AH101" s="1105"/>
    </row>
    <row r="102" spans="1:37" ht="15">
      <c r="A102" s="1413"/>
      <c r="B102" s="1413"/>
      <c r="C102" s="1413"/>
      <c r="D102" s="1413"/>
      <c r="E102" s="1413"/>
      <c r="F102" s="1413"/>
      <c r="G102" s="1413"/>
      <c r="H102" s="1413"/>
      <c r="I102" s="1969"/>
      <c r="J102" s="1413"/>
      <c r="K102" s="1413"/>
      <c r="L102" s="1413"/>
      <c r="M102" s="1413"/>
      <c r="N102" s="1969"/>
      <c r="O102" s="1969"/>
      <c r="P102" s="1413"/>
      <c r="Q102" s="1413"/>
      <c r="R102" s="1413"/>
      <c r="S102" s="1413"/>
      <c r="T102" s="1413"/>
      <c r="U102" s="1413"/>
      <c r="V102" s="1413"/>
      <c r="W102" s="1413"/>
      <c r="X102" s="1413"/>
      <c r="Y102" s="1413"/>
      <c r="Z102" s="1413"/>
      <c r="AA102" s="1413"/>
      <c r="AB102" s="1413"/>
      <c r="AC102" s="1413"/>
      <c r="AD102" s="1413"/>
      <c r="AE102" s="1413"/>
      <c r="AF102" s="1430"/>
      <c r="AG102" s="1106"/>
      <c r="AH102" s="1106"/>
    </row>
    <row r="103" spans="1:37" ht="15">
      <c r="A103" s="1413" t="s">
        <v>2086</v>
      </c>
      <c r="B103" s="1425">
        <v>0</v>
      </c>
      <c r="C103" s="1425">
        <v>101987.19573564229</v>
      </c>
      <c r="D103" s="1425">
        <v>307382.62215997622</v>
      </c>
      <c r="E103" s="1425"/>
      <c r="F103" s="1425">
        <v>169084.54842535875</v>
      </c>
      <c r="G103" s="1425">
        <v>192906.10694171593</v>
      </c>
      <c r="H103" s="1425">
        <v>236932.13369957908</v>
      </c>
      <c r="I103" s="1965">
        <v>27837.084713648546</v>
      </c>
      <c r="J103" s="1425">
        <v>449344.69041471399</v>
      </c>
      <c r="K103" s="1425">
        <v>100186.84836695311</v>
      </c>
      <c r="L103" s="1425">
        <v>77290.77663999144</v>
      </c>
      <c r="M103" s="1425">
        <v>20854.695239439239</v>
      </c>
      <c r="N103" s="1965">
        <v>8719.036183951499</v>
      </c>
      <c r="O103" s="1965">
        <v>29065.539564429189</v>
      </c>
      <c r="P103" s="1425">
        <v>9907.3676678044376</v>
      </c>
      <c r="Q103" s="1425">
        <v>8285.2784243423685</v>
      </c>
      <c r="R103" s="1425">
        <v>12219.375296842993</v>
      </c>
      <c r="S103" s="1425">
        <v>0</v>
      </c>
      <c r="T103" s="1425">
        <v>0</v>
      </c>
      <c r="U103" s="1425">
        <v>0</v>
      </c>
      <c r="V103" s="1425">
        <v>0</v>
      </c>
      <c r="W103" s="1425">
        <v>16971.322202460422</v>
      </c>
      <c r="X103" s="1425">
        <v>23481.627419860077</v>
      </c>
      <c r="Y103" s="1425">
        <v>7364.0680926851528</v>
      </c>
      <c r="Z103" s="1425">
        <v>45419.746324638007</v>
      </c>
      <c r="AA103" s="1425">
        <v>35740.890797323584</v>
      </c>
      <c r="AB103" s="1425">
        <v>1957.6939333453777</v>
      </c>
      <c r="AC103" s="1425">
        <v>1516.177136330333</v>
      </c>
      <c r="AD103" s="1425">
        <v>6111.6067215562098</v>
      </c>
      <c r="AE103" s="1425">
        <v>19173.585136580001</v>
      </c>
      <c r="AF103" s="1431">
        <v>1909740.0172391681</v>
      </c>
      <c r="AG103" s="1105"/>
      <c r="AH103" s="1106"/>
    </row>
    <row r="104" spans="1:37" ht="15">
      <c r="A104" s="1413"/>
      <c r="B104" s="1413"/>
      <c r="C104" s="1413"/>
      <c r="D104" s="1413"/>
      <c r="E104" s="1413"/>
      <c r="F104" s="1413"/>
      <c r="G104" s="1413"/>
      <c r="H104" s="1413"/>
      <c r="I104" s="1969"/>
      <c r="J104" s="1413"/>
      <c r="K104" s="1413"/>
      <c r="L104" s="1413"/>
      <c r="M104" s="1413"/>
      <c r="N104" s="1969"/>
      <c r="O104" s="1969"/>
      <c r="P104" s="1413"/>
      <c r="Q104" s="1413"/>
      <c r="R104" s="1413"/>
      <c r="S104" s="1413"/>
      <c r="T104" s="1413"/>
      <c r="U104" s="1413"/>
      <c r="V104" s="1413"/>
      <c r="W104" s="1413"/>
      <c r="X104" s="1413"/>
      <c r="Y104" s="1413"/>
      <c r="Z104" s="1413"/>
      <c r="AA104" s="1413"/>
      <c r="AB104" s="1413"/>
      <c r="AC104" s="1413"/>
      <c r="AD104" s="1413"/>
      <c r="AE104" s="1413"/>
      <c r="AF104" s="1430"/>
      <c r="AG104" s="1106"/>
      <c r="AH104" s="1106"/>
    </row>
    <row r="105" spans="1:37" ht="15">
      <c r="A105" s="1413" t="s">
        <v>2087</v>
      </c>
      <c r="B105" s="1419">
        <v>0</v>
      </c>
      <c r="C105" s="1419">
        <v>-1036.9369339756668</v>
      </c>
      <c r="D105" s="1419">
        <v>-854.09130554558942</v>
      </c>
      <c r="E105" s="1419">
        <v>0</v>
      </c>
      <c r="F105" s="1419">
        <v>-731.09406597728957</v>
      </c>
      <c r="G105" s="1419">
        <v>-532.87295623816317</v>
      </c>
      <c r="H105" s="1419">
        <v>-1875.8051332353789</v>
      </c>
      <c r="I105" s="1960">
        <v>-316.52474600148707</v>
      </c>
      <c r="J105" s="1419">
        <v>-2288.7135556231369</v>
      </c>
      <c r="K105" s="1419">
        <v>-679.20081553800264</v>
      </c>
      <c r="L105" s="1419">
        <v>-550.30699464691861</v>
      </c>
      <c r="M105" s="1419">
        <v>-99.508304439241329</v>
      </c>
      <c r="N105" s="1960">
        <v>-372.55960027018227</v>
      </c>
      <c r="O105" s="1960">
        <v>-594.51274864095831</v>
      </c>
      <c r="P105" s="1419">
        <v>50.896051966803498</v>
      </c>
      <c r="Q105" s="1419">
        <v>-80.380207675701968</v>
      </c>
      <c r="R105" s="1419">
        <v>-65.102842124379094</v>
      </c>
      <c r="S105" s="1419">
        <v>0</v>
      </c>
      <c r="T105" s="1419">
        <v>0</v>
      </c>
      <c r="U105" s="1419">
        <v>0</v>
      </c>
      <c r="V105" s="1419">
        <v>0</v>
      </c>
      <c r="W105" s="1419">
        <v>-573.84023817470734</v>
      </c>
      <c r="X105" s="1419">
        <v>-295.28345823217023</v>
      </c>
      <c r="Y105" s="1419">
        <v>-145.78751703999114</v>
      </c>
      <c r="Z105" s="1419">
        <v>160.00711617595516</v>
      </c>
      <c r="AA105" s="1419">
        <v>-903.91727075495874</v>
      </c>
      <c r="AB105" s="1419">
        <v>-200.25198334537777</v>
      </c>
      <c r="AC105" s="1419">
        <v>-21.840247433619652</v>
      </c>
      <c r="AD105" s="1419">
        <v>-16.765005969356025</v>
      </c>
      <c r="AE105" s="1419">
        <v>-561.15863158000138</v>
      </c>
      <c r="AF105" s="1431">
        <v>-12585.551394319518</v>
      </c>
      <c r="AG105" s="1106"/>
      <c r="AH105" s="1106"/>
      <c r="AK105" t="s">
        <v>268</v>
      </c>
    </row>
    <row r="106" spans="1:37" ht="15">
      <c r="A106" s="1413"/>
      <c r="B106" s="1419"/>
      <c r="C106" s="1419"/>
      <c r="D106" s="1419"/>
      <c r="E106" s="1419"/>
      <c r="F106" s="1419"/>
      <c r="G106" s="1419"/>
      <c r="H106" s="1419"/>
      <c r="I106" s="1960"/>
      <c r="J106" s="1419"/>
      <c r="K106" s="1419"/>
      <c r="L106" s="1419"/>
      <c r="M106" s="1419"/>
      <c r="N106" s="1960"/>
      <c r="O106" s="1960"/>
      <c r="P106" s="1419"/>
      <c r="Q106" s="1419"/>
      <c r="R106" s="1419"/>
      <c r="S106" s="1419"/>
      <c r="T106" s="1419"/>
      <c r="U106" s="1419"/>
      <c r="V106" s="1419"/>
      <c r="W106" s="1419"/>
      <c r="X106" s="1419"/>
      <c r="Y106" s="1419"/>
      <c r="Z106" s="1419"/>
      <c r="AA106" s="1419"/>
      <c r="AB106" s="1419"/>
      <c r="AC106" s="1419"/>
      <c r="AD106" s="1419"/>
      <c r="AE106" s="1419"/>
      <c r="AF106" s="1430"/>
      <c r="AG106" s="1106"/>
      <c r="AH106" s="1106"/>
    </row>
    <row r="107" spans="1:37" ht="15">
      <c r="A107" s="1428" t="s">
        <v>2088</v>
      </c>
      <c r="B107" s="1432" t="e">
        <v>#DIV/0!</v>
      </c>
      <c r="C107" s="1432">
        <v>1.0271761026516037E-2</v>
      </c>
      <c r="D107" s="1432">
        <v>2.7863354290866794E-3</v>
      </c>
      <c r="E107" s="1432"/>
      <c r="F107" s="1432">
        <v>4.3426139888798161E-3</v>
      </c>
      <c r="G107" s="1432">
        <v>2.7699953117094746E-3</v>
      </c>
      <c r="H107" s="1432">
        <v>7.9802366721044935E-3</v>
      </c>
      <c r="I107" s="1971">
        <v>1.1501391918390867E-2</v>
      </c>
      <c r="J107" s="1432">
        <v>5.1195234469363212E-3</v>
      </c>
      <c r="K107" s="1432">
        <v>6.8256142341930346E-3</v>
      </c>
      <c r="L107" s="1432">
        <v>7.1710141622817539E-3</v>
      </c>
      <c r="M107" s="1432">
        <v>4.7943824717588046E-3</v>
      </c>
      <c r="N107" s="1972">
        <v>0</v>
      </c>
      <c r="O107" s="1972">
        <v>2.0881324459688232E-2</v>
      </c>
      <c r="P107" s="1973">
        <v>-5.1109363438280857E-3</v>
      </c>
      <c r="Q107" s="1973">
        <v>9.7966124079912533E-3</v>
      </c>
      <c r="R107" s="1973">
        <v>5.3563750826652263E-3</v>
      </c>
      <c r="S107" s="1973"/>
      <c r="T107" s="1973" t="e">
        <v>#DIV/0!</v>
      </c>
      <c r="U107" s="1973">
        <v>0</v>
      </c>
      <c r="V107" s="1973">
        <v>0</v>
      </c>
      <c r="W107" s="1973">
        <v>3.4995631611277347E-2</v>
      </c>
      <c r="X107" s="1973">
        <v>1.273523151044631E-2</v>
      </c>
      <c r="Y107" s="1973">
        <v>2.0196986735578761E-2</v>
      </c>
      <c r="Z107" s="1973">
        <v>-3.5104866546443029E-3</v>
      </c>
      <c r="AA107" s="1973">
        <v>2.5947066557477527E-2</v>
      </c>
      <c r="AB107" s="1973">
        <v>0.11394514814294593</v>
      </c>
      <c r="AC107" s="1973">
        <v>1.4615343833039258E-2</v>
      </c>
      <c r="AD107" s="1973">
        <v>2.7506876719179531E-3</v>
      </c>
      <c r="AE107" s="1973">
        <v>3.0149676154758921E-2</v>
      </c>
      <c r="AF107" s="1974">
        <v>6.6339096899602585E-3</v>
      </c>
      <c r="AG107" s="1107"/>
      <c r="AH107" s="1108"/>
    </row>
    <row r="108" spans="1:37" ht="15">
      <c r="A108" s="1413"/>
      <c r="B108" s="1419"/>
      <c r="C108" s="1419"/>
      <c r="D108" s="1419"/>
      <c r="E108" s="1419"/>
      <c r="F108" s="1419"/>
      <c r="G108" s="1419"/>
      <c r="H108" s="1419"/>
      <c r="I108" s="1960"/>
      <c r="J108" s="1419"/>
      <c r="K108" s="1419"/>
      <c r="L108" s="1419"/>
      <c r="M108" s="1419"/>
      <c r="N108" s="1960"/>
      <c r="O108" s="1960"/>
      <c r="P108" s="1419"/>
      <c r="Q108" s="1419"/>
      <c r="R108" s="1419"/>
      <c r="S108" s="1419"/>
      <c r="T108" s="1419"/>
      <c r="U108" s="1419"/>
      <c r="V108" s="1419"/>
      <c r="W108" s="1419"/>
      <c r="X108" s="1419"/>
      <c r="Y108" s="1419"/>
      <c r="Z108" s="1419"/>
      <c r="AA108" s="1419"/>
      <c r="AB108" s="1419"/>
      <c r="AC108" s="1419"/>
      <c r="AD108" s="1419"/>
      <c r="AE108" s="1419"/>
      <c r="AF108" s="1430"/>
      <c r="AG108" s="1106"/>
      <c r="AH108" s="1106"/>
    </row>
    <row r="109" spans="1:37" ht="15">
      <c r="A109" s="1418" t="s">
        <v>2084</v>
      </c>
      <c r="B109" s="1419" t="e">
        <v>#DIV/0!</v>
      </c>
      <c r="C109" s="1419">
        <v>0.60149986752218343</v>
      </c>
      <c r="D109" s="1419">
        <v>0.5130970748919973</v>
      </c>
      <c r="E109" s="1419"/>
      <c r="F109" s="1419">
        <v>0.42308522866129389</v>
      </c>
      <c r="G109" s="1419">
        <v>0.41642282881646525</v>
      </c>
      <c r="H109" s="1419">
        <v>0.38976393791177993</v>
      </c>
      <c r="I109" s="1960">
        <v>0.45402810683960487</v>
      </c>
      <c r="J109" s="1419">
        <v>0.41706241252749698</v>
      </c>
      <c r="K109" s="1419">
        <v>0.36613987300476536</v>
      </c>
      <c r="L109" s="1419">
        <v>0.48187960809616981</v>
      </c>
      <c r="M109" s="1419">
        <v>0.49193616106495908</v>
      </c>
      <c r="N109" s="1960">
        <v>0.36326519126832674</v>
      </c>
      <c r="O109" s="1960">
        <v>0.37659153415712521</v>
      </c>
      <c r="P109" s="1419">
        <v>0.45417887944004959</v>
      </c>
      <c r="Q109" s="1419">
        <v>0.40596042084403428</v>
      </c>
      <c r="R109" s="1419">
        <v>0.37789186265121189</v>
      </c>
      <c r="S109" s="1419"/>
      <c r="T109" s="1419">
        <v>0</v>
      </c>
      <c r="U109" s="1419">
        <v>0</v>
      </c>
      <c r="V109" s="1419">
        <v>0</v>
      </c>
      <c r="W109" s="1419">
        <v>0.36015923552392559</v>
      </c>
      <c r="X109" s="1419">
        <v>0.38162408477573262</v>
      </c>
      <c r="Y109" s="1419">
        <v>0.70813984237451444</v>
      </c>
      <c r="Z109" s="1419">
        <v>0.73771741846913885</v>
      </c>
      <c r="AA109" s="1419">
        <v>0.89380021547281718</v>
      </c>
      <c r="AB109" s="1419">
        <v>0.3941228298550789</v>
      </c>
      <c r="AC109" s="1419">
        <v>0.73622156767473534</v>
      </c>
      <c r="AD109" s="1419">
        <v>0.75995532613302419</v>
      </c>
      <c r="AE109" s="1419">
        <v>0.39287411980511155</v>
      </c>
      <c r="AF109" s="1431">
        <v>0.44264520159157317</v>
      </c>
      <c r="AG109" s="1106"/>
      <c r="AH109" s="1106"/>
    </row>
    <row r="110" spans="1:37" s="1932" customFormat="1" ht="15">
      <c r="A110" s="1413"/>
      <c r="B110" s="1413"/>
      <c r="C110" s="1413"/>
      <c r="D110" s="1413"/>
      <c r="E110" s="1413"/>
      <c r="F110" s="1413"/>
      <c r="G110" s="1413"/>
      <c r="H110" s="1413"/>
      <c r="I110" s="1969"/>
      <c r="J110" s="1413"/>
      <c r="K110" s="1413"/>
      <c r="L110" s="1413"/>
      <c r="M110" s="1413"/>
      <c r="N110" s="1969"/>
      <c r="O110" s="1969"/>
      <c r="P110" s="1413"/>
      <c r="Q110" s="1413"/>
      <c r="R110" s="1413"/>
      <c r="S110" s="1413"/>
      <c r="T110" s="1413"/>
      <c r="U110" s="1413"/>
      <c r="V110" s="1413"/>
      <c r="W110" s="1413"/>
      <c r="X110" s="1413"/>
      <c r="Y110" s="1413"/>
      <c r="Z110" s="1413"/>
      <c r="AA110" s="1413"/>
      <c r="AB110" s="1413"/>
      <c r="AC110" s="1413"/>
      <c r="AD110" s="1413"/>
      <c r="AE110" s="1413"/>
      <c r="AF110" s="1430"/>
      <c r="AG110" s="1928"/>
      <c r="AH110" s="1928"/>
    </row>
    <row r="111" spans="1:37" ht="15">
      <c r="A111" s="1433" t="s">
        <v>2089</v>
      </c>
      <c r="B111" s="1413"/>
      <c r="C111" s="1413"/>
      <c r="D111" s="1413"/>
      <c r="E111" s="1413"/>
      <c r="F111" s="1413"/>
      <c r="G111" s="1413"/>
      <c r="H111" s="1413"/>
      <c r="I111" s="1969"/>
      <c r="J111" s="1413"/>
      <c r="K111" s="1413"/>
      <c r="L111" s="1413"/>
      <c r="M111" s="1413"/>
      <c r="N111" s="1969"/>
      <c r="O111" s="1969"/>
      <c r="P111" s="1413"/>
      <c r="Q111" s="1413"/>
      <c r="R111" s="1413"/>
      <c r="S111" s="1413"/>
      <c r="T111" s="1413"/>
      <c r="U111" s="1413"/>
      <c r="V111" s="1413"/>
      <c r="W111" s="1413"/>
      <c r="X111" s="1413"/>
      <c r="Y111" s="1413"/>
      <c r="Z111" s="1413"/>
      <c r="AA111" s="1413"/>
      <c r="AB111" s="1413"/>
      <c r="AC111" s="1413"/>
      <c r="AD111" s="1413"/>
      <c r="AE111" s="1413"/>
      <c r="AF111" s="1430"/>
      <c r="AG111" s="1106"/>
      <c r="AH111" s="1106"/>
    </row>
    <row r="112" spans="1:37" ht="15">
      <c r="A112" s="1413" t="s">
        <v>2090</v>
      </c>
      <c r="B112" s="1434">
        <v>0</v>
      </c>
      <c r="C112" s="1434">
        <v>31.098256375622661</v>
      </c>
      <c r="D112" s="1434">
        <v>205.68982447456528</v>
      </c>
      <c r="E112" s="1434"/>
      <c r="F112" s="1434">
        <v>134.47198924145934</v>
      </c>
      <c r="G112" s="1434">
        <v>162.01446270620178</v>
      </c>
      <c r="H112" s="1434">
        <v>264.64488383555704</v>
      </c>
      <c r="I112" s="1975">
        <v>15.263869047619048</v>
      </c>
      <c r="J112" s="1434">
        <v>303.8497421539563</v>
      </c>
      <c r="K112" s="1434">
        <v>147.47845330510467</v>
      </c>
      <c r="L112" s="1434">
        <v>65.453211875843465</v>
      </c>
      <c r="M112" s="1434">
        <v>20.10583574320416</v>
      </c>
      <c r="N112" s="1975">
        <v>10.230220981294131</v>
      </c>
      <c r="O112" s="1975">
        <v>0</v>
      </c>
      <c r="P112" s="1434">
        <v>7.8490421868273792</v>
      </c>
      <c r="Q112" s="1434">
        <v>9.0508108558108553</v>
      </c>
      <c r="R112" s="1434">
        <v>4.2403549800988714</v>
      </c>
      <c r="S112" s="1434">
        <v>0</v>
      </c>
      <c r="T112" s="1434">
        <v>0</v>
      </c>
      <c r="U112" s="1434">
        <v>0</v>
      </c>
      <c r="V112" s="1434">
        <v>0</v>
      </c>
      <c r="W112" s="1434">
        <v>9.2645671527726634</v>
      </c>
      <c r="X112" s="1434">
        <v>9.0824432944132365</v>
      </c>
      <c r="Y112" s="1434">
        <v>2.5499999999999998</v>
      </c>
      <c r="Z112" s="1434">
        <v>13.530118802820079</v>
      </c>
      <c r="AA112" s="1434">
        <v>38.976242032051857</v>
      </c>
      <c r="AB112" s="1434">
        <v>2.5207224280162128</v>
      </c>
      <c r="AC112" s="1434">
        <v>1.4953379953379953</v>
      </c>
      <c r="AD112" s="1434">
        <v>8.02</v>
      </c>
      <c r="AE112" s="1434">
        <v>7.9960479887085389</v>
      </c>
      <c r="AF112" s="1431">
        <v>1474.8764374572856</v>
      </c>
      <c r="AG112" s="1106">
        <v>1108.597190680847</v>
      </c>
      <c r="AH112" s="1106">
        <v>83.780322580645361</v>
      </c>
    </row>
    <row r="113" spans="1:34" ht="15">
      <c r="A113" s="1413" t="s">
        <v>2091</v>
      </c>
      <c r="B113" s="1434">
        <v>0</v>
      </c>
      <c r="C113" s="1434">
        <v>11.44641618056596</v>
      </c>
      <c r="D113" s="1434">
        <v>33.077946851995733</v>
      </c>
      <c r="E113" s="1434"/>
      <c r="F113" s="1434">
        <v>24.0242631435862</v>
      </c>
      <c r="G113" s="1434">
        <v>27.652345442924766</v>
      </c>
      <c r="H113" s="1434">
        <v>38.839494634634796</v>
      </c>
      <c r="I113" s="1975">
        <v>2.9873556054629331</v>
      </c>
      <c r="J113" s="1434">
        <v>67.359078317661655</v>
      </c>
      <c r="K113" s="1434">
        <v>19.603296818695739</v>
      </c>
      <c r="L113" s="1434">
        <v>13.232456354853248</v>
      </c>
      <c r="M113" s="1434">
        <v>1.9439465305203667</v>
      </c>
      <c r="N113" s="1975">
        <v>1.9649138682404712</v>
      </c>
      <c r="O113" s="1975">
        <v>5.3561288816214256</v>
      </c>
      <c r="P113" s="1434">
        <v>1.8651934320079657</v>
      </c>
      <c r="Q113" s="1434">
        <v>0.98731126491267718</v>
      </c>
      <c r="R113" s="1434">
        <v>0.96594564546770678</v>
      </c>
      <c r="S113" s="1434"/>
      <c r="T113" s="1434">
        <v>0</v>
      </c>
      <c r="U113" s="1434">
        <v>0</v>
      </c>
      <c r="V113" s="1434">
        <v>0</v>
      </c>
      <c r="W113" s="1434">
        <v>2.0198497522953152</v>
      </c>
      <c r="X113" s="1434">
        <v>4.045712400365284</v>
      </c>
      <c r="Y113" s="1434">
        <v>2.0833475745710222</v>
      </c>
      <c r="Z113" s="1434">
        <v>7.7150684464282477</v>
      </c>
      <c r="AA113" s="1434">
        <v>0</v>
      </c>
      <c r="AB113" s="1434">
        <v>0</v>
      </c>
      <c r="AC113" s="1434">
        <v>0</v>
      </c>
      <c r="AD113" s="1434">
        <v>0</v>
      </c>
      <c r="AE113" s="1434">
        <v>6.4413288531884731</v>
      </c>
      <c r="AF113" s="1431">
        <v>273.6114</v>
      </c>
      <c r="AG113" s="1106">
        <v>186.28889999999996</v>
      </c>
      <c r="AH113" s="1106">
        <v>67.84000000000006</v>
      </c>
    </row>
    <row r="114" spans="1:34" ht="15">
      <c r="A114" s="1413" t="s">
        <v>2092</v>
      </c>
      <c r="B114" s="1434">
        <v>0</v>
      </c>
      <c r="C114" s="1434">
        <v>40.060458389031368</v>
      </c>
      <c r="D114" s="1434">
        <v>137.97027986688815</v>
      </c>
      <c r="E114" s="1434"/>
      <c r="F114" s="1434">
        <v>93.42286481098516</v>
      </c>
      <c r="G114" s="1434">
        <v>96.63576021178757</v>
      </c>
      <c r="H114" s="1434">
        <v>108.63294759797871</v>
      </c>
      <c r="I114" s="1975">
        <v>11.162185289073603</v>
      </c>
      <c r="J114" s="1434">
        <v>276.36299716956967</v>
      </c>
      <c r="K114" s="1434">
        <v>56.438743689127215</v>
      </c>
      <c r="L114" s="1434">
        <v>42.28857163901688</v>
      </c>
      <c r="M114" s="1434">
        <v>9.2205653345904963</v>
      </c>
      <c r="N114" s="1975">
        <v>4.3309525909229993</v>
      </c>
      <c r="O114" s="1975">
        <v>12.217047408371656</v>
      </c>
      <c r="P114" s="1434">
        <v>5.0773023938632447</v>
      </c>
      <c r="Q114" s="1434">
        <v>4.1123896425963302</v>
      </c>
      <c r="R114" s="1434">
        <v>5.009186020802419</v>
      </c>
      <c r="S114" s="1434"/>
      <c r="T114" s="1434">
        <v>0</v>
      </c>
      <c r="U114" s="1434">
        <v>0</v>
      </c>
      <c r="V114" s="1434">
        <v>0</v>
      </c>
      <c r="W114" s="1434">
        <v>4.8462735537031483</v>
      </c>
      <c r="X114" s="1434">
        <v>5.0949586572814622</v>
      </c>
      <c r="Y114" s="1434">
        <v>2.008158563960547</v>
      </c>
      <c r="Z114" s="1434">
        <v>15.792143109203941</v>
      </c>
      <c r="AA114" s="1434">
        <v>0</v>
      </c>
      <c r="AB114" s="1434">
        <v>0.55000000000000004</v>
      </c>
      <c r="AC114" s="1434">
        <v>0</v>
      </c>
      <c r="AD114" s="1434">
        <v>0</v>
      </c>
      <c r="AE114" s="1434">
        <v>13.405814061245428</v>
      </c>
      <c r="AF114" s="1431">
        <v>944.63959999999986</v>
      </c>
      <c r="AG114" s="1106">
        <v>655.70550000000026</v>
      </c>
      <c r="AH114" s="1106">
        <v>90.5</v>
      </c>
    </row>
    <row r="115" spans="1:34" ht="15">
      <c r="A115" s="1413" t="s">
        <v>2093</v>
      </c>
      <c r="B115" s="1434">
        <v>0</v>
      </c>
      <c r="C115" s="1434">
        <v>38.90348150208456</v>
      </c>
      <c r="D115" s="1434">
        <v>139.09497785822091</v>
      </c>
      <c r="E115" s="1434"/>
      <c r="F115" s="1434">
        <v>69.048615274205957</v>
      </c>
      <c r="G115" s="1434">
        <v>88.19902722360645</v>
      </c>
      <c r="H115" s="1434">
        <v>63.232471801933073</v>
      </c>
      <c r="I115" s="1975">
        <v>12.142717693242865</v>
      </c>
      <c r="J115" s="1434">
        <v>212.06697487717611</v>
      </c>
      <c r="K115" s="1434">
        <v>47.245092314713673</v>
      </c>
      <c r="L115" s="1434">
        <v>40.138730133105149</v>
      </c>
      <c r="M115" s="1434">
        <v>10.12766611448289</v>
      </c>
      <c r="N115" s="1975">
        <v>5.0096755880475756</v>
      </c>
      <c r="O115" s="1975">
        <v>20.125952426845569</v>
      </c>
      <c r="P115" s="1434">
        <v>5.1086479320645761</v>
      </c>
      <c r="Q115" s="1434">
        <v>6.0605674340260851</v>
      </c>
      <c r="R115" s="1434">
        <v>11.37000826215413</v>
      </c>
      <c r="S115" s="1434"/>
      <c r="T115" s="1434">
        <v>0</v>
      </c>
      <c r="U115" s="1434">
        <v>0</v>
      </c>
      <c r="V115" s="1434">
        <v>0</v>
      </c>
      <c r="W115" s="1434">
        <v>2.1423876458804463</v>
      </c>
      <c r="X115" s="1434">
        <v>8.1358493056095593</v>
      </c>
      <c r="Y115" s="1434">
        <v>2.0017920544369661</v>
      </c>
      <c r="Z115" s="1434">
        <v>14.190017079462773</v>
      </c>
      <c r="AA115" s="1434">
        <v>0</v>
      </c>
      <c r="AB115" s="1434">
        <v>0</v>
      </c>
      <c r="AC115" s="1434">
        <v>0</v>
      </c>
      <c r="AD115" s="1434">
        <v>0</v>
      </c>
      <c r="AE115" s="1434">
        <v>18.243247478700688</v>
      </c>
      <c r="AF115" s="1431">
        <v>812.58789999999999</v>
      </c>
      <c r="AG115" s="1106">
        <v>665.42209999999977</v>
      </c>
      <c r="AH115" s="1106">
        <v>3.0400000000000773</v>
      </c>
    </row>
    <row r="116" spans="1:34" ht="15">
      <c r="A116" s="1413" t="s">
        <v>190</v>
      </c>
      <c r="B116" s="1434">
        <v>0</v>
      </c>
      <c r="C116" s="1434">
        <v>39.189198512282864</v>
      </c>
      <c r="D116" s="1434">
        <v>53.080285345026269</v>
      </c>
      <c r="E116" s="1434"/>
      <c r="F116" s="1434">
        <v>52.160219488845911</v>
      </c>
      <c r="G116" s="1434">
        <v>58.994797420600285</v>
      </c>
      <c r="H116" s="1434">
        <v>89.210930260012333</v>
      </c>
      <c r="I116" s="1975">
        <v>0</v>
      </c>
      <c r="J116" s="1434">
        <v>156.97494960777067</v>
      </c>
      <c r="K116" s="1434">
        <v>0</v>
      </c>
      <c r="L116" s="1434">
        <v>0</v>
      </c>
      <c r="M116" s="1434">
        <v>0</v>
      </c>
      <c r="N116" s="1975">
        <v>0</v>
      </c>
      <c r="O116" s="1975">
        <v>0</v>
      </c>
      <c r="P116" s="1434">
        <v>0</v>
      </c>
      <c r="Q116" s="1434">
        <v>0</v>
      </c>
      <c r="R116" s="1434">
        <v>0</v>
      </c>
      <c r="S116" s="1434"/>
      <c r="T116" s="1434">
        <v>0</v>
      </c>
      <c r="U116" s="1434">
        <v>0</v>
      </c>
      <c r="V116" s="1434">
        <v>0</v>
      </c>
      <c r="W116" s="1434">
        <v>0</v>
      </c>
      <c r="X116" s="1434">
        <v>0</v>
      </c>
      <c r="Y116" s="1434">
        <v>0</v>
      </c>
      <c r="Z116" s="1434">
        <v>4.9596193654616672</v>
      </c>
      <c r="AA116" s="1434">
        <v>0</v>
      </c>
      <c r="AB116" s="1434">
        <v>0</v>
      </c>
      <c r="AC116" s="1434">
        <v>0</v>
      </c>
      <c r="AD116" s="1434">
        <v>0</v>
      </c>
      <c r="AE116" s="1434">
        <v>0</v>
      </c>
      <c r="AF116" s="1431">
        <v>454.57</v>
      </c>
      <c r="AG116" s="1106">
        <v>309.77999999999997</v>
      </c>
      <c r="AH116" s="1106">
        <v>55.200000000000045</v>
      </c>
    </row>
    <row r="117" spans="1:34" ht="15">
      <c r="A117" s="1413" t="s">
        <v>1840</v>
      </c>
      <c r="B117" s="1434">
        <v>0</v>
      </c>
      <c r="C117" s="1434">
        <v>0</v>
      </c>
      <c r="D117" s="1434">
        <v>0.81600000000000006</v>
      </c>
      <c r="E117" s="1434"/>
      <c r="F117" s="1434">
        <v>1.0101262026739972</v>
      </c>
      <c r="G117" s="1434">
        <v>1.0111358240659751</v>
      </c>
      <c r="H117" s="1434">
        <v>0.96049999999999991</v>
      </c>
      <c r="I117" s="1975">
        <v>0</v>
      </c>
      <c r="J117" s="1434">
        <v>0</v>
      </c>
      <c r="K117" s="1434">
        <v>1.0093689866300137</v>
      </c>
      <c r="L117" s="1434">
        <v>0</v>
      </c>
      <c r="M117" s="1434">
        <v>0</v>
      </c>
      <c r="N117" s="1975">
        <v>0</v>
      </c>
      <c r="O117" s="1975">
        <v>0</v>
      </c>
      <c r="P117" s="1434">
        <v>0</v>
      </c>
      <c r="Q117" s="1434">
        <v>0</v>
      </c>
      <c r="R117" s="1434">
        <v>1.0093689866300137</v>
      </c>
      <c r="S117" s="1434"/>
      <c r="T117" s="1434">
        <v>0</v>
      </c>
      <c r="U117" s="1434">
        <v>0</v>
      </c>
      <c r="V117" s="1434">
        <v>0</v>
      </c>
      <c r="W117" s="1434">
        <v>0</v>
      </c>
      <c r="X117" s="1434">
        <v>0</v>
      </c>
      <c r="Y117" s="1434">
        <v>0</v>
      </c>
      <c r="Z117" s="1434">
        <v>0</v>
      </c>
      <c r="AA117" s="1434">
        <v>0</v>
      </c>
      <c r="AB117" s="1434">
        <v>0</v>
      </c>
      <c r="AC117" s="1434">
        <v>0</v>
      </c>
      <c r="AD117" s="1434">
        <v>0</v>
      </c>
      <c r="AE117" s="1434">
        <v>0</v>
      </c>
      <c r="AF117" s="1431">
        <v>5.8164999999999996</v>
      </c>
      <c r="AG117" s="1106">
        <v>10.374099999999999</v>
      </c>
      <c r="AH117" s="1106">
        <v>0</v>
      </c>
    </row>
    <row r="118" spans="1:34" ht="15">
      <c r="A118" s="1413" t="s">
        <v>2094</v>
      </c>
      <c r="B118" s="1434">
        <v>0</v>
      </c>
      <c r="C118" s="1434">
        <v>7.0696229135854818</v>
      </c>
      <c r="D118" s="1434">
        <v>24.151538010861721</v>
      </c>
      <c r="E118" s="1434"/>
      <c r="F118" s="1434">
        <v>21.160456815409677</v>
      </c>
      <c r="G118" s="1434">
        <v>24.086880310964528</v>
      </c>
      <c r="H118" s="1434">
        <v>32.324439490567585</v>
      </c>
      <c r="I118" s="1975">
        <v>0</v>
      </c>
      <c r="J118" s="1434">
        <v>41.442706930753353</v>
      </c>
      <c r="K118" s="1434">
        <v>0</v>
      </c>
      <c r="L118" s="1434">
        <v>0</v>
      </c>
      <c r="M118" s="1434">
        <v>0</v>
      </c>
      <c r="N118" s="1975">
        <v>0</v>
      </c>
      <c r="O118" s="1975">
        <v>0</v>
      </c>
      <c r="P118" s="1434">
        <v>0</v>
      </c>
      <c r="Q118" s="1434">
        <v>0</v>
      </c>
      <c r="R118" s="1434">
        <v>0</v>
      </c>
      <c r="S118" s="1434"/>
      <c r="T118" s="1434">
        <v>0</v>
      </c>
      <c r="U118" s="1434">
        <v>0</v>
      </c>
      <c r="V118" s="1434">
        <v>0</v>
      </c>
      <c r="W118" s="1434">
        <v>0</v>
      </c>
      <c r="X118" s="1434">
        <v>0</v>
      </c>
      <c r="Y118" s="1434">
        <v>0</v>
      </c>
      <c r="Z118" s="1434">
        <v>2.924355527857645</v>
      </c>
      <c r="AA118" s="1434">
        <v>0</v>
      </c>
      <c r="AB118" s="1434">
        <v>0</v>
      </c>
      <c r="AC118" s="1434">
        <v>0</v>
      </c>
      <c r="AD118" s="1434">
        <v>0</v>
      </c>
      <c r="AE118" s="1434">
        <v>0</v>
      </c>
      <c r="AF118" s="1431">
        <v>153.16</v>
      </c>
      <c r="AG118" s="1106">
        <v>116.58</v>
      </c>
      <c r="AH118" s="1106">
        <v>0</v>
      </c>
    </row>
    <row r="119" spans="1:34" ht="15">
      <c r="A119" s="1413" t="s">
        <v>191</v>
      </c>
      <c r="B119" s="1434">
        <v>0</v>
      </c>
      <c r="C119" s="1434">
        <v>1.0634572914765468</v>
      </c>
      <c r="D119" s="1434">
        <v>2.0436027448170582</v>
      </c>
      <c r="E119" s="1434">
        <v>0</v>
      </c>
      <c r="F119" s="1434">
        <v>0</v>
      </c>
      <c r="G119" s="1434">
        <v>0</v>
      </c>
      <c r="H119" s="1434">
        <v>0</v>
      </c>
      <c r="I119" s="1975">
        <v>18.068293275311124</v>
      </c>
      <c r="J119" s="1434">
        <v>0</v>
      </c>
      <c r="K119" s="1434">
        <v>0</v>
      </c>
      <c r="L119" s="1434">
        <v>0</v>
      </c>
      <c r="M119" s="1434">
        <v>0</v>
      </c>
      <c r="N119" s="1975">
        <v>0</v>
      </c>
      <c r="O119" s="1975">
        <v>38.069248206685785</v>
      </c>
      <c r="P119" s="1434">
        <v>2.0256766846233814</v>
      </c>
      <c r="Q119" s="1434">
        <v>0</v>
      </c>
      <c r="R119" s="1434">
        <v>8.0133972564914799</v>
      </c>
      <c r="S119" s="1434">
        <v>0</v>
      </c>
      <c r="T119" s="1434">
        <v>0</v>
      </c>
      <c r="U119" s="1434">
        <v>0</v>
      </c>
      <c r="V119" s="1434">
        <v>0</v>
      </c>
      <c r="W119" s="1434">
        <v>27.255344734296894</v>
      </c>
      <c r="X119" s="1434">
        <v>31.348061086336667</v>
      </c>
      <c r="Y119" s="1434">
        <v>0</v>
      </c>
      <c r="Z119" s="1434">
        <v>0.95291871996106337</v>
      </c>
      <c r="AA119" s="1434">
        <v>0</v>
      </c>
      <c r="AB119" s="1434">
        <v>0</v>
      </c>
      <c r="AC119" s="1434">
        <v>0</v>
      </c>
      <c r="AD119" s="1434">
        <v>0</v>
      </c>
      <c r="AE119" s="1434">
        <v>0</v>
      </c>
      <c r="AF119" s="1431">
        <v>128.84</v>
      </c>
      <c r="AG119" s="1106">
        <v>58.522999999999996</v>
      </c>
      <c r="AH119" s="1106">
        <v>0</v>
      </c>
    </row>
    <row r="120" spans="1:34" ht="15">
      <c r="A120" s="1430" t="s">
        <v>2095</v>
      </c>
      <c r="B120" s="1435">
        <v>0</v>
      </c>
      <c r="C120" s="1435">
        <v>167.83089116464944</v>
      </c>
      <c r="D120" s="1435">
        <v>597.40845515237515</v>
      </c>
      <c r="E120" s="1435">
        <v>0</v>
      </c>
      <c r="F120" s="1435">
        <v>397.91853497716625</v>
      </c>
      <c r="G120" s="1435">
        <v>461.96610914015139</v>
      </c>
      <c r="H120" s="1435">
        <v>603.07356762068343</v>
      </c>
      <c r="I120" s="1976">
        <v>60.614220910709577</v>
      </c>
      <c r="J120" s="1435">
        <v>1071.9162490568876</v>
      </c>
      <c r="K120" s="1435">
        <v>271.77495511427134</v>
      </c>
      <c r="L120" s="1435">
        <v>159.25237000281874</v>
      </c>
      <c r="M120" s="1435">
        <v>42.190813722797913</v>
      </c>
      <c r="N120" s="1976">
        <v>22.976263028505176</v>
      </c>
      <c r="O120" s="1976">
        <v>75.601876923524443</v>
      </c>
      <c r="P120" s="1435">
        <v>21.925862629386547</v>
      </c>
      <c r="Q120" s="1435">
        <v>20.211079197345946</v>
      </c>
      <c r="R120" s="1435">
        <v>32.163361151644622</v>
      </c>
      <c r="S120" s="1435">
        <v>0</v>
      </c>
      <c r="T120" s="1435">
        <v>0</v>
      </c>
      <c r="U120" s="1435">
        <v>0</v>
      </c>
      <c r="V120" s="1435">
        <v>0</v>
      </c>
      <c r="W120" s="1435">
        <v>45.528422838948472</v>
      </c>
      <c r="X120" s="1435">
        <v>60.757024744006202</v>
      </c>
      <c r="Y120" s="1435">
        <v>10.193298192968536</v>
      </c>
      <c r="Z120" s="1435">
        <v>61.784841051195421</v>
      </c>
      <c r="AA120" s="1435">
        <v>38.976242032051857</v>
      </c>
      <c r="AB120" s="1435">
        <v>4.4591224280162125</v>
      </c>
      <c r="AC120" s="1435">
        <v>2.029737995337995</v>
      </c>
      <c r="AD120" s="1435">
        <v>8.02</v>
      </c>
      <c r="AE120" s="1435">
        <v>47.375038381843133</v>
      </c>
      <c r="AF120" s="1435">
        <v>4285.9483374572856</v>
      </c>
      <c r="AG120" s="1106">
        <v>3425.7442132614924</v>
      </c>
      <c r="AH120" s="1106">
        <v>0</v>
      </c>
    </row>
    <row r="121" spans="1:34" ht="15">
      <c r="A121" s="1413"/>
      <c r="B121" s="1413"/>
      <c r="C121" s="1413"/>
      <c r="D121" s="1413"/>
      <c r="E121" s="1413"/>
      <c r="F121" s="1413"/>
      <c r="G121" s="1413"/>
      <c r="H121" s="1413"/>
      <c r="I121" s="1969"/>
      <c r="J121" s="1413"/>
      <c r="K121" s="1413"/>
      <c r="L121" s="1413"/>
      <c r="M121" s="1413"/>
      <c r="N121" s="1969"/>
      <c r="O121" s="1969"/>
      <c r="P121" s="1413"/>
      <c r="Q121" s="1413"/>
      <c r="R121" s="1413"/>
      <c r="S121" s="1413"/>
      <c r="T121" s="1413"/>
      <c r="U121" s="1413"/>
      <c r="V121" s="1413"/>
      <c r="W121" s="1413"/>
      <c r="X121" s="1413"/>
      <c r="Y121" s="1413"/>
      <c r="Z121" s="1413"/>
      <c r="AA121" s="1413"/>
      <c r="AB121" s="1413"/>
      <c r="AC121" s="1413"/>
      <c r="AD121" s="1413"/>
      <c r="AE121" s="1413"/>
      <c r="AF121" s="1430"/>
      <c r="AG121" s="1106"/>
      <c r="AH121" s="1106"/>
    </row>
    <row r="122" spans="1:34" ht="15">
      <c r="A122" s="1418" t="s">
        <v>2084</v>
      </c>
      <c r="B122" s="1419">
        <v>0</v>
      </c>
      <c r="C122" s="1419">
        <v>0.60149986752218343</v>
      </c>
      <c r="D122" s="1419">
        <v>0.5130970748919973</v>
      </c>
      <c r="E122" s="1419"/>
      <c r="F122" s="1419">
        <v>0.42308522866129389</v>
      </c>
      <c r="G122" s="1419">
        <v>0.41642282881646525</v>
      </c>
      <c r="H122" s="1419">
        <v>0.38976393791177993</v>
      </c>
      <c r="I122" s="1960">
        <v>0.45402810683960487</v>
      </c>
      <c r="J122" s="1419">
        <v>0.41706241252749698</v>
      </c>
      <c r="K122" s="1419">
        <v>0.36613987300476536</v>
      </c>
      <c r="L122" s="1419">
        <v>0.48187960809616981</v>
      </c>
      <c r="M122" s="1419">
        <v>0.49193616106495908</v>
      </c>
      <c r="N122" s="1960">
        <v>0.36326519126832674</v>
      </c>
      <c r="O122" s="1960">
        <v>0.37659153415712521</v>
      </c>
      <c r="P122" s="1419">
        <v>0.45417887944004959</v>
      </c>
      <c r="Q122" s="1419">
        <v>0.40596042084403428</v>
      </c>
      <c r="R122" s="1419">
        <v>0.37789186265121189</v>
      </c>
      <c r="S122" s="1419"/>
      <c r="T122" s="1419">
        <v>0</v>
      </c>
      <c r="U122" s="1419">
        <v>0</v>
      </c>
      <c r="V122" s="1419">
        <v>0</v>
      </c>
      <c r="W122" s="1419">
        <v>0.36015923552392559</v>
      </c>
      <c r="X122" s="1419">
        <v>0.38162408477573262</v>
      </c>
      <c r="Y122" s="1419">
        <v>0.70813984237451444</v>
      </c>
      <c r="Z122" s="1419">
        <v>0.73771741846913885</v>
      </c>
      <c r="AA122" s="1419">
        <v>0.89380021547281718</v>
      </c>
      <c r="AB122" s="1419">
        <v>0.3941228298550789</v>
      </c>
      <c r="AC122" s="1419">
        <v>0.73622156767473534</v>
      </c>
      <c r="AD122" s="1419">
        <v>0.75995532613302419</v>
      </c>
      <c r="AE122" s="1419">
        <v>0.39287411980511155</v>
      </c>
      <c r="AF122" s="1431"/>
      <c r="AG122" s="1106"/>
      <c r="AH122" s="1106"/>
    </row>
    <row r="123" spans="1:34" ht="15">
      <c r="A123" s="1436" t="s">
        <v>2096</v>
      </c>
      <c r="B123" s="1435">
        <v>0</v>
      </c>
      <c r="C123" s="1435">
        <v>100950.25880166663</v>
      </c>
      <c r="D123" s="1435">
        <v>306528.53085443063</v>
      </c>
      <c r="E123" s="1435">
        <v>0</v>
      </c>
      <c r="F123" s="1435">
        <v>168353.45435938146</v>
      </c>
      <c r="G123" s="1435">
        <v>192373.23398547777</v>
      </c>
      <c r="H123" s="1435">
        <v>235056.32856634367</v>
      </c>
      <c r="I123" s="1976">
        <v>27520.559967647059</v>
      </c>
      <c r="J123" s="1435">
        <v>447055.97685909091</v>
      </c>
      <c r="K123" s="1435">
        <v>99507.647551415124</v>
      </c>
      <c r="L123" s="1435">
        <v>76740.469645344521</v>
      </c>
      <c r="M123" s="1435">
        <v>20755.186935000002</v>
      </c>
      <c r="N123" s="1976">
        <v>8346.4765836813167</v>
      </c>
      <c r="O123" s="1976">
        <v>28471.026815788231</v>
      </c>
      <c r="P123" s="1435">
        <v>9958.2637197712411</v>
      </c>
      <c r="Q123" s="1435">
        <v>8204.8982166666665</v>
      </c>
      <c r="R123" s="1435">
        <v>12154.272454718614</v>
      </c>
      <c r="S123" s="1435">
        <v>0</v>
      </c>
      <c r="T123" s="1435">
        <v>0</v>
      </c>
      <c r="U123" s="1435">
        <v>0</v>
      </c>
      <c r="V123" s="1435">
        <v>0</v>
      </c>
      <c r="W123" s="1435">
        <v>16397.481964285718</v>
      </c>
      <c r="X123" s="1435">
        <v>23186.34396162791</v>
      </c>
      <c r="Y123" s="1435">
        <v>7218.2805756451617</v>
      </c>
      <c r="Z123" s="1435">
        <v>45579.753440813962</v>
      </c>
      <c r="AA123" s="1435">
        <v>34836.973526568625</v>
      </c>
      <c r="AB123" s="1435">
        <v>1757.4419500000001</v>
      </c>
      <c r="AC123" s="1435">
        <v>1494.3368888967134</v>
      </c>
      <c r="AD123" s="1435">
        <v>6094.8417155868538</v>
      </c>
      <c r="AE123" s="1435">
        <v>18612.426504999999</v>
      </c>
      <c r="AF123" s="1431">
        <v>1897154.4658448484</v>
      </c>
      <c r="AG123" s="1106"/>
      <c r="AH123" s="1106"/>
    </row>
    <row r="124" spans="1:34" ht="15">
      <c r="A124" s="1413"/>
      <c r="B124" s="1419">
        <v>0</v>
      </c>
      <c r="C124" s="1419">
        <v>0</v>
      </c>
      <c r="D124" s="1419">
        <v>0</v>
      </c>
      <c r="E124" s="1435"/>
      <c r="F124" s="1435">
        <v>0</v>
      </c>
      <c r="G124" s="1435">
        <v>0</v>
      </c>
      <c r="H124" s="1435">
        <v>0</v>
      </c>
      <c r="I124" s="1976">
        <v>0</v>
      </c>
      <c r="J124" s="1435">
        <v>0</v>
      </c>
      <c r="K124" s="1435">
        <v>0</v>
      </c>
      <c r="L124" s="1435">
        <v>0</v>
      </c>
      <c r="M124" s="1435">
        <v>0</v>
      </c>
      <c r="N124" s="1976"/>
      <c r="O124" s="1976"/>
      <c r="P124" s="1435"/>
      <c r="Q124" s="1435"/>
      <c r="R124" s="1435"/>
      <c r="S124" s="1435"/>
      <c r="T124" s="1435">
        <v>0</v>
      </c>
      <c r="U124" s="1435"/>
      <c r="V124" s="1435"/>
      <c r="W124" s="1435"/>
      <c r="X124" s="1435"/>
      <c r="Y124" s="1435"/>
      <c r="Z124" s="1435"/>
      <c r="AA124" s="1435"/>
      <c r="AB124" s="1435"/>
      <c r="AC124" s="1435"/>
      <c r="AD124" s="1435"/>
      <c r="AE124" s="1435"/>
      <c r="AF124" s="1437"/>
      <c r="AG124" s="1106"/>
      <c r="AH124" s="1106"/>
    </row>
    <row r="125" spans="1:34" s="423" customFormat="1" ht="15.6">
      <c r="A125" s="1433" t="s">
        <v>2028</v>
      </c>
      <c r="B125" s="1413"/>
      <c r="C125" s="1413"/>
      <c r="D125" s="1413"/>
      <c r="E125" s="1435">
        <v>0</v>
      </c>
      <c r="F125" s="1413"/>
      <c r="G125" s="1413"/>
      <c r="H125" s="1413"/>
      <c r="I125" s="1969"/>
      <c r="J125" s="1413"/>
      <c r="K125" s="1413"/>
      <c r="L125" s="1413"/>
      <c r="M125" s="1413"/>
      <c r="N125" s="1969"/>
      <c r="O125" s="1969"/>
      <c r="P125" s="1413"/>
      <c r="Q125" s="1413"/>
      <c r="R125" s="1413"/>
      <c r="S125" s="1413"/>
      <c r="T125" s="1413"/>
      <c r="U125" s="1413"/>
      <c r="V125" s="1413"/>
      <c r="W125" s="1413"/>
      <c r="X125" s="1413"/>
      <c r="Y125" s="1413"/>
      <c r="Z125" s="1413"/>
      <c r="AA125" s="1413"/>
      <c r="AB125" s="1413"/>
      <c r="AC125" s="1413"/>
      <c r="AD125" s="1413"/>
      <c r="AE125" s="1413"/>
      <c r="AF125" s="1977"/>
      <c r="AG125" s="1907"/>
      <c r="AH125" s="1908"/>
    </row>
    <row r="126" spans="1:34" ht="15">
      <c r="A126" s="1413" t="s">
        <v>2090</v>
      </c>
      <c r="B126" s="1425">
        <v>0</v>
      </c>
      <c r="C126" s="1425">
        <v>18705.597090107927</v>
      </c>
      <c r="D126" s="1425">
        <v>105538.84727294779</v>
      </c>
      <c r="E126" s="1425"/>
      <c r="F126" s="1425">
        <v>56893.112316761886</v>
      </c>
      <c r="G126" s="1425">
        <v>67466.520869296262</v>
      </c>
      <c r="H126" s="1425">
        <v>103149.03207195227</v>
      </c>
      <c r="I126" s="1965">
        <v>6930.2255667381187</v>
      </c>
      <c r="J126" s="1425">
        <v>126724.30650858693</v>
      </c>
      <c r="K126" s="1425">
        <v>53997.742164070252</v>
      </c>
      <c r="L126" s="1425">
        <v>31540.568087367017</v>
      </c>
      <c r="M126" s="1425">
        <v>9890.7876505144941</v>
      </c>
      <c r="N126" s="1965">
        <v>3716.2831814870619</v>
      </c>
      <c r="O126" s="1965">
        <v>0</v>
      </c>
      <c r="P126" s="1425">
        <v>3564.8691850909358</v>
      </c>
      <c r="Q126" s="1425">
        <v>3674.2709840047287</v>
      </c>
      <c r="R126" s="1425">
        <v>1602.3956417319052</v>
      </c>
      <c r="S126" s="1425"/>
      <c r="T126" s="1425">
        <v>0</v>
      </c>
      <c r="U126" s="1425">
        <v>0</v>
      </c>
      <c r="V126" s="1425">
        <v>0</v>
      </c>
      <c r="W126" s="1425">
        <v>3336.719423202675</v>
      </c>
      <c r="X126" s="1425">
        <v>3466.0791097579418</v>
      </c>
      <c r="Y126" s="1425">
        <v>1805.7565980550116</v>
      </c>
      <c r="Z126" s="1425">
        <v>9981.4043147971843</v>
      </c>
      <c r="AA126" s="1425">
        <v>34836.973526568625</v>
      </c>
      <c r="AB126" s="1425">
        <v>993.47425660891531</v>
      </c>
      <c r="AC126" s="1425">
        <v>1100.9000831313349</v>
      </c>
      <c r="AD126" s="1425">
        <v>6094.8417155868538</v>
      </c>
      <c r="AE126" s="1425">
        <v>3141.4403154833003</v>
      </c>
      <c r="AF126" s="1431">
        <v>658152.14793384925</v>
      </c>
      <c r="AG126" s="1106"/>
      <c r="AH126" s="1106"/>
    </row>
    <row r="127" spans="1:34" ht="15">
      <c r="A127" s="1413" t="s">
        <v>2091</v>
      </c>
      <c r="B127" s="1425">
        <v>0</v>
      </c>
      <c r="C127" s="1425">
        <v>6885.017816214201</v>
      </c>
      <c r="D127" s="1425">
        <v>16972.197773191961</v>
      </c>
      <c r="E127" s="1425"/>
      <c r="F127" s="1425">
        <v>10164.310865523263</v>
      </c>
      <c r="G127" s="1425">
        <v>11515.067912752824</v>
      </c>
      <c r="H127" s="1425">
        <v>15138.234375298707</v>
      </c>
      <c r="I127" s="1965">
        <v>1356.3434100050169</v>
      </c>
      <c r="J127" s="1425">
        <v>28092.939708792586</v>
      </c>
      <c r="K127" s="1425">
        <v>7177.5486076719799</v>
      </c>
      <c r="L127" s="1425">
        <v>6376.4508824263548</v>
      </c>
      <c r="M127" s="1425">
        <v>956.29759353973554</v>
      </c>
      <c r="N127" s="1965">
        <v>713.78481217216256</v>
      </c>
      <c r="O127" s="1965">
        <v>2017.0727926730997</v>
      </c>
      <c r="P127" s="1425">
        <v>847.1314628883182</v>
      </c>
      <c r="Q127" s="1425">
        <v>400.80929660800626</v>
      </c>
      <c r="R127" s="1425">
        <v>365.02299918561886</v>
      </c>
      <c r="S127" s="1425"/>
      <c r="T127" s="1425">
        <v>0</v>
      </c>
      <c r="U127" s="1425">
        <v>0</v>
      </c>
      <c r="V127" s="1425">
        <v>0</v>
      </c>
      <c r="W127" s="1425">
        <v>727.46754265987124</v>
      </c>
      <c r="X127" s="1425">
        <v>1543.941292055234</v>
      </c>
      <c r="Y127" s="1425">
        <v>1475.3014230680506</v>
      </c>
      <c r="Z127" s="1425">
        <v>5691.5403776117564</v>
      </c>
      <c r="AA127" s="1425">
        <v>0</v>
      </c>
      <c r="AB127" s="1425">
        <v>0</v>
      </c>
      <c r="AC127" s="1425">
        <v>0</v>
      </c>
      <c r="AD127" s="1425">
        <v>0</v>
      </c>
      <c r="AE127" s="1425">
        <v>2530.63140357169</v>
      </c>
      <c r="AF127" s="1431">
        <v>120947.11234791044</v>
      </c>
      <c r="AG127" s="1106"/>
      <c r="AH127" s="1106"/>
    </row>
    <row r="128" spans="1:34" ht="15">
      <c r="A128" s="1413" t="s">
        <v>2092</v>
      </c>
      <c r="B128" s="1425">
        <v>0</v>
      </c>
      <c r="C128" s="1425">
        <v>24096.360413880309</v>
      </c>
      <c r="D128" s="1425">
        <v>70792.147021730532</v>
      </c>
      <c r="E128" s="1425"/>
      <c r="F128" s="1425">
        <v>39525.834120748805</v>
      </c>
      <c r="G128" s="1425">
        <v>40241.336632222199</v>
      </c>
      <c r="H128" s="1425">
        <v>42341.205442752216</v>
      </c>
      <c r="I128" s="1965">
        <v>5067.945854990975</v>
      </c>
      <c r="J128" s="1425">
        <v>115260.61833287057</v>
      </c>
      <c r="K128" s="1425">
        <v>20664.474446885542</v>
      </c>
      <c r="L128" s="1425">
        <v>20378.000328356255</v>
      </c>
      <c r="M128" s="1425">
        <v>4535.9295135470893</v>
      </c>
      <c r="N128" s="1965">
        <v>1573.2843213156984</v>
      </c>
      <c r="O128" s="1965">
        <v>4600.836626389013</v>
      </c>
      <c r="P128" s="1425">
        <v>2306.0035118230899</v>
      </c>
      <c r="Q128" s="1425">
        <v>1669.467429983054</v>
      </c>
      <c r="R128" s="1425">
        <v>1892.9306357674382</v>
      </c>
      <c r="S128" s="1425"/>
      <c r="T128" s="1425">
        <v>0</v>
      </c>
      <c r="U128" s="1425">
        <v>0</v>
      </c>
      <c r="V128" s="1425">
        <v>0</v>
      </c>
      <c r="W128" s="1425">
        <v>1745.4301782415444</v>
      </c>
      <c r="X128" s="1425">
        <v>1944.3589345552336</v>
      </c>
      <c r="Y128" s="1425">
        <v>1422.057088946053</v>
      </c>
      <c r="Z128" s="1425">
        <v>11650.139046617132</v>
      </c>
      <c r="AA128" s="1425">
        <v>0</v>
      </c>
      <c r="AB128" s="1425">
        <v>216.76755642029343</v>
      </c>
      <c r="AC128" s="1425">
        <v>0</v>
      </c>
      <c r="AD128" s="1425">
        <v>0</v>
      </c>
      <c r="AE128" s="1425">
        <v>5266.7973995827851</v>
      </c>
      <c r="AF128" s="1431">
        <v>417191.92483762593</v>
      </c>
      <c r="AG128" s="1106"/>
      <c r="AH128" s="1106"/>
    </row>
    <row r="129" spans="1:34" ht="15">
      <c r="A129" s="1413" t="s">
        <v>2093</v>
      </c>
      <c r="B129" s="1425">
        <v>0</v>
      </c>
      <c r="C129" s="1425">
        <v>23400.438969655577</v>
      </c>
      <c r="D129" s="1425">
        <v>71369.226271220279</v>
      </c>
      <c r="E129" s="1425"/>
      <c r="F129" s="1425">
        <v>29213.449182033139</v>
      </c>
      <c r="G129" s="1425">
        <v>36728.088415314625</v>
      </c>
      <c r="H129" s="1425">
        <v>24645.737213417015</v>
      </c>
      <c r="I129" s="1965">
        <v>5513.1351261508316</v>
      </c>
      <c r="J129" s="1425">
        <v>88445.164159683161</v>
      </c>
      <c r="K129" s="1425">
        <v>17298.312100207684</v>
      </c>
      <c r="L129" s="1425">
        <v>19342.035546018633</v>
      </c>
      <c r="M129" s="1425">
        <v>4982.1651889063833</v>
      </c>
      <c r="N129" s="1965">
        <v>1819.8407606843698</v>
      </c>
      <c r="O129" s="1965">
        <v>7579.2633007990898</v>
      </c>
      <c r="P129" s="1425">
        <v>2320.2399932388157</v>
      </c>
      <c r="Q129" s="1425">
        <v>2460.3505060708785</v>
      </c>
      <c r="R129" s="1425">
        <v>4296.633600545093</v>
      </c>
      <c r="S129" s="1425"/>
      <c r="T129" s="1425">
        <v>0</v>
      </c>
      <c r="U129" s="1425">
        <v>0</v>
      </c>
      <c r="V129" s="1425">
        <v>0</v>
      </c>
      <c r="W129" s="1425">
        <v>771.60069673620421</v>
      </c>
      <c r="X129" s="1425">
        <v>3104.836045126528</v>
      </c>
      <c r="Y129" s="1425">
        <v>1417.5487098955487</v>
      </c>
      <c r="Z129" s="1425">
        <v>10468.222767894267</v>
      </c>
      <c r="AA129" s="1425">
        <v>0</v>
      </c>
      <c r="AB129" s="1425">
        <v>0</v>
      </c>
      <c r="AC129" s="1425">
        <v>0</v>
      </c>
      <c r="AD129" s="1425">
        <v>0</v>
      </c>
      <c r="AE129" s="1425">
        <v>7167.2997955813544</v>
      </c>
      <c r="AF129" s="1431">
        <v>362343.58834917942</v>
      </c>
      <c r="AG129" s="1106"/>
      <c r="AH129" s="1106"/>
    </row>
    <row r="130" spans="1:34" ht="15">
      <c r="A130" s="1413" t="s">
        <v>190</v>
      </c>
      <c r="B130" s="1425">
        <v>0</v>
      </c>
      <c r="C130" s="1425">
        <v>23572.297713438689</v>
      </c>
      <c r="D130" s="1425">
        <v>27235.339144965528</v>
      </c>
      <c r="E130" s="1425"/>
      <c r="F130" s="1425">
        <v>22068.218389461654</v>
      </c>
      <c r="G130" s="1425">
        <v>24566.780427340676</v>
      </c>
      <c r="H130" s="1425">
        <v>34771.203482915575</v>
      </c>
      <c r="I130" s="1965">
        <v>0</v>
      </c>
      <c r="J130" s="1425">
        <v>65468.351189799105</v>
      </c>
      <c r="K130" s="1425">
        <v>0</v>
      </c>
      <c r="L130" s="1425">
        <v>0</v>
      </c>
      <c r="M130" s="1425">
        <v>0</v>
      </c>
      <c r="N130" s="1965">
        <v>0</v>
      </c>
      <c r="O130" s="1965">
        <v>0</v>
      </c>
      <c r="P130" s="1425">
        <v>0</v>
      </c>
      <c r="Q130" s="1425">
        <v>0</v>
      </c>
      <c r="R130" s="1425">
        <v>0</v>
      </c>
      <c r="S130" s="1425"/>
      <c r="T130" s="1425">
        <v>0</v>
      </c>
      <c r="U130" s="1425">
        <v>0</v>
      </c>
      <c r="V130" s="1425">
        <v>0</v>
      </c>
      <c r="W130" s="1425">
        <v>0</v>
      </c>
      <c r="X130" s="1425">
        <v>0</v>
      </c>
      <c r="Y130" s="1425">
        <v>0</v>
      </c>
      <c r="Z130" s="1425">
        <v>3658.7975948779299</v>
      </c>
      <c r="AA130" s="1425">
        <v>0</v>
      </c>
      <c r="AB130" s="1425">
        <v>0</v>
      </c>
      <c r="AC130" s="1425">
        <v>0</v>
      </c>
      <c r="AD130" s="1425">
        <v>0</v>
      </c>
      <c r="AE130" s="1425">
        <v>0</v>
      </c>
      <c r="AF130" s="1431">
        <v>201340.98794279917</v>
      </c>
      <c r="AG130" s="1106"/>
      <c r="AH130" s="1106"/>
    </row>
    <row r="131" spans="1:34" ht="15">
      <c r="A131" s="1413" t="s">
        <v>1840</v>
      </c>
      <c r="B131" s="1425">
        <v>0</v>
      </c>
      <c r="C131" s="1425">
        <v>0</v>
      </c>
      <c r="D131" s="1425">
        <v>418.68721311186977</v>
      </c>
      <c r="E131" s="1425"/>
      <c r="F131" s="1425">
        <v>427.36947543509262</v>
      </c>
      <c r="G131" s="1425">
        <v>421.06004017522105</v>
      </c>
      <c r="H131" s="1425">
        <v>374.36826236426458</v>
      </c>
      <c r="I131" s="1965">
        <v>0</v>
      </c>
      <c r="J131" s="1425">
        <v>0</v>
      </c>
      <c r="K131" s="1425">
        <v>369.57023257966199</v>
      </c>
      <c r="L131" s="1425">
        <v>0</v>
      </c>
      <c r="M131" s="1425">
        <v>0</v>
      </c>
      <c r="N131" s="1965">
        <v>0</v>
      </c>
      <c r="O131" s="1965">
        <v>0</v>
      </c>
      <c r="P131" s="1425">
        <v>0</v>
      </c>
      <c r="Q131" s="1425">
        <v>0</v>
      </c>
      <c r="R131" s="1425">
        <v>381.43232645998205</v>
      </c>
      <c r="S131" s="1425"/>
      <c r="T131" s="1425">
        <v>0</v>
      </c>
      <c r="U131" s="1425">
        <v>0</v>
      </c>
      <c r="V131" s="1425">
        <v>0</v>
      </c>
      <c r="W131" s="1425">
        <v>0</v>
      </c>
      <c r="X131" s="1425">
        <v>0</v>
      </c>
      <c r="Y131" s="1425">
        <v>0</v>
      </c>
      <c r="Z131" s="1425">
        <v>0</v>
      </c>
      <c r="AA131" s="1425">
        <v>0</v>
      </c>
      <c r="AB131" s="1425">
        <v>0</v>
      </c>
      <c r="AC131" s="1425">
        <v>0</v>
      </c>
      <c r="AD131" s="1425">
        <v>0</v>
      </c>
      <c r="AE131" s="1425">
        <v>0</v>
      </c>
      <c r="AF131" s="1431">
        <v>2392.4875501260922</v>
      </c>
      <c r="AG131" s="1106"/>
      <c r="AH131" s="1106"/>
    </row>
    <row r="132" spans="1:34" ht="15">
      <c r="A132" s="1413" t="s">
        <v>2097</v>
      </c>
      <c r="B132" s="1425">
        <v>0</v>
      </c>
      <c r="C132" s="1425">
        <v>4252.3772459534603</v>
      </c>
      <c r="D132" s="1425">
        <v>12392.083507516036</v>
      </c>
      <c r="E132" s="1425"/>
      <c r="F132" s="1425">
        <v>8952.6767103250386</v>
      </c>
      <c r="G132" s="1425">
        <v>10030.326836455468</v>
      </c>
      <c r="H132" s="1425">
        <v>12598.900826634672</v>
      </c>
      <c r="I132" s="1965">
        <v>0</v>
      </c>
      <c r="J132" s="1425">
        <v>17284.195334210017</v>
      </c>
      <c r="K132" s="1425">
        <v>0</v>
      </c>
      <c r="L132" s="1425">
        <v>0</v>
      </c>
      <c r="M132" s="1425">
        <v>0</v>
      </c>
      <c r="N132" s="1965">
        <v>0</v>
      </c>
      <c r="O132" s="1965">
        <v>0</v>
      </c>
      <c r="P132" s="1425">
        <v>0</v>
      </c>
      <c r="Q132" s="1425">
        <v>0</v>
      </c>
      <c r="R132" s="1425">
        <v>0</v>
      </c>
      <c r="S132" s="1425"/>
      <c r="T132" s="1425">
        <v>0</v>
      </c>
      <c r="U132" s="1425">
        <v>0</v>
      </c>
      <c r="V132" s="1425">
        <v>0</v>
      </c>
      <c r="W132" s="1425">
        <v>0</v>
      </c>
      <c r="X132" s="1425">
        <v>0</v>
      </c>
      <c r="Y132" s="1425">
        <v>0</v>
      </c>
      <c r="Z132" s="1425">
        <v>2157.3480106970978</v>
      </c>
      <c r="AA132" s="1425">
        <v>0</v>
      </c>
      <c r="AB132" s="1425">
        <v>0</v>
      </c>
      <c r="AC132" s="1425">
        <v>0</v>
      </c>
      <c r="AD132" s="1425">
        <v>0</v>
      </c>
      <c r="AE132" s="1425">
        <v>0</v>
      </c>
      <c r="AF132" s="1431">
        <v>67667.908471791787</v>
      </c>
      <c r="AG132" s="1106"/>
      <c r="AH132" s="1106"/>
    </row>
    <row r="133" spans="1:34" ht="15">
      <c r="A133" s="1413" t="s">
        <v>191</v>
      </c>
      <c r="B133" s="1425">
        <v>0</v>
      </c>
      <c r="C133" s="1425">
        <v>639.66941993864293</v>
      </c>
      <c r="D133" s="1425">
        <v>1048.5665906068893</v>
      </c>
      <c r="E133" s="1425">
        <v>0</v>
      </c>
      <c r="F133" s="1425">
        <v>0</v>
      </c>
      <c r="G133" s="1425">
        <v>0</v>
      </c>
      <c r="H133" s="1425">
        <v>0</v>
      </c>
      <c r="I133" s="1965">
        <v>8203.5129896122726</v>
      </c>
      <c r="J133" s="1425">
        <v>0</v>
      </c>
      <c r="K133" s="1425">
        <v>0</v>
      </c>
      <c r="L133" s="1425">
        <v>0</v>
      </c>
      <c r="M133" s="1425">
        <v>0</v>
      </c>
      <c r="N133" s="1965">
        <v>0</v>
      </c>
      <c r="O133" s="1965">
        <v>14336.556586364186</v>
      </c>
      <c r="P133" s="1425">
        <v>920.01956673008203</v>
      </c>
      <c r="Q133" s="1425">
        <v>0</v>
      </c>
      <c r="R133" s="1425">
        <v>3028.1976154196764</v>
      </c>
      <c r="S133" s="1425">
        <v>0</v>
      </c>
      <c r="T133" s="1425">
        <v>0</v>
      </c>
      <c r="U133" s="1425">
        <v>0</v>
      </c>
      <c r="V133" s="1425">
        <v>0</v>
      </c>
      <c r="W133" s="1425">
        <v>9816.2641234454204</v>
      </c>
      <c r="X133" s="1425">
        <v>11963.17512156699</v>
      </c>
      <c r="Y133" s="1425">
        <v>0</v>
      </c>
      <c r="Z133" s="1425">
        <v>702.98473810059193</v>
      </c>
      <c r="AA133" s="1425">
        <v>0</v>
      </c>
      <c r="AB133" s="1425">
        <v>0</v>
      </c>
      <c r="AC133" s="1425">
        <v>0</v>
      </c>
      <c r="AD133" s="1425">
        <v>0</v>
      </c>
      <c r="AE133" s="1425">
        <v>0</v>
      </c>
      <c r="AF133" s="1431">
        <v>50658.946751784744</v>
      </c>
      <c r="AG133" s="1106"/>
      <c r="AH133" s="1106"/>
    </row>
    <row r="134" spans="1:34" ht="16.149999999999999" thickBot="1">
      <c r="A134" s="1430" t="s">
        <v>2098</v>
      </c>
      <c r="B134" s="1550">
        <v>0</v>
      </c>
      <c r="C134" s="1550">
        <v>102183.33353008711</v>
      </c>
      <c r="D134" s="1550">
        <v>307947.7573635818</v>
      </c>
      <c r="E134" s="1550">
        <v>0</v>
      </c>
      <c r="F134" s="1550">
        <v>172626.61516886053</v>
      </c>
      <c r="G134" s="1550">
        <v>196972.66577203851</v>
      </c>
      <c r="H134" s="1550">
        <v>240595.14695882663</v>
      </c>
      <c r="I134" s="1978">
        <v>28423.667274961714</v>
      </c>
      <c r="J134" s="1550">
        <v>470189.80328837241</v>
      </c>
      <c r="K134" s="1550">
        <v>100695.55175539179</v>
      </c>
      <c r="L134" s="1550">
        <v>78641.051007636634</v>
      </c>
      <c r="M134" s="1550">
        <v>21827.558572505506</v>
      </c>
      <c r="N134" s="1978">
        <v>9120.4857267167408</v>
      </c>
      <c r="O134" s="1978">
        <v>30036.706119046474</v>
      </c>
      <c r="P134" s="1550">
        <v>10777.511582505202</v>
      </c>
      <c r="Q134" s="1550">
        <v>8204.8982166666683</v>
      </c>
      <c r="R134" s="1550">
        <v>12910.056180021038</v>
      </c>
      <c r="S134" s="1550">
        <v>0</v>
      </c>
      <c r="T134" s="1550">
        <v>0</v>
      </c>
      <c r="U134" s="1550">
        <v>0</v>
      </c>
      <c r="V134" s="1550">
        <v>0</v>
      </c>
      <c r="W134" s="1550">
        <v>17256.425725086723</v>
      </c>
      <c r="X134" s="1550">
        <v>23582.851385709899</v>
      </c>
      <c r="Y134" s="1550">
        <v>8315.8973313256574</v>
      </c>
      <c r="Z134" s="1550">
        <v>48339.037901114069</v>
      </c>
      <c r="AA134" s="1550">
        <v>34836.973526568625</v>
      </c>
      <c r="AB134" s="1550">
        <v>2171.2709213478329</v>
      </c>
      <c r="AC134" s="1550">
        <v>2230.5584565714489</v>
      </c>
      <c r="AD134" s="1550">
        <v>6094.8417155868538</v>
      </c>
      <c r="AE134" s="1550">
        <v>19024.944330795366</v>
      </c>
      <c r="AF134" s="1550">
        <v>1897154.7101331858</v>
      </c>
      <c r="AG134" s="1109">
        <v>147668415.2215628</v>
      </c>
      <c r="AH134" s="1109"/>
    </row>
    <row r="135" spans="1:34" ht="15.6">
      <c r="A135" s="1413"/>
      <c r="B135" s="1425"/>
      <c r="C135" s="1425"/>
      <c r="D135" s="1425"/>
      <c r="E135" s="1425"/>
      <c r="F135" s="1425"/>
      <c r="G135" s="1425"/>
      <c r="H135" s="1425"/>
      <c r="I135" s="1965"/>
      <c r="J135" s="1425"/>
      <c r="K135" s="1425"/>
      <c r="L135" s="1425"/>
      <c r="M135" s="1425"/>
      <c r="N135" s="1965"/>
      <c r="O135" s="1965"/>
      <c r="P135" s="1425"/>
      <c r="Q135" s="1425"/>
      <c r="R135" s="1425"/>
      <c r="S135" s="1425"/>
      <c r="T135" s="1425"/>
      <c r="U135" s="1425"/>
      <c r="V135" s="1425"/>
      <c r="W135" s="1425"/>
      <c r="X135" s="1425"/>
      <c r="Y135" s="1425"/>
      <c r="Z135" s="1425"/>
      <c r="AA135" s="1425"/>
      <c r="AB135" s="1425"/>
      <c r="AC135" s="1425"/>
      <c r="AD135" s="1425"/>
      <c r="AE135" s="1425"/>
      <c r="AF135" s="1431"/>
      <c r="AG135" s="1106"/>
      <c r="AH135" s="1104"/>
    </row>
    <row r="136" spans="1:34" s="1838" customFormat="1" ht="15">
      <c r="A136" s="1413"/>
      <c r="B136" s="1425"/>
      <c r="C136" s="1425"/>
      <c r="D136" s="1425"/>
      <c r="E136" s="1425"/>
      <c r="F136" s="1425"/>
      <c r="G136" s="1425"/>
      <c r="H136" s="1425"/>
      <c r="I136" s="1965"/>
      <c r="J136" s="1425"/>
      <c r="K136" s="1425"/>
      <c r="L136" s="1425"/>
      <c r="M136" s="1425"/>
      <c r="N136" s="1965"/>
      <c r="O136" s="1965"/>
      <c r="P136" s="1425"/>
      <c r="Q136" s="1425"/>
      <c r="R136" s="1425"/>
      <c r="S136" s="1425"/>
      <c r="T136" s="1425"/>
      <c r="U136" s="1425"/>
      <c r="V136" s="1425"/>
      <c r="W136" s="1425"/>
      <c r="X136" s="1425"/>
      <c r="Y136" s="1425"/>
      <c r="Z136" s="1425"/>
      <c r="AA136" s="1425"/>
      <c r="AB136" s="1425"/>
      <c r="AC136" s="1425"/>
      <c r="AD136" s="1425"/>
      <c r="AE136" s="1425"/>
      <c r="AF136" s="1425">
        <v>0</v>
      </c>
      <c r="AG136" s="1912"/>
      <c r="AH136" s="1764"/>
    </row>
    <row r="137" spans="1:34" ht="15.6">
      <c r="A137" s="1438" t="s">
        <v>2099</v>
      </c>
      <c r="B137" s="1425">
        <v>0</v>
      </c>
      <c r="C137" s="1425">
        <v>2432.9845360304816</v>
      </c>
      <c r="D137" s="1425">
        <v>4594.3975614348847</v>
      </c>
      <c r="E137" s="1425"/>
      <c r="F137" s="1425">
        <v>2547.3034227856574</v>
      </c>
      <c r="G137" s="1425">
        <v>3313.1508403427229</v>
      </c>
      <c r="H137" s="1425">
        <v>2341.9749730930098</v>
      </c>
      <c r="I137" s="1965">
        <v>965.88698443421754</v>
      </c>
      <c r="J137" s="1425">
        <v>7505.7267280650503</v>
      </c>
      <c r="K137" s="1425">
        <v>2403.3630943424196</v>
      </c>
      <c r="L137" s="1425">
        <v>2163.0408221850989</v>
      </c>
      <c r="M137" s="1425">
        <v>693.24157859588524</v>
      </c>
      <c r="N137" s="1965">
        <v>476.37141638929171</v>
      </c>
      <c r="O137" s="1965">
        <v>672.4949226071825</v>
      </c>
      <c r="P137" s="1425">
        <v>513.306826685293</v>
      </c>
      <c r="Q137" s="1425">
        <v>602.69205855234952</v>
      </c>
      <c r="R137" s="1425">
        <v>1038.1855287206881</v>
      </c>
      <c r="S137" s="1425"/>
      <c r="T137" s="1425">
        <v>0</v>
      </c>
      <c r="U137" s="1425">
        <v>0</v>
      </c>
      <c r="V137" s="1425">
        <v>0</v>
      </c>
      <c r="W137" s="1425">
        <v>758.93329829243055</v>
      </c>
      <c r="X137" s="1425">
        <v>746.2743512671293</v>
      </c>
      <c r="Y137" s="1425">
        <v>800.4074142290242</v>
      </c>
      <c r="Z137" s="1425">
        <v>741.94204326581155</v>
      </c>
      <c r="AA137" s="1425">
        <v>0</v>
      </c>
      <c r="AB137" s="1425">
        <v>432.13562010514067</v>
      </c>
      <c r="AC137" s="1425">
        <v>0</v>
      </c>
      <c r="AD137" s="1425">
        <v>0</v>
      </c>
      <c r="AE137" s="1425">
        <v>779.48220982646808</v>
      </c>
      <c r="AF137" s="1431">
        <v>36523.296231250235</v>
      </c>
      <c r="AG137" s="1104" t="s">
        <v>1836</v>
      </c>
      <c r="AH137" s="1106"/>
    </row>
    <row r="138" spans="1:34" ht="15.6">
      <c r="A138" s="1438" t="s">
        <v>2100</v>
      </c>
      <c r="B138" s="1425">
        <v>0</v>
      </c>
      <c r="C138" s="1425">
        <v>1201.4738449533243</v>
      </c>
      <c r="D138" s="1425">
        <v>4461.8530418413102</v>
      </c>
      <c r="E138" s="1425"/>
      <c r="F138" s="1425">
        <v>3035.536578819575</v>
      </c>
      <c r="G138" s="1425">
        <v>0</v>
      </c>
      <c r="H138" s="1425">
        <v>3305.8538061856561</v>
      </c>
      <c r="I138" s="1965">
        <v>2171.4487159361815</v>
      </c>
      <c r="J138" s="1425">
        <v>5170.6117460003679</v>
      </c>
      <c r="K138" s="1425">
        <v>1515.4559589769374</v>
      </c>
      <c r="L138" s="1425">
        <v>0</v>
      </c>
      <c r="M138" s="1425">
        <v>1609.3108074547338</v>
      </c>
      <c r="N138" s="1965">
        <v>549.65932660302883</v>
      </c>
      <c r="O138" s="1965">
        <v>1401.0310887649637</v>
      </c>
      <c r="P138" s="1425">
        <v>669.53064350255602</v>
      </c>
      <c r="Q138" s="1425">
        <v>984.3970289688375</v>
      </c>
      <c r="R138" s="1425">
        <v>370.78054597167437</v>
      </c>
      <c r="S138" s="1425"/>
      <c r="T138" s="1425">
        <v>0</v>
      </c>
      <c r="U138" s="1425">
        <v>0</v>
      </c>
      <c r="V138" s="1425">
        <v>0</v>
      </c>
      <c r="W138" s="1425">
        <v>234.90792566194278</v>
      </c>
      <c r="X138" s="1425">
        <v>2014.9407484212491</v>
      </c>
      <c r="Y138" s="1425">
        <v>727.64310384456746</v>
      </c>
      <c r="Z138" s="1425">
        <v>1520.9811886949137</v>
      </c>
      <c r="AA138" s="1425">
        <v>0</v>
      </c>
      <c r="AB138" s="1425">
        <v>0</v>
      </c>
      <c r="AC138" s="1425">
        <v>0</v>
      </c>
      <c r="AD138" s="1425">
        <v>0</v>
      </c>
      <c r="AE138" s="1425">
        <v>0</v>
      </c>
      <c r="AF138" s="1431">
        <v>30945.416100601822</v>
      </c>
      <c r="AG138" s="1104" t="s">
        <v>1836</v>
      </c>
      <c r="AH138" s="1106"/>
    </row>
    <row r="139" spans="1:34" ht="15.6">
      <c r="A139" s="1438" t="s">
        <v>2101</v>
      </c>
      <c r="B139" s="1425">
        <v>0</v>
      </c>
      <c r="C139" s="1425">
        <v>1231.5106910771574</v>
      </c>
      <c r="D139" s="1425">
        <v>2053.3620386301159</v>
      </c>
      <c r="E139" s="1425"/>
      <c r="F139" s="1425">
        <v>3884.6377197481274</v>
      </c>
      <c r="G139" s="1425">
        <v>2132.8408534706277</v>
      </c>
      <c r="H139" s="1425">
        <v>1951.6458109108414</v>
      </c>
      <c r="I139" s="1965">
        <v>2515.7986571309852</v>
      </c>
      <c r="J139" s="1425">
        <v>3419.2755094518561</v>
      </c>
      <c r="K139" s="1425">
        <v>1246.857545185165</v>
      </c>
      <c r="L139" s="1425">
        <v>1081.5204110925495</v>
      </c>
      <c r="M139" s="1425">
        <v>1931.1729689456804</v>
      </c>
      <c r="N139" s="1965">
        <v>476.37141638929171</v>
      </c>
      <c r="O139" s="1965">
        <v>429.64953388792219</v>
      </c>
      <c r="P139" s="1425">
        <v>602.57757915230047</v>
      </c>
      <c r="Q139" s="1425">
        <v>743.32020554789767</v>
      </c>
      <c r="R139" s="1425">
        <v>18.539027298583719</v>
      </c>
      <c r="S139" s="1425"/>
      <c r="T139" s="1425">
        <v>0</v>
      </c>
      <c r="U139" s="1425">
        <v>0</v>
      </c>
      <c r="V139" s="1425">
        <v>0</v>
      </c>
      <c r="W139" s="1425">
        <v>108.41904261320435</v>
      </c>
      <c r="X139" s="1425">
        <v>1082.0978093373374</v>
      </c>
      <c r="Y139" s="1425">
        <v>1018.7003453823944</v>
      </c>
      <c r="Z139" s="1425">
        <v>556.45653244935875</v>
      </c>
      <c r="AA139" s="1425">
        <v>0</v>
      </c>
      <c r="AB139" s="1425">
        <v>129.6406860315422</v>
      </c>
      <c r="AC139" s="1425">
        <v>0</v>
      </c>
      <c r="AD139" s="1425">
        <v>0</v>
      </c>
      <c r="AE139" s="1425">
        <v>0</v>
      </c>
      <c r="AF139" s="1431">
        <v>26614.394383732935</v>
      </c>
      <c r="AG139" s="1104" t="s">
        <v>1836</v>
      </c>
      <c r="AH139" s="1106"/>
    </row>
    <row r="140" spans="1:34" ht="15.6">
      <c r="A140" s="1438" t="s">
        <v>2102</v>
      </c>
      <c r="B140" s="1425">
        <v>0</v>
      </c>
      <c r="C140" s="1425">
        <v>1201.4738449533243</v>
      </c>
      <c r="D140" s="1425">
        <v>1026.6810193150579</v>
      </c>
      <c r="E140" s="1425"/>
      <c r="F140" s="1425">
        <v>0</v>
      </c>
      <c r="G140" s="1425">
        <v>0</v>
      </c>
      <c r="H140" s="1425">
        <v>0</v>
      </c>
      <c r="I140" s="1965">
        <v>0</v>
      </c>
      <c r="J140" s="1425">
        <v>0</v>
      </c>
      <c r="K140" s="1425">
        <v>0</v>
      </c>
      <c r="L140" s="1425">
        <v>0</v>
      </c>
      <c r="M140" s="1425">
        <v>0</v>
      </c>
      <c r="N140" s="1965">
        <v>0</v>
      </c>
      <c r="O140" s="1965">
        <v>0</v>
      </c>
      <c r="P140" s="1425">
        <v>0</v>
      </c>
      <c r="Q140" s="1425">
        <v>0</v>
      </c>
      <c r="R140" s="1425">
        <v>0</v>
      </c>
      <c r="S140" s="1425"/>
      <c r="T140" s="1425">
        <v>0</v>
      </c>
      <c r="U140" s="1425">
        <v>0</v>
      </c>
      <c r="V140" s="1425">
        <v>0</v>
      </c>
      <c r="W140" s="1425">
        <v>0</v>
      </c>
      <c r="X140" s="1425">
        <v>0</v>
      </c>
      <c r="Y140" s="1425">
        <v>0</v>
      </c>
      <c r="Z140" s="1425">
        <v>0</v>
      </c>
      <c r="AA140" s="1425">
        <v>0</v>
      </c>
      <c r="AB140" s="1425">
        <v>0</v>
      </c>
      <c r="AC140" s="1425">
        <v>0</v>
      </c>
      <c r="AD140" s="1425">
        <v>0</v>
      </c>
      <c r="AE140" s="1425">
        <v>0</v>
      </c>
      <c r="AF140" s="1431">
        <v>2228.154864268382</v>
      </c>
      <c r="AG140" s="1104" t="s">
        <v>1836</v>
      </c>
      <c r="AH140" s="1106"/>
    </row>
    <row r="141" spans="1:34" ht="15.6">
      <c r="A141" s="1438" t="s">
        <v>2103</v>
      </c>
      <c r="B141" s="1425">
        <v>0</v>
      </c>
      <c r="C141" s="1425">
        <v>690.8474608481614</v>
      </c>
      <c r="D141" s="1425">
        <v>1283.3512741438224</v>
      </c>
      <c r="E141" s="1425"/>
      <c r="F141" s="1425">
        <v>658.05338421962813</v>
      </c>
      <c r="G141" s="1425">
        <v>559.0942043078345</v>
      </c>
      <c r="H141" s="1425">
        <v>507.4279108368188</v>
      </c>
      <c r="I141" s="1965">
        <v>0</v>
      </c>
      <c r="J141" s="1425">
        <v>792.27115462908864</v>
      </c>
      <c r="K141" s="1425">
        <v>433.68958093397043</v>
      </c>
      <c r="L141" s="1425">
        <v>144.20272147900658</v>
      </c>
      <c r="M141" s="1425">
        <v>0</v>
      </c>
      <c r="N141" s="1965">
        <v>0</v>
      </c>
      <c r="O141" s="1965">
        <v>0</v>
      </c>
      <c r="P141" s="1425">
        <v>0</v>
      </c>
      <c r="Q141" s="1425">
        <v>0</v>
      </c>
      <c r="R141" s="1425">
        <v>0</v>
      </c>
      <c r="S141" s="1425"/>
      <c r="T141" s="1425">
        <v>0</v>
      </c>
      <c r="U141" s="1425">
        <v>0</v>
      </c>
      <c r="V141" s="1425">
        <v>0</v>
      </c>
      <c r="W141" s="1425">
        <v>0</v>
      </c>
      <c r="X141" s="1425">
        <v>0</v>
      </c>
      <c r="Y141" s="1425">
        <v>0</v>
      </c>
      <c r="Z141" s="1425">
        <v>556.45653244935875</v>
      </c>
      <c r="AA141" s="1425">
        <v>0</v>
      </c>
      <c r="AB141" s="1425">
        <v>0</v>
      </c>
      <c r="AC141" s="1425">
        <v>0</v>
      </c>
      <c r="AD141" s="1425">
        <v>0</v>
      </c>
      <c r="AE141" s="1425">
        <v>0</v>
      </c>
      <c r="AF141" s="1431">
        <v>5625.3942238476893</v>
      </c>
      <c r="AG141" s="1104"/>
      <c r="AH141" s="1106"/>
    </row>
    <row r="142" spans="1:34" ht="15.6">
      <c r="A142" s="1438" t="s">
        <v>2104</v>
      </c>
      <c r="B142" s="1425">
        <v>0</v>
      </c>
      <c r="C142" s="1425">
        <v>360.44215348599727</v>
      </c>
      <c r="D142" s="1425">
        <v>3105.7100834280504</v>
      </c>
      <c r="E142" s="1425"/>
      <c r="F142" s="1425">
        <v>721.73596978926957</v>
      </c>
      <c r="G142" s="1425">
        <v>2899.0069852998822</v>
      </c>
      <c r="H142" s="1425">
        <v>644.04311760057772</v>
      </c>
      <c r="I142" s="1965">
        <v>0</v>
      </c>
      <c r="J142" s="1425">
        <v>5796.0889733391223</v>
      </c>
      <c r="K142" s="1425">
        <v>0</v>
      </c>
      <c r="L142" s="1425">
        <v>0</v>
      </c>
      <c r="M142" s="1425">
        <v>0</v>
      </c>
      <c r="N142" s="1965">
        <v>0</v>
      </c>
      <c r="O142" s="1965">
        <v>0</v>
      </c>
      <c r="P142" s="1425">
        <v>0</v>
      </c>
      <c r="Q142" s="1425">
        <v>0</v>
      </c>
      <c r="R142" s="1425">
        <v>0</v>
      </c>
      <c r="S142" s="1425"/>
      <c r="T142" s="1425">
        <v>0</v>
      </c>
      <c r="U142" s="1425">
        <v>0</v>
      </c>
      <c r="V142" s="1425">
        <v>0</v>
      </c>
      <c r="W142" s="1425">
        <v>0</v>
      </c>
      <c r="X142" s="1425">
        <v>0</v>
      </c>
      <c r="Y142" s="1425">
        <v>0</v>
      </c>
      <c r="Z142" s="1425">
        <v>482.26232812277755</v>
      </c>
      <c r="AA142" s="1425">
        <v>0</v>
      </c>
      <c r="AB142" s="1425">
        <v>0</v>
      </c>
      <c r="AC142" s="1425">
        <v>0</v>
      </c>
      <c r="AD142" s="1425">
        <v>0</v>
      </c>
      <c r="AE142" s="1425">
        <v>0</v>
      </c>
      <c r="AF142" s="1431">
        <v>14009.289611065677</v>
      </c>
      <c r="AG142" s="1104"/>
      <c r="AH142" s="1106"/>
    </row>
    <row r="143" spans="1:34" ht="15.6">
      <c r="A143" s="1438" t="s">
        <v>2105</v>
      </c>
      <c r="B143" s="1425">
        <v>0</v>
      </c>
      <c r="C143" s="1425">
        <v>570.700076352829</v>
      </c>
      <c r="D143" s="1425">
        <v>333.67133127739385</v>
      </c>
      <c r="E143" s="1425">
        <v>0</v>
      </c>
      <c r="F143" s="1425">
        <v>0</v>
      </c>
      <c r="G143" s="1425">
        <v>0</v>
      </c>
      <c r="H143" s="1425">
        <v>0</v>
      </c>
      <c r="I143" s="1965">
        <v>1078.1994244847081</v>
      </c>
      <c r="J143" s="1425">
        <v>0</v>
      </c>
      <c r="K143" s="1425">
        <v>0</v>
      </c>
      <c r="L143" s="1425">
        <v>0</v>
      </c>
      <c r="M143" s="1425">
        <v>0</v>
      </c>
      <c r="N143" s="1965">
        <v>0</v>
      </c>
      <c r="O143" s="1965">
        <v>0</v>
      </c>
      <c r="P143" s="1425">
        <v>1294.4259107716084</v>
      </c>
      <c r="Q143" s="1425">
        <v>3113.9089691871391</v>
      </c>
      <c r="R143" s="1425">
        <v>964.02941952635331</v>
      </c>
      <c r="S143" s="1425">
        <v>0</v>
      </c>
      <c r="T143" s="1425">
        <v>386.7764361106365</v>
      </c>
      <c r="U143" s="1425">
        <v>0</v>
      </c>
      <c r="V143" s="1425">
        <v>0</v>
      </c>
      <c r="W143" s="1425">
        <v>596.30473437262401</v>
      </c>
      <c r="X143" s="1425">
        <v>1623.1467140060061</v>
      </c>
      <c r="Y143" s="1425">
        <v>0</v>
      </c>
      <c r="Z143" s="1425">
        <v>779.03914542910218</v>
      </c>
      <c r="AA143" s="1425">
        <v>0</v>
      </c>
      <c r="AB143" s="1425">
        <v>0</v>
      </c>
      <c r="AC143" s="1425">
        <v>0</v>
      </c>
      <c r="AD143" s="1425">
        <v>0</v>
      </c>
      <c r="AE143" s="1425">
        <v>0</v>
      </c>
      <c r="AF143" s="1431">
        <v>10740.2021615184</v>
      </c>
      <c r="AG143" s="1104"/>
      <c r="AH143" s="1106"/>
    </row>
    <row r="144" spans="1:34" s="1" customFormat="1" ht="15.6">
      <c r="A144" s="1577"/>
      <c r="B144" s="1979">
        <v>0</v>
      </c>
      <c r="C144" s="1979">
        <v>8290.1695301779382</v>
      </c>
      <c r="D144" s="1979">
        <v>17380.580307882683</v>
      </c>
      <c r="E144" s="1979">
        <v>0</v>
      </c>
      <c r="F144" s="1979">
        <v>10847.267075362257</v>
      </c>
      <c r="G144" s="1979">
        <v>8904.0928834210681</v>
      </c>
      <c r="H144" s="1979">
        <v>8750.9456186269053</v>
      </c>
      <c r="I144" s="1980">
        <v>6731.3337819860926</v>
      </c>
      <c r="J144" s="1979">
        <v>22683.974111485488</v>
      </c>
      <c r="K144" s="1979">
        <v>5599.3661794384925</v>
      </c>
      <c r="L144" s="1979">
        <v>5215.3317601574045</v>
      </c>
      <c r="M144" s="1979">
        <v>4842.7380817927851</v>
      </c>
      <c r="N144" s="1980">
        <v>1502.4021593816121</v>
      </c>
      <c r="O144" s="1980">
        <v>2895.464250114258</v>
      </c>
      <c r="P144" s="1979">
        <v>3079.8409601117578</v>
      </c>
      <c r="Q144" s="1979">
        <v>5444.3182622562235</v>
      </c>
      <c r="R144" s="1979">
        <v>2391.5345215172997</v>
      </c>
      <c r="S144" s="1979">
        <v>0</v>
      </c>
      <c r="T144" s="1979">
        <v>386.7764361106365</v>
      </c>
      <c r="U144" s="1979">
        <v>0</v>
      </c>
      <c r="V144" s="1979">
        <v>0</v>
      </c>
      <c r="W144" s="1979">
        <v>1698.5650009402016</v>
      </c>
      <c r="X144" s="1979"/>
      <c r="Y144" s="1979"/>
      <c r="Z144" s="1979"/>
      <c r="AA144" s="1979"/>
      <c r="AB144" s="1979">
        <v>561.77630613668293</v>
      </c>
      <c r="AC144" s="1979"/>
      <c r="AD144" s="1979">
        <v>0</v>
      </c>
      <c r="AE144" s="1979"/>
      <c r="AF144" s="1979">
        <v>131997.77134301804</v>
      </c>
      <c r="AG144" s="1110"/>
      <c r="AH144" s="1104">
        <v>11520056.661528978</v>
      </c>
    </row>
    <row r="145" spans="1:34" s="680" customFormat="1" ht="15.6">
      <c r="A145" s="1438"/>
      <c r="B145" s="1425"/>
      <c r="C145" s="1425"/>
      <c r="D145" s="1425"/>
      <c r="E145" s="1425"/>
      <c r="F145" s="1425"/>
      <c r="G145" s="1425"/>
      <c r="H145" s="1425"/>
      <c r="I145" s="1965"/>
      <c r="J145" s="1425"/>
      <c r="K145" s="1425"/>
      <c r="L145" s="1425"/>
      <c r="M145" s="1425"/>
      <c r="N145" s="1965"/>
      <c r="O145" s="1965"/>
      <c r="P145" s="1425"/>
      <c r="Q145" s="1425"/>
      <c r="R145" s="1425"/>
      <c r="S145" s="1425"/>
      <c r="T145" s="1425"/>
      <c r="U145" s="1425"/>
      <c r="V145" s="1425"/>
      <c r="W145" s="1425"/>
      <c r="X145" s="1425"/>
      <c r="Y145" s="1425"/>
      <c r="Z145" s="1425"/>
      <c r="AA145" s="1425"/>
      <c r="AB145" s="1425"/>
      <c r="AC145" s="1425"/>
      <c r="AD145" s="1425"/>
      <c r="AE145" s="1425"/>
      <c r="AF145" s="1431"/>
      <c r="AG145" s="1915"/>
      <c r="AH145" s="1511"/>
    </row>
    <row r="146" spans="1:34" ht="15.6">
      <c r="A146" s="1440" t="s">
        <v>2106</v>
      </c>
      <c r="B146" s="1435">
        <v>0</v>
      </c>
      <c r="C146" s="1435">
        <v>781.94982777883843</v>
      </c>
      <c r="D146" s="1435">
        <v>2693.7596431829857</v>
      </c>
      <c r="E146" s="1435"/>
      <c r="F146" s="1435">
        <v>1692.3409146451756</v>
      </c>
      <c r="G146" s="1435">
        <v>1249.2684864493958</v>
      </c>
      <c r="H146" s="1435">
        <v>1169.2918137353397</v>
      </c>
      <c r="I146" s="1976">
        <v>544.83372820752584</v>
      </c>
      <c r="J146" s="1435">
        <v>2085.3120626374848</v>
      </c>
      <c r="K146" s="1435">
        <v>1830.6993650238269</v>
      </c>
      <c r="L146" s="1435">
        <v>1903.4244519798708</v>
      </c>
      <c r="M146" s="1435">
        <v>467.33935301171113</v>
      </c>
      <c r="N146" s="1976">
        <v>254.28563388782871</v>
      </c>
      <c r="O146" s="1976">
        <v>583.71687794354409</v>
      </c>
      <c r="P146" s="1435">
        <v>862.93987093609417</v>
      </c>
      <c r="Q146" s="1435">
        <v>751.0267785614634</v>
      </c>
      <c r="R146" s="1435">
        <v>1039.2026222908328</v>
      </c>
      <c r="S146" s="1435"/>
      <c r="T146" s="1435">
        <v>0</v>
      </c>
      <c r="U146" s="1435">
        <v>0</v>
      </c>
      <c r="V146" s="1435">
        <v>0</v>
      </c>
      <c r="W146" s="1435">
        <v>738.32643282404752</v>
      </c>
      <c r="X146" s="1435">
        <v>534.27371868602563</v>
      </c>
      <c r="Y146" s="1435">
        <v>1699.5356216988346</v>
      </c>
      <c r="Z146" s="1435">
        <v>1401.6630950913639</v>
      </c>
      <c r="AA146" s="1435">
        <v>0</v>
      </c>
      <c r="AB146" s="1435">
        <v>197.06141492753946</v>
      </c>
      <c r="AC146" s="1435">
        <v>0</v>
      </c>
      <c r="AD146" s="1435">
        <v>0</v>
      </c>
      <c r="AE146" s="1435">
        <v>785.7482396102231</v>
      </c>
      <c r="AF146" s="1437">
        <v>23265.999953109949</v>
      </c>
      <c r="AG146" s="1104" t="s">
        <v>1876</v>
      </c>
      <c r="AH146" s="1106"/>
    </row>
    <row r="147" spans="1:34" ht="15.6">
      <c r="A147" s="1440" t="s">
        <v>2107</v>
      </c>
      <c r="B147" s="1435">
        <v>0</v>
      </c>
      <c r="C147" s="1435">
        <v>1654.1246356860045</v>
      </c>
      <c r="D147" s="1435">
        <v>10775.038572731943</v>
      </c>
      <c r="E147" s="1435"/>
      <c r="F147" s="1435">
        <v>6727.0551357145732</v>
      </c>
      <c r="G147" s="1435">
        <v>3831.0900251114804</v>
      </c>
      <c r="H147" s="1435">
        <v>4735.631845628126</v>
      </c>
      <c r="I147" s="1976">
        <v>2247.4391288560441</v>
      </c>
      <c r="J147" s="1435">
        <v>21645.539210177092</v>
      </c>
      <c r="K147" s="1435">
        <v>2324.98819358026</v>
      </c>
      <c r="L147" s="1435">
        <v>2939.4656093866361</v>
      </c>
      <c r="M147" s="1435">
        <v>2459.6808053247955</v>
      </c>
      <c r="N147" s="1976">
        <v>0</v>
      </c>
      <c r="O147" s="1976">
        <v>470.73941769640652</v>
      </c>
      <c r="P147" s="1435">
        <v>590.43254327206444</v>
      </c>
      <c r="Q147" s="1435">
        <v>730.72875751926165</v>
      </c>
      <c r="R147" s="1435">
        <v>623.52157337449967</v>
      </c>
      <c r="S147" s="1435"/>
      <c r="T147" s="1435">
        <v>0</v>
      </c>
      <c r="U147" s="1435">
        <v>0</v>
      </c>
      <c r="V147" s="1435">
        <v>0</v>
      </c>
      <c r="W147" s="1435">
        <v>378.16719730012187</v>
      </c>
      <c r="X147" s="1435">
        <v>2690.4497976689149</v>
      </c>
      <c r="Y147" s="1435">
        <v>0</v>
      </c>
      <c r="Z147" s="1435">
        <v>0</v>
      </c>
      <c r="AA147" s="1435">
        <v>0</v>
      </c>
      <c r="AB147" s="1435">
        <v>98.53070746376973</v>
      </c>
      <c r="AC147" s="1435">
        <v>0</v>
      </c>
      <c r="AD147" s="1435">
        <v>0</v>
      </c>
      <c r="AE147" s="1435">
        <v>3653.7293141875375</v>
      </c>
      <c r="AF147" s="1437">
        <v>68576.352470679529</v>
      </c>
      <c r="AG147" s="1104" t="s">
        <v>1876</v>
      </c>
      <c r="AH147" s="1106"/>
    </row>
    <row r="148" spans="1:34" ht="15.6">
      <c r="A148" s="1440" t="s">
        <v>2108</v>
      </c>
      <c r="B148" s="1435">
        <v>0</v>
      </c>
      <c r="C148" s="1435">
        <v>1082.6997615399303</v>
      </c>
      <c r="D148" s="1435">
        <v>1000.5392960393947</v>
      </c>
      <c r="E148" s="1435"/>
      <c r="F148" s="1435">
        <v>3871.2298422508393</v>
      </c>
      <c r="G148" s="1435">
        <v>2623.4638215437312</v>
      </c>
      <c r="H148" s="1435">
        <v>0</v>
      </c>
      <c r="I148" s="1976">
        <v>2156.6335074881231</v>
      </c>
      <c r="J148" s="1435">
        <v>8508.0732155609385</v>
      </c>
      <c r="K148" s="1435">
        <v>3350.1798379936031</v>
      </c>
      <c r="L148" s="1435">
        <v>1999.8003735991047</v>
      </c>
      <c r="M148" s="1435">
        <v>1893.9542201000925</v>
      </c>
      <c r="N148" s="1976">
        <v>435.91822952199209</v>
      </c>
      <c r="O148" s="1976">
        <v>621.37603135925656</v>
      </c>
      <c r="P148" s="1435">
        <v>1158.1561425721266</v>
      </c>
      <c r="Q148" s="1435">
        <v>1339.669388785313</v>
      </c>
      <c r="R148" s="1435">
        <v>793.57291156754491</v>
      </c>
      <c r="S148" s="1435">
        <v>0</v>
      </c>
      <c r="T148" s="1435">
        <v>0</v>
      </c>
      <c r="U148" s="1435">
        <v>0</v>
      </c>
      <c r="V148" s="1435">
        <v>0</v>
      </c>
      <c r="W148" s="1435">
        <v>468.20700618110328</v>
      </c>
      <c r="X148" s="1435">
        <v>1736.3895857295834</v>
      </c>
      <c r="Y148" s="1435">
        <v>637.32585813706305</v>
      </c>
      <c r="Z148" s="1435">
        <v>2360.6957391012443</v>
      </c>
      <c r="AA148" s="1435">
        <v>0</v>
      </c>
      <c r="AB148" s="1435">
        <v>118.23684895652367</v>
      </c>
      <c r="AC148" s="1435">
        <v>0</v>
      </c>
      <c r="AD148" s="1435">
        <v>0</v>
      </c>
      <c r="AE148" s="1435">
        <v>2494.7506607624582</v>
      </c>
      <c r="AF148" s="1437">
        <v>38650.872278789975</v>
      </c>
      <c r="AG148" s="1104" t="s">
        <v>1876</v>
      </c>
      <c r="AH148" s="1106"/>
    </row>
    <row r="149" spans="1:34" ht="15.6">
      <c r="A149" s="1440" t="s">
        <v>2109</v>
      </c>
      <c r="B149" s="1435">
        <v>0</v>
      </c>
      <c r="C149" s="1435">
        <v>601.49986752218342</v>
      </c>
      <c r="D149" s="1435">
        <v>0</v>
      </c>
      <c r="E149" s="1435"/>
      <c r="F149" s="1435">
        <v>0</v>
      </c>
      <c r="G149" s="1435">
        <v>0</v>
      </c>
      <c r="H149" s="1435">
        <v>428.74033170295792</v>
      </c>
      <c r="I149" s="1976">
        <v>0</v>
      </c>
      <c r="J149" s="1435">
        <v>437.91553315387182</v>
      </c>
      <c r="K149" s="1435">
        <v>0</v>
      </c>
      <c r="L149" s="1435">
        <v>0</v>
      </c>
      <c r="M149" s="1435">
        <v>0</v>
      </c>
      <c r="N149" s="1976">
        <v>0</v>
      </c>
      <c r="O149" s="1976">
        <v>0</v>
      </c>
      <c r="P149" s="1435">
        <v>0</v>
      </c>
      <c r="Q149" s="1435">
        <v>0</v>
      </c>
      <c r="R149" s="1435">
        <v>0</v>
      </c>
      <c r="S149" s="1435"/>
      <c r="T149" s="1435">
        <v>0</v>
      </c>
      <c r="U149" s="1435">
        <v>0</v>
      </c>
      <c r="V149" s="1435">
        <v>0</v>
      </c>
      <c r="W149" s="1435">
        <v>0</v>
      </c>
      <c r="X149" s="1435">
        <v>0</v>
      </c>
      <c r="Y149" s="1435">
        <v>0</v>
      </c>
      <c r="Z149" s="1435">
        <v>2001.4273563067736</v>
      </c>
      <c r="AA149" s="1435">
        <v>0</v>
      </c>
      <c r="AB149" s="1435">
        <v>0</v>
      </c>
      <c r="AC149" s="1435">
        <v>0</v>
      </c>
      <c r="AD149" s="1435">
        <v>0</v>
      </c>
      <c r="AE149" s="1435">
        <v>0</v>
      </c>
      <c r="AF149" s="1437">
        <v>3469.5830886857866</v>
      </c>
      <c r="AG149" s="1104" t="s">
        <v>1876</v>
      </c>
      <c r="AH149" s="1106"/>
    </row>
    <row r="150" spans="1:34" ht="15.6">
      <c r="A150" s="1440" t="s">
        <v>2110</v>
      </c>
      <c r="B150" s="1435">
        <v>0</v>
      </c>
      <c r="C150" s="1435">
        <v>210.52495363276421</v>
      </c>
      <c r="D150" s="1435">
        <v>76.9645612337996</v>
      </c>
      <c r="E150" s="1435"/>
      <c r="F150" s="1435">
        <v>317.31392149597042</v>
      </c>
      <c r="G150" s="1435">
        <v>478.88625313893505</v>
      </c>
      <c r="H150" s="1435">
        <v>214.37016585147896</v>
      </c>
      <c r="I150" s="1976">
        <v>0</v>
      </c>
      <c r="J150" s="1435">
        <v>187.67808563737364</v>
      </c>
      <c r="K150" s="1435">
        <v>183.06993650238269</v>
      </c>
      <c r="L150" s="1435">
        <v>96.375921619233964</v>
      </c>
      <c r="M150" s="1435">
        <v>0</v>
      </c>
      <c r="N150" s="1976">
        <v>0</v>
      </c>
      <c r="O150" s="1976">
        <v>0</v>
      </c>
      <c r="P150" s="1435">
        <v>0</v>
      </c>
      <c r="Q150" s="1435">
        <v>0</v>
      </c>
      <c r="R150" s="1435">
        <v>283.4188969884089</v>
      </c>
      <c r="S150" s="1435"/>
      <c r="T150" s="1435">
        <v>0</v>
      </c>
      <c r="U150" s="1435">
        <v>0</v>
      </c>
      <c r="V150" s="1435">
        <v>0</v>
      </c>
      <c r="W150" s="1435">
        <v>0</v>
      </c>
      <c r="X150" s="1435">
        <v>0</v>
      </c>
      <c r="Y150" s="1435">
        <v>0</v>
      </c>
      <c r="Z150" s="1435">
        <v>258.2010964641986</v>
      </c>
      <c r="AA150" s="1435">
        <v>0</v>
      </c>
      <c r="AB150" s="1435">
        <v>0</v>
      </c>
      <c r="AC150" s="1435">
        <v>0</v>
      </c>
      <c r="AD150" s="1435">
        <v>0</v>
      </c>
      <c r="AE150" s="1435">
        <v>0</v>
      </c>
      <c r="AF150" s="1437">
        <v>2306.8037925645463</v>
      </c>
      <c r="AG150" s="1104" t="s">
        <v>1876</v>
      </c>
      <c r="AH150" s="1106"/>
    </row>
    <row r="151" spans="1:34" ht="15.6">
      <c r="A151" s="1440" t="s">
        <v>2111</v>
      </c>
      <c r="B151" s="1435">
        <v>0</v>
      </c>
      <c r="C151" s="1435">
        <v>0</v>
      </c>
      <c r="D151" s="1435">
        <v>1847.1494696111902</v>
      </c>
      <c r="E151" s="1435"/>
      <c r="F151" s="1435">
        <v>1184.638640251623</v>
      </c>
      <c r="G151" s="1435">
        <v>2373.6101242538521</v>
      </c>
      <c r="H151" s="1435">
        <v>1695.4731299162427</v>
      </c>
      <c r="I151" s="1976">
        <v>0</v>
      </c>
      <c r="J151" s="1435">
        <v>5630.3425691212096</v>
      </c>
      <c r="K151" s="1435">
        <v>0</v>
      </c>
      <c r="L151" s="1435">
        <v>0</v>
      </c>
      <c r="M151" s="1435">
        <v>0</v>
      </c>
      <c r="N151" s="1976">
        <v>0</v>
      </c>
      <c r="O151" s="1976">
        <v>0</v>
      </c>
      <c r="P151" s="1435">
        <v>0</v>
      </c>
      <c r="Q151" s="1435">
        <v>0</v>
      </c>
      <c r="R151" s="1435">
        <v>0</v>
      </c>
      <c r="S151" s="1435"/>
      <c r="T151" s="1435">
        <v>0</v>
      </c>
      <c r="U151" s="1435">
        <v>0</v>
      </c>
      <c r="V151" s="1435">
        <v>0</v>
      </c>
      <c r="W151" s="1435">
        <v>0</v>
      </c>
      <c r="X151" s="1435">
        <v>0</v>
      </c>
      <c r="Y151" s="1435">
        <v>0</v>
      </c>
      <c r="Z151" s="1435">
        <v>885.26090216296666</v>
      </c>
      <c r="AA151" s="1435">
        <v>0</v>
      </c>
      <c r="AB151" s="1435">
        <v>0</v>
      </c>
      <c r="AC151" s="1435">
        <v>0</v>
      </c>
      <c r="AD151" s="1435">
        <v>0</v>
      </c>
      <c r="AE151" s="1435">
        <v>0</v>
      </c>
      <c r="AF151" s="1437">
        <v>13616.474835317085</v>
      </c>
      <c r="AG151" s="1104"/>
      <c r="AH151" s="1106"/>
    </row>
    <row r="152" spans="1:34" ht="15.6">
      <c r="A152" s="1440" t="s">
        <v>2112</v>
      </c>
      <c r="B152" s="1435">
        <v>0</v>
      </c>
      <c r="C152" s="1435">
        <v>481.19989401774671</v>
      </c>
      <c r="D152" s="1435">
        <v>487.44222114739745</v>
      </c>
      <c r="E152" s="1435">
        <v>0</v>
      </c>
      <c r="F152" s="1435">
        <v>0</v>
      </c>
      <c r="G152" s="1435">
        <v>0</v>
      </c>
      <c r="H152" s="1435">
        <v>0</v>
      </c>
      <c r="I152" s="1976">
        <v>930.75761902118995</v>
      </c>
      <c r="J152" s="1435">
        <v>0</v>
      </c>
      <c r="K152" s="1435">
        <v>0</v>
      </c>
      <c r="L152" s="1435">
        <v>0</v>
      </c>
      <c r="M152" s="1435">
        <v>0</v>
      </c>
      <c r="N152" s="1976">
        <v>0</v>
      </c>
      <c r="O152" s="1976">
        <v>0</v>
      </c>
      <c r="P152" s="1435">
        <v>1135.447198600124</v>
      </c>
      <c r="Q152" s="1435">
        <v>2212.4842935999868</v>
      </c>
      <c r="R152" s="1435">
        <v>415.68104891633305</v>
      </c>
      <c r="S152" s="1435">
        <v>0</v>
      </c>
      <c r="T152" s="1435">
        <v>0</v>
      </c>
      <c r="U152" s="1435">
        <v>0</v>
      </c>
      <c r="V152" s="1435">
        <v>0</v>
      </c>
      <c r="W152" s="1435">
        <v>756.33439460024374</v>
      </c>
      <c r="X152" s="1435">
        <v>2041.6888535501696</v>
      </c>
      <c r="Y152" s="1435">
        <v>0</v>
      </c>
      <c r="Z152" s="1435">
        <v>1401.6630950913639</v>
      </c>
      <c r="AA152" s="1435">
        <v>0</v>
      </c>
      <c r="AB152" s="1435">
        <v>0</v>
      </c>
      <c r="AC152" s="1435">
        <v>0</v>
      </c>
      <c r="AD152" s="1435">
        <v>0</v>
      </c>
      <c r="AE152" s="1435">
        <v>0</v>
      </c>
      <c r="AF152" s="1437">
        <v>9862.6986185445548</v>
      </c>
      <c r="AG152" s="1104"/>
      <c r="AH152" s="1106"/>
    </row>
    <row r="153" spans="1:34" s="1" customFormat="1" ht="15.6">
      <c r="A153" s="1438"/>
      <c r="B153" s="1802">
        <v>0</v>
      </c>
      <c r="C153" s="1802">
        <v>4811.9989401774665</v>
      </c>
      <c r="D153" s="1802">
        <v>16880.893763946711</v>
      </c>
      <c r="E153" s="1802">
        <v>0</v>
      </c>
      <c r="F153" s="1802">
        <v>13792.578454358181</v>
      </c>
      <c r="G153" s="1802">
        <v>10556.318710497395</v>
      </c>
      <c r="H153" s="1802">
        <v>8243.5072868341449</v>
      </c>
      <c r="I153" s="1981">
        <v>5879.6639835728829</v>
      </c>
      <c r="J153" s="1802">
        <v>38494.860676287972</v>
      </c>
      <c r="K153" s="1802">
        <v>7688.9373331000734</v>
      </c>
      <c r="L153" s="1802">
        <v>6939.0663565848445</v>
      </c>
      <c r="M153" s="1802">
        <v>4820.9743784365992</v>
      </c>
      <c r="N153" s="1981">
        <v>690.20386340982077</v>
      </c>
      <c r="O153" s="1981">
        <v>1675.8323269992072</v>
      </c>
      <c r="P153" s="1802">
        <v>3746.9757553804093</v>
      </c>
      <c r="Q153" s="1802">
        <v>5033.9092184660249</v>
      </c>
      <c r="R153" s="1802">
        <v>3155.3970531376194</v>
      </c>
      <c r="S153" s="1802">
        <v>0</v>
      </c>
      <c r="T153" s="1802">
        <v>0</v>
      </c>
      <c r="U153" s="1802">
        <v>0</v>
      </c>
      <c r="V153" s="1802">
        <v>0</v>
      </c>
      <c r="W153" s="1802">
        <v>2341.0350309055166</v>
      </c>
      <c r="X153" s="1802">
        <v>7002.8019556346935</v>
      </c>
      <c r="Y153" s="1802">
        <v>2336.8614798358976</v>
      </c>
      <c r="Z153" s="1802">
        <v>8308.9112842179111</v>
      </c>
      <c r="AA153" s="1802">
        <v>0</v>
      </c>
      <c r="AB153" s="1802">
        <v>413.82897134783286</v>
      </c>
      <c r="AC153" s="1802">
        <v>0</v>
      </c>
      <c r="AD153" s="1802">
        <v>0</v>
      </c>
      <c r="AE153" s="1802"/>
      <c r="AF153" s="1802">
        <v>159748.78503769141</v>
      </c>
      <c r="AG153" s="1104"/>
      <c r="AH153" s="1104">
        <v>12957907.253634395</v>
      </c>
    </row>
    <row r="154" spans="1:34" s="1921" customFormat="1" ht="15.6" thickBot="1">
      <c r="A154" s="1982"/>
      <c r="B154" s="1982"/>
      <c r="C154" s="1982"/>
      <c r="D154" s="1982"/>
      <c r="E154" s="1982"/>
      <c r="F154" s="1982"/>
      <c r="G154" s="1983"/>
      <c r="H154" s="1982"/>
      <c r="I154" s="1982"/>
      <c r="J154" s="1982"/>
      <c r="K154" s="1982"/>
      <c r="L154" s="1982"/>
      <c r="M154" s="1982"/>
      <c r="N154" s="1982"/>
      <c r="O154" s="1982"/>
      <c r="P154" s="1982"/>
      <c r="Q154" s="1982"/>
      <c r="R154" s="1982"/>
      <c r="S154" s="1984"/>
      <c r="T154" s="1983"/>
      <c r="U154" s="1983"/>
      <c r="V154" s="1983"/>
      <c r="W154" s="1983"/>
      <c r="X154" s="1983"/>
      <c r="Y154" s="1983"/>
      <c r="Z154" s="1983"/>
      <c r="AA154" s="1983"/>
      <c r="AB154" s="1983"/>
      <c r="AC154" s="1983"/>
      <c r="AD154" s="1983"/>
      <c r="AE154" s="1983"/>
      <c r="AF154" s="1985">
        <v>1847612.8632382478</v>
      </c>
      <c r="AG154" s="1920">
        <v>48.991089850530479</v>
      </c>
      <c r="AH154" s="1920">
        <v>146230564.62945741</v>
      </c>
    </row>
    <row r="155" spans="1:34" ht="15.6">
      <c r="A155" s="1443" t="s">
        <v>2113</v>
      </c>
      <c r="B155" s="1444" t="s">
        <v>2114</v>
      </c>
      <c r="C155" s="1444" t="s">
        <v>2115</v>
      </c>
      <c r="D155" s="1445" t="s">
        <v>1583</v>
      </c>
      <c r="E155" s="1430"/>
      <c r="F155" s="1413"/>
      <c r="G155" s="1441"/>
      <c r="H155" s="1413"/>
      <c r="I155" s="1969"/>
      <c r="J155" s="1413"/>
      <c r="K155" s="1413"/>
      <c r="L155" s="1413"/>
      <c r="M155" s="1413"/>
      <c r="N155" s="1969"/>
      <c r="O155" s="1969"/>
      <c r="P155" s="1413"/>
      <c r="Q155" s="1413"/>
      <c r="R155" s="1413"/>
      <c r="S155" s="1413"/>
      <c r="T155" s="1419"/>
      <c r="U155" s="1419"/>
      <c r="V155" s="1419"/>
      <c r="W155" s="1419"/>
      <c r="X155" s="1419"/>
      <c r="Y155" s="1419"/>
      <c r="Z155" s="1419"/>
      <c r="AA155" s="1419"/>
      <c r="AB155" s="1419"/>
      <c r="AC155" s="1419"/>
      <c r="AD155" s="1419"/>
      <c r="AE155" s="1419"/>
      <c r="AF155" s="1430"/>
      <c r="AG155" s="1111"/>
      <c r="AH155" s="1106"/>
    </row>
    <row r="156" spans="1:34" ht="15">
      <c r="A156" s="1446" t="s">
        <v>159</v>
      </c>
      <c r="B156" s="1419">
        <v>0</v>
      </c>
      <c r="C156" s="1447">
        <v>0.3369734453768814</v>
      </c>
      <c r="D156" s="1448">
        <v>0</v>
      </c>
      <c r="E156" s="1425"/>
      <c r="F156" s="1419"/>
      <c r="G156" s="1441"/>
      <c r="H156" s="1413"/>
      <c r="I156" s="1969"/>
      <c r="J156" s="1413"/>
      <c r="K156" s="1413"/>
      <c r="L156" s="1413"/>
      <c r="M156" s="1413"/>
      <c r="N156" s="1969"/>
      <c r="O156" s="1969"/>
      <c r="P156" s="1413"/>
      <c r="Q156" s="1413"/>
      <c r="R156" s="1413"/>
      <c r="S156" s="1413"/>
      <c r="T156" s="1419"/>
      <c r="U156" s="1419"/>
      <c r="V156" s="1419"/>
      <c r="W156" s="1419"/>
      <c r="X156" s="1419"/>
      <c r="Y156" s="1419"/>
      <c r="Z156" s="1419"/>
      <c r="AA156" s="1419"/>
      <c r="AB156" s="1419"/>
      <c r="AC156" s="1419"/>
      <c r="AD156" s="1419"/>
      <c r="AE156" s="1419"/>
      <c r="AF156" s="1442">
        <v>1847612.8632382478</v>
      </c>
      <c r="AG156" s="1106">
        <v>48.991089850530479</v>
      </c>
      <c r="AH156" s="1106">
        <v>146230564.62945741</v>
      </c>
    </row>
    <row r="157" spans="1:34" ht="15">
      <c r="A157" s="1446" t="s">
        <v>2116</v>
      </c>
      <c r="B157" s="1419">
        <v>0</v>
      </c>
      <c r="C157" s="1447">
        <v>0.23777786876318588</v>
      </c>
      <c r="D157" s="1448">
        <v>0</v>
      </c>
      <c r="E157" s="1425"/>
      <c r="F157" s="1413"/>
      <c r="G157" s="1413"/>
      <c r="H157" s="1413"/>
      <c r="I157" s="1969"/>
      <c r="J157" s="1413"/>
      <c r="K157" s="1413"/>
      <c r="L157" s="1413"/>
      <c r="M157" s="1413"/>
      <c r="N157" s="1969"/>
      <c r="O157" s="1969"/>
      <c r="P157" s="1413"/>
      <c r="Q157" s="1413"/>
      <c r="R157" s="1413"/>
      <c r="S157" s="1413"/>
      <c r="T157" s="1413"/>
      <c r="U157" s="1413"/>
      <c r="V157" s="1413"/>
      <c r="W157" s="1413"/>
      <c r="X157" s="1413"/>
      <c r="Y157" s="1413"/>
      <c r="Z157" s="1413"/>
      <c r="AA157" s="1413"/>
      <c r="AB157" s="1413"/>
      <c r="AC157" s="1413"/>
      <c r="AD157" s="1413"/>
      <c r="AE157" s="1413"/>
      <c r="AF157" s="1430"/>
      <c r="AG157" s="1106"/>
      <c r="AH157" s="1106"/>
    </row>
    <row r="158" spans="1:34" ht="15">
      <c r="A158" s="1446" t="s">
        <v>2117</v>
      </c>
      <c r="B158" s="1419">
        <v>0</v>
      </c>
      <c r="C158" s="1447">
        <v>0.10501991864297468</v>
      </c>
      <c r="D158" s="1448">
        <v>0</v>
      </c>
      <c r="E158" s="1425"/>
      <c r="F158" s="1413"/>
      <c r="G158" s="1413"/>
      <c r="H158" s="1413"/>
      <c r="I158" s="1969"/>
      <c r="J158" s="1413"/>
      <c r="K158" s="1413"/>
      <c r="L158" s="1413"/>
      <c r="M158" s="1413"/>
      <c r="N158" s="1969"/>
      <c r="O158" s="1969"/>
      <c r="P158" s="1413"/>
      <c r="Q158" s="1413"/>
      <c r="R158" s="1413"/>
      <c r="S158" s="1413"/>
      <c r="T158" s="1413"/>
      <c r="U158" s="1413"/>
      <c r="V158" s="1413"/>
      <c r="W158" s="1413"/>
      <c r="X158" s="1413"/>
      <c r="Y158" s="1413"/>
      <c r="Z158" s="1413"/>
      <c r="AA158" s="1413"/>
      <c r="AB158" s="1413"/>
      <c r="AC158" s="1413"/>
      <c r="AD158" s="1413"/>
      <c r="AE158" s="1413"/>
      <c r="AF158" s="1442"/>
      <c r="AG158" s="1106"/>
      <c r="AH158" s="1106"/>
    </row>
    <row r="159" spans="1:34" ht="15">
      <c r="A159" s="1446" t="s">
        <v>2118</v>
      </c>
      <c r="B159" s="1419">
        <v>0</v>
      </c>
      <c r="C159" s="1447">
        <v>0.63193205211023729</v>
      </c>
      <c r="D159" s="1448">
        <v>0</v>
      </c>
      <c r="E159" s="1425"/>
      <c r="F159" s="1413"/>
      <c r="G159" s="1413"/>
      <c r="H159" s="1413"/>
      <c r="I159" s="1969"/>
      <c r="J159" s="1413"/>
      <c r="K159" s="1413"/>
      <c r="L159" s="1413"/>
      <c r="M159" s="1413"/>
      <c r="N159" s="1969"/>
      <c r="O159" s="1969"/>
      <c r="P159" s="1413"/>
      <c r="Q159" s="1413"/>
      <c r="R159" s="1413"/>
      <c r="S159" s="1413"/>
      <c r="T159" s="1413"/>
      <c r="U159" s="1413"/>
      <c r="V159" s="1413"/>
      <c r="W159" s="1413"/>
      <c r="X159" s="1413"/>
      <c r="Y159" s="1413"/>
      <c r="Z159" s="1413"/>
      <c r="AA159" s="1413"/>
      <c r="AB159" s="1413"/>
      <c r="AC159" s="1413"/>
      <c r="AD159" s="1413"/>
      <c r="AE159" s="1413"/>
      <c r="AF159" s="1442"/>
      <c r="AG159" s="1106"/>
      <c r="AH159" s="1106"/>
    </row>
    <row r="160" spans="1:34" ht="15">
      <c r="A160" s="1446" t="s">
        <v>2119</v>
      </c>
      <c r="B160" s="1419">
        <v>0</v>
      </c>
      <c r="C160" s="1447">
        <v>0.22400000000000003</v>
      </c>
      <c r="D160" s="1448">
        <v>0</v>
      </c>
      <c r="E160" s="1425"/>
      <c r="F160" s="1449"/>
      <c r="G160" s="1413"/>
      <c r="H160" s="1413"/>
      <c r="I160" s="1969"/>
      <c r="J160" s="1413"/>
      <c r="K160" s="1413"/>
      <c r="L160" s="1413"/>
      <c r="M160" s="1413"/>
      <c r="N160" s="1969"/>
      <c r="O160" s="1969"/>
      <c r="P160" s="1413"/>
      <c r="Q160" s="1413"/>
      <c r="R160" s="1413"/>
      <c r="S160" s="1413"/>
      <c r="T160" s="1413"/>
      <c r="U160" s="1413"/>
      <c r="V160" s="1413"/>
      <c r="W160" s="1413"/>
      <c r="X160" s="1413"/>
      <c r="Y160" s="1413"/>
      <c r="Z160" s="1413"/>
      <c r="AA160" s="1413"/>
      <c r="AB160" s="1413"/>
      <c r="AC160" s="1413"/>
      <c r="AD160" s="1413"/>
      <c r="AE160" s="1413"/>
      <c r="AF160" s="1430"/>
      <c r="AG160" s="1106"/>
      <c r="AH160" s="1106"/>
    </row>
    <row r="161" spans="1:34" ht="15.6" thickBot="1">
      <c r="A161" s="1450" t="s">
        <v>1583</v>
      </c>
      <c r="B161" s="1439">
        <v>0</v>
      </c>
      <c r="C161" s="1439" t="e">
        <v>#DIV/0!</v>
      </c>
      <c r="D161" s="1451">
        <v>0</v>
      </c>
      <c r="E161" s="1431"/>
      <c r="F161" s="1413"/>
      <c r="G161" s="1413"/>
      <c r="H161" s="1413"/>
      <c r="I161" s="1969"/>
      <c r="J161" s="1413"/>
      <c r="K161" s="1413"/>
      <c r="L161" s="1413"/>
      <c r="M161" s="1413"/>
      <c r="N161" s="1969"/>
      <c r="O161" s="1969"/>
      <c r="P161" s="1413"/>
      <c r="Q161" s="1413"/>
      <c r="R161" s="1413"/>
      <c r="S161" s="1413"/>
      <c r="T161" s="1419"/>
      <c r="U161" s="1419"/>
      <c r="V161" s="1419"/>
      <c r="W161" s="1419"/>
      <c r="X161" s="1419"/>
      <c r="Y161" s="1419"/>
      <c r="Z161" s="1419"/>
      <c r="AA161" s="1419"/>
      <c r="AB161" s="1419"/>
      <c r="AC161" s="1419"/>
      <c r="AD161" s="1419"/>
      <c r="AE161" s="1419"/>
      <c r="AF161" s="1430"/>
      <c r="AG161" s="1106"/>
      <c r="AH161" s="1106"/>
    </row>
    <row r="162" spans="1:34" ht="15">
      <c r="A162" s="1413"/>
      <c r="B162" s="1419"/>
      <c r="C162" s="1413"/>
      <c r="D162" s="1413"/>
      <c r="E162" s="1413"/>
      <c r="F162" s="1413"/>
      <c r="G162" s="1413"/>
      <c r="H162" s="1413"/>
      <c r="I162" s="1969"/>
      <c r="J162" s="1413"/>
      <c r="K162" s="1413"/>
      <c r="L162" s="1413"/>
      <c r="M162" s="1413"/>
      <c r="N162" s="1969"/>
      <c r="O162" s="1969"/>
      <c r="P162" s="1413"/>
      <c r="Q162" s="1413"/>
      <c r="R162" s="1413"/>
      <c r="S162" s="1413"/>
      <c r="T162" s="1413"/>
      <c r="U162" s="1413"/>
      <c r="V162" s="1413"/>
      <c r="W162" s="1413"/>
      <c r="X162" s="1413"/>
      <c r="Y162" s="1413"/>
      <c r="Z162" s="1413"/>
      <c r="AA162" s="1413"/>
      <c r="AB162" s="1413"/>
      <c r="AC162" s="1413"/>
      <c r="AD162" s="1413"/>
      <c r="AE162" s="1413"/>
      <c r="AF162" s="1430"/>
      <c r="AG162" s="1105"/>
      <c r="AH162" s="1105"/>
    </row>
    <row r="163" spans="1:34" s="1927" customFormat="1" ht="15">
      <c r="A163" s="1413"/>
      <c r="B163" s="1413"/>
      <c r="C163" s="1425"/>
      <c r="D163" s="1425"/>
      <c r="E163" s="1425"/>
      <c r="F163" s="1413"/>
      <c r="G163" s="1413"/>
      <c r="H163" s="1425"/>
      <c r="I163" s="1965"/>
      <c r="J163" s="1413"/>
      <c r="K163" s="1413"/>
      <c r="L163" s="1413"/>
      <c r="M163" s="1413"/>
      <c r="N163" s="1969"/>
      <c r="O163" s="1969"/>
      <c r="P163" s="1413"/>
      <c r="Q163" s="1413"/>
      <c r="R163" s="1413"/>
      <c r="S163" s="1413"/>
      <c r="T163" s="1413"/>
      <c r="U163" s="1413"/>
      <c r="V163" s="1413"/>
      <c r="W163" s="1413"/>
      <c r="X163" s="1413"/>
      <c r="Y163" s="1413"/>
      <c r="Z163" s="1413"/>
      <c r="AA163" s="1413"/>
      <c r="AB163" s="1413"/>
      <c r="AC163" s="1413"/>
      <c r="AD163" s="1413"/>
      <c r="AE163" s="1413"/>
      <c r="AF163" s="1431"/>
      <c r="AG163" s="1926"/>
      <c r="AH163" s="1926"/>
    </row>
    <row r="164" spans="1:34" ht="15">
      <c r="A164" s="1433" t="s">
        <v>2120</v>
      </c>
      <c r="B164" s="1425"/>
      <c r="C164" s="1425"/>
      <c r="D164" s="1425"/>
      <c r="E164" s="1425"/>
      <c r="F164" s="1425"/>
      <c r="G164" s="1425"/>
      <c r="H164" s="1425"/>
      <c r="I164" s="1965"/>
      <c r="J164" s="1413"/>
      <c r="K164" s="1413"/>
      <c r="L164" s="1413"/>
      <c r="M164" s="1413"/>
      <c r="N164" s="1969"/>
      <c r="O164" s="1969"/>
      <c r="P164" s="1413"/>
      <c r="Q164" s="1413"/>
      <c r="R164" s="1413"/>
      <c r="S164" s="1413"/>
      <c r="T164" s="1413"/>
      <c r="U164" s="1413"/>
      <c r="V164" s="1413"/>
      <c r="W164" s="1413"/>
      <c r="X164" s="1413"/>
      <c r="Y164" s="1413"/>
      <c r="Z164" s="1413"/>
      <c r="AA164" s="1413"/>
      <c r="AB164" s="1413"/>
      <c r="AC164" s="1413"/>
      <c r="AD164" s="1413"/>
      <c r="AE164" s="1413"/>
      <c r="AF164" s="1431"/>
      <c r="AG164" s="1112"/>
      <c r="AH164" s="1105"/>
    </row>
    <row r="165" spans="1:34" ht="15">
      <c r="A165" s="1440" t="s">
        <v>2106</v>
      </c>
      <c r="B165" s="1425">
        <v>0</v>
      </c>
      <c r="C165" s="1425">
        <v>1300</v>
      </c>
      <c r="D165" s="1425">
        <v>5250</v>
      </c>
      <c r="E165" s="1425"/>
      <c r="F165" s="1425">
        <v>4000</v>
      </c>
      <c r="G165" s="1425">
        <v>3000</v>
      </c>
      <c r="H165" s="1425">
        <v>3000</v>
      </c>
      <c r="I165" s="1965">
        <v>1200</v>
      </c>
      <c r="J165" s="1425">
        <v>5000</v>
      </c>
      <c r="K165" s="1425">
        <v>5000</v>
      </c>
      <c r="L165" s="1425">
        <v>3950</v>
      </c>
      <c r="M165" s="1425">
        <v>950</v>
      </c>
      <c r="N165" s="1965">
        <v>700</v>
      </c>
      <c r="O165" s="1965">
        <v>1550</v>
      </c>
      <c r="P165" s="1425">
        <v>1900</v>
      </c>
      <c r="Q165" s="1425">
        <v>1850</v>
      </c>
      <c r="R165" s="1425">
        <v>2750</v>
      </c>
      <c r="S165" s="1425"/>
      <c r="T165" s="1425">
        <v>0</v>
      </c>
      <c r="U165" s="1425">
        <v>0</v>
      </c>
      <c r="V165" s="1425">
        <v>0</v>
      </c>
      <c r="W165" s="1425">
        <v>2050</v>
      </c>
      <c r="X165" s="1425">
        <v>1400</v>
      </c>
      <c r="Y165" s="1425">
        <v>2400</v>
      </c>
      <c r="Z165" s="1425">
        <v>1900</v>
      </c>
      <c r="AA165" s="1425">
        <v>0</v>
      </c>
      <c r="AB165" s="1425">
        <v>500</v>
      </c>
      <c r="AC165" s="1425">
        <v>0</v>
      </c>
      <c r="AD165" s="1425">
        <v>0</v>
      </c>
      <c r="AE165" s="1425">
        <v>2000</v>
      </c>
      <c r="AF165" s="1442">
        <v>51650</v>
      </c>
      <c r="AG165" s="1991">
        <v>8950</v>
      </c>
      <c r="AH165" s="1105">
        <v>67000</v>
      </c>
    </row>
    <row r="166" spans="1:34" ht="15">
      <c r="A166" s="1440" t="s">
        <v>2121</v>
      </c>
      <c r="B166" s="1425">
        <v>0</v>
      </c>
      <c r="C166" s="1425">
        <v>2750</v>
      </c>
      <c r="D166" s="1425">
        <v>21000</v>
      </c>
      <c r="E166" s="1425"/>
      <c r="F166" s="1425">
        <v>15900</v>
      </c>
      <c r="G166" s="1425">
        <v>9200</v>
      </c>
      <c r="H166" s="1425">
        <v>12150</v>
      </c>
      <c r="I166" s="1965">
        <v>4950</v>
      </c>
      <c r="J166" s="1425">
        <v>51900</v>
      </c>
      <c r="K166" s="1425">
        <v>6350</v>
      </c>
      <c r="L166" s="1425">
        <v>6100</v>
      </c>
      <c r="M166" s="1425">
        <v>5000</v>
      </c>
      <c r="N166" s="1965">
        <v>0</v>
      </c>
      <c r="O166" s="1965">
        <v>1250</v>
      </c>
      <c r="P166" s="1425">
        <v>1300</v>
      </c>
      <c r="Q166" s="1425">
        <v>1800</v>
      </c>
      <c r="R166" s="1425">
        <v>1650</v>
      </c>
      <c r="S166" s="1425"/>
      <c r="T166" s="1425">
        <v>0</v>
      </c>
      <c r="U166" s="1425">
        <v>0</v>
      </c>
      <c r="V166" s="1425">
        <v>0</v>
      </c>
      <c r="W166" s="1425">
        <v>1050</v>
      </c>
      <c r="X166" s="1425">
        <v>7050</v>
      </c>
      <c r="Y166" s="1425">
        <v>0</v>
      </c>
      <c r="Z166" s="1425">
        <v>0</v>
      </c>
      <c r="AA166" s="1425">
        <v>0</v>
      </c>
      <c r="AB166" s="1425">
        <v>250</v>
      </c>
      <c r="AC166" s="1425">
        <v>0</v>
      </c>
      <c r="AD166" s="1425">
        <v>0</v>
      </c>
      <c r="AE166" s="1425">
        <v>9300</v>
      </c>
      <c r="AF166" s="1442">
        <v>158950</v>
      </c>
      <c r="AG166" s="1991">
        <v>32268.7</v>
      </c>
      <c r="AH166" s="1105">
        <v>60302.600000000006</v>
      </c>
    </row>
    <row r="167" spans="1:34" ht="15">
      <c r="A167" s="1440" t="s">
        <v>2122</v>
      </c>
      <c r="B167" s="1425">
        <v>0</v>
      </c>
      <c r="C167" s="1425">
        <v>1800</v>
      </c>
      <c r="D167" s="1425">
        <v>1950</v>
      </c>
      <c r="E167" s="1425"/>
      <c r="F167" s="1425">
        <v>9150</v>
      </c>
      <c r="G167" s="1425">
        <v>6300</v>
      </c>
      <c r="H167" s="1425">
        <v>0</v>
      </c>
      <c r="I167" s="1965">
        <v>4750</v>
      </c>
      <c r="J167" s="1425">
        <v>20400</v>
      </c>
      <c r="K167" s="1425">
        <v>9150</v>
      </c>
      <c r="L167" s="1425">
        <v>4150</v>
      </c>
      <c r="M167" s="1425">
        <v>3850</v>
      </c>
      <c r="N167" s="1965">
        <v>1200</v>
      </c>
      <c r="O167" s="1965">
        <v>1650</v>
      </c>
      <c r="P167" s="1425">
        <v>2550</v>
      </c>
      <c r="Q167" s="1425">
        <v>3300</v>
      </c>
      <c r="R167" s="1425">
        <v>2100</v>
      </c>
      <c r="S167" s="1425"/>
      <c r="T167" s="1425">
        <v>0</v>
      </c>
      <c r="U167" s="1425">
        <v>0</v>
      </c>
      <c r="V167" s="1425">
        <v>0</v>
      </c>
      <c r="W167" s="1425">
        <v>1300</v>
      </c>
      <c r="X167" s="1425">
        <v>4550</v>
      </c>
      <c r="Y167" s="1425">
        <v>900</v>
      </c>
      <c r="Z167" s="1425">
        <v>3200</v>
      </c>
      <c r="AA167" s="1425">
        <v>0</v>
      </c>
      <c r="AB167" s="1425">
        <v>300</v>
      </c>
      <c r="AC167" s="1425">
        <v>0</v>
      </c>
      <c r="AD167" s="1425">
        <v>0</v>
      </c>
      <c r="AE167" s="1425">
        <v>6350</v>
      </c>
      <c r="AF167" s="1442">
        <v>88900</v>
      </c>
      <c r="AG167" s="1991">
        <v>59350</v>
      </c>
      <c r="AH167" s="1105">
        <v>3050</v>
      </c>
    </row>
    <row r="168" spans="1:34" ht="15">
      <c r="A168" s="1440" t="s">
        <v>2123</v>
      </c>
      <c r="B168" s="1425">
        <v>0</v>
      </c>
      <c r="C168" s="1425">
        <v>1000</v>
      </c>
      <c r="D168" s="1425">
        <v>0</v>
      </c>
      <c r="E168" s="1425"/>
      <c r="F168" s="1425">
        <v>0</v>
      </c>
      <c r="G168" s="1425">
        <v>0</v>
      </c>
      <c r="H168" s="1425">
        <v>1100</v>
      </c>
      <c r="I168" s="1965">
        <v>0</v>
      </c>
      <c r="J168" s="1425">
        <v>1050</v>
      </c>
      <c r="K168" s="1425">
        <v>0</v>
      </c>
      <c r="L168" s="1425">
        <v>0</v>
      </c>
      <c r="M168" s="1425">
        <v>0</v>
      </c>
      <c r="N168" s="1965">
        <v>0</v>
      </c>
      <c r="O168" s="1965">
        <v>0</v>
      </c>
      <c r="P168" s="1425">
        <v>0</v>
      </c>
      <c r="Q168" s="1425">
        <v>0</v>
      </c>
      <c r="R168" s="1425">
        <v>0</v>
      </c>
      <c r="S168" s="1425"/>
      <c r="T168" s="1425">
        <v>0</v>
      </c>
      <c r="U168" s="1425">
        <v>0</v>
      </c>
      <c r="V168" s="1425">
        <v>0</v>
      </c>
      <c r="W168" s="1425">
        <v>0</v>
      </c>
      <c r="X168" s="1425">
        <v>0</v>
      </c>
      <c r="Y168" s="1425">
        <v>0</v>
      </c>
      <c r="Z168" s="1425">
        <v>2713</v>
      </c>
      <c r="AA168" s="1425">
        <v>0</v>
      </c>
      <c r="AB168" s="1425">
        <v>0</v>
      </c>
      <c r="AC168" s="1425">
        <v>0</v>
      </c>
      <c r="AD168" s="1425">
        <v>0</v>
      </c>
      <c r="AE168" s="1425">
        <v>0</v>
      </c>
      <c r="AF168" s="1442">
        <v>5863</v>
      </c>
      <c r="AG168" s="1991">
        <v>4900</v>
      </c>
      <c r="AH168" s="1105">
        <v>0</v>
      </c>
    </row>
    <row r="169" spans="1:34" ht="15">
      <c r="A169" s="1440" t="s">
        <v>2124</v>
      </c>
      <c r="B169" s="1425">
        <v>0</v>
      </c>
      <c r="C169" s="1425">
        <v>350</v>
      </c>
      <c r="D169" s="1425">
        <v>150</v>
      </c>
      <c r="E169" s="1425"/>
      <c r="F169" s="1425">
        <v>750</v>
      </c>
      <c r="G169" s="1425">
        <v>1150</v>
      </c>
      <c r="H169" s="1425">
        <v>550</v>
      </c>
      <c r="I169" s="1965">
        <v>0</v>
      </c>
      <c r="J169" s="1425">
        <v>450</v>
      </c>
      <c r="K169" s="1425">
        <v>500</v>
      </c>
      <c r="L169" s="1425">
        <v>200</v>
      </c>
      <c r="M169" s="1425">
        <v>0</v>
      </c>
      <c r="N169" s="1965">
        <v>0</v>
      </c>
      <c r="O169" s="1965">
        <v>0</v>
      </c>
      <c r="P169" s="1425">
        <v>0</v>
      </c>
      <c r="Q169" s="1425">
        <v>0</v>
      </c>
      <c r="R169" s="1425">
        <v>750</v>
      </c>
      <c r="S169" s="1425"/>
      <c r="T169" s="1425">
        <v>0</v>
      </c>
      <c r="U169" s="1425">
        <v>0</v>
      </c>
      <c r="V169" s="1425">
        <v>0</v>
      </c>
      <c r="W169" s="1425">
        <v>0</v>
      </c>
      <c r="X169" s="1425">
        <v>0</v>
      </c>
      <c r="Y169" s="1425">
        <v>0</v>
      </c>
      <c r="Z169" s="1425">
        <v>350</v>
      </c>
      <c r="AA169" s="1425">
        <v>0</v>
      </c>
      <c r="AB169" s="1425">
        <v>0</v>
      </c>
      <c r="AC169" s="1425">
        <v>0</v>
      </c>
      <c r="AD169" s="1425">
        <v>0</v>
      </c>
      <c r="AE169" s="1425">
        <v>0</v>
      </c>
      <c r="AF169" s="1442">
        <v>5200</v>
      </c>
      <c r="AG169" s="1991">
        <v>7300</v>
      </c>
      <c r="AH169" s="1105">
        <v>-4250</v>
      </c>
    </row>
    <row r="170" spans="1:34" ht="15">
      <c r="A170" s="1440" t="s">
        <v>2125</v>
      </c>
      <c r="B170" s="1425">
        <v>0</v>
      </c>
      <c r="C170" s="1425">
        <v>0</v>
      </c>
      <c r="D170" s="1425">
        <v>3600</v>
      </c>
      <c r="E170" s="1425"/>
      <c r="F170" s="1425">
        <v>2800</v>
      </c>
      <c r="G170" s="1425">
        <v>5700</v>
      </c>
      <c r="H170" s="1425">
        <v>4350</v>
      </c>
      <c r="I170" s="1965">
        <v>0</v>
      </c>
      <c r="J170" s="1425">
        <v>13500</v>
      </c>
      <c r="K170" s="1425">
        <v>0</v>
      </c>
      <c r="L170" s="1425">
        <v>0</v>
      </c>
      <c r="M170" s="1425">
        <v>0</v>
      </c>
      <c r="N170" s="1965">
        <v>0</v>
      </c>
      <c r="O170" s="1965">
        <v>0</v>
      </c>
      <c r="P170" s="1425">
        <v>0</v>
      </c>
      <c r="Q170" s="1425">
        <v>0</v>
      </c>
      <c r="R170" s="1425">
        <v>0</v>
      </c>
      <c r="S170" s="1425"/>
      <c r="T170" s="1425">
        <v>0</v>
      </c>
      <c r="U170" s="1425">
        <v>0</v>
      </c>
      <c r="V170" s="1425">
        <v>0</v>
      </c>
      <c r="W170" s="1425">
        <v>0</v>
      </c>
      <c r="X170" s="1425">
        <v>0</v>
      </c>
      <c r="Y170" s="1425">
        <v>0</v>
      </c>
      <c r="Z170" s="1425">
        <v>1200</v>
      </c>
      <c r="AA170" s="1425">
        <v>0</v>
      </c>
      <c r="AB170" s="1425">
        <v>0</v>
      </c>
      <c r="AC170" s="1425">
        <v>0</v>
      </c>
      <c r="AD170" s="1425">
        <v>0</v>
      </c>
      <c r="AE170" s="1425">
        <v>0</v>
      </c>
      <c r="AF170" s="1442">
        <v>31150</v>
      </c>
      <c r="AG170" s="1991">
        <v>17900</v>
      </c>
      <c r="AH170" s="1105">
        <v>0</v>
      </c>
    </row>
    <row r="171" spans="1:34" ht="15">
      <c r="A171" s="1440" t="s">
        <v>2126</v>
      </c>
      <c r="B171" s="1425">
        <v>0</v>
      </c>
      <c r="C171" s="1425">
        <v>800</v>
      </c>
      <c r="D171" s="1425">
        <v>950</v>
      </c>
      <c r="E171" s="1425">
        <v>0</v>
      </c>
      <c r="F171" s="1425">
        <v>0</v>
      </c>
      <c r="G171" s="1425">
        <v>0</v>
      </c>
      <c r="H171" s="1425">
        <v>0</v>
      </c>
      <c r="I171" s="1965">
        <v>2050</v>
      </c>
      <c r="J171" s="1425">
        <v>0</v>
      </c>
      <c r="K171" s="1425">
        <v>0</v>
      </c>
      <c r="L171" s="1425">
        <v>0</v>
      </c>
      <c r="M171" s="1425">
        <v>0</v>
      </c>
      <c r="N171" s="1965">
        <v>0</v>
      </c>
      <c r="O171" s="1965">
        <v>0</v>
      </c>
      <c r="P171" s="1425">
        <v>2500</v>
      </c>
      <c r="Q171" s="1425">
        <v>5450</v>
      </c>
      <c r="R171" s="1425">
        <v>1100</v>
      </c>
      <c r="S171" s="1425">
        <v>0</v>
      </c>
      <c r="T171" s="1425">
        <v>0</v>
      </c>
      <c r="U171" s="1425">
        <v>0</v>
      </c>
      <c r="V171" s="1425">
        <v>0</v>
      </c>
      <c r="W171" s="1425">
        <v>2100</v>
      </c>
      <c r="X171" s="1425">
        <v>5350</v>
      </c>
      <c r="Y171" s="1425">
        <v>0</v>
      </c>
      <c r="Z171" s="1425">
        <v>1900</v>
      </c>
      <c r="AA171" s="1425">
        <v>0</v>
      </c>
      <c r="AB171" s="1425">
        <v>0</v>
      </c>
      <c r="AC171" s="1425">
        <v>0</v>
      </c>
      <c r="AD171" s="1425">
        <v>0</v>
      </c>
      <c r="AE171" s="1425">
        <v>0</v>
      </c>
      <c r="AF171" s="1442">
        <v>22200</v>
      </c>
      <c r="AG171" s="1991">
        <v>5586.2</v>
      </c>
      <c r="AH171" s="1105">
        <v>0</v>
      </c>
    </row>
    <row r="172" spans="1:34" ht="15">
      <c r="A172" s="1413"/>
      <c r="B172" s="1986">
        <v>0</v>
      </c>
      <c r="C172" s="1986">
        <v>8000</v>
      </c>
      <c r="D172" s="1986">
        <v>32902.5</v>
      </c>
      <c r="E172" s="1986">
        <v>0</v>
      </c>
      <c r="F172" s="1986">
        <v>32602.62</v>
      </c>
      <c r="G172" s="1986">
        <v>25353.3717</v>
      </c>
      <c r="H172" s="1986">
        <v>21155.227900000002</v>
      </c>
      <c r="I172" s="1987">
        <v>12950.989799999999</v>
      </c>
      <c r="J172" s="1986">
        <v>92313.859800000006</v>
      </c>
      <c r="K172" s="1986">
        <v>21000</v>
      </c>
      <c r="L172" s="1986">
        <v>14401.939399999999</v>
      </c>
      <c r="M172" s="1986">
        <v>9802.0226999999995</v>
      </c>
      <c r="N172" s="1987">
        <v>1901.4404999999999</v>
      </c>
      <c r="O172" s="1987">
        <v>4450.8834999999999</v>
      </c>
      <c r="P172" s="1986">
        <v>8250</v>
      </c>
      <c r="Q172" s="1986">
        <v>12400</v>
      </c>
      <c r="R172" s="1986">
        <v>8351.5550999999996</v>
      </c>
      <c r="S172" s="1986">
        <v>0</v>
      </c>
      <c r="T172" s="1986">
        <v>0</v>
      </c>
      <c r="U172" s="1986">
        <v>0</v>
      </c>
      <c r="V172" s="1986">
        <v>0</v>
      </c>
      <c r="W172" s="1986">
        <v>6500</v>
      </c>
      <c r="X172" s="1986">
        <v>18353.05</v>
      </c>
      <c r="Y172" s="1986">
        <v>3301.55</v>
      </c>
      <c r="Z172" s="1986">
        <v>11266.5556</v>
      </c>
      <c r="AA172" s="1986">
        <v>0</v>
      </c>
      <c r="AB172" s="1986">
        <v>1051.3884</v>
      </c>
      <c r="AC172" s="1986">
        <v>0.53439999999999999</v>
      </c>
      <c r="AD172" s="1986">
        <v>0</v>
      </c>
      <c r="AE172" s="1986"/>
      <c r="AF172" s="1986">
        <v>363960.77740000002</v>
      </c>
      <c r="AG172" s="1991">
        <v>136583.06872258065</v>
      </c>
      <c r="AH172" s="1105">
        <v>125802.23967741933</v>
      </c>
    </row>
    <row r="173" spans="1:34" ht="15.6">
      <c r="A173" s="1861"/>
      <c r="B173" s="1862"/>
      <c r="C173" s="1862"/>
      <c r="D173" s="1862"/>
      <c r="E173" s="1862"/>
      <c r="F173" s="1113"/>
      <c r="G173" s="1862"/>
      <c r="H173" s="1862"/>
      <c r="I173" s="1862"/>
      <c r="J173" s="1862"/>
      <c r="K173" s="1862"/>
      <c r="L173" s="1862"/>
      <c r="M173" s="1862"/>
      <c r="N173" s="1862"/>
      <c r="O173" s="1862"/>
      <c r="P173" s="1862"/>
      <c r="Q173" s="1862"/>
      <c r="R173" s="1862"/>
      <c r="S173" s="1862"/>
      <c r="T173" s="1862"/>
      <c r="U173" s="1862"/>
      <c r="V173" s="1862"/>
      <c r="W173" s="1862"/>
      <c r="X173" s="1862"/>
      <c r="Y173" s="1862"/>
      <c r="Z173" s="1862"/>
      <c r="AA173" s="1862"/>
      <c r="AB173" s="1862"/>
      <c r="AC173" s="1862"/>
      <c r="AD173" s="1862"/>
      <c r="AE173" s="1862"/>
      <c r="AF173" s="1863"/>
      <c r="AG173" s="1105"/>
      <c r="AH173" s="1105"/>
    </row>
    <row r="174" spans="1:34" ht="15.6">
      <c r="A174" s="1105"/>
      <c r="B174" s="1861"/>
      <c r="C174" s="1861"/>
      <c r="D174" s="1861"/>
      <c r="E174" s="1861"/>
      <c r="F174" s="1861"/>
      <c r="G174" s="1861"/>
      <c r="H174" s="1861"/>
      <c r="I174" s="1861"/>
      <c r="J174" s="1861"/>
      <c r="K174" s="1861"/>
      <c r="L174" s="1861"/>
      <c r="M174" s="1861"/>
      <c r="N174" s="1861"/>
      <c r="O174" s="1861"/>
      <c r="P174" s="1861"/>
      <c r="Q174" s="1861"/>
      <c r="R174" s="1861"/>
      <c r="S174" s="1861"/>
      <c r="T174" s="1861"/>
      <c r="U174" s="1861"/>
      <c r="V174" s="1861"/>
      <c r="W174" s="1861"/>
      <c r="X174" s="1861"/>
      <c r="Y174" s="1861"/>
      <c r="Z174" s="1861"/>
      <c r="AA174" s="1861"/>
      <c r="AB174" s="1861"/>
      <c r="AC174" s="1861"/>
      <c r="AD174" s="1861"/>
      <c r="AE174" s="1861"/>
      <c r="AF174" s="1109"/>
      <c r="AG174" s="1105"/>
      <c r="AH174" s="1105"/>
    </row>
    <row r="175" spans="1:34" ht="15.6">
      <c r="A175" s="1105" t="s">
        <v>2127</v>
      </c>
      <c r="B175" s="1861">
        <f>'Feed Cost &amp; Allocation'!B52</f>
        <v>0</v>
      </c>
      <c r="C175" s="1861">
        <f>'Feed Cost &amp; Allocation'!C52</f>
        <v>0</v>
      </c>
      <c r="D175" s="1861">
        <f>'Feed Cost &amp; Allocation'!D52</f>
        <v>0</v>
      </c>
      <c r="E175" s="1861">
        <f>'Feed Cost &amp; Allocation'!E52</f>
        <v>0</v>
      </c>
      <c r="F175" s="1861">
        <f>'Feed Cost &amp; Allocation'!F52</f>
        <v>0</v>
      </c>
      <c r="G175" s="1861">
        <f>'Feed Cost &amp; Allocation'!G52</f>
        <v>0</v>
      </c>
      <c r="H175" s="1861">
        <f>'Feed Cost &amp; Allocation'!H52</f>
        <v>0</v>
      </c>
      <c r="I175" s="1861">
        <f>'Feed Cost &amp; Allocation'!I52</f>
        <v>0</v>
      </c>
      <c r="J175" s="1861">
        <f>'Feed Cost &amp; Allocation'!J52</f>
        <v>0</v>
      </c>
      <c r="K175" s="1861">
        <f>'Feed Cost &amp; Allocation'!K52</f>
        <v>0</v>
      </c>
      <c r="L175" s="1861">
        <f>'Feed Cost &amp; Allocation'!L52</f>
        <v>0</v>
      </c>
      <c r="M175" s="1861">
        <f>'Feed Cost &amp; Allocation'!M52</f>
        <v>0</v>
      </c>
      <c r="N175" s="1861">
        <f>'Feed Cost &amp; Allocation'!N52</f>
        <v>0</v>
      </c>
      <c r="O175" s="1861">
        <f>'Feed Cost &amp; Allocation'!O52</f>
        <v>0</v>
      </c>
      <c r="P175" s="1861">
        <f>'Feed Cost &amp; Allocation'!P52</f>
        <v>0</v>
      </c>
      <c r="Q175" s="1861">
        <f>'Feed Cost &amp; Allocation'!Q52</f>
        <v>0</v>
      </c>
      <c r="R175" s="1861">
        <f>'Feed Cost &amp; Allocation'!R52</f>
        <v>0</v>
      </c>
      <c r="S175" s="1861">
        <f>'Feed Cost &amp; Allocation'!S52</f>
        <v>0</v>
      </c>
      <c r="T175" s="1861">
        <f>'Feed Cost &amp; Allocation'!T52</f>
        <v>0</v>
      </c>
      <c r="U175" s="1861">
        <f>'Feed Cost &amp; Allocation'!U52</f>
        <v>0</v>
      </c>
      <c r="V175" s="1861">
        <f>'Feed Cost &amp; Allocation'!V52</f>
        <v>0</v>
      </c>
      <c r="W175" s="1861">
        <f>'Feed Cost &amp; Allocation'!W52</f>
        <v>0</v>
      </c>
      <c r="X175" s="1861">
        <f>'Feed Cost &amp; Allocation'!X52</f>
        <v>0</v>
      </c>
      <c r="Y175" s="1861">
        <f>'Feed Cost &amp; Allocation'!Y52</f>
        <v>0</v>
      </c>
      <c r="Z175" s="1861">
        <f>'Feed Cost &amp; Allocation'!Z52</f>
        <v>0</v>
      </c>
      <c r="AA175" s="1861">
        <f>'Feed Cost &amp; Allocation'!AA52</f>
        <v>0</v>
      </c>
      <c r="AB175" s="1861">
        <f>'Feed Cost &amp; Allocation'!AB52</f>
        <v>0</v>
      </c>
      <c r="AC175" s="1861">
        <f>'Feed Cost &amp; Allocation'!AC52</f>
        <v>0</v>
      </c>
      <c r="AD175" s="1861">
        <f>'Feed Cost &amp; Allocation'!AD52</f>
        <v>0</v>
      </c>
      <c r="AE175" s="1861"/>
      <c r="AF175" s="1109">
        <f>SUM(B175:AD175)</f>
        <v>0</v>
      </c>
      <c r="AG175" s="1105"/>
      <c r="AH175" s="1105"/>
    </row>
    <row r="176" spans="1:34" ht="15.6">
      <c r="A176" s="1105" t="s">
        <v>2128</v>
      </c>
      <c r="B176" s="1861">
        <f>'Feed Cost &amp; Allocation'!B53</f>
        <v>0</v>
      </c>
      <c r="C176" s="1861">
        <f>'Feed Cost &amp; Allocation'!C53</f>
        <v>0</v>
      </c>
      <c r="D176" s="1861">
        <f>'Feed Cost &amp; Allocation'!D53</f>
        <v>0</v>
      </c>
      <c r="E176" s="1861">
        <f>'Feed Cost &amp; Allocation'!E53</f>
        <v>0</v>
      </c>
      <c r="F176" s="1861">
        <f>'Feed Cost &amp; Allocation'!F53</f>
        <v>0</v>
      </c>
      <c r="G176" s="1861">
        <f>'Feed Cost &amp; Allocation'!G53</f>
        <v>0</v>
      </c>
      <c r="H176" s="1861">
        <f>'Feed Cost &amp; Allocation'!H53</f>
        <v>0</v>
      </c>
      <c r="I176" s="1861">
        <f>'Feed Cost &amp; Allocation'!I53</f>
        <v>0</v>
      </c>
      <c r="J176" s="1861">
        <f>'Feed Cost &amp; Allocation'!J53</f>
        <v>0</v>
      </c>
      <c r="K176" s="1861">
        <f>'Feed Cost &amp; Allocation'!K53</f>
        <v>0</v>
      </c>
      <c r="L176" s="1861">
        <f>'Feed Cost &amp; Allocation'!L53</f>
        <v>0</v>
      </c>
      <c r="M176" s="1861">
        <f>'Feed Cost &amp; Allocation'!M53</f>
        <v>0</v>
      </c>
      <c r="N176" s="1861">
        <f>'Feed Cost &amp; Allocation'!N53</f>
        <v>0</v>
      </c>
      <c r="O176" s="1861">
        <f>'Feed Cost &amp; Allocation'!O53</f>
        <v>0</v>
      </c>
      <c r="P176" s="1861">
        <f>'Feed Cost &amp; Allocation'!P53</f>
        <v>0</v>
      </c>
      <c r="Q176" s="1861">
        <f>'Feed Cost &amp; Allocation'!Q53</f>
        <v>0</v>
      </c>
      <c r="R176" s="1861">
        <f>'Feed Cost &amp; Allocation'!R53</f>
        <v>0</v>
      </c>
      <c r="S176" s="1861">
        <f>'Feed Cost &amp; Allocation'!S53</f>
        <v>0</v>
      </c>
      <c r="T176" s="1861">
        <f>'Feed Cost &amp; Allocation'!T53</f>
        <v>0</v>
      </c>
      <c r="U176" s="1861">
        <f>'Feed Cost &amp; Allocation'!U53</f>
        <v>0</v>
      </c>
      <c r="V176" s="1861">
        <f>'Feed Cost &amp; Allocation'!V53</f>
        <v>0</v>
      </c>
      <c r="W176" s="1861">
        <f>'Feed Cost &amp; Allocation'!W53</f>
        <v>0</v>
      </c>
      <c r="X176" s="1861">
        <f>'Feed Cost &amp; Allocation'!X53</f>
        <v>0</v>
      </c>
      <c r="Y176" s="1861">
        <f>'Feed Cost &amp; Allocation'!Y53</f>
        <v>0</v>
      </c>
      <c r="Z176" s="1861">
        <f>'Feed Cost &amp; Allocation'!Z53</f>
        <v>0</v>
      </c>
      <c r="AA176" s="1861">
        <f>'Feed Cost &amp; Allocation'!AA53</f>
        <v>0</v>
      </c>
      <c r="AB176" s="1861">
        <f>'Feed Cost &amp; Allocation'!AB53</f>
        <v>0</v>
      </c>
      <c r="AC176" s="1861">
        <f>'Feed Cost &amp; Allocation'!AC53</f>
        <v>0</v>
      </c>
      <c r="AD176" s="1861">
        <f>'Feed Cost &amp; Allocation'!AD53</f>
        <v>0</v>
      </c>
      <c r="AE176" s="1861"/>
      <c r="AF176" s="1109">
        <f t="shared" ref="AF176:AF180" si="0">SUM(B176:AD176)</f>
        <v>0</v>
      </c>
      <c r="AG176" s="1105"/>
      <c r="AH176" s="1105"/>
    </row>
    <row r="177" spans="1:34" ht="15.6">
      <c r="A177" s="1861" t="s">
        <v>2129</v>
      </c>
      <c r="B177" s="1861">
        <f>'Feed Cost &amp; Allocation'!B54</f>
        <v>0</v>
      </c>
      <c r="C177" s="1861">
        <f>'Feed Cost &amp; Allocation'!C54</f>
        <v>0</v>
      </c>
      <c r="D177" s="1861">
        <f>'Feed Cost &amp; Allocation'!D54</f>
        <v>0</v>
      </c>
      <c r="E177" s="1861">
        <f>'Feed Cost &amp; Allocation'!E54</f>
        <v>0</v>
      </c>
      <c r="F177" s="1861">
        <f>'Feed Cost &amp; Allocation'!F54</f>
        <v>0</v>
      </c>
      <c r="G177" s="1861">
        <f>'Feed Cost &amp; Allocation'!G54</f>
        <v>0</v>
      </c>
      <c r="H177" s="1861">
        <f>'Feed Cost &amp; Allocation'!H54</f>
        <v>0</v>
      </c>
      <c r="I177" s="1861">
        <f>'Feed Cost &amp; Allocation'!I54</f>
        <v>0</v>
      </c>
      <c r="J177" s="1861">
        <f>'Feed Cost &amp; Allocation'!J54</f>
        <v>0</v>
      </c>
      <c r="K177" s="1861">
        <f>'Feed Cost &amp; Allocation'!K54</f>
        <v>0</v>
      </c>
      <c r="L177" s="1861">
        <f>'Feed Cost &amp; Allocation'!L54</f>
        <v>0</v>
      </c>
      <c r="M177" s="1861">
        <f>'Feed Cost &amp; Allocation'!M54</f>
        <v>0</v>
      </c>
      <c r="N177" s="1861">
        <f>'Feed Cost &amp; Allocation'!N54</f>
        <v>0</v>
      </c>
      <c r="O177" s="1861">
        <f>'Feed Cost &amp; Allocation'!O54</f>
        <v>0</v>
      </c>
      <c r="P177" s="1861">
        <f>'Feed Cost &amp; Allocation'!P54</f>
        <v>0</v>
      </c>
      <c r="Q177" s="1861">
        <f>'Feed Cost &amp; Allocation'!Q54</f>
        <v>0</v>
      </c>
      <c r="R177" s="1861">
        <f>'Feed Cost &amp; Allocation'!R54</f>
        <v>0</v>
      </c>
      <c r="S177" s="1861">
        <f>'Feed Cost &amp; Allocation'!S54</f>
        <v>0</v>
      </c>
      <c r="T177" s="1861">
        <f>'Feed Cost &amp; Allocation'!T54</f>
        <v>0</v>
      </c>
      <c r="U177" s="1861">
        <f>'Feed Cost &amp; Allocation'!U54</f>
        <v>0</v>
      </c>
      <c r="V177" s="1861">
        <f>'Feed Cost &amp; Allocation'!V54</f>
        <v>0</v>
      </c>
      <c r="W177" s="1861">
        <f>'Feed Cost &amp; Allocation'!W54</f>
        <v>0</v>
      </c>
      <c r="X177" s="1861">
        <f>'Feed Cost &amp; Allocation'!X54</f>
        <v>0</v>
      </c>
      <c r="Y177" s="1861">
        <f>'Feed Cost &amp; Allocation'!Y54</f>
        <v>0</v>
      </c>
      <c r="Z177" s="1861">
        <f>'Feed Cost &amp; Allocation'!Z54</f>
        <v>0</v>
      </c>
      <c r="AA177" s="1861">
        <f>'Feed Cost &amp; Allocation'!AA54</f>
        <v>0</v>
      </c>
      <c r="AB177" s="1861">
        <f>'Feed Cost &amp; Allocation'!AB54</f>
        <v>0</v>
      </c>
      <c r="AC177" s="1861">
        <f>'Feed Cost &amp; Allocation'!AC54</f>
        <v>0</v>
      </c>
      <c r="AD177" s="1861">
        <f>'Feed Cost &amp; Allocation'!AD54</f>
        <v>0</v>
      </c>
      <c r="AE177" s="1861"/>
      <c r="AF177" s="1109">
        <f t="shared" si="0"/>
        <v>0</v>
      </c>
      <c r="AG177" s="1105"/>
      <c r="AH177" s="1105"/>
    </row>
    <row r="178" spans="1:34" ht="15.6">
      <c r="A178" s="1861" t="s">
        <v>2130</v>
      </c>
      <c r="B178" s="1861">
        <f>'Feed Cost &amp; Allocation'!B55</f>
        <v>0</v>
      </c>
      <c r="C178" s="1861">
        <f>'Feed Cost &amp; Allocation'!C55</f>
        <v>0</v>
      </c>
      <c r="D178" s="1861">
        <f>'Feed Cost &amp; Allocation'!D55</f>
        <v>0</v>
      </c>
      <c r="E178" s="1861">
        <f>'Feed Cost &amp; Allocation'!E55</f>
        <v>0</v>
      </c>
      <c r="F178" s="1861">
        <f>'Feed Cost &amp; Allocation'!F55</f>
        <v>0</v>
      </c>
      <c r="G178" s="1861">
        <f>'Feed Cost &amp; Allocation'!G55</f>
        <v>0</v>
      </c>
      <c r="H178" s="1861">
        <f>'Feed Cost &amp; Allocation'!H55</f>
        <v>0</v>
      </c>
      <c r="I178" s="1861">
        <f>'Feed Cost &amp; Allocation'!I55</f>
        <v>0</v>
      </c>
      <c r="J178" s="1861">
        <f>'Feed Cost &amp; Allocation'!J55</f>
        <v>0</v>
      </c>
      <c r="K178" s="1861">
        <f>'Feed Cost &amp; Allocation'!K55</f>
        <v>0</v>
      </c>
      <c r="L178" s="1861">
        <f>'Feed Cost &amp; Allocation'!L55</f>
        <v>0</v>
      </c>
      <c r="M178" s="1861">
        <f>'Feed Cost &amp; Allocation'!M55</f>
        <v>0</v>
      </c>
      <c r="N178" s="1861">
        <f>'Feed Cost &amp; Allocation'!N55</f>
        <v>0</v>
      </c>
      <c r="O178" s="1861">
        <f>'Feed Cost &amp; Allocation'!O55</f>
        <v>0</v>
      </c>
      <c r="P178" s="1861">
        <f>'Feed Cost &amp; Allocation'!P55</f>
        <v>0</v>
      </c>
      <c r="Q178" s="1861">
        <f>'Feed Cost &amp; Allocation'!Q55</f>
        <v>0</v>
      </c>
      <c r="R178" s="1861">
        <f>'Feed Cost &amp; Allocation'!R55</f>
        <v>0</v>
      </c>
      <c r="S178" s="1861">
        <f>'Feed Cost &amp; Allocation'!S55</f>
        <v>0</v>
      </c>
      <c r="T178" s="1861">
        <f>'Feed Cost &amp; Allocation'!T55</f>
        <v>0</v>
      </c>
      <c r="U178" s="1861">
        <f>'Feed Cost &amp; Allocation'!U55</f>
        <v>0</v>
      </c>
      <c r="V178" s="1861">
        <f>'Feed Cost &amp; Allocation'!V55</f>
        <v>0</v>
      </c>
      <c r="W178" s="1861">
        <f>'Feed Cost &amp; Allocation'!W55</f>
        <v>0</v>
      </c>
      <c r="X178" s="1861">
        <f>'Feed Cost &amp; Allocation'!X55</f>
        <v>0</v>
      </c>
      <c r="Y178" s="1861">
        <f>'Feed Cost &amp; Allocation'!Y55</f>
        <v>0</v>
      </c>
      <c r="Z178" s="1861">
        <f>'Feed Cost &amp; Allocation'!Z55</f>
        <v>0</v>
      </c>
      <c r="AA178" s="1861">
        <f>'Feed Cost &amp; Allocation'!AA55</f>
        <v>0</v>
      </c>
      <c r="AB178" s="1861">
        <f>'Feed Cost &amp; Allocation'!AB55</f>
        <v>0</v>
      </c>
      <c r="AC178" s="1861">
        <f>'Feed Cost &amp; Allocation'!AC55</f>
        <v>0</v>
      </c>
      <c r="AD178" s="1861">
        <f>'Feed Cost &amp; Allocation'!AD55</f>
        <v>0</v>
      </c>
      <c r="AE178" s="1861"/>
      <c r="AF178" s="1109">
        <f t="shared" si="0"/>
        <v>0</v>
      </c>
      <c r="AG178" s="1105"/>
      <c r="AH178" s="1105"/>
    </row>
    <row r="179" spans="1:34" ht="15.6">
      <c r="A179" t="s">
        <v>2131</v>
      </c>
      <c r="B179" s="1861">
        <f>'Feed Cost &amp; Allocation'!B56</f>
        <v>0</v>
      </c>
      <c r="C179" s="1861">
        <f>'Feed Cost &amp; Allocation'!C56</f>
        <v>0</v>
      </c>
      <c r="D179" s="1861">
        <f>'Feed Cost &amp; Allocation'!D56</f>
        <v>0</v>
      </c>
      <c r="E179" s="1861">
        <f>'Feed Cost &amp; Allocation'!E56</f>
        <v>0</v>
      </c>
      <c r="F179" s="1861">
        <f>'Feed Cost &amp; Allocation'!F56</f>
        <v>0</v>
      </c>
      <c r="G179" s="1861">
        <f>'Feed Cost &amp; Allocation'!G56</f>
        <v>0</v>
      </c>
      <c r="H179" s="1861">
        <f>'Feed Cost &amp; Allocation'!H56</f>
        <v>0</v>
      </c>
      <c r="I179" s="1861">
        <f>'Feed Cost &amp; Allocation'!I56</f>
        <v>0</v>
      </c>
      <c r="J179" s="1861">
        <f>'Feed Cost &amp; Allocation'!J56</f>
        <v>0</v>
      </c>
      <c r="K179" s="1861">
        <f>'Feed Cost &amp; Allocation'!K56</f>
        <v>0</v>
      </c>
      <c r="L179" s="1861">
        <f>'Feed Cost &amp; Allocation'!L56</f>
        <v>0</v>
      </c>
      <c r="M179" s="1861">
        <f>'Feed Cost &amp; Allocation'!M56</f>
        <v>0</v>
      </c>
      <c r="N179" s="1861">
        <f>'Feed Cost &amp; Allocation'!N56</f>
        <v>0</v>
      </c>
      <c r="O179" s="1861">
        <f>'Feed Cost &amp; Allocation'!O56</f>
        <v>0</v>
      </c>
      <c r="P179" s="1861">
        <f>'Feed Cost &amp; Allocation'!P56</f>
        <v>0</v>
      </c>
      <c r="Q179" s="1861">
        <f>'Feed Cost &amp; Allocation'!Q56</f>
        <v>0</v>
      </c>
      <c r="R179" s="1861">
        <f>'Feed Cost &amp; Allocation'!R56</f>
        <v>0</v>
      </c>
      <c r="S179" s="1861">
        <f>'Feed Cost &amp; Allocation'!S56</f>
        <v>0</v>
      </c>
      <c r="T179" s="1861">
        <f>'Feed Cost &amp; Allocation'!T56</f>
        <v>0</v>
      </c>
      <c r="U179" s="1861">
        <f>'Feed Cost &amp; Allocation'!U56</f>
        <v>0</v>
      </c>
      <c r="V179" s="1861">
        <f>'Feed Cost &amp; Allocation'!V56</f>
        <v>0</v>
      </c>
      <c r="W179" s="1861">
        <f>'Feed Cost &amp; Allocation'!W56</f>
        <v>0</v>
      </c>
      <c r="X179" s="1861">
        <f>'Feed Cost &amp; Allocation'!X56</f>
        <v>0</v>
      </c>
      <c r="Y179" s="1861">
        <f>'Feed Cost &amp; Allocation'!Y56</f>
        <v>0</v>
      </c>
      <c r="Z179" s="1861">
        <f>'Feed Cost &amp; Allocation'!Z56</f>
        <v>0</v>
      </c>
      <c r="AA179" s="1861">
        <f>'Feed Cost &amp; Allocation'!AA56</f>
        <v>0</v>
      </c>
      <c r="AB179" s="1861">
        <f>'Feed Cost &amp; Allocation'!AB56</f>
        <v>0</v>
      </c>
      <c r="AC179" s="1861">
        <f>'Feed Cost &amp; Allocation'!AC56</f>
        <v>0</v>
      </c>
      <c r="AD179" s="1861">
        <f>'Feed Cost &amp; Allocation'!AD56</f>
        <v>0</v>
      </c>
      <c r="AE179" s="1861"/>
      <c r="AF179" s="1109">
        <f t="shared" si="0"/>
        <v>0</v>
      </c>
    </row>
    <row r="180" spans="1:34" ht="15.6">
      <c r="A180" s="1861" t="s">
        <v>191</v>
      </c>
      <c r="B180" s="1861">
        <f>'Feed Cost &amp; Allocation'!B57</f>
        <v>0</v>
      </c>
      <c r="C180" s="1861">
        <f>'Feed Cost &amp; Allocation'!C57</f>
        <v>0</v>
      </c>
      <c r="D180" s="1861">
        <f>'Feed Cost &amp; Allocation'!D57</f>
        <v>0</v>
      </c>
      <c r="E180" s="1861">
        <f>'Feed Cost &amp; Allocation'!E57</f>
        <v>0</v>
      </c>
      <c r="F180" s="1861">
        <f>'Feed Cost &amp; Allocation'!F57</f>
        <v>0</v>
      </c>
      <c r="G180" s="1861">
        <f>'Feed Cost &amp; Allocation'!G57</f>
        <v>0</v>
      </c>
      <c r="H180" s="1861">
        <f>'Feed Cost &amp; Allocation'!H57</f>
        <v>0</v>
      </c>
      <c r="I180" s="1861">
        <f>'Feed Cost &amp; Allocation'!I57</f>
        <v>0</v>
      </c>
      <c r="J180" s="1861">
        <f>'Feed Cost &amp; Allocation'!J57</f>
        <v>0</v>
      </c>
      <c r="K180" s="1861">
        <f>'Feed Cost &amp; Allocation'!K57</f>
        <v>0</v>
      </c>
      <c r="L180" s="1861">
        <f>'Feed Cost &amp; Allocation'!L57</f>
        <v>0</v>
      </c>
      <c r="M180" s="1861">
        <f>'Feed Cost &amp; Allocation'!M57</f>
        <v>0</v>
      </c>
      <c r="N180" s="1861">
        <f>'Feed Cost &amp; Allocation'!N57</f>
        <v>0</v>
      </c>
      <c r="O180" s="1861">
        <f>'Feed Cost &amp; Allocation'!O57</f>
        <v>0</v>
      </c>
      <c r="P180" s="1861">
        <f>'Feed Cost &amp; Allocation'!P57</f>
        <v>0</v>
      </c>
      <c r="Q180" s="1861">
        <f>'Feed Cost &amp; Allocation'!Q57</f>
        <v>0</v>
      </c>
      <c r="R180" s="1861">
        <f>'Feed Cost &amp; Allocation'!R57</f>
        <v>0</v>
      </c>
      <c r="S180" s="1861">
        <f>'Feed Cost &amp; Allocation'!S57</f>
        <v>0</v>
      </c>
      <c r="T180" s="1861">
        <f>'Feed Cost &amp; Allocation'!T57</f>
        <v>0</v>
      </c>
      <c r="U180" s="1861">
        <f>'Feed Cost &amp; Allocation'!U57</f>
        <v>0</v>
      </c>
      <c r="V180" s="1861">
        <f>'Feed Cost &amp; Allocation'!V57</f>
        <v>0</v>
      </c>
      <c r="W180" s="1861">
        <f>'Feed Cost &amp; Allocation'!W57</f>
        <v>0</v>
      </c>
      <c r="X180" s="1861">
        <f>'Feed Cost &amp; Allocation'!X57</f>
        <v>0</v>
      </c>
      <c r="Y180" s="1861">
        <f>'Feed Cost &amp; Allocation'!Y57</f>
        <v>0</v>
      </c>
      <c r="Z180" s="1861">
        <f>'Feed Cost &amp; Allocation'!Z57</f>
        <v>0</v>
      </c>
      <c r="AA180" s="1861">
        <f>'Feed Cost &amp; Allocation'!AA57</f>
        <v>0</v>
      </c>
      <c r="AB180" s="1861">
        <f>'Feed Cost &amp; Allocation'!AB57</f>
        <v>0</v>
      </c>
      <c r="AC180" s="1861">
        <f>'Feed Cost &amp; Allocation'!AC57</f>
        <v>0</v>
      </c>
      <c r="AD180" s="1861">
        <f>'Feed Cost &amp; Allocation'!AD57</f>
        <v>0</v>
      </c>
      <c r="AE180" s="1861"/>
      <c r="AF180" s="1109">
        <f t="shared" si="0"/>
        <v>0</v>
      </c>
    </row>
    <row r="181" spans="1:34">
      <c r="B181" s="50">
        <f>SUM(B174:B180)</f>
        <v>0</v>
      </c>
      <c r="C181" s="50">
        <f t="shared" ref="C181:S181" si="1">SUM(C174:C180)</f>
        <v>0</v>
      </c>
      <c r="D181" s="50">
        <f t="shared" si="1"/>
        <v>0</v>
      </c>
      <c r="E181" s="50">
        <f t="shared" si="1"/>
        <v>0</v>
      </c>
      <c r="F181" s="50">
        <f t="shared" si="1"/>
        <v>0</v>
      </c>
      <c r="G181" s="50">
        <f t="shared" si="1"/>
        <v>0</v>
      </c>
      <c r="H181" s="50">
        <f t="shared" si="1"/>
        <v>0</v>
      </c>
      <c r="I181" s="50">
        <f t="shared" si="1"/>
        <v>0</v>
      </c>
      <c r="J181" s="50">
        <f t="shared" si="1"/>
        <v>0</v>
      </c>
      <c r="K181" s="50">
        <f t="shared" si="1"/>
        <v>0</v>
      </c>
      <c r="L181" s="50">
        <f t="shared" si="1"/>
        <v>0</v>
      </c>
      <c r="M181" s="50">
        <f t="shared" si="1"/>
        <v>0</v>
      </c>
      <c r="N181" s="50">
        <f t="shared" si="1"/>
        <v>0</v>
      </c>
      <c r="O181" s="50">
        <f t="shared" si="1"/>
        <v>0</v>
      </c>
      <c r="P181" s="50">
        <f t="shared" si="1"/>
        <v>0</v>
      </c>
      <c r="Q181" s="50">
        <f t="shared" si="1"/>
        <v>0</v>
      </c>
      <c r="R181" s="50">
        <f t="shared" si="1"/>
        <v>0</v>
      </c>
      <c r="S181" s="50">
        <f t="shared" si="1"/>
        <v>0</v>
      </c>
      <c r="T181" s="50">
        <f>SUM(T174:T180)</f>
        <v>0</v>
      </c>
      <c r="U181" s="50">
        <f t="shared" ref="U181:AC181" si="2">SUM(U174:U180)</f>
        <v>0</v>
      </c>
      <c r="V181" s="50">
        <f t="shared" si="2"/>
        <v>0</v>
      </c>
      <c r="W181" s="50">
        <f t="shared" si="2"/>
        <v>0</v>
      </c>
      <c r="X181" s="50">
        <f t="shared" si="2"/>
        <v>0</v>
      </c>
      <c r="Y181" s="50">
        <f t="shared" si="2"/>
        <v>0</v>
      </c>
      <c r="Z181" s="50">
        <f t="shared" si="2"/>
        <v>0</v>
      </c>
      <c r="AA181" s="50">
        <f t="shared" si="2"/>
        <v>0</v>
      </c>
      <c r="AB181" s="50">
        <f t="shared" si="2"/>
        <v>0</v>
      </c>
      <c r="AC181" s="50">
        <f t="shared" si="2"/>
        <v>0</v>
      </c>
      <c r="AD181" s="50">
        <f>SUM(AD174:AD180)</f>
        <v>0</v>
      </c>
      <c r="AE181" s="50"/>
      <c r="AF181" s="50">
        <f>SUM(AF174:AF180)</f>
        <v>0</v>
      </c>
    </row>
    <row r="183" spans="1:34">
      <c r="A183" t="s">
        <v>2033</v>
      </c>
      <c r="B183" s="24">
        <f>B181+B101*1000-B172</f>
        <v>0</v>
      </c>
      <c r="C183" s="24">
        <f t="shared" ref="C183:S183" si="3">C181+C101*1000-C172</f>
        <v>159830.89116464945</v>
      </c>
      <c r="D183" s="24">
        <f t="shared" si="3"/>
        <v>564505.95515237516</v>
      </c>
      <c r="E183" s="24">
        <f t="shared" si="3"/>
        <v>0</v>
      </c>
      <c r="F183" s="24">
        <f t="shared" si="3"/>
        <v>365315.91497716628</v>
      </c>
      <c r="G183" s="24">
        <f t="shared" si="3"/>
        <v>436612.7374401514</v>
      </c>
      <c r="H183" s="24">
        <f t="shared" si="3"/>
        <v>581918.33972068341</v>
      </c>
      <c r="I183" s="24">
        <f t="shared" si="3"/>
        <v>47663.231110709574</v>
      </c>
      <c r="J183" s="24">
        <f t="shared" si="3"/>
        <v>979602.3892568876</v>
      </c>
      <c r="K183" s="24">
        <f t="shared" si="3"/>
        <v>250774.95511427132</v>
      </c>
      <c r="L183" s="24">
        <f t="shared" si="3"/>
        <v>144850.43060281873</v>
      </c>
      <c r="M183" s="24">
        <f t="shared" si="3"/>
        <v>32388.791022797908</v>
      </c>
      <c r="N183" s="24">
        <f t="shared" si="3"/>
        <v>21074.822528505174</v>
      </c>
      <c r="O183" s="24">
        <f>O181+O101*1000-O172</f>
        <v>71150.993423524444</v>
      </c>
      <c r="P183" s="24">
        <f t="shared" si="3"/>
        <v>13675.862629386545</v>
      </c>
      <c r="Q183" s="24">
        <f t="shared" si="3"/>
        <v>7811.0791973459454</v>
      </c>
      <c r="R183" s="24">
        <f>R181+R101*1000-R172</f>
        <v>23811.80605164462</v>
      </c>
      <c r="S183" s="24">
        <f t="shared" si="3"/>
        <v>0</v>
      </c>
      <c r="T183" s="24">
        <f>T181+T101*1000-T172</f>
        <v>0</v>
      </c>
      <c r="U183" s="24">
        <f t="shared" ref="U183:V183" si="4">U181+U101*1000-U172</f>
        <v>0</v>
      </c>
      <c r="V183" s="24">
        <f t="shared" si="4"/>
        <v>0</v>
      </c>
      <c r="W183" s="24">
        <f t="shared" ref="W183:AD183" si="5">W181+W101*1000-W172</f>
        <v>39028.422838948471</v>
      </c>
      <c r="X183" s="24">
        <f t="shared" si="5"/>
        <v>42403.974744006206</v>
      </c>
      <c r="Y183" s="24">
        <f t="shared" si="5"/>
        <v>6891.7481929685355</v>
      </c>
      <c r="Z183" s="24">
        <f t="shared" si="5"/>
        <v>50518.285451195421</v>
      </c>
      <c r="AA183" s="24">
        <f t="shared" si="5"/>
        <v>38976.242032051858</v>
      </c>
      <c r="AB183" s="24">
        <f t="shared" si="5"/>
        <v>3407.7340280162125</v>
      </c>
      <c r="AC183" s="24">
        <f t="shared" si="5"/>
        <v>2029.203595337995</v>
      </c>
      <c r="AD183" s="24">
        <f t="shared" si="5"/>
        <v>8020</v>
      </c>
      <c r="AE183" s="24"/>
      <c r="AF183" s="24">
        <f>SUM(B183:AD183)</f>
        <v>3892263.8102754424</v>
      </c>
    </row>
    <row r="184" spans="1:34">
      <c r="A184" t="s">
        <v>2043</v>
      </c>
      <c r="B184" s="24">
        <f>B97+B144-B153</f>
        <v>0</v>
      </c>
      <c r="C184" s="24">
        <f>C97+C144-C153</f>
        <v>104428.4293916671</v>
      </c>
      <c r="D184" s="24">
        <f t="shared" ref="D184:T184" si="6">D97+D144-D153</f>
        <v>307028.2173983666</v>
      </c>
      <c r="E184" s="24">
        <f t="shared" si="6"/>
        <v>0</v>
      </c>
      <c r="F184" s="24">
        <f t="shared" si="6"/>
        <v>165408.14298038554</v>
      </c>
      <c r="G184" s="24">
        <f t="shared" si="6"/>
        <v>190721.00815840144</v>
      </c>
      <c r="H184" s="24">
        <f t="shared" si="6"/>
        <v>235563.76689813644</v>
      </c>
      <c r="I184" s="24">
        <f t="shared" si="6"/>
        <v>28372.229766060267</v>
      </c>
      <c r="J184" s="24">
        <f t="shared" si="6"/>
        <v>431245.09029428835</v>
      </c>
      <c r="K184" s="24">
        <f t="shared" si="6"/>
        <v>97418.076397753539</v>
      </c>
      <c r="L184" s="24">
        <f t="shared" si="6"/>
        <v>75016.735048917093</v>
      </c>
      <c r="M184" s="24">
        <f t="shared" si="6"/>
        <v>20776.950638356182</v>
      </c>
      <c r="N184" s="24">
        <f t="shared" si="6"/>
        <v>9158.6748796531083</v>
      </c>
      <c r="O184" s="24">
        <f>O97+O144-O153</f>
        <v>29690.658738903283</v>
      </c>
      <c r="P184" s="24">
        <f>P97+P144-P153</f>
        <v>9291.128924502591</v>
      </c>
      <c r="Q184" s="24">
        <f t="shared" si="6"/>
        <v>8615.3072604568661</v>
      </c>
      <c r="R184" s="24">
        <f>R97+R144-R153</f>
        <v>11390.409923098294</v>
      </c>
      <c r="S184" s="24">
        <f t="shared" si="6"/>
        <v>0</v>
      </c>
      <c r="T184" s="24">
        <f t="shared" si="6"/>
        <v>386.7764361106365</v>
      </c>
      <c r="U184" s="24">
        <f>U97+U144-U153</f>
        <v>0</v>
      </c>
      <c r="V184" s="24">
        <f t="shared" ref="V184" si="7">V97+V144-V153</f>
        <v>0</v>
      </c>
      <c r="W184" s="24">
        <f t="shared" ref="W184:AD184" si="8">W97+W144-W153</f>
        <v>15755.011934320399</v>
      </c>
      <c r="X184" s="24">
        <f t="shared" si="8"/>
        <v>16183.542005993213</v>
      </c>
      <c r="Y184" s="24">
        <f>Y97+Y144-Y153</f>
        <v>4881.419095809264</v>
      </c>
      <c r="Z184" s="24">
        <f t="shared" si="8"/>
        <v>37270.842156596053</v>
      </c>
      <c r="AA184" s="24">
        <f t="shared" si="8"/>
        <v>34836.973526568625</v>
      </c>
      <c r="AB184" s="24">
        <f t="shared" si="8"/>
        <v>1905.3892847888496</v>
      </c>
      <c r="AC184" s="24">
        <f t="shared" si="8"/>
        <v>1494.3368888967134</v>
      </c>
      <c r="AD184" s="24">
        <f t="shared" si="8"/>
        <v>6094.8417155868538</v>
      </c>
      <c r="AE184" s="24"/>
      <c r="AF184" s="24">
        <f>SUM(B184:AD184)</f>
        <v>1842933.9597436176</v>
      </c>
    </row>
    <row r="185" spans="1:34">
      <c r="A185" t="s">
        <v>1824</v>
      </c>
      <c r="B185" s="42">
        <f>IFERROR(B184/B183,0)</f>
        <v>0</v>
      </c>
      <c r="C185" s="42">
        <f t="shared" ref="C185:T185" si="9">IFERROR(C184/C183,0)</f>
        <v>0.6533682483449984</v>
      </c>
      <c r="D185" s="42">
        <f t="shared" si="9"/>
        <v>0.54388835865423513</v>
      </c>
      <c r="E185" s="42">
        <f t="shared" si="9"/>
        <v>0</v>
      </c>
      <c r="F185" s="42">
        <f t="shared" si="9"/>
        <v>0.45278110314664016</v>
      </c>
      <c r="G185" s="42">
        <f t="shared" si="9"/>
        <v>0.43681961565435201</v>
      </c>
      <c r="H185" s="42">
        <f t="shared" si="9"/>
        <v>0.40480553854206647</v>
      </c>
      <c r="I185" s="42">
        <f>IFERROR(I184/I183,0)</f>
        <v>0.59526450693531008</v>
      </c>
      <c r="J185" s="42">
        <f t="shared" si="9"/>
        <v>0.44022462074783703</v>
      </c>
      <c r="K185" s="42">
        <f t="shared" si="9"/>
        <v>0.38846812415283966</v>
      </c>
      <c r="L185" s="42">
        <f t="shared" si="9"/>
        <v>0.51789100478833716</v>
      </c>
      <c r="M185" s="42">
        <f t="shared" si="9"/>
        <v>0.6414858345200859</v>
      </c>
      <c r="N185" s="42">
        <f t="shared" si="9"/>
        <v>0.43457898007280293</v>
      </c>
      <c r="O185" s="42">
        <f t="shared" si="9"/>
        <v>0.41729085301972396</v>
      </c>
      <c r="P185" s="42">
        <f t="shared" si="9"/>
        <v>0.67938156270580796</v>
      </c>
      <c r="Q185" s="42">
        <f t="shared" si="9"/>
        <v>1.1029599166507211</v>
      </c>
      <c r="R185" s="42">
        <f t="shared" si="9"/>
        <v>0.47835136479753021</v>
      </c>
      <c r="S185" s="42">
        <f t="shared" si="9"/>
        <v>0</v>
      </c>
      <c r="T185" s="42">
        <f t="shared" si="9"/>
        <v>0</v>
      </c>
      <c r="U185" s="42">
        <f t="shared" ref="U185:V185" si="10">IFERROR(U184/U183,0)</f>
        <v>0</v>
      </c>
      <c r="V185" s="42">
        <f t="shared" si="10"/>
        <v>0</v>
      </c>
      <c r="W185" s="42">
        <f t="shared" ref="W185:AD185" si="11">IFERROR(W184/W183,0)</f>
        <v>0.40368046639583044</v>
      </c>
      <c r="X185" s="42">
        <f t="shared" si="11"/>
        <v>0.38165153393505297</v>
      </c>
      <c r="Y185" s="42">
        <f>IFERROR(Y184/Y183,0)</f>
        <v>0.70829910773432558</v>
      </c>
      <c r="Z185" s="42">
        <f t="shared" si="11"/>
        <v>0.73776934081823842</v>
      </c>
      <c r="AA185" s="42">
        <f t="shared" si="11"/>
        <v>0.89380021547281718</v>
      </c>
      <c r="AB185" s="42">
        <f t="shared" si="11"/>
        <v>0.55913673694130939</v>
      </c>
      <c r="AC185" s="42">
        <f t="shared" si="11"/>
        <v>0.73641545497449634</v>
      </c>
      <c r="AD185" s="42">
        <f t="shared" si="11"/>
        <v>0.75995532613302419</v>
      </c>
      <c r="AE185" s="42"/>
      <c r="AF185" s="42">
        <f>IFERROR(AF184/AF183,0)</f>
        <v>0.47348639495563877</v>
      </c>
    </row>
    <row r="187" spans="1:34"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9" spans="1:34">
      <c r="B189" s="23">
        <v>5.0548346055727125</v>
      </c>
      <c r="C189" s="23">
        <v>0.62206147506747722</v>
      </c>
      <c r="D189" s="23">
        <v>0.51661230422783633</v>
      </c>
      <c r="E189" s="23">
        <v>0</v>
      </c>
      <c r="F189" s="23">
        <v>0.42626177047339103</v>
      </c>
      <c r="G189" s="23">
        <v>0.41272919994536078</v>
      </c>
      <c r="H189" s="23">
        <v>0.38803139195903136</v>
      </c>
      <c r="I189" s="23">
        <v>0</v>
      </c>
      <c r="J189" s="23">
        <v>0.41689075717535901</v>
      </c>
      <c r="K189" s="23">
        <v>0.35953025752713375</v>
      </c>
      <c r="L189" s="23">
        <v>0.48893766143827194</v>
      </c>
      <c r="M189" s="23">
        <v>0.4978842281366932</v>
      </c>
      <c r="N189" s="23">
        <v>0.39406832015771981</v>
      </c>
      <c r="O189" s="23">
        <v>0.36323589755092672</v>
      </c>
      <c r="P189" s="23">
        <v>0.43739474546370855</v>
      </c>
      <c r="Q189" s="23">
        <v>0.42757063940902174</v>
      </c>
      <c r="R189" s="23">
        <v>0.38790044965277443</v>
      </c>
      <c r="S189" s="23">
        <v>0</v>
      </c>
      <c r="T189" s="23">
        <v>0.47073065814809584</v>
      </c>
      <c r="U189" s="23">
        <v>0.92859266329971146</v>
      </c>
      <c r="V189" s="23">
        <v>0</v>
      </c>
      <c r="W189" s="23">
        <v>0.40477563786353049</v>
      </c>
      <c r="X189" s="23">
        <v>0.28581000952440028</v>
      </c>
      <c r="Y189" s="23">
        <v>0.44384556052173824</v>
      </c>
      <c r="Z189" s="23">
        <v>0.45286086016321675</v>
      </c>
      <c r="AA189" s="23">
        <v>0</v>
      </c>
      <c r="AB189" s="23">
        <v>0.61255621983155739</v>
      </c>
      <c r="AC189" s="23">
        <v>0</v>
      </c>
      <c r="AD189" s="23">
        <v>0</v>
      </c>
      <c r="AE189" s="23"/>
      <c r="AF189" s="23">
        <v>0.44123642855876027</v>
      </c>
    </row>
    <row r="192" spans="1:34">
      <c r="A192" t="s">
        <v>2132</v>
      </c>
      <c r="B192" s="24">
        <f>'[106]FCA RDATA'!B159</f>
        <v>0.73674914444328066</v>
      </c>
      <c r="C192" s="24">
        <f>'[106]FCA RDATA'!C159</f>
        <v>0.57924555871526429</v>
      </c>
      <c r="D192" s="24">
        <f>'[106]FCA RDATA'!D159</f>
        <v>0.46982333593117176</v>
      </c>
      <c r="E192" s="24">
        <f>'[106]FCA RDATA'!E159</f>
        <v>0</v>
      </c>
      <c r="F192" s="24">
        <f>'[106]FCA RDATA'!F159</f>
        <v>0.34628445767185939</v>
      </c>
      <c r="G192" s="24">
        <f>'[106]FCA RDATA'!G159</f>
        <v>0.34048666368142982</v>
      </c>
      <c r="H192" s="24">
        <f>'[106]FCA RDATA'!H159</f>
        <v>0.30395164108161421</v>
      </c>
      <c r="I192" s="24">
        <f>'[106]FCA RDATA'!I159</f>
        <v>0</v>
      </c>
      <c r="J192" s="24">
        <f>'[106]FCA RDATA'!J159</f>
        <v>0.32037654424053053</v>
      </c>
      <c r="K192" s="24">
        <f>'[106]FCA RDATA'!K159</f>
        <v>0.33359626341556559</v>
      </c>
      <c r="L192" s="24">
        <f>'[106]FCA RDATA'!L159</f>
        <v>0.42759592870414992</v>
      </c>
      <c r="M192" s="24">
        <f>'[106]FCA RDATA'!M159</f>
        <v>0.45086602406056514</v>
      </c>
      <c r="N192" s="24">
        <f>'[106]FCA RDATA'!N159</f>
        <v>0</v>
      </c>
      <c r="O192" s="24">
        <f>'[106]FCA RDATA'!O159</f>
        <v>0.37870424315084339</v>
      </c>
      <c r="P192" s="24">
        <f>'[106]FCA RDATA'!P159</f>
        <v>0.4037621610276198</v>
      </c>
      <c r="Q192" s="24">
        <f>'[106]FCA RDATA'!Q159</f>
        <v>0.38809934923734279</v>
      </c>
      <c r="R192" s="24">
        <f>'[106]FCA RDATA'!R159</f>
        <v>0.36941084557077858</v>
      </c>
      <c r="S192" s="24">
        <f>'[106]FCA RDATA'!S159</f>
        <v>0</v>
      </c>
      <c r="T192" s="24">
        <f>'[106]FCA RDATA'!T159</f>
        <v>0.45458295723574405</v>
      </c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>
        <f>'[106]FCA RDATA'!U159</f>
        <v>0.36508697194101197</v>
      </c>
    </row>
    <row r="194" spans="1:32">
      <c r="A194" t="s">
        <v>436</v>
      </c>
      <c r="B194" s="24">
        <f>B185-B192</f>
        <v>-0.73674914444328066</v>
      </c>
      <c r="C194" s="24">
        <f t="shared" ref="C194:AF194" si="12">C185-C192</f>
        <v>7.4122689629734118E-2</v>
      </c>
      <c r="D194" s="24">
        <f t="shared" si="12"/>
        <v>7.4065022723063367E-2</v>
      </c>
      <c r="E194" s="24">
        <f t="shared" si="12"/>
        <v>0</v>
      </c>
      <c r="F194" s="24">
        <f t="shared" si="12"/>
        <v>0.10649664547478077</v>
      </c>
      <c r="G194" s="24">
        <f t="shared" si="12"/>
        <v>9.6332951972922187E-2</v>
      </c>
      <c r="H194" s="24">
        <f t="shared" si="12"/>
        <v>0.10085389746045226</v>
      </c>
      <c r="I194" s="24">
        <f t="shared" si="12"/>
        <v>0.59526450693531008</v>
      </c>
      <c r="J194" s="24">
        <f t="shared" si="12"/>
        <v>0.1198480765073065</v>
      </c>
      <c r="K194" s="24">
        <f t="shared" si="12"/>
        <v>5.487186073727407E-2</v>
      </c>
      <c r="L194" s="24">
        <f t="shared" si="12"/>
        <v>9.0295076084187242E-2</v>
      </c>
      <c r="M194" s="24">
        <f t="shared" si="12"/>
        <v>0.19061981045952076</v>
      </c>
      <c r="N194" s="24">
        <f t="shared" si="12"/>
        <v>0.43457898007280293</v>
      </c>
      <c r="O194" s="24">
        <f t="shared" si="12"/>
        <v>3.8586609868880573E-2</v>
      </c>
      <c r="P194" s="24">
        <f t="shared" si="12"/>
        <v>0.27561940167818816</v>
      </c>
      <c r="Q194" s="24">
        <f t="shared" si="12"/>
        <v>0.71486056741337833</v>
      </c>
      <c r="R194" s="24">
        <f t="shared" si="12"/>
        <v>0.10894051922675163</v>
      </c>
      <c r="S194" s="24">
        <f t="shared" si="12"/>
        <v>0</v>
      </c>
      <c r="T194" s="24">
        <f t="shared" si="12"/>
        <v>-0.45458295723574405</v>
      </c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>
        <f t="shared" si="12"/>
        <v>0.10839942301462679</v>
      </c>
    </row>
  </sheetData>
  <pageMargins left="0.7" right="0.7" top="0.75" bottom="0.75" header="0.3" footer="0.3"/>
  <pageSetup paperSize="9" scale="17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7">
    <tabColor theme="6" tint="-0.249977111117893"/>
  </sheetPr>
  <dimension ref="A1"/>
  <sheetViews>
    <sheetView workbookViewId="0">
      <selection activeCell="L20" sqref="L20"/>
    </sheetView>
  </sheetViews>
  <sheetFormatPr defaultRowHeight="13.15"/>
  <sheetData/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8"/>
  <dimension ref="A2:BE25"/>
  <sheetViews>
    <sheetView topLeftCell="A4" workbookViewId="0">
      <selection activeCell="N22" sqref="N22:S25"/>
    </sheetView>
  </sheetViews>
  <sheetFormatPr defaultRowHeight="13.15"/>
  <cols>
    <col min="1" max="1" width="21.7109375" bestFit="1" customWidth="1"/>
    <col min="2" max="46" width="12" bestFit="1" customWidth="1"/>
    <col min="47" max="47" width="12" customWidth="1"/>
    <col min="48" max="48" width="12" bestFit="1" customWidth="1"/>
    <col min="49" max="49" width="17.42578125" bestFit="1" customWidth="1"/>
    <col min="50" max="50" width="12" bestFit="1" customWidth="1"/>
    <col min="57" max="57" width="12" bestFit="1" customWidth="1"/>
  </cols>
  <sheetData>
    <row r="2" spans="1:57">
      <c r="A2" t="s">
        <v>1772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</row>
    <row r="3" spans="1:57">
      <c r="B3" t="s">
        <v>1773</v>
      </c>
      <c r="C3" t="s">
        <v>1773</v>
      </c>
      <c r="D3" t="s">
        <v>1773</v>
      </c>
      <c r="E3" t="s">
        <v>1773</v>
      </c>
      <c r="F3" t="s">
        <v>1773</v>
      </c>
      <c r="G3" t="s">
        <v>1773</v>
      </c>
      <c r="H3" t="s">
        <v>1773</v>
      </c>
      <c r="I3" t="s">
        <v>1773</v>
      </c>
      <c r="J3" t="s">
        <v>1773</v>
      </c>
      <c r="K3" t="s">
        <v>1773</v>
      </c>
      <c r="L3" t="s">
        <v>1773</v>
      </c>
      <c r="M3" t="s">
        <v>1773</v>
      </c>
      <c r="N3" t="s">
        <v>1773</v>
      </c>
      <c r="O3" t="s">
        <v>1773</v>
      </c>
      <c r="P3" t="s">
        <v>1773</v>
      </c>
      <c r="Q3" t="s">
        <v>1773</v>
      </c>
      <c r="R3" t="s">
        <v>1774</v>
      </c>
      <c r="S3" t="s">
        <v>1775</v>
      </c>
      <c r="T3" t="s">
        <v>1775</v>
      </c>
      <c r="U3" t="s">
        <v>1775</v>
      </c>
      <c r="V3" t="s">
        <v>1776</v>
      </c>
      <c r="W3" t="s">
        <v>1776</v>
      </c>
      <c r="X3" t="s">
        <v>1777</v>
      </c>
      <c r="Y3" t="s">
        <v>1777</v>
      </c>
      <c r="Z3" t="s">
        <v>108</v>
      </c>
      <c r="AA3" t="s">
        <v>108</v>
      </c>
      <c r="AB3" t="s">
        <v>108</v>
      </c>
      <c r="AC3" t="s">
        <v>108</v>
      </c>
      <c r="AD3" t="s">
        <v>1778</v>
      </c>
      <c r="AE3" t="s">
        <v>1778</v>
      </c>
      <c r="AF3" t="s">
        <v>1779</v>
      </c>
      <c r="AG3" t="s">
        <v>1779</v>
      </c>
      <c r="AH3" t="s">
        <v>1780</v>
      </c>
      <c r="AI3" t="s">
        <v>1780</v>
      </c>
      <c r="AJ3" t="s">
        <v>1780</v>
      </c>
      <c r="AK3" t="s">
        <v>1781</v>
      </c>
      <c r="AL3" t="s">
        <v>1781</v>
      </c>
      <c r="AM3" t="s">
        <v>1781</v>
      </c>
      <c r="AN3" t="s">
        <v>1781</v>
      </c>
      <c r="AO3" t="s">
        <v>1781</v>
      </c>
    </row>
    <row r="4" spans="1:57">
      <c r="A4" t="s">
        <v>1782</v>
      </c>
      <c r="B4">
        <v>23</v>
      </c>
      <c r="C4">
        <v>24</v>
      </c>
      <c r="D4">
        <v>25</v>
      </c>
      <c r="E4">
        <v>26</v>
      </c>
      <c r="F4">
        <v>27</v>
      </c>
      <c r="G4">
        <v>28</v>
      </c>
      <c r="H4">
        <v>29</v>
      </c>
      <c r="I4">
        <v>30</v>
      </c>
      <c r="J4">
        <v>31</v>
      </c>
      <c r="K4">
        <v>32</v>
      </c>
      <c r="L4">
        <v>33</v>
      </c>
      <c r="M4">
        <v>34</v>
      </c>
      <c r="N4">
        <v>35</v>
      </c>
      <c r="O4">
        <v>36</v>
      </c>
      <c r="P4">
        <v>37</v>
      </c>
      <c r="Q4">
        <v>38</v>
      </c>
      <c r="R4">
        <v>39</v>
      </c>
      <c r="S4">
        <v>40</v>
      </c>
      <c r="T4">
        <v>41</v>
      </c>
      <c r="U4">
        <v>42</v>
      </c>
      <c r="V4">
        <v>43</v>
      </c>
      <c r="W4">
        <v>44</v>
      </c>
      <c r="X4">
        <v>45</v>
      </c>
      <c r="Y4">
        <v>46</v>
      </c>
      <c r="Z4">
        <v>47</v>
      </c>
      <c r="AA4">
        <v>48</v>
      </c>
      <c r="AB4">
        <v>49</v>
      </c>
      <c r="AC4">
        <v>50</v>
      </c>
      <c r="AD4">
        <v>51</v>
      </c>
      <c r="AE4">
        <v>52</v>
      </c>
      <c r="AF4">
        <v>1</v>
      </c>
      <c r="AG4">
        <v>2</v>
      </c>
      <c r="AH4">
        <v>3</v>
      </c>
      <c r="AI4">
        <v>4</v>
      </c>
      <c r="AJ4">
        <v>5</v>
      </c>
      <c r="AK4">
        <v>6</v>
      </c>
      <c r="AL4">
        <v>7</v>
      </c>
      <c r="AM4">
        <v>8</v>
      </c>
      <c r="AN4">
        <v>9</v>
      </c>
      <c r="AO4">
        <v>10</v>
      </c>
    </row>
    <row r="5" spans="1:57">
      <c r="A5" t="s">
        <v>1783</v>
      </c>
      <c r="B5">
        <v>-16</v>
      </c>
      <c r="C5">
        <v>-15</v>
      </c>
      <c r="D5">
        <v>-14</v>
      </c>
      <c r="E5">
        <v>-13</v>
      </c>
      <c r="F5">
        <v>-12</v>
      </c>
      <c r="G5">
        <v>-11</v>
      </c>
      <c r="H5">
        <v>-10</v>
      </c>
      <c r="I5">
        <v>-9</v>
      </c>
      <c r="J5">
        <v>-8</v>
      </c>
      <c r="K5">
        <v>-7</v>
      </c>
      <c r="L5">
        <v>-6</v>
      </c>
      <c r="M5">
        <v>-5</v>
      </c>
      <c r="N5">
        <v>-4</v>
      </c>
      <c r="O5">
        <v>-3</v>
      </c>
      <c r="P5">
        <v>-2</v>
      </c>
      <c r="Q5">
        <v>-1</v>
      </c>
      <c r="R5">
        <v>0</v>
      </c>
      <c r="S5">
        <v>1</v>
      </c>
      <c r="T5">
        <v>2</v>
      </c>
      <c r="U5">
        <v>3</v>
      </c>
      <c r="V5">
        <v>4</v>
      </c>
      <c r="W5">
        <v>5</v>
      </c>
      <c r="X5">
        <v>6</v>
      </c>
      <c r="Y5">
        <v>7</v>
      </c>
      <c r="Z5">
        <v>8</v>
      </c>
      <c r="AA5">
        <v>9</v>
      </c>
      <c r="AB5">
        <v>10</v>
      </c>
      <c r="AC5">
        <v>11</v>
      </c>
      <c r="AD5">
        <v>12</v>
      </c>
      <c r="AE5">
        <v>13</v>
      </c>
      <c r="AF5">
        <v>14</v>
      </c>
      <c r="AG5">
        <v>15</v>
      </c>
      <c r="AH5">
        <v>16</v>
      </c>
      <c r="AI5">
        <v>17</v>
      </c>
      <c r="AJ5">
        <v>18</v>
      </c>
      <c r="AK5">
        <v>19</v>
      </c>
      <c r="AL5">
        <v>20</v>
      </c>
      <c r="AM5">
        <v>21</v>
      </c>
      <c r="AN5">
        <v>22</v>
      </c>
      <c r="AO5">
        <v>23</v>
      </c>
      <c r="AP5" t="s">
        <v>1784</v>
      </c>
      <c r="AQ5" t="s">
        <v>1784</v>
      </c>
      <c r="AR5" t="s">
        <v>1784</v>
      </c>
      <c r="AS5" t="s">
        <v>1784</v>
      </c>
      <c r="AT5" t="s">
        <v>1784</v>
      </c>
      <c r="AV5" t="s">
        <v>71</v>
      </c>
      <c r="AW5" t="s">
        <v>1827</v>
      </c>
      <c r="BE5" t="s">
        <v>1784</v>
      </c>
    </row>
    <row r="7" spans="1:57">
      <c r="A7" t="s">
        <v>1803</v>
      </c>
      <c r="G7">
        <v>454286.08615739254</v>
      </c>
      <c r="H7">
        <v>454286.08615739254</v>
      </c>
      <c r="I7">
        <v>454286.08615739254</v>
      </c>
      <c r="J7">
        <v>454286.08615739254</v>
      </c>
      <c r="K7">
        <v>867906.8451718617</v>
      </c>
      <c r="L7">
        <v>867906.8451718617</v>
      </c>
      <c r="M7">
        <v>867906.8451718617</v>
      </c>
      <c r="N7">
        <v>867906.8451718617</v>
      </c>
      <c r="O7">
        <v>1347171.4343091904</v>
      </c>
      <c r="P7">
        <v>1347171.4343091904</v>
      </c>
      <c r="Q7">
        <v>1347171.4343091904</v>
      </c>
      <c r="R7">
        <v>1347171.4343091904</v>
      </c>
      <c r="S7">
        <v>1396807.7170758774</v>
      </c>
      <c r="T7">
        <v>1741895.3234652332</v>
      </c>
      <c r="U7">
        <v>1741895.3234652332</v>
      </c>
      <c r="V7">
        <v>1741895.3234652332</v>
      </c>
      <c r="W7">
        <v>2231659.8084651511</v>
      </c>
      <c r="X7">
        <v>2627796.6845211126</v>
      </c>
      <c r="Y7">
        <v>3267216.6843915805</v>
      </c>
      <c r="Z7">
        <v>3666238.667995058</v>
      </c>
      <c r="AA7">
        <v>3684029.5591450408</v>
      </c>
      <c r="AB7">
        <v>2733538.6670165034</v>
      </c>
      <c r="AC7">
        <v>5247345.8361693956</v>
      </c>
      <c r="AD7">
        <v>3958422.4622098031</v>
      </c>
      <c r="AE7">
        <v>4346736.1010942962</v>
      </c>
      <c r="AF7">
        <v>3984352.0197550422</v>
      </c>
      <c r="AG7">
        <v>4692292.1712062052</v>
      </c>
      <c r="AH7">
        <v>5738568.1909031393</v>
      </c>
      <c r="AI7">
        <v>7377742.4943069555</v>
      </c>
      <c r="AJ7">
        <v>6550290.8761975411</v>
      </c>
      <c r="AK7">
        <v>8569273.4574868456</v>
      </c>
      <c r="AL7">
        <v>9633355.4856231101</v>
      </c>
      <c r="AM7">
        <v>10361566.615628373</v>
      </c>
      <c r="AN7">
        <v>9216227.9245222732</v>
      </c>
      <c r="AO7">
        <v>9319153.1117987856</v>
      </c>
      <c r="AP7">
        <v>12089076.520680957</v>
      </c>
      <c r="AQ7">
        <v>14587450.300673487</v>
      </c>
      <c r="AR7">
        <v>13699244.151544686</v>
      </c>
      <c r="AS7">
        <v>12526634.84041357</v>
      </c>
      <c r="AT7">
        <v>11744059.748616489</v>
      </c>
      <c r="AV7">
        <v>189152223.5303908</v>
      </c>
      <c r="AW7">
        <v>189152223.53039077</v>
      </c>
      <c r="AX7">
        <v>0</v>
      </c>
      <c r="BE7">
        <v>379257.11445347406</v>
      </c>
    </row>
    <row r="8" spans="1:57">
      <c r="A8" t="s">
        <v>1803</v>
      </c>
      <c r="G8">
        <v>454286.08615739254</v>
      </c>
      <c r="H8">
        <v>454286.08615739254</v>
      </c>
      <c r="I8">
        <v>454286.08615739254</v>
      </c>
      <c r="J8">
        <v>454286.08615739254</v>
      </c>
      <c r="K8">
        <v>867906.8451718617</v>
      </c>
      <c r="L8">
        <v>867906.8451718617</v>
      </c>
      <c r="M8">
        <v>867906.8451718617</v>
      </c>
      <c r="N8">
        <v>867906.8451718617</v>
      </c>
      <c r="O8">
        <v>1347171.4343091904</v>
      </c>
      <c r="P8">
        <v>1347171.4343091904</v>
      </c>
      <c r="Q8">
        <v>1347171.4343091904</v>
      </c>
      <c r="R8">
        <v>1347171.4343091904</v>
      </c>
      <c r="S8">
        <v>1396807.7170758774</v>
      </c>
      <c r="T8">
        <v>1741895.3234652332</v>
      </c>
      <c r="U8">
        <v>1741895.3234652332</v>
      </c>
      <c r="V8">
        <v>1741895.3234652332</v>
      </c>
      <c r="W8">
        <v>2231659.8084651511</v>
      </c>
      <c r="X8">
        <v>2627796.6845211126</v>
      </c>
      <c r="Y8">
        <v>3267216.6843915805</v>
      </c>
      <c r="Z8">
        <v>3666238.667995058</v>
      </c>
      <c r="AA8">
        <v>3684029.5591450408</v>
      </c>
      <c r="AB8">
        <v>2733538.6670165034</v>
      </c>
      <c r="AC8">
        <v>5247345.8361693956</v>
      </c>
      <c r="AD8">
        <v>3958422.4622098031</v>
      </c>
      <c r="AE8">
        <v>4346736.1010942962</v>
      </c>
      <c r="AF8">
        <v>3984352.0197550422</v>
      </c>
      <c r="AG8">
        <v>4692292.1712062052</v>
      </c>
      <c r="AH8">
        <v>5738568.1909031393</v>
      </c>
      <c r="AI8">
        <v>7377742.4943069555</v>
      </c>
      <c r="AJ8">
        <v>6550290.8761975411</v>
      </c>
      <c r="AK8">
        <v>8569273.4574868456</v>
      </c>
      <c r="AL8">
        <v>9633355.4856231101</v>
      </c>
      <c r="AM8">
        <v>10361566.615628373</v>
      </c>
      <c r="AN8">
        <v>9216227.9245222732</v>
      </c>
      <c r="AO8">
        <v>9319153.1117987856</v>
      </c>
      <c r="AP8">
        <v>12089076.520680957</v>
      </c>
      <c r="AQ8">
        <v>14587450.300673487</v>
      </c>
      <c r="AR8">
        <v>13699244.151544686</v>
      </c>
      <c r="AS8">
        <v>12526634.84041357</v>
      </c>
      <c r="AT8">
        <v>10985545.519709541</v>
      </c>
      <c r="AU8">
        <v>379257.11445347406</v>
      </c>
      <c r="AV8">
        <v>0</v>
      </c>
      <c r="AW8">
        <v>0</v>
      </c>
      <c r="AX8">
        <v>0</v>
      </c>
      <c r="AY8">
        <v>188772966.4159373</v>
      </c>
    </row>
    <row r="9" spans="1:57">
      <c r="G9">
        <f>G7-G8</f>
        <v>0</v>
      </c>
      <c r="H9">
        <f t="shared" ref="H9:AU9" si="0">H7-H8</f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si="0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758514.22890694812</v>
      </c>
      <c r="AU9">
        <f t="shared" si="0"/>
        <v>-379257.11445347406</v>
      </c>
    </row>
    <row r="10" spans="1:57">
      <c r="A10" t="s">
        <v>1807</v>
      </c>
      <c r="B10">
        <v>454286.08615739248</v>
      </c>
      <c r="C10">
        <v>454286.08615739248</v>
      </c>
      <c r="D10">
        <v>454286.08615739248</v>
      </c>
      <c r="E10">
        <v>454286.08615739248</v>
      </c>
      <c r="F10">
        <v>417943.19926480105</v>
      </c>
      <c r="G10">
        <v>417943.19926480105</v>
      </c>
      <c r="H10">
        <v>417943.19926480105</v>
      </c>
      <c r="I10">
        <v>417943.19926480105</v>
      </c>
      <c r="J10">
        <v>417943.19926480105</v>
      </c>
      <c r="K10">
        <v>417943.19926480105</v>
      </c>
      <c r="L10">
        <v>417943.19926480105</v>
      </c>
      <c r="M10">
        <v>417943.19926480105</v>
      </c>
      <c r="N10">
        <v>508800.41649627953</v>
      </c>
      <c r="O10">
        <v>508800.41649627953</v>
      </c>
      <c r="P10">
        <v>508800.41649627953</v>
      </c>
      <c r="Q10">
        <v>508800.41649627953</v>
      </c>
      <c r="R10">
        <v>908572.17231478496</v>
      </c>
      <c r="S10">
        <v>912867.17673008854</v>
      </c>
      <c r="T10">
        <v>1673589.8240051623</v>
      </c>
      <c r="U10">
        <v>2130023.4123702063</v>
      </c>
      <c r="V10">
        <v>1793718.9726513254</v>
      </c>
      <c r="W10">
        <v>505188.50782207854</v>
      </c>
      <c r="X10">
        <v>2938696.7121979063</v>
      </c>
      <c r="Y10">
        <v>3395016.0774460281</v>
      </c>
      <c r="Z10">
        <v>2998033.5036586062</v>
      </c>
      <c r="AA10">
        <v>3008856.729303583</v>
      </c>
      <c r="AB10">
        <v>2987210.2780136294</v>
      </c>
      <c r="AC10">
        <v>2251230.9341551987</v>
      </c>
      <c r="AD10">
        <v>3495539.8929936178</v>
      </c>
      <c r="AE10">
        <v>3596567.0575310057</v>
      </c>
      <c r="AF10">
        <v>3986255.254191617</v>
      </c>
      <c r="AG10">
        <v>3663045.3687166208</v>
      </c>
      <c r="AH10">
        <v>3160401.9696194427</v>
      </c>
      <c r="AI10">
        <v>2983843.2003669599</v>
      </c>
      <c r="AJ10">
        <v>2948531.4465164631</v>
      </c>
      <c r="AK10">
        <v>3528727.5996000874</v>
      </c>
      <c r="AL10">
        <v>3549731.9305500882</v>
      </c>
      <c r="AM10">
        <v>3507723.2686500871</v>
      </c>
      <c r="AN10">
        <v>3381697.2829500837</v>
      </c>
      <c r="AO10">
        <v>5830074.312331534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76331034.489419296</v>
      </c>
      <c r="AW10">
        <v>2343355.3746314691</v>
      </c>
      <c r="AX10">
        <v>2152059.2969828593</v>
      </c>
    </row>
    <row r="11" spans="1:57">
      <c r="A11" t="s">
        <v>1807</v>
      </c>
      <c r="B11">
        <v>454286.08615739254</v>
      </c>
      <c r="C11">
        <v>454286.08615739254</v>
      </c>
      <c r="D11">
        <v>454286.08615739254</v>
      </c>
      <c r="E11">
        <v>454286.08615739254</v>
      </c>
      <c r="F11">
        <v>417943.19926480105</v>
      </c>
      <c r="G11">
        <v>417943.19926480105</v>
      </c>
      <c r="H11">
        <v>417943.19926480105</v>
      </c>
      <c r="I11">
        <v>417943.19926480105</v>
      </c>
      <c r="J11">
        <v>417943.19926480105</v>
      </c>
      <c r="K11">
        <v>417943.19926480105</v>
      </c>
      <c r="L11">
        <v>417943.19926480105</v>
      </c>
      <c r="M11">
        <v>417943.19926480105</v>
      </c>
      <c r="N11">
        <v>508800.41649627965</v>
      </c>
      <c r="O11">
        <v>508800.41649627965</v>
      </c>
      <c r="P11">
        <v>508800.41649627965</v>
      </c>
      <c r="Q11">
        <v>508800.41649627965</v>
      </c>
      <c r="R11">
        <v>908572.17231478507</v>
      </c>
      <c r="S11">
        <v>912867.17673008842</v>
      </c>
      <c r="T11">
        <v>1673589.8240051623</v>
      </c>
      <c r="U11">
        <v>2130023.4123702063</v>
      </c>
      <c r="V11">
        <v>1688811.8533388553</v>
      </c>
      <c r="W11">
        <v>610095.62713454838</v>
      </c>
      <c r="X11">
        <v>2970216.9786164989</v>
      </c>
      <c r="Y11">
        <v>3325795.1396605079</v>
      </c>
      <c r="Z11">
        <v>3454448.2217069138</v>
      </c>
      <c r="AA11">
        <v>3491197.6708740084</v>
      </c>
      <c r="AB11">
        <v>2094718.6025244051</v>
      </c>
      <c r="AC11">
        <v>2204966.9500256898</v>
      </c>
      <c r="AD11">
        <v>3556575.8891354934</v>
      </c>
      <c r="AE11">
        <v>3535531.0613891301</v>
      </c>
      <c r="AF11">
        <v>3813301.2007376379</v>
      </c>
      <c r="AG11">
        <v>3835999.4221706004</v>
      </c>
      <c r="AH11">
        <v>3079811.4346219385</v>
      </c>
      <c r="AI11">
        <v>2951485.9581793575</v>
      </c>
      <c r="AJ11">
        <v>3061479.2237015697</v>
      </c>
      <c r="AK11">
        <v>4250471.5191457104</v>
      </c>
      <c r="AL11">
        <v>4577430.8667723034</v>
      </c>
      <c r="AM11">
        <v>4401375.8334349077</v>
      </c>
      <c r="AN11">
        <v>4225320.8000975111</v>
      </c>
      <c r="AO11">
        <v>0</v>
      </c>
      <c r="AP11">
        <v>0</v>
      </c>
      <c r="AQ11">
        <v>0</v>
      </c>
      <c r="AR11">
        <v>0</v>
      </c>
      <c r="AS11">
        <v>0</v>
      </c>
      <c r="AV11">
        <v>73949978.443420917</v>
      </c>
      <c r="AW11">
        <v>1.7615093383938074E-8</v>
      </c>
      <c r="AX11">
        <v>2189759.9683497874</v>
      </c>
    </row>
    <row r="12" spans="1:57">
      <c r="B12">
        <f>B10-B11</f>
        <v>0</v>
      </c>
      <c r="C12">
        <f t="shared" ref="C12:AO12" si="1">C10-C11</f>
        <v>0</v>
      </c>
      <c r="D12">
        <f t="shared" si="1"/>
        <v>0</v>
      </c>
      <c r="E12">
        <f t="shared" si="1"/>
        <v>0</v>
      </c>
      <c r="F12">
        <f t="shared" si="1"/>
        <v>0</v>
      </c>
      <c r="G12">
        <f t="shared" si="1"/>
        <v>0</v>
      </c>
      <c r="H12">
        <f t="shared" si="1"/>
        <v>0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>
        <f t="shared" si="1"/>
        <v>0</v>
      </c>
      <c r="O12">
        <f t="shared" si="1"/>
        <v>0</v>
      </c>
      <c r="P12">
        <f t="shared" si="1"/>
        <v>0</v>
      </c>
      <c r="Q12">
        <f t="shared" si="1"/>
        <v>0</v>
      </c>
      <c r="R12">
        <f t="shared" si="1"/>
        <v>0</v>
      </c>
      <c r="S12">
        <f t="shared" si="1"/>
        <v>0</v>
      </c>
      <c r="T12">
        <f t="shared" si="1"/>
        <v>0</v>
      </c>
      <c r="U12">
        <f t="shared" si="1"/>
        <v>0</v>
      </c>
      <c r="V12">
        <f t="shared" si="1"/>
        <v>104907.11931247008</v>
      </c>
      <c r="W12">
        <f t="shared" si="1"/>
        <v>-104907.11931246985</v>
      </c>
      <c r="X12">
        <f t="shared" si="1"/>
        <v>-31520.266418592539</v>
      </c>
      <c r="Y12">
        <f t="shared" si="1"/>
        <v>69220.937785520218</v>
      </c>
      <c r="Z12">
        <f t="shared" si="1"/>
        <v>-456414.71804830758</v>
      </c>
      <c r="AA12">
        <f t="shared" si="1"/>
        <v>-482340.94157042541</v>
      </c>
      <c r="AB12">
        <f t="shared" si="1"/>
        <v>892491.67548922426</v>
      </c>
      <c r="AC12">
        <f t="shared" si="1"/>
        <v>46263.984129508957</v>
      </c>
      <c r="AD12">
        <f t="shared" si="1"/>
        <v>-61035.996141875628</v>
      </c>
      <c r="AE12">
        <f t="shared" si="1"/>
        <v>61035.996141875628</v>
      </c>
      <c r="AF12">
        <f t="shared" si="1"/>
        <v>172954.05345397908</v>
      </c>
      <c r="AG12">
        <f t="shared" si="1"/>
        <v>-172954.05345397955</v>
      </c>
      <c r="AH12">
        <f t="shared" si="1"/>
        <v>80590.534997504205</v>
      </c>
      <c r="AI12">
        <f t="shared" si="1"/>
        <v>32357.242187602445</v>
      </c>
      <c r="AJ12">
        <f t="shared" si="1"/>
        <v>-112947.77718510665</v>
      </c>
      <c r="AK12">
        <f t="shared" si="1"/>
        <v>-721743.91954562301</v>
      </c>
      <c r="AL12">
        <f t="shared" si="1"/>
        <v>-1027698.9362222152</v>
      </c>
      <c r="AM12">
        <f t="shared" si="1"/>
        <v>-893652.56478482066</v>
      </c>
      <c r="AN12">
        <f t="shared" si="1"/>
        <v>-843623.51714742742</v>
      </c>
      <c r="AO12">
        <f t="shared" si="1"/>
        <v>5830074.312331534</v>
      </c>
    </row>
    <row r="15" spans="1:57">
      <c r="N15" s="87">
        <v>0</v>
      </c>
      <c r="O15" s="87">
        <v>-14783.715184252709</v>
      </c>
      <c r="P15" s="87">
        <v>-2491.6373906043891</v>
      </c>
      <c r="Q15" s="87">
        <v>-6810.4755343186644</v>
      </c>
      <c r="R15" s="87">
        <v>0</v>
      </c>
      <c r="S15" s="87">
        <v>-8637.6762874285487</v>
      </c>
      <c r="T15" s="87">
        <v>-1661.0915937362595</v>
      </c>
      <c r="U15" s="87"/>
    </row>
    <row r="16" spans="1:57">
      <c r="N16" s="87">
        <v>-194419.55744415548</v>
      </c>
      <c r="O16" s="87">
        <v>-554871.31351291877</v>
      </c>
      <c r="P16" s="87">
        <v>-102076.86978929656</v>
      </c>
      <c r="Q16" s="87">
        <v>-342557.48437164375</v>
      </c>
      <c r="R16" s="87">
        <v>-94204.348746721342</v>
      </c>
      <c r="S16" s="87">
        <v>-370121.61133575463</v>
      </c>
      <c r="T16" s="87">
        <v>-4238.293464007058</v>
      </c>
      <c r="U16" s="87"/>
    </row>
    <row r="17" spans="14:21">
      <c r="N17" s="87">
        <v>0</v>
      </c>
      <c r="O17" s="87">
        <v>4805.5594143625303</v>
      </c>
      <c r="P17" s="87">
        <v>-571.86053302913194</v>
      </c>
      <c r="Q17" s="87">
        <v>-708.59295329707595</v>
      </c>
      <c r="R17" s="87">
        <v>0</v>
      </c>
      <c r="S17" s="87">
        <v>649.99292380287102</v>
      </c>
      <c r="T17" s="87">
        <v>1554.8547209253588</v>
      </c>
      <c r="U17" s="87"/>
    </row>
    <row r="18" spans="14:21">
      <c r="N18" s="87">
        <v>33751.986605861297</v>
      </c>
      <c r="O18" s="87">
        <v>-65538.912889342304</v>
      </c>
      <c r="P18" s="87">
        <v>-1364.14151095598</v>
      </c>
      <c r="Q18" s="87">
        <v>-30324.307542716801</v>
      </c>
      <c r="R18" s="87">
        <v>-1772.1535452067301</v>
      </c>
      <c r="S18" s="87">
        <v>-32071.9511744786</v>
      </c>
      <c r="T18" s="87">
        <v>-132.99370389606301</v>
      </c>
      <c r="U18" s="87"/>
    </row>
    <row r="19" spans="14:21">
      <c r="N19" s="87"/>
      <c r="O19" s="87"/>
      <c r="P19" s="87"/>
      <c r="Q19" s="87"/>
      <c r="R19" s="87"/>
      <c r="S19" s="87"/>
      <c r="T19" s="87"/>
      <c r="U19" s="87">
        <v>-3209.3490384314355</v>
      </c>
    </row>
    <row r="20" spans="14:21">
      <c r="N20" s="87"/>
      <c r="O20" s="87"/>
      <c r="P20" s="87"/>
      <c r="Q20" s="87"/>
      <c r="R20" s="87"/>
      <c r="S20" s="87"/>
      <c r="T20" s="87"/>
      <c r="U20" s="87">
        <v>-23736.689497555577</v>
      </c>
    </row>
    <row r="22" spans="14:21">
      <c r="N22" s="87">
        <v>-14783.715184252709</v>
      </c>
      <c r="O22" s="87">
        <v>-2491.6373906043891</v>
      </c>
      <c r="P22" s="87">
        <v>-6810.4755343186644</v>
      </c>
      <c r="Q22" s="87">
        <v>0</v>
      </c>
      <c r="R22" s="87">
        <v>-8637.6762874285487</v>
      </c>
      <c r="S22" s="87">
        <v>-1661.0915937362595</v>
      </c>
      <c r="T22" s="87">
        <v>-1661.0915937362595</v>
      </c>
    </row>
    <row r="23" spans="14:21">
      <c r="N23" s="87">
        <v>-554871.31351291877</v>
      </c>
      <c r="O23" s="87">
        <v>-102076.86978929656</v>
      </c>
      <c r="P23" s="87">
        <v>-342557.48437164375</v>
      </c>
      <c r="Q23" s="87">
        <v>-94204.348746721342</v>
      </c>
      <c r="R23" s="87">
        <v>-370121.61133575463</v>
      </c>
      <c r="S23" s="87">
        <v>-4238.293464007058</v>
      </c>
      <c r="T23" s="87">
        <v>-4238.293464007058</v>
      </c>
    </row>
    <row r="24" spans="14:21">
      <c r="N24" s="87">
        <v>4805.5594143625303</v>
      </c>
      <c r="O24" s="87">
        <v>-571.86053302913194</v>
      </c>
      <c r="P24" s="87">
        <v>-708.59295329707595</v>
      </c>
      <c r="Q24" s="87">
        <v>0</v>
      </c>
      <c r="R24" s="87">
        <v>649.99292380287102</v>
      </c>
      <c r="S24" s="87">
        <v>1554.8547209253588</v>
      </c>
      <c r="T24" s="87">
        <v>1554.8547209253588</v>
      </c>
    </row>
    <row r="25" spans="14:21">
      <c r="N25" s="87">
        <v>-65538.912889342304</v>
      </c>
      <c r="O25" s="87">
        <v>-1364.14151095598</v>
      </c>
      <c r="P25" s="87">
        <v>-30324.307542716801</v>
      </c>
      <c r="Q25" s="87">
        <v>-1772.1535452067301</v>
      </c>
      <c r="R25" s="87">
        <v>-32071.9511744786</v>
      </c>
      <c r="S25" s="87">
        <v>-132.99370389606301</v>
      </c>
      <c r="T25" s="87">
        <v>-132.99370389606301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9E79-1315-47C1-B058-8ACCA841BE5E}">
  <sheetPr codeName="Sheet69"/>
  <dimension ref="A1:BA36"/>
  <sheetViews>
    <sheetView zoomScale="75" zoomScaleNormal="75" workbookViewId="0">
      <pane xSplit="1" ySplit="5" topLeftCell="H6" activePane="bottomRight" state="frozen"/>
      <selection pane="bottomRight" activeCell="AE37" sqref="AE37"/>
      <selection pane="bottomLeft" activeCell="A5" sqref="A5"/>
      <selection pane="topRight" activeCell="B1" sqref="B1"/>
    </sheetView>
  </sheetViews>
  <sheetFormatPr defaultRowHeight="13.15"/>
  <cols>
    <col min="1" max="1" width="32.42578125" customWidth="1"/>
    <col min="2" max="2" width="15.5703125" customWidth="1"/>
    <col min="3" max="3" width="10.7109375" bestFit="1" customWidth="1"/>
    <col min="31" max="31" width="11.28515625" bestFit="1" customWidth="1"/>
    <col min="32" max="32" width="9.5703125" bestFit="1" customWidth="1"/>
    <col min="36" max="36" width="10.28515625" bestFit="1" customWidth="1"/>
    <col min="37" max="37" width="9.5703125" bestFit="1" customWidth="1"/>
    <col min="38" max="38" width="10.7109375" bestFit="1" customWidth="1"/>
    <col min="40" max="41" width="9.7109375" bestFit="1" customWidth="1"/>
    <col min="42" max="42" width="9.5703125" bestFit="1" customWidth="1"/>
    <col min="43" max="43" width="10.7109375" bestFit="1" customWidth="1"/>
    <col min="44" max="45" width="9.5703125" bestFit="1" customWidth="1"/>
    <col min="46" max="46" width="11.85546875" customWidth="1"/>
    <col min="47" max="47" width="13.28515625" customWidth="1"/>
    <col min="48" max="48" width="9.5703125" bestFit="1" customWidth="1"/>
    <col min="51" max="52" width="9.5703125" bestFit="1" customWidth="1"/>
    <col min="53" max="53" width="10.28515625" bestFit="1" customWidth="1"/>
  </cols>
  <sheetData>
    <row r="1" spans="1:49">
      <c r="A1" t="s">
        <v>2133</v>
      </c>
    </row>
    <row r="2" spans="1:49">
      <c r="D2" s="1865">
        <f>'Grasmere Pig Cost'!B76</f>
        <v>5.6053811659192813E-2</v>
      </c>
      <c r="E2" s="1865">
        <f>'Grasmere Pig Cost'!C76</f>
        <v>5.6053811659192813E-2</v>
      </c>
      <c r="F2" s="1865">
        <f>'Grasmere Pig Cost'!D76</f>
        <v>5.6053811659192813E-2</v>
      </c>
      <c r="G2" s="1865">
        <f>'Grasmere Pig Cost'!E76</f>
        <v>5.6053811659192813E-2</v>
      </c>
      <c r="H2" s="1865">
        <f>'Grasmere Pig Cost'!F76</f>
        <v>5.1569506726457381E-2</v>
      </c>
      <c r="I2" s="1865">
        <f>'Grasmere Pig Cost'!G76</f>
        <v>5.1569506726457381E-2</v>
      </c>
      <c r="J2" s="1865">
        <f>'Grasmere Pig Cost'!H76</f>
        <v>5.1569506726457381E-2</v>
      </c>
      <c r="K2" s="1865">
        <f>'Grasmere Pig Cost'!I76</f>
        <v>5.1569506726457381E-2</v>
      </c>
      <c r="L2" s="1865">
        <f>'Grasmere Pig Cost'!J76</f>
        <v>5.1569506726457381E-2</v>
      </c>
      <c r="M2" s="1865">
        <f>'Grasmere Pig Cost'!K76</f>
        <v>5.1569506726457381E-2</v>
      </c>
      <c r="N2" s="1865">
        <f>'Grasmere Pig Cost'!L76</f>
        <v>5.1569506726457381E-2</v>
      </c>
      <c r="O2" s="1865">
        <f>'Grasmere Pig Cost'!M76</f>
        <v>5.1569506726457381E-2</v>
      </c>
      <c r="P2" s="1865">
        <f>'Grasmere Pig Cost'!N76</f>
        <v>6.2780269058295951E-2</v>
      </c>
      <c r="Q2" s="1865">
        <f>'Grasmere Pig Cost'!O76</f>
        <v>6.2780269058295951E-2</v>
      </c>
      <c r="R2" s="1865">
        <f>'Grasmere Pig Cost'!P76</f>
        <v>6.2780269058295951E-2</v>
      </c>
      <c r="S2" s="1865">
        <f>'Grasmere Pig Cost'!Q76</f>
        <v>6.2780269058295951E-2</v>
      </c>
      <c r="T2" s="1865">
        <f>'Grasmere Pig Cost'!R76</f>
        <v>0.11210762331838563</v>
      </c>
      <c r="U2" s="1865">
        <f>'Grasmere Pig Cost'!S76</f>
        <v>0.19354838709677419</v>
      </c>
      <c r="V2" s="1865">
        <f>'Grasmere Pig Cost'!T76</f>
        <v>0.35483870967741937</v>
      </c>
      <c r="W2" s="1865">
        <f>'Grasmere Pig Cost'!U76</f>
        <v>0.45161290322580644</v>
      </c>
      <c r="X2" s="1865">
        <f>'Grasmere Pig Cost'!V76</f>
        <v>1</v>
      </c>
      <c r="Y2" s="1865">
        <f>'Grasmere Pig Cost'!W76</f>
        <v>0.23148788492248107</v>
      </c>
      <c r="Z2" s="1865">
        <f>'Grasmere Pig Cost'!X76</f>
        <v>0.39891108903670358</v>
      </c>
      <c r="AA2" s="1865">
        <f>'Grasmere Pig Cost'!Y76</f>
        <v>0.36960102604081529</v>
      </c>
      <c r="AB2" s="1865">
        <f>'Grasmere Pig Cost'!Z76</f>
        <v>0.21010692807974368</v>
      </c>
      <c r="AC2" s="1865">
        <f>'Grasmere Pig Cost'!AA76</f>
        <v>0.23848611034737882</v>
      </c>
      <c r="AD2" s="1865">
        <f>'Grasmere Pig Cost'!AB76</f>
        <v>0.25494773571417861</v>
      </c>
      <c r="AE2" s="1865">
        <f>'Grasmere Pig Cost'!AC76</f>
        <v>0.29645922585869899</v>
      </c>
      <c r="AF2" s="1865">
        <f>'Grasmere Pig Cost'!AD76</f>
        <v>0.47495595628571846</v>
      </c>
      <c r="AG2" s="1865">
        <f>'Grasmere Pig Cost'!AE76</f>
        <v>0.52504404371428159</v>
      </c>
      <c r="AH2" s="1865">
        <f>'Grasmere Pig Cost'!AF76</f>
        <v>0.47804165488643857</v>
      </c>
      <c r="AI2" s="1865">
        <f>'Grasmere Pig Cost'!AG76</f>
        <v>0.52195834511356143</v>
      </c>
      <c r="AJ2" s="1865">
        <f>'Grasmere Pig Cost'!AH76</f>
        <v>0.4902436146361871</v>
      </c>
      <c r="AK2" s="1865">
        <f>'Grasmere Pig Cost'!AI76</f>
        <v>0.50975638536381285</v>
      </c>
      <c r="AL2" s="1865">
        <f>'Grasmere Pig Cost'!AJ76</f>
        <v>0.17664745238237242</v>
      </c>
      <c r="AM2" s="1865">
        <f>'Grasmere Pig Cost'!AK76</f>
        <v>0.18869526472559126</v>
      </c>
      <c r="AN2" s="1865">
        <f>'Grasmere Pig Cost'!AL76</f>
        <v>0.20480930144440429</v>
      </c>
      <c r="AO2" s="1865">
        <f>'Grasmere Pig Cost'!AM76</f>
        <v>0.21545024927113191</v>
      </c>
      <c r="AP2" s="1865">
        <f>'Grasmere Pig Cost'!AN76</f>
        <v>0.2143977321765001</v>
      </c>
      <c r="AQ2" s="1865">
        <f>'Grasmere Pig Cost'!AO76</f>
        <v>0</v>
      </c>
    </row>
    <row r="3" spans="1:49">
      <c r="A3">
        <f>'Grasmere Pig Cost'!A3</f>
        <v>0</v>
      </c>
      <c r="D3" s="1838" t="str">
        <f>'Grasmere Pig Cost'!B3</f>
        <v>DRY SOW</v>
      </c>
      <c r="E3" s="1838" t="str">
        <f>'Grasmere Pig Cost'!C3</f>
        <v>DRY SOW</v>
      </c>
      <c r="F3" s="1838" t="str">
        <f>'Grasmere Pig Cost'!D3</f>
        <v>DRY SOW</v>
      </c>
      <c r="G3" s="1838" t="str">
        <f>'Grasmere Pig Cost'!E3</f>
        <v>DRY SOW</v>
      </c>
      <c r="H3" s="1838" t="str">
        <f>'Grasmere Pig Cost'!F3</f>
        <v>DRY SOW</v>
      </c>
      <c r="I3" s="1838" t="str">
        <f>'Grasmere Pig Cost'!G3</f>
        <v>DRY SOW</v>
      </c>
      <c r="J3" s="1838" t="str">
        <f>'Grasmere Pig Cost'!H3</f>
        <v>DRY SOW</v>
      </c>
      <c r="K3" s="1838" t="str">
        <f>'Grasmere Pig Cost'!I3</f>
        <v>DRY SOW</v>
      </c>
      <c r="L3" s="1838" t="str">
        <f>'Grasmere Pig Cost'!J3</f>
        <v>DRY SOW</v>
      </c>
      <c r="M3" s="1838" t="str">
        <f>'Grasmere Pig Cost'!K3</f>
        <v>DRY SOW</v>
      </c>
      <c r="N3" s="1838" t="str">
        <f>'Grasmere Pig Cost'!L3</f>
        <v>DRY SOW</v>
      </c>
      <c r="O3" s="1838" t="str">
        <f>'Grasmere Pig Cost'!M3</f>
        <v>DRY SOW</v>
      </c>
      <c r="P3" s="1838" t="str">
        <f>'Grasmere Pig Cost'!N3</f>
        <v>DRY SOW</v>
      </c>
      <c r="Q3" s="1838" t="str">
        <f>'Grasmere Pig Cost'!O3</f>
        <v>DRY SOW</v>
      </c>
      <c r="R3" s="1838" t="str">
        <f>'Grasmere Pig Cost'!P3</f>
        <v>DRY SOW</v>
      </c>
      <c r="S3" s="1838" t="str">
        <f>'Grasmere Pig Cost'!Q3</f>
        <v>DRY SOW</v>
      </c>
      <c r="T3" t="str">
        <f>'Grasmere Pig Cost'!R3</f>
        <v>Flush</v>
      </c>
      <c r="U3" s="1867" t="str">
        <f>'Grasmere Pig Cost'!S3</f>
        <v>LACTATE</v>
      </c>
      <c r="V3" s="1867" t="str">
        <f>'Grasmere Pig Cost'!T3</f>
        <v>LACTATE</v>
      </c>
      <c r="W3" s="1867" t="str">
        <f>'Grasmere Pig Cost'!U3</f>
        <v>LACTATE</v>
      </c>
      <c r="X3" t="str">
        <f>'Grasmere Pig Cost'!V3</f>
        <v>Early Wean</v>
      </c>
      <c r="Y3" t="str">
        <f>'Grasmere Pig Cost'!W3</f>
        <v>CREEP</v>
      </c>
      <c r="Z3" t="str">
        <f>'Grasmere Pig Cost'!X3</f>
        <v>CREEP</v>
      </c>
      <c r="AA3" t="str">
        <f>'Grasmere Pig Cost'!Y3</f>
        <v>CREEP</v>
      </c>
      <c r="AB3" t="str">
        <f>'Grasmere Pig Cost'!Z3</f>
        <v>WEANER</v>
      </c>
      <c r="AC3" t="str">
        <f>'Grasmere Pig Cost'!AA3</f>
        <v>WEANER</v>
      </c>
      <c r="AD3" t="str">
        <f>'Grasmere Pig Cost'!AB3</f>
        <v>WEANER</v>
      </c>
      <c r="AE3" t="str">
        <f>'Grasmere Pig Cost'!AC3</f>
        <v>WEANER</v>
      </c>
      <c r="AF3" t="str">
        <f>'Grasmere Pig Cost'!AD3</f>
        <v>GROWER 1</v>
      </c>
      <c r="AG3" t="str">
        <f>'Grasmere Pig Cost'!AE3</f>
        <v>GROWER 1</v>
      </c>
      <c r="AH3" t="str">
        <f>'Grasmere Pig Cost'!AF3</f>
        <v>GROWER 2</v>
      </c>
      <c r="AI3" t="str">
        <f>'Grasmere Pig Cost'!AG3</f>
        <v>GROWER 2</v>
      </c>
      <c r="AJ3" t="str">
        <f>'Grasmere Pig Cost'!AH3</f>
        <v>GROWER 3</v>
      </c>
      <c r="AK3" t="str">
        <f>'Grasmere Pig Cost'!AI3</f>
        <v>GROWER 3</v>
      </c>
      <c r="AL3" t="str">
        <f>'Grasmere Pig Cost'!AJ3</f>
        <v>GROWER 3</v>
      </c>
      <c r="AM3" t="str">
        <f>'Grasmere Pig Cost'!AK3</f>
        <v>FINISHER</v>
      </c>
      <c r="AN3" t="str">
        <f>'Grasmere Pig Cost'!AL3</f>
        <v>FINISHER</v>
      </c>
      <c r="AO3" t="str">
        <f>'Grasmere Pig Cost'!AM3</f>
        <v>FINISHER</v>
      </c>
      <c r="AP3" t="str">
        <f>'Grasmere Pig Cost'!AN3</f>
        <v>FINISHER</v>
      </c>
      <c r="AQ3" t="str">
        <f>'Grasmere Pig Cost'!AO3</f>
        <v>FINISHER</v>
      </c>
    </row>
    <row r="4" spans="1:49">
      <c r="D4">
        <f>'Triple C Pigs'!B2</f>
        <v>1</v>
      </c>
      <c r="E4">
        <f>'Triple C Pigs'!C2</f>
        <v>2</v>
      </c>
      <c r="F4">
        <f>'Triple C Pigs'!D2</f>
        <v>3</v>
      </c>
      <c r="G4">
        <f>'Triple C Pigs'!E2</f>
        <v>4</v>
      </c>
      <c r="H4">
        <f>'Triple C Pigs'!F2</f>
        <v>5</v>
      </c>
      <c r="I4">
        <f>'Triple C Pigs'!G2</f>
        <v>6</v>
      </c>
      <c r="J4">
        <f>'Triple C Pigs'!H2</f>
        <v>7</v>
      </c>
      <c r="K4">
        <f>'Triple C Pigs'!I2</f>
        <v>8</v>
      </c>
      <c r="L4">
        <f>'Triple C Pigs'!J2</f>
        <v>9</v>
      </c>
      <c r="M4">
        <f>'Triple C Pigs'!K2</f>
        <v>10</v>
      </c>
      <c r="N4">
        <f>'Triple C Pigs'!L2</f>
        <v>11</v>
      </c>
      <c r="O4">
        <f>'Triple C Pigs'!M2</f>
        <v>12</v>
      </c>
      <c r="P4">
        <f>'Triple C Pigs'!N2</f>
        <v>13</v>
      </c>
      <c r="Q4">
        <f>'Triple C Pigs'!O2</f>
        <v>14</v>
      </c>
      <c r="R4">
        <f>'Triple C Pigs'!P2</f>
        <v>15</v>
      </c>
      <c r="S4">
        <f>'Triple C Pigs'!Q2</f>
        <v>16</v>
      </c>
      <c r="T4" s="680">
        <f>'Triple C Pigs'!R2</f>
        <v>17</v>
      </c>
      <c r="U4">
        <f>'Triple C Pigs'!S2</f>
        <v>18</v>
      </c>
      <c r="V4">
        <f>'Triple C Pigs'!T2</f>
        <v>19</v>
      </c>
      <c r="W4">
        <f>'Triple C Pigs'!U2</f>
        <v>20</v>
      </c>
      <c r="X4" s="680">
        <f>'Triple C Pigs'!V2</f>
        <v>21</v>
      </c>
      <c r="Y4">
        <f>'Triple C Pigs'!W2</f>
        <v>22</v>
      </c>
      <c r="Z4">
        <f>'Triple C Pigs'!X2</f>
        <v>23</v>
      </c>
      <c r="AA4">
        <f>'Triple C Pigs'!Y2</f>
        <v>24</v>
      </c>
      <c r="AB4">
        <f>'Triple C Pigs'!Z2</f>
        <v>25</v>
      </c>
      <c r="AC4">
        <f>'Triple C Pigs'!AA2</f>
        <v>26</v>
      </c>
      <c r="AD4">
        <f>'Triple C Pigs'!AB2</f>
        <v>27</v>
      </c>
      <c r="AE4">
        <f>'Triple C Pigs'!AC2</f>
        <v>28</v>
      </c>
      <c r="AF4">
        <f>'Triple C Pigs'!AD2</f>
        <v>29</v>
      </c>
      <c r="AG4">
        <f>'Triple C Pigs'!AE2</f>
        <v>30</v>
      </c>
      <c r="AH4">
        <f>'Triple C Pigs'!AF2</f>
        <v>31</v>
      </c>
      <c r="AI4">
        <f>'Triple C Pigs'!AG2</f>
        <v>32</v>
      </c>
      <c r="AJ4">
        <f>'Triple C Pigs'!AH2</f>
        <v>33</v>
      </c>
      <c r="AK4">
        <f>'Triple C Pigs'!AI2</f>
        <v>34</v>
      </c>
      <c r="AL4">
        <f>'Triple C Pigs'!AJ2</f>
        <v>35</v>
      </c>
      <c r="AM4">
        <f>'Triple C Pigs'!AK2</f>
        <v>36</v>
      </c>
      <c r="AN4">
        <f>'Triple C Pigs'!AL2</f>
        <v>37</v>
      </c>
      <c r="AO4">
        <f>'Triple C Pigs'!AM2</f>
        <v>38</v>
      </c>
      <c r="AP4">
        <f>'Triple C Pigs'!AN2</f>
        <v>39</v>
      </c>
      <c r="AQ4">
        <f>'Triple C Pigs'!AO2</f>
        <v>40</v>
      </c>
    </row>
    <row r="5" spans="1:49">
      <c r="A5" t="str">
        <f>'Triple C Pigs'!A5</f>
        <v>batch Week</v>
      </c>
      <c r="C5" t="s">
        <v>183</v>
      </c>
      <c r="D5">
        <f>'Triple C Pigs'!B5</f>
        <v>-16</v>
      </c>
      <c r="E5">
        <f>'Triple C Pigs'!C5</f>
        <v>-15</v>
      </c>
      <c r="F5">
        <f>'Triple C Pigs'!D5</f>
        <v>-14</v>
      </c>
      <c r="G5">
        <f>'Triple C Pigs'!E5</f>
        <v>-13</v>
      </c>
      <c r="H5">
        <f>'Triple C Pigs'!F5</f>
        <v>-12</v>
      </c>
      <c r="I5">
        <f>'Triple C Pigs'!G5</f>
        <v>-11</v>
      </c>
      <c r="J5">
        <f>'Triple C Pigs'!H5</f>
        <v>-10</v>
      </c>
      <c r="K5">
        <f>'Triple C Pigs'!I5</f>
        <v>-9</v>
      </c>
      <c r="L5">
        <f>'Triple C Pigs'!J5</f>
        <v>-8</v>
      </c>
      <c r="M5">
        <f>'Triple C Pigs'!K5</f>
        <v>-7</v>
      </c>
      <c r="N5">
        <f>'Triple C Pigs'!L5</f>
        <v>-6</v>
      </c>
      <c r="O5">
        <f>'Triple C Pigs'!M5</f>
        <v>-5</v>
      </c>
      <c r="P5">
        <f>'Triple C Pigs'!N5</f>
        <v>-4</v>
      </c>
      <c r="Q5">
        <f>'Triple C Pigs'!O5</f>
        <v>-3</v>
      </c>
      <c r="R5">
        <f>'Triple C Pigs'!P5</f>
        <v>-2</v>
      </c>
      <c r="S5">
        <f>'Triple C Pigs'!Q5</f>
        <v>-1</v>
      </c>
      <c r="T5">
        <f>'Triple C Pigs'!R5</f>
        <v>0</v>
      </c>
      <c r="U5">
        <f>'Triple C Pigs'!S5</f>
        <v>1</v>
      </c>
      <c r="V5">
        <f>'Triple C Pigs'!T5</f>
        <v>2</v>
      </c>
      <c r="W5">
        <f>'Triple C Pigs'!U5</f>
        <v>3</v>
      </c>
      <c r="X5">
        <f>'Triple C Pigs'!V5</f>
        <v>4</v>
      </c>
      <c r="Y5">
        <f>'Triple C Pigs'!W5</f>
        <v>5</v>
      </c>
      <c r="Z5">
        <f>'Triple C Pigs'!X5</f>
        <v>6</v>
      </c>
      <c r="AA5">
        <f>'Triple C Pigs'!Y5</f>
        <v>7</v>
      </c>
      <c r="AB5">
        <f>'Triple C Pigs'!Z5</f>
        <v>8</v>
      </c>
      <c r="AC5">
        <f>'Triple C Pigs'!AA5</f>
        <v>9</v>
      </c>
      <c r="AD5">
        <f>'Triple C Pigs'!AB5</f>
        <v>10</v>
      </c>
      <c r="AE5">
        <f>'Triple C Pigs'!AC5</f>
        <v>11</v>
      </c>
      <c r="AF5">
        <f>'Triple C Pigs'!AD5</f>
        <v>12</v>
      </c>
      <c r="AG5">
        <f>'Triple C Pigs'!AE5</f>
        <v>13</v>
      </c>
      <c r="AH5">
        <f>'Triple C Pigs'!AF5</f>
        <v>14</v>
      </c>
      <c r="AI5">
        <f>'Triple C Pigs'!AG5</f>
        <v>15</v>
      </c>
      <c r="AJ5">
        <f>'Triple C Pigs'!AH5</f>
        <v>16</v>
      </c>
      <c r="AK5">
        <f>'Triple C Pigs'!AI5</f>
        <v>17</v>
      </c>
      <c r="AL5">
        <f>'Triple C Pigs'!AJ5</f>
        <v>18</v>
      </c>
      <c r="AM5">
        <f>'Triple C Pigs'!AK5</f>
        <v>19</v>
      </c>
      <c r="AN5">
        <f>'Triple C Pigs'!AL5</f>
        <v>20</v>
      </c>
      <c r="AO5">
        <f>'Triple C Pigs'!AM5</f>
        <v>21</v>
      </c>
      <c r="AP5">
        <f>'Triple C Pigs'!AN5</f>
        <v>22</v>
      </c>
      <c r="AQ5">
        <f>'Triple C Pigs'!AO5</f>
        <v>23</v>
      </c>
    </row>
    <row r="7" spans="1:49">
      <c r="A7" t="str">
        <f>'[107]Volume Sold'!B22</f>
        <v>Macropack Dry Sow (MS 1539 BR)</v>
      </c>
      <c r="B7" s="274">
        <v>45017</v>
      </c>
      <c r="C7" s="23">
        <f>'[107]Volume Sold'!D22</f>
        <v>3646.1291825783173</v>
      </c>
      <c r="X7" s="1866">
        <f t="shared" ref="X7:AN7" si="0">D2*$C$7</f>
        <v>204.37943848533163</v>
      </c>
      <c r="Y7" s="1866">
        <f t="shared" si="0"/>
        <v>204.37943848533163</v>
      </c>
      <c r="Z7" s="1866">
        <f t="shared" si="0"/>
        <v>204.37943848533163</v>
      </c>
      <c r="AA7" s="1866">
        <f t="shared" si="0"/>
        <v>204.37943848533163</v>
      </c>
      <c r="AB7" s="1866">
        <f t="shared" si="0"/>
        <v>188.02908340650509</v>
      </c>
      <c r="AC7" s="1866">
        <f t="shared" si="0"/>
        <v>188.02908340650509</v>
      </c>
      <c r="AD7" s="1866">
        <f t="shared" si="0"/>
        <v>188.02908340650509</v>
      </c>
      <c r="AE7" s="1866">
        <f t="shared" si="0"/>
        <v>188.02908340650509</v>
      </c>
      <c r="AF7" s="1866">
        <f t="shared" si="0"/>
        <v>188.02908340650509</v>
      </c>
      <c r="AG7" s="1866">
        <f t="shared" si="0"/>
        <v>188.02908340650509</v>
      </c>
      <c r="AH7" s="1866">
        <f t="shared" si="0"/>
        <v>188.02908340650509</v>
      </c>
      <c r="AI7" s="1866">
        <f t="shared" si="0"/>
        <v>188.02908340650509</v>
      </c>
      <c r="AJ7" s="1866">
        <f t="shared" si="0"/>
        <v>228.90497110357146</v>
      </c>
      <c r="AK7" s="1866">
        <f t="shared" si="0"/>
        <v>228.90497110357146</v>
      </c>
      <c r="AL7" s="1866">
        <f t="shared" si="0"/>
        <v>228.90497110357146</v>
      </c>
      <c r="AM7" s="1866">
        <f t="shared" si="0"/>
        <v>228.90497110357146</v>
      </c>
      <c r="AN7" s="1866">
        <f t="shared" si="0"/>
        <v>408.75887697066327</v>
      </c>
      <c r="AO7" s="1866"/>
      <c r="AP7" s="24"/>
      <c r="AQ7" s="24"/>
    </row>
    <row r="8" spans="1:49">
      <c r="B8" s="274">
        <v>45047</v>
      </c>
      <c r="C8" s="23">
        <f>'[107]Volume Sold'!$E$22</f>
        <v>7095.4319225572744</v>
      </c>
      <c r="X8" s="1866"/>
      <c r="Y8" s="1866"/>
      <c r="Z8" s="1866"/>
      <c r="AA8" s="1866"/>
      <c r="AB8" s="1866">
        <f>D2*$C$8</f>
        <v>397.72600462764984</v>
      </c>
      <c r="AC8" s="1866">
        <f t="shared" ref="AC8:AR8" si="1">E2*$C$8</f>
        <v>397.72600462764984</v>
      </c>
      <c r="AD8" s="1866">
        <f t="shared" si="1"/>
        <v>397.72600462764984</v>
      </c>
      <c r="AE8" s="1866">
        <f t="shared" si="1"/>
        <v>397.72600462764984</v>
      </c>
      <c r="AF8" s="1866">
        <f t="shared" si="1"/>
        <v>365.9079242574378</v>
      </c>
      <c r="AG8" s="1866">
        <f t="shared" si="1"/>
        <v>365.9079242574378</v>
      </c>
      <c r="AH8" s="1866">
        <f t="shared" si="1"/>
        <v>365.9079242574378</v>
      </c>
      <c r="AI8" s="1866">
        <f t="shared" si="1"/>
        <v>365.9079242574378</v>
      </c>
      <c r="AJ8" s="1866">
        <f t="shared" si="1"/>
        <v>365.9079242574378</v>
      </c>
      <c r="AK8" s="1866">
        <f t="shared" si="1"/>
        <v>365.9079242574378</v>
      </c>
      <c r="AL8" s="1866">
        <f t="shared" si="1"/>
        <v>365.9079242574378</v>
      </c>
      <c r="AM8" s="1866">
        <f t="shared" si="1"/>
        <v>365.9079242574378</v>
      </c>
      <c r="AN8" s="1866">
        <f t="shared" si="1"/>
        <v>445.45312518296782</v>
      </c>
      <c r="AO8" s="1866">
        <f t="shared" si="1"/>
        <v>445.45312518296782</v>
      </c>
      <c r="AP8" s="1866">
        <f t="shared" si="1"/>
        <v>445.45312518296782</v>
      </c>
      <c r="AQ8" s="1866">
        <f t="shared" si="1"/>
        <v>445.45312518296782</v>
      </c>
      <c r="AR8" s="1866">
        <f t="shared" si="1"/>
        <v>795.45200925529969</v>
      </c>
    </row>
    <row r="9" spans="1:49">
      <c r="B9" s="274">
        <v>45078</v>
      </c>
      <c r="C9" s="23">
        <f>'[107]Volume Sold'!$F$22</f>
        <v>1839.1979062563194</v>
      </c>
      <c r="X9" s="1866"/>
      <c r="Y9" s="1866"/>
      <c r="Z9" s="1866"/>
      <c r="AA9" s="1866"/>
      <c r="AB9" s="1866"/>
      <c r="AC9" s="1866"/>
      <c r="AD9" s="1866"/>
      <c r="AE9" s="1866"/>
      <c r="AF9" s="1866"/>
      <c r="AG9" s="1866">
        <f>D2*$C$9</f>
        <v>103.09405304127348</v>
      </c>
      <c r="AH9" s="1866">
        <f t="shared" ref="AH9:AV9" si="2">E2*$C$9</f>
        <v>103.09405304127348</v>
      </c>
      <c r="AI9" s="1866">
        <f t="shared" si="2"/>
        <v>103.09405304127348</v>
      </c>
      <c r="AJ9" s="1866">
        <f t="shared" si="2"/>
        <v>103.09405304127348</v>
      </c>
      <c r="AK9" s="1866">
        <f t="shared" si="2"/>
        <v>94.846528797971587</v>
      </c>
      <c r="AL9" s="1866">
        <f t="shared" si="2"/>
        <v>94.846528797971587</v>
      </c>
      <c r="AM9" s="1866">
        <f t="shared" si="2"/>
        <v>94.846528797971587</v>
      </c>
      <c r="AN9" s="1866">
        <f t="shared" si="2"/>
        <v>94.846528797971587</v>
      </c>
      <c r="AO9" s="1866">
        <f t="shared" si="2"/>
        <v>94.846528797971587</v>
      </c>
      <c r="AP9" s="1866">
        <f t="shared" si="2"/>
        <v>94.846528797971587</v>
      </c>
      <c r="AQ9" s="1866">
        <f t="shared" si="2"/>
        <v>94.846528797971587</v>
      </c>
      <c r="AR9" s="1866">
        <f t="shared" si="2"/>
        <v>94.846528797971587</v>
      </c>
      <c r="AS9" s="1866">
        <f t="shared" si="2"/>
        <v>115.46533940622631</v>
      </c>
      <c r="AT9" s="1866">
        <f t="shared" si="2"/>
        <v>115.46533940622631</v>
      </c>
      <c r="AU9" s="1866">
        <f t="shared" si="2"/>
        <v>115.46533940622631</v>
      </c>
      <c r="AV9" s="1866">
        <f t="shared" si="2"/>
        <v>115.46533940622631</v>
      </c>
      <c r="AW9" s="1866">
        <f>T2*$C$9</f>
        <v>206.18810608254697</v>
      </c>
    </row>
    <row r="10" spans="1:49">
      <c r="B10" s="274"/>
      <c r="C10" s="23"/>
      <c r="X10" s="1866"/>
      <c r="Y10" s="1866"/>
      <c r="Z10" s="1866"/>
      <c r="AA10" s="1866"/>
      <c r="AB10" s="1866"/>
      <c r="AC10" s="1866"/>
      <c r="AD10" s="1866"/>
      <c r="AE10" s="1866"/>
      <c r="AF10" s="1866"/>
      <c r="AG10" s="1866"/>
      <c r="AH10" s="1866"/>
      <c r="AI10" s="1866"/>
      <c r="AJ10" s="1866"/>
      <c r="AK10" s="1866"/>
      <c r="AL10" s="1866"/>
      <c r="AM10" s="1866"/>
      <c r="AN10" s="1866"/>
      <c r="AO10" s="1866"/>
      <c r="AP10" s="24"/>
      <c r="AQ10" s="24"/>
    </row>
    <row r="11" spans="1:49">
      <c r="A11" t="str">
        <f>'[107]Volume Sold'!B23</f>
        <v>Macropack Dry Gilt (MS 1538 BR)</v>
      </c>
      <c r="B11" s="274">
        <v>45017</v>
      </c>
      <c r="C11" s="23">
        <f>'[107]Volume Sold'!D23</f>
        <v>327.75608251953042</v>
      </c>
      <c r="X11" s="1866">
        <f>D2*$C$11</f>
        <v>18.371977719704617</v>
      </c>
      <c r="Y11" s="1866">
        <f t="shared" ref="Y11:AN11" si="3">E2*$C$11</f>
        <v>18.371977719704617</v>
      </c>
      <c r="Z11" s="1866">
        <f t="shared" si="3"/>
        <v>18.371977719704617</v>
      </c>
      <c r="AA11" s="1866">
        <f t="shared" si="3"/>
        <v>18.371977719704617</v>
      </c>
      <c r="AB11" s="1866">
        <f t="shared" si="3"/>
        <v>16.902219502128244</v>
      </c>
      <c r="AC11" s="1866">
        <f t="shared" si="3"/>
        <v>16.902219502128244</v>
      </c>
      <c r="AD11" s="1866">
        <f t="shared" si="3"/>
        <v>16.902219502128244</v>
      </c>
      <c r="AE11" s="1866">
        <f t="shared" si="3"/>
        <v>16.902219502128244</v>
      </c>
      <c r="AF11" s="1866">
        <f t="shared" si="3"/>
        <v>16.902219502128244</v>
      </c>
      <c r="AG11" s="1866">
        <f t="shared" si="3"/>
        <v>16.902219502128244</v>
      </c>
      <c r="AH11" s="1866">
        <f t="shared" si="3"/>
        <v>16.902219502128244</v>
      </c>
      <c r="AI11" s="1866">
        <f t="shared" si="3"/>
        <v>16.902219502128244</v>
      </c>
      <c r="AJ11" s="1866">
        <f t="shared" si="3"/>
        <v>20.576615046069172</v>
      </c>
      <c r="AK11" s="1866">
        <f t="shared" si="3"/>
        <v>20.576615046069172</v>
      </c>
      <c r="AL11" s="1866">
        <f t="shared" si="3"/>
        <v>20.576615046069172</v>
      </c>
      <c r="AM11" s="1866">
        <f t="shared" si="3"/>
        <v>20.576615046069172</v>
      </c>
      <c r="AN11" s="1866">
        <f t="shared" si="3"/>
        <v>36.743955439409234</v>
      </c>
    </row>
    <row r="12" spans="1:49">
      <c r="B12" s="274">
        <v>45047</v>
      </c>
      <c r="C12" s="23">
        <f>'[107]Volume Sold'!$E$23</f>
        <v>1556.8413919677696</v>
      </c>
      <c r="AB12" s="1866">
        <f>D2*$C$12</f>
        <v>87.266894168596934</v>
      </c>
      <c r="AC12" s="1866">
        <f t="shared" ref="AC12:AR12" si="4">E2*$C$12</f>
        <v>87.266894168596934</v>
      </c>
      <c r="AD12" s="1866">
        <f t="shared" si="4"/>
        <v>87.266894168596934</v>
      </c>
      <c r="AE12" s="1866">
        <f t="shared" si="4"/>
        <v>87.266894168596934</v>
      </c>
      <c r="AF12" s="1866">
        <f t="shared" si="4"/>
        <v>80.285542635109167</v>
      </c>
      <c r="AG12" s="1866">
        <f t="shared" si="4"/>
        <v>80.285542635109167</v>
      </c>
      <c r="AH12" s="1866">
        <f t="shared" si="4"/>
        <v>80.285542635109167</v>
      </c>
      <c r="AI12" s="1866">
        <f t="shared" si="4"/>
        <v>80.285542635109167</v>
      </c>
      <c r="AJ12" s="1866">
        <f t="shared" si="4"/>
        <v>80.285542635109167</v>
      </c>
      <c r="AK12" s="1866">
        <f t="shared" si="4"/>
        <v>80.285542635109167</v>
      </c>
      <c r="AL12" s="1866">
        <f t="shared" si="4"/>
        <v>80.285542635109167</v>
      </c>
      <c r="AM12" s="1866">
        <f t="shared" si="4"/>
        <v>80.285542635109167</v>
      </c>
      <c r="AN12" s="1866">
        <f t="shared" si="4"/>
        <v>97.738921468828565</v>
      </c>
      <c r="AO12" s="1866">
        <f t="shared" si="4"/>
        <v>97.738921468828565</v>
      </c>
      <c r="AP12" s="1866">
        <f t="shared" si="4"/>
        <v>97.738921468828565</v>
      </c>
      <c r="AQ12" s="1866">
        <f t="shared" si="4"/>
        <v>97.738921468828565</v>
      </c>
      <c r="AR12" s="1866">
        <f t="shared" si="4"/>
        <v>174.53378833719387</v>
      </c>
    </row>
    <row r="13" spans="1:49">
      <c r="B13" s="274">
        <v>45078</v>
      </c>
      <c r="C13" s="23">
        <f>'[107]Volume Sold'!$F$23</f>
        <v>356.43473973998925</v>
      </c>
      <c r="AG13" s="1866">
        <f>D2*$C$13</f>
        <v>19.979525770178764</v>
      </c>
      <c r="AH13" s="1866">
        <f t="shared" ref="AH13:AW13" si="5">E2*$C$13</f>
        <v>19.979525770178764</v>
      </c>
      <c r="AI13" s="1866">
        <f t="shared" si="5"/>
        <v>19.979525770178764</v>
      </c>
      <c r="AJ13" s="1866">
        <f t="shared" si="5"/>
        <v>19.979525770178764</v>
      </c>
      <c r="AK13" s="1866">
        <f t="shared" si="5"/>
        <v>18.381163708564461</v>
      </c>
      <c r="AL13" s="1866">
        <f t="shared" si="5"/>
        <v>18.381163708564461</v>
      </c>
      <c r="AM13" s="1866">
        <f t="shared" si="5"/>
        <v>18.381163708564461</v>
      </c>
      <c r="AN13" s="1866">
        <f t="shared" si="5"/>
        <v>18.381163708564461</v>
      </c>
      <c r="AO13" s="1866">
        <f t="shared" si="5"/>
        <v>18.381163708564461</v>
      </c>
      <c r="AP13" s="1866">
        <f t="shared" si="5"/>
        <v>18.381163708564461</v>
      </c>
      <c r="AQ13" s="1866">
        <f t="shared" si="5"/>
        <v>18.381163708564461</v>
      </c>
      <c r="AR13" s="1866">
        <f t="shared" si="5"/>
        <v>18.381163708564461</v>
      </c>
      <c r="AS13" s="1866">
        <f t="shared" si="5"/>
        <v>22.377068862600218</v>
      </c>
      <c r="AT13" s="1866">
        <f t="shared" si="5"/>
        <v>22.377068862600218</v>
      </c>
      <c r="AU13" s="1866">
        <f t="shared" si="5"/>
        <v>22.377068862600218</v>
      </c>
      <c r="AV13" s="1866">
        <f t="shared" si="5"/>
        <v>22.377068862600218</v>
      </c>
      <c r="AW13" s="1866">
        <f t="shared" si="5"/>
        <v>39.959051540357528</v>
      </c>
    </row>
    <row r="14" spans="1:49">
      <c r="C14" s="23"/>
    </row>
    <row r="15" spans="1:49">
      <c r="A15" t="str">
        <f>'[107]Volume Sold'!B24</f>
        <v>Macropack Lactate Sow (MS 1754 LT)</v>
      </c>
      <c r="B15" s="274">
        <v>45017</v>
      </c>
      <c r="C15" s="23">
        <f>'[107]Volume Sold'!D24</f>
        <v>3205.6558153447336</v>
      </c>
      <c r="AK15" s="24"/>
      <c r="AL15" s="24"/>
      <c r="AM15" s="24"/>
      <c r="AO15" s="1868">
        <f>U2*$C$15</f>
        <v>620.44951264736778</v>
      </c>
      <c r="AP15" s="1868">
        <f t="shared" ref="AP15:AQ15" si="6">V2*$C$15</f>
        <v>1137.4907731868409</v>
      </c>
      <c r="AQ15" s="1868">
        <f t="shared" si="6"/>
        <v>1447.7155295105249</v>
      </c>
    </row>
    <row r="16" spans="1:49">
      <c r="B16" s="274">
        <v>45047</v>
      </c>
      <c r="C16" s="23">
        <f>'[107]Volume Sold'!$E$24</f>
        <v>7166.0476594047568</v>
      </c>
      <c r="AS16" s="1868">
        <f>U2*$C$16</f>
        <v>1386.9769663364045</v>
      </c>
      <c r="AT16" s="1868">
        <f t="shared" ref="AT16:AU16" si="7">V2*$C$16</f>
        <v>2542.7911049500754</v>
      </c>
      <c r="AU16" s="1868">
        <f t="shared" si="7"/>
        <v>3236.2795881182774</v>
      </c>
    </row>
    <row r="17" spans="1:53">
      <c r="B17" s="274">
        <v>45078</v>
      </c>
      <c r="C17" s="23">
        <f>'[107]Volume Sold'!$F$24</f>
        <v>3208.2855576050656</v>
      </c>
      <c r="AX17" s="1868">
        <f>U2*$C$17</f>
        <v>620.95849502033525</v>
      </c>
      <c r="AY17" s="1868">
        <f t="shared" ref="AY17:AZ17" si="8">V2*$C$17</f>
        <v>1138.4239075372814</v>
      </c>
      <c r="AZ17" s="1868">
        <f t="shared" si="8"/>
        <v>1448.903155047449</v>
      </c>
    </row>
    <row r="18" spans="1:53">
      <c r="C18" s="23"/>
    </row>
    <row r="19" spans="1:53">
      <c r="A19" t="str">
        <f>'[107]Volume Sold'!B25</f>
        <v>Macropack Creep (MS 1746 SS)</v>
      </c>
      <c r="B19" s="274">
        <v>45017</v>
      </c>
      <c r="C19" s="23">
        <f>'[107]Volume Sold'!D25</f>
        <v>4853.989005497252</v>
      </c>
      <c r="AP19" s="1869">
        <f>Y2*$C$19</f>
        <v>1123.6396483195363</v>
      </c>
      <c r="AQ19" s="1869">
        <f t="shared" ref="AQ19:AR19" si="9">Z2*$C$19</f>
        <v>1936.3100403550945</v>
      </c>
      <c r="AR19" s="1869">
        <f t="shared" si="9"/>
        <v>1794.039316822621</v>
      </c>
    </row>
    <row r="20" spans="1:53">
      <c r="B20" s="274">
        <v>45047</v>
      </c>
      <c r="C20">
        <f>'[107]Volume Sold'!$E$25</f>
        <v>8688.1239380309871</v>
      </c>
      <c r="AT20" s="1870">
        <f>Y2*$C$20</f>
        <v>2011.1954343591701</v>
      </c>
      <c r="AU20" s="1870">
        <f t="shared" ref="AU20:AV20" si="10">Z2*$C$20</f>
        <v>3465.7889818057947</v>
      </c>
      <c r="AV20" s="1870">
        <f t="shared" si="10"/>
        <v>3211.1395218660218</v>
      </c>
    </row>
    <row r="21" spans="1:53">
      <c r="B21" s="274">
        <v>45078</v>
      </c>
      <c r="C21">
        <f>'[107]Volume Sold'!$F$25</f>
        <v>3033.7431284357822</v>
      </c>
      <c r="AY21" s="1871">
        <f>Y2*$C$21</f>
        <v>702.27478019970999</v>
      </c>
      <c r="AZ21" s="1871">
        <f t="shared" ref="AZ21:BA21" si="11">Z2*$C$21</f>
        <v>1210.1937752219339</v>
      </c>
      <c r="BA21" s="1871">
        <f t="shared" si="11"/>
        <v>1121.274573014138</v>
      </c>
    </row>
    <row r="22" spans="1:53">
      <c r="AF22" s="680"/>
      <c r="AH22" s="680"/>
      <c r="AI22" s="680"/>
      <c r="AJ22" s="680"/>
      <c r="AK22" s="680"/>
      <c r="AL22" s="680"/>
    </row>
    <row r="23" spans="1:53">
      <c r="A23" t="s">
        <v>71</v>
      </c>
      <c r="C23" s="24">
        <f>SUM(C7:C21)</f>
        <v>44977.63632993777</v>
      </c>
      <c r="X23" s="1840">
        <f>SUM(X7:X22)</f>
        <v>222.75141620503626</v>
      </c>
      <c r="Y23" s="1840">
        <f t="shared" ref="Y23:BA23" si="12">SUM(Y7:Y22)</f>
        <v>222.75141620503626</v>
      </c>
      <c r="Z23" s="1875">
        <f t="shared" si="12"/>
        <v>222.75141620503626</v>
      </c>
      <c r="AA23" s="1875">
        <f t="shared" si="12"/>
        <v>222.75141620503626</v>
      </c>
      <c r="AB23" s="1875">
        <f t="shared" si="12"/>
        <v>689.92420170488003</v>
      </c>
      <c r="AC23" s="1875">
        <f t="shared" si="12"/>
        <v>689.92420170488003</v>
      </c>
      <c r="AD23" s="1875">
        <f t="shared" si="12"/>
        <v>689.92420170488003</v>
      </c>
      <c r="AE23" s="1874">
        <f t="shared" si="12"/>
        <v>689.92420170488003</v>
      </c>
      <c r="AF23" s="1874">
        <f t="shared" si="12"/>
        <v>651.12476980118038</v>
      </c>
      <c r="AG23" s="1874">
        <f t="shared" si="12"/>
        <v>774.19834861263257</v>
      </c>
      <c r="AH23" s="1874">
        <f t="shared" si="12"/>
        <v>774.19834861263257</v>
      </c>
      <c r="AI23" s="1873">
        <f t="shared" si="12"/>
        <v>774.19834861263257</v>
      </c>
      <c r="AJ23" s="1873">
        <f t="shared" si="12"/>
        <v>818.74863185363984</v>
      </c>
      <c r="AK23" s="1873">
        <f t="shared" si="12"/>
        <v>808.90274554872371</v>
      </c>
      <c r="AL23" s="1873">
        <f t="shared" si="12"/>
        <v>808.90274554872371</v>
      </c>
      <c r="AM23" s="1872">
        <f t="shared" si="12"/>
        <v>808.90274554872371</v>
      </c>
      <c r="AN23" s="1872">
        <f t="shared" si="12"/>
        <v>1101.9225715684049</v>
      </c>
      <c r="AO23" s="1872">
        <f t="shared" si="12"/>
        <v>1276.8692518057003</v>
      </c>
      <c r="AP23" s="1872">
        <f t="shared" si="12"/>
        <v>2917.5501606647094</v>
      </c>
      <c r="AQ23" s="1872">
        <f>SUM(AQ7:AQ22)</f>
        <v>4040.4453090239522</v>
      </c>
      <c r="AR23" s="31">
        <f t="shared" si="12"/>
        <v>2877.2528069216505</v>
      </c>
      <c r="AS23" s="31">
        <f t="shared" si="12"/>
        <v>1524.8193746052311</v>
      </c>
      <c r="AT23" s="31">
        <f t="shared" si="12"/>
        <v>4691.8289475780721</v>
      </c>
      <c r="AU23" s="31">
        <f t="shared" si="12"/>
        <v>6839.9109781928983</v>
      </c>
      <c r="AV23" s="31">
        <f t="shared" si="12"/>
        <v>3348.9819301348484</v>
      </c>
      <c r="AW23" s="31">
        <f t="shared" si="12"/>
        <v>246.1471576229045</v>
      </c>
      <c r="AX23" s="31">
        <f t="shared" si="12"/>
        <v>620.95849502033525</v>
      </c>
      <c r="AY23" s="31">
        <f t="shared" si="12"/>
        <v>1840.6986877369914</v>
      </c>
      <c r="AZ23" s="31">
        <f t="shared" si="12"/>
        <v>2659.0969302693829</v>
      </c>
      <c r="BA23" s="31">
        <f t="shared" si="12"/>
        <v>1121.274573014138</v>
      </c>
    </row>
    <row r="25" spans="1:53">
      <c r="C25">
        <f>'[107]Volume Sold'!$G$26</f>
        <v>44977.63632993777</v>
      </c>
      <c r="AQ25" s="50">
        <f>SUM(X23:AQ23)</f>
        <v>19206.666448841319</v>
      </c>
      <c r="AR25" s="1"/>
      <c r="AS25" s="1"/>
      <c r="AT25" s="1"/>
      <c r="AU25" s="1"/>
      <c r="AV25" s="1"/>
      <c r="AW25" s="1"/>
      <c r="AX25" s="1"/>
      <c r="AY25" s="1"/>
      <c r="AZ25" s="1"/>
      <c r="BA25" s="50">
        <f>SUM(AR23:BA23)</f>
        <v>25770.969881096455</v>
      </c>
    </row>
    <row r="26" spans="1:53">
      <c r="C26" s="24">
        <f>C23-C25</f>
        <v>0</v>
      </c>
      <c r="AE26" s="23">
        <v>-22085.094178503379</v>
      </c>
      <c r="AK26" s="1276">
        <f>SUM(X23:AK23)</f>
        <v>8252.0736646811074</v>
      </c>
      <c r="AL26" s="24">
        <f>SUM(AL23:AQ23)</f>
        <v>10954.592784160213</v>
      </c>
    </row>
    <row r="27" spans="1:53">
      <c r="AB27">
        <v>-473.26913679949939</v>
      </c>
      <c r="AO27" t="s">
        <v>2134</v>
      </c>
    </row>
    <row r="28" spans="1:53">
      <c r="AE28">
        <v>308</v>
      </c>
      <c r="AQ28" t="s">
        <v>2135</v>
      </c>
    </row>
    <row r="29" spans="1:53">
      <c r="AB29">
        <v>-418.08</v>
      </c>
      <c r="AJ29">
        <v>7411.97</v>
      </c>
      <c r="AO29" t="s">
        <v>186</v>
      </c>
      <c r="AP29">
        <f>-'Villa Pig Cost'!AU28</f>
        <v>857</v>
      </c>
      <c r="AQ29" s="24">
        <f>AP29/$AP$36*$AQ$25</f>
        <v>1394.924842937035</v>
      </c>
    </row>
    <row r="30" spans="1:53">
      <c r="AJ30">
        <v>1884.45</v>
      </c>
      <c r="AO30" t="s">
        <v>189</v>
      </c>
      <c r="AP30">
        <f>-'Richlands Pig Cost'!AU28</f>
        <v>2220</v>
      </c>
      <c r="AQ30" s="24">
        <f t="shared" ref="AQ30:AQ34" si="13">AP30/$AP$36*$AQ$25</f>
        <v>3613.4575861379431</v>
      </c>
    </row>
    <row r="31" spans="1:53">
      <c r="AF31" s="24">
        <f>SUM(X23:AF23)</f>
        <v>4301.8272414408457</v>
      </c>
      <c r="AO31" t="s">
        <v>187</v>
      </c>
      <c r="AP31">
        <f>-'Lionhead Pig Cost'!AU28</f>
        <v>2436</v>
      </c>
      <c r="AQ31" s="24">
        <f t="shared" si="13"/>
        <v>3965.0372431675805</v>
      </c>
    </row>
    <row r="32" spans="1:53">
      <c r="AO32" t="s">
        <v>190</v>
      </c>
      <c r="AP32">
        <f>-'Learig Pig Cost'!AU28</f>
        <v>1488</v>
      </c>
      <c r="AQ32" s="24">
        <f t="shared" si="13"/>
        <v>2421.9931928708379</v>
      </c>
    </row>
    <row r="33" spans="31:43">
      <c r="AJ33" s="24">
        <v>-7303.1148709049448</v>
      </c>
      <c r="AO33" t="s">
        <v>127</v>
      </c>
      <c r="AP33">
        <f>-'Grasmere Pig Cost'!AU28</f>
        <v>4012</v>
      </c>
      <c r="AQ33" s="24">
        <f t="shared" si="13"/>
        <v>6530.266592606049</v>
      </c>
    </row>
    <row r="34" spans="31:43">
      <c r="AE34" t="s">
        <v>1932</v>
      </c>
      <c r="AF34">
        <v>10986.21</v>
      </c>
      <c r="AJ34">
        <v>9405.49</v>
      </c>
      <c r="AO34" t="s">
        <v>211</v>
      </c>
      <c r="AP34">
        <f>-'Lionhead Ext. Pig Cost'!AU28</f>
        <v>787</v>
      </c>
      <c r="AQ34" s="24">
        <f t="shared" si="13"/>
        <v>1280.9869911218746</v>
      </c>
    </row>
    <row r="36" spans="31:43">
      <c r="AP36">
        <f>SUM(AP29:AP35)</f>
        <v>11800</v>
      </c>
      <c r="AQ36" s="24">
        <f>SUM(AQ29:AQ35)</f>
        <v>19206.666448841319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341C-52AB-44A2-8F87-9C0A12EA2A3A}">
  <sheetPr codeName="Sheet70"/>
  <dimension ref="A1"/>
  <sheetViews>
    <sheetView workbookViewId="0">
      <selection activeCell="L17" sqref="L17"/>
    </sheetView>
  </sheetViews>
  <sheetFormatPr defaultRowHeight="13.1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71">
    <pageSetUpPr fitToPage="1"/>
  </sheetPr>
  <dimension ref="A1:AP104"/>
  <sheetViews>
    <sheetView workbookViewId="0">
      <selection activeCell="B99" sqref="B99"/>
    </sheetView>
  </sheetViews>
  <sheetFormatPr defaultRowHeight="13.15"/>
  <cols>
    <col min="2" max="3" width="9.28515625" bestFit="1" customWidth="1"/>
    <col min="4" max="4" width="11.85546875" customWidth="1"/>
    <col min="5" max="5" width="11.7109375" customWidth="1"/>
    <col min="6" max="6" width="9.28515625" bestFit="1" customWidth="1"/>
    <col min="7" max="8" width="9.28515625" customWidth="1"/>
    <col min="9" max="9" width="12.85546875" customWidth="1"/>
    <col min="10" max="13" width="11" customWidth="1"/>
    <col min="14" max="14" width="9.85546875" bestFit="1" customWidth="1"/>
    <col min="15" max="17" width="9.28515625" bestFit="1" customWidth="1"/>
    <col min="18" max="18" width="11.42578125" customWidth="1"/>
    <col min="19" max="20" width="10.5703125" customWidth="1"/>
    <col min="21" max="23" width="8.5703125" customWidth="1"/>
    <col min="24" max="25" width="16.7109375" customWidth="1"/>
  </cols>
  <sheetData>
    <row r="1" spans="1:25">
      <c r="A1" s="17" t="s">
        <v>56</v>
      </c>
    </row>
    <row r="2" spans="1:25">
      <c r="A2" s="17"/>
    </row>
    <row r="3" spans="1:25">
      <c r="A3" s="17" t="s">
        <v>2136</v>
      </c>
    </row>
    <row r="5" spans="1:25">
      <c r="A5" s="406"/>
      <c r="B5" s="416" t="s">
        <v>221</v>
      </c>
      <c r="C5" s="414"/>
      <c r="D5" s="414" t="s">
        <v>2137</v>
      </c>
      <c r="E5" s="416" t="s">
        <v>2138</v>
      </c>
      <c r="F5" s="414" t="s">
        <v>169</v>
      </c>
      <c r="G5" s="414"/>
      <c r="H5" s="414"/>
      <c r="I5" s="416" t="s">
        <v>2139</v>
      </c>
      <c r="J5" s="414" t="s">
        <v>2140</v>
      </c>
      <c r="K5" s="414"/>
      <c r="L5" s="414"/>
      <c r="M5" s="414"/>
      <c r="N5" s="414" t="s">
        <v>2141</v>
      </c>
      <c r="O5" s="416" t="s">
        <v>422</v>
      </c>
      <c r="P5" s="414" t="s">
        <v>2142</v>
      </c>
      <c r="Q5" s="416" t="s">
        <v>2143</v>
      </c>
      <c r="R5" s="416" t="s">
        <v>2144</v>
      </c>
      <c r="S5" s="1"/>
      <c r="T5" s="1"/>
      <c r="U5" s="1"/>
      <c r="V5" s="1"/>
      <c r="W5" s="1"/>
      <c r="X5" s="1"/>
      <c r="Y5" s="1"/>
    </row>
    <row r="6" spans="1:25">
      <c r="A6" s="415"/>
      <c r="B6" s="413"/>
      <c r="C6" s="410"/>
      <c r="D6" s="410"/>
      <c r="E6" s="413"/>
      <c r="F6" s="410"/>
      <c r="G6" s="410"/>
      <c r="H6" s="410"/>
      <c r="I6" s="413"/>
      <c r="J6" s="410"/>
      <c r="K6" s="410"/>
      <c r="L6" s="410"/>
      <c r="M6" s="410"/>
      <c r="N6" s="410"/>
      <c r="O6" s="413"/>
      <c r="P6" s="410"/>
      <c r="Q6" s="413"/>
      <c r="R6" s="413" t="s">
        <v>2145</v>
      </c>
    </row>
    <row r="7" spans="1:25">
      <c r="A7" s="276" t="s">
        <v>2146</v>
      </c>
      <c r="B7" s="276">
        <v>0</v>
      </c>
      <c r="C7" s="276"/>
      <c r="D7" s="276">
        <v>1164</v>
      </c>
      <c r="E7" s="276">
        <v>-89</v>
      </c>
      <c r="F7" s="276">
        <v>-125</v>
      </c>
      <c r="G7" s="276"/>
      <c r="H7" s="276"/>
      <c r="I7" s="276">
        <v>0</v>
      </c>
      <c r="J7" s="276">
        <v>0</v>
      </c>
      <c r="K7" s="276"/>
      <c r="L7" s="276"/>
      <c r="M7" s="276"/>
      <c r="N7" s="276">
        <v>-36</v>
      </c>
      <c r="O7" s="276">
        <f t="shared" ref="O7:O12" si="0">SUM(B7:N7)</f>
        <v>914</v>
      </c>
      <c r="P7" s="276">
        <v>914</v>
      </c>
      <c r="Q7" s="276">
        <f t="shared" ref="Q7:Q12" si="1">+O7-P7</f>
        <v>0</v>
      </c>
      <c r="R7" s="276">
        <v>83</v>
      </c>
    </row>
    <row r="8" spans="1:25">
      <c r="A8" s="276" t="s">
        <v>2147</v>
      </c>
      <c r="B8" s="276">
        <v>1113</v>
      </c>
      <c r="C8" s="276"/>
      <c r="D8" s="276">
        <v>1286</v>
      </c>
      <c r="E8" s="276">
        <v>-143</v>
      </c>
      <c r="F8" s="276">
        <v>-99</v>
      </c>
      <c r="G8" s="276"/>
      <c r="H8" s="276"/>
      <c r="I8" s="276">
        <v>-42</v>
      </c>
      <c r="J8" s="276">
        <v>-1047</v>
      </c>
      <c r="K8" s="276"/>
      <c r="L8" s="276"/>
      <c r="M8" s="276"/>
      <c r="N8" s="276">
        <v>0</v>
      </c>
      <c r="O8" s="276">
        <f t="shared" si="0"/>
        <v>1068</v>
      </c>
      <c r="P8" s="276">
        <v>1068</v>
      </c>
      <c r="Q8" s="276">
        <f t="shared" si="1"/>
        <v>0</v>
      </c>
      <c r="R8" s="276">
        <v>88</v>
      </c>
    </row>
    <row r="9" spans="1:25">
      <c r="A9" s="276" t="s">
        <v>2148</v>
      </c>
      <c r="B9" s="276">
        <v>1066</v>
      </c>
      <c r="C9" s="276"/>
      <c r="D9" s="276">
        <v>1349</v>
      </c>
      <c r="E9" s="276">
        <v>-153</v>
      </c>
      <c r="F9" s="276">
        <v>-91</v>
      </c>
      <c r="G9" s="276"/>
      <c r="H9" s="276"/>
      <c r="I9" s="276">
        <v>-24</v>
      </c>
      <c r="J9" s="276">
        <v>-1019</v>
      </c>
      <c r="K9" s="276"/>
      <c r="L9" s="276"/>
      <c r="M9" s="276"/>
      <c r="N9" s="276">
        <v>0</v>
      </c>
      <c r="O9" s="276">
        <f t="shared" si="0"/>
        <v>1128</v>
      </c>
      <c r="P9" s="276">
        <v>1128</v>
      </c>
      <c r="Q9" s="276">
        <f t="shared" si="1"/>
        <v>0</v>
      </c>
      <c r="R9" s="276">
        <v>95</v>
      </c>
    </row>
    <row r="10" spans="1:25">
      <c r="A10" s="276" t="s">
        <v>2149</v>
      </c>
      <c r="B10" s="276">
        <v>1090</v>
      </c>
      <c r="C10" s="276">
        <v>36</v>
      </c>
      <c r="D10" s="276">
        <f>87+203+296+341</f>
        <v>927</v>
      </c>
      <c r="E10" s="276">
        <v>-77</v>
      </c>
      <c r="F10" s="276">
        <v>-111</v>
      </c>
      <c r="G10" s="276"/>
      <c r="H10" s="276"/>
      <c r="I10" s="276">
        <v>-30</v>
      </c>
      <c r="J10" s="276">
        <v>-962</v>
      </c>
      <c r="K10" s="276"/>
      <c r="L10" s="276"/>
      <c r="M10" s="276"/>
      <c r="N10" s="276">
        <v>-53</v>
      </c>
      <c r="O10" s="276">
        <f t="shared" si="0"/>
        <v>820</v>
      </c>
      <c r="P10" s="276">
        <v>820</v>
      </c>
      <c r="Q10" s="276">
        <f t="shared" si="1"/>
        <v>0</v>
      </c>
      <c r="R10" s="276">
        <v>84</v>
      </c>
    </row>
    <row r="11" spans="1:25">
      <c r="A11" s="276" t="s">
        <v>2150</v>
      </c>
      <c r="B11" s="276">
        <v>714</v>
      </c>
      <c r="C11" s="276"/>
      <c r="D11" s="276">
        <v>461</v>
      </c>
      <c r="E11" s="276">
        <v>-30</v>
      </c>
      <c r="F11" s="276">
        <v>-139</v>
      </c>
      <c r="G11" s="276"/>
      <c r="H11" s="276"/>
      <c r="I11" s="276">
        <v>-19</v>
      </c>
      <c r="J11" s="276">
        <v>-936</v>
      </c>
      <c r="K11" s="276"/>
      <c r="L11" s="276"/>
      <c r="M11" s="276"/>
      <c r="N11" s="276">
        <v>-51</v>
      </c>
      <c r="O11" s="276">
        <f t="shared" si="0"/>
        <v>0</v>
      </c>
      <c r="P11" s="276">
        <v>0</v>
      </c>
      <c r="Q11" s="276">
        <f t="shared" si="1"/>
        <v>0</v>
      </c>
      <c r="R11" s="412">
        <v>81</v>
      </c>
    </row>
    <row r="12" spans="1:25">
      <c r="A12" s="406" t="s">
        <v>177</v>
      </c>
      <c r="B12" s="412"/>
      <c r="C12" s="412">
        <f>53+51</f>
        <v>104</v>
      </c>
      <c r="D12" s="412"/>
      <c r="E12" s="407"/>
      <c r="F12" s="412">
        <v>-21</v>
      </c>
      <c r="G12" s="407"/>
      <c r="H12" s="407"/>
      <c r="I12" s="407"/>
      <c r="J12" s="412"/>
      <c r="K12" s="412"/>
      <c r="L12" s="412"/>
      <c r="M12" s="412"/>
      <c r="N12" s="412"/>
      <c r="O12" s="276">
        <f t="shared" si="0"/>
        <v>83</v>
      </c>
      <c r="P12" s="412">
        <v>83</v>
      </c>
      <c r="Q12" s="407">
        <f t="shared" si="1"/>
        <v>0</v>
      </c>
      <c r="R12" s="412"/>
    </row>
    <row r="13" spans="1:25">
      <c r="A13" s="406"/>
      <c r="B13" s="412"/>
      <c r="C13" s="412" t="s">
        <v>138</v>
      </c>
      <c r="D13" s="412"/>
      <c r="E13" s="407"/>
      <c r="F13" s="412"/>
      <c r="G13" s="407"/>
      <c r="H13" s="407"/>
      <c r="I13" s="407"/>
      <c r="J13" s="412"/>
      <c r="K13" s="412"/>
      <c r="L13" s="412"/>
      <c r="M13" s="412"/>
      <c r="N13" s="412"/>
      <c r="O13" s="407"/>
      <c r="P13" s="412"/>
      <c r="Q13" s="407"/>
      <c r="R13" s="412">
        <v>-5</v>
      </c>
      <c r="S13" s="1" t="s">
        <v>2151</v>
      </c>
      <c r="T13" s="1"/>
      <c r="U13" s="1"/>
      <c r="V13" s="1"/>
      <c r="W13" s="1"/>
    </row>
    <row r="14" spans="1:25">
      <c r="A14" s="409" t="s">
        <v>71</v>
      </c>
      <c r="B14" s="413">
        <f>SUM(B7:B13)</f>
        <v>3983</v>
      </c>
      <c r="C14" s="413">
        <f>SUM(C7:C13)</f>
        <v>140</v>
      </c>
      <c r="D14" s="413">
        <f>SUM(D7:D11)</f>
        <v>5187</v>
      </c>
      <c r="E14" s="410">
        <f>SUM(E7:E11)</f>
        <v>-492</v>
      </c>
      <c r="F14" s="410">
        <f>SUM(F7:F13)</f>
        <v>-586</v>
      </c>
      <c r="G14" s="410"/>
      <c r="H14" s="410"/>
      <c r="I14" s="410">
        <f>SUM(I7:I13)</f>
        <v>-115</v>
      </c>
      <c r="J14" s="410">
        <f>SUM(J7:J13)</f>
        <v>-3964</v>
      </c>
      <c r="K14" s="413"/>
      <c r="L14" s="413"/>
      <c r="M14" s="413"/>
      <c r="N14" s="413"/>
      <c r="O14" s="410">
        <f>SUM(O7:O13)</f>
        <v>4013</v>
      </c>
      <c r="P14" s="410">
        <f>SUM(P7:P13)</f>
        <v>4013</v>
      </c>
      <c r="Q14" s="410">
        <f>SUM(Q7:Q13)</f>
        <v>0</v>
      </c>
      <c r="R14" s="413">
        <f>SUM(R7:R13)</f>
        <v>426</v>
      </c>
    </row>
    <row r="15" spans="1:25">
      <c r="B15" s="94">
        <f>+'Summary Total Pigs'!C12</f>
        <v>5260</v>
      </c>
      <c r="C15" s="94"/>
      <c r="D15" t="s">
        <v>138</v>
      </c>
      <c r="E15">
        <f>+D14+E14</f>
        <v>4695</v>
      </c>
      <c r="F15" t="s">
        <v>138</v>
      </c>
      <c r="J15">
        <f>+J14+I14</f>
        <v>-4079</v>
      </c>
      <c r="O15">
        <f>+[108]Pigs!P11</f>
        <v>0</v>
      </c>
    </row>
    <row r="16" spans="1:25">
      <c r="B16" s="94"/>
    </row>
    <row r="18" spans="1:22">
      <c r="A18" s="17" t="s">
        <v>56</v>
      </c>
    </row>
    <row r="19" spans="1:22">
      <c r="A19" s="17"/>
    </row>
    <row r="20" spans="1:22">
      <c r="A20" s="17" t="s">
        <v>2152</v>
      </c>
      <c r="D20" t="s">
        <v>138</v>
      </c>
    </row>
    <row r="22" spans="1:22">
      <c r="A22" s="406"/>
      <c r="B22" s="416" t="s">
        <v>221</v>
      </c>
      <c r="C22" s="414"/>
      <c r="D22" s="414" t="s">
        <v>2137</v>
      </c>
      <c r="E22" s="416" t="s">
        <v>2138</v>
      </c>
      <c r="F22" s="414" t="s">
        <v>169</v>
      </c>
      <c r="G22" s="414"/>
      <c r="H22" s="414"/>
      <c r="I22" s="416" t="s">
        <v>2139</v>
      </c>
      <c r="J22" s="414" t="s">
        <v>2140</v>
      </c>
      <c r="K22" s="414" t="s">
        <v>343</v>
      </c>
      <c r="L22" s="414" t="str">
        <f>+F22</f>
        <v>Mortality</v>
      </c>
      <c r="M22" s="414" t="s">
        <v>293</v>
      </c>
      <c r="N22" s="414" t="s">
        <v>2141</v>
      </c>
      <c r="O22" s="416" t="s">
        <v>422</v>
      </c>
      <c r="P22" s="414" t="s">
        <v>2142</v>
      </c>
      <c r="Q22" s="416" t="s">
        <v>2143</v>
      </c>
      <c r="R22" s="416"/>
    </row>
    <row r="23" spans="1:22">
      <c r="A23" s="415"/>
      <c r="B23" s="413"/>
      <c r="C23" s="410"/>
      <c r="D23" s="410"/>
      <c r="E23" s="413"/>
      <c r="F23" s="410" t="s">
        <v>384</v>
      </c>
      <c r="G23" s="410"/>
      <c r="H23" s="410"/>
      <c r="I23" s="413"/>
      <c r="J23" s="410"/>
      <c r="K23" s="410"/>
      <c r="L23" s="410" t="s">
        <v>2153</v>
      </c>
      <c r="M23" s="410"/>
      <c r="N23" s="410"/>
      <c r="O23" s="413"/>
      <c r="P23" s="410"/>
      <c r="Q23" s="413"/>
      <c r="R23" s="276" t="s">
        <v>2154</v>
      </c>
      <c r="S23" t="s">
        <v>50</v>
      </c>
      <c r="T23" t="s">
        <v>384</v>
      </c>
      <c r="U23" t="s">
        <v>79</v>
      </c>
      <c r="V23" t="str">
        <f>+Q22</f>
        <v>Varience</v>
      </c>
    </row>
    <row r="24" spans="1:22">
      <c r="A24" s="276" t="s">
        <v>2146</v>
      </c>
      <c r="B24" s="276">
        <v>994</v>
      </c>
      <c r="C24" s="276">
        <f>23+59+7+9+2+1+49+20</f>
        <v>170</v>
      </c>
      <c r="D24" s="276">
        <f>1249-49-20</f>
        <v>1180</v>
      </c>
      <c r="E24" s="276">
        <v>-71</v>
      </c>
      <c r="F24" s="276">
        <v>-97</v>
      </c>
      <c r="G24" s="276"/>
      <c r="H24" s="276"/>
      <c r="I24" s="276">
        <v>-31</v>
      </c>
      <c r="J24" s="276">
        <v>-926</v>
      </c>
      <c r="K24" s="276"/>
      <c r="L24" s="276">
        <v>-4</v>
      </c>
      <c r="M24" s="276"/>
      <c r="N24" s="276">
        <f>-94+4-20</f>
        <v>-110</v>
      </c>
      <c r="O24" s="276">
        <f t="shared" ref="O24:O29" si="2">SUM(B24:N24)</f>
        <v>1105</v>
      </c>
      <c r="P24" s="276">
        <f>87+1018</f>
        <v>1105</v>
      </c>
      <c r="Q24" s="276">
        <f>+O24-P24</f>
        <v>0</v>
      </c>
      <c r="R24" s="276">
        <v>87</v>
      </c>
      <c r="S24">
        <v>0</v>
      </c>
      <c r="T24">
        <v>1018</v>
      </c>
      <c r="U24">
        <v>0</v>
      </c>
      <c r="V24">
        <f>+P24-R24-S24-U24-T24</f>
        <v>0</v>
      </c>
    </row>
    <row r="25" spans="1:22">
      <c r="A25" s="276" t="s">
        <v>2147</v>
      </c>
      <c r="B25" s="276">
        <v>1161</v>
      </c>
      <c r="C25" s="276">
        <f>12+26+11+46+1+1+25+10+20</f>
        <v>152</v>
      </c>
      <c r="D25" s="276">
        <f>133+235+232+97+290+293</f>
        <v>1280</v>
      </c>
      <c r="E25" s="276">
        <f>-8-12-15-6-19-22</f>
        <v>-82</v>
      </c>
      <c r="F25" s="276">
        <f>-1-3-1-1-1-3-1-2-2-1-1-9-3-5-2-11-4-10-7-12-6-2</f>
        <v>-88</v>
      </c>
      <c r="G25" s="276"/>
      <c r="H25" s="276"/>
      <c r="I25" s="276">
        <v>-31</v>
      </c>
      <c r="J25" s="276">
        <v>-1011</v>
      </c>
      <c r="K25" s="276"/>
      <c r="L25" s="276">
        <v>-2</v>
      </c>
      <c r="M25" s="276"/>
      <c r="N25" s="276">
        <f>-91-1-1-20-35</f>
        <v>-148</v>
      </c>
      <c r="O25" s="276">
        <f t="shared" si="2"/>
        <v>1231</v>
      </c>
      <c r="P25" s="276">
        <f>95+1136</f>
        <v>1231</v>
      </c>
      <c r="Q25" s="276">
        <f t="shared" ref="Q25:Q39" si="3">+O25-P25</f>
        <v>0</v>
      </c>
      <c r="R25" s="276">
        <v>95</v>
      </c>
      <c r="T25">
        <v>1136</v>
      </c>
      <c r="V25">
        <f t="shared" ref="V25:V41" si="4">+P25-R25-S25-U25-T25</f>
        <v>0</v>
      </c>
    </row>
    <row r="26" spans="1:22">
      <c r="A26" s="276" t="s">
        <v>2148</v>
      </c>
      <c r="B26" s="276">
        <v>1222</v>
      </c>
      <c r="C26" s="276">
        <f>29+52+6+1+20+21</f>
        <v>129</v>
      </c>
      <c r="D26" s="276">
        <f>90+113+184+246+23</f>
        <v>656</v>
      </c>
      <c r="E26" s="276">
        <v>-60</v>
      </c>
      <c r="F26" s="276">
        <v>-92</v>
      </c>
      <c r="G26" s="276"/>
      <c r="H26" s="276"/>
      <c r="I26" s="276">
        <v>-31</v>
      </c>
      <c r="J26" s="276">
        <v>-996</v>
      </c>
      <c r="K26" s="276"/>
      <c r="L26" s="276">
        <v>-4</v>
      </c>
      <c r="M26" s="276"/>
      <c r="N26" s="276">
        <f>-20-38-92-1</f>
        <v>-151</v>
      </c>
      <c r="O26" s="276">
        <f t="shared" si="2"/>
        <v>673</v>
      </c>
      <c r="P26" s="276">
        <f>85+588</f>
        <v>673</v>
      </c>
      <c r="Q26" s="276">
        <f t="shared" si="3"/>
        <v>0</v>
      </c>
      <c r="R26" s="276">
        <v>85</v>
      </c>
      <c r="T26">
        <v>588</v>
      </c>
      <c r="V26">
        <f t="shared" si="4"/>
        <v>0</v>
      </c>
    </row>
    <row r="27" spans="1:22">
      <c r="A27" s="276" t="s">
        <v>2149</v>
      </c>
      <c r="B27" s="276">
        <v>916</v>
      </c>
      <c r="C27" s="276">
        <v>91</v>
      </c>
      <c r="D27" s="276">
        <v>397</v>
      </c>
      <c r="E27" s="276">
        <v>-27</v>
      </c>
      <c r="F27" s="276">
        <v>-108</v>
      </c>
      <c r="G27" s="276"/>
      <c r="H27" s="276"/>
      <c r="I27" s="276">
        <v>-31</v>
      </c>
      <c r="J27" s="276">
        <v>-1006</v>
      </c>
      <c r="K27" s="276"/>
      <c r="L27" s="276">
        <v>-1</v>
      </c>
      <c r="M27" s="276"/>
      <c r="N27" s="276">
        <f>-25-20-90-5</f>
        <v>-140</v>
      </c>
      <c r="O27" s="276">
        <f t="shared" si="2"/>
        <v>91</v>
      </c>
      <c r="P27" s="276">
        <v>91</v>
      </c>
      <c r="Q27" s="276">
        <f t="shared" si="3"/>
        <v>0</v>
      </c>
      <c r="R27" s="276">
        <v>91</v>
      </c>
      <c r="V27">
        <f t="shared" si="4"/>
        <v>0</v>
      </c>
    </row>
    <row r="28" spans="1:22">
      <c r="A28" s="276" t="s">
        <v>2150</v>
      </c>
      <c r="B28" s="276">
        <v>0</v>
      </c>
      <c r="C28" s="276">
        <v>94</v>
      </c>
      <c r="D28" s="276">
        <v>1111</v>
      </c>
      <c r="E28" s="276">
        <v>-103</v>
      </c>
      <c r="F28" s="276">
        <v>-107</v>
      </c>
      <c r="G28" s="276"/>
      <c r="H28" s="276"/>
      <c r="I28" s="276">
        <v>0</v>
      </c>
      <c r="J28" s="276">
        <v>0</v>
      </c>
      <c r="K28" s="276"/>
      <c r="L28" s="276">
        <v>-1</v>
      </c>
      <c r="M28" s="276"/>
      <c r="N28" s="276">
        <v>-9</v>
      </c>
      <c r="O28" s="276">
        <f t="shared" si="2"/>
        <v>985</v>
      </c>
      <c r="P28" s="276">
        <f>84+901</f>
        <v>985</v>
      </c>
      <c r="Q28" s="276">
        <f t="shared" si="3"/>
        <v>0</v>
      </c>
      <c r="R28" s="412">
        <v>84</v>
      </c>
      <c r="T28">
        <v>901</v>
      </c>
      <c r="V28">
        <f t="shared" si="4"/>
        <v>0</v>
      </c>
    </row>
    <row r="29" spans="1:22">
      <c r="A29" s="406" t="s">
        <v>177</v>
      </c>
      <c r="B29" s="412">
        <v>86</v>
      </c>
      <c r="C29" s="412">
        <v>86</v>
      </c>
      <c r="D29" s="412">
        <v>0</v>
      </c>
      <c r="E29" s="407">
        <v>0</v>
      </c>
      <c r="F29" s="412">
        <v>-8</v>
      </c>
      <c r="G29" s="407"/>
      <c r="H29" s="407"/>
      <c r="I29" s="407"/>
      <c r="J29" s="412"/>
      <c r="K29" s="412"/>
      <c r="L29" s="412"/>
      <c r="M29" s="412"/>
      <c r="N29" s="412">
        <v>-80</v>
      </c>
      <c r="O29" s="276">
        <f t="shared" si="2"/>
        <v>84</v>
      </c>
      <c r="P29" s="412">
        <f>3+81</f>
        <v>84</v>
      </c>
      <c r="Q29" s="407">
        <f t="shared" si="3"/>
        <v>0</v>
      </c>
      <c r="R29" s="412"/>
      <c r="T29">
        <v>81</v>
      </c>
      <c r="U29">
        <v>3</v>
      </c>
      <c r="V29">
        <f t="shared" si="4"/>
        <v>0</v>
      </c>
    </row>
    <row r="30" spans="1:22">
      <c r="A30" s="406" t="s">
        <v>2155</v>
      </c>
      <c r="B30" s="412">
        <v>371</v>
      </c>
      <c r="C30" s="412">
        <v>353</v>
      </c>
      <c r="D30" s="412"/>
      <c r="E30" s="407"/>
      <c r="F30" s="412"/>
      <c r="G30" s="407"/>
      <c r="H30" s="407"/>
      <c r="I30" s="407"/>
      <c r="J30" s="412"/>
      <c r="K30" s="412"/>
      <c r="L30" s="412">
        <v>-1</v>
      </c>
      <c r="M30" s="412"/>
      <c r="N30" s="412">
        <v>-354</v>
      </c>
      <c r="O30" s="276">
        <f>SUM(B30:N30)</f>
        <v>369</v>
      </c>
      <c r="P30" s="412">
        <v>369</v>
      </c>
      <c r="Q30" s="407">
        <f t="shared" si="3"/>
        <v>0</v>
      </c>
      <c r="R30" s="412">
        <v>369</v>
      </c>
      <c r="V30">
        <f t="shared" si="4"/>
        <v>0</v>
      </c>
    </row>
    <row r="31" spans="1:22">
      <c r="A31" s="406" t="s">
        <v>2156</v>
      </c>
      <c r="B31" s="412">
        <v>410</v>
      </c>
      <c r="C31" s="412">
        <v>148</v>
      </c>
      <c r="D31" s="412"/>
      <c r="E31" s="407"/>
      <c r="F31" s="412"/>
      <c r="G31" s="407"/>
      <c r="H31" s="407"/>
      <c r="I31" s="407"/>
      <c r="J31" s="412"/>
      <c r="K31" s="412"/>
      <c r="L31" s="412">
        <v>-3</v>
      </c>
      <c r="M31" s="412"/>
      <c r="N31" s="412">
        <v>-132</v>
      </c>
      <c r="O31" s="276">
        <f t="shared" ref="O31:O40" si="5">SUM(B31:N31)</f>
        <v>423</v>
      </c>
      <c r="P31" s="412">
        <v>423</v>
      </c>
      <c r="Q31" s="407">
        <f t="shared" si="3"/>
        <v>0</v>
      </c>
      <c r="R31" s="412">
        <v>183</v>
      </c>
      <c r="S31">
        <v>240</v>
      </c>
      <c r="V31">
        <f t="shared" si="4"/>
        <v>0</v>
      </c>
    </row>
    <row r="32" spans="1:22">
      <c r="A32" s="406" t="s">
        <v>175</v>
      </c>
      <c r="B32" s="412">
        <v>353</v>
      </c>
      <c r="C32" s="412">
        <v>286</v>
      </c>
      <c r="D32" s="412"/>
      <c r="E32" s="407"/>
      <c r="F32" s="412"/>
      <c r="G32" s="407"/>
      <c r="H32" s="407"/>
      <c r="I32" s="407"/>
      <c r="J32" s="412"/>
      <c r="K32" s="412"/>
      <c r="L32" s="412">
        <v>-2</v>
      </c>
      <c r="M32" s="412"/>
      <c r="N32" s="412">
        <v>-311</v>
      </c>
      <c r="O32" s="276">
        <f t="shared" si="5"/>
        <v>326</v>
      </c>
      <c r="P32" s="412">
        <v>326</v>
      </c>
      <c r="Q32" s="407">
        <f t="shared" si="3"/>
        <v>0</v>
      </c>
      <c r="R32" s="412">
        <v>325</v>
      </c>
      <c r="U32">
        <v>1</v>
      </c>
      <c r="V32">
        <f t="shared" si="4"/>
        <v>0</v>
      </c>
    </row>
    <row r="33" spans="1:23">
      <c r="A33" s="406" t="s">
        <v>172</v>
      </c>
      <c r="B33" s="412">
        <v>357</v>
      </c>
      <c r="C33" s="412">
        <v>33</v>
      </c>
      <c r="D33" s="412"/>
      <c r="E33" s="407"/>
      <c r="F33" s="412"/>
      <c r="G33" s="407"/>
      <c r="H33" s="407"/>
      <c r="I33" s="407"/>
      <c r="J33" s="412"/>
      <c r="K33" s="412"/>
      <c r="L33" s="412">
        <v>-2</v>
      </c>
      <c r="M33" s="412"/>
      <c r="N33" s="412">
        <v>-61</v>
      </c>
      <c r="O33" s="276">
        <f t="shared" si="5"/>
        <v>327</v>
      </c>
      <c r="P33" s="412">
        <v>327</v>
      </c>
      <c r="Q33" s="407">
        <f t="shared" si="3"/>
        <v>0</v>
      </c>
      <c r="R33" s="412">
        <v>326</v>
      </c>
      <c r="U33">
        <v>1</v>
      </c>
      <c r="V33">
        <f t="shared" si="4"/>
        <v>0</v>
      </c>
    </row>
    <row r="34" spans="1:23">
      <c r="A34" s="406" t="s">
        <v>176</v>
      </c>
      <c r="B34" s="412">
        <v>374</v>
      </c>
      <c r="C34" s="412">
        <v>0</v>
      </c>
      <c r="D34" s="412"/>
      <c r="E34" s="407"/>
      <c r="F34" s="412"/>
      <c r="G34" s="407"/>
      <c r="H34" s="407"/>
      <c r="I34" s="407"/>
      <c r="J34" s="412"/>
      <c r="K34" s="412"/>
      <c r="L34" s="412"/>
      <c r="M34" s="412"/>
      <c r="N34" s="412">
        <v>-16</v>
      </c>
      <c r="O34" s="276">
        <f t="shared" si="5"/>
        <v>358</v>
      </c>
      <c r="P34" s="412">
        <v>358</v>
      </c>
      <c r="Q34" s="407">
        <f t="shared" si="3"/>
        <v>0</v>
      </c>
      <c r="R34" s="412">
        <v>357</v>
      </c>
      <c r="U34">
        <v>1</v>
      </c>
      <c r="V34">
        <f t="shared" si="4"/>
        <v>0</v>
      </c>
    </row>
    <row r="35" spans="1:23">
      <c r="A35" s="406" t="s">
        <v>171</v>
      </c>
      <c r="B35" s="412">
        <v>9</v>
      </c>
      <c r="C35" s="412">
        <v>103</v>
      </c>
      <c r="D35" s="412"/>
      <c r="E35" s="407"/>
      <c r="F35" s="412"/>
      <c r="G35" s="407"/>
      <c r="H35" s="407"/>
      <c r="I35" s="407"/>
      <c r="J35" s="412"/>
      <c r="K35" s="412">
        <v>0</v>
      </c>
      <c r="L35" s="412">
        <f>-4-3</f>
        <v>-7</v>
      </c>
      <c r="M35" s="412">
        <f>-25-29-30-1</f>
        <v>-85</v>
      </c>
      <c r="N35" s="412">
        <v>0</v>
      </c>
      <c r="O35" s="276">
        <f t="shared" si="5"/>
        <v>20</v>
      </c>
      <c r="P35" s="412">
        <v>21</v>
      </c>
      <c r="Q35" s="407">
        <f t="shared" si="3"/>
        <v>-1</v>
      </c>
      <c r="R35" s="412">
        <v>18</v>
      </c>
      <c r="S35">
        <v>3</v>
      </c>
      <c r="V35">
        <f t="shared" si="4"/>
        <v>0</v>
      </c>
    </row>
    <row r="36" spans="1:23">
      <c r="A36" s="406" t="s">
        <v>2157</v>
      </c>
      <c r="B36" s="412">
        <v>299</v>
      </c>
      <c r="C36" s="412">
        <v>136</v>
      </c>
      <c r="D36" s="412"/>
      <c r="E36" s="407"/>
      <c r="F36" s="412"/>
      <c r="G36" s="407"/>
      <c r="H36" s="407"/>
      <c r="I36" s="407"/>
      <c r="J36" s="412"/>
      <c r="K36" s="412"/>
      <c r="L36" s="412">
        <v>-3</v>
      </c>
      <c r="M36" s="412"/>
      <c r="N36" s="412">
        <v>-128</v>
      </c>
      <c r="O36" s="276">
        <f t="shared" si="5"/>
        <v>304</v>
      </c>
      <c r="P36" s="412">
        <v>304</v>
      </c>
      <c r="Q36" s="407">
        <f t="shared" si="3"/>
        <v>0</v>
      </c>
      <c r="R36" s="412"/>
      <c r="S36">
        <v>302</v>
      </c>
      <c r="U36">
        <v>2</v>
      </c>
      <c r="V36">
        <f t="shared" si="4"/>
        <v>0</v>
      </c>
    </row>
    <row r="37" spans="1:23">
      <c r="A37" s="406" t="s">
        <v>2158</v>
      </c>
      <c r="B37" s="412">
        <v>306</v>
      </c>
      <c r="C37" s="412">
        <v>110</v>
      </c>
      <c r="D37" s="412"/>
      <c r="E37" s="407"/>
      <c r="F37" s="412"/>
      <c r="G37" s="407"/>
      <c r="H37" s="407"/>
      <c r="I37" s="407"/>
      <c r="J37" s="412"/>
      <c r="K37" s="412">
        <v>-1</v>
      </c>
      <c r="L37" s="412"/>
      <c r="M37" s="412"/>
      <c r="N37" s="412">
        <v>-113</v>
      </c>
      <c r="O37" s="407">
        <f t="shared" si="5"/>
        <v>302</v>
      </c>
      <c r="P37" s="412">
        <v>302</v>
      </c>
      <c r="Q37" s="407">
        <f t="shared" si="3"/>
        <v>0</v>
      </c>
      <c r="R37" s="412"/>
      <c r="S37">
        <v>302</v>
      </c>
      <c r="V37">
        <f t="shared" si="4"/>
        <v>0</v>
      </c>
    </row>
    <row r="38" spans="1:23">
      <c r="A38" s="406" t="s">
        <v>114</v>
      </c>
      <c r="B38" s="412">
        <v>22</v>
      </c>
      <c r="C38" s="412"/>
      <c r="D38" s="412"/>
      <c r="E38" s="407"/>
      <c r="F38" s="412"/>
      <c r="G38" s="407"/>
      <c r="H38" s="407"/>
      <c r="I38" s="407"/>
      <c r="J38" s="412"/>
      <c r="K38" s="412"/>
      <c r="L38" s="412"/>
      <c r="M38" s="412"/>
      <c r="N38" s="412"/>
      <c r="O38" s="407">
        <f t="shared" si="5"/>
        <v>22</v>
      </c>
      <c r="P38" s="412">
        <v>22</v>
      </c>
      <c r="Q38" s="407">
        <f t="shared" si="3"/>
        <v>0</v>
      </c>
      <c r="R38" s="412"/>
      <c r="U38">
        <v>22</v>
      </c>
      <c r="V38">
        <f t="shared" si="4"/>
        <v>0</v>
      </c>
    </row>
    <row r="39" spans="1:23">
      <c r="A39" s="406" t="s">
        <v>178</v>
      </c>
      <c r="B39" s="412">
        <v>0</v>
      </c>
      <c r="C39" s="412">
        <f>6+147+12</f>
        <v>165</v>
      </c>
      <c r="D39" s="412"/>
      <c r="E39" s="407"/>
      <c r="F39" s="412"/>
      <c r="G39" s="407"/>
      <c r="H39" s="407"/>
      <c r="I39" s="407"/>
      <c r="J39" s="412"/>
      <c r="K39" s="412">
        <v>-2</v>
      </c>
      <c r="L39" s="412">
        <v>-2</v>
      </c>
      <c r="M39" s="412"/>
      <c r="N39" s="412">
        <v>-34</v>
      </c>
      <c r="O39" s="407">
        <f t="shared" si="5"/>
        <v>127</v>
      </c>
      <c r="P39" s="412">
        <v>127</v>
      </c>
      <c r="Q39" s="407">
        <f t="shared" si="3"/>
        <v>0</v>
      </c>
      <c r="R39" s="412">
        <f>117-6</f>
        <v>111</v>
      </c>
      <c r="S39">
        <v>6</v>
      </c>
      <c r="U39">
        <v>10</v>
      </c>
      <c r="V39">
        <f t="shared" si="4"/>
        <v>0</v>
      </c>
    </row>
    <row r="40" spans="1:23">
      <c r="A40" s="406"/>
      <c r="B40" s="412"/>
      <c r="C40" s="412"/>
      <c r="D40" s="412"/>
      <c r="E40" s="407"/>
      <c r="F40" s="412"/>
      <c r="G40" s="407"/>
      <c r="H40" s="407"/>
      <c r="I40" s="407"/>
      <c r="J40" s="412"/>
      <c r="K40" s="412"/>
      <c r="L40" s="412"/>
      <c r="M40" s="412"/>
      <c r="N40" s="412"/>
      <c r="O40" s="407">
        <f t="shared" si="5"/>
        <v>0</v>
      </c>
      <c r="P40" s="412">
        <v>0</v>
      </c>
      <c r="Q40" s="407"/>
      <c r="R40" s="412"/>
      <c r="V40">
        <f t="shared" si="4"/>
        <v>0</v>
      </c>
    </row>
    <row r="41" spans="1:23">
      <c r="A41" s="406"/>
      <c r="B41" s="412"/>
      <c r="C41" s="412"/>
      <c r="D41" s="412"/>
      <c r="E41" s="407"/>
      <c r="F41" s="412"/>
      <c r="G41" s="407"/>
      <c r="H41" s="407"/>
      <c r="I41" s="407"/>
      <c r="J41" s="412"/>
      <c r="K41" s="412"/>
      <c r="L41" s="412"/>
      <c r="M41" s="412"/>
      <c r="N41" s="412"/>
      <c r="O41" s="407"/>
      <c r="P41" s="412"/>
      <c r="Q41" s="407"/>
      <c r="R41" s="412"/>
      <c r="V41">
        <f t="shared" si="4"/>
        <v>0</v>
      </c>
    </row>
    <row r="42" spans="1:23">
      <c r="A42" s="409" t="s">
        <v>71</v>
      </c>
      <c r="B42" s="417">
        <f>SUM(B24:B41)</f>
        <v>6880</v>
      </c>
      <c r="C42" s="417">
        <f>SUM(C24:C28)</f>
        <v>636</v>
      </c>
      <c r="D42" s="417">
        <f>SUM(D24:D28)</f>
        <v>4624</v>
      </c>
      <c r="E42" s="418">
        <f>SUM(E24:E29)</f>
        <v>-343</v>
      </c>
      <c r="F42" s="417">
        <f>SUM(F24:F37)</f>
        <v>-500</v>
      </c>
      <c r="G42" s="418"/>
      <c r="H42" s="418"/>
      <c r="I42" s="418">
        <f>SUM(I24:I28)</f>
        <v>-124</v>
      </c>
      <c r="J42" s="417">
        <f t="shared" ref="J42:P42" si="6">SUM(J24:J41)</f>
        <v>-3939</v>
      </c>
      <c r="K42" s="417">
        <f t="shared" si="6"/>
        <v>-3</v>
      </c>
      <c r="L42" s="417">
        <f t="shared" si="6"/>
        <v>-32</v>
      </c>
      <c r="M42" s="417">
        <f t="shared" si="6"/>
        <v>-85</v>
      </c>
      <c r="N42" s="417">
        <f t="shared" si="6"/>
        <v>-1787</v>
      </c>
      <c r="O42" s="417">
        <f t="shared" si="6"/>
        <v>6747</v>
      </c>
      <c r="P42" s="417">
        <f t="shared" si="6"/>
        <v>6748</v>
      </c>
      <c r="Q42" s="418">
        <f>SUM(Q24:Q39)</f>
        <v>-1</v>
      </c>
      <c r="R42" s="419"/>
      <c r="S42" s="22"/>
      <c r="T42" s="22"/>
      <c r="U42" s="22"/>
      <c r="V42" t="s">
        <v>138</v>
      </c>
      <c r="W42" s="22"/>
    </row>
    <row r="43" spans="1:23">
      <c r="B43" s="94" t="s">
        <v>138</v>
      </c>
      <c r="C43" s="94"/>
      <c r="D43" t="s">
        <v>138</v>
      </c>
      <c r="F43" t="s">
        <v>138</v>
      </c>
      <c r="M43">
        <f>+'Summary Total Pigs'!X16</f>
        <v>-40</v>
      </c>
      <c r="O43">
        <f>+[108]Pigs!P50</f>
        <v>0</v>
      </c>
      <c r="P43" t="s">
        <v>138</v>
      </c>
      <c r="R43">
        <f>SUM(R24:R42)</f>
        <v>2131</v>
      </c>
      <c r="S43">
        <f>SUM(S24:S42)</f>
        <v>853</v>
      </c>
      <c r="T43">
        <f>SUM(T24:T42)</f>
        <v>3724</v>
      </c>
      <c r="U43">
        <f>SUM(U24:U42)</f>
        <v>40</v>
      </c>
      <c r="V43">
        <f>SUM(V24:V42)</f>
        <v>0</v>
      </c>
      <c r="W43">
        <f>+R43+S43+U43</f>
        <v>3024</v>
      </c>
    </row>
    <row r="44" spans="1:23">
      <c r="B44" s="94">
        <v>6859</v>
      </c>
      <c r="C44" s="94"/>
      <c r="F44">
        <f>27+8</f>
        <v>35</v>
      </c>
      <c r="P44" s="94">
        <f>+'Summary Total Pigs'!AF12+'Summary Total Pigs'!AF16+'Summary Total Pigs'!AF15+'Summary Total Pigs'!AF17</f>
        <v>8016</v>
      </c>
      <c r="R44">
        <f>+'Summary Total Pigs'!AE16</f>
        <v>2155</v>
      </c>
      <c r="S44" s="94">
        <f>+'Summary Total Pigs'!AF15</f>
        <v>629</v>
      </c>
      <c r="T44" s="94"/>
      <c r="U44" s="94">
        <f>+'Summary Total Pigs'!AF17-22</f>
        <v>14</v>
      </c>
    </row>
    <row r="45" spans="1:23">
      <c r="P45" s="94">
        <f>+P42-P44</f>
        <v>-1268</v>
      </c>
      <c r="R45">
        <f>+R43-R44</f>
        <v>-24</v>
      </c>
    </row>
    <row r="46" spans="1:23">
      <c r="N46" s="94">
        <f>+'Summary Total Pigs'!AF16+'Summary Total Pigs'!AF15+8</f>
        <v>2792</v>
      </c>
    </row>
    <row r="47" spans="1:23">
      <c r="A47" s="17" t="s">
        <v>56</v>
      </c>
      <c r="S47">
        <f>100+1405-106-151-7</f>
        <v>1241</v>
      </c>
    </row>
    <row r="48" spans="1:23">
      <c r="A48" s="17"/>
    </row>
    <row r="49" spans="1:42">
      <c r="A49" s="17" t="s">
        <v>2159</v>
      </c>
    </row>
    <row r="50" spans="1:42">
      <c r="X50" t="s">
        <v>384</v>
      </c>
    </row>
    <row r="51" spans="1:42">
      <c r="A51" s="406"/>
      <c r="B51" s="416" t="s">
        <v>221</v>
      </c>
      <c r="C51" s="414" t="s">
        <v>2160</v>
      </c>
      <c r="D51" s="414" t="s">
        <v>2137</v>
      </c>
      <c r="E51" s="416" t="s">
        <v>2138</v>
      </c>
      <c r="F51" s="414" t="s">
        <v>169</v>
      </c>
      <c r="G51" s="414" t="str">
        <f>+F51</f>
        <v>Mortality</v>
      </c>
      <c r="H51" s="414" t="str">
        <f>+G51</f>
        <v>Mortality</v>
      </c>
      <c r="I51" s="416" t="s">
        <v>2139</v>
      </c>
      <c r="J51" s="414" t="s">
        <v>2140</v>
      </c>
      <c r="K51" s="416" t="s">
        <v>1838</v>
      </c>
      <c r="L51" s="414" t="s">
        <v>186</v>
      </c>
      <c r="M51" s="414" t="s">
        <v>2161</v>
      </c>
      <c r="N51" s="414" t="s">
        <v>2141</v>
      </c>
      <c r="O51" s="416" t="s">
        <v>422</v>
      </c>
      <c r="P51" s="414" t="s">
        <v>2142</v>
      </c>
      <c r="Q51" s="416" t="s">
        <v>2143</v>
      </c>
      <c r="R51" s="416"/>
      <c r="Y51" t="str">
        <f>+B51</f>
        <v>Opening</v>
      </c>
      <c r="Z51" t="str">
        <f t="shared" ref="Z51:AC52" si="7">+D51</f>
        <v>Total born</v>
      </c>
      <c r="AA51" t="str">
        <f t="shared" si="7"/>
        <v>Born dead</v>
      </c>
      <c r="AB51" t="str">
        <f t="shared" si="7"/>
        <v>Mortality</v>
      </c>
      <c r="AC51" t="str">
        <f t="shared" si="7"/>
        <v>Mortality</v>
      </c>
      <c r="AD51" t="str">
        <f t="shared" ref="AD51:AE57" si="8">+I51</f>
        <v>F1 weaner</v>
      </c>
      <c r="AE51" t="str">
        <f t="shared" si="8"/>
        <v>Weaner</v>
      </c>
      <c r="AF51" t="str">
        <f>+O51</f>
        <v>Closing</v>
      </c>
      <c r="AG51" t="str">
        <f>+P51</f>
        <v>Stocktake</v>
      </c>
      <c r="AH51" t="s">
        <v>138</v>
      </c>
      <c r="AK51">
        <f>267+823</f>
        <v>1090</v>
      </c>
      <c r="AO51" t="str">
        <f>+Z51</f>
        <v>Total born</v>
      </c>
      <c r="AP51" t="str">
        <f>+AA51</f>
        <v>Born dead</v>
      </c>
    </row>
    <row r="52" spans="1:42">
      <c r="A52" s="415"/>
      <c r="B52" s="413"/>
      <c r="C52" s="410"/>
      <c r="D52" s="410"/>
      <c r="E52" s="413"/>
      <c r="F52" s="410" t="s">
        <v>384</v>
      </c>
      <c r="G52" s="410" t="s">
        <v>55</v>
      </c>
      <c r="H52" s="410" t="s">
        <v>50</v>
      </c>
      <c r="I52" s="413"/>
      <c r="J52" s="410"/>
      <c r="K52" s="413"/>
      <c r="L52" s="410"/>
      <c r="M52" s="410"/>
      <c r="N52" s="410"/>
      <c r="O52" s="413"/>
      <c r="P52" s="410"/>
      <c r="Q52" s="413"/>
      <c r="R52" s="413" t="s">
        <v>384</v>
      </c>
      <c r="S52" t="s">
        <v>55</v>
      </c>
      <c r="U52" t="s">
        <v>79</v>
      </c>
      <c r="V52" s="1" t="s">
        <v>50</v>
      </c>
      <c r="W52" s="1"/>
      <c r="Z52">
        <f t="shared" si="7"/>
        <v>0</v>
      </c>
      <c r="AA52">
        <f t="shared" si="7"/>
        <v>0</v>
      </c>
      <c r="AB52" t="str">
        <f t="shared" si="7"/>
        <v>Piglets</v>
      </c>
      <c r="AC52" t="str">
        <f t="shared" si="7"/>
        <v>Sows</v>
      </c>
      <c r="AD52">
        <f t="shared" si="8"/>
        <v>0</v>
      </c>
      <c r="AE52">
        <f t="shared" si="8"/>
        <v>0</v>
      </c>
      <c r="AF52">
        <f>+K52</f>
        <v>0</v>
      </c>
      <c r="AG52">
        <f>+N52</f>
        <v>0</v>
      </c>
      <c r="AH52" t="s">
        <v>138</v>
      </c>
      <c r="AL52">
        <f>11+68</f>
        <v>79</v>
      </c>
      <c r="AO52">
        <f>+Z52</f>
        <v>0</v>
      </c>
      <c r="AP52">
        <f>+AA52</f>
        <v>0</v>
      </c>
    </row>
    <row r="53" spans="1:42">
      <c r="A53" s="276" t="s">
        <v>2146</v>
      </c>
      <c r="B53" s="276">
        <v>79</v>
      </c>
      <c r="C53" s="275">
        <f>2+55+3+26+6</f>
        <v>92</v>
      </c>
      <c r="D53" s="275">
        <f>830+79+29+110+65+10+7</f>
        <v>1130</v>
      </c>
      <c r="E53" s="432">
        <f>-68-15-2-11-7</f>
        <v>-103</v>
      </c>
      <c r="F53" s="275">
        <f>-14-3-1-7-24-2-11-3-6-10-6-6-2-8-7-1-7-1-4-1-1-1-2-2-1</f>
        <v>-131</v>
      </c>
      <c r="G53" s="425">
        <v>0</v>
      </c>
      <c r="H53" s="275"/>
      <c r="I53" s="426">
        <v>-36</v>
      </c>
      <c r="J53" s="275">
        <v>-1031</v>
      </c>
      <c r="K53" s="275"/>
      <c r="L53" s="275"/>
      <c r="M53" s="275"/>
      <c r="N53" s="275">
        <v>-94</v>
      </c>
      <c r="O53" s="276">
        <f t="shared" ref="O53:O58" si="9">SUM(B53:N53)</f>
        <v>-94</v>
      </c>
      <c r="P53" s="276">
        <v>79</v>
      </c>
      <c r="Q53" s="276">
        <f>+O53-P53</f>
        <v>-173</v>
      </c>
      <c r="R53" s="276">
        <v>0</v>
      </c>
      <c r="S53">
        <f>+P53-R53</f>
        <v>79</v>
      </c>
      <c r="X53" t="str">
        <f t="shared" ref="X53:X58" si="10">+A53</f>
        <v>FH1</v>
      </c>
      <c r="Y53">
        <v>822</v>
      </c>
      <c r="Z53" s="94">
        <f t="shared" ref="Z53:AB57" si="11">+D53</f>
        <v>1130</v>
      </c>
      <c r="AA53" s="94">
        <f t="shared" si="11"/>
        <v>-103</v>
      </c>
      <c r="AB53" s="94">
        <f t="shared" si="11"/>
        <v>-131</v>
      </c>
      <c r="AC53" s="94"/>
      <c r="AD53" s="94">
        <f t="shared" si="8"/>
        <v>-36</v>
      </c>
      <c r="AE53" s="94">
        <f t="shared" si="8"/>
        <v>-1031</v>
      </c>
      <c r="AF53" s="94">
        <f t="shared" ref="AF53:AF58" si="12">SUM(Y53:AE53)</f>
        <v>651</v>
      </c>
      <c r="AG53">
        <v>1037</v>
      </c>
      <c r="AH53" s="94">
        <f>+AF53-AG53</f>
        <v>-386</v>
      </c>
      <c r="AL53">
        <f>122+21</f>
        <v>143</v>
      </c>
    </row>
    <row r="54" spans="1:42">
      <c r="A54" s="276" t="s">
        <v>2147</v>
      </c>
      <c r="B54" s="276">
        <v>1061</v>
      </c>
      <c r="C54" s="275">
        <v>4</v>
      </c>
      <c r="D54" s="275">
        <v>1194</v>
      </c>
      <c r="E54" s="275">
        <v>-133</v>
      </c>
      <c r="F54" s="275">
        <v>-88</v>
      </c>
      <c r="G54" s="425">
        <v>-2</v>
      </c>
      <c r="H54" s="275"/>
      <c r="I54" s="426"/>
      <c r="J54" s="275"/>
      <c r="K54" s="275"/>
      <c r="L54" s="275"/>
      <c r="M54" s="275"/>
      <c r="N54" s="275"/>
      <c r="O54" s="276">
        <f t="shared" si="9"/>
        <v>2036</v>
      </c>
      <c r="P54" s="276">
        <v>1061</v>
      </c>
      <c r="Q54" s="276">
        <f t="shared" ref="Q54:Q66" si="13">+O54-P54</f>
        <v>975</v>
      </c>
      <c r="R54" s="276">
        <v>973</v>
      </c>
      <c r="S54">
        <f>+P54-R54</f>
        <v>88</v>
      </c>
      <c r="X54" t="str">
        <f t="shared" si="10"/>
        <v>FH2</v>
      </c>
      <c r="Y54">
        <v>898</v>
      </c>
      <c r="Z54" s="94">
        <f t="shared" si="11"/>
        <v>1194</v>
      </c>
      <c r="AA54" s="94">
        <f t="shared" si="11"/>
        <v>-133</v>
      </c>
      <c r="AB54" s="94">
        <f t="shared" si="11"/>
        <v>-88</v>
      </c>
      <c r="AC54" s="94"/>
      <c r="AD54" s="94">
        <f t="shared" si="8"/>
        <v>0</v>
      </c>
      <c r="AE54" s="94">
        <f t="shared" si="8"/>
        <v>0</v>
      </c>
      <c r="AF54" s="94">
        <f t="shared" si="12"/>
        <v>1871</v>
      </c>
      <c r="AG54">
        <v>1142</v>
      </c>
      <c r="AH54" s="94">
        <f>+AF54-AG54</f>
        <v>729</v>
      </c>
    </row>
    <row r="55" spans="1:42">
      <c r="A55" s="276" t="s">
        <v>2148</v>
      </c>
      <c r="B55" s="276">
        <v>1069</v>
      </c>
      <c r="C55" s="275">
        <v>88</v>
      </c>
      <c r="D55" s="275">
        <v>1172</v>
      </c>
      <c r="E55" s="275">
        <v>-134</v>
      </c>
      <c r="F55" s="275">
        <v>-78</v>
      </c>
      <c r="G55" s="425">
        <v>-1</v>
      </c>
      <c r="H55" s="275"/>
      <c r="I55" s="426">
        <v>-50</v>
      </c>
      <c r="J55" s="275">
        <v>-902</v>
      </c>
      <c r="K55" s="275"/>
      <c r="L55" s="275"/>
      <c r="M55" s="275"/>
      <c r="N55" s="275">
        <v>-97</v>
      </c>
      <c r="O55" s="276">
        <f t="shared" si="9"/>
        <v>1067</v>
      </c>
      <c r="P55" s="276">
        <v>1069</v>
      </c>
      <c r="Q55" s="276">
        <f t="shared" si="13"/>
        <v>-2</v>
      </c>
      <c r="R55" s="276">
        <v>984</v>
      </c>
      <c r="S55">
        <v>85</v>
      </c>
      <c r="X55" t="str">
        <f t="shared" si="10"/>
        <v>FH3</v>
      </c>
      <c r="Y55">
        <v>925</v>
      </c>
      <c r="Z55" s="94">
        <f t="shared" si="11"/>
        <v>1172</v>
      </c>
      <c r="AA55" s="94">
        <f t="shared" si="11"/>
        <v>-134</v>
      </c>
      <c r="AB55" s="94">
        <f t="shared" si="11"/>
        <v>-78</v>
      </c>
      <c r="AC55" s="94"/>
      <c r="AD55" s="94">
        <f t="shared" si="8"/>
        <v>-50</v>
      </c>
      <c r="AE55" s="94">
        <f t="shared" si="8"/>
        <v>-902</v>
      </c>
      <c r="AF55" s="94">
        <f t="shared" si="12"/>
        <v>933</v>
      </c>
      <c r="AG55">
        <v>1113</v>
      </c>
      <c r="AH55" s="94">
        <f>+AF55-AG55</f>
        <v>-180</v>
      </c>
    </row>
    <row r="56" spans="1:42">
      <c r="A56" s="276" t="s">
        <v>2149</v>
      </c>
      <c r="B56" s="276">
        <v>1131</v>
      </c>
      <c r="C56" s="275">
        <v>97</v>
      </c>
      <c r="D56" s="275">
        <v>1247</v>
      </c>
      <c r="E56" s="275">
        <v>-108</v>
      </c>
      <c r="F56" s="275">
        <v>-142</v>
      </c>
      <c r="G56" s="425">
        <v>-1</v>
      </c>
      <c r="H56" s="275"/>
      <c r="I56" s="426">
        <v>-51</v>
      </c>
      <c r="J56" s="275">
        <v>-923</v>
      </c>
      <c r="K56" s="275"/>
      <c r="L56" s="275"/>
      <c r="M56" s="275"/>
      <c r="N56" s="275">
        <v>-90</v>
      </c>
      <c r="O56" s="276">
        <f t="shared" si="9"/>
        <v>1160</v>
      </c>
      <c r="P56" s="276">
        <v>1131</v>
      </c>
      <c r="Q56" s="276">
        <f t="shared" si="13"/>
        <v>29</v>
      </c>
      <c r="R56" s="276">
        <v>1036</v>
      </c>
      <c r="S56">
        <f>+P56-R56</f>
        <v>95</v>
      </c>
      <c r="X56" t="str">
        <f t="shared" si="10"/>
        <v>FH4</v>
      </c>
      <c r="Y56">
        <v>719</v>
      </c>
      <c r="Z56" s="94">
        <f t="shared" si="11"/>
        <v>1247</v>
      </c>
      <c r="AA56" s="94">
        <f t="shared" si="11"/>
        <v>-108</v>
      </c>
      <c r="AB56" s="94">
        <f t="shared" si="11"/>
        <v>-142</v>
      </c>
      <c r="AC56" s="94"/>
      <c r="AD56" s="94">
        <f t="shared" si="8"/>
        <v>-51</v>
      </c>
      <c r="AE56" s="94">
        <f t="shared" si="8"/>
        <v>-923</v>
      </c>
      <c r="AF56" s="94">
        <f t="shared" si="12"/>
        <v>742</v>
      </c>
      <c r="AG56">
        <v>734</v>
      </c>
      <c r="AH56" s="94">
        <f>+AF56-AG56</f>
        <v>8</v>
      </c>
    </row>
    <row r="57" spans="1:42">
      <c r="A57" s="276" t="s">
        <v>2150</v>
      </c>
      <c r="B57" s="276">
        <v>976</v>
      </c>
      <c r="C57" s="275">
        <v>99</v>
      </c>
      <c r="D57" s="275">
        <v>984</v>
      </c>
      <c r="E57" s="275">
        <v>-75</v>
      </c>
      <c r="F57" s="275">
        <v>-142</v>
      </c>
      <c r="G57" s="425"/>
      <c r="H57" s="275"/>
      <c r="I57" s="426">
        <v>-36</v>
      </c>
      <c r="J57" s="275">
        <v>-969</v>
      </c>
      <c r="K57" s="275"/>
      <c r="L57" s="275"/>
      <c r="M57" s="275"/>
      <c r="N57" s="427">
        <v>-96</v>
      </c>
      <c r="O57" s="276">
        <f t="shared" si="9"/>
        <v>741</v>
      </c>
      <c r="P57" s="276">
        <v>976</v>
      </c>
      <c r="Q57" s="276">
        <f t="shared" si="13"/>
        <v>-235</v>
      </c>
      <c r="R57" s="412">
        <v>892</v>
      </c>
      <c r="S57">
        <f>+P57-R57</f>
        <v>84</v>
      </c>
      <c r="X57" t="str">
        <f t="shared" si="10"/>
        <v>FH5</v>
      </c>
      <c r="Y57">
        <v>0</v>
      </c>
      <c r="Z57" s="94">
        <f t="shared" si="11"/>
        <v>984</v>
      </c>
      <c r="AA57" s="94">
        <f t="shared" si="11"/>
        <v>-75</v>
      </c>
      <c r="AB57" s="94">
        <f t="shared" si="11"/>
        <v>-142</v>
      </c>
      <c r="AD57" s="94">
        <f t="shared" si="8"/>
        <v>-36</v>
      </c>
      <c r="AE57" s="94">
        <f t="shared" si="8"/>
        <v>-969</v>
      </c>
      <c r="AF57" s="94">
        <f t="shared" si="12"/>
        <v>-238</v>
      </c>
      <c r="AH57" s="94">
        <f>+AF57-AG57</f>
        <v>-238</v>
      </c>
    </row>
    <row r="58" spans="1:42">
      <c r="A58" s="406" t="s">
        <v>177</v>
      </c>
      <c r="B58" s="412">
        <v>2</v>
      </c>
      <c r="C58" s="412"/>
      <c r="D58" s="412"/>
      <c r="E58" s="407"/>
      <c r="F58" s="412"/>
      <c r="G58" s="407"/>
      <c r="H58" s="412"/>
      <c r="I58" s="407"/>
      <c r="J58" s="412"/>
      <c r="K58" s="412"/>
      <c r="L58" s="412"/>
      <c r="M58" s="412"/>
      <c r="N58" s="428">
        <v>-1</v>
      </c>
      <c r="O58" s="276">
        <f t="shared" si="9"/>
        <v>1</v>
      </c>
      <c r="P58" s="412">
        <v>2</v>
      </c>
      <c r="Q58" s="407">
        <f t="shared" si="13"/>
        <v>-1</v>
      </c>
      <c r="R58" s="412">
        <v>0</v>
      </c>
      <c r="S58">
        <v>0</v>
      </c>
      <c r="U58">
        <v>2</v>
      </c>
      <c r="X58" t="str">
        <f t="shared" si="10"/>
        <v>FH6</v>
      </c>
      <c r="Y58">
        <v>0</v>
      </c>
      <c r="AF58" s="94">
        <f t="shared" si="12"/>
        <v>0</v>
      </c>
    </row>
    <row r="59" spans="1:42">
      <c r="A59" s="406" t="s">
        <v>2155</v>
      </c>
      <c r="B59" s="412">
        <v>357</v>
      </c>
      <c r="C59" s="412">
        <v>364</v>
      </c>
      <c r="D59" s="412">
        <v>0</v>
      </c>
      <c r="E59" s="407"/>
      <c r="F59" s="412"/>
      <c r="G59" s="425">
        <v>-2</v>
      </c>
      <c r="H59" s="412"/>
      <c r="I59" s="407"/>
      <c r="J59" s="412"/>
      <c r="K59" s="412"/>
      <c r="L59" s="412"/>
      <c r="M59" s="412"/>
      <c r="N59" s="428">
        <v>-390</v>
      </c>
      <c r="O59" s="276">
        <f>SUM(B59:N59)</f>
        <v>329</v>
      </c>
      <c r="P59" s="412">
        <v>357</v>
      </c>
      <c r="Q59" s="407" t="s">
        <v>138</v>
      </c>
      <c r="R59" s="412"/>
      <c r="S59">
        <v>357</v>
      </c>
      <c r="U59">
        <v>0</v>
      </c>
      <c r="AF59" s="94">
        <f>SUM(Z59:AE59)</f>
        <v>0</v>
      </c>
      <c r="AI59">
        <v>719</v>
      </c>
      <c r="AK59">
        <v>267</v>
      </c>
      <c r="AL59">
        <v>-11</v>
      </c>
      <c r="AM59">
        <v>-122</v>
      </c>
      <c r="AN59">
        <v>-54</v>
      </c>
      <c r="AO59">
        <v>-810</v>
      </c>
      <c r="AP59">
        <f>SUM(AI59:AO59)</f>
        <v>-11</v>
      </c>
    </row>
    <row r="60" spans="1:42">
      <c r="A60" s="406" t="s">
        <v>2156</v>
      </c>
      <c r="B60" s="412">
        <v>435</v>
      </c>
      <c r="C60" s="412">
        <v>114</v>
      </c>
      <c r="D60" s="412"/>
      <c r="E60" s="407"/>
      <c r="F60" s="412"/>
      <c r="G60" s="425">
        <v>-3</v>
      </c>
      <c r="H60" s="412"/>
      <c r="I60" s="407"/>
      <c r="J60" s="412"/>
      <c r="K60" s="412"/>
      <c r="L60" s="412"/>
      <c r="M60" s="412"/>
      <c r="N60" s="428">
        <v>-69</v>
      </c>
      <c r="O60" s="276">
        <f t="shared" ref="O60:O66" si="14">SUM(B60:N60)</f>
        <v>477</v>
      </c>
      <c r="P60" s="412">
        <v>435</v>
      </c>
      <c r="Q60" s="407">
        <f t="shared" si="13"/>
        <v>42</v>
      </c>
      <c r="R60" s="412"/>
      <c r="S60">
        <v>196</v>
      </c>
      <c r="V60">
        <v>239</v>
      </c>
      <c r="X60" t="str">
        <f t="shared" ref="X60:X69" si="15">+A53</f>
        <v>FH1</v>
      </c>
      <c r="Y60">
        <f t="shared" ref="Y60:Y65" si="16">+B53-Y53</f>
        <v>-743</v>
      </c>
      <c r="Z60" s="94">
        <f>+C53</f>
        <v>92</v>
      </c>
      <c r="AA60" t="e">
        <f>+X60/Z60</f>
        <v>#VALUE!</v>
      </c>
      <c r="AI60">
        <f>809-AI59</f>
        <v>90</v>
      </c>
      <c r="AJ60">
        <v>3</v>
      </c>
      <c r="AO60">
        <v>-82</v>
      </c>
      <c r="AP60">
        <f>SUM(AI60:AO60)</f>
        <v>11</v>
      </c>
    </row>
    <row r="61" spans="1:42">
      <c r="A61" s="406" t="s">
        <v>175</v>
      </c>
      <c r="B61" s="412">
        <v>382</v>
      </c>
      <c r="C61" s="412">
        <v>160</v>
      </c>
      <c r="D61" s="412"/>
      <c r="E61" s="407"/>
      <c r="F61" s="412"/>
      <c r="G61" s="429">
        <v>-5</v>
      </c>
      <c r="H61" s="412"/>
      <c r="I61" s="407"/>
      <c r="J61" s="412"/>
      <c r="K61" s="412"/>
      <c r="L61" s="412"/>
      <c r="M61" s="412"/>
      <c r="N61" s="428">
        <v>-99</v>
      </c>
      <c r="O61" s="276">
        <f t="shared" si="14"/>
        <v>438</v>
      </c>
      <c r="P61" s="412">
        <v>382</v>
      </c>
      <c r="Q61" s="407">
        <f t="shared" si="13"/>
        <v>56</v>
      </c>
      <c r="R61" s="412"/>
      <c r="S61">
        <v>381</v>
      </c>
      <c r="U61">
        <v>1</v>
      </c>
      <c r="X61" t="str">
        <f t="shared" si="15"/>
        <v>FH2</v>
      </c>
      <c r="Y61">
        <f t="shared" si="16"/>
        <v>163</v>
      </c>
      <c r="Z61" s="94">
        <f t="shared" ref="Z61:Z69" si="17">+C54</f>
        <v>4</v>
      </c>
    </row>
    <row r="62" spans="1:42">
      <c r="A62" s="406" t="s">
        <v>172</v>
      </c>
      <c r="B62" s="412">
        <v>332</v>
      </c>
      <c r="C62" s="412">
        <v>193</v>
      </c>
      <c r="D62" s="412"/>
      <c r="E62" s="407"/>
      <c r="F62" s="412"/>
      <c r="G62" s="429">
        <v>-4</v>
      </c>
      <c r="H62" s="412"/>
      <c r="I62" s="407"/>
      <c r="J62" s="412"/>
      <c r="K62" s="412"/>
      <c r="L62" s="412"/>
      <c r="M62" s="412"/>
      <c r="N62" s="428">
        <v>-213</v>
      </c>
      <c r="O62" s="276">
        <f t="shared" si="14"/>
        <v>308</v>
      </c>
      <c r="P62" s="412">
        <v>332</v>
      </c>
      <c r="Q62" s="407">
        <f t="shared" si="13"/>
        <v>-24</v>
      </c>
      <c r="R62" s="412"/>
      <c r="S62">
        <v>331</v>
      </c>
      <c r="U62">
        <v>1</v>
      </c>
      <c r="V62">
        <v>0</v>
      </c>
      <c r="X62" t="str">
        <f t="shared" si="15"/>
        <v>FH3</v>
      </c>
      <c r="Y62">
        <f t="shared" si="16"/>
        <v>144</v>
      </c>
      <c r="Z62" s="94">
        <f t="shared" si="17"/>
        <v>88</v>
      </c>
      <c r="AA62" t="e">
        <f>+AA60*260</f>
        <v>#VALUE!</v>
      </c>
      <c r="AI62">
        <v>809</v>
      </c>
      <c r="AJ62">
        <v>3</v>
      </c>
      <c r="AK62">
        <v>267</v>
      </c>
      <c r="AL62">
        <v>-11</v>
      </c>
      <c r="AM62">
        <v>-122</v>
      </c>
      <c r="AN62">
        <v>-864</v>
      </c>
      <c r="AO62">
        <v>-82</v>
      </c>
      <c r="AP62">
        <f>SUM(AI62:AO62)</f>
        <v>0</v>
      </c>
    </row>
    <row r="63" spans="1:42">
      <c r="A63" s="406" t="s">
        <v>176</v>
      </c>
      <c r="B63" s="412">
        <v>354</v>
      </c>
      <c r="C63" s="412">
        <v>33</v>
      </c>
      <c r="D63" s="412"/>
      <c r="E63" s="407"/>
      <c r="F63" s="412"/>
      <c r="G63" s="429">
        <v>-2</v>
      </c>
      <c r="H63" s="412"/>
      <c r="I63" s="407"/>
      <c r="J63" s="412"/>
      <c r="K63" s="412"/>
      <c r="L63" s="412"/>
      <c r="M63" s="412"/>
      <c r="N63" s="428">
        <v>-47</v>
      </c>
      <c r="O63" s="276">
        <f t="shared" si="14"/>
        <v>338</v>
      </c>
      <c r="P63" s="412">
        <v>354</v>
      </c>
      <c r="Q63" s="407">
        <f t="shared" si="13"/>
        <v>-16</v>
      </c>
      <c r="R63" s="412"/>
      <c r="S63">
        <v>353</v>
      </c>
      <c r="U63">
        <v>1</v>
      </c>
      <c r="X63" t="str">
        <f t="shared" si="15"/>
        <v>FH4</v>
      </c>
      <c r="Y63">
        <f t="shared" si="16"/>
        <v>412</v>
      </c>
      <c r="Z63" s="94">
        <f t="shared" si="17"/>
        <v>97</v>
      </c>
    </row>
    <row r="64" spans="1:42">
      <c r="A64" s="406" t="s">
        <v>171</v>
      </c>
      <c r="B64" s="412">
        <v>16</v>
      </c>
      <c r="C64" s="412">
        <v>93</v>
      </c>
      <c r="D64" s="412"/>
      <c r="E64" s="407"/>
      <c r="F64" s="412"/>
      <c r="G64" s="429">
        <v>-1</v>
      </c>
      <c r="H64" s="412"/>
      <c r="I64" s="407"/>
      <c r="J64" s="412"/>
      <c r="K64" s="412"/>
      <c r="L64" s="412"/>
      <c r="M64" s="412"/>
      <c r="N64" s="428">
        <v>-87</v>
      </c>
      <c r="O64" s="276">
        <f t="shared" si="14"/>
        <v>21</v>
      </c>
      <c r="P64" s="412">
        <v>16</v>
      </c>
      <c r="Q64" s="407">
        <f t="shared" si="13"/>
        <v>5</v>
      </c>
      <c r="R64" s="412"/>
      <c r="S64">
        <v>13</v>
      </c>
      <c r="V64">
        <v>3</v>
      </c>
      <c r="X64" t="str">
        <f t="shared" si="15"/>
        <v>FH5</v>
      </c>
      <c r="Y64">
        <f t="shared" si="16"/>
        <v>976</v>
      </c>
      <c r="Z64" s="94">
        <f t="shared" si="17"/>
        <v>99</v>
      </c>
    </row>
    <row r="65" spans="1:42">
      <c r="A65" s="406" t="s">
        <v>2157</v>
      </c>
      <c r="B65" s="412">
        <v>298</v>
      </c>
      <c r="C65" s="412">
        <v>172</v>
      </c>
      <c r="D65" s="412"/>
      <c r="E65" s="407"/>
      <c r="F65" s="412"/>
      <c r="G65" s="429">
        <v>-1</v>
      </c>
      <c r="H65" s="412"/>
      <c r="I65" s="407"/>
      <c r="J65" s="412"/>
      <c r="K65" s="412"/>
      <c r="L65" s="428">
        <f>-16-12-5-6</f>
        <v>-39</v>
      </c>
      <c r="M65" s="428">
        <f>-15-15</f>
        <v>-30</v>
      </c>
      <c r="N65" s="428">
        <f>-176-L65-M65</f>
        <v>-107</v>
      </c>
      <c r="O65" s="276">
        <f t="shared" si="14"/>
        <v>293</v>
      </c>
      <c r="P65" s="412">
        <v>298</v>
      </c>
      <c r="Q65" s="407">
        <f t="shared" si="13"/>
        <v>-5</v>
      </c>
      <c r="R65" s="412"/>
      <c r="U65">
        <v>4</v>
      </c>
      <c r="V65">
        <v>294</v>
      </c>
      <c r="X65" t="str">
        <f t="shared" si="15"/>
        <v>FH6</v>
      </c>
      <c r="Y65">
        <f t="shared" si="16"/>
        <v>2</v>
      </c>
      <c r="Z65" s="94">
        <f t="shared" si="17"/>
        <v>0</v>
      </c>
    </row>
    <row r="66" spans="1:42">
      <c r="A66" s="406" t="s">
        <v>2158</v>
      </c>
      <c r="B66" s="412">
        <v>335</v>
      </c>
      <c r="C66" s="412">
        <v>107</v>
      </c>
      <c r="D66" s="412"/>
      <c r="E66" s="407"/>
      <c r="F66" s="412"/>
      <c r="G66" s="429">
        <v>-3</v>
      </c>
      <c r="H66" s="412"/>
      <c r="I66" s="407"/>
      <c r="J66" s="412"/>
      <c r="K66" s="412"/>
      <c r="L66" s="412"/>
      <c r="M66" s="412"/>
      <c r="N66" s="428">
        <v>-111</v>
      </c>
      <c r="O66" s="407">
        <f t="shared" si="14"/>
        <v>328</v>
      </c>
      <c r="P66" s="412">
        <v>335</v>
      </c>
      <c r="Q66" s="407">
        <f t="shared" si="13"/>
        <v>-7</v>
      </c>
      <c r="R66" s="412"/>
      <c r="V66">
        <v>335</v>
      </c>
      <c r="X66" t="str">
        <f t="shared" si="15"/>
        <v>DS1</v>
      </c>
      <c r="Y66">
        <f>+B59</f>
        <v>357</v>
      </c>
      <c r="Z66" s="94">
        <f t="shared" si="17"/>
        <v>364</v>
      </c>
      <c r="AP66">
        <f>719+267-11-122-54-810</f>
        <v>-11</v>
      </c>
    </row>
    <row r="67" spans="1:42">
      <c r="A67" s="406"/>
      <c r="B67" s="412"/>
      <c r="C67" s="412"/>
      <c r="D67" s="412"/>
      <c r="E67" s="407"/>
      <c r="F67" s="412"/>
      <c r="G67" s="407"/>
      <c r="H67" s="412"/>
      <c r="I67" s="407"/>
      <c r="J67" s="412"/>
      <c r="K67" s="412"/>
      <c r="L67" s="412"/>
      <c r="M67" s="412"/>
      <c r="N67" s="412"/>
      <c r="O67" s="407"/>
      <c r="P67" s="412"/>
      <c r="Q67" s="407"/>
      <c r="R67" s="412"/>
      <c r="X67" t="str">
        <f t="shared" si="15"/>
        <v>DS2</v>
      </c>
      <c r="Y67">
        <f>+B60</f>
        <v>435</v>
      </c>
      <c r="Z67" s="94">
        <f t="shared" si="17"/>
        <v>114</v>
      </c>
      <c r="AM67">
        <v>93</v>
      </c>
      <c r="AP67">
        <f>719+267</f>
        <v>986</v>
      </c>
    </row>
    <row r="68" spans="1:42">
      <c r="A68" s="409" t="s">
        <v>71</v>
      </c>
      <c r="B68" s="27">
        <f>SUM(B53:B67)</f>
        <v>6827</v>
      </c>
      <c r="C68" s="27">
        <f>SUM(C53:C67)</f>
        <v>1616</v>
      </c>
      <c r="D68" s="27">
        <f t="shared" ref="D68:P68" si="18">SUM(D53:D67)</f>
        <v>5727</v>
      </c>
      <c r="E68" s="27">
        <f t="shared" si="18"/>
        <v>-553</v>
      </c>
      <c r="F68" s="27">
        <f t="shared" si="18"/>
        <v>-581</v>
      </c>
      <c r="G68" s="430">
        <f t="shared" si="18"/>
        <v>-25</v>
      </c>
      <c r="H68" s="27">
        <f t="shared" si="18"/>
        <v>0</v>
      </c>
      <c r="I68" s="431">
        <f t="shared" si="18"/>
        <v>-173</v>
      </c>
      <c r="J68" s="27">
        <f t="shared" si="18"/>
        <v>-3825</v>
      </c>
      <c r="K68" s="27">
        <f t="shared" si="18"/>
        <v>0</v>
      </c>
      <c r="L68" s="27">
        <f t="shared" si="18"/>
        <v>-39</v>
      </c>
      <c r="M68" s="27">
        <f t="shared" si="18"/>
        <v>-30</v>
      </c>
      <c r="N68" s="27">
        <f t="shared" si="18"/>
        <v>-1501</v>
      </c>
      <c r="O68" s="27">
        <f t="shared" si="18"/>
        <v>7443</v>
      </c>
      <c r="P68" s="27">
        <f t="shared" si="18"/>
        <v>6827</v>
      </c>
      <c r="Q68" s="422">
        <f>SUM(Q53:Q66)</f>
        <v>644</v>
      </c>
      <c r="R68" s="420" t="s">
        <v>138</v>
      </c>
      <c r="S68" s="421"/>
      <c r="T68" s="421"/>
      <c r="U68" s="421"/>
      <c r="V68" s="421"/>
      <c r="W68" s="421"/>
      <c r="X68" t="str">
        <f t="shared" si="15"/>
        <v>DS3</v>
      </c>
      <c r="Y68">
        <f>+B61</f>
        <v>382</v>
      </c>
      <c r="Z68" s="94">
        <f t="shared" si="17"/>
        <v>160</v>
      </c>
      <c r="AM68">
        <v>-82</v>
      </c>
      <c r="AP68">
        <f>11+122+54+810</f>
        <v>997</v>
      </c>
    </row>
    <row r="69" spans="1:42">
      <c r="B69" s="94" t="s">
        <v>138</v>
      </c>
      <c r="C69" s="94"/>
      <c r="D69" t="s">
        <v>138</v>
      </c>
      <c r="F69" t="s">
        <v>138</v>
      </c>
      <c r="O69" s="22">
        <f>+B68+C68+D68+E68+F68+G68+I68+J68+L68+M68+N68</f>
        <v>7443</v>
      </c>
      <c r="P69">
        <f>3885+2062+871+31-22</f>
        <v>6827</v>
      </c>
      <c r="R69" s="423">
        <f>SUM(R53:R68)</f>
        <v>3885</v>
      </c>
      <c r="S69" s="423">
        <f>SUM(S53:S68)</f>
        <v>2062</v>
      </c>
      <c r="T69" s="423"/>
      <c r="U69">
        <f>SUM(U53:U68)</f>
        <v>9</v>
      </c>
      <c r="V69">
        <f>SUM(V53:V68)</f>
        <v>871</v>
      </c>
      <c r="W69">
        <f>SUM(R69:V69)</f>
        <v>6827</v>
      </c>
      <c r="X69" t="str">
        <f t="shared" si="15"/>
        <v>DS4</v>
      </c>
      <c r="Y69">
        <f>+B62</f>
        <v>332</v>
      </c>
      <c r="Z69" s="94">
        <f t="shared" si="17"/>
        <v>193</v>
      </c>
      <c r="AM69">
        <f>+AM67+AM68</f>
        <v>11</v>
      </c>
      <c r="AP69">
        <f>+AP67-AP68</f>
        <v>-11</v>
      </c>
    </row>
    <row r="70" spans="1:42">
      <c r="B70" s="94"/>
      <c r="C70" s="94"/>
      <c r="M70" s="22" t="s">
        <v>138</v>
      </c>
      <c r="P70" s="22" t="s">
        <v>138</v>
      </c>
      <c r="U70">
        <f>32-U69</f>
        <v>23</v>
      </c>
      <c r="W70">
        <f>+P69-W69</f>
        <v>0</v>
      </c>
      <c r="Z70" s="94"/>
    </row>
    <row r="71" spans="1:42">
      <c r="B71" s="94" t="s">
        <v>384</v>
      </c>
      <c r="C71" s="94">
        <f>874-12+975+1013+1116</f>
        <v>3966</v>
      </c>
      <c r="D71" s="22">
        <f>+D68</f>
        <v>5727</v>
      </c>
      <c r="E71" s="22">
        <f>+E68</f>
        <v>-553</v>
      </c>
      <c r="F71" s="22">
        <f>+F68</f>
        <v>-581</v>
      </c>
      <c r="I71" s="22">
        <f>+I68</f>
        <v>-173</v>
      </c>
      <c r="J71" s="22">
        <f>+J68</f>
        <v>-3825</v>
      </c>
      <c r="N71" s="94">
        <f>SUM(C71:M71)</f>
        <v>4561</v>
      </c>
      <c r="O71">
        <f>973+984+1036+892</f>
        <v>3885</v>
      </c>
      <c r="P71" s="22">
        <f>+N71-O71</f>
        <v>676</v>
      </c>
      <c r="S71">
        <v>2062</v>
      </c>
      <c r="W71" t="s">
        <v>2162</v>
      </c>
      <c r="Z71" s="94"/>
    </row>
    <row r="72" spans="1:42">
      <c r="B72" s="94"/>
      <c r="C72" s="94"/>
      <c r="P72" s="22"/>
      <c r="Z72" s="94"/>
    </row>
    <row r="73" spans="1:42">
      <c r="B73" s="94"/>
      <c r="C73" s="94"/>
      <c r="P73" s="22"/>
      <c r="Z73" s="94"/>
    </row>
    <row r="74" spans="1:42">
      <c r="B74" s="94">
        <f>+[109]Pigs!$T$4</f>
        <v>0</v>
      </c>
      <c r="E74">
        <v>982</v>
      </c>
      <c r="F74">
        <f>982-6-54-838-84</f>
        <v>0</v>
      </c>
      <c r="I74">
        <v>0</v>
      </c>
      <c r="K74">
        <v>-6</v>
      </c>
      <c r="N74">
        <v>-84</v>
      </c>
      <c r="O74">
        <v>-54</v>
      </c>
      <c r="P74" s="22">
        <v>-838</v>
      </c>
      <c r="Q74">
        <f>SUM(E74:P74)</f>
        <v>0</v>
      </c>
      <c r="S74">
        <f>+S69-S71</f>
        <v>0</v>
      </c>
      <c r="X74" t="str">
        <f t="shared" ref="X74:Z77" si="19">+A63</f>
        <v>DS5</v>
      </c>
      <c r="Y74">
        <f t="shared" si="19"/>
        <v>354</v>
      </c>
      <c r="Z74" s="94">
        <f t="shared" si="19"/>
        <v>33</v>
      </c>
    </row>
    <row r="75" spans="1:42">
      <c r="D75">
        <f>15+79</f>
        <v>94</v>
      </c>
      <c r="E75">
        <v>0</v>
      </c>
      <c r="F75">
        <v>100</v>
      </c>
      <c r="I75">
        <v>1405</v>
      </c>
      <c r="J75">
        <v>-106</v>
      </c>
      <c r="K75">
        <v>-151</v>
      </c>
      <c r="N75">
        <v>-7</v>
      </c>
      <c r="Q75">
        <f>SUM(E75:P75)</f>
        <v>1241</v>
      </c>
      <c r="X75" t="str">
        <f t="shared" si="19"/>
        <v>Cull hse</v>
      </c>
      <c r="Y75">
        <f t="shared" si="19"/>
        <v>16</v>
      </c>
      <c r="Z75" s="94">
        <f t="shared" si="19"/>
        <v>93</v>
      </c>
    </row>
    <row r="76" spans="1:42">
      <c r="E76">
        <f>SUM(E74:E75)</f>
        <v>982</v>
      </c>
      <c r="F76">
        <f t="shared" ref="F76:Q76" si="20">SUM(F74:F75)</f>
        <v>100</v>
      </c>
      <c r="I76">
        <f t="shared" si="20"/>
        <v>1405</v>
      </c>
      <c r="J76">
        <f t="shared" si="20"/>
        <v>-106</v>
      </c>
      <c r="K76">
        <f t="shared" si="20"/>
        <v>-157</v>
      </c>
      <c r="N76">
        <f t="shared" si="20"/>
        <v>-91</v>
      </c>
      <c r="O76">
        <f t="shared" si="20"/>
        <v>-54</v>
      </c>
      <c r="P76">
        <f t="shared" si="20"/>
        <v>-838</v>
      </c>
      <c r="Q76">
        <f t="shared" si="20"/>
        <v>1241</v>
      </c>
      <c r="X76" t="str">
        <f t="shared" si="19"/>
        <v>F1WE</v>
      </c>
      <c r="Y76">
        <f t="shared" si="19"/>
        <v>298</v>
      </c>
      <c r="Z76" s="94">
        <f t="shared" si="19"/>
        <v>172</v>
      </c>
    </row>
    <row r="77" spans="1:42">
      <c r="X77" t="str">
        <f t="shared" si="19"/>
        <v>F1G</v>
      </c>
      <c r="Y77">
        <f t="shared" si="19"/>
        <v>335</v>
      </c>
      <c r="Z77" s="94">
        <f t="shared" si="19"/>
        <v>107</v>
      </c>
    </row>
    <row r="78" spans="1:42">
      <c r="E78">
        <v>809</v>
      </c>
      <c r="F78">
        <v>3</v>
      </c>
      <c r="I78">
        <v>267</v>
      </c>
      <c r="J78">
        <v>-11</v>
      </c>
      <c r="K78">
        <v>-122</v>
      </c>
      <c r="N78">
        <v>-82</v>
      </c>
      <c r="O78">
        <v>-54</v>
      </c>
      <c r="P78">
        <v>-810</v>
      </c>
      <c r="Q78">
        <f>SUM(E78:P78)</f>
        <v>0</v>
      </c>
    </row>
    <row r="79" spans="1:42">
      <c r="E79">
        <v>0</v>
      </c>
      <c r="F79">
        <v>93</v>
      </c>
      <c r="I79">
        <v>823</v>
      </c>
      <c r="J79">
        <v>-68</v>
      </c>
      <c r="K79">
        <v>-21</v>
      </c>
      <c r="N79">
        <v>-5</v>
      </c>
      <c r="Q79">
        <f>SUM(E79:P79)</f>
        <v>822</v>
      </c>
      <c r="Y79">
        <f>SUM(Y53:Y78)</f>
        <v>6827</v>
      </c>
      <c r="Z79">
        <f t="shared" ref="Z79:AI79" si="21">SUM(Z53:Z78)</f>
        <v>7343</v>
      </c>
      <c r="AA79" t="e">
        <f t="shared" si="21"/>
        <v>#VALUE!</v>
      </c>
      <c r="AB79">
        <f t="shared" si="21"/>
        <v>-581</v>
      </c>
      <c r="AC79">
        <f t="shared" si="21"/>
        <v>0</v>
      </c>
      <c r="AD79">
        <f t="shared" si="21"/>
        <v>-173</v>
      </c>
      <c r="AE79">
        <f t="shared" si="21"/>
        <v>-3825</v>
      </c>
      <c r="AF79">
        <f t="shared" si="21"/>
        <v>3959</v>
      </c>
      <c r="AG79">
        <f t="shared" si="21"/>
        <v>4026</v>
      </c>
      <c r="AH79">
        <f t="shared" si="21"/>
        <v>-67</v>
      </c>
      <c r="AI79">
        <f t="shared" si="21"/>
        <v>1618</v>
      </c>
    </row>
    <row r="80" spans="1:42">
      <c r="E80">
        <f>SUM(E78:E79)</f>
        <v>809</v>
      </c>
      <c r="F80">
        <f t="shared" ref="F80:Q80" si="22">SUM(F78:F79)</f>
        <v>96</v>
      </c>
      <c r="I80">
        <f t="shared" si="22"/>
        <v>1090</v>
      </c>
      <c r="J80">
        <f t="shared" si="22"/>
        <v>-79</v>
      </c>
      <c r="K80">
        <f t="shared" si="22"/>
        <v>-143</v>
      </c>
      <c r="N80">
        <f t="shared" si="22"/>
        <v>-87</v>
      </c>
      <c r="O80">
        <f t="shared" si="22"/>
        <v>-54</v>
      </c>
      <c r="P80">
        <f t="shared" si="22"/>
        <v>-810</v>
      </c>
      <c r="Q80">
        <f t="shared" si="22"/>
        <v>822</v>
      </c>
      <c r="Y80" s="22">
        <f>+B68</f>
        <v>6827</v>
      </c>
    </row>
    <row r="82" spans="5:17">
      <c r="E82">
        <v>93</v>
      </c>
      <c r="F82">
        <v>15</v>
      </c>
      <c r="I82">
        <v>1390</v>
      </c>
      <c r="J82">
        <v>-145</v>
      </c>
      <c r="K82">
        <v>-143</v>
      </c>
      <c r="N82">
        <v>-108</v>
      </c>
      <c r="O82">
        <v>-54</v>
      </c>
      <c r="P82">
        <v>-1048</v>
      </c>
      <c r="Q82">
        <f>SUM(E82:P82)</f>
        <v>0</v>
      </c>
    </row>
    <row r="83" spans="5:17">
      <c r="E83">
        <v>0</v>
      </c>
      <c r="F83">
        <f>62+12+5</f>
        <v>79</v>
      </c>
      <c r="I83">
        <v>1</v>
      </c>
      <c r="J83">
        <v>0</v>
      </c>
      <c r="K83">
        <v>0</v>
      </c>
      <c r="N83">
        <v>0</v>
      </c>
      <c r="Q83">
        <f>SUM(E83:P83)</f>
        <v>80</v>
      </c>
    </row>
    <row r="84" spans="5:17">
      <c r="E84">
        <f>SUM(E82:E83)</f>
        <v>93</v>
      </c>
      <c r="F84">
        <f>SUM(F82:F83)</f>
        <v>94</v>
      </c>
      <c r="I84">
        <f>SUM(I82:I83)</f>
        <v>1391</v>
      </c>
      <c r="J84">
        <f>SUM(J82:J83)</f>
        <v>-145</v>
      </c>
      <c r="K84">
        <f>SUM(K82:K83)</f>
        <v>-143</v>
      </c>
      <c r="N84">
        <f>SUM(N82:N83)</f>
        <v>-108</v>
      </c>
      <c r="O84">
        <f>SUM(O82:O83)</f>
        <v>-54</v>
      </c>
      <c r="P84">
        <f>SUM(P82:P83)</f>
        <v>-1048</v>
      </c>
      <c r="Q84">
        <f>SUM(Q82:Q83)</f>
        <v>80</v>
      </c>
    </row>
    <row r="104" spans="4:15">
      <c r="D104" s="94"/>
      <c r="E104" s="94"/>
      <c r="F104" s="94"/>
      <c r="G104" s="94"/>
      <c r="H104" s="94"/>
      <c r="I104" s="94"/>
      <c r="O104" s="94"/>
    </row>
  </sheetData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72">
    <pageSetUpPr fitToPage="1"/>
  </sheetPr>
  <dimension ref="A1:I22"/>
  <sheetViews>
    <sheetView view="pageBreakPreview" zoomScaleSheetLayoutView="100" workbookViewId="0">
      <selection activeCell="B99" sqref="B99"/>
    </sheetView>
  </sheetViews>
  <sheetFormatPr defaultColWidth="9.140625" defaultRowHeight="13.15"/>
  <cols>
    <col min="1" max="1" width="21.42578125" bestFit="1" customWidth="1"/>
    <col min="2" max="2" width="13.85546875" customWidth="1"/>
    <col min="3" max="3" width="14" customWidth="1"/>
    <col min="4" max="4" width="12.5703125" customWidth="1"/>
    <col min="5" max="5" width="12.42578125" customWidth="1"/>
    <col min="6" max="6" width="12.85546875" customWidth="1"/>
    <col min="7" max="7" width="10.28515625" bestFit="1" customWidth="1"/>
  </cols>
  <sheetData>
    <row r="1" spans="1:9" ht="17.45">
      <c r="A1" s="288" t="s">
        <v>82</v>
      </c>
    </row>
    <row r="3" spans="1:9">
      <c r="A3" s="17" t="s">
        <v>2163</v>
      </c>
      <c r="B3" s="17"/>
      <c r="C3" s="295">
        <f>+'Summary Total Pigs'!C3</f>
        <v>46226</v>
      </c>
    </row>
    <row r="5" spans="1:9" ht="21.75" customHeight="1">
      <c r="A5" s="276"/>
      <c r="B5" s="179" t="s">
        <v>127</v>
      </c>
      <c r="C5" s="179" t="s">
        <v>76</v>
      </c>
      <c r="D5" s="179" t="s">
        <v>1614</v>
      </c>
      <c r="E5" s="179" t="s">
        <v>186</v>
      </c>
      <c r="F5" s="179" t="s">
        <v>115</v>
      </c>
    </row>
    <row r="6" spans="1:9">
      <c r="A6" s="179" t="s">
        <v>2164</v>
      </c>
      <c r="B6" s="289" t="e">
        <f>'Summary Total Pigs'!#REF!</f>
        <v>#REF!</v>
      </c>
      <c r="C6" s="289">
        <f>'Summary Total Pigs'!C133</f>
        <v>0</v>
      </c>
      <c r="D6" s="289">
        <f>'Summary Total Pigs'!C56</f>
        <v>14994</v>
      </c>
      <c r="E6" s="289">
        <f>+'Summary Total Pigs'!C95</f>
        <v>4961</v>
      </c>
      <c r="F6" s="289" t="e">
        <f t="shared" ref="F6:F15" si="0">SUM(B6:E6)</f>
        <v>#REF!</v>
      </c>
      <c r="G6" s="22" t="s">
        <v>138</v>
      </c>
      <c r="H6" s="22"/>
    </row>
    <row r="7" spans="1:9">
      <c r="A7" s="179" t="s">
        <v>222</v>
      </c>
      <c r="B7" s="289" t="e">
        <f>'Summary Total Pigs'!#REF!</f>
        <v>#REF!</v>
      </c>
      <c r="C7" s="289"/>
      <c r="D7" s="289">
        <f>'Summary Total Pigs'!M56</f>
        <v>23108</v>
      </c>
      <c r="E7" s="289">
        <f>+'Summary Total Pigs'!O95</f>
        <v>0</v>
      </c>
      <c r="F7" s="289" t="e">
        <f t="shared" si="0"/>
        <v>#REF!</v>
      </c>
    </row>
    <row r="8" spans="1:9">
      <c r="A8" s="179" t="s">
        <v>1584</v>
      </c>
      <c r="B8" s="289" t="e">
        <f>'Summary Total Pigs'!#REF!</f>
        <v>#REF!</v>
      </c>
      <c r="C8" s="289">
        <f>'Summary Total Pigs'!N133</f>
        <v>0</v>
      </c>
      <c r="D8" s="289"/>
      <c r="E8" s="289"/>
      <c r="F8" s="289" t="e">
        <f t="shared" si="0"/>
        <v>#REF!</v>
      </c>
    </row>
    <row r="9" spans="1:9">
      <c r="A9" s="179" t="s">
        <v>2165</v>
      </c>
      <c r="B9" s="289" t="e">
        <f>'Summary Total Pigs'!#REF!</f>
        <v>#REF!</v>
      </c>
      <c r="C9" s="289">
        <f>'Summary Total Pigs'!D133</f>
        <v>0</v>
      </c>
      <c r="D9" s="289">
        <f>'Summary Total Pigs'!D56</f>
        <v>5143</v>
      </c>
      <c r="E9" s="289">
        <f>+'Summary Total Pigs'!D95</f>
        <v>1443</v>
      </c>
      <c r="F9" s="289" t="e">
        <f t="shared" si="0"/>
        <v>#REF!</v>
      </c>
    </row>
    <row r="10" spans="1:9">
      <c r="A10" s="179" t="s">
        <v>226</v>
      </c>
      <c r="B10" s="289" t="e">
        <f>'Summary Total Pigs'!#REF!</f>
        <v>#REF!</v>
      </c>
      <c r="C10" s="289">
        <f>'Summary Total Pigs'!O133</f>
        <v>0</v>
      </c>
      <c r="D10" s="289" t="e">
        <f>'Summary Total Pigs'!#REF!</f>
        <v>#REF!</v>
      </c>
      <c r="E10" s="289">
        <f>+'Summary Total Pigs'!Q95</f>
        <v>-250</v>
      </c>
      <c r="F10" s="289" t="e">
        <f t="shared" si="0"/>
        <v>#REF!</v>
      </c>
    </row>
    <row r="11" spans="1:9">
      <c r="A11" s="179" t="s">
        <v>2166</v>
      </c>
      <c r="B11" s="289" t="e">
        <f>'Summary Total Pigs'!#REF!</f>
        <v>#REF!</v>
      </c>
      <c r="C11" s="289">
        <f>'Summary Total Pigs'!Z133</f>
        <v>0</v>
      </c>
      <c r="D11" s="289" t="e">
        <f>'Summary Total Pigs'!#REF!</f>
        <v>#REF!</v>
      </c>
      <c r="E11" s="289" t="e">
        <f>+'Summary Total Pigs'!#REF!</f>
        <v>#REF!</v>
      </c>
      <c r="F11" s="289" t="e">
        <f t="shared" si="0"/>
        <v>#REF!</v>
      </c>
      <c r="G11" s="22"/>
    </row>
    <row r="12" spans="1:9">
      <c r="A12" s="179" t="s">
        <v>2167</v>
      </c>
      <c r="B12" s="289" t="e">
        <f>'Summary Total Pigs'!#REF!</f>
        <v>#REF!</v>
      </c>
      <c r="C12" s="289">
        <f>'Summary Total Pigs'!AB133</f>
        <v>0</v>
      </c>
      <c r="D12" s="289">
        <f>'Summary Total Pigs'!W56</f>
        <v>-378</v>
      </c>
      <c r="E12" s="289" t="e">
        <f>'Summary Total Pigs'!#REF!</f>
        <v>#REF!</v>
      </c>
      <c r="F12" s="289" t="e">
        <f t="shared" si="0"/>
        <v>#REF!</v>
      </c>
    </row>
    <row r="13" spans="1:9">
      <c r="A13" s="179" t="s">
        <v>343</v>
      </c>
      <c r="B13" s="289" t="e">
        <f>'Summary Total Pigs'!#REF!</f>
        <v>#REF!</v>
      </c>
      <c r="C13" s="289">
        <f>'Summary Total Pigs'!AD133</f>
        <v>0</v>
      </c>
      <c r="D13" s="289">
        <f>'Summary Total Pigs'!X56</f>
        <v>-2466</v>
      </c>
      <c r="E13" s="289">
        <f>+'Summary Total Pigs'!Z95</f>
        <v>-4</v>
      </c>
      <c r="F13" s="289" t="e">
        <f t="shared" si="0"/>
        <v>#REF!</v>
      </c>
    </row>
    <row r="14" spans="1:9">
      <c r="A14" s="179" t="s">
        <v>231</v>
      </c>
      <c r="B14" s="289" t="e">
        <f>'Summary Total Pigs'!#REF!</f>
        <v>#REF!</v>
      </c>
      <c r="C14" s="289"/>
      <c r="D14" s="289"/>
      <c r="E14" s="289"/>
      <c r="F14" s="289" t="e">
        <f t="shared" si="0"/>
        <v>#REF!</v>
      </c>
    </row>
    <row r="15" spans="1:9">
      <c r="A15" s="179" t="s">
        <v>2168</v>
      </c>
      <c r="B15" s="289" t="e">
        <f>'Summary Total Pigs'!#REF!+'Summary Total Pigs'!#REF!+'Summary Total Pigs'!#REF!+'Summary Total Pigs'!#REF!</f>
        <v>#REF!</v>
      </c>
      <c r="C15" s="289">
        <f>'Summary Total Pigs'!Q133</f>
        <v>0</v>
      </c>
      <c r="D15" s="289">
        <f>'Summary Total Pigs'!N56+'Summary Total Pigs'!O56+'Summary Total Pigs'!P56+'Summary Total Pigs'!Q56+'Summary Total Pigs'!S56</f>
        <v>-5263</v>
      </c>
      <c r="E15" s="289">
        <f>+'Summary Total Pigs'!N95</f>
        <v>-1443</v>
      </c>
      <c r="F15" s="289" t="e">
        <f t="shared" si="0"/>
        <v>#REF!</v>
      </c>
      <c r="G15" s="22" t="s">
        <v>138</v>
      </c>
    </row>
    <row r="16" spans="1:9">
      <c r="A16" s="179" t="s">
        <v>2169</v>
      </c>
      <c r="B16" s="289" t="e">
        <f>SUM(B6:B15)</f>
        <v>#REF!</v>
      </c>
      <c r="C16" s="289">
        <f>SUM(C6:C15)</f>
        <v>0</v>
      </c>
      <c r="D16" s="289" t="e">
        <f>SUM(D6:D15)</f>
        <v>#REF!</v>
      </c>
      <c r="E16" s="289" t="e">
        <f>SUM(E6:E15)</f>
        <v>#REF!</v>
      </c>
      <c r="F16" s="289" t="e">
        <f>SUM(F6:F15)</f>
        <v>#REF!</v>
      </c>
      <c r="H16" s="22"/>
      <c r="I16" s="22"/>
    </row>
    <row r="17" spans="2:8">
      <c r="B17" s="290" t="e">
        <f>+'Summary Total Pigs'!#REF!</f>
        <v>#REF!</v>
      </c>
      <c r="C17" s="290" t="e">
        <f>'Summary Total Pigs'!#REF!</f>
        <v>#REF!</v>
      </c>
      <c r="D17" s="94">
        <f>+'Summary Total Pigs'!AF56</f>
        <v>14972</v>
      </c>
      <c r="E17" s="22">
        <f>+'Summary Total Pigs'!AF95</f>
        <v>4753</v>
      </c>
      <c r="F17" s="22" t="e">
        <f>SUM(B17:E17)</f>
        <v>#REF!</v>
      </c>
      <c r="G17" s="77" t="e">
        <f>+'Summary Total Pigs'!#REF!</f>
        <v>#REF!</v>
      </c>
      <c r="H17" s="22" t="e">
        <f>+F17-G17</f>
        <v>#REF!</v>
      </c>
    </row>
    <row r="18" spans="2:8">
      <c r="B18" s="22" t="e">
        <f>B16-B17</f>
        <v>#REF!</v>
      </c>
      <c r="C18" s="22" t="e">
        <f>C16-C17</f>
        <v>#REF!</v>
      </c>
      <c r="D18" s="22" t="e">
        <f>D16-D17</f>
        <v>#REF!</v>
      </c>
      <c r="E18" s="22" t="e">
        <f>E16-E17</f>
        <v>#REF!</v>
      </c>
      <c r="F18" s="22" t="e">
        <f>F16-F17</f>
        <v>#REF!</v>
      </c>
      <c r="G18" s="22" t="s">
        <v>138</v>
      </c>
    </row>
    <row r="20" spans="2:8">
      <c r="B20" t="s">
        <v>138</v>
      </c>
    </row>
    <row r="21" spans="2:8">
      <c r="B21" s="22" t="s">
        <v>138</v>
      </c>
      <c r="C21" s="22" t="s">
        <v>138</v>
      </c>
    </row>
    <row r="22" spans="2:8">
      <c r="C22" s="22"/>
    </row>
  </sheetData>
  <phoneticPr fontId="34" type="noConversion"/>
  <pageMargins left="0.5" right="0.5" top="0.5" bottom="0.5" header="0.5" footer="0.5"/>
  <pageSetup paperSize="9" orientation="portrait" r:id="rId1"/>
  <colBreaks count="1" manualBreakCount="1">
    <brk id="6" max="17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73"/>
  <dimension ref="A1:P329"/>
  <sheetViews>
    <sheetView view="pageBreakPreview" topLeftCell="A278" workbookViewId="0">
      <pane xSplit="1" ySplit="7" topLeftCell="B303" activePane="bottomRight" state="frozen"/>
      <selection pane="bottomRight" activeCell="H294" sqref="H294"/>
      <selection pane="bottomLeft" activeCell="A285" sqref="A285"/>
      <selection pane="topRight" activeCell="B278" sqref="B278"/>
    </sheetView>
  </sheetViews>
  <sheetFormatPr defaultColWidth="9.140625" defaultRowHeight="13.15"/>
  <cols>
    <col min="1" max="1" width="9.28515625" bestFit="1" customWidth="1"/>
    <col min="2" max="2" width="8.28515625" bestFit="1" customWidth="1"/>
    <col min="3" max="3" width="11.7109375" bestFit="1" customWidth="1"/>
    <col min="4" max="4" width="5.5703125" bestFit="1" customWidth="1"/>
    <col min="5" max="5" width="9" bestFit="1" customWidth="1"/>
    <col min="6" max="6" width="9" customWidth="1"/>
    <col min="7" max="7" width="8.85546875" bestFit="1" customWidth="1"/>
    <col min="8" max="8" width="7.7109375" bestFit="1" customWidth="1"/>
    <col min="9" max="9" width="12.140625" bestFit="1" customWidth="1"/>
    <col min="10" max="10" width="13.85546875" bestFit="1" customWidth="1"/>
    <col min="11" max="11" width="11.7109375" bestFit="1" customWidth="1"/>
    <col min="12" max="12" width="11.5703125" bestFit="1" customWidth="1"/>
    <col min="13" max="13" width="8.28515625" bestFit="1" customWidth="1"/>
  </cols>
  <sheetData>
    <row r="1" spans="1:15">
      <c r="A1" s="1" t="s">
        <v>82</v>
      </c>
      <c r="B1" s="1"/>
      <c r="M1" s="274" t="e">
        <f>#REF!</f>
        <v>#REF!</v>
      </c>
    </row>
    <row r="2" spans="1:15">
      <c r="A2" s="1"/>
      <c r="B2" s="1"/>
    </row>
    <row r="3" spans="1:15">
      <c r="A3" s="1" t="s">
        <v>2170</v>
      </c>
      <c r="B3" s="1"/>
    </row>
    <row r="4" spans="1:15">
      <c r="A4" s="1"/>
      <c r="B4" s="1"/>
    </row>
    <row r="5" spans="1:15">
      <c r="A5" s="1" t="s">
        <v>2171</v>
      </c>
      <c r="B5" s="1"/>
    </row>
    <row r="6" spans="1:15" ht="13.9" thickBot="1">
      <c r="A6" s="1"/>
      <c r="B6" s="1"/>
    </row>
    <row r="7" spans="1:15" s="1" customFormat="1">
      <c r="A7" s="176" t="s">
        <v>2172</v>
      </c>
      <c r="B7" s="177" t="s">
        <v>2173</v>
      </c>
      <c r="C7" s="177" t="s">
        <v>2165</v>
      </c>
      <c r="D7" s="177" t="s">
        <v>2174</v>
      </c>
      <c r="E7" s="177" t="s">
        <v>169</v>
      </c>
      <c r="F7" s="177"/>
      <c r="G7" s="177" t="s">
        <v>2175</v>
      </c>
      <c r="H7" s="177" t="s">
        <v>2176</v>
      </c>
      <c r="I7" s="177" t="s">
        <v>216</v>
      </c>
      <c r="J7" s="177" t="s">
        <v>2177</v>
      </c>
      <c r="K7" s="177" t="s">
        <v>2167</v>
      </c>
      <c r="L7" s="177" t="s">
        <v>2176</v>
      </c>
      <c r="M7" s="178" t="s">
        <v>2178</v>
      </c>
    </row>
    <row r="8" spans="1:15">
      <c r="A8" s="179"/>
      <c r="B8" s="180"/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94"/>
      <c r="O8" s="94"/>
    </row>
    <row r="9" spans="1:15">
      <c r="A9" s="276" t="s">
        <v>2179</v>
      </c>
      <c r="B9" s="84">
        <v>10484</v>
      </c>
      <c r="C9" s="84"/>
      <c r="D9" s="84"/>
      <c r="E9" s="84"/>
      <c r="F9" s="84"/>
      <c r="G9" s="84"/>
      <c r="H9" s="84"/>
      <c r="I9" s="84"/>
      <c r="J9" s="84"/>
      <c r="K9" s="84"/>
      <c r="L9" s="84"/>
      <c r="M9" s="84">
        <f>SUM(B9:L9)</f>
        <v>10484</v>
      </c>
      <c r="N9" s="94"/>
      <c r="O9" s="94"/>
    </row>
    <row r="10" spans="1:15">
      <c r="A10" s="181">
        <v>27</v>
      </c>
      <c r="B10" s="84">
        <f>+M9</f>
        <v>10484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>
        <f t="shared" ref="M10:M39" si="0">SUM(B10:L10)</f>
        <v>10484</v>
      </c>
      <c r="N10" s="94"/>
      <c r="O10" s="94"/>
    </row>
    <row r="11" spans="1:15">
      <c r="A11" s="181">
        <v>28</v>
      </c>
      <c r="B11" s="84">
        <f t="shared" ref="B11:B39" si="1">+M10</f>
        <v>10484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>
        <f t="shared" si="0"/>
        <v>10484</v>
      </c>
      <c r="N11" s="94"/>
      <c r="O11" s="94"/>
    </row>
    <row r="12" spans="1:15">
      <c r="A12" s="181">
        <v>29</v>
      </c>
      <c r="B12" s="84">
        <f t="shared" si="1"/>
        <v>10484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>
        <f t="shared" si="0"/>
        <v>10484</v>
      </c>
      <c r="N12" s="94"/>
      <c r="O12" s="94"/>
    </row>
    <row r="13" spans="1:15">
      <c r="A13" s="181">
        <v>30</v>
      </c>
      <c r="B13" s="84">
        <f t="shared" si="1"/>
        <v>10484</v>
      </c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>
        <f t="shared" si="0"/>
        <v>10484</v>
      </c>
      <c r="N13" s="94"/>
      <c r="O13" s="94"/>
    </row>
    <row r="14" spans="1:15">
      <c r="A14" s="181">
        <v>31</v>
      </c>
      <c r="B14" s="84">
        <f t="shared" si="1"/>
        <v>10484</v>
      </c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>
        <f t="shared" si="0"/>
        <v>10484</v>
      </c>
      <c r="N14" s="94"/>
      <c r="O14" s="94"/>
    </row>
    <row r="15" spans="1:15">
      <c r="A15" s="277" t="s">
        <v>2180</v>
      </c>
      <c r="B15" s="84">
        <f t="shared" si="1"/>
        <v>10484</v>
      </c>
      <c r="C15" s="84"/>
      <c r="D15" s="84">
        <f>-4-10-5-2</f>
        <v>-21</v>
      </c>
      <c r="E15" s="84"/>
      <c r="F15" s="84"/>
      <c r="G15" s="84"/>
      <c r="H15" s="84"/>
      <c r="I15" s="84">
        <v>-24</v>
      </c>
      <c r="J15" s="84">
        <f>-309</f>
        <v>-309</v>
      </c>
      <c r="K15" s="84"/>
      <c r="L15" s="84"/>
      <c r="M15" s="84">
        <f t="shared" si="0"/>
        <v>10130</v>
      </c>
      <c r="N15" s="94"/>
      <c r="O15" s="94"/>
    </row>
    <row r="16" spans="1:15">
      <c r="A16" s="278" t="s">
        <v>2181</v>
      </c>
      <c r="B16" s="84">
        <f t="shared" si="1"/>
        <v>10130</v>
      </c>
      <c r="C16" s="84"/>
      <c r="D16" s="84">
        <v>-1</v>
      </c>
      <c r="E16" s="84">
        <v>-2</v>
      </c>
      <c r="F16" s="84"/>
      <c r="G16" s="84"/>
      <c r="H16" s="84"/>
      <c r="I16" s="84"/>
      <c r="J16" s="84">
        <v>-276</v>
      </c>
      <c r="K16" s="84"/>
      <c r="L16" s="84"/>
      <c r="M16" s="84">
        <f t="shared" si="0"/>
        <v>9851</v>
      </c>
      <c r="N16" s="94"/>
      <c r="O16" s="94"/>
    </row>
    <row r="17" spans="1:15">
      <c r="A17" s="278" t="s">
        <v>2182</v>
      </c>
      <c r="B17" s="84">
        <f t="shared" si="1"/>
        <v>9851</v>
      </c>
      <c r="C17" s="84"/>
      <c r="D17" s="84"/>
      <c r="E17" s="84">
        <v>-3</v>
      </c>
      <c r="F17" s="84"/>
      <c r="G17" s="84"/>
      <c r="H17" s="84"/>
      <c r="I17" s="84"/>
      <c r="J17" s="84"/>
      <c r="K17" s="84"/>
      <c r="L17" s="84"/>
      <c r="M17" s="84">
        <f t="shared" si="0"/>
        <v>9848</v>
      </c>
      <c r="N17" s="94"/>
      <c r="O17" s="94"/>
    </row>
    <row r="18" spans="1:15">
      <c r="A18" s="278" t="s">
        <v>2183</v>
      </c>
      <c r="B18" s="84">
        <f t="shared" si="1"/>
        <v>9848</v>
      </c>
      <c r="C18" s="84">
        <v>920</v>
      </c>
      <c r="D18" s="84"/>
      <c r="E18" s="84">
        <f>-5</f>
        <v>-5</v>
      </c>
      <c r="F18" s="84"/>
      <c r="G18" s="84"/>
      <c r="H18" s="84"/>
      <c r="I18" s="84"/>
      <c r="J18" s="84"/>
      <c r="K18" s="84"/>
      <c r="L18" s="84"/>
      <c r="M18" s="84">
        <f t="shared" si="0"/>
        <v>10763</v>
      </c>
      <c r="N18" s="94"/>
      <c r="O18" s="94"/>
    </row>
    <row r="19" spans="1:15">
      <c r="A19" s="278" t="s">
        <v>2184</v>
      </c>
      <c r="B19" s="84">
        <f t="shared" si="1"/>
        <v>10763</v>
      </c>
      <c r="C19" s="84"/>
      <c r="D19" s="84"/>
      <c r="E19" s="84">
        <v>-3</v>
      </c>
      <c r="F19" s="84"/>
      <c r="G19" s="84"/>
      <c r="H19" s="84"/>
      <c r="I19" s="84"/>
      <c r="J19" s="84"/>
      <c r="K19" s="84"/>
      <c r="L19" s="84"/>
      <c r="M19" s="84">
        <f t="shared" si="0"/>
        <v>10760</v>
      </c>
      <c r="N19" s="94"/>
      <c r="O19" s="94"/>
    </row>
    <row r="20" spans="1:15">
      <c r="A20" s="278" t="s">
        <v>2185</v>
      </c>
      <c r="B20" s="84">
        <f t="shared" si="1"/>
        <v>10760</v>
      </c>
      <c r="C20" s="84"/>
      <c r="D20" s="84"/>
      <c r="E20" s="84">
        <v>-5</v>
      </c>
      <c r="F20" s="84"/>
      <c r="G20" s="84"/>
      <c r="H20" s="84"/>
      <c r="I20" s="84"/>
      <c r="J20" s="84"/>
      <c r="K20" s="84"/>
      <c r="L20" s="84"/>
      <c r="M20" s="84">
        <f t="shared" si="0"/>
        <v>10755</v>
      </c>
      <c r="N20" s="94"/>
      <c r="O20" s="94"/>
    </row>
    <row r="21" spans="1:15">
      <c r="A21" s="278" t="s">
        <v>2186</v>
      </c>
      <c r="B21" s="84">
        <f t="shared" si="1"/>
        <v>10755</v>
      </c>
      <c r="C21" s="84"/>
      <c r="D21" s="84">
        <v>-4</v>
      </c>
      <c r="E21" s="84">
        <v>-6</v>
      </c>
      <c r="F21" s="84"/>
      <c r="G21" s="84"/>
      <c r="H21" s="84"/>
      <c r="I21" s="84"/>
      <c r="J21" s="84">
        <v>-311</v>
      </c>
      <c r="K21" s="84"/>
      <c r="L21" s="84"/>
      <c r="M21" s="84">
        <f t="shared" si="0"/>
        <v>10434</v>
      </c>
      <c r="N21" s="94"/>
      <c r="O21" s="94"/>
    </row>
    <row r="22" spans="1:15">
      <c r="A22" s="278" t="s">
        <v>2187</v>
      </c>
      <c r="B22" s="84">
        <f t="shared" si="1"/>
        <v>10434</v>
      </c>
      <c r="C22" s="84"/>
      <c r="D22" s="84"/>
      <c r="E22" s="84">
        <v>-4</v>
      </c>
      <c r="F22" s="84"/>
      <c r="G22" s="84"/>
      <c r="H22" s="84"/>
      <c r="I22" s="84"/>
      <c r="J22" s="84">
        <v>-280</v>
      </c>
      <c r="K22" s="84"/>
      <c r="L22" s="84"/>
      <c r="M22" s="84">
        <f t="shared" si="0"/>
        <v>10150</v>
      </c>
      <c r="N22" s="94"/>
      <c r="O22" s="94"/>
    </row>
    <row r="23" spans="1:15">
      <c r="A23" s="278" t="s">
        <v>2188</v>
      </c>
      <c r="B23" s="84">
        <f t="shared" si="1"/>
        <v>10150</v>
      </c>
      <c r="C23" s="84"/>
      <c r="D23" s="84"/>
      <c r="E23" s="84">
        <v>-1</v>
      </c>
      <c r="F23" s="84"/>
      <c r="G23" s="84"/>
      <c r="H23" s="84"/>
      <c r="I23" s="84"/>
      <c r="J23" s="84">
        <v>-330</v>
      </c>
      <c r="K23" s="84"/>
      <c r="L23" s="84"/>
      <c r="M23" s="84">
        <f t="shared" si="0"/>
        <v>9819</v>
      </c>
      <c r="N23" s="94"/>
      <c r="O23" s="94"/>
    </row>
    <row r="24" spans="1:15">
      <c r="A24" s="181">
        <v>10</v>
      </c>
      <c r="B24" s="84">
        <f t="shared" si="1"/>
        <v>9819</v>
      </c>
      <c r="C24" s="84"/>
      <c r="D24" s="84">
        <v>-1</v>
      </c>
      <c r="E24" s="84">
        <v>-5</v>
      </c>
      <c r="F24" s="84"/>
      <c r="G24" s="84"/>
      <c r="H24" s="84"/>
      <c r="I24" s="84"/>
      <c r="J24" s="84"/>
      <c r="K24" s="84">
        <v>-6</v>
      </c>
      <c r="L24" s="84"/>
      <c r="M24" s="84">
        <f>SUM(B24:L24)</f>
        <v>9807</v>
      </c>
      <c r="N24" s="94"/>
      <c r="O24" s="94"/>
    </row>
    <row r="25" spans="1:15">
      <c r="A25" s="181">
        <v>11</v>
      </c>
      <c r="B25" s="84">
        <f t="shared" si="1"/>
        <v>9807</v>
      </c>
      <c r="C25" s="84"/>
      <c r="D25" s="84">
        <f>-4</f>
        <v>-4</v>
      </c>
      <c r="E25" s="84">
        <v>-4</v>
      </c>
      <c r="F25" s="84"/>
      <c r="G25" s="84"/>
      <c r="H25" s="84"/>
      <c r="I25" s="84"/>
      <c r="J25" s="84"/>
      <c r="K25" s="84"/>
      <c r="L25" s="84"/>
      <c r="M25" s="84">
        <f t="shared" si="0"/>
        <v>9799</v>
      </c>
      <c r="N25" s="94"/>
      <c r="O25" s="94"/>
    </row>
    <row r="26" spans="1:15">
      <c r="A26" s="181">
        <v>12</v>
      </c>
      <c r="B26" s="84">
        <f t="shared" si="1"/>
        <v>9799</v>
      </c>
      <c r="C26" s="84"/>
      <c r="D26" s="84"/>
      <c r="E26" s="84">
        <f>-4</f>
        <v>-4</v>
      </c>
      <c r="F26" s="84"/>
      <c r="G26" s="84"/>
      <c r="H26" s="84"/>
      <c r="I26" s="84"/>
      <c r="J26" s="84"/>
      <c r="K26" s="84"/>
      <c r="L26" s="84"/>
      <c r="M26" s="84">
        <f t="shared" si="0"/>
        <v>9795</v>
      </c>
      <c r="N26" s="94"/>
      <c r="O26" s="94"/>
    </row>
    <row r="27" spans="1:15">
      <c r="A27" s="181">
        <v>13</v>
      </c>
      <c r="B27" s="84">
        <f t="shared" si="1"/>
        <v>9795</v>
      </c>
      <c r="C27" s="84"/>
      <c r="D27" s="84"/>
      <c r="E27" s="84">
        <f>-4-6</f>
        <v>-10</v>
      </c>
      <c r="F27" s="84"/>
      <c r="G27" s="84"/>
      <c r="H27" s="84"/>
      <c r="I27" s="84"/>
      <c r="J27" s="84">
        <f>-301</f>
        <v>-301</v>
      </c>
      <c r="K27" s="84"/>
      <c r="L27" s="84"/>
      <c r="M27" s="84">
        <f t="shared" si="0"/>
        <v>9484</v>
      </c>
      <c r="N27" s="94"/>
      <c r="O27" s="94"/>
    </row>
    <row r="28" spans="1:15">
      <c r="A28" s="181">
        <v>14</v>
      </c>
      <c r="B28" s="84">
        <f t="shared" si="1"/>
        <v>9484</v>
      </c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>
        <f t="shared" si="0"/>
        <v>9484</v>
      </c>
      <c r="N28" s="94"/>
      <c r="O28" s="94"/>
    </row>
    <row r="29" spans="1:15">
      <c r="A29" s="181">
        <v>15</v>
      </c>
      <c r="B29" s="84">
        <f t="shared" si="1"/>
        <v>9484</v>
      </c>
      <c r="C29" s="84"/>
      <c r="D29" s="84"/>
      <c r="E29" s="84">
        <f>-1</f>
        <v>-1</v>
      </c>
      <c r="F29" s="84"/>
      <c r="G29" s="84"/>
      <c r="H29" s="84"/>
      <c r="I29" s="84">
        <v>-24</v>
      </c>
      <c r="J29" s="84">
        <f>-301</f>
        <v>-301</v>
      </c>
      <c r="K29" s="84"/>
      <c r="L29" s="84"/>
      <c r="M29" s="84">
        <f t="shared" si="0"/>
        <v>9158</v>
      </c>
      <c r="N29" s="94"/>
      <c r="O29" s="94"/>
    </row>
    <row r="30" spans="1:15">
      <c r="A30" s="181">
        <v>16</v>
      </c>
      <c r="B30" s="84">
        <f t="shared" si="1"/>
        <v>9158</v>
      </c>
      <c r="C30" s="84"/>
      <c r="D30" s="84"/>
      <c r="E30" s="84">
        <f>-1</f>
        <v>-1</v>
      </c>
      <c r="F30" s="84"/>
      <c r="G30" s="84"/>
      <c r="H30" s="84"/>
      <c r="I30" s="84"/>
      <c r="J30" s="84">
        <f>-319</f>
        <v>-319</v>
      </c>
      <c r="K30" s="84"/>
      <c r="L30" s="84"/>
      <c r="M30" s="84">
        <f t="shared" si="0"/>
        <v>8838</v>
      </c>
      <c r="N30" s="94"/>
      <c r="O30" s="94"/>
    </row>
    <row r="31" spans="1:15">
      <c r="A31" s="181">
        <v>17</v>
      </c>
      <c r="B31" s="84">
        <f t="shared" si="1"/>
        <v>8838</v>
      </c>
      <c r="C31" s="84"/>
      <c r="D31" s="84"/>
      <c r="E31" s="84">
        <f>-2</f>
        <v>-2</v>
      </c>
      <c r="F31" s="84"/>
      <c r="G31" s="84"/>
      <c r="H31" s="84"/>
      <c r="I31" s="84"/>
      <c r="J31" s="84"/>
      <c r="K31" s="84"/>
      <c r="L31" s="84"/>
      <c r="M31" s="84">
        <f t="shared" si="0"/>
        <v>8836</v>
      </c>
      <c r="N31" s="94"/>
      <c r="O31" s="94"/>
    </row>
    <row r="32" spans="1:15">
      <c r="A32" s="181">
        <v>18</v>
      </c>
      <c r="B32" s="84">
        <f t="shared" si="1"/>
        <v>8836</v>
      </c>
      <c r="C32" s="84">
        <v>952</v>
      </c>
      <c r="D32" s="84"/>
      <c r="E32" s="84">
        <f>-4</f>
        <v>-4</v>
      </c>
      <c r="F32" s="84"/>
      <c r="G32" s="84"/>
      <c r="H32" s="84"/>
      <c r="I32" s="84"/>
      <c r="J32" s="84"/>
      <c r="K32" s="84"/>
      <c r="L32" s="84"/>
      <c r="M32" s="84">
        <f t="shared" si="0"/>
        <v>9784</v>
      </c>
      <c r="N32" s="94"/>
      <c r="O32" s="94"/>
    </row>
    <row r="33" spans="1:15">
      <c r="A33" s="181">
        <v>19</v>
      </c>
      <c r="B33" s="84">
        <f t="shared" si="1"/>
        <v>9784</v>
      </c>
      <c r="C33" s="84">
        <v>954</v>
      </c>
      <c r="D33" s="84">
        <f>-3</f>
        <v>-3</v>
      </c>
      <c r="E33" s="84">
        <f>-2</f>
        <v>-2</v>
      </c>
      <c r="F33" s="84"/>
      <c r="G33" s="84"/>
      <c r="H33" s="84"/>
      <c r="I33" s="84"/>
      <c r="J33" s="84"/>
      <c r="K33" s="84"/>
      <c r="L33" s="84"/>
      <c r="M33" s="84">
        <f t="shared" si="0"/>
        <v>10733</v>
      </c>
      <c r="N33" s="94"/>
      <c r="O33" s="94"/>
    </row>
    <row r="34" spans="1:15">
      <c r="A34" s="181">
        <v>20</v>
      </c>
      <c r="B34" s="84">
        <f t="shared" si="1"/>
        <v>10733</v>
      </c>
      <c r="C34" s="84"/>
      <c r="D34" s="84"/>
      <c r="E34" s="84">
        <f>-4</f>
        <v>-4</v>
      </c>
      <c r="F34" s="84"/>
      <c r="G34" s="84"/>
      <c r="H34" s="84"/>
      <c r="I34" s="84"/>
      <c r="J34" s="84"/>
      <c r="K34" s="84"/>
      <c r="L34" s="84"/>
      <c r="M34" s="84">
        <f t="shared" si="0"/>
        <v>10729</v>
      </c>
      <c r="N34" s="94"/>
      <c r="O34" s="94"/>
    </row>
    <row r="35" spans="1:15">
      <c r="A35" s="181">
        <v>21</v>
      </c>
      <c r="B35" s="84">
        <f t="shared" si="1"/>
        <v>10729</v>
      </c>
      <c r="C35" s="84"/>
      <c r="D35" s="84"/>
      <c r="E35" s="84"/>
      <c r="F35" s="84"/>
      <c r="G35" s="84"/>
      <c r="H35" s="84"/>
      <c r="I35" s="84"/>
      <c r="J35" s="84">
        <f>-300</f>
        <v>-300</v>
      </c>
      <c r="K35" s="84"/>
      <c r="L35" s="84"/>
      <c r="M35" s="84">
        <f t="shared" si="0"/>
        <v>10429</v>
      </c>
      <c r="N35" s="94"/>
      <c r="O35" s="94"/>
    </row>
    <row r="36" spans="1:15">
      <c r="A36" s="181">
        <v>22</v>
      </c>
      <c r="B36" s="84">
        <f t="shared" si="1"/>
        <v>10429</v>
      </c>
      <c r="C36" s="84"/>
      <c r="D36" s="84"/>
      <c r="E36" s="84">
        <v>-5</v>
      </c>
      <c r="F36" s="84"/>
      <c r="G36" s="84"/>
      <c r="H36" s="84"/>
      <c r="I36" s="84"/>
      <c r="J36" s="84">
        <f>-300</f>
        <v>-300</v>
      </c>
      <c r="K36" s="84"/>
      <c r="L36" s="84"/>
      <c r="M36" s="84">
        <f t="shared" si="0"/>
        <v>10124</v>
      </c>
      <c r="N36" s="94"/>
      <c r="O36" s="94"/>
    </row>
    <row r="37" spans="1:15">
      <c r="A37" s="181">
        <v>23</v>
      </c>
      <c r="B37" s="84">
        <f t="shared" si="1"/>
        <v>10124</v>
      </c>
      <c r="C37" s="84"/>
      <c r="D37" s="84">
        <f>-4</f>
        <v>-4</v>
      </c>
      <c r="E37" s="84">
        <v>-1</v>
      </c>
      <c r="F37" s="84"/>
      <c r="G37" s="84"/>
      <c r="H37" s="84"/>
      <c r="I37" s="84"/>
      <c r="J37" s="84">
        <f>-300</f>
        <v>-300</v>
      </c>
      <c r="K37" s="84"/>
      <c r="L37" s="84"/>
      <c r="M37" s="84">
        <f t="shared" si="0"/>
        <v>9819</v>
      </c>
      <c r="N37" s="94"/>
      <c r="O37" s="94"/>
    </row>
    <row r="38" spans="1:15">
      <c r="A38" s="181">
        <v>24</v>
      </c>
      <c r="B38" s="84">
        <f t="shared" si="1"/>
        <v>9819</v>
      </c>
      <c r="C38" s="84">
        <v>953</v>
      </c>
      <c r="D38" s="84">
        <f>-11-11</f>
        <v>-22</v>
      </c>
      <c r="E38" s="84">
        <v>-1</v>
      </c>
      <c r="F38" s="84"/>
      <c r="G38" s="84"/>
      <c r="H38" s="84"/>
      <c r="I38" s="84"/>
      <c r="J38" s="84"/>
      <c r="K38" s="84">
        <f>-50</f>
        <v>-50</v>
      </c>
      <c r="L38" s="84"/>
      <c r="M38" s="84">
        <f t="shared" si="0"/>
        <v>10699</v>
      </c>
      <c r="N38" s="94"/>
      <c r="O38" s="94"/>
    </row>
    <row r="39" spans="1:15">
      <c r="A39" s="181">
        <v>25</v>
      </c>
      <c r="B39" s="84">
        <f t="shared" si="1"/>
        <v>10699</v>
      </c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>
        <f t="shared" si="0"/>
        <v>10699</v>
      </c>
      <c r="N39" s="94">
        <f>10951-M39</f>
        <v>252</v>
      </c>
      <c r="O39" s="94"/>
    </row>
    <row r="40" spans="1:15">
      <c r="A40" s="182"/>
      <c r="B40" s="82"/>
      <c r="K40" s="82"/>
      <c r="L40" s="82"/>
      <c r="M40" s="82"/>
      <c r="N40" s="94"/>
      <c r="O40" s="94"/>
    </row>
    <row r="41" spans="1:15" ht="13.9" thickBot="1">
      <c r="A41" s="183"/>
      <c r="B41" s="82"/>
      <c r="C41" s="279">
        <f>SUM(C8:C39)</f>
        <v>3779</v>
      </c>
      <c r="D41" s="279">
        <f t="shared" ref="D41:L41" si="2">SUM(D8:D39)</f>
        <v>-60</v>
      </c>
      <c r="E41" s="279">
        <f t="shared" si="2"/>
        <v>-73</v>
      </c>
      <c r="F41" s="279"/>
      <c r="G41" s="279">
        <f t="shared" si="2"/>
        <v>0</v>
      </c>
      <c r="H41" s="279">
        <f t="shared" si="2"/>
        <v>0</v>
      </c>
      <c r="I41" s="279">
        <f t="shared" si="2"/>
        <v>-48</v>
      </c>
      <c r="J41" s="279">
        <f t="shared" si="2"/>
        <v>-3327</v>
      </c>
      <c r="K41" s="279">
        <f t="shared" si="2"/>
        <v>-56</v>
      </c>
      <c r="L41" s="279">
        <f t="shared" si="2"/>
        <v>0</v>
      </c>
      <c r="M41" s="279">
        <f>912+913+914+949+908+951+919+953+898+910+183+909+351+28</f>
        <v>10698</v>
      </c>
      <c r="N41" s="94">
        <f>4167+91+9</f>
        <v>4267</v>
      </c>
      <c r="O41" s="94"/>
    </row>
    <row r="42" spans="1:15" ht="13.9" thickTop="1">
      <c r="B42" s="82"/>
      <c r="C42" s="82">
        <f>+C41+'[110]Weaner Site'!H40</f>
        <v>-807</v>
      </c>
      <c r="D42" s="82">
        <v>91</v>
      </c>
      <c r="E42" s="82"/>
      <c r="F42" s="82"/>
      <c r="G42" s="82"/>
      <c r="H42" s="82"/>
      <c r="I42" s="82"/>
      <c r="J42" s="82">
        <v>4167</v>
      </c>
      <c r="K42" s="82"/>
      <c r="L42" s="82"/>
      <c r="M42" s="82">
        <f>M39-M41</f>
        <v>1</v>
      </c>
      <c r="N42" s="94"/>
      <c r="O42" s="94"/>
    </row>
    <row r="43" spans="1:15">
      <c r="B43" s="82"/>
      <c r="C43" s="82"/>
      <c r="D43" s="82">
        <f>+D41+D42</f>
        <v>31</v>
      </c>
      <c r="E43" s="82"/>
      <c r="F43" s="82"/>
      <c r="G43" s="82"/>
      <c r="H43" s="82"/>
      <c r="I43" s="82"/>
      <c r="J43" s="82">
        <f>+J41+J42</f>
        <v>840</v>
      </c>
      <c r="K43" s="82"/>
      <c r="L43" s="82"/>
      <c r="M43" s="82"/>
      <c r="N43" s="94"/>
      <c r="O43" s="94"/>
    </row>
    <row r="44" spans="1:15">
      <c r="A44" s="1" t="s">
        <v>82</v>
      </c>
      <c r="B44" s="1"/>
      <c r="M44" s="274">
        <v>39687</v>
      </c>
    </row>
    <row r="45" spans="1:15">
      <c r="A45" s="1"/>
      <c r="B45" s="1"/>
    </row>
    <row r="46" spans="1:15">
      <c r="A46" s="1" t="s">
        <v>2170</v>
      </c>
      <c r="B46" s="1"/>
    </row>
    <row r="47" spans="1:15">
      <c r="A47" s="1"/>
      <c r="B47" s="1"/>
    </row>
    <row r="48" spans="1:15">
      <c r="A48" s="1" t="s">
        <v>2171</v>
      </c>
      <c r="B48" s="1"/>
    </row>
    <row r="49" spans="1:14" ht="13.9" thickBot="1">
      <c r="A49" s="1"/>
      <c r="B49" s="1"/>
    </row>
    <row r="50" spans="1:14">
      <c r="A50" s="176" t="s">
        <v>2172</v>
      </c>
      <c r="B50" s="177" t="s">
        <v>2173</v>
      </c>
      <c r="C50" s="177" t="s">
        <v>2165</v>
      </c>
      <c r="D50" s="177" t="s">
        <v>2174</v>
      </c>
      <c r="E50" s="177" t="s">
        <v>169</v>
      </c>
      <c r="F50" s="177"/>
      <c r="G50" s="177" t="s">
        <v>2175</v>
      </c>
      <c r="H50" s="177" t="s">
        <v>2176</v>
      </c>
      <c r="I50" s="177" t="s">
        <v>216</v>
      </c>
      <c r="J50" s="177" t="s">
        <v>2177</v>
      </c>
      <c r="K50" s="177" t="s">
        <v>2167</v>
      </c>
      <c r="L50" s="177" t="s">
        <v>2176</v>
      </c>
      <c r="M50" s="178" t="s">
        <v>2178</v>
      </c>
      <c r="N50" s="1"/>
    </row>
    <row r="51" spans="1:14">
      <c r="A51" s="179"/>
      <c r="B51" s="180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94"/>
    </row>
    <row r="52" spans="1:14">
      <c r="A52" s="280">
        <v>39655</v>
      </c>
      <c r="B52" s="84">
        <f>M39</f>
        <v>10699</v>
      </c>
      <c r="C52" s="84"/>
      <c r="D52" s="84"/>
      <c r="E52" s="84">
        <f>-4-3</f>
        <v>-7</v>
      </c>
      <c r="F52" s="84"/>
      <c r="G52" s="84"/>
      <c r="H52" s="84"/>
      <c r="I52" s="84"/>
      <c r="J52" s="84"/>
      <c r="K52" s="84"/>
      <c r="L52" s="84"/>
      <c r="M52" s="84">
        <f t="shared" ref="M52:M67" si="3">SUM(B52:L52)</f>
        <v>10692</v>
      </c>
      <c r="N52" s="94"/>
    </row>
    <row r="53" spans="1:14">
      <c r="A53" s="181">
        <v>27</v>
      </c>
      <c r="B53" s="84">
        <f>+M52</f>
        <v>10692</v>
      </c>
      <c r="C53" s="84"/>
      <c r="D53" s="84"/>
      <c r="E53" s="84">
        <f>-3</f>
        <v>-3</v>
      </c>
      <c r="F53" s="84"/>
      <c r="G53" s="84"/>
      <c r="H53" s="84"/>
      <c r="I53" s="84"/>
      <c r="J53" s="84"/>
      <c r="K53" s="84"/>
      <c r="L53" s="84"/>
      <c r="M53" s="84">
        <f t="shared" si="3"/>
        <v>10689</v>
      </c>
      <c r="N53" s="94"/>
    </row>
    <row r="54" spans="1:14">
      <c r="A54" s="181">
        <v>28</v>
      </c>
      <c r="B54" s="84">
        <f t="shared" ref="B54:B82" si="4">+M53</f>
        <v>10689</v>
      </c>
      <c r="C54" s="84"/>
      <c r="D54" s="84"/>
      <c r="E54" s="84">
        <f>-6</f>
        <v>-6</v>
      </c>
      <c r="F54" s="84"/>
      <c r="G54" s="84"/>
      <c r="H54" s="84"/>
      <c r="I54" s="84"/>
      <c r="J54" s="84">
        <f>-299</f>
        <v>-299</v>
      </c>
      <c r="K54" s="84"/>
      <c r="L54" s="84"/>
      <c r="M54" s="84">
        <f t="shared" si="3"/>
        <v>10384</v>
      </c>
      <c r="N54" s="94"/>
    </row>
    <row r="55" spans="1:14">
      <c r="A55" s="181">
        <v>29</v>
      </c>
      <c r="B55" s="84">
        <f t="shared" si="4"/>
        <v>10384</v>
      </c>
      <c r="C55" s="84"/>
      <c r="D55" s="84">
        <f>-3</f>
        <v>-3</v>
      </c>
      <c r="E55" s="84">
        <f>-8</f>
        <v>-8</v>
      </c>
      <c r="F55" s="84"/>
      <c r="G55" s="84"/>
      <c r="H55" s="84"/>
      <c r="I55" s="84">
        <f>-24</f>
        <v>-24</v>
      </c>
      <c r="J55" s="84">
        <f>-300</f>
        <v>-300</v>
      </c>
      <c r="K55" s="84"/>
      <c r="L55" s="84"/>
      <c r="M55" s="84">
        <f t="shared" si="3"/>
        <v>10049</v>
      </c>
      <c r="N55" s="94"/>
    </row>
    <row r="56" spans="1:14">
      <c r="A56" s="181">
        <v>30</v>
      </c>
      <c r="B56" s="84">
        <f t="shared" si="4"/>
        <v>10049</v>
      </c>
      <c r="C56" s="84"/>
      <c r="D56" s="84">
        <f>-9</f>
        <v>-9</v>
      </c>
      <c r="E56" s="84">
        <f>-11</f>
        <v>-11</v>
      </c>
      <c r="F56" s="84"/>
      <c r="G56" s="84"/>
      <c r="H56" s="84"/>
      <c r="I56" s="84"/>
      <c r="J56" s="84">
        <f>-301</f>
        <v>-301</v>
      </c>
      <c r="K56" s="84"/>
      <c r="L56" s="84"/>
      <c r="M56" s="84">
        <f t="shared" si="3"/>
        <v>9728</v>
      </c>
      <c r="N56" s="94"/>
    </row>
    <row r="57" spans="1:14">
      <c r="A57" s="181">
        <v>31</v>
      </c>
      <c r="B57" s="84">
        <f t="shared" si="4"/>
        <v>9728</v>
      </c>
      <c r="C57" s="84"/>
      <c r="D57" s="84"/>
      <c r="E57" s="84">
        <f>-4</f>
        <v>-4</v>
      </c>
      <c r="F57" s="84"/>
      <c r="G57" s="84"/>
      <c r="H57" s="84"/>
      <c r="I57" s="84"/>
      <c r="J57" s="84"/>
      <c r="K57" s="84"/>
      <c r="L57" s="84"/>
      <c r="M57" s="84">
        <f t="shared" si="3"/>
        <v>9724</v>
      </c>
      <c r="N57" s="94"/>
    </row>
    <row r="58" spans="1:14">
      <c r="A58" s="277" t="s">
        <v>2189</v>
      </c>
      <c r="B58" s="84">
        <f t="shared" si="4"/>
        <v>9724</v>
      </c>
      <c r="C58" s="84">
        <v>947</v>
      </c>
      <c r="D58" s="84"/>
      <c r="E58" s="84">
        <f>-4</f>
        <v>-4</v>
      </c>
      <c r="F58" s="84"/>
      <c r="G58" s="84"/>
      <c r="H58" s="84"/>
      <c r="I58" s="84"/>
      <c r="J58" s="84"/>
      <c r="K58" s="84"/>
      <c r="L58" s="84"/>
      <c r="M58" s="84">
        <f t="shared" si="3"/>
        <v>10667</v>
      </c>
      <c r="N58" s="94"/>
    </row>
    <row r="59" spans="1:14">
      <c r="A59" s="278" t="s">
        <v>2181</v>
      </c>
      <c r="B59" s="84">
        <f t="shared" si="4"/>
        <v>10667</v>
      </c>
      <c r="C59" s="84"/>
      <c r="D59" s="84"/>
      <c r="E59" s="84">
        <f>-3</f>
        <v>-3</v>
      </c>
      <c r="F59" s="84"/>
      <c r="G59" s="84"/>
      <c r="H59" s="84"/>
      <c r="I59" s="84"/>
      <c r="J59" s="84"/>
      <c r="K59" s="84"/>
      <c r="L59" s="84"/>
      <c r="M59" s="84">
        <f t="shared" si="3"/>
        <v>10664</v>
      </c>
      <c r="N59" s="94"/>
    </row>
    <row r="60" spans="1:14">
      <c r="A60" s="278" t="s">
        <v>2182</v>
      </c>
      <c r="B60" s="84">
        <f t="shared" si="4"/>
        <v>10664</v>
      </c>
      <c r="C60" s="84"/>
      <c r="D60" s="84"/>
      <c r="E60" s="84">
        <f>-6</f>
        <v>-6</v>
      </c>
      <c r="F60" s="84"/>
      <c r="G60" s="84"/>
      <c r="H60" s="84"/>
      <c r="I60" s="84"/>
      <c r="J60" s="84"/>
      <c r="K60" s="84"/>
      <c r="L60" s="84"/>
      <c r="M60" s="84">
        <f t="shared" si="3"/>
        <v>10658</v>
      </c>
      <c r="N60" s="94"/>
    </row>
    <row r="61" spans="1:14">
      <c r="A61" s="278" t="s">
        <v>2183</v>
      </c>
      <c r="B61" s="84">
        <f t="shared" si="4"/>
        <v>10658</v>
      </c>
      <c r="C61" s="84"/>
      <c r="D61" s="84">
        <f>-5</f>
        <v>-5</v>
      </c>
      <c r="E61" s="84">
        <f>-7</f>
        <v>-7</v>
      </c>
      <c r="F61" s="84"/>
      <c r="G61" s="84"/>
      <c r="H61" s="84"/>
      <c r="I61" s="84"/>
      <c r="J61" s="84">
        <f>-300</f>
        <v>-300</v>
      </c>
      <c r="K61" s="84"/>
      <c r="L61" s="84"/>
      <c r="M61" s="84">
        <f t="shared" si="3"/>
        <v>10346</v>
      </c>
      <c r="N61" s="94"/>
    </row>
    <row r="62" spans="1:14">
      <c r="A62" s="278" t="s">
        <v>2184</v>
      </c>
      <c r="B62" s="84">
        <f t="shared" si="4"/>
        <v>10346</v>
      </c>
      <c r="C62" s="84"/>
      <c r="D62" s="84">
        <f>-3</f>
        <v>-3</v>
      </c>
      <c r="E62" s="84">
        <f>-8-3</f>
        <v>-11</v>
      </c>
      <c r="F62" s="84"/>
      <c r="G62" s="84"/>
      <c r="H62" s="84"/>
      <c r="I62" s="84"/>
      <c r="J62" s="84">
        <f>-325</f>
        <v>-325</v>
      </c>
      <c r="K62" s="84"/>
      <c r="L62" s="84"/>
      <c r="M62" s="84">
        <f t="shared" si="3"/>
        <v>10007</v>
      </c>
      <c r="N62" s="94"/>
    </row>
    <row r="63" spans="1:14">
      <c r="A63" s="278" t="s">
        <v>2185</v>
      </c>
      <c r="B63" s="84">
        <f t="shared" si="4"/>
        <v>10007</v>
      </c>
      <c r="C63" s="84"/>
      <c r="D63" s="84"/>
      <c r="E63" s="84">
        <f>-8</f>
        <v>-8</v>
      </c>
      <c r="F63" s="84"/>
      <c r="G63" s="84"/>
      <c r="H63" s="84"/>
      <c r="I63" s="84"/>
      <c r="J63" s="84">
        <f>-295</f>
        <v>-295</v>
      </c>
      <c r="K63" s="84"/>
      <c r="L63" s="84"/>
      <c r="M63" s="84">
        <f t="shared" si="3"/>
        <v>9704</v>
      </c>
      <c r="N63" s="94"/>
    </row>
    <row r="64" spans="1:14">
      <c r="A64" s="278" t="s">
        <v>2186</v>
      </c>
      <c r="B64" s="84">
        <f t="shared" si="4"/>
        <v>9704</v>
      </c>
      <c r="C64" s="84"/>
      <c r="D64" s="84"/>
      <c r="E64" s="84"/>
      <c r="F64" s="84"/>
      <c r="G64" s="84"/>
      <c r="H64" s="84"/>
      <c r="I64" s="84"/>
      <c r="J64" s="84"/>
      <c r="K64" s="84">
        <f>-6</f>
        <v>-6</v>
      </c>
      <c r="L64" s="84"/>
      <c r="M64" s="84">
        <f t="shared" si="3"/>
        <v>9698</v>
      </c>
      <c r="N64" s="94"/>
    </row>
    <row r="65" spans="1:14">
      <c r="A65" s="278" t="s">
        <v>2187</v>
      </c>
      <c r="B65" s="84">
        <f t="shared" si="4"/>
        <v>9698</v>
      </c>
      <c r="C65" s="84"/>
      <c r="D65" s="84">
        <f>-3</f>
        <v>-3</v>
      </c>
      <c r="E65" s="84"/>
      <c r="F65" s="84"/>
      <c r="G65" s="84"/>
      <c r="H65" s="84"/>
      <c r="I65" s="84"/>
      <c r="J65" s="84"/>
      <c r="K65" s="84"/>
      <c r="L65" s="84"/>
      <c r="M65" s="84">
        <f t="shared" si="3"/>
        <v>9695</v>
      </c>
      <c r="N65" s="94"/>
    </row>
    <row r="66" spans="1:14">
      <c r="A66" s="278" t="s">
        <v>2188</v>
      </c>
      <c r="B66" s="84">
        <f t="shared" si="4"/>
        <v>9695</v>
      </c>
      <c r="C66" s="84"/>
      <c r="D66" s="84"/>
      <c r="E66" s="84">
        <f>-5-7</f>
        <v>-12</v>
      </c>
      <c r="F66" s="84"/>
      <c r="G66" s="84"/>
      <c r="H66" s="84"/>
      <c r="I66" s="84"/>
      <c r="J66" s="84"/>
      <c r="K66" s="84"/>
      <c r="L66" s="84"/>
      <c r="M66" s="84">
        <f t="shared" si="3"/>
        <v>9683</v>
      </c>
      <c r="N66" s="94"/>
    </row>
    <row r="67" spans="1:14">
      <c r="A67" s="181">
        <v>10</v>
      </c>
      <c r="B67" s="84">
        <f t="shared" si="4"/>
        <v>9683</v>
      </c>
      <c r="C67" s="84"/>
      <c r="D67" s="84"/>
      <c r="E67" s="84">
        <f>-6</f>
        <v>-6</v>
      </c>
      <c r="F67" s="84"/>
      <c r="G67" s="84"/>
      <c r="H67" s="84"/>
      <c r="I67" s="84"/>
      <c r="J67" s="84"/>
      <c r="K67" s="84"/>
      <c r="L67" s="84"/>
      <c r="M67" s="84">
        <f t="shared" si="3"/>
        <v>9677</v>
      </c>
      <c r="N67" s="94"/>
    </row>
    <row r="68" spans="1:14">
      <c r="A68" s="181">
        <v>11</v>
      </c>
      <c r="B68" s="84">
        <f t="shared" si="4"/>
        <v>9677</v>
      </c>
      <c r="C68" s="84"/>
      <c r="D68" s="84">
        <f>-3</f>
        <v>-3</v>
      </c>
      <c r="E68" s="84">
        <f>-2-6</f>
        <v>-8</v>
      </c>
      <c r="F68" s="84"/>
      <c r="G68" s="84"/>
      <c r="H68" s="84"/>
      <c r="I68" s="84"/>
      <c r="J68" s="84"/>
      <c r="K68" s="84"/>
      <c r="L68" s="84"/>
      <c r="M68" s="84">
        <f t="shared" ref="M68:M82" si="5">SUM(B68:L68)</f>
        <v>9666</v>
      </c>
      <c r="N68" s="94"/>
    </row>
    <row r="69" spans="1:14">
      <c r="A69" s="181">
        <v>12</v>
      </c>
      <c r="B69" s="84">
        <f t="shared" si="4"/>
        <v>9666</v>
      </c>
      <c r="C69" s="84"/>
      <c r="D69" s="84"/>
      <c r="E69" s="84">
        <f>-3</f>
        <v>-3</v>
      </c>
      <c r="F69" s="84"/>
      <c r="G69" s="84"/>
      <c r="H69" s="84"/>
      <c r="I69" s="84">
        <v>-24</v>
      </c>
      <c r="J69" s="84"/>
      <c r="K69" s="84"/>
      <c r="L69" s="84"/>
      <c r="M69" s="84">
        <f t="shared" si="5"/>
        <v>9639</v>
      </c>
      <c r="N69" s="94"/>
    </row>
    <row r="70" spans="1:14">
      <c r="A70" s="181">
        <v>13</v>
      </c>
      <c r="B70" s="84">
        <f t="shared" si="4"/>
        <v>9639</v>
      </c>
      <c r="C70" s="84">
        <v>955</v>
      </c>
      <c r="D70" s="84"/>
      <c r="E70" s="84">
        <f>-3</f>
        <v>-3</v>
      </c>
      <c r="F70" s="84"/>
      <c r="G70" s="84"/>
      <c r="H70" s="84"/>
      <c r="I70" s="84"/>
      <c r="J70" s="84">
        <v>-460</v>
      </c>
      <c r="K70" s="84"/>
      <c r="L70" s="84"/>
      <c r="M70" s="84">
        <f t="shared" si="5"/>
        <v>10131</v>
      </c>
      <c r="N70" s="94"/>
    </row>
    <row r="71" spans="1:14">
      <c r="A71" s="181">
        <v>14</v>
      </c>
      <c r="B71" s="84">
        <f t="shared" si="4"/>
        <v>10131</v>
      </c>
      <c r="C71" s="84"/>
      <c r="D71" s="84"/>
      <c r="E71" s="84">
        <f>-6</f>
        <v>-6</v>
      </c>
      <c r="F71" s="84"/>
      <c r="G71" s="84"/>
      <c r="H71" s="84"/>
      <c r="I71" s="84"/>
      <c r="J71" s="84"/>
      <c r="K71" s="84"/>
      <c r="L71" s="84"/>
      <c r="M71" s="84">
        <f t="shared" si="5"/>
        <v>10125</v>
      </c>
      <c r="N71" s="94"/>
    </row>
    <row r="72" spans="1:14">
      <c r="A72" s="181">
        <v>15</v>
      </c>
      <c r="B72" s="84">
        <f t="shared" si="4"/>
        <v>10125</v>
      </c>
      <c r="C72" s="84"/>
      <c r="D72" s="84"/>
      <c r="E72" s="84">
        <f>-5</f>
        <v>-5</v>
      </c>
      <c r="F72" s="84"/>
      <c r="G72" s="84"/>
      <c r="H72" s="84"/>
      <c r="I72" s="84"/>
      <c r="J72" s="84"/>
      <c r="K72" s="84"/>
      <c r="L72" s="84"/>
      <c r="M72" s="84">
        <f t="shared" si="5"/>
        <v>10120</v>
      </c>
      <c r="N72" s="94"/>
    </row>
    <row r="73" spans="1:14">
      <c r="A73" s="181">
        <v>16</v>
      </c>
      <c r="B73" s="84">
        <f t="shared" si="4"/>
        <v>10120</v>
      </c>
      <c r="C73" s="84">
        <v>952</v>
      </c>
      <c r="D73" s="84"/>
      <c r="E73" s="84">
        <f>-9</f>
        <v>-9</v>
      </c>
      <c r="F73" s="84"/>
      <c r="G73" s="84"/>
      <c r="H73" s="84"/>
      <c r="I73" s="84"/>
      <c r="J73" s="84"/>
      <c r="K73" s="84"/>
      <c r="L73" s="84"/>
      <c r="M73" s="84">
        <f t="shared" si="5"/>
        <v>11063</v>
      </c>
      <c r="N73" s="94"/>
    </row>
    <row r="74" spans="1:14">
      <c r="A74" s="181">
        <v>17</v>
      </c>
      <c r="B74" s="84">
        <f t="shared" si="4"/>
        <v>11063</v>
      </c>
      <c r="C74" s="84"/>
      <c r="D74" s="84"/>
      <c r="E74" s="84">
        <f>-10</f>
        <v>-10</v>
      </c>
      <c r="F74" s="84"/>
      <c r="G74" s="84"/>
      <c r="H74" s="84"/>
      <c r="I74" s="84"/>
      <c r="J74" s="84"/>
      <c r="K74" s="84"/>
      <c r="L74" s="84"/>
      <c r="M74" s="84">
        <f t="shared" si="5"/>
        <v>11053</v>
      </c>
      <c r="N74" s="94"/>
    </row>
    <row r="75" spans="1:14">
      <c r="A75" s="181">
        <v>18</v>
      </c>
      <c r="B75" s="84">
        <f t="shared" si="4"/>
        <v>11053</v>
      </c>
      <c r="C75" s="84"/>
      <c r="D75" s="84"/>
      <c r="E75" s="84">
        <f>-5</f>
        <v>-5</v>
      </c>
      <c r="F75" s="84"/>
      <c r="G75" s="84"/>
      <c r="H75" s="84"/>
      <c r="I75" s="84"/>
      <c r="J75" s="84">
        <f>-445</f>
        <v>-445</v>
      </c>
      <c r="K75" s="84"/>
      <c r="L75" s="84"/>
      <c r="M75" s="84">
        <f t="shared" si="5"/>
        <v>10603</v>
      </c>
      <c r="N75" s="94"/>
    </row>
    <row r="76" spans="1:14">
      <c r="A76" s="181">
        <v>19</v>
      </c>
      <c r="B76" s="84">
        <f t="shared" si="4"/>
        <v>10603</v>
      </c>
      <c r="C76" s="84"/>
      <c r="D76" s="84"/>
      <c r="E76" s="84">
        <f>-9</f>
        <v>-9</v>
      </c>
      <c r="F76" s="84"/>
      <c r="G76" s="84"/>
      <c r="H76" s="84"/>
      <c r="I76" s="84"/>
      <c r="J76" s="84">
        <v>-475</v>
      </c>
      <c r="K76" s="84"/>
      <c r="L76" s="84"/>
      <c r="M76" s="84">
        <f t="shared" si="5"/>
        <v>10119</v>
      </c>
      <c r="N76" s="94"/>
    </row>
    <row r="77" spans="1:14">
      <c r="A77" s="181">
        <v>20</v>
      </c>
      <c r="B77" s="84">
        <f t="shared" si="4"/>
        <v>10119</v>
      </c>
      <c r="C77" s="84"/>
      <c r="D77" s="84"/>
      <c r="E77" s="84">
        <f>-9</f>
        <v>-9</v>
      </c>
      <c r="F77" s="84"/>
      <c r="G77" s="84"/>
      <c r="H77" s="84"/>
      <c r="I77" s="84"/>
      <c r="J77" s="84"/>
      <c r="K77" s="84"/>
      <c r="L77" s="84"/>
      <c r="M77" s="84">
        <f t="shared" si="5"/>
        <v>10110</v>
      </c>
      <c r="N77" s="94"/>
    </row>
    <row r="78" spans="1:14">
      <c r="A78" s="181">
        <v>21</v>
      </c>
      <c r="B78" s="84">
        <f t="shared" si="4"/>
        <v>10110</v>
      </c>
      <c r="C78" s="84"/>
      <c r="D78" s="84">
        <f>-3</f>
        <v>-3</v>
      </c>
      <c r="E78" s="84">
        <f>-7</f>
        <v>-7</v>
      </c>
      <c r="F78" s="84"/>
      <c r="G78" s="84"/>
      <c r="H78" s="84"/>
      <c r="I78" s="84"/>
      <c r="J78" s="84"/>
      <c r="K78" s="84"/>
      <c r="L78" s="84"/>
      <c r="M78" s="84">
        <f t="shared" si="5"/>
        <v>10100</v>
      </c>
      <c r="N78" s="94"/>
    </row>
    <row r="79" spans="1:14">
      <c r="A79" s="181">
        <v>22</v>
      </c>
      <c r="B79" s="84">
        <f t="shared" si="4"/>
        <v>10100</v>
      </c>
      <c r="C79" s="84"/>
      <c r="D79" s="84"/>
      <c r="E79" s="84">
        <f>-10</f>
        <v>-10</v>
      </c>
      <c r="F79" s="84"/>
      <c r="G79" s="84"/>
      <c r="H79" s="84"/>
      <c r="I79" s="84"/>
      <c r="J79" s="84"/>
      <c r="K79" s="84"/>
      <c r="L79" s="84"/>
      <c r="M79" s="84">
        <f t="shared" si="5"/>
        <v>10090</v>
      </c>
      <c r="N79" s="94"/>
    </row>
    <row r="80" spans="1:14">
      <c r="A80" s="181">
        <v>23</v>
      </c>
      <c r="B80" s="84">
        <f t="shared" si="4"/>
        <v>10090</v>
      </c>
      <c r="C80" s="84">
        <v>975</v>
      </c>
      <c r="D80" s="84"/>
      <c r="E80" s="84">
        <f>-8</f>
        <v>-8</v>
      </c>
      <c r="F80" s="84"/>
      <c r="G80" s="84"/>
      <c r="H80" s="84"/>
      <c r="I80" s="84"/>
      <c r="J80" s="84"/>
      <c r="K80" s="84"/>
      <c r="L80" s="84"/>
      <c r="M80" s="84">
        <f t="shared" si="5"/>
        <v>11057</v>
      </c>
      <c r="N80" s="94"/>
    </row>
    <row r="81" spans="1:14">
      <c r="A81" s="181">
        <v>24</v>
      </c>
      <c r="B81" s="84">
        <f t="shared" si="4"/>
        <v>11057</v>
      </c>
      <c r="C81" s="84"/>
      <c r="D81" s="84"/>
      <c r="E81" s="84">
        <f>-18</f>
        <v>-18</v>
      </c>
      <c r="F81" s="84"/>
      <c r="G81" s="84"/>
      <c r="H81" s="84"/>
      <c r="I81" s="84"/>
      <c r="J81" s="84"/>
      <c r="K81" s="84"/>
      <c r="L81" s="84"/>
      <c r="M81" s="84">
        <f t="shared" si="5"/>
        <v>11039</v>
      </c>
      <c r="N81" s="94"/>
    </row>
    <row r="82" spans="1:14">
      <c r="A82" s="181">
        <v>25</v>
      </c>
      <c r="B82" s="84">
        <f t="shared" si="4"/>
        <v>11039</v>
      </c>
      <c r="C82" s="84"/>
      <c r="D82" s="84"/>
      <c r="E82" s="84">
        <f>-13</f>
        <v>-13</v>
      </c>
      <c r="F82" s="84"/>
      <c r="G82" s="84"/>
      <c r="H82" s="84"/>
      <c r="I82" s="84"/>
      <c r="J82" s="84">
        <f>-460</f>
        <v>-460</v>
      </c>
      <c r="K82" s="84"/>
      <c r="L82" s="84"/>
      <c r="M82" s="84">
        <f t="shared" si="5"/>
        <v>10566</v>
      </c>
      <c r="N82" s="94"/>
    </row>
    <row r="83" spans="1:14">
      <c r="A83" s="182"/>
      <c r="B83" s="82"/>
      <c r="K83" s="82"/>
      <c r="L83" s="82"/>
      <c r="M83" s="82"/>
      <c r="N83" s="94"/>
    </row>
    <row r="84" spans="1:14" ht="13.9" thickBot="1">
      <c r="A84" s="183"/>
      <c r="B84" s="82"/>
      <c r="C84" s="279">
        <f>SUM(C51:C82)</f>
        <v>3829</v>
      </c>
      <c r="D84" s="279">
        <f t="shared" ref="D84:L84" si="6">SUM(D51:D82)</f>
        <v>-29</v>
      </c>
      <c r="E84" s="279">
        <f t="shared" si="6"/>
        <v>-219</v>
      </c>
      <c r="F84" s="279"/>
      <c r="G84" s="279">
        <f t="shared" si="6"/>
        <v>0</v>
      </c>
      <c r="H84" s="279">
        <f t="shared" si="6"/>
        <v>0</v>
      </c>
      <c r="I84" s="279">
        <f t="shared" si="6"/>
        <v>-48</v>
      </c>
      <c r="J84" s="279">
        <f>SUM(J51:J82)</f>
        <v>-3660</v>
      </c>
      <c r="K84" s="279">
        <f t="shared" si="6"/>
        <v>-6</v>
      </c>
      <c r="L84" s="279">
        <f t="shared" si="6"/>
        <v>0</v>
      </c>
      <c r="M84" s="279">
        <f>912+913+914+949+908+951+919+953+898+910+183+909+351+28</f>
        <v>10698</v>
      </c>
      <c r="N84" s="94">
        <f>4167+91+9</f>
        <v>4267</v>
      </c>
    </row>
    <row r="85" spans="1:14" ht="13.9" thickTop="1"/>
    <row r="86" spans="1:14">
      <c r="A86" s="1" t="s">
        <v>82</v>
      </c>
      <c r="B86" s="1"/>
      <c r="M86" s="274">
        <v>39687</v>
      </c>
    </row>
    <row r="87" spans="1:14">
      <c r="A87" s="1"/>
      <c r="B87" s="1"/>
    </row>
    <row r="88" spans="1:14">
      <c r="A88" s="1" t="s">
        <v>2170</v>
      </c>
      <c r="B88" s="1"/>
    </row>
    <row r="89" spans="1:14">
      <c r="A89" s="1"/>
      <c r="B89" s="1"/>
    </row>
    <row r="90" spans="1:14">
      <c r="A90" s="1" t="s">
        <v>2171</v>
      </c>
      <c r="B90" s="1"/>
    </row>
    <row r="91" spans="1:14" ht="13.9" thickBot="1">
      <c r="A91" s="1"/>
      <c r="B91" s="1"/>
    </row>
    <row r="92" spans="1:14">
      <c r="A92" s="176" t="s">
        <v>2172</v>
      </c>
      <c r="B92" s="177" t="s">
        <v>2173</v>
      </c>
      <c r="C92" s="177" t="s">
        <v>2165</v>
      </c>
      <c r="D92" s="177" t="s">
        <v>2174</v>
      </c>
      <c r="E92" s="177" t="s">
        <v>169</v>
      </c>
      <c r="F92" s="177"/>
      <c r="G92" s="177" t="s">
        <v>2175</v>
      </c>
      <c r="H92" s="177" t="s">
        <v>2176</v>
      </c>
      <c r="I92" s="177" t="s">
        <v>216</v>
      </c>
      <c r="J92" s="177" t="s">
        <v>2177</v>
      </c>
      <c r="K92" s="177" t="s">
        <v>2167</v>
      </c>
      <c r="L92" s="177" t="s">
        <v>2176</v>
      </c>
      <c r="M92" s="178" t="s">
        <v>2178</v>
      </c>
      <c r="N92" s="1"/>
    </row>
    <row r="93" spans="1:14">
      <c r="A93" s="179"/>
      <c r="B93" s="180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94"/>
    </row>
    <row r="94" spans="1:14">
      <c r="A94" s="280">
        <v>39778</v>
      </c>
      <c r="B94" s="84">
        <f>'Summary Total Pigs'!C14</f>
        <v>13029</v>
      </c>
      <c r="C94" s="84"/>
      <c r="D94" s="84"/>
      <c r="E94" s="84"/>
      <c r="F94" s="84"/>
      <c r="G94" s="84"/>
      <c r="H94" s="84"/>
      <c r="I94" s="84"/>
      <c r="J94" s="84"/>
      <c r="K94" s="84">
        <f>-4</f>
        <v>-4</v>
      </c>
      <c r="L94" s="84"/>
      <c r="M94" s="84">
        <f t="shared" ref="M94:M109" si="7">SUM(B94:L94)</f>
        <v>13025</v>
      </c>
      <c r="N94" s="94"/>
    </row>
    <row r="95" spans="1:14">
      <c r="A95" s="181">
        <v>27</v>
      </c>
      <c r="B95" s="84">
        <f>+M94</f>
        <v>13025</v>
      </c>
      <c r="C95" s="84"/>
      <c r="D95" s="84"/>
      <c r="E95" s="84"/>
      <c r="F95" s="84"/>
      <c r="G95" s="84"/>
      <c r="H95" s="84"/>
      <c r="I95" s="84">
        <f>-47</f>
        <v>-47</v>
      </c>
      <c r="J95" s="84">
        <f>-260</f>
        <v>-260</v>
      </c>
      <c r="K95" s="84">
        <f>-8</f>
        <v>-8</v>
      </c>
      <c r="L95" s="84"/>
      <c r="M95" s="84">
        <f t="shared" si="7"/>
        <v>12710</v>
      </c>
      <c r="N95" s="94"/>
    </row>
    <row r="96" spans="1:14">
      <c r="A96" s="181">
        <v>28</v>
      </c>
      <c r="B96" s="84">
        <f t="shared" ref="B96:B127" si="8">+M95</f>
        <v>12710</v>
      </c>
      <c r="C96" s="84">
        <v>967</v>
      </c>
      <c r="D96" s="84"/>
      <c r="E96" s="84"/>
      <c r="F96" s="84"/>
      <c r="G96" s="84"/>
      <c r="H96" s="84"/>
      <c r="I96" s="84"/>
      <c r="J96" s="84">
        <f>-240</f>
        <v>-240</v>
      </c>
      <c r="K96" s="84">
        <f>-7</f>
        <v>-7</v>
      </c>
      <c r="L96" s="84"/>
      <c r="M96" s="84">
        <f t="shared" si="7"/>
        <v>13430</v>
      </c>
      <c r="N96" s="94"/>
    </row>
    <row r="97" spans="1:14">
      <c r="A97" s="181">
        <v>29</v>
      </c>
      <c r="B97" s="84">
        <f t="shared" si="8"/>
        <v>13430</v>
      </c>
      <c r="C97" s="84"/>
      <c r="D97" s="84"/>
      <c r="E97" s="84">
        <f>-1</f>
        <v>-1</v>
      </c>
      <c r="F97" s="84"/>
      <c r="G97" s="84"/>
      <c r="H97" s="84"/>
      <c r="I97" s="84"/>
      <c r="J97" s="84"/>
      <c r="K97" s="84"/>
      <c r="L97" s="84"/>
      <c r="M97" s="84">
        <f t="shared" si="7"/>
        <v>13429</v>
      </c>
      <c r="N97" s="94"/>
    </row>
    <row r="98" spans="1:14">
      <c r="A98" s="181">
        <v>30</v>
      </c>
      <c r="B98" s="84">
        <f t="shared" si="8"/>
        <v>13429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>
        <f t="shared" si="7"/>
        <v>13429</v>
      </c>
      <c r="N98" s="94"/>
    </row>
    <row r="99" spans="1:14">
      <c r="A99" s="181">
        <v>31</v>
      </c>
      <c r="B99" s="84">
        <f t="shared" si="8"/>
        <v>13429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>
        <f t="shared" si="7"/>
        <v>13429</v>
      </c>
      <c r="N99" s="94"/>
    </row>
    <row r="100" spans="1:14">
      <c r="A100" s="277" t="s">
        <v>2190</v>
      </c>
      <c r="B100" s="84">
        <f t="shared" si="8"/>
        <v>13429</v>
      </c>
      <c r="C100" s="84"/>
      <c r="D100" s="84">
        <f>-6</f>
        <v>-6</v>
      </c>
      <c r="E100" s="84"/>
      <c r="F100" s="84"/>
      <c r="G100" s="84"/>
      <c r="H100" s="84"/>
      <c r="I100" s="84"/>
      <c r="J100" s="84">
        <f>-501</f>
        <v>-501</v>
      </c>
      <c r="K100" s="84"/>
      <c r="L100" s="84"/>
      <c r="M100" s="84">
        <f t="shared" si="7"/>
        <v>12922</v>
      </c>
      <c r="N100" s="94"/>
    </row>
    <row r="101" spans="1:14">
      <c r="A101" s="278" t="s">
        <v>2181</v>
      </c>
      <c r="B101" s="84">
        <f t="shared" si="8"/>
        <v>12922</v>
      </c>
      <c r="C101" s="84"/>
      <c r="D101" s="84">
        <f>-12</f>
        <v>-12</v>
      </c>
      <c r="E101" s="84">
        <f>-1</f>
        <v>-1</v>
      </c>
      <c r="F101" s="84"/>
      <c r="G101" s="84"/>
      <c r="H101" s="84"/>
      <c r="I101" s="84"/>
      <c r="J101" s="84">
        <f>-499</f>
        <v>-499</v>
      </c>
      <c r="K101" s="84">
        <f>-5</f>
        <v>-5</v>
      </c>
      <c r="L101" s="84"/>
      <c r="M101" s="84">
        <f t="shared" si="7"/>
        <v>12405</v>
      </c>
      <c r="N101" s="94"/>
    </row>
    <row r="102" spans="1:14">
      <c r="A102" s="278" t="s">
        <v>2182</v>
      </c>
      <c r="B102" s="84">
        <f t="shared" si="8"/>
        <v>12405</v>
      </c>
      <c r="C102" s="84"/>
      <c r="D102" s="84"/>
      <c r="E102" s="84">
        <f>-1</f>
        <v>-1</v>
      </c>
      <c r="F102" s="84"/>
      <c r="G102" s="84"/>
      <c r="H102" s="84"/>
      <c r="I102" s="84"/>
      <c r="J102" s="84">
        <f>-500</f>
        <v>-500</v>
      </c>
      <c r="K102" s="84">
        <f>-20</f>
        <v>-20</v>
      </c>
      <c r="L102" s="84"/>
      <c r="M102" s="84">
        <f t="shared" si="7"/>
        <v>11884</v>
      </c>
      <c r="N102" s="94"/>
    </row>
    <row r="103" spans="1:14">
      <c r="A103" s="278" t="s">
        <v>2183</v>
      </c>
      <c r="B103" s="84">
        <f t="shared" si="8"/>
        <v>11884</v>
      </c>
      <c r="C103" s="84"/>
      <c r="D103" s="84"/>
      <c r="E103" s="84">
        <f>-1</f>
        <v>-1</v>
      </c>
      <c r="F103" s="84"/>
      <c r="G103" s="84"/>
      <c r="H103" s="84"/>
      <c r="I103" s="84"/>
      <c r="J103" s="84"/>
      <c r="K103" s="84">
        <f>-2</f>
        <v>-2</v>
      </c>
      <c r="L103" s="84"/>
      <c r="M103" s="84">
        <f t="shared" si="7"/>
        <v>11881</v>
      </c>
      <c r="N103" s="94"/>
    </row>
    <row r="104" spans="1:14">
      <c r="A104" s="278" t="s">
        <v>2184</v>
      </c>
      <c r="B104" s="84">
        <f t="shared" si="8"/>
        <v>11881</v>
      </c>
      <c r="C104" s="84">
        <v>973</v>
      </c>
      <c r="D104" s="84"/>
      <c r="E104" s="84">
        <f>-3</f>
        <v>-3</v>
      </c>
      <c r="F104" s="84"/>
      <c r="G104" s="84"/>
      <c r="H104" s="84"/>
      <c r="I104" s="84"/>
      <c r="J104" s="84"/>
      <c r="K104" s="84">
        <f>-7-10-10</f>
        <v>-27</v>
      </c>
      <c r="L104" s="84"/>
      <c r="M104" s="84">
        <f t="shared" si="7"/>
        <v>12824</v>
      </c>
      <c r="N104" s="94"/>
    </row>
    <row r="105" spans="1:14">
      <c r="A105" s="278" t="s">
        <v>2185</v>
      </c>
      <c r="B105" s="84">
        <f t="shared" si="8"/>
        <v>12824</v>
      </c>
      <c r="C105" s="84"/>
      <c r="D105" s="84"/>
      <c r="E105" s="84">
        <f>-1</f>
        <v>-1</v>
      </c>
      <c r="F105" s="84"/>
      <c r="G105" s="84"/>
      <c r="H105" s="84"/>
      <c r="I105" s="84"/>
      <c r="J105" s="84">
        <f>-459</f>
        <v>-459</v>
      </c>
      <c r="K105" s="84"/>
      <c r="L105" s="84"/>
      <c r="M105" s="84">
        <f t="shared" si="7"/>
        <v>12364</v>
      </c>
      <c r="N105" s="94"/>
    </row>
    <row r="106" spans="1:14">
      <c r="A106" s="278" t="s">
        <v>2186</v>
      </c>
      <c r="B106" s="84">
        <f t="shared" si="8"/>
        <v>12364</v>
      </c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>
        <f t="shared" si="7"/>
        <v>12364</v>
      </c>
      <c r="N106" s="94"/>
    </row>
    <row r="107" spans="1:14">
      <c r="A107" s="278" t="s">
        <v>2187</v>
      </c>
      <c r="B107" s="84">
        <f t="shared" si="8"/>
        <v>12364</v>
      </c>
      <c r="C107" s="84"/>
      <c r="D107" s="84"/>
      <c r="E107" s="84"/>
      <c r="F107" s="84"/>
      <c r="G107" s="84"/>
      <c r="H107" s="84"/>
      <c r="I107" s="84"/>
      <c r="J107" s="84">
        <f>-461</f>
        <v>-461</v>
      </c>
      <c r="K107" s="84"/>
      <c r="L107" s="84"/>
      <c r="M107" s="84">
        <f t="shared" si="7"/>
        <v>11903</v>
      </c>
      <c r="N107" s="94"/>
    </row>
    <row r="108" spans="1:14">
      <c r="A108" s="278" t="s">
        <v>2188</v>
      </c>
      <c r="B108" s="84">
        <f t="shared" si="8"/>
        <v>11903</v>
      </c>
      <c r="C108" s="84"/>
      <c r="D108" s="84"/>
      <c r="E108" s="84">
        <f>-2</f>
        <v>-2</v>
      </c>
      <c r="F108" s="84"/>
      <c r="G108" s="84"/>
      <c r="H108" s="84"/>
      <c r="I108" s="84"/>
      <c r="J108" s="84"/>
      <c r="K108" s="84"/>
      <c r="L108" s="84"/>
      <c r="M108" s="84">
        <f t="shared" si="7"/>
        <v>11901</v>
      </c>
      <c r="N108" s="94"/>
    </row>
    <row r="109" spans="1:14">
      <c r="A109" s="181">
        <v>10</v>
      </c>
      <c r="B109" s="84">
        <f t="shared" si="8"/>
        <v>11901</v>
      </c>
      <c r="C109" s="84"/>
      <c r="D109" s="84"/>
      <c r="E109" s="84">
        <f>-1</f>
        <v>-1</v>
      </c>
      <c r="F109" s="84"/>
      <c r="G109" s="84"/>
      <c r="H109" s="84"/>
      <c r="I109" s="84"/>
      <c r="J109" s="84"/>
      <c r="K109" s="84"/>
      <c r="L109" s="84"/>
      <c r="M109" s="84">
        <f t="shared" si="7"/>
        <v>11900</v>
      </c>
      <c r="N109" s="94"/>
    </row>
    <row r="110" spans="1:14">
      <c r="A110" s="181">
        <v>11</v>
      </c>
      <c r="B110" s="84">
        <f t="shared" si="8"/>
        <v>11900</v>
      </c>
      <c r="C110" s="84"/>
      <c r="D110" s="84"/>
      <c r="E110" s="84">
        <f>-5</f>
        <v>-5</v>
      </c>
      <c r="F110" s="84"/>
      <c r="G110" s="84"/>
      <c r="H110" s="84"/>
      <c r="I110" s="84"/>
      <c r="J110" s="84"/>
      <c r="K110" s="84">
        <f>-5-11-14</f>
        <v>-30</v>
      </c>
      <c r="L110" s="84"/>
      <c r="M110" s="84">
        <f t="shared" ref="M110:M124" si="9">SUM(B110:L110)</f>
        <v>11865</v>
      </c>
      <c r="N110" s="94"/>
    </row>
    <row r="111" spans="1:14">
      <c r="A111" s="181">
        <v>12</v>
      </c>
      <c r="B111" s="84">
        <f t="shared" si="8"/>
        <v>11865</v>
      </c>
      <c r="C111" s="84">
        <v>971</v>
      </c>
      <c r="D111" s="84"/>
      <c r="E111" s="84">
        <f>-6</f>
        <v>-6</v>
      </c>
      <c r="F111" s="84"/>
      <c r="G111" s="84"/>
      <c r="H111" s="84"/>
      <c r="I111" s="84"/>
      <c r="J111" s="84"/>
      <c r="K111" s="84">
        <f>-20-20</f>
        <v>-40</v>
      </c>
      <c r="L111" s="84"/>
      <c r="M111" s="84">
        <f t="shared" si="9"/>
        <v>12790</v>
      </c>
      <c r="N111" s="94"/>
    </row>
    <row r="112" spans="1:14">
      <c r="A112" s="181">
        <v>13</v>
      </c>
      <c r="B112" s="84">
        <f t="shared" si="8"/>
        <v>12790</v>
      </c>
      <c r="C112" s="84"/>
      <c r="D112" s="84"/>
      <c r="E112" s="84">
        <f>-7</f>
        <v>-7</v>
      </c>
      <c r="F112" s="84"/>
      <c r="G112" s="84"/>
      <c r="H112" s="84"/>
      <c r="I112" s="84"/>
      <c r="J112" s="84"/>
      <c r="K112" s="84"/>
      <c r="L112" s="84"/>
      <c r="M112" s="84">
        <f t="shared" si="9"/>
        <v>12783</v>
      </c>
      <c r="N112" s="94"/>
    </row>
    <row r="113" spans="1:14">
      <c r="A113" s="181">
        <v>14</v>
      </c>
      <c r="B113" s="84">
        <f t="shared" si="8"/>
        <v>12783</v>
      </c>
      <c r="C113" s="84"/>
      <c r="D113" s="84"/>
      <c r="E113" s="84">
        <f>-3</f>
        <v>-3</v>
      </c>
      <c r="F113" s="84"/>
      <c r="G113" s="84"/>
      <c r="H113" s="84"/>
      <c r="I113" s="84"/>
      <c r="J113" s="84">
        <v>-390</v>
      </c>
      <c r="K113" s="84"/>
      <c r="L113" s="84"/>
      <c r="M113" s="84">
        <f t="shared" si="9"/>
        <v>12390</v>
      </c>
      <c r="N113" s="94"/>
    </row>
    <row r="114" spans="1:14">
      <c r="A114" s="181">
        <v>15</v>
      </c>
      <c r="B114" s="84">
        <f t="shared" si="8"/>
        <v>12390</v>
      </c>
      <c r="C114" s="84"/>
      <c r="D114" s="84"/>
      <c r="E114" s="84">
        <f>-1</f>
        <v>-1</v>
      </c>
      <c r="F114" s="84"/>
      <c r="G114" s="84"/>
      <c r="H114" s="84"/>
      <c r="I114" s="84"/>
      <c r="J114" s="84">
        <f>-125-1</f>
        <v>-126</v>
      </c>
      <c r="K114" s="84">
        <f>-17</f>
        <v>-17</v>
      </c>
      <c r="L114" s="84"/>
      <c r="M114" s="84">
        <f t="shared" si="9"/>
        <v>12246</v>
      </c>
      <c r="N114" s="94"/>
    </row>
    <row r="115" spans="1:14">
      <c r="A115" s="181">
        <v>16</v>
      </c>
      <c r="B115" s="84">
        <f t="shared" si="8"/>
        <v>12246</v>
      </c>
      <c r="C115" s="84"/>
      <c r="D115" s="84"/>
      <c r="E115" s="84"/>
      <c r="F115" s="84"/>
      <c r="G115" s="84"/>
      <c r="H115" s="84"/>
      <c r="I115" s="84"/>
      <c r="J115" s="84">
        <f>-388</f>
        <v>-388</v>
      </c>
      <c r="K115" s="84"/>
      <c r="L115" s="84"/>
      <c r="M115" s="84">
        <f t="shared" si="9"/>
        <v>11858</v>
      </c>
      <c r="N115" s="94"/>
    </row>
    <row r="116" spans="1:14">
      <c r="A116" s="181">
        <v>17</v>
      </c>
      <c r="B116" s="84">
        <f t="shared" si="8"/>
        <v>11858</v>
      </c>
      <c r="C116" s="84"/>
      <c r="D116" s="84"/>
      <c r="E116" s="84">
        <f>-3</f>
        <v>-3</v>
      </c>
      <c r="F116" s="84"/>
      <c r="G116" s="84"/>
      <c r="H116" s="84"/>
      <c r="I116" s="84"/>
      <c r="J116" s="84"/>
      <c r="K116" s="84">
        <f>-11</f>
        <v>-11</v>
      </c>
      <c r="L116" s="84"/>
      <c r="M116" s="84">
        <f t="shared" si="9"/>
        <v>11844</v>
      </c>
      <c r="N116" s="94"/>
    </row>
    <row r="117" spans="1:14">
      <c r="A117" s="181">
        <v>18</v>
      </c>
      <c r="B117" s="84">
        <f t="shared" si="8"/>
        <v>11844</v>
      </c>
      <c r="C117" s="84"/>
      <c r="D117" s="84"/>
      <c r="E117" s="84">
        <f>-2</f>
        <v>-2</v>
      </c>
      <c r="F117" s="84"/>
      <c r="G117" s="84"/>
      <c r="H117" s="84"/>
      <c r="I117" s="84"/>
      <c r="J117" s="84"/>
      <c r="K117" s="84">
        <f>-18</f>
        <v>-18</v>
      </c>
      <c r="L117" s="84"/>
      <c r="M117" s="84">
        <f t="shared" si="9"/>
        <v>11824</v>
      </c>
      <c r="N117" s="94"/>
    </row>
    <row r="118" spans="1:14">
      <c r="A118" s="181">
        <v>19</v>
      </c>
      <c r="B118" s="84">
        <f t="shared" si="8"/>
        <v>11824</v>
      </c>
      <c r="C118" s="84">
        <v>946</v>
      </c>
      <c r="D118" s="84"/>
      <c r="E118" s="84">
        <f>-1</f>
        <v>-1</v>
      </c>
      <c r="F118" s="84"/>
      <c r="G118" s="84"/>
      <c r="H118" s="84"/>
      <c r="I118" s="84"/>
      <c r="J118" s="84"/>
      <c r="K118" s="84">
        <f>-7-10-8</f>
        <v>-25</v>
      </c>
      <c r="L118" s="84"/>
      <c r="M118" s="84">
        <f t="shared" si="9"/>
        <v>12744</v>
      </c>
      <c r="N118" s="94"/>
    </row>
    <row r="119" spans="1:14">
      <c r="A119" s="181">
        <v>20</v>
      </c>
      <c r="B119" s="84">
        <f t="shared" si="8"/>
        <v>12744</v>
      </c>
      <c r="C119" s="84"/>
      <c r="D119" s="84"/>
      <c r="E119" s="84">
        <f>-3</f>
        <v>-3</v>
      </c>
      <c r="F119" s="84"/>
      <c r="G119" s="84"/>
      <c r="H119" s="84"/>
      <c r="I119" s="84"/>
      <c r="J119" s="84"/>
      <c r="K119" s="84"/>
      <c r="L119" s="84"/>
      <c r="M119" s="84">
        <f t="shared" si="9"/>
        <v>12741</v>
      </c>
      <c r="N119" s="94"/>
    </row>
    <row r="120" spans="1:14">
      <c r="A120" s="181">
        <v>21</v>
      </c>
      <c r="B120" s="84">
        <f t="shared" si="8"/>
        <v>12741</v>
      </c>
      <c r="C120" s="84"/>
      <c r="D120" s="84">
        <f>-20</f>
        <v>-20</v>
      </c>
      <c r="E120" s="84"/>
      <c r="F120" s="84"/>
      <c r="G120" s="84"/>
      <c r="H120" s="84"/>
      <c r="I120" s="84"/>
      <c r="J120" s="84"/>
      <c r="K120" s="84"/>
      <c r="L120" s="84"/>
      <c r="M120" s="84">
        <f t="shared" si="9"/>
        <v>12721</v>
      </c>
      <c r="N120" s="94"/>
    </row>
    <row r="121" spans="1:14">
      <c r="A121" s="181">
        <v>22</v>
      </c>
      <c r="B121" s="84">
        <f t="shared" si="8"/>
        <v>12721</v>
      </c>
      <c r="C121" s="84"/>
      <c r="D121" s="84"/>
      <c r="E121" s="84">
        <f>-2</f>
        <v>-2</v>
      </c>
      <c r="F121" s="84"/>
      <c r="G121" s="84"/>
      <c r="H121" s="84"/>
      <c r="I121" s="84"/>
      <c r="J121" s="84"/>
      <c r="K121" s="84">
        <f>-12-7</f>
        <v>-19</v>
      </c>
      <c r="L121" s="84"/>
      <c r="M121" s="84">
        <f t="shared" si="9"/>
        <v>12700</v>
      </c>
      <c r="N121" s="94"/>
    </row>
    <row r="122" spans="1:14">
      <c r="A122" s="181">
        <v>23</v>
      </c>
      <c r="B122" s="84">
        <f t="shared" si="8"/>
        <v>12700</v>
      </c>
      <c r="C122" s="84"/>
      <c r="D122" s="84"/>
      <c r="E122" s="84">
        <f>-1</f>
        <v>-1</v>
      </c>
      <c r="F122" s="84"/>
      <c r="G122" s="84"/>
      <c r="H122" s="84"/>
      <c r="I122" s="84"/>
      <c r="J122" s="84"/>
      <c r="K122" s="84">
        <f>-20</f>
        <v>-20</v>
      </c>
      <c r="L122" s="84"/>
      <c r="M122" s="84">
        <f t="shared" si="9"/>
        <v>12679</v>
      </c>
      <c r="N122" s="94"/>
    </row>
    <row r="123" spans="1:14">
      <c r="A123" s="181">
        <v>24</v>
      </c>
      <c r="B123" s="84">
        <f t="shared" si="8"/>
        <v>12679</v>
      </c>
      <c r="C123" s="84"/>
      <c r="D123" s="84"/>
      <c r="E123" s="84">
        <f>-2</f>
        <v>-2</v>
      </c>
      <c r="F123" s="84"/>
      <c r="G123" s="84"/>
      <c r="H123" s="84"/>
      <c r="I123" s="84"/>
      <c r="J123" s="84"/>
      <c r="K123" s="84"/>
      <c r="L123" s="84"/>
      <c r="M123" s="84">
        <f t="shared" si="9"/>
        <v>12677</v>
      </c>
      <c r="N123" s="94"/>
    </row>
    <row r="124" spans="1:14">
      <c r="A124" s="181">
        <v>25</v>
      </c>
      <c r="B124" s="84">
        <f t="shared" si="8"/>
        <v>12677</v>
      </c>
      <c r="C124" s="84"/>
      <c r="D124" s="84"/>
      <c r="E124" s="84">
        <f>-2</f>
        <v>-2</v>
      </c>
      <c r="F124" s="84"/>
      <c r="G124" s="84"/>
      <c r="H124" s="84"/>
      <c r="I124" s="84"/>
      <c r="J124" s="84"/>
      <c r="K124" s="84"/>
      <c r="L124" s="84"/>
      <c r="M124" s="84">
        <f t="shared" si="9"/>
        <v>12675</v>
      </c>
      <c r="N124" s="94"/>
    </row>
    <row r="125" spans="1:14">
      <c r="A125" s="181">
        <v>26</v>
      </c>
      <c r="B125" s="84">
        <f t="shared" si="8"/>
        <v>12675</v>
      </c>
      <c r="C125" s="84">
        <v>964</v>
      </c>
      <c r="D125" s="84"/>
      <c r="E125" s="84">
        <f>-2</f>
        <v>-2</v>
      </c>
      <c r="F125" s="84"/>
      <c r="G125" s="84"/>
      <c r="H125" s="84"/>
      <c r="I125" s="84"/>
      <c r="J125" s="84"/>
      <c r="K125" s="84"/>
      <c r="L125" s="84"/>
      <c r="M125" s="84">
        <f>SUM(B125:L125)</f>
        <v>13637</v>
      </c>
      <c r="N125" s="94"/>
    </row>
    <row r="126" spans="1:14">
      <c r="A126" s="181">
        <v>27</v>
      </c>
      <c r="B126" s="84">
        <f t="shared" si="8"/>
        <v>13637</v>
      </c>
      <c r="C126" s="84"/>
      <c r="D126" s="84"/>
      <c r="E126" s="84">
        <f>-3</f>
        <v>-3</v>
      </c>
      <c r="F126" s="84"/>
      <c r="G126" s="84"/>
      <c r="H126" s="84"/>
      <c r="I126" s="84"/>
      <c r="J126" s="84"/>
      <c r="K126" s="84"/>
      <c r="L126" s="84"/>
      <c r="M126" s="84">
        <f>SUM(B126:L126)</f>
        <v>13634</v>
      </c>
      <c r="N126" s="94"/>
    </row>
    <row r="127" spans="1:14">
      <c r="A127" s="181">
        <v>28</v>
      </c>
      <c r="B127" s="84">
        <f t="shared" si="8"/>
        <v>13634</v>
      </c>
      <c r="C127" s="84"/>
      <c r="D127" s="84"/>
      <c r="E127" s="84">
        <f>-1-5</f>
        <v>-6</v>
      </c>
      <c r="F127" s="84"/>
      <c r="G127" s="84"/>
      <c r="H127" s="84"/>
      <c r="I127" s="84"/>
      <c r="J127" s="84">
        <f>-500</f>
        <v>-500</v>
      </c>
      <c r="K127" s="84"/>
      <c r="L127" s="84"/>
      <c r="M127" s="84">
        <f>SUM(B127:L127)</f>
        <v>13128</v>
      </c>
      <c r="N127" s="94"/>
    </row>
    <row r="128" spans="1:14">
      <c r="A128" s="181">
        <v>29</v>
      </c>
      <c r="B128" s="84">
        <f>+M127</f>
        <v>13128</v>
      </c>
      <c r="C128" s="84"/>
      <c r="D128" s="84"/>
      <c r="E128" s="84">
        <f>-4</f>
        <v>-4</v>
      </c>
      <c r="F128" s="84"/>
      <c r="G128" s="84"/>
      <c r="H128" s="84"/>
      <c r="I128" s="84"/>
      <c r="J128" s="84"/>
      <c r="K128" s="84"/>
      <c r="L128" s="84"/>
      <c r="M128" s="84">
        <f>SUM(B128:L128)</f>
        <v>13124</v>
      </c>
      <c r="N128" s="94"/>
    </row>
    <row r="129" spans="1:15">
      <c r="A129" s="270"/>
      <c r="B129" s="84">
        <f t="shared" ref="B129:B135" si="10">+M128</f>
        <v>13124</v>
      </c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>
        <f t="shared" ref="M129:M135" si="11">SUM(B129:L129)</f>
        <v>13124</v>
      </c>
      <c r="N129" s="94"/>
    </row>
    <row r="130" spans="1:15">
      <c r="A130" s="271" t="s">
        <v>2191</v>
      </c>
      <c r="B130" s="84">
        <f t="shared" si="10"/>
        <v>13124</v>
      </c>
      <c r="C130" s="84">
        <v>-964</v>
      </c>
      <c r="D130" s="84"/>
      <c r="E130" s="84">
        <v>15</v>
      </c>
      <c r="F130" s="84"/>
      <c r="G130" s="84"/>
      <c r="H130" s="84"/>
      <c r="I130" s="84"/>
      <c r="J130" s="84">
        <v>500</v>
      </c>
      <c r="K130" s="84"/>
      <c r="L130" s="84"/>
      <c r="M130" s="84">
        <f t="shared" si="11"/>
        <v>12675</v>
      </c>
      <c r="N130" s="94"/>
    </row>
    <row r="131" spans="1:15">
      <c r="A131" s="271" t="s">
        <v>2192</v>
      </c>
      <c r="B131" s="84">
        <f t="shared" si="10"/>
        <v>12675</v>
      </c>
      <c r="C131" s="84"/>
      <c r="D131" s="84"/>
      <c r="E131" s="84"/>
      <c r="F131" s="84"/>
      <c r="G131" s="84"/>
      <c r="H131" s="84"/>
      <c r="I131" s="84"/>
      <c r="J131" s="84">
        <v>4</v>
      </c>
      <c r="K131" s="84"/>
      <c r="L131" s="84"/>
      <c r="M131" s="84">
        <f t="shared" si="11"/>
        <v>12679</v>
      </c>
      <c r="N131" s="94"/>
    </row>
    <row r="132" spans="1:15">
      <c r="A132" s="270"/>
      <c r="B132" s="84">
        <f t="shared" si="10"/>
        <v>12679</v>
      </c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>
        <f t="shared" si="11"/>
        <v>12679</v>
      </c>
      <c r="N132" s="94"/>
    </row>
    <row r="133" spans="1:15">
      <c r="A133" s="270"/>
      <c r="B133" s="84">
        <f t="shared" si="10"/>
        <v>12679</v>
      </c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>
        <f t="shared" si="11"/>
        <v>12679</v>
      </c>
      <c r="N133" s="94"/>
    </row>
    <row r="134" spans="1:15">
      <c r="A134" s="270"/>
      <c r="B134" s="84">
        <f t="shared" si="10"/>
        <v>12679</v>
      </c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>
        <f t="shared" si="11"/>
        <v>12679</v>
      </c>
      <c r="N134" s="94"/>
    </row>
    <row r="135" spans="1:15">
      <c r="A135" s="270"/>
      <c r="B135" s="84">
        <f t="shared" si="10"/>
        <v>12679</v>
      </c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>
        <f t="shared" si="11"/>
        <v>12679</v>
      </c>
      <c r="N135" s="94"/>
    </row>
    <row r="136" spans="1:15" ht="13.9" thickBot="1">
      <c r="A136" s="183"/>
      <c r="B136" s="84">
        <f>+M135</f>
        <v>12679</v>
      </c>
      <c r="C136" s="279">
        <f>SUM(C94:C135)</f>
        <v>3857</v>
      </c>
      <c r="D136" s="279">
        <f t="shared" ref="D136:K136" si="12">SUM(D94:D135)</f>
        <v>-38</v>
      </c>
      <c r="E136" s="279">
        <f t="shared" si="12"/>
        <v>-49</v>
      </c>
      <c r="F136" s="279"/>
      <c r="G136" s="279">
        <f t="shared" si="12"/>
        <v>0</v>
      </c>
      <c r="H136" s="279">
        <f t="shared" si="12"/>
        <v>0</v>
      </c>
      <c r="I136" s="279">
        <f t="shared" si="12"/>
        <v>-47</v>
      </c>
      <c r="J136" s="279">
        <f t="shared" si="12"/>
        <v>-3820</v>
      </c>
      <c r="K136" s="279">
        <f t="shared" si="12"/>
        <v>-253</v>
      </c>
      <c r="L136" s="279">
        <f>SUM(L15:L94)</f>
        <v>0</v>
      </c>
      <c r="M136" s="84">
        <f>B94+C136+D136+E136+G136+H136+I136+J136+K136+L136</f>
        <v>12679</v>
      </c>
      <c r="N136" s="94">
        <f>4167+91+9</f>
        <v>4267</v>
      </c>
    </row>
    <row r="137" spans="1:15" ht="14.45" thickTop="1" thickBot="1"/>
    <row r="138" spans="1:15">
      <c r="A138" s="176" t="s">
        <v>2172</v>
      </c>
      <c r="B138" s="177" t="s">
        <v>2173</v>
      </c>
      <c r="C138" s="177" t="s">
        <v>2165</v>
      </c>
      <c r="D138" s="177" t="s">
        <v>2174</v>
      </c>
      <c r="E138" s="177" t="s">
        <v>231</v>
      </c>
      <c r="F138" s="177"/>
      <c r="G138" s="177" t="s">
        <v>169</v>
      </c>
      <c r="H138" s="177" t="s">
        <v>2175</v>
      </c>
      <c r="I138" s="177" t="s">
        <v>2176</v>
      </c>
      <c r="J138" s="177" t="s">
        <v>216</v>
      </c>
      <c r="K138" s="177" t="s">
        <v>2177</v>
      </c>
      <c r="L138" s="177" t="s">
        <v>2167</v>
      </c>
      <c r="M138" s="177" t="s">
        <v>2176</v>
      </c>
      <c r="N138" s="178" t="s">
        <v>2178</v>
      </c>
      <c r="O138" s="1"/>
    </row>
    <row r="139" spans="1:15">
      <c r="A139" s="179"/>
      <c r="B139" s="180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94"/>
    </row>
    <row r="140" spans="1:15">
      <c r="A140" s="280">
        <v>39808</v>
      </c>
      <c r="B140" s="84">
        <f>[111]Numbers!C9</f>
        <v>0</v>
      </c>
      <c r="C140" s="84">
        <v>964</v>
      </c>
      <c r="D140" s="84"/>
      <c r="E140" s="84"/>
      <c r="F140" s="84"/>
      <c r="G140" s="84">
        <f>-2</f>
        <v>-2</v>
      </c>
      <c r="H140" s="84"/>
      <c r="I140" s="84"/>
      <c r="J140" s="84"/>
      <c r="K140" s="84"/>
      <c r="L140" s="84"/>
      <c r="M140" s="84"/>
      <c r="N140" s="84">
        <f t="shared" ref="N140:N155" si="13">SUM(B140:M140)</f>
        <v>962</v>
      </c>
      <c r="O140" s="94" t="s">
        <v>2193</v>
      </c>
    </row>
    <row r="141" spans="1:15">
      <c r="A141" s="181">
        <v>27</v>
      </c>
      <c r="B141" s="84">
        <f>+N140</f>
        <v>962</v>
      </c>
      <c r="C141" s="84"/>
      <c r="D141" s="84"/>
      <c r="E141" s="84"/>
      <c r="F141" s="84"/>
      <c r="G141" s="84">
        <f>-3</f>
        <v>-3</v>
      </c>
      <c r="H141" s="84"/>
      <c r="I141" s="84"/>
      <c r="J141" s="84"/>
      <c r="K141" s="84"/>
      <c r="L141" s="84"/>
      <c r="M141" s="84"/>
      <c r="N141" s="84">
        <f t="shared" si="13"/>
        <v>959</v>
      </c>
      <c r="O141" s="94"/>
    </row>
    <row r="142" spans="1:15">
      <c r="A142" s="181">
        <v>28</v>
      </c>
      <c r="B142" s="84">
        <f t="shared" ref="B142:B181" si="14">+N141</f>
        <v>959</v>
      </c>
      <c r="C142" s="84"/>
      <c r="D142" s="84"/>
      <c r="E142" s="84"/>
      <c r="F142" s="84"/>
      <c r="G142" s="84">
        <f>-6</f>
        <v>-6</v>
      </c>
      <c r="H142" s="84"/>
      <c r="I142" s="84"/>
      <c r="J142" s="84"/>
      <c r="K142" s="84">
        <f>-500</f>
        <v>-500</v>
      </c>
      <c r="L142" s="84"/>
      <c r="M142" s="84"/>
      <c r="N142" s="84">
        <f t="shared" si="13"/>
        <v>453</v>
      </c>
      <c r="O142" s="94"/>
    </row>
    <row r="143" spans="1:15">
      <c r="A143" s="181">
        <v>29</v>
      </c>
      <c r="B143" s="84">
        <f t="shared" si="14"/>
        <v>453</v>
      </c>
      <c r="C143" s="84"/>
      <c r="D143" s="84"/>
      <c r="E143" s="84"/>
      <c r="F143" s="84"/>
      <c r="G143" s="84">
        <f>-4</f>
        <v>-4</v>
      </c>
      <c r="H143" s="84"/>
      <c r="I143" s="84"/>
      <c r="J143" s="84"/>
      <c r="K143" s="84"/>
      <c r="L143" s="84"/>
      <c r="M143" s="84"/>
      <c r="N143" s="84">
        <f t="shared" si="13"/>
        <v>449</v>
      </c>
      <c r="O143" s="94"/>
    </row>
    <row r="144" spans="1:15">
      <c r="A144" s="181">
        <v>30</v>
      </c>
      <c r="B144" s="84">
        <f t="shared" si="14"/>
        <v>449</v>
      </c>
      <c r="C144" s="84"/>
      <c r="D144" s="84">
        <f>-1</f>
        <v>-1</v>
      </c>
      <c r="E144" s="84">
        <f>-5</f>
        <v>-5</v>
      </c>
      <c r="F144" s="84"/>
      <c r="G144" s="84">
        <f>-4-1</f>
        <v>-5</v>
      </c>
      <c r="H144" s="84"/>
      <c r="I144" s="84"/>
      <c r="J144" s="84"/>
      <c r="K144" s="84"/>
      <c r="L144" s="84"/>
      <c r="M144" s="84"/>
      <c r="N144" s="84">
        <f t="shared" si="13"/>
        <v>438</v>
      </c>
      <c r="O144" s="94"/>
    </row>
    <row r="145" spans="1:15">
      <c r="A145" s="181">
        <v>31</v>
      </c>
      <c r="B145" s="84">
        <f t="shared" si="14"/>
        <v>438</v>
      </c>
      <c r="C145" s="84"/>
      <c r="D145" s="84"/>
      <c r="E145" s="84"/>
      <c r="F145" s="84"/>
      <c r="G145" s="84">
        <f>-3</f>
        <v>-3</v>
      </c>
      <c r="H145" s="84"/>
      <c r="I145" s="84"/>
      <c r="J145" s="84"/>
      <c r="K145" s="84"/>
      <c r="L145" s="84">
        <f>-13</f>
        <v>-13</v>
      </c>
      <c r="M145" s="84"/>
      <c r="N145" s="84">
        <f t="shared" si="13"/>
        <v>422</v>
      </c>
      <c r="O145" s="94"/>
    </row>
    <row r="146" spans="1:15">
      <c r="A146" s="277" t="s">
        <v>2194</v>
      </c>
      <c r="B146" s="84">
        <f t="shared" si="14"/>
        <v>422</v>
      </c>
      <c r="C146" s="84"/>
      <c r="D146" s="84"/>
      <c r="E146" s="84"/>
      <c r="F146" s="84"/>
      <c r="G146" s="84">
        <f>-4</f>
        <v>-4</v>
      </c>
      <c r="H146" s="84"/>
      <c r="I146" s="84"/>
      <c r="J146" s="84"/>
      <c r="K146" s="84"/>
      <c r="L146" s="84"/>
      <c r="M146" s="84"/>
      <c r="N146" s="84">
        <f t="shared" si="13"/>
        <v>418</v>
      </c>
      <c r="O146" s="94"/>
    </row>
    <row r="147" spans="1:15">
      <c r="A147" s="278" t="s">
        <v>2181</v>
      </c>
      <c r="B147" s="84">
        <f t="shared" si="14"/>
        <v>418</v>
      </c>
      <c r="C147" s="84">
        <v>931</v>
      </c>
      <c r="D147" s="84"/>
      <c r="E147" s="84">
        <f>-15</f>
        <v>-15</v>
      </c>
      <c r="F147" s="84"/>
      <c r="G147" s="84">
        <f>-5</f>
        <v>-5</v>
      </c>
      <c r="H147" s="84"/>
      <c r="I147" s="84"/>
      <c r="J147" s="84"/>
      <c r="K147" s="84"/>
      <c r="L147" s="84">
        <f>-8</f>
        <v>-8</v>
      </c>
      <c r="M147" s="84"/>
      <c r="N147" s="84">
        <f t="shared" si="13"/>
        <v>1321</v>
      </c>
      <c r="O147" s="94"/>
    </row>
    <row r="148" spans="1:15">
      <c r="A148" s="278" t="s">
        <v>2182</v>
      </c>
      <c r="B148" s="84">
        <f t="shared" si="14"/>
        <v>1321</v>
      </c>
      <c r="C148" s="84"/>
      <c r="D148" s="84"/>
      <c r="E148" s="84"/>
      <c r="F148" s="84"/>
      <c r="G148" s="84">
        <f>-3</f>
        <v>-3</v>
      </c>
      <c r="H148" s="84"/>
      <c r="I148" s="84"/>
      <c r="J148" s="84"/>
      <c r="K148" s="84"/>
      <c r="L148" s="84"/>
      <c r="M148" s="84"/>
      <c r="N148" s="84">
        <f t="shared" si="13"/>
        <v>1318</v>
      </c>
      <c r="O148" s="94"/>
    </row>
    <row r="149" spans="1:15">
      <c r="A149" s="278" t="s">
        <v>2183</v>
      </c>
      <c r="B149" s="84">
        <f t="shared" si="14"/>
        <v>1318</v>
      </c>
      <c r="C149" s="84"/>
      <c r="D149" s="84"/>
      <c r="E149" s="84"/>
      <c r="F149" s="84"/>
      <c r="G149" s="84">
        <f>-1</f>
        <v>-1</v>
      </c>
      <c r="H149" s="84"/>
      <c r="I149" s="84"/>
      <c r="J149" s="84"/>
      <c r="K149" s="84">
        <f>-1000</f>
        <v>-1000</v>
      </c>
      <c r="L149" s="84"/>
      <c r="M149" s="84"/>
      <c r="N149" s="84">
        <f t="shared" si="13"/>
        <v>317</v>
      </c>
      <c r="O149" s="94"/>
    </row>
    <row r="150" spans="1:15">
      <c r="A150" s="278" t="s">
        <v>2184</v>
      </c>
      <c r="B150" s="84">
        <f t="shared" si="14"/>
        <v>317</v>
      </c>
      <c r="C150" s="84"/>
      <c r="D150" s="84">
        <f>-12</f>
        <v>-12</v>
      </c>
      <c r="E150" s="84"/>
      <c r="F150" s="84"/>
      <c r="G150" s="84">
        <f>-1</f>
        <v>-1</v>
      </c>
      <c r="H150" s="84"/>
      <c r="I150" s="84"/>
      <c r="J150" s="84"/>
      <c r="K150" s="84"/>
      <c r="L150" s="84"/>
      <c r="M150" s="84"/>
      <c r="N150" s="84">
        <f t="shared" si="13"/>
        <v>304</v>
      </c>
      <c r="O150" s="94"/>
    </row>
    <row r="151" spans="1:15">
      <c r="A151" s="278" t="s">
        <v>2185</v>
      </c>
      <c r="B151" s="84">
        <f t="shared" si="14"/>
        <v>304</v>
      </c>
      <c r="C151" s="84"/>
      <c r="D151" s="84">
        <f>-12</f>
        <v>-12</v>
      </c>
      <c r="E151" s="84"/>
      <c r="F151" s="84"/>
      <c r="G151" s="84">
        <f>-3</f>
        <v>-3</v>
      </c>
      <c r="H151" s="84"/>
      <c r="I151" s="84"/>
      <c r="J151" s="84"/>
      <c r="K151" s="84"/>
      <c r="L151" s="84"/>
      <c r="M151" s="84"/>
      <c r="N151" s="84">
        <f t="shared" si="13"/>
        <v>289</v>
      </c>
      <c r="O151" s="94"/>
    </row>
    <row r="152" spans="1:15">
      <c r="A152" s="278" t="s">
        <v>2186</v>
      </c>
      <c r="B152" s="84">
        <f t="shared" si="14"/>
        <v>289</v>
      </c>
      <c r="C152" s="84"/>
      <c r="D152" s="84">
        <f>-1</f>
        <v>-1</v>
      </c>
      <c r="E152" s="84">
        <f>-7</f>
        <v>-7</v>
      </c>
      <c r="F152" s="84"/>
      <c r="G152" s="84">
        <v>-3</v>
      </c>
      <c r="H152" s="84"/>
      <c r="I152" s="84"/>
      <c r="J152" s="84"/>
      <c r="K152" s="84"/>
      <c r="L152" s="84">
        <f>-3</f>
        <v>-3</v>
      </c>
      <c r="M152" s="84"/>
      <c r="N152" s="84">
        <f t="shared" si="13"/>
        <v>275</v>
      </c>
      <c r="O152" s="94"/>
    </row>
    <row r="153" spans="1:15">
      <c r="A153" s="278" t="s">
        <v>2187</v>
      </c>
      <c r="B153" s="84">
        <f t="shared" si="14"/>
        <v>275</v>
      </c>
      <c r="C153" s="84"/>
      <c r="D153" s="84"/>
      <c r="E153" s="84"/>
      <c r="F153" s="84"/>
      <c r="G153" s="84">
        <f>-1</f>
        <v>-1</v>
      </c>
      <c r="H153" s="84"/>
      <c r="I153" s="84"/>
      <c r="J153" s="84"/>
      <c r="K153" s="84"/>
      <c r="L153" s="84">
        <f>-6</f>
        <v>-6</v>
      </c>
      <c r="M153" s="84"/>
      <c r="N153" s="84">
        <f t="shared" si="13"/>
        <v>268</v>
      </c>
      <c r="O153" s="94"/>
    </row>
    <row r="154" spans="1:15">
      <c r="A154" s="278" t="s">
        <v>2188</v>
      </c>
      <c r="B154" s="84">
        <f t="shared" si="14"/>
        <v>268</v>
      </c>
      <c r="C154" s="84">
        <v>953</v>
      </c>
      <c r="D154" s="84"/>
      <c r="E154" s="84">
        <f>-12</f>
        <v>-12</v>
      </c>
      <c r="F154" s="84"/>
      <c r="G154" s="84">
        <f>-7</f>
        <v>-7</v>
      </c>
      <c r="H154" s="84"/>
      <c r="I154" s="84"/>
      <c r="J154" s="84"/>
      <c r="K154" s="84"/>
      <c r="L154" s="84"/>
      <c r="M154" s="84"/>
      <c r="N154" s="84">
        <f t="shared" si="13"/>
        <v>1202</v>
      </c>
      <c r="O154" s="94"/>
    </row>
    <row r="155" spans="1:15">
      <c r="A155" s="181">
        <v>10</v>
      </c>
      <c r="B155" s="84">
        <f t="shared" si="14"/>
        <v>1202</v>
      </c>
      <c r="C155" s="84"/>
      <c r="D155" s="84"/>
      <c r="E155" s="84"/>
      <c r="F155" s="84"/>
      <c r="G155" s="84">
        <f>-1</f>
        <v>-1</v>
      </c>
      <c r="H155" s="84"/>
      <c r="I155" s="84"/>
      <c r="J155" s="84"/>
      <c r="K155" s="84"/>
      <c r="L155" s="84"/>
      <c r="M155" s="84"/>
      <c r="N155" s="84">
        <f t="shared" si="13"/>
        <v>1201</v>
      </c>
      <c r="O155" s="94"/>
    </row>
    <row r="156" spans="1:15">
      <c r="A156" s="181">
        <v>11</v>
      </c>
      <c r="B156" s="84">
        <f t="shared" si="14"/>
        <v>1201</v>
      </c>
      <c r="C156" s="84"/>
      <c r="D156" s="84">
        <f>-10</f>
        <v>-10</v>
      </c>
      <c r="E156" s="84"/>
      <c r="F156" s="84"/>
      <c r="G156" s="84">
        <f>-6</f>
        <v>-6</v>
      </c>
      <c r="H156" s="84"/>
      <c r="I156" s="84"/>
      <c r="J156" s="84"/>
      <c r="K156" s="84">
        <f>-500</f>
        <v>-500</v>
      </c>
      <c r="L156" s="84"/>
      <c r="M156" s="84"/>
      <c r="N156" s="84">
        <f t="shared" ref="N156:N181" si="15">SUM(B156:M156)</f>
        <v>685</v>
      </c>
      <c r="O156" s="94"/>
    </row>
    <row r="157" spans="1:15">
      <c r="A157" s="181">
        <v>12</v>
      </c>
      <c r="B157" s="84">
        <f t="shared" si="14"/>
        <v>685</v>
      </c>
      <c r="C157" s="84"/>
      <c r="D157" s="84">
        <f>-10</f>
        <v>-10</v>
      </c>
      <c r="E157" s="84"/>
      <c r="F157" s="84"/>
      <c r="G157" s="84">
        <f>-6</f>
        <v>-6</v>
      </c>
      <c r="H157" s="84"/>
      <c r="I157" s="84"/>
      <c r="J157" s="84"/>
      <c r="K157" s="84">
        <f>-300</f>
        <v>-300</v>
      </c>
      <c r="L157" s="84"/>
      <c r="M157" s="84"/>
      <c r="N157" s="84">
        <f t="shared" si="15"/>
        <v>369</v>
      </c>
      <c r="O157" s="94"/>
    </row>
    <row r="158" spans="1:15">
      <c r="A158" s="181">
        <v>13</v>
      </c>
      <c r="B158" s="84">
        <f t="shared" si="14"/>
        <v>369</v>
      </c>
      <c r="C158" s="84"/>
      <c r="D158" s="84">
        <f>-15</f>
        <v>-15</v>
      </c>
      <c r="E158" s="84"/>
      <c r="F158" s="84"/>
      <c r="G158" s="84">
        <f>-7</f>
        <v>-7</v>
      </c>
      <c r="H158" s="84"/>
      <c r="I158" s="84"/>
      <c r="J158" s="84"/>
      <c r="K158" s="84">
        <f>-200</f>
        <v>-200</v>
      </c>
      <c r="L158" s="84"/>
      <c r="M158" s="84"/>
      <c r="N158" s="84">
        <f t="shared" si="15"/>
        <v>147</v>
      </c>
      <c r="O158" s="94"/>
    </row>
    <row r="159" spans="1:15">
      <c r="A159" s="181">
        <v>14</v>
      </c>
      <c r="B159" s="84">
        <f t="shared" si="14"/>
        <v>147</v>
      </c>
      <c r="C159" s="84"/>
      <c r="D159" s="84"/>
      <c r="E159" s="84"/>
      <c r="F159" s="84"/>
      <c r="G159" s="84">
        <f>-6</f>
        <v>-6</v>
      </c>
      <c r="H159" s="84"/>
      <c r="I159" s="84"/>
      <c r="J159" s="84"/>
      <c r="K159" s="84"/>
      <c r="L159" s="84"/>
      <c r="M159" s="84"/>
      <c r="N159" s="84">
        <f t="shared" si="15"/>
        <v>141</v>
      </c>
      <c r="O159" s="94"/>
    </row>
    <row r="160" spans="1:15">
      <c r="A160" s="181">
        <v>15</v>
      </c>
      <c r="B160" s="84">
        <f t="shared" si="14"/>
        <v>141</v>
      </c>
      <c r="C160" s="84"/>
      <c r="D160" s="84"/>
      <c r="E160" s="84">
        <f>-13</f>
        <v>-13</v>
      </c>
      <c r="F160" s="84"/>
      <c r="G160" s="84">
        <f>-5</f>
        <v>-5</v>
      </c>
      <c r="H160" s="84"/>
      <c r="I160" s="84"/>
      <c r="J160" s="84"/>
      <c r="K160" s="84"/>
      <c r="L160" s="84"/>
      <c r="M160" s="84"/>
      <c r="N160" s="84">
        <f t="shared" si="15"/>
        <v>123</v>
      </c>
      <c r="O160" s="94"/>
    </row>
    <row r="161" spans="1:15">
      <c r="A161" s="181">
        <v>16</v>
      </c>
      <c r="B161" s="84">
        <f t="shared" si="14"/>
        <v>123</v>
      </c>
      <c r="C161" s="84">
        <v>939</v>
      </c>
      <c r="D161" s="84">
        <f>-8</f>
        <v>-8</v>
      </c>
      <c r="E161" s="84"/>
      <c r="F161" s="84"/>
      <c r="G161" s="84">
        <f>-3</f>
        <v>-3</v>
      </c>
      <c r="H161" s="84"/>
      <c r="I161" s="84"/>
      <c r="J161" s="84"/>
      <c r="K161" s="84"/>
      <c r="L161" s="84"/>
      <c r="M161" s="84"/>
      <c r="N161" s="84">
        <f t="shared" si="15"/>
        <v>1051</v>
      </c>
      <c r="O161" s="94"/>
    </row>
    <row r="162" spans="1:15">
      <c r="A162" s="181">
        <v>17</v>
      </c>
      <c r="B162" s="84">
        <f t="shared" si="14"/>
        <v>1051</v>
      </c>
      <c r="C162" s="84"/>
      <c r="D162" s="84">
        <f>-1</f>
        <v>-1</v>
      </c>
      <c r="E162" s="84"/>
      <c r="F162" s="84"/>
      <c r="G162" s="84">
        <f>-2</f>
        <v>-2</v>
      </c>
      <c r="H162" s="84"/>
      <c r="I162" s="84"/>
      <c r="J162" s="84"/>
      <c r="K162" s="84"/>
      <c r="L162" s="84"/>
      <c r="M162" s="84"/>
      <c r="N162" s="84">
        <f t="shared" si="15"/>
        <v>1048</v>
      </c>
      <c r="O162" s="94"/>
    </row>
    <row r="163" spans="1:15">
      <c r="A163" s="181">
        <v>18</v>
      </c>
      <c r="B163" s="84">
        <f t="shared" si="14"/>
        <v>1048</v>
      </c>
      <c r="C163" s="84"/>
      <c r="D163" s="84"/>
      <c r="E163" s="84"/>
      <c r="F163" s="84"/>
      <c r="G163" s="84">
        <f>-3</f>
        <v>-3</v>
      </c>
      <c r="H163" s="84"/>
      <c r="I163" s="84"/>
      <c r="J163" s="84"/>
      <c r="K163" s="84">
        <f>-310</f>
        <v>-310</v>
      </c>
      <c r="L163" s="84"/>
      <c r="M163" s="84"/>
      <c r="N163" s="84">
        <f t="shared" si="15"/>
        <v>735</v>
      </c>
      <c r="O163" s="94"/>
    </row>
    <row r="164" spans="1:15">
      <c r="A164" s="181">
        <v>19</v>
      </c>
      <c r="B164" s="84">
        <f t="shared" si="14"/>
        <v>735</v>
      </c>
      <c r="C164" s="84"/>
      <c r="D164" s="84"/>
      <c r="E164" s="84"/>
      <c r="F164" s="84"/>
      <c r="G164" s="84">
        <f>-7</f>
        <v>-7</v>
      </c>
      <c r="H164" s="84"/>
      <c r="I164" s="84"/>
      <c r="J164" s="84"/>
      <c r="K164" s="84">
        <f>-310</f>
        <v>-310</v>
      </c>
      <c r="L164" s="84"/>
      <c r="M164" s="84"/>
      <c r="N164" s="84">
        <f t="shared" si="15"/>
        <v>418</v>
      </c>
      <c r="O164" s="94"/>
    </row>
    <row r="165" spans="1:15">
      <c r="A165" s="181">
        <v>20</v>
      </c>
      <c r="B165" s="84">
        <f t="shared" si="14"/>
        <v>418</v>
      </c>
      <c r="C165" s="84"/>
      <c r="D165" s="84"/>
      <c r="E165" s="84"/>
      <c r="F165" s="84"/>
      <c r="G165" s="84">
        <f>-3</f>
        <v>-3</v>
      </c>
      <c r="H165" s="84"/>
      <c r="I165" s="84"/>
      <c r="J165" s="84"/>
      <c r="K165" s="84">
        <f>-310</f>
        <v>-310</v>
      </c>
      <c r="L165" s="84"/>
      <c r="M165" s="84"/>
      <c r="N165" s="84">
        <f t="shared" si="15"/>
        <v>105</v>
      </c>
      <c r="O165" s="94"/>
    </row>
    <row r="166" spans="1:15">
      <c r="A166" s="181">
        <v>21</v>
      </c>
      <c r="B166" s="84">
        <f t="shared" si="14"/>
        <v>105</v>
      </c>
      <c r="C166" s="84"/>
      <c r="D166" s="84">
        <f>-10</f>
        <v>-10</v>
      </c>
      <c r="E166" s="84">
        <f>-22</f>
        <v>-22</v>
      </c>
      <c r="F166" s="84"/>
      <c r="G166" s="84">
        <f>-2-1</f>
        <v>-3</v>
      </c>
      <c r="H166" s="84"/>
      <c r="I166" s="84"/>
      <c r="J166" s="84"/>
      <c r="K166" s="84"/>
      <c r="L166" s="84"/>
      <c r="M166" s="84"/>
      <c r="N166" s="84">
        <f t="shared" si="15"/>
        <v>70</v>
      </c>
      <c r="O166" s="94"/>
    </row>
    <row r="167" spans="1:15">
      <c r="A167" s="181">
        <v>22</v>
      </c>
      <c r="B167" s="84">
        <f t="shared" si="14"/>
        <v>70</v>
      </c>
      <c r="C167" s="84"/>
      <c r="D167" s="84">
        <f>-5</f>
        <v>-5</v>
      </c>
      <c r="E167" s="84"/>
      <c r="F167" s="84"/>
      <c r="G167" s="84">
        <f>-3</f>
        <v>-3</v>
      </c>
      <c r="H167" s="84"/>
      <c r="I167" s="84"/>
      <c r="J167" s="84"/>
      <c r="K167" s="84">
        <f>-268</f>
        <v>-268</v>
      </c>
      <c r="L167" s="84"/>
      <c r="M167" s="84"/>
      <c r="N167" s="84">
        <f t="shared" si="15"/>
        <v>-206</v>
      </c>
      <c r="O167" s="94"/>
    </row>
    <row r="168" spans="1:15">
      <c r="A168" s="181">
        <v>23</v>
      </c>
      <c r="B168" s="84">
        <f t="shared" si="14"/>
        <v>-206</v>
      </c>
      <c r="C168" s="84">
        <v>930</v>
      </c>
      <c r="D168" s="84">
        <f>-6</f>
        <v>-6</v>
      </c>
      <c r="E168" s="84"/>
      <c r="F168" s="84"/>
      <c r="G168" s="84">
        <f>-1</f>
        <v>-1</v>
      </c>
      <c r="H168" s="84"/>
      <c r="I168" s="84"/>
      <c r="J168" s="84"/>
      <c r="K168" s="84">
        <f>-300</f>
        <v>-300</v>
      </c>
      <c r="L168" s="84"/>
      <c r="M168" s="84"/>
      <c r="N168" s="84">
        <f t="shared" si="15"/>
        <v>417</v>
      </c>
      <c r="O168" s="94"/>
    </row>
    <row r="169" spans="1:15">
      <c r="A169" s="181">
        <v>24</v>
      </c>
      <c r="B169" s="84">
        <f t="shared" si="14"/>
        <v>417</v>
      </c>
      <c r="C169" s="84"/>
      <c r="D169" s="84"/>
      <c r="E169" s="84"/>
      <c r="F169" s="84"/>
      <c r="G169" s="84">
        <f>-3</f>
        <v>-3</v>
      </c>
      <c r="H169" s="84"/>
      <c r="I169" s="84"/>
      <c r="J169" s="84"/>
      <c r="K169" s="84"/>
      <c r="L169" s="84"/>
      <c r="M169" s="84"/>
      <c r="N169" s="84">
        <f t="shared" si="15"/>
        <v>414</v>
      </c>
      <c r="O169" s="94"/>
    </row>
    <row r="170" spans="1:15">
      <c r="A170" s="181">
        <v>25</v>
      </c>
      <c r="B170" s="84">
        <f t="shared" si="14"/>
        <v>414</v>
      </c>
      <c r="C170" s="84"/>
      <c r="D170" s="84">
        <f>-10</f>
        <v>-10</v>
      </c>
      <c r="E170" s="84"/>
      <c r="F170" s="84"/>
      <c r="G170" s="84">
        <f>-2-9</f>
        <v>-11</v>
      </c>
      <c r="H170" s="84"/>
      <c r="I170" s="84"/>
      <c r="J170" s="84"/>
      <c r="K170" s="84">
        <v>9</v>
      </c>
      <c r="L170" s="84"/>
      <c r="M170" s="84"/>
      <c r="N170" s="84">
        <f t="shared" si="15"/>
        <v>402</v>
      </c>
      <c r="O170" s="94"/>
    </row>
    <row r="171" spans="1:15">
      <c r="A171" s="181">
        <v>26</v>
      </c>
      <c r="B171" s="84">
        <f t="shared" si="14"/>
        <v>402</v>
      </c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>
        <f t="shared" si="15"/>
        <v>402</v>
      </c>
      <c r="O171" s="94"/>
    </row>
    <row r="172" spans="1:15">
      <c r="A172" s="181">
        <v>27</v>
      </c>
      <c r="B172" s="84">
        <f t="shared" si="14"/>
        <v>402</v>
      </c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>
        <f t="shared" si="15"/>
        <v>402</v>
      </c>
      <c r="O172" s="94"/>
    </row>
    <row r="173" spans="1:15">
      <c r="A173" s="181">
        <v>28</v>
      </c>
      <c r="B173" s="84">
        <f t="shared" si="14"/>
        <v>402</v>
      </c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>
        <f t="shared" si="15"/>
        <v>402</v>
      </c>
      <c r="O173" s="94"/>
    </row>
    <row r="174" spans="1:15">
      <c r="A174" s="181">
        <v>29</v>
      </c>
      <c r="B174" s="84">
        <f t="shared" si="14"/>
        <v>402</v>
      </c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>
        <f t="shared" si="15"/>
        <v>402</v>
      </c>
      <c r="O174" s="94"/>
    </row>
    <row r="175" spans="1:15">
      <c r="A175" s="270"/>
      <c r="B175" s="84">
        <f t="shared" si="14"/>
        <v>402</v>
      </c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>
        <f t="shared" si="15"/>
        <v>402</v>
      </c>
      <c r="O175" s="94"/>
    </row>
    <row r="176" spans="1:15">
      <c r="A176" s="271" t="s">
        <v>2191</v>
      </c>
      <c r="B176" s="84">
        <f t="shared" si="14"/>
        <v>402</v>
      </c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>
        <f t="shared" si="15"/>
        <v>402</v>
      </c>
      <c r="O176" s="94"/>
    </row>
    <row r="177" spans="1:16">
      <c r="A177" s="271" t="s">
        <v>2192</v>
      </c>
      <c r="B177" s="84">
        <f t="shared" si="14"/>
        <v>402</v>
      </c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>
        <f t="shared" si="15"/>
        <v>402</v>
      </c>
      <c r="O177" s="94"/>
    </row>
    <row r="178" spans="1:16">
      <c r="A178" s="270"/>
      <c r="B178" s="84">
        <f t="shared" si="14"/>
        <v>402</v>
      </c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>
        <f t="shared" si="15"/>
        <v>402</v>
      </c>
      <c r="O178" s="94"/>
    </row>
    <row r="179" spans="1:16">
      <c r="A179" s="270"/>
      <c r="B179" s="84">
        <f t="shared" si="14"/>
        <v>402</v>
      </c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>
        <f t="shared" si="15"/>
        <v>402</v>
      </c>
      <c r="O179" s="94"/>
    </row>
    <row r="180" spans="1:16">
      <c r="A180" s="270"/>
      <c r="B180" s="84">
        <f t="shared" si="14"/>
        <v>402</v>
      </c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>
        <f t="shared" si="15"/>
        <v>402</v>
      </c>
      <c r="O180" s="94"/>
    </row>
    <row r="181" spans="1:16">
      <c r="A181" s="270"/>
      <c r="B181" s="84">
        <f t="shared" si="14"/>
        <v>402</v>
      </c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>
        <f t="shared" si="15"/>
        <v>402</v>
      </c>
      <c r="O181" s="94"/>
    </row>
    <row r="182" spans="1:16" ht="13.9" thickBot="1">
      <c r="A182" s="183"/>
      <c r="B182" s="84">
        <f>+N181</f>
        <v>402</v>
      </c>
      <c r="C182" s="279">
        <f>SUM(C140:C181)</f>
        <v>4717</v>
      </c>
      <c r="D182" s="279">
        <f t="shared" ref="D182:L182" si="16">SUM(D140:D181)</f>
        <v>-101</v>
      </c>
      <c r="E182" s="279">
        <f t="shared" si="16"/>
        <v>-74</v>
      </c>
      <c r="F182" s="279"/>
      <c r="G182" s="279">
        <f t="shared" si="16"/>
        <v>-121</v>
      </c>
      <c r="H182" s="279">
        <f t="shared" si="16"/>
        <v>0</v>
      </c>
      <c r="I182" s="279">
        <f t="shared" si="16"/>
        <v>0</v>
      </c>
      <c r="J182" s="279">
        <f t="shared" si="16"/>
        <v>0</v>
      </c>
      <c r="K182" s="279">
        <f t="shared" si="16"/>
        <v>-3989</v>
      </c>
      <c r="L182" s="279">
        <f t="shared" si="16"/>
        <v>-30</v>
      </c>
      <c r="M182" s="279">
        <f>SUM(M61:M140)</f>
        <v>818409</v>
      </c>
      <c r="N182" s="84">
        <f>B140+C182+D182+G182+H182+I182+J182+K182+L182+M182+E182</f>
        <v>818811</v>
      </c>
      <c r="O182" s="94">
        <f>11868+350</f>
        <v>12218</v>
      </c>
    </row>
    <row r="183" spans="1:16" ht="13.9" thickTop="1">
      <c r="B183" s="82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2"/>
      <c r="O183" s="94"/>
    </row>
    <row r="184" spans="1:16" ht="13.9" thickBot="1">
      <c r="O184" s="94">
        <f>N181-O182</f>
        <v>-11816</v>
      </c>
    </row>
    <row r="185" spans="1:16">
      <c r="A185" s="176" t="s">
        <v>2172</v>
      </c>
      <c r="B185" s="177" t="s">
        <v>2173</v>
      </c>
      <c r="C185" s="177" t="s">
        <v>2165</v>
      </c>
      <c r="D185" s="177" t="s">
        <v>2174</v>
      </c>
      <c r="E185" s="177" t="s">
        <v>231</v>
      </c>
      <c r="F185" s="281" t="s">
        <v>343</v>
      </c>
      <c r="G185" s="177" t="s">
        <v>169</v>
      </c>
      <c r="H185" s="177" t="s">
        <v>2175</v>
      </c>
      <c r="I185" s="177" t="s">
        <v>2176</v>
      </c>
      <c r="J185" s="177" t="s">
        <v>216</v>
      </c>
      <c r="K185" s="177" t="s">
        <v>2177</v>
      </c>
      <c r="L185" s="177" t="s">
        <v>232</v>
      </c>
      <c r="M185" s="177" t="s">
        <v>2176</v>
      </c>
      <c r="N185" s="178" t="s">
        <v>2178</v>
      </c>
    </row>
    <row r="186" spans="1:16">
      <c r="A186" s="179"/>
      <c r="B186" s="180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</row>
    <row r="187" spans="1:16">
      <c r="A187" s="280">
        <v>39839</v>
      </c>
      <c r="B187" s="84">
        <f>[111]Growers!$M$188</f>
        <v>12217</v>
      </c>
      <c r="C187" s="84"/>
      <c r="D187" s="84"/>
      <c r="E187" s="84"/>
      <c r="F187" s="84"/>
      <c r="G187" s="84">
        <f>-3</f>
        <v>-3</v>
      </c>
      <c r="H187" s="84"/>
      <c r="I187" s="84"/>
      <c r="J187" s="84"/>
      <c r="K187" s="84">
        <f>-349-270</f>
        <v>-619</v>
      </c>
      <c r="L187" s="84"/>
      <c r="M187" s="84"/>
      <c r="N187" s="84">
        <f t="shared" ref="N187:N210" si="17">SUM(B187:M187)</f>
        <v>11595</v>
      </c>
      <c r="O187">
        <f>11868</f>
        <v>11868</v>
      </c>
      <c r="P187" s="94">
        <f>N187-O187</f>
        <v>-273</v>
      </c>
    </row>
    <row r="188" spans="1:16">
      <c r="A188" s="181">
        <v>27</v>
      </c>
      <c r="B188" s="84">
        <f>+N187</f>
        <v>11595</v>
      </c>
      <c r="C188" s="84"/>
      <c r="D188" s="84"/>
      <c r="E188" s="84"/>
      <c r="F188" s="84">
        <f>-11</f>
        <v>-11</v>
      </c>
      <c r="G188" s="84">
        <f>-10</f>
        <v>-10</v>
      </c>
      <c r="H188" s="84"/>
      <c r="I188" s="84"/>
      <c r="J188" s="84"/>
      <c r="K188" s="84">
        <f>-310</f>
        <v>-310</v>
      </c>
      <c r="L188" s="84"/>
      <c r="M188" s="84"/>
      <c r="N188" s="84">
        <f t="shared" si="17"/>
        <v>11264</v>
      </c>
    </row>
    <row r="189" spans="1:16">
      <c r="A189" s="181">
        <v>28</v>
      </c>
      <c r="B189" s="84">
        <f t="shared" ref="B189:B228" si="18">+N188</f>
        <v>11264</v>
      </c>
      <c r="C189" s="84"/>
      <c r="D189" s="84"/>
      <c r="E189" s="84"/>
      <c r="F189" s="84"/>
      <c r="G189" s="84">
        <f>-5</f>
        <v>-5</v>
      </c>
      <c r="H189" s="84"/>
      <c r="I189" s="84"/>
      <c r="J189" s="84"/>
      <c r="K189" s="84"/>
      <c r="L189" s="84"/>
      <c r="M189" s="84"/>
      <c r="N189" s="84">
        <f t="shared" si="17"/>
        <v>11259</v>
      </c>
    </row>
    <row r="190" spans="1:16">
      <c r="A190" s="181">
        <v>29</v>
      </c>
      <c r="B190" s="84">
        <f t="shared" si="18"/>
        <v>11259</v>
      </c>
      <c r="C190" s="84"/>
      <c r="D190" s="84">
        <f>-24</f>
        <v>-24</v>
      </c>
      <c r="E190" s="84"/>
      <c r="F190" s="84"/>
      <c r="G190" s="84">
        <f>-5</f>
        <v>-5</v>
      </c>
      <c r="H190" s="84"/>
      <c r="I190" s="84"/>
      <c r="J190" s="84"/>
      <c r="K190" s="84"/>
      <c r="L190" s="84"/>
      <c r="M190" s="84"/>
      <c r="N190" s="84">
        <f t="shared" si="17"/>
        <v>11230</v>
      </c>
    </row>
    <row r="191" spans="1:16">
      <c r="A191" s="181">
        <v>30</v>
      </c>
      <c r="B191" s="84">
        <f t="shared" si="18"/>
        <v>11230</v>
      </c>
      <c r="C191" s="84">
        <v>938</v>
      </c>
      <c r="D191" s="84"/>
      <c r="E191" s="84"/>
      <c r="F191" s="84"/>
      <c r="G191" s="84">
        <f>-2</f>
        <v>-2</v>
      </c>
      <c r="H191" s="84"/>
      <c r="I191" s="84"/>
      <c r="J191" s="84"/>
      <c r="K191" s="84"/>
      <c r="L191" s="84"/>
      <c r="M191" s="84"/>
      <c r="N191" s="84">
        <f t="shared" si="17"/>
        <v>12166</v>
      </c>
    </row>
    <row r="192" spans="1:16">
      <c r="A192" s="181">
        <v>31</v>
      </c>
      <c r="B192" s="84">
        <f t="shared" si="18"/>
        <v>12166</v>
      </c>
      <c r="C192" s="84"/>
      <c r="D192" s="84"/>
      <c r="E192" s="84"/>
      <c r="F192" s="84"/>
      <c r="G192" s="84">
        <f>-7</f>
        <v>-7</v>
      </c>
      <c r="H192" s="84"/>
      <c r="I192" s="84"/>
      <c r="J192" s="84"/>
      <c r="K192" s="84"/>
      <c r="L192" s="84"/>
      <c r="M192" s="84"/>
      <c r="N192" s="84">
        <f t="shared" si="17"/>
        <v>12159</v>
      </c>
    </row>
    <row r="193" spans="1:14">
      <c r="A193" s="277" t="s">
        <v>2195</v>
      </c>
      <c r="B193" s="84">
        <f t="shared" si="18"/>
        <v>12159</v>
      </c>
      <c r="C193" s="84"/>
      <c r="D193" s="84"/>
      <c r="E193" s="84"/>
      <c r="F193" s="84"/>
      <c r="G193" s="84">
        <f>-5</f>
        <v>-5</v>
      </c>
      <c r="H193" s="84"/>
      <c r="I193" s="84"/>
      <c r="J193" s="84"/>
      <c r="K193" s="84">
        <f>-291</f>
        <v>-291</v>
      </c>
      <c r="L193" s="84"/>
      <c r="M193" s="84"/>
      <c r="N193" s="84">
        <f t="shared" si="17"/>
        <v>11863</v>
      </c>
    </row>
    <row r="194" spans="1:14">
      <c r="A194" s="278" t="s">
        <v>2181</v>
      </c>
      <c r="B194" s="84">
        <f t="shared" si="18"/>
        <v>11863</v>
      </c>
      <c r="C194" s="84"/>
      <c r="D194" s="84"/>
      <c r="E194" s="84"/>
      <c r="F194" s="84"/>
      <c r="G194" s="84">
        <f>-5</f>
        <v>-5</v>
      </c>
      <c r="H194" s="84"/>
      <c r="I194" s="84"/>
      <c r="J194" s="84"/>
      <c r="K194" s="84">
        <f>-289</f>
        <v>-289</v>
      </c>
      <c r="L194" s="84"/>
      <c r="M194" s="84"/>
      <c r="N194" s="84">
        <f t="shared" si="17"/>
        <v>11569</v>
      </c>
    </row>
    <row r="195" spans="1:14">
      <c r="A195" s="278" t="s">
        <v>2182</v>
      </c>
      <c r="B195" s="84">
        <f t="shared" si="18"/>
        <v>11569</v>
      </c>
      <c r="C195" s="84"/>
      <c r="D195" s="84"/>
      <c r="E195" s="84"/>
      <c r="F195" s="84"/>
      <c r="G195" s="84">
        <f>-3</f>
        <v>-3</v>
      </c>
      <c r="H195" s="84"/>
      <c r="I195" s="84"/>
      <c r="J195" s="84"/>
      <c r="K195" s="84">
        <f>-292</f>
        <v>-292</v>
      </c>
      <c r="L195" s="84"/>
      <c r="M195" s="84"/>
      <c r="N195" s="84">
        <f t="shared" si="17"/>
        <v>11274</v>
      </c>
    </row>
    <row r="196" spans="1:14">
      <c r="A196" s="278" t="s">
        <v>2183</v>
      </c>
      <c r="B196" s="84">
        <f t="shared" si="18"/>
        <v>11274</v>
      </c>
      <c r="C196" s="84"/>
      <c r="D196" s="84"/>
      <c r="E196" s="84"/>
      <c r="F196" s="84"/>
      <c r="G196" s="84">
        <v>-2</v>
      </c>
      <c r="H196" s="84"/>
      <c r="I196" s="84"/>
      <c r="J196" s="84"/>
      <c r="K196" s="84">
        <f>-63</f>
        <v>-63</v>
      </c>
      <c r="L196" s="84"/>
      <c r="M196" s="84"/>
      <c r="N196" s="84">
        <f t="shared" si="17"/>
        <v>11209</v>
      </c>
    </row>
    <row r="197" spans="1:14">
      <c r="A197" s="278" t="s">
        <v>2184</v>
      </c>
      <c r="B197" s="84">
        <f t="shared" si="18"/>
        <v>11209</v>
      </c>
      <c r="C197" s="84"/>
      <c r="D197" s="84"/>
      <c r="E197" s="84"/>
      <c r="F197" s="84"/>
      <c r="G197" s="84">
        <f>-1</f>
        <v>-1</v>
      </c>
      <c r="H197" s="84"/>
      <c r="I197" s="84"/>
      <c r="J197" s="84"/>
      <c r="K197" s="84"/>
      <c r="L197" s="84">
        <f>-11</f>
        <v>-11</v>
      </c>
      <c r="M197" s="84"/>
      <c r="N197" s="84">
        <f t="shared" si="17"/>
        <v>11197</v>
      </c>
    </row>
    <row r="198" spans="1:14">
      <c r="A198" s="278" t="s">
        <v>2185</v>
      </c>
      <c r="B198" s="84">
        <f t="shared" si="18"/>
        <v>11197</v>
      </c>
      <c r="C198" s="84">
        <v>915</v>
      </c>
      <c r="D198" s="84"/>
      <c r="E198" s="84"/>
      <c r="F198" s="84"/>
      <c r="G198" s="84">
        <f>-5</f>
        <v>-5</v>
      </c>
      <c r="H198" s="84"/>
      <c r="I198" s="84"/>
      <c r="J198" s="84"/>
      <c r="K198" s="84"/>
      <c r="L198" s="84"/>
      <c r="M198" s="84"/>
      <c r="N198" s="84">
        <f t="shared" si="17"/>
        <v>12107</v>
      </c>
    </row>
    <row r="199" spans="1:14">
      <c r="A199" s="278" t="s">
        <v>2186</v>
      </c>
      <c r="B199" s="84">
        <f t="shared" si="18"/>
        <v>12107</v>
      </c>
      <c r="C199" s="84"/>
      <c r="D199" s="84">
        <f>-2</f>
        <v>-2</v>
      </c>
      <c r="E199" s="84"/>
      <c r="F199" s="84"/>
      <c r="G199" s="84">
        <f>-1</f>
        <v>-1</v>
      </c>
      <c r="H199" s="84"/>
      <c r="I199" s="84"/>
      <c r="J199" s="84"/>
      <c r="K199" s="84"/>
      <c r="L199" s="84"/>
      <c r="M199" s="84"/>
      <c r="N199" s="84">
        <f t="shared" si="17"/>
        <v>12104</v>
      </c>
    </row>
    <row r="200" spans="1:14">
      <c r="A200" s="278" t="s">
        <v>2187</v>
      </c>
      <c r="B200" s="84">
        <f t="shared" si="18"/>
        <v>12104</v>
      </c>
      <c r="C200" s="84"/>
      <c r="D200" s="84"/>
      <c r="E200" s="84"/>
      <c r="F200" s="84"/>
      <c r="G200" s="84">
        <f>-2</f>
        <v>-2</v>
      </c>
      <c r="H200" s="84"/>
      <c r="I200" s="84"/>
      <c r="J200" s="84"/>
      <c r="K200" s="84">
        <f>-290</f>
        <v>-290</v>
      </c>
      <c r="L200" s="84"/>
      <c r="M200" s="84"/>
      <c r="N200" s="84">
        <f t="shared" si="17"/>
        <v>11812</v>
      </c>
    </row>
    <row r="201" spans="1:14">
      <c r="A201" s="278" t="s">
        <v>2188</v>
      </c>
      <c r="B201" s="84">
        <f t="shared" si="18"/>
        <v>11812</v>
      </c>
      <c r="C201" s="84"/>
      <c r="D201" s="84"/>
      <c r="E201" s="84"/>
      <c r="F201" s="84"/>
      <c r="G201" s="84">
        <f>-3</f>
        <v>-3</v>
      </c>
      <c r="H201" s="84"/>
      <c r="I201" s="84"/>
      <c r="J201" s="84"/>
      <c r="K201" s="84">
        <f>-290</f>
        <v>-290</v>
      </c>
      <c r="L201" s="84"/>
      <c r="M201" s="84"/>
      <c r="N201" s="84">
        <f t="shared" si="17"/>
        <v>11519</v>
      </c>
    </row>
    <row r="202" spans="1:14">
      <c r="A202" s="181">
        <v>10</v>
      </c>
      <c r="B202" s="84">
        <f t="shared" si="18"/>
        <v>11519</v>
      </c>
      <c r="C202" s="84"/>
      <c r="D202" s="84"/>
      <c r="E202" s="84"/>
      <c r="F202" s="84"/>
      <c r="G202" s="84">
        <f>-2</f>
        <v>-2</v>
      </c>
      <c r="H202" s="84"/>
      <c r="I202" s="84"/>
      <c r="J202" s="84"/>
      <c r="K202" s="84">
        <f>-290</f>
        <v>-290</v>
      </c>
      <c r="L202" s="84"/>
      <c r="M202" s="84"/>
      <c r="N202" s="84">
        <f t="shared" si="17"/>
        <v>11227</v>
      </c>
    </row>
    <row r="203" spans="1:14">
      <c r="A203" s="181">
        <v>11</v>
      </c>
      <c r="B203" s="84">
        <f t="shared" si="18"/>
        <v>11227</v>
      </c>
      <c r="C203" s="84"/>
      <c r="D203" s="84">
        <f>-12</f>
        <v>-12</v>
      </c>
      <c r="E203" s="84"/>
      <c r="F203" s="84"/>
      <c r="G203" s="84">
        <f>-5</f>
        <v>-5</v>
      </c>
      <c r="H203" s="84"/>
      <c r="I203" s="84"/>
      <c r="J203" s="84"/>
      <c r="K203" s="84">
        <f>-60</f>
        <v>-60</v>
      </c>
      <c r="L203" s="84"/>
      <c r="M203" s="84"/>
      <c r="N203" s="84">
        <f t="shared" si="17"/>
        <v>11150</v>
      </c>
    </row>
    <row r="204" spans="1:14">
      <c r="A204" s="181">
        <v>12</v>
      </c>
      <c r="B204" s="84">
        <f t="shared" si="18"/>
        <v>11150</v>
      </c>
      <c r="C204" s="84"/>
      <c r="D204" s="84"/>
      <c r="E204" s="84"/>
      <c r="F204" s="84">
        <f>-7</f>
        <v>-7</v>
      </c>
      <c r="G204" s="84">
        <f>-1</f>
        <v>-1</v>
      </c>
      <c r="H204" s="84"/>
      <c r="I204" s="84"/>
      <c r="J204" s="84"/>
      <c r="K204" s="84"/>
      <c r="L204" s="84">
        <f>-5</f>
        <v>-5</v>
      </c>
      <c r="M204" s="84"/>
      <c r="N204" s="84">
        <f t="shared" si="17"/>
        <v>11137</v>
      </c>
    </row>
    <row r="205" spans="1:14">
      <c r="A205" s="181">
        <v>13</v>
      </c>
      <c r="B205" s="84">
        <f t="shared" si="18"/>
        <v>11137</v>
      </c>
      <c r="C205" s="84">
        <v>905</v>
      </c>
      <c r="D205" s="84">
        <f>-14</f>
        <v>-14</v>
      </c>
      <c r="E205" s="84"/>
      <c r="F205" s="84"/>
      <c r="G205" s="84">
        <f>-3</f>
        <v>-3</v>
      </c>
      <c r="H205" s="84"/>
      <c r="I205" s="84"/>
      <c r="J205" s="84"/>
      <c r="K205" s="84"/>
      <c r="L205" s="84"/>
      <c r="M205" s="84"/>
      <c r="N205" s="84">
        <f t="shared" si="17"/>
        <v>12025</v>
      </c>
    </row>
    <row r="206" spans="1:14">
      <c r="A206" s="181">
        <v>14</v>
      </c>
      <c r="B206" s="84">
        <f t="shared" si="18"/>
        <v>12025</v>
      </c>
      <c r="C206" s="84"/>
      <c r="D206" s="84"/>
      <c r="E206" s="84"/>
      <c r="F206" s="84"/>
      <c r="G206" s="84">
        <f>-1</f>
        <v>-1</v>
      </c>
      <c r="H206" s="84"/>
      <c r="I206" s="84"/>
      <c r="J206" s="84"/>
      <c r="K206" s="84"/>
      <c r="L206" s="84"/>
      <c r="M206" s="84"/>
      <c r="N206" s="84">
        <f t="shared" si="17"/>
        <v>12024</v>
      </c>
    </row>
    <row r="207" spans="1:14">
      <c r="A207" s="181">
        <v>15</v>
      </c>
      <c r="B207" s="84">
        <f t="shared" si="18"/>
        <v>12024</v>
      </c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>
        <f t="shared" si="17"/>
        <v>12024</v>
      </c>
    </row>
    <row r="208" spans="1:14">
      <c r="A208" s="181">
        <v>16</v>
      </c>
      <c r="B208" s="84">
        <f t="shared" si="18"/>
        <v>12024</v>
      </c>
      <c r="C208" s="84"/>
      <c r="D208" s="84"/>
      <c r="E208" s="84"/>
      <c r="F208" s="84"/>
      <c r="G208" s="84">
        <f>-1</f>
        <v>-1</v>
      </c>
      <c r="H208" s="84"/>
      <c r="I208" s="84"/>
      <c r="J208" s="84"/>
      <c r="K208" s="84">
        <f>-116</f>
        <v>-116</v>
      </c>
      <c r="L208" s="84"/>
      <c r="M208" s="84"/>
      <c r="N208" s="84">
        <f t="shared" si="17"/>
        <v>11907</v>
      </c>
    </row>
    <row r="209" spans="1:14">
      <c r="A209" s="181">
        <v>17</v>
      </c>
      <c r="B209" s="84">
        <f t="shared" si="18"/>
        <v>11907</v>
      </c>
      <c r="C209" s="84"/>
      <c r="D209" s="84">
        <f>-40</f>
        <v>-40</v>
      </c>
      <c r="E209" s="84">
        <f>-5</f>
        <v>-5</v>
      </c>
      <c r="F209" s="84"/>
      <c r="G209" s="84">
        <f>-4</f>
        <v>-4</v>
      </c>
      <c r="H209" s="84"/>
      <c r="I209" s="84"/>
      <c r="J209" s="84"/>
      <c r="K209" s="84">
        <f>-382</f>
        <v>-382</v>
      </c>
      <c r="L209" s="84">
        <f>-4</f>
        <v>-4</v>
      </c>
      <c r="M209" s="84"/>
      <c r="N209" s="84">
        <f t="shared" si="17"/>
        <v>11472</v>
      </c>
    </row>
    <row r="210" spans="1:14">
      <c r="A210" s="181">
        <v>18</v>
      </c>
      <c r="B210" s="84">
        <f t="shared" si="18"/>
        <v>11472</v>
      </c>
      <c r="C210" s="84"/>
      <c r="D210" s="84">
        <f>-13</f>
        <v>-13</v>
      </c>
      <c r="E210" s="84"/>
      <c r="F210" s="84"/>
      <c r="G210" s="84">
        <f>-2</f>
        <v>-2</v>
      </c>
      <c r="H210" s="84"/>
      <c r="I210" s="84"/>
      <c r="J210" s="84"/>
      <c r="K210" s="84">
        <f>-384</f>
        <v>-384</v>
      </c>
      <c r="L210" s="84"/>
      <c r="M210" s="84"/>
      <c r="N210" s="84">
        <f t="shared" si="17"/>
        <v>11073</v>
      </c>
    </row>
    <row r="211" spans="1:14">
      <c r="A211" s="181">
        <v>19</v>
      </c>
      <c r="B211" s="84">
        <f t="shared" si="18"/>
        <v>11073</v>
      </c>
      <c r="C211" s="84"/>
      <c r="D211" s="84"/>
      <c r="E211" s="84"/>
      <c r="F211" s="84">
        <f>-15</f>
        <v>-15</v>
      </c>
      <c r="G211" s="84">
        <f>-3</f>
        <v>-3</v>
      </c>
      <c r="H211" s="84"/>
      <c r="I211" s="84"/>
      <c r="J211" s="84"/>
      <c r="K211" s="84"/>
      <c r="L211" s="84"/>
      <c r="M211" s="84"/>
      <c r="N211" s="84">
        <f t="shared" ref="N211:N228" si="19">SUM(B211:M211)</f>
        <v>11055</v>
      </c>
    </row>
    <row r="212" spans="1:14">
      <c r="A212" s="181">
        <v>20</v>
      </c>
      <c r="B212" s="84">
        <f t="shared" si="18"/>
        <v>11055</v>
      </c>
      <c r="C212" s="84">
        <v>909</v>
      </c>
      <c r="D212" s="84">
        <f>-7</f>
        <v>-7</v>
      </c>
      <c r="E212" s="84"/>
      <c r="F212" s="84"/>
      <c r="G212" s="84">
        <f>-8</f>
        <v>-8</v>
      </c>
      <c r="H212" s="84"/>
      <c r="I212" s="84"/>
      <c r="J212" s="84"/>
      <c r="K212" s="84"/>
      <c r="L212" s="84"/>
      <c r="M212" s="84"/>
      <c r="N212" s="84">
        <f t="shared" si="19"/>
        <v>11949</v>
      </c>
    </row>
    <row r="213" spans="1:14">
      <c r="A213" s="181">
        <v>21</v>
      </c>
      <c r="B213" s="84">
        <f t="shared" si="18"/>
        <v>11949</v>
      </c>
      <c r="C213" s="84"/>
      <c r="D213" s="84"/>
      <c r="E213" s="84"/>
      <c r="F213" s="84"/>
      <c r="G213" s="84">
        <f>-6</f>
        <v>-6</v>
      </c>
      <c r="H213" s="84"/>
      <c r="I213" s="84"/>
      <c r="J213" s="84"/>
      <c r="K213" s="84"/>
      <c r="L213" s="84"/>
      <c r="M213" s="84"/>
      <c r="N213" s="84">
        <f t="shared" si="19"/>
        <v>11943</v>
      </c>
    </row>
    <row r="214" spans="1:14">
      <c r="A214" s="181">
        <v>22</v>
      </c>
      <c r="B214" s="84">
        <f t="shared" si="18"/>
        <v>11943</v>
      </c>
      <c r="C214" s="84"/>
      <c r="D214" s="84"/>
      <c r="E214" s="84"/>
      <c r="F214" s="84"/>
      <c r="G214" s="84">
        <f>-2</f>
        <v>-2</v>
      </c>
      <c r="H214" s="84"/>
      <c r="I214" s="84"/>
      <c r="J214" s="84"/>
      <c r="K214" s="84"/>
      <c r="L214" s="84"/>
      <c r="M214" s="84"/>
      <c r="N214" s="84">
        <f t="shared" si="19"/>
        <v>11941</v>
      </c>
    </row>
    <row r="215" spans="1:14">
      <c r="A215" s="181">
        <v>23</v>
      </c>
      <c r="B215" s="84">
        <f t="shared" si="18"/>
        <v>11941</v>
      </c>
      <c r="C215" s="84"/>
      <c r="D215" s="84"/>
      <c r="E215" s="84"/>
      <c r="F215" s="84">
        <f>-15</f>
        <v>-15</v>
      </c>
      <c r="G215" s="84">
        <f>-2</f>
        <v>-2</v>
      </c>
      <c r="H215" s="84"/>
      <c r="I215" s="84"/>
      <c r="J215" s="84"/>
      <c r="K215" s="84">
        <f>-284</f>
        <v>-284</v>
      </c>
      <c r="L215" s="84"/>
      <c r="M215" s="84"/>
      <c r="N215" s="84">
        <f t="shared" si="19"/>
        <v>11640</v>
      </c>
    </row>
    <row r="216" spans="1:14">
      <c r="A216" s="181">
        <v>24</v>
      </c>
      <c r="B216" s="84">
        <f t="shared" si="18"/>
        <v>11640</v>
      </c>
      <c r="C216" s="84"/>
      <c r="D216" s="84">
        <f>-28</f>
        <v>-28</v>
      </c>
      <c r="E216" s="84">
        <f>-16</f>
        <v>-16</v>
      </c>
      <c r="F216" s="84">
        <f>-13</f>
        <v>-13</v>
      </c>
      <c r="G216" s="84">
        <f>-4</f>
        <v>-4</v>
      </c>
      <c r="H216" s="84"/>
      <c r="I216" s="84"/>
      <c r="J216" s="84"/>
      <c r="K216" s="84">
        <f>-290</f>
        <v>-290</v>
      </c>
      <c r="L216" s="84">
        <f>-10</f>
        <v>-10</v>
      </c>
      <c r="M216" s="84"/>
      <c r="N216" s="84">
        <f t="shared" si="19"/>
        <v>11279</v>
      </c>
    </row>
    <row r="217" spans="1:14">
      <c r="A217" s="181">
        <v>25</v>
      </c>
      <c r="B217" s="84">
        <f t="shared" si="18"/>
        <v>11279</v>
      </c>
      <c r="C217" s="84"/>
      <c r="D217" s="84"/>
      <c r="E217" s="84"/>
      <c r="F217" s="84"/>
      <c r="G217" s="84">
        <f>-5-5</f>
        <v>-10</v>
      </c>
      <c r="H217" s="84"/>
      <c r="I217" s="84"/>
      <c r="J217" s="84"/>
      <c r="K217" s="84">
        <f>-306</f>
        <v>-306</v>
      </c>
      <c r="L217" s="84">
        <f>-11</f>
        <v>-11</v>
      </c>
      <c r="M217" s="84"/>
      <c r="N217" s="84">
        <f t="shared" si="19"/>
        <v>10952</v>
      </c>
    </row>
    <row r="218" spans="1:14">
      <c r="A218" s="181">
        <v>26</v>
      </c>
      <c r="B218" s="84">
        <f t="shared" si="18"/>
        <v>10952</v>
      </c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>
        <f t="shared" si="19"/>
        <v>10952</v>
      </c>
    </row>
    <row r="219" spans="1:14">
      <c r="A219" s="181">
        <v>27</v>
      </c>
      <c r="B219" s="84">
        <f t="shared" si="18"/>
        <v>10952</v>
      </c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>
        <f t="shared" si="19"/>
        <v>10952</v>
      </c>
    </row>
    <row r="220" spans="1:14">
      <c r="A220" s="181">
        <v>28</v>
      </c>
      <c r="B220" s="84">
        <f t="shared" si="18"/>
        <v>10952</v>
      </c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>
        <f t="shared" si="19"/>
        <v>10952</v>
      </c>
    </row>
    <row r="221" spans="1:14">
      <c r="A221" s="181">
        <v>29</v>
      </c>
      <c r="B221" s="84">
        <f t="shared" si="18"/>
        <v>10952</v>
      </c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>
        <f t="shared" si="19"/>
        <v>10952</v>
      </c>
    </row>
    <row r="222" spans="1:14">
      <c r="A222" s="270"/>
      <c r="B222" s="84">
        <f t="shared" si="18"/>
        <v>10952</v>
      </c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>
        <f t="shared" si="19"/>
        <v>10952</v>
      </c>
    </row>
    <row r="223" spans="1:14">
      <c r="A223" s="271" t="s">
        <v>2191</v>
      </c>
      <c r="B223" s="84">
        <f t="shared" si="18"/>
        <v>10952</v>
      </c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>
        <f t="shared" si="19"/>
        <v>10952</v>
      </c>
    </row>
    <row r="224" spans="1:14">
      <c r="A224" s="271" t="s">
        <v>2192</v>
      </c>
      <c r="B224" s="84">
        <f t="shared" si="18"/>
        <v>10952</v>
      </c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>
        <f t="shared" si="19"/>
        <v>10952</v>
      </c>
    </row>
    <row r="225" spans="1:14">
      <c r="A225" s="270"/>
      <c r="B225" s="84">
        <f t="shared" si="18"/>
        <v>10952</v>
      </c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>
        <f t="shared" si="19"/>
        <v>10952</v>
      </c>
    </row>
    <row r="226" spans="1:14">
      <c r="A226" s="270"/>
      <c r="B226" s="84">
        <f t="shared" si="18"/>
        <v>10952</v>
      </c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>
        <f t="shared" si="19"/>
        <v>10952</v>
      </c>
    </row>
    <row r="227" spans="1:14">
      <c r="A227" s="270"/>
      <c r="B227" s="84">
        <f t="shared" si="18"/>
        <v>10952</v>
      </c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>
        <f t="shared" si="19"/>
        <v>10952</v>
      </c>
    </row>
    <row r="228" spans="1:14">
      <c r="A228" s="270"/>
      <c r="B228" s="84">
        <f t="shared" si="18"/>
        <v>10952</v>
      </c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>
        <f t="shared" si="19"/>
        <v>10952</v>
      </c>
    </row>
    <row r="229" spans="1:14" ht="13.9" thickBot="1">
      <c r="A229" s="183"/>
      <c r="B229" s="84">
        <f>+N228</f>
        <v>10952</v>
      </c>
      <c r="C229" s="279">
        <f>SUM(C187:C228)</f>
        <v>3667</v>
      </c>
      <c r="D229" s="279">
        <f t="shared" ref="D229:M229" si="20">SUM(D187:D228)</f>
        <v>-140</v>
      </c>
      <c r="E229" s="279">
        <f t="shared" si="20"/>
        <v>-21</v>
      </c>
      <c r="F229" s="279">
        <f t="shared" si="20"/>
        <v>-61</v>
      </c>
      <c r="G229" s="279">
        <f t="shared" si="20"/>
        <v>-113</v>
      </c>
      <c r="H229" s="279">
        <f t="shared" si="20"/>
        <v>0</v>
      </c>
      <c r="I229" s="279">
        <f t="shared" si="20"/>
        <v>0</v>
      </c>
      <c r="J229" s="279">
        <f t="shared" si="20"/>
        <v>0</v>
      </c>
      <c r="K229" s="279">
        <f t="shared" si="20"/>
        <v>-4556</v>
      </c>
      <c r="L229" s="279">
        <f t="shared" si="20"/>
        <v>-41</v>
      </c>
      <c r="M229" s="279">
        <f t="shared" si="20"/>
        <v>0</v>
      </c>
      <c r="N229" s="84">
        <f>B187+C229+D229+F229+G229+H229+I229+J229+K229+L229+M229+E229</f>
        <v>10952</v>
      </c>
    </row>
    <row r="230" spans="1:14" ht="14.45" thickTop="1" thickBot="1"/>
    <row r="231" spans="1:14">
      <c r="A231" s="176" t="s">
        <v>2172</v>
      </c>
      <c r="B231" s="177" t="s">
        <v>2173</v>
      </c>
      <c r="C231" s="177" t="s">
        <v>2165</v>
      </c>
      <c r="D231" s="177" t="s">
        <v>2174</v>
      </c>
      <c r="E231" s="177" t="s">
        <v>231</v>
      </c>
      <c r="F231" s="281" t="s">
        <v>343</v>
      </c>
      <c r="G231" s="177" t="s">
        <v>169</v>
      </c>
      <c r="H231" s="177" t="s">
        <v>2175</v>
      </c>
      <c r="I231" s="177" t="s">
        <v>2176</v>
      </c>
      <c r="J231" s="177" t="s">
        <v>216</v>
      </c>
      <c r="K231" s="177" t="s">
        <v>2177</v>
      </c>
      <c r="L231" s="177" t="s">
        <v>232</v>
      </c>
      <c r="M231" s="177" t="s">
        <v>2176</v>
      </c>
      <c r="N231" s="178" t="s">
        <v>2178</v>
      </c>
    </row>
    <row r="232" spans="1:14">
      <c r="A232" s="179"/>
      <c r="B232" s="180"/>
      <c r="C232" s="275"/>
      <c r="D232" s="275"/>
      <c r="E232" s="275"/>
      <c r="F232" s="275"/>
      <c r="G232" s="275"/>
      <c r="H232" s="275"/>
      <c r="I232" s="275"/>
      <c r="J232" s="275"/>
      <c r="K232" s="275"/>
      <c r="L232" s="275"/>
      <c r="M232" s="275"/>
      <c r="N232" s="275"/>
    </row>
    <row r="233" spans="1:14">
      <c r="A233" s="280">
        <v>39839</v>
      </c>
      <c r="B233" s="84">
        <f>N229-1</f>
        <v>10951</v>
      </c>
      <c r="C233" s="84"/>
      <c r="D233" s="84"/>
      <c r="E233" s="84"/>
      <c r="F233" s="84"/>
      <c r="G233" s="84">
        <f>-5</f>
        <v>-5</v>
      </c>
      <c r="H233" s="84"/>
      <c r="I233" s="84"/>
      <c r="J233" s="84"/>
      <c r="K233" s="84"/>
      <c r="L233" s="84">
        <f>-29</f>
        <v>-29</v>
      </c>
      <c r="M233" s="84"/>
      <c r="N233" s="84">
        <f t="shared" ref="N233:N256" si="21">SUM(B233:M233)</f>
        <v>10917</v>
      </c>
    </row>
    <row r="234" spans="1:14">
      <c r="A234" s="181">
        <v>27</v>
      </c>
      <c r="B234" s="84">
        <f>+N233</f>
        <v>10917</v>
      </c>
      <c r="C234" s="84">
        <v>889</v>
      </c>
      <c r="D234" s="84"/>
      <c r="E234" s="84"/>
      <c r="F234" s="84"/>
      <c r="G234" s="84">
        <f>-1</f>
        <v>-1</v>
      </c>
      <c r="H234" s="84"/>
      <c r="I234" s="84"/>
      <c r="J234" s="84"/>
      <c r="K234" s="84"/>
      <c r="L234" s="84">
        <f>-5</f>
        <v>-5</v>
      </c>
      <c r="M234" s="84"/>
      <c r="N234" s="84">
        <f t="shared" si="21"/>
        <v>11800</v>
      </c>
    </row>
    <row r="235" spans="1:14">
      <c r="A235" s="181">
        <v>28</v>
      </c>
      <c r="B235" s="84">
        <f t="shared" ref="B235:B274" si="22">+N234</f>
        <v>11800</v>
      </c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>
        <f t="shared" si="21"/>
        <v>11800</v>
      </c>
    </row>
    <row r="236" spans="1:14">
      <c r="A236" s="181">
        <v>29</v>
      </c>
      <c r="B236" s="84">
        <f t="shared" si="22"/>
        <v>11800</v>
      </c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>
        <f t="shared" si="21"/>
        <v>11800</v>
      </c>
    </row>
    <row r="237" spans="1:14">
      <c r="A237" s="181">
        <v>30</v>
      </c>
      <c r="B237" s="84">
        <f t="shared" si="22"/>
        <v>11800</v>
      </c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>
        <f t="shared" si="21"/>
        <v>11800</v>
      </c>
    </row>
    <row r="238" spans="1:14">
      <c r="A238" s="181">
        <v>31</v>
      </c>
      <c r="B238" s="84">
        <f t="shared" si="22"/>
        <v>11800</v>
      </c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>
        <f t="shared" si="21"/>
        <v>11800</v>
      </c>
    </row>
    <row r="239" spans="1:14">
      <c r="A239" s="277" t="s">
        <v>2195</v>
      </c>
      <c r="B239" s="84">
        <f t="shared" si="22"/>
        <v>11800</v>
      </c>
      <c r="C239" s="84"/>
      <c r="D239" s="84"/>
      <c r="E239" s="84"/>
      <c r="F239" s="84"/>
      <c r="G239" s="84">
        <f>-1</f>
        <v>-1</v>
      </c>
      <c r="H239" s="84"/>
      <c r="I239" s="84"/>
      <c r="J239" s="84"/>
      <c r="K239" s="84"/>
      <c r="L239" s="84"/>
      <c r="M239" s="84"/>
      <c r="N239" s="84">
        <f t="shared" si="21"/>
        <v>11799</v>
      </c>
    </row>
    <row r="240" spans="1:14">
      <c r="A240" s="278" t="s">
        <v>2181</v>
      </c>
      <c r="B240" s="84">
        <f t="shared" si="22"/>
        <v>11799</v>
      </c>
      <c r="C240" s="84"/>
      <c r="D240" s="84"/>
      <c r="E240" s="84"/>
      <c r="F240" s="84">
        <f>-27</f>
        <v>-27</v>
      </c>
      <c r="G240" s="84">
        <f>-3</f>
        <v>-3</v>
      </c>
      <c r="H240" s="84"/>
      <c r="I240" s="84"/>
      <c r="J240" s="84"/>
      <c r="K240" s="84"/>
      <c r="L240" s="84"/>
      <c r="M240" s="84"/>
      <c r="N240" s="84">
        <f t="shared" si="21"/>
        <v>11769</v>
      </c>
    </row>
    <row r="241" spans="1:14">
      <c r="A241" s="278" t="s">
        <v>2182</v>
      </c>
      <c r="B241" s="84">
        <f t="shared" si="22"/>
        <v>11769</v>
      </c>
      <c r="C241" s="84"/>
      <c r="D241" s="84">
        <f>-10</f>
        <v>-10</v>
      </c>
      <c r="E241" s="84"/>
      <c r="F241" s="84">
        <f>-61</f>
        <v>-61</v>
      </c>
      <c r="G241" s="84">
        <f>-2</f>
        <v>-2</v>
      </c>
      <c r="H241" s="84"/>
      <c r="I241" s="84"/>
      <c r="J241" s="84"/>
      <c r="K241" s="84">
        <f>-400</f>
        <v>-400</v>
      </c>
      <c r="L241" s="84"/>
      <c r="M241" s="84"/>
      <c r="N241" s="84">
        <f t="shared" si="21"/>
        <v>11296</v>
      </c>
    </row>
    <row r="242" spans="1:14">
      <c r="A242" s="278" t="s">
        <v>2183</v>
      </c>
      <c r="B242" s="84">
        <f t="shared" si="22"/>
        <v>11296</v>
      </c>
      <c r="C242" s="84"/>
      <c r="D242" s="84"/>
      <c r="E242" s="84"/>
      <c r="F242" s="84"/>
      <c r="G242" s="84">
        <f>-4</f>
        <v>-4</v>
      </c>
      <c r="H242" s="84"/>
      <c r="I242" s="84"/>
      <c r="J242" s="84"/>
      <c r="K242" s="84">
        <f>-341</f>
        <v>-341</v>
      </c>
      <c r="L242" s="84">
        <f>-21</f>
        <v>-21</v>
      </c>
      <c r="M242" s="84"/>
      <c r="N242" s="84">
        <f t="shared" si="21"/>
        <v>10930</v>
      </c>
    </row>
    <row r="243" spans="1:14">
      <c r="A243" s="278" t="s">
        <v>2184</v>
      </c>
      <c r="B243" s="84">
        <f t="shared" si="22"/>
        <v>10930</v>
      </c>
      <c r="C243" s="84"/>
      <c r="D243" s="84"/>
      <c r="E243" s="84"/>
      <c r="F243" s="84"/>
      <c r="G243" s="84">
        <f>-3</f>
        <v>-3</v>
      </c>
      <c r="H243" s="84"/>
      <c r="I243" s="84"/>
      <c r="J243" s="84"/>
      <c r="K243" s="84">
        <f>-132</f>
        <v>-132</v>
      </c>
      <c r="L243" s="84">
        <f>-18</f>
        <v>-18</v>
      </c>
      <c r="M243" s="84"/>
      <c r="N243" s="84">
        <f t="shared" si="21"/>
        <v>10777</v>
      </c>
    </row>
    <row r="244" spans="1:14">
      <c r="A244" s="278" t="s">
        <v>2185</v>
      </c>
      <c r="B244" s="84">
        <f t="shared" si="22"/>
        <v>10777</v>
      </c>
      <c r="C244" s="84">
        <v>879</v>
      </c>
      <c r="D244" s="84"/>
      <c r="E244" s="84"/>
      <c r="F244" s="84"/>
      <c r="G244" s="84">
        <f>-1</f>
        <v>-1</v>
      </c>
      <c r="H244" s="84"/>
      <c r="I244" s="84"/>
      <c r="J244" s="84"/>
      <c r="K244" s="84"/>
      <c r="L244" s="84">
        <f>-15</f>
        <v>-15</v>
      </c>
      <c r="M244" s="84"/>
      <c r="N244" s="84">
        <f t="shared" si="21"/>
        <v>11640</v>
      </c>
    </row>
    <row r="245" spans="1:14">
      <c r="A245" s="278" t="s">
        <v>2186</v>
      </c>
      <c r="B245" s="84">
        <f t="shared" si="22"/>
        <v>11640</v>
      </c>
      <c r="C245" s="84"/>
      <c r="D245" s="84"/>
      <c r="E245" s="84"/>
      <c r="F245" s="84"/>
      <c r="G245" s="84">
        <v>-2</v>
      </c>
      <c r="H245" s="84"/>
      <c r="I245" s="84"/>
      <c r="J245" s="84"/>
      <c r="K245" s="84"/>
      <c r="L245" s="84"/>
      <c r="M245" s="84"/>
      <c r="N245" s="84">
        <f t="shared" si="21"/>
        <v>11638</v>
      </c>
    </row>
    <row r="246" spans="1:14">
      <c r="A246" s="278" t="s">
        <v>2187</v>
      </c>
      <c r="B246" s="84">
        <f t="shared" si="22"/>
        <v>11638</v>
      </c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>
        <f t="shared" si="21"/>
        <v>11638</v>
      </c>
    </row>
    <row r="247" spans="1:14">
      <c r="A247" s="278" t="s">
        <v>2188</v>
      </c>
      <c r="B247" s="84">
        <f t="shared" si="22"/>
        <v>11638</v>
      </c>
      <c r="C247" s="84"/>
      <c r="D247" s="84"/>
      <c r="E247" s="84"/>
      <c r="F247" s="84">
        <v>-25</v>
      </c>
      <c r="G247" s="84">
        <v>-2</v>
      </c>
      <c r="H247" s="84"/>
      <c r="I247" s="84"/>
      <c r="J247" s="84"/>
      <c r="K247" s="84"/>
      <c r="L247" s="84">
        <v>-2</v>
      </c>
      <c r="M247" s="84"/>
      <c r="N247" s="84">
        <f t="shared" si="21"/>
        <v>11609</v>
      </c>
    </row>
    <row r="248" spans="1:14">
      <c r="A248" s="181">
        <v>10</v>
      </c>
      <c r="B248" s="84">
        <f t="shared" si="22"/>
        <v>11609</v>
      </c>
      <c r="C248" s="84"/>
      <c r="D248" s="84"/>
      <c r="E248" s="84"/>
      <c r="F248" s="84">
        <v>-28</v>
      </c>
      <c r="G248" s="84">
        <f>-3</f>
        <v>-3</v>
      </c>
      <c r="H248" s="84"/>
      <c r="I248" s="84"/>
      <c r="J248" s="84"/>
      <c r="K248" s="84">
        <v>-470</v>
      </c>
      <c r="L248" s="84"/>
      <c r="M248" s="84"/>
      <c r="N248" s="84">
        <f t="shared" si="21"/>
        <v>11108</v>
      </c>
    </row>
    <row r="249" spans="1:14">
      <c r="A249" s="181">
        <v>11</v>
      </c>
      <c r="B249" s="84">
        <f t="shared" si="22"/>
        <v>11108</v>
      </c>
      <c r="C249" s="84"/>
      <c r="D249" s="84">
        <v>-6</v>
      </c>
      <c r="E249" s="84"/>
      <c r="F249" s="84">
        <v>-19</v>
      </c>
      <c r="G249" s="84"/>
      <c r="H249" s="84"/>
      <c r="I249" s="84"/>
      <c r="J249" s="84"/>
      <c r="K249" s="84">
        <f>-396</f>
        <v>-396</v>
      </c>
      <c r="L249" s="84">
        <v>-12</v>
      </c>
      <c r="M249" s="84"/>
      <c r="N249" s="84">
        <f t="shared" si="21"/>
        <v>10675</v>
      </c>
    </row>
    <row r="250" spans="1:14">
      <c r="A250" s="181">
        <v>12</v>
      </c>
      <c r="B250" s="84">
        <f t="shared" si="22"/>
        <v>10675</v>
      </c>
      <c r="C250" s="84"/>
      <c r="D250" s="84"/>
      <c r="E250" s="84"/>
      <c r="F250" s="84"/>
      <c r="G250" s="84">
        <f>-3</f>
        <v>-3</v>
      </c>
      <c r="H250" s="84"/>
      <c r="I250" s="84"/>
      <c r="J250" s="84"/>
      <c r="K250" s="84"/>
      <c r="L250" s="84">
        <f>-25-5</f>
        <v>-30</v>
      </c>
      <c r="M250" s="84"/>
      <c r="N250" s="84">
        <f t="shared" si="21"/>
        <v>10642</v>
      </c>
    </row>
    <row r="251" spans="1:14">
      <c r="A251" s="181">
        <v>13</v>
      </c>
      <c r="B251" s="84">
        <f t="shared" si="22"/>
        <v>10642</v>
      </c>
      <c r="C251" s="84">
        <v>869</v>
      </c>
      <c r="D251" s="84"/>
      <c r="E251" s="84"/>
      <c r="F251" s="84"/>
      <c r="G251" s="84">
        <f>-3</f>
        <v>-3</v>
      </c>
      <c r="H251" s="84"/>
      <c r="I251" s="84"/>
      <c r="J251" s="84"/>
      <c r="K251" s="84"/>
      <c r="L251" s="84"/>
      <c r="M251" s="84"/>
      <c r="N251" s="84">
        <f t="shared" si="21"/>
        <v>11508</v>
      </c>
    </row>
    <row r="252" spans="1:14">
      <c r="A252" s="181">
        <v>14</v>
      </c>
      <c r="B252" s="84">
        <f t="shared" si="22"/>
        <v>11508</v>
      </c>
      <c r="C252" s="84"/>
      <c r="D252" s="84"/>
      <c r="E252" s="84"/>
      <c r="F252" s="84"/>
      <c r="G252" s="84">
        <v>-3</v>
      </c>
      <c r="H252" s="84"/>
      <c r="I252" s="84"/>
      <c r="J252" s="84"/>
      <c r="K252" s="84"/>
      <c r="L252" s="84"/>
      <c r="M252" s="84"/>
      <c r="N252" s="84">
        <f t="shared" si="21"/>
        <v>11505</v>
      </c>
    </row>
    <row r="253" spans="1:14">
      <c r="A253" s="181">
        <v>15</v>
      </c>
      <c r="B253" s="84">
        <f t="shared" si="22"/>
        <v>11505</v>
      </c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>
        <f t="shared" si="21"/>
        <v>11505</v>
      </c>
    </row>
    <row r="254" spans="1:14">
      <c r="A254" s="181">
        <v>16</v>
      </c>
      <c r="B254" s="84">
        <f t="shared" si="22"/>
        <v>11505</v>
      </c>
      <c r="C254" s="84"/>
      <c r="D254" s="84"/>
      <c r="E254" s="84"/>
      <c r="F254" s="84">
        <v>-19</v>
      </c>
      <c r="G254" s="84">
        <v>-4</v>
      </c>
      <c r="H254" s="84"/>
      <c r="I254" s="84"/>
      <c r="J254" s="84"/>
      <c r="K254" s="84">
        <v>-240</v>
      </c>
      <c r="L254" s="84"/>
      <c r="M254" s="84"/>
      <c r="N254" s="84">
        <f t="shared" si="21"/>
        <v>11242</v>
      </c>
    </row>
    <row r="255" spans="1:14">
      <c r="A255" s="181">
        <v>17</v>
      </c>
      <c r="B255" s="84">
        <f t="shared" si="22"/>
        <v>11242</v>
      </c>
      <c r="C255" s="84"/>
      <c r="D255" s="84"/>
      <c r="E255" s="84"/>
      <c r="F255" s="84">
        <v>-12</v>
      </c>
      <c r="G255" s="84">
        <v>-1</v>
      </c>
      <c r="H255" s="84"/>
      <c r="I255" s="84"/>
      <c r="J255" s="84"/>
      <c r="K255" s="84">
        <v>-340</v>
      </c>
      <c r="L255" s="84">
        <v>-15</v>
      </c>
      <c r="M255" s="84"/>
      <c r="N255" s="84">
        <f t="shared" si="21"/>
        <v>10874</v>
      </c>
    </row>
    <row r="256" spans="1:14">
      <c r="A256" s="181">
        <v>18</v>
      </c>
      <c r="B256" s="84">
        <f t="shared" si="22"/>
        <v>10874</v>
      </c>
      <c r="C256" s="84"/>
      <c r="D256" s="84"/>
      <c r="E256" s="84"/>
      <c r="F256" s="84"/>
      <c r="G256" s="84">
        <f>-2</f>
        <v>-2</v>
      </c>
      <c r="H256" s="84"/>
      <c r="I256" s="84"/>
      <c r="J256" s="84"/>
      <c r="K256" s="84">
        <f>-270</f>
        <v>-270</v>
      </c>
      <c r="L256" s="84"/>
      <c r="M256" s="84"/>
      <c r="N256" s="84">
        <f t="shared" si="21"/>
        <v>10602</v>
      </c>
    </row>
    <row r="257" spans="1:14">
      <c r="A257" s="181">
        <v>19</v>
      </c>
      <c r="B257" s="84">
        <f t="shared" si="22"/>
        <v>10602</v>
      </c>
      <c r="C257" s="84"/>
      <c r="D257" s="84"/>
      <c r="E257" s="84"/>
      <c r="F257" s="84"/>
      <c r="G257" s="84">
        <f>-3</f>
        <v>-3</v>
      </c>
      <c r="H257" s="84"/>
      <c r="I257" s="84"/>
      <c r="J257" s="84"/>
      <c r="K257" s="84"/>
      <c r="L257" s="84"/>
      <c r="M257" s="84"/>
      <c r="N257" s="84">
        <f t="shared" ref="N257:N274" si="23">SUM(B257:M257)</f>
        <v>10599</v>
      </c>
    </row>
    <row r="258" spans="1:14">
      <c r="A258" s="181">
        <v>20</v>
      </c>
      <c r="B258" s="84">
        <f t="shared" si="22"/>
        <v>10599</v>
      </c>
      <c r="C258" s="84">
        <v>873</v>
      </c>
      <c r="D258" s="84"/>
      <c r="E258" s="84"/>
      <c r="F258" s="84"/>
      <c r="G258" s="84">
        <v>-3</v>
      </c>
      <c r="H258" s="84"/>
      <c r="I258" s="84"/>
      <c r="J258" s="84"/>
      <c r="K258" s="84"/>
      <c r="L258" s="84"/>
      <c r="M258" s="84"/>
      <c r="N258" s="84">
        <f t="shared" si="23"/>
        <v>11469</v>
      </c>
    </row>
    <row r="259" spans="1:14">
      <c r="A259" s="181">
        <v>21</v>
      </c>
      <c r="B259" s="84">
        <f t="shared" si="22"/>
        <v>11469</v>
      </c>
      <c r="C259" s="84"/>
      <c r="D259" s="84"/>
      <c r="E259" s="84"/>
      <c r="F259" s="84"/>
      <c r="G259" s="84">
        <v>-5</v>
      </c>
      <c r="H259" s="84"/>
      <c r="I259" s="84"/>
      <c r="J259" s="84"/>
      <c r="K259" s="84"/>
      <c r="L259" s="84"/>
      <c r="M259" s="84"/>
      <c r="N259" s="84">
        <f t="shared" si="23"/>
        <v>11464</v>
      </c>
    </row>
    <row r="260" spans="1:14">
      <c r="A260" s="181">
        <v>22</v>
      </c>
      <c r="B260" s="84">
        <f t="shared" si="22"/>
        <v>11464</v>
      </c>
      <c r="C260" s="84"/>
      <c r="D260" s="84"/>
      <c r="E260" s="84"/>
      <c r="F260" s="84"/>
      <c r="G260" s="84">
        <v>-2</v>
      </c>
      <c r="H260" s="84"/>
      <c r="I260" s="84"/>
      <c r="J260" s="84"/>
      <c r="K260" s="84"/>
      <c r="L260" s="84"/>
      <c r="M260" s="84"/>
      <c r="N260" s="84">
        <f t="shared" si="23"/>
        <v>11462</v>
      </c>
    </row>
    <row r="261" spans="1:14">
      <c r="A261" s="181">
        <v>23</v>
      </c>
      <c r="B261" s="84">
        <f t="shared" si="22"/>
        <v>11462</v>
      </c>
      <c r="C261" s="84"/>
      <c r="D261" s="84">
        <f>-6</f>
        <v>-6</v>
      </c>
      <c r="E261" s="84"/>
      <c r="F261" s="84">
        <f>-20</f>
        <v>-20</v>
      </c>
      <c r="G261" s="84">
        <v>-4</v>
      </c>
      <c r="H261" s="84"/>
      <c r="I261" s="84"/>
      <c r="J261" s="84"/>
      <c r="K261" s="84">
        <f>-244</f>
        <v>-244</v>
      </c>
      <c r="L261" s="84"/>
      <c r="M261" s="84"/>
      <c r="N261" s="84">
        <f t="shared" si="23"/>
        <v>11188</v>
      </c>
    </row>
    <row r="262" spans="1:14">
      <c r="A262" s="181">
        <v>24</v>
      </c>
      <c r="B262" s="84">
        <f t="shared" si="22"/>
        <v>11188</v>
      </c>
      <c r="C262" s="84"/>
      <c r="D262" s="84"/>
      <c r="E262" s="84"/>
      <c r="F262" s="84">
        <f>-20</f>
        <v>-20</v>
      </c>
      <c r="G262" s="84">
        <f>-2</f>
        <v>-2</v>
      </c>
      <c r="H262" s="84"/>
      <c r="I262" s="84"/>
      <c r="J262" s="84"/>
      <c r="K262" s="84">
        <f>-340</f>
        <v>-340</v>
      </c>
      <c r="L262" s="84"/>
      <c r="M262" s="84"/>
      <c r="N262" s="84">
        <f t="shared" si="23"/>
        <v>10826</v>
      </c>
    </row>
    <row r="263" spans="1:14">
      <c r="A263" s="181">
        <v>25</v>
      </c>
      <c r="B263" s="84">
        <f t="shared" si="22"/>
        <v>10826</v>
      </c>
      <c r="C263" s="84"/>
      <c r="D263" s="84">
        <f>-2</f>
        <v>-2</v>
      </c>
      <c r="E263" s="84"/>
      <c r="F263" s="84">
        <f>-13</f>
        <v>-13</v>
      </c>
      <c r="G263" s="84">
        <f>-6</f>
        <v>-6</v>
      </c>
      <c r="H263" s="84"/>
      <c r="I263" s="84"/>
      <c r="J263" s="84"/>
      <c r="K263" s="84">
        <f>-266</f>
        <v>-266</v>
      </c>
      <c r="L263" s="84"/>
      <c r="M263" s="84"/>
      <c r="N263" s="84">
        <f t="shared" si="23"/>
        <v>10539</v>
      </c>
    </row>
    <row r="264" spans="1:14">
      <c r="A264" s="181">
        <v>26</v>
      </c>
      <c r="B264" s="84">
        <f t="shared" si="22"/>
        <v>10539</v>
      </c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>
        <f t="shared" si="23"/>
        <v>10539</v>
      </c>
    </row>
    <row r="265" spans="1:14">
      <c r="A265" s="181">
        <v>27</v>
      </c>
      <c r="B265" s="84">
        <f t="shared" si="22"/>
        <v>10539</v>
      </c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>
        <f t="shared" si="23"/>
        <v>10539</v>
      </c>
    </row>
    <row r="266" spans="1:14">
      <c r="A266" s="181">
        <v>28</v>
      </c>
      <c r="B266" s="84">
        <f t="shared" si="22"/>
        <v>10539</v>
      </c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>
        <f t="shared" si="23"/>
        <v>10539</v>
      </c>
    </row>
    <row r="267" spans="1:14">
      <c r="A267" s="181">
        <v>29</v>
      </c>
      <c r="B267" s="84">
        <f t="shared" si="22"/>
        <v>10539</v>
      </c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>
        <f t="shared" si="23"/>
        <v>10539</v>
      </c>
    </row>
    <row r="268" spans="1:14">
      <c r="A268" s="270"/>
      <c r="B268" s="84">
        <f t="shared" si="22"/>
        <v>10539</v>
      </c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>
        <f t="shared" si="23"/>
        <v>10539</v>
      </c>
    </row>
    <row r="269" spans="1:14">
      <c r="A269" s="271" t="s">
        <v>2191</v>
      </c>
      <c r="B269" s="84">
        <f t="shared" si="22"/>
        <v>10539</v>
      </c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>
        <f t="shared" si="23"/>
        <v>10539</v>
      </c>
    </row>
    <row r="270" spans="1:14">
      <c r="A270" s="271" t="s">
        <v>2192</v>
      </c>
      <c r="B270" s="84">
        <f t="shared" si="22"/>
        <v>10539</v>
      </c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>
        <f t="shared" si="23"/>
        <v>10539</v>
      </c>
    </row>
    <row r="271" spans="1:14">
      <c r="A271" s="270"/>
      <c r="B271" s="84">
        <f t="shared" si="22"/>
        <v>10539</v>
      </c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>
        <f t="shared" si="23"/>
        <v>10539</v>
      </c>
    </row>
    <row r="272" spans="1:14">
      <c r="A272" s="270"/>
      <c r="B272" s="84">
        <f t="shared" si="22"/>
        <v>10539</v>
      </c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>
        <f t="shared" si="23"/>
        <v>10539</v>
      </c>
    </row>
    <row r="273" spans="1:14">
      <c r="A273" s="270"/>
      <c r="B273" s="84">
        <f t="shared" si="22"/>
        <v>10539</v>
      </c>
      <c r="C273" s="84"/>
      <c r="D273" s="84"/>
      <c r="E273" s="84"/>
      <c r="F273" s="84"/>
      <c r="G273" s="84"/>
      <c r="H273" s="84"/>
      <c r="I273" s="84"/>
      <c r="J273" s="84"/>
      <c r="K273" s="84">
        <f>-5</f>
        <v>-5</v>
      </c>
      <c r="L273" s="84"/>
      <c r="M273" s="84"/>
      <c r="N273" s="84">
        <f t="shared" si="23"/>
        <v>10534</v>
      </c>
    </row>
    <row r="274" spans="1:14">
      <c r="A274" s="270"/>
      <c r="B274" s="84">
        <f t="shared" si="22"/>
        <v>10534</v>
      </c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>
        <f t="shared" si="23"/>
        <v>10534</v>
      </c>
    </row>
    <row r="275" spans="1:14" ht="13.9" thickBot="1">
      <c r="A275" s="183"/>
      <c r="B275" s="84">
        <f>+N274</f>
        <v>10534</v>
      </c>
      <c r="C275" s="279">
        <f>SUM(C233:C274)</f>
        <v>3510</v>
      </c>
      <c r="D275" s="279">
        <f t="shared" ref="D275:M275" si="24">SUM(D233:D274)</f>
        <v>-24</v>
      </c>
      <c r="E275" s="279">
        <f t="shared" si="24"/>
        <v>0</v>
      </c>
      <c r="F275" s="279">
        <f t="shared" si="24"/>
        <v>-244</v>
      </c>
      <c r="G275" s="279">
        <f t="shared" si="24"/>
        <v>-68</v>
      </c>
      <c r="H275" s="279">
        <f t="shared" si="24"/>
        <v>0</v>
      </c>
      <c r="I275" s="279">
        <f t="shared" si="24"/>
        <v>0</v>
      </c>
      <c r="J275" s="279">
        <f t="shared" si="24"/>
        <v>0</v>
      </c>
      <c r="K275" s="279">
        <f t="shared" si="24"/>
        <v>-3444</v>
      </c>
      <c r="L275" s="279">
        <f t="shared" si="24"/>
        <v>-147</v>
      </c>
      <c r="M275" s="279">
        <f t="shared" si="24"/>
        <v>0</v>
      </c>
      <c r="N275" s="84">
        <f>B233+C275+D275+F275+G275+H275+I275+J275+K275+L275+M275+E275</f>
        <v>10534</v>
      </c>
    </row>
    <row r="276" spans="1:14" ht="13.9" thickTop="1">
      <c r="B276" s="82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2"/>
    </row>
    <row r="277" spans="1:14">
      <c r="B277" s="82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2"/>
    </row>
    <row r="278" spans="1:14">
      <c r="A278" s="1" t="s">
        <v>82</v>
      </c>
      <c r="B278" s="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2"/>
    </row>
    <row r="279" spans="1:14">
      <c r="A279" s="1"/>
      <c r="B279" s="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291" t="s">
        <v>2196</v>
      </c>
      <c r="N279" s="82"/>
    </row>
    <row r="280" spans="1:14">
      <c r="A280" s="1" t="s">
        <v>2170</v>
      </c>
      <c r="B280" s="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2"/>
    </row>
    <row r="281" spans="1:14">
      <c r="A281" s="1"/>
      <c r="B281" s="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2"/>
    </row>
    <row r="282" spans="1:14">
      <c r="A282" s="1" t="s">
        <v>2171</v>
      </c>
      <c r="B282" s="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2"/>
    </row>
    <row r="283" spans="1:14" ht="13.9" thickBot="1"/>
    <row r="284" spans="1:14">
      <c r="A284" s="176" t="s">
        <v>2172</v>
      </c>
      <c r="B284" s="177" t="s">
        <v>2173</v>
      </c>
      <c r="C284" s="177" t="s">
        <v>2165</v>
      </c>
      <c r="D284" s="177" t="s">
        <v>2174</v>
      </c>
      <c r="E284" s="177" t="s">
        <v>231</v>
      </c>
      <c r="F284" s="281" t="s">
        <v>343</v>
      </c>
      <c r="G284" s="177" t="s">
        <v>169</v>
      </c>
      <c r="H284" s="177" t="s">
        <v>2175</v>
      </c>
      <c r="I284" s="177" t="s">
        <v>2176</v>
      </c>
      <c r="J284" s="177" t="s">
        <v>216</v>
      </c>
      <c r="K284" s="177" t="s">
        <v>2177</v>
      </c>
      <c r="L284" s="177" t="s">
        <v>232</v>
      </c>
      <c r="M284" s="177" t="s">
        <v>2176</v>
      </c>
      <c r="N284" s="178" t="s">
        <v>2178</v>
      </c>
    </row>
    <row r="285" spans="1:14">
      <c r="A285" s="179"/>
      <c r="B285" s="180"/>
      <c r="C285" s="275"/>
      <c r="D285" s="275"/>
      <c r="E285" s="275"/>
      <c r="F285" s="275"/>
      <c r="G285" s="275"/>
      <c r="H285" s="275"/>
      <c r="I285" s="275"/>
      <c r="J285" s="275"/>
      <c r="K285" s="275"/>
      <c r="L285" s="275"/>
      <c r="M285" s="275"/>
      <c r="N285" s="275"/>
    </row>
    <row r="286" spans="1:14">
      <c r="A286" s="280">
        <v>39898</v>
      </c>
      <c r="B286" s="84">
        <f>'Summary Total Pigs'!C14</f>
        <v>13029</v>
      </c>
      <c r="C286" s="84"/>
      <c r="D286" s="84"/>
      <c r="E286" s="84"/>
      <c r="F286" s="84"/>
      <c r="G286" s="84">
        <f>-1</f>
        <v>-1</v>
      </c>
      <c r="H286" s="84"/>
      <c r="I286" s="84"/>
      <c r="J286" s="84"/>
      <c r="K286" s="84"/>
      <c r="L286" s="84"/>
      <c r="M286" s="84"/>
      <c r="N286" s="84">
        <f t="shared" ref="N286:N309" si="25">SUM(B286:M286)</f>
        <v>13028</v>
      </c>
    </row>
    <row r="287" spans="1:14">
      <c r="A287" s="181">
        <v>27</v>
      </c>
      <c r="B287" s="84">
        <f>+N286</f>
        <v>13028</v>
      </c>
      <c r="C287" s="84">
        <v>872</v>
      </c>
      <c r="D287" s="84"/>
      <c r="E287" s="84"/>
      <c r="F287" s="84"/>
      <c r="G287" s="84">
        <f>-4</f>
        <v>-4</v>
      </c>
      <c r="H287" s="84"/>
      <c r="I287" s="84"/>
      <c r="J287" s="84"/>
      <c r="K287" s="84"/>
      <c r="L287" s="84"/>
      <c r="M287" s="84"/>
      <c r="N287" s="84">
        <f t="shared" si="25"/>
        <v>13896</v>
      </c>
    </row>
    <row r="288" spans="1:14">
      <c r="A288" s="181">
        <v>28</v>
      </c>
      <c r="B288" s="84">
        <f t="shared" ref="B288:B327" si="26">+N287</f>
        <v>13896</v>
      </c>
      <c r="C288" s="84"/>
      <c r="D288" s="84"/>
      <c r="E288" s="84"/>
      <c r="F288" s="84"/>
      <c r="G288" s="84">
        <f>-2</f>
        <v>-2</v>
      </c>
      <c r="H288" s="84"/>
      <c r="I288" s="84"/>
      <c r="J288" s="84"/>
      <c r="K288" s="84"/>
      <c r="L288" s="84"/>
      <c r="M288" s="84"/>
      <c r="N288" s="84">
        <f t="shared" si="25"/>
        <v>13894</v>
      </c>
    </row>
    <row r="289" spans="1:14">
      <c r="A289" s="181">
        <v>29</v>
      </c>
      <c r="B289" s="84">
        <f t="shared" si="26"/>
        <v>13894</v>
      </c>
      <c r="C289" s="84"/>
      <c r="D289" s="84"/>
      <c r="E289" s="84"/>
      <c r="F289" s="84"/>
      <c r="G289" s="84">
        <f>-4</f>
        <v>-4</v>
      </c>
      <c r="H289" s="84"/>
      <c r="I289" s="84"/>
      <c r="J289" s="84"/>
      <c r="K289" s="84"/>
      <c r="L289" s="84"/>
      <c r="M289" s="84"/>
      <c r="N289" s="84">
        <f t="shared" si="25"/>
        <v>13890</v>
      </c>
    </row>
    <row r="290" spans="1:14">
      <c r="A290" s="181">
        <v>30</v>
      </c>
      <c r="B290" s="84">
        <f t="shared" si="26"/>
        <v>13890</v>
      </c>
      <c r="C290" s="84"/>
      <c r="D290" s="84"/>
      <c r="E290" s="84"/>
      <c r="F290" s="84">
        <f>-22</f>
        <v>-22</v>
      </c>
      <c r="G290" s="84">
        <f>-2</f>
        <v>-2</v>
      </c>
      <c r="H290" s="84"/>
      <c r="I290" s="84"/>
      <c r="J290" s="84"/>
      <c r="K290" s="84">
        <f>-240</f>
        <v>-240</v>
      </c>
      <c r="L290" s="84"/>
      <c r="M290" s="84"/>
      <c r="N290" s="84">
        <f t="shared" si="25"/>
        <v>13626</v>
      </c>
    </row>
    <row r="291" spans="1:14">
      <c r="A291" s="181">
        <v>31</v>
      </c>
      <c r="B291" s="84">
        <f t="shared" si="26"/>
        <v>13626</v>
      </c>
      <c r="C291" s="84"/>
      <c r="D291" s="84"/>
      <c r="E291" s="84"/>
      <c r="F291" s="84">
        <f>-22</f>
        <v>-22</v>
      </c>
      <c r="G291" s="84"/>
      <c r="H291" s="84"/>
      <c r="I291" s="84"/>
      <c r="J291" s="84"/>
      <c r="K291" s="84">
        <f>-340</f>
        <v>-340</v>
      </c>
      <c r="L291" s="84"/>
      <c r="M291" s="84"/>
      <c r="N291" s="84">
        <f t="shared" si="25"/>
        <v>13264</v>
      </c>
    </row>
    <row r="292" spans="1:14">
      <c r="A292" s="277" t="s">
        <v>2197</v>
      </c>
      <c r="B292" s="84">
        <f t="shared" si="26"/>
        <v>13264</v>
      </c>
      <c r="C292" s="84"/>
      <c r="D292" s="84"/>
      <c r="E292" s="84"/>
      <c r="F292" s="84"/>
      <c r="G292" s="84">
        <f>-2</f>
        <v>-2</v>
      </c>
      <c r="H292" s="84"/>
      <c r="I292" s="84"/>
      <c r="J292" s="84"/>
      <c r="K292" s="84">
        <f>-270</f>
        <v>-270</v>
      </c>
      <c r="L292" s="84"/>
      <c r="M292" s="84"/>
      <c r="N292" s="84">
        <f t="shared" si="25"/>
        <v>12992</v>
      </c>
    </row>
    <row r="293" spans="1:14">
      <c r="A293" s="278" t="s">
        <v>2181</v>
      </c>
      <c r="B293" s="84">
        <f t="shared" si="26"/>
        <v>12992</v>
      </c>
      <c r="C293" s="84"/>
      <c r="D293" s="84"/>
      <c r="E293" s="84"/>
      <c r="F293" s="84"/>
      <c r="G293" s="84">
        <f>-4</f>
        <v>-4</v>
      </c>
      <c r="H293" s="84"/>
      <c r="I293" s="84"/>
      <c r="J293" s="84"/>
      <c r="K293" s="84"/>
      <c r="L293" s="84"/>
      <c r="M293" s="84"/>
      <c r="N293" s="84">
        <f t="shared" si="25"/>
        <v>12988</v>
      </c>
    </row>
    <row r="294" spans="1:14">
      <c r="A294" s="278" t="s">
        <v>2182</v>
      </c>
      <c r="B294" s="84">
        <f t="shared" si="26"/>
        <v>12988</v>
      </c>
      <c r="C294" s="84">
        <f>874</f>
        <v>874</v>
      </c>
      <c r="D294" s="84"/>
      <c r="E294" s="84"/>
      <c r="F294" s="84"/>
      <c r="G294" s="84">
        <f>-3</f>
        <v>-3</v>
      </c>
      <c r="H294" s="84"/>
      <c r="I294" s="84"/>
      <c r="J294" s="84"/>
      <c r="K294" s="84"/>
      <c r="L294" s="84"/>
      <c r="M294" s="84"/>
      <c r="N294" s="84">
        <f t="shared" si="25"/>
        <v>13859</v>
      </c>
    </row>
    <row r="295" spans="1:14">
      <c r="A295" s="278" t="s">
        <v>2183</v>
      </c>
      <c r="B295" s="84">
        <f t="shared" si="26"/>
        <v>13859</v>
      </c>
      <c r="C295" s="84"/>
      <c r="D295" s="84"/>
      <c r="E295" s="84"/>
      <c r="F295" s="84">
        <f>-4</f>
        <v>-4</v>
      </c>
      <c r="G295" s="84">
        <f>-2</f>
        <v>-2</v>
      </c>
      <c r="H295" s="84"/>
      <c r="I295" s="84"/>
      <c r="J295" s="84"/>
      <c r="K295" s="84"/>
      <c r="L295" s="84"/>
      <c r="M295" s="84"/>
      <c r="N295" s="84">
        <f t="shared" si="25"/>
        <v>13853</v>
      </c>
    </row>
    <row r="296" spans="1:14">
      <c r="A296" s="278" t="s">
        <v>2184</v>
      </c>
      <c r="B296" s="84">
        <f t="shared" si="26"/>
        <v>13853</v>
      </c>
      <c r="C296" s="84"/>
      <c r="D296" s="84"/>
      <c r="E296" s="84"/>
      <c r="F296" s="84"/>
      <c r="G296" s="84">
        <f>-1</f>
        <v>-1</v>
      </c>
      <c r="H296" s="84"/>
      <c r="I296" s="84"/>
      <c r="J296" s="84"/>
      <c r="K296" s="84"/>
      <c r="L296" s="84"/>
      <c r="M296" s="84"/>
      <c r="N296" s="84">
        <f t="shared" si="25"/>
        <v>13852</v>
      </c>
    </row>
    <row r="297" spans="1:14">
      <c r="A297" s="278" t="s">
        <v>2185</v>
      </c>
      <c r="B297" s="84">
        <f t="shared" si="26"/>
        <v>13852</v>
      </c>
      <c r="C297" s="84"/>
      <c r="D297" s="84"/>
      <c r="E297" s="84"/>
      <c r="F297" s="84">
        <f>-29</f>
        <v>-29</v>
      </c>
      <c r="G297" s="84">
        <f>-1</f>
        <v>-1</v>
      </c>
      <c r="H297" s="84"/>
      <c r="I297" s="84"/>
      <c r="J297" s="84"/>
      <c r="K297" s="84">
        <f>-264</f>
        <v>-264</v>
      </c>
      <c r="L297" s="84"/>
      <c r="M297" s="84"/>
      <c r="N297" s="84">
        <f t="shared" si="25"/>
        <v>13558</v>
      </c>
    </row>
    <row r="298" spans="1:14">
      <c r="A298" s="278" t="s">
        <v>2186</v>
      </c>
      <c r="B298" s="84">
        <f t="shared" si="26"/>
        <v>13558</v>
      </c>
      <c r="C298" s="84"/>
      <c r="D298" s="84">
        <f>-3</f>
        <v>-3</v>
      </c>
      <c r="E298" s="84"/>
      <c r="F298" s="84">
        <f>-18</f>
        <v>-18</v>
      </c>
      <c r="G298" s="84">
        <f>-1</f>
        <v>-1</v>
      </c>
      <c r="H298" s="84"/>
      <c r="I298" s="84"/>
      <c r="J298" s="84"/>
      <c r="K298" s="84">
        <f>-340</f>
        <v>-340</v>
      </c>
      <c r="L298" s="84"/>
      <c r="M298" s="84"/>
      <c r="N298" s="84">
        <f t="shared" si="25"/>
        <v>13196</v>
      </c>
    </row>
    <row r="299" spans="1:14">
      <c r="A299" s="278" t="s">
        <v>2187</v>
      </c>
      <c r="B299" s="84">
        <f t="shared" si="26"/>
        <v>13196</v>
      </c>
      <c r="C299" s="84"/>
      <c r="D299" s="84"/>
      <c r="E299" s="84"/>
      <c r="F299" s="84"/>
      <c r="G299" s="84">
        <f>-2</f>
        <v>-2</v>
      </c>
      <c r="H299" s="84"/>
      <c r="I299" s="84"/>
      <c r="J299" s="84"/>
      <c r="K299" s="84">
        <f>-247</f>
        <v>-247</v>
      </c>
      <c r="L299" s="84"/>
      <c r="M299" s="84"/>
      <c r="N299" s="84">
        <f t="shared" si="25"/>
        <v>12947</v>
      </c>
    </row>
    <row r="300" spans="1:14">
      <c r="A300" s="278" t="s">
        <v>2188</v>
      </c>
      <c r="B300" s="84">
        <f t="shared" si="26"/>
        <v>12947</v>
      </c>
      <c r="C300" s="84"/>
      <c r="D300" s="84"/>
      <c r="E300" s="84"/>
      <c r="F300" s="84">
        <f>-13</f>
        <v>-13</v>
      </c>
      <c r="G300" s="84">
        <f>-1</f>
        <v>-1</v>
      </c>
      <c r="H300" s="84"/>
      <c r="I300" s="84"/>
      <c r="J300" s="84"/>
      <c r="K300" s="84"/>
      <c r="L300" s="84">
        <f>-6</f>
        <v>-6</v>
      </c>
      <c r="M300" s="84"/>
      <c r="N300" s="84">
        <f t="shared" si="25"/>
        <v>12927</v>
      </c>
    </row>
    <row r="301" spans="1:14">
      <c r="A301" s="181">
        <v>10</v>
      </c>
      <c r="B301" s="84">
        <f t="shared" si="26"/>
        <v>12927</v>
      </c>
      <c r="C301" s="84">
        <f>884</f>
        <v>884</v>
      </c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>
        <f t="shared" si="25"/>
        <v>13811</v>
      </c>
    </row>
    <row r="302" spans="1:14">
      <c r="A302" s="181">
        <v>11</v>
      </c>
      <c r="B302" s="84">
        <f t="shared" si="26"/>
        <v>13811</v>
      </c>
      <c r="C302" s="84"/>
      <c r="D302" s="84"/>
      <c r="E302" s="84"/>
      <c r="F302" s="84"/>
      <c r="G302" s="84">
        <f>-4</f>
        <v>-4</v>
      </c>
      <c r="H302" s="84"/>
      <c r="I302" s="84"/>
      <c r="J302" s="84"/>
      <c r="K302" s="84"/>
      <c r="L302" s="84"/>
      <c r="M302" s="84"/>
      <c r="N302" s="84">
        <f t="shared" si="25"/>
        <v>13807</v>
      </c>
    </row>
    <row r="303" spans="1:14">
      <c r="A303" s="181">
        <v>12</v>
      </c>
      <c r="B303" s="84">
        <f t="shared" si="26"/>
        <v>13807</v>
      </c>
      <c r="C303" s="84"/>
      <c r="D303" s="84"/>
      <c r="E303" s="84"/>
      <c r="F303" s="84"/>
      <c r="G303" s="84">
        <f>-2</f>
        <v>-2</v>
      </c>
      <c r="H303" s="84"/>
      <c r="I303" s="84"/>
      <c r="J303" s="84"/>
      <c r="K303" s="84"/>
      <c r="L303" s="84"/>
      <c r="M303" s="84"/>
      <c r="N303" s="84">
        <f t="shared" si="25"/>
        <v>13805</v>
      </c>
    </row>
    <row r="304" spans="1:14">
      <c r="A304" s="181">
        <v>13</v>
      </c>
      <c r="B304" s="84">
        <f t="shared" si="26"/>
        <v>13805</v>
      </c>
      <c r="C304" s="84"/>
      <c r="D304" s="84"/>
      <c r="E304" s="84"/>
      <c r="F304" s="84">
        <f>-13</f>
        <v>-13</v>
      </c>
      <c r="G304" s="84"/>
      <c r="H304" s="84"/>
      <c r="I304" s="84"/>
      <c r="J304" s="84"/>
      <c r="K304" s="84"/>
      <c r="L304" s="84"/>
      <c r="M304" s="84"/>
      <c r="N304" s="84">
        <f t="shared" si="25"/>
        <v>13792</v>
      </c>
    </row>
    <row r="305" spans="1:14">
      <c r="A305" s="181">
        <v>14</v>
      </c>
      <c r="B305" s="84">
        <f t="shared" si="26"/>
        <v>13792</v>
      </c>
      <c r="C305" s="84"/>
      <c r="D305" s="84"/>
      <c r="E305" s="84"/>
      <c r="F305" s="84"/>
      <c r="G305" s="84"/>
      <c r="H305" s="84"/>
      <c r="I305" s="84"/>
      <c r="J305" s="84"/>
      <c r="K305" s="84">
        <f>-240</f>
        <v>-240</v>
      </c>
      <c r="L305" s="84"/>
      <c r="M305" s="84"/>
      <c r="N305" s="84">
        <f t="shared" si="25"/>
        <v>13552</v>
      </c>
    </row>
    <row r="306" spans="1:14">
      <c r="A306" s="181">
        <v>15</v>
      </c>
      <c r="B306" s="84">
        <f t="shared" si="26"/>
        <v>13552</v>
      </c>
      <c r="C306" s="84"/>
      <c r="D306" s="84"/>
      <c r="E306" s="84"/>
      <c r="F306" s="84">
        <f>-11</f>
        <v>-11</v>
      </c>
      <c r="G306" s="84">
        <f>-4</f>
        <v>-4</v>
      </c>
      <c r="H306" s="84"/>
      <c r="I306" s="84"/>
      <c r="J306" s="84"/>
      <c r="K306" s="84">
        <f>-340</f>
        <v>-340</v>
      </c>
      <c r="L306" s="84"/>
      <c r="M306" s="84"/>
      <c r="N306" s="84">
        <f t="shared" si="25"/>
        <v>13197</v>
      </c>
    </row>
    <row r="307" spans="1:14">
      <c r="A307" s="181">
        <v>16</v>
      </c>
      <c r="B307" s="84">
        <f t="shared" si="26"/>
        <v>13197</v>
      </c>
      <c r="C307" s="84"/>
      <c r="D307" s="84"/>
      <c r="E307" s="84"/>
      <c r="F307" s="84"/>
      <c r="G307" s="84">
        <f>-1</f>
        <v>-1</v>
      </c>
      <c r="H307" s="84"/>
      <c r="I307" s="84"/>
      <c r="J307" s="84"/>
      <c r="K307" s="84">
        <f>-270</f>
        <v>-270</v>
      </c>
      <c r="L307" s="84"/>
      <c r="M307" s="84"/>
      <c r="N307" s="84">
        <f t="shared" si="25"/>
        <v>12926</v>
      </c>
    </row>
    <row r="308" spans="1:14">
      <c r="A308" s="181">
        <v>17</v>
      </c>
      <c r="B308" s="84">
        <f t="shared" si="26"/>
        <v>12926</v>
      </c>
      <c r="C308" s="84">
        <f>885</f>
        <v>885</v>
      </c>
      <c r="D308" s="84"/>
      <c r="E308" s="84"/>
      <c r="F308" s="84"/>
      <c r="G308" s="84">
        <f>-1</f>
        <v>-1</v>
      </c>
      <c r="H308" s="84"/>
      <c r="I308" s="84"/>
      <c r="J308" s="84"/>
      <c r="K308" s="84"/>
      <c r="L308" s="84"/>
      <c r="M308" s="84"/>
      <c r="N308" s="84">
        <f t="shared" si="25"/>
        <v>13810</v>
      </c>
    </row>
    <row r="309" spans="1:14">
      <c r="A309" s="181">
        <v>18</v>
      </c>
      <c r="B309" s="84">
        <f t="shared" si="26"/>
        <v>13810</v>
      </c>
      <c r="C309" s="84"/>
      <c r="D309" s="84"/>
      <c r="E309" s="84"/>
      <c r="F309" s="84"/>
      <c r="G309" s="84">
        <f>-4</f>
        <v>-4</v>
      </c>
      <c r="H309" s="84"/>
      <c r="I309" s="84"/>
      <c r="J309" s="84"/>
      <c r="K309" s="84"/>
      <c r="L309" s="84"/>
      <c r="M309" s="84"/>
      <c r="N309" s="84">
        <f t="shared" si="25"/>
        <v>13806</v>
      </c>
    </row>
    <row r="310" spans="1:14">
      <c r="A310" s="181">
        <v>19</v>
      </c>
      <c r="B310" s="84">
        <f t="shared" si="26"/>
        <v>13806</v>
      </c>
      <c r="C310" s="84"/>
      <c r="D310" s="84"/>
      <c r="E310" s="84"/>
      <c r="F310" s="84"/>
      <c r="G310" s="84">
        <f>-3</f>
        <v>-3</v>
      </c>
      <c r="H310" s="84"/>
      <c r="I310" s="84"/>
      <c r="J310" s="84"/>
      <c r="K310" s="84"/>
      <c r="L310" s="84"/>
      <c r="M310" s="84"/>
      <c r="N310" s="84">
        <f t="shared" ref="N310:N327" si="27">SUM(B310:M310)</f>
        <v>13803</v>
      </c>
    </row>
    <row r="311" spans="1:14">
      <c r="A311" s="181">
        <v>20</v>
      </c>
      <c r="B311" s="84">
        <f t="shared" si="26"/>
        <v>13803</v>
      </c>
      <c r="C311" s="84"/>
      <c r="D311" s="84"/>
      <c r="E311" s="84"/>
      <c r="F311" s="84">
        <f>-21</f>
        <v>-21</v>
      </c>
      <c r="G311" s="84">
        <f>-4</f>
        <v>-4</v>
      </c>
      <c r="H311" s="84"/>
      <c r="I311" s="84"/>
      <c r="J311" s="84"/>
      <c r="K311" s="84">
        <f>-240</f>
        <v>-240</v>
      </c>
      <c r="L311" s="84"/>
      <c r="M311" s="84"/>
      <c r="N311" s="84">
        <f t="shared" si="27"/>
        <v>13538</v>
      </c>
    </row>
    <row r="312" spans="1:14">
      <c r="A312" s="181">
        <v>21</v>
      </c>
      <c r="B312" s="84">
        <f t="shared" si="26"/>
        <v>13538</v>
      </c>
      <c r="C312" s="84"/>
      <c r="D312" s="84"/>
      <c r="E312" s="84"/>
      <c r="F312" s="84"/>
      <c r="G312" s="84"/>
      <c r="H312" s="84"/>
      <c r="I312" s="84"/>
      <c r="J312" s="84"/>
      <c r="K312" s="84">
        <f>-340</f>
        <v>-340</v>
      </c>
      <c r="L312" s="84"/>
      <c r="M312" s="84"/>
      <c r="N312" s="84">
        <f t="shared" si="27"/>
        <v>13198</v>
      </c>
    </row>
    <row r="313" spans="1:14">
      <c r="A313" s="181">
        <v>22</v>
      </c>
      <c r="B313" s="84">
        <f t="shared" si="26"/>
        <v>13198</v>
      </c>
      <c r="C313" s="84"/>
      <c r="D313" s="84"/>
      <c r="E313" s="84"/>
      <c r="F313" s="84"/>
      <c r="G313" s="84">
        <f>-3</f>
        <v>-3</v>
      </c>
      <c r="H313" s="84"/>
      <c r="I313" s="84"/>
      <c r="J313" s="84"/>
      <c r="K313" s="84">
        <f>-270</f>
        <v>-270</v>
      </c>
      <c r="L313" s="84"/>
      <c r="M313" s="84"/>
      <c r="N313" s="84">
        <f t="shared" si="27"/>
        <v>12925</v>
      </c>
    </row>
    <row r="314" spans="1:14">
      <c r="A314" s="181">
        <v>23</v>
      </c>
      <c r="B314" s="84">
        <f t="shared" si="26"/>
        <v>12925</v>
      </c>
      <c r="C314" s="84"/>
      <c r="D314" s="84"/>
      <c r="E314" s="84"/>
      <c r="F314" s="84"/>
      <c r="G314" s="84">
        <f>-2</f>
        <v>-2</v>
      </c>
      <c r="H314" s="84"/>
      <c r="I314" s="84"/>
      <c r="J314" s="84"/>
      <c r="K314" s="84"/>
      <c r="L314" s="84"/>
      <c r="M314" s="84"/>
      <c r="N314" s="84">
        <f t="shared" si="27"/>
        <v>12923</v>
      </c>
    </row>
    <row r="315" spans="1:14">
      <c r="A315" s="181">
        <v>24</v>
      </c>
      <c r="B315" s="84">
        <f t="shared" si="26"/>
        <v>12923</v>
      </c>
      <c r="C315" s="84">
        <v>887</v>
      </c>
      <c r="D315" s="84"/>
      <c r="E315" s="84"/>
      <c r="F315" s="84"/>
      <c r="G315" s="84">
        <f>-5</f>
        <v>-5</v>
      </c>
      <c r="H315" s="84"/>
      <c r="I315" s="84"/>
      <c r="J315" s="84"/>
      <c r="K315" s="84"/>
      <c r="L315" s="84"/>
      <c r="M315" s="84"/>
      <c r="N315" s="84">
        <f t="shared" si="27"/>
        <v>13805</v>
      </c>
    </row>
    <row r="316" spans="1:14">
      <c r="A316" s="181">
        <v>25</v>
      </c>
      <c r="B316" s="84">
        <f t="shared" si="26"/>
        <v>13805</v>
      </c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>
        <f t="shared" si="27"/>
        <v>13805</v>
      </c>
    </row>
    <row r="317" spans="1:14">
      <c r="A317" s="181">
        <v>26</v>
      </c>
      <c r="B317" s="84">
        <f t="shared" si="26"/>
        <v>13805</v>
      </c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>
        <f t="shared" si="27"/>
        <v>13805</v>
      </c>
    </row>
    <row r="318" spans="1:14">
      <c r="A318" s="181">
        <v>27</v>
      </c>
      <c r="B318" s="84">
        <f t="shared" si="26"/>
        <v>13805</v>
      </c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>
        <f t="shared" si="27"/>
        <v>13805</v>
      </c>
    </row>
    <row r="319" spans="1:14">
      <c r="A319" s="181">
        <v>28</v>
      </c>
      <c r="B319" s="84">
        <f t="shared" si="26"/>
        <v>13805</v>
      </c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>
        <f t="shared" si="27"/>
        <v>13805</v>
      </c>
    </row>
    <row r="320" spans="1:14">
      <c r="A320" s="181">
        <v>29</v>
      </c>
      <c r="B320" s="84">
        <f t="shared" si="26"/>
        <v>13805</v>
      </c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>
        <f t="shared" si="27"/>
        <v>13805</v>
      </c>
    </row>
    <row r="321" spans="1:14">
      <c r="A321" s="270"/>
      <c r="B321" s="84">
        <f t="shared" si="26"/>
        <v>13805</v>
      </c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>
        <f t="shared" si="27"/>
        <v>13805</v>
      </c>
    </row>
    <row r="322" spans="1:14">
      <c r="A322" s="271" t="s">
        <v>2191</v>
      </c>
      <c r="B322" s="84">
        <f t="shared" si="26"/>
        <v>13805</v>
      </c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>
        <f t="shared" si="27"/>
        <v>13805</v>
      </c>
    </row>
    <row r="323" spans="1:14">
      <c r="A323" s="271" t="s">
        <v>2192</v>
      </c>
      <c r="B323" s="84">
        <f t="shared" si="26"/>
        <v>13805</v>
      </c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>
        <f t="shared" si="27"/>
        <v>13805</v>
      </c>
    </row>
    <row r="324" spans="1:14">
      <c r="A324" s="270"/>
      <c r="B324" s="84">
        <f t="shared" si="26"/>
        <v>13805</v>
      </c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>
        <f t="shared" si="27"/>
        <v>13805</v>
      </c>
    </row>
    <row r="325" spans="1:14">
      <c r="A325" s="270"/>
      <c r="B325" s="84">
        <f t="shared" si="26"/>
        <v>13805</v>
      </c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>
        <f t="shared" si="27"/>
        <v>13805</v>
      </c>
    </row>
    <row r="326" spans="1:14">
      <c r="A326" s="270"/>
      <c r="B326" s="84">
        <f t="shared" si="26"/>
        <v>13805</v>
      </c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>
        <f t="shared" si="27"/>
        <v>13805</v>
      </c>
    </row>
    <row r="327" spans="1:14">
      <c r="A327" s="270"/>
      <c r="B327" s="84">
        <f t="shared" si="26"/>
        <v>13805</v>
      </c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>
        <f t="shared" si="27"/>
        <v>13805</v>
      </c>
    </row>
    <row r="328" spans="1:14" ht="13.9" thickBot="1">
      <c r="A328" s="183"/>
      <c r="B328" s="84">
        <f>+N327</f>
        <v>13805</v>
      </c>
      <c r="C328" s="279">
        <f>SUM(C286:C327)</f>
        <v>4402</v>
      </c>
      <c r="D328" s="279">
        <f t="shared" ref="D328:M328" si="28">SUM(D286:D327)</f>
        <v>-3</v>
      </c>
      <c r="E328" s="279">
        <f t="shared" si="28"/>
        <v>0</v>
      </c>
      <c r="F328" s="279">
        <f t="shared" si="28"/>
        <v>-153</v>
      </c>
      <c r="G328" s="279">
        <f t="shared" si="28"/>
        <v>-63</v>
      </c>
      <c r="H328" s="279">
        <f t="shared" si="28"/>
        <v>0</v>
      </c>
      <c r="I328" s="279">
        <f t="shared" si="28"/>
        <v>0</v>
      </c>
      <c r="J328" s="279">
        <f t="shared" si="28"/>
        <v>0</v>
      </c>
      <c r="K328" s="279">
        <f t="shared" si="28"/>
        <v>-3401</v>
      </c>
      <c r="L328" s="279">
        <f t="shared" si="28"/>
        <v>-6</v>
      </c>
      <c r="M328" s="279">
        <f t="shared" si="28"/>
        <v>0</v>
      </c>
      <c r="N328" s="84">
        <f>B286+C328+D328+F328+G328+H328+I328+J328+K328+L328+M328+E328</f>
        <v>13805</v>
      </c>
    </row>
    <row r="329" spans="1:14" ht="13.9" thickTop="1"/>
  </sheetData>
  <phoneticPr fontId="19" type="noConversion"/>
  <pageMargins left="0.75" right="0.75" top="1" bottom="1" header="0.5" footer="0.5"/>
  <pageSetup paperSize="9" scale="57" orientation="portrait" r:id="rId1"/>
  <headerFooter alignWithMargins="0"/>
  <rowBreaks count="3" manualBreakCount="3">
    <brk id="43" max="16383" man="1"/>
    <brk id="183" max="13" man="1"/>
    <brk id="277" max="13" man="1"/>
  </rowBreaks>
  <ignoredErrors>
    <ignoredError sqref="E122" formula="1"/>
  </ignoredErrors>
  <legacy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74">
    <pageSetUpPr fitToPage="1"/>
  </sheetPr>
  <dimension ref="A1:W58"/>
  <sheetViews>
    <sheetView workbookViewId="0">
      <selection activeCell="B15" sqref="B15"/>
    </sheetView>
  </sheetViews>
  <sheetFormatPr defaultColWidth="9.140625" defaultRowHeight="13.15"/>
  <cols>
    <col min="1" max="1" width="34.85546875" customWidth="1"/>
    <col min="2" max="2" width="11.85546875" style="126" customWidth="1"/>
    <col min="3" max="3" width="11.140625" style="126" customWidth="1"/>
    <col min="4" max="4" width="12.85546875" style="126" customWidth="1"/>
    <col min="5" max="5" width="14.5703125" style="126" customWidth="1"/>
    <col min="6" max="6" width="12.5703125" style="126" customWidth="1"/>
    <col min="7" max="7" width="12.28515625" style="126" customWidth="1"/>
    <col min="8" max="8" width="10.85546875" style="126" customWidth="1"/>
    <col min="9" max="9" width="14" style="126" customWidth="1"/>
    <col min="10" max="10" width="12.5703125" style="126" customWidth="1"/>
    <col min="11" max="11" width="10.85546875" style="126" customWidth="1"/>
    <col min="12" max="12" width="14.85546875" style="126" customWidth="1"/>
    <col min="13" max="13" width="17" style="126" bestFit="1" customWidth="1"/>
    <col min="14" max="14" width="19.5703125" style="170" bestFit="1" customWidth="1"/>
    <col min="15" max="15" width="19.85546875" style="170" customWidth="1"/>
    <col min="16" max="16" width="17.28515625" style="126" customWidth="1"/>
    <col min="17" max="17" width="19.7109375" style="126" customWidth="1"/>
    <col min="18" max="18" width="19.7109375" style="137" bestFit="1" customWidth="1"/>
    <col min="19" max="19" width="17" bestFit="1" customWidth="1"/>
    <col min="20" max="20" width="15.5703125" bestFit="1" customWidth="1"/>
    <col min="21" max="22" width="17.28515625" bestFit="1" customWidth="1"/>
    <col min="23" max="23" width="14" bestFit="1" customWidth="1"/>
  </cols>
  <sheetData>
    <row r="1" spans="1:20" s="1" customFormat="1">
      <c r="A1" s="1" t="s">
        <v>81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56"/>
      <c r="O1" s="156"/>
      <c r="P1" s="121"/>
      <c r="Q1" s="121"/>
      <c r="R1" s="88"/>
    </row>
    <row r="2" spans="1:20" s="1" customFormat="1" ht="13.9" thickBot="1"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56"/>
      <c r="O2" s="156"/>
      <c r="P2" s="121"/>
      <c r="R2" s="88"/>
    </row>
    <row r="3" spans="1:20" s="1" customFormat="1">
      <c r="A3" s="2215" t="s">
        <v>138</v>
      </c>
      <c r="B3" s="121"/>
      <c r="C3" s="434" t="s">
        <v>2198</v>
      </c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56"/>
      <c r="O3" s="156"/>
      <c r="P3" s="121"/>
      <c r="Q3" s="121"/>
      <c r="R3" s="88"/>
    </row>
    <row r="4" spans="1:20" s="1" customFormat="1">
      <c r="A4" s="1208" t="s">
        <v>138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56"/>
      <c r="O4" s="156"/>
      <c r="P4" s="121"/>
      <c r="Q4" s="121"/>
      <c r="R4" s="88"/>
    </row>
    <row r="5" spans="1:20" s="1" customFormat="1" ht="13.9" thickBot="1">
      <c r="A5" s="2216" t="s">
        <v>138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56"/>
      <c r="O5" s="156"/>
      <c r="P5" s="121"/>
      <c r="Q5" s="121"/>
      <c r="R5" s="88"/>
    </row>
    <row r="6" spans="1:20" s="1" customFormat="1" ht="27" thickBot="1">
      <c r="A6" s="176" t="s">
        <v>87</v>
      </c>
      <c r="B6" s="85" t="s">
        <v>89</v>
      </c>
      <c r="C6" s="100" t="s">
        <v>91</v>
      </c>
      <c r="D6" s="85" t="s">
        <v>430</v>
      </c>
      <c r="E6" s="85" t="s">
        <v>431</v>
      </c>
      <c r="F6" s="85" t="s">
        <v>332</v>
      </c>
      <c r="G6" s="85" t="s">
        <v>115</v>
      </c>
      <c r="H6" s="100" t="s">
        <v>101</v>
      </c>
      <c r="I6" s="85" t="s">
        <v>102</v>
      </c>
      <c r="J6" s="85" t="s">
        <v>433</v>
      </c>
      <c r="K6" s="102" t="s">
        <v>434</v>
      </c>
      <c r="L6" s="439" t="s">
        <v>104</v>
      </c>
      <c r="M6" s="438" t="s">
        <v>435</v>
      </c>
      <c r="N6" s="124" t="s">
        <v>436</v>
      </c>
      <c r="O6" s="169"/>
      <c r="P6" s="81"/>
      <c r="Q6" s="81"/>
      <c r="R6" s="125"/>
      <c r="S6" s="125"/>
      <c r="T6" s="125"/>
    </row>
    <row r="7" spans="1:20" ht="17.45">
      <c r="A7" s="435" t="s">
        <v>447</v>
      </c>
      <c r="B7" s="2215">
        <v>3</v>
      </c>
      <c r="C7" s="119"/>
      <c r="D7" s="119" t="s">
        <v>138</v>
      </c>
      <c r="E7" s="119"/>
      <c r="F7" s="119"/>
      <c r="G7" s="2217"/>
      <c r="H7" s="119"/>
      <c r="I7" s="119"/>
      <c r="J7" s="119"/>
      <c r="K7" s="2218"/>
      <c r="L7" s="2219"/>
      <c r="M7" s="2220"/>
      <c r="N7" s="2221"/>
      <c r="R7" s="127"/>
    </row>
    <row r="8" spans="1:20" s="2" customFormat="1" ht="17.45">
      <c r="A8" s="435" t="s">
        <v>439</v>
      </c>
      <c r="B8" s="1208">
        <v>23</v>
      </c>
      <c r="C8" s="269" t="s">
        <v>138</v>
      </c>
      <c r="D8" s="269" t="s">
        <v>138</v>
      </c>
      <c r="E8" s="269"/>
      <c r="F8" s="269"/>
      <c r="G8" s="1204"/>
      <c r="H8" s="269"/>
      <c r="I8" s="269"/>
      <c r="J8" s="269"/>
      <c r="K8" s="1477"/>
      <c r="L8" s="2222"/>
      <c r="M8" s="2223"/>
      <c r="N8" s="1205"/>
      <c r="O8" s="170"/>
      <c r="P8" s="1482" t="s">
        <v>2199</v>
      </c>
      <c r="Q8" s="1482"/>
      <c r="R8" s="127"/>
      <c r="S8" s="300"/>
      <c r="T8" s="300"/>
    </row>
    <row r="9" spans="1:20" s="2" customFormat="1" ht="17.45">
      <c r="A9" s="435" t="s">
        <v>440</v>
      </c>
      <c r="B9" s="1208">
        <v>18</v>
      </c>
      <c r="C9" s="269"/>
      <c r="D9" s="269"/>
      <c r="E9" s="269"/>
      <c r="F9" s="269"/>
      <c r="G9" s="1204"/>
      <c r="H9" s="269"/>
      <c r="I9" s="269"/>
      <c r="J9" s="269"/>
      <c r="K9" s="1477"/>
      <c r="L9" s="2222"/>
      <c r="M9" s="2223"/>
      <c r="N9" s="1205"/>
      <c r="O9" s="170"/>
      <c r="P9" s="1482"/>
      <c r="Q9" s="1482"/>
      <c r="R9" s="127"/>
      <c r="S9" s="300"/>
      <c r="T9" s="300"/>
    </row>
    <row r="10" spans="1:20" s="2" customFormat="1" ht="17.45">
      <c r="A10" s="435" t="s">
        <v>442</v>
      </c>
      <c r="B10" s="1208">
        <v>13</v>
      </c>
      <c r="C10" s="269"/>
      <c r="D10" s="269"/>
      <c r="E10" s="269"/>
      <c r="F10" s="269"/>
      <c r="G10" s="1204"/>
      <c r="H10" s="269"/>
      <c r="I10" s="269"/>
      <c r="J10" s="269"/>
      <c r="K10" s="1477"/>
      <c r="L10" s="2222"/>
      <c r="M10" s="2223"/>
      <c r="N10" s="1205"/>
      <c r="O10" s="170"/>
      <c r="P10" s="1482"/>
      <c r="Q10" s="1482"/>
      <c r="R10" s="127"/>
      <c r="S10" s="300"/>
      <c r="T10" s="300"/>
    </row>
    <row r="11" spans="1:20" s="2" customFormat="1" ht="17.45">
      <c r="A11" s="435" t="s">
        <v>443</v>
      </c>
      <c r="B11" s="1208">
        <v>17</v>
      </c>
      <c r="C11" s="269"/>
      <c r="D11" s="269"/>
      <c r="E11" s="269"/>
      <c r="F11" s="269"/>
      <c r="G11" s="1204"/>
      <c r="H11" s="269"/>
      <c r="I11" s="269"/>
      <c r="J11" s="269"/>
      <c r="K11" s="1477"/>
      <c r="L11" s="2222"/>
      <c r="M11" s="2223"/>
      <c r="N11" s="1205"/>
      <c r="O11" s="170"/>
      <c r="P11" s="1482"/>
      <c r="Q11" s="1482"/>
      <c r="R11" s="127"/>
      <c r="S11" s="300"/>
      <c r="T11" s="300"/>
    </row>
    <row r="12" spans="1:20" s="2" customFormat="1" ht="17.45">
      <c r="A12" s="435" t="s">
        <v>444</v>
      </c>
      <c r="B12" s="1208">
        <v>82</v>
      </c>
      <c r="C12" s="269"/>
      <c r="D12" s="269"/>
      <c r="E12" s="269"/>
      <c r="F12" s="269"/>
      <c r="G12" s="1204"/>
      <c r="H12" s="269"/>
      <c r="I12" s="269"/>
      <c r="J12" s="269"/>
      <c r="K12" s="1477"/>
      <c r="L12" s="2222"/>
      <c r="M12" s="2223"/>
      <c r="N12" s="1205"/>
      <c r="O12" s="170"/>
      <c r="P12" s="1482"/>
      <c r="Q12" s="1482"/>
      <c r="R12" s="2224"/>
      <c r="S12" s="300"/>
      <c r="T12" s="300"/>
    </row>
    <row r="13" spans="1:20" s="2" customFormat="1" ht="18" thickBot="1">
      <c r="A13" s="436" t="s">
        <v>445</v>
      </c>
      <c r="B13" s="2216">
        <v>2</v>
      </c>
      <c r="C13" s="2225"/>
      <c r="D13" s="1481"/>
      <c r="E13" s="1481"/>
      <c r="F13" s="1481"/>
      <c r="G13" s="1725"/>
      <c r="H13" s="2225"/>
      <c r="I13" s="1481"/>
      <c r="J13" s="1481"/>
      <c r="K13" s="1482"/>
      <c r="L13" s="2226"/>
      <c r="M13" s="2227"/>
      <c r="N13" s="2228"/>
      <c r="O13" s="170"/>
      <c r="P13" s="1482"/>
      <c r="Q13" s="1482"/>
      <c r="R13" s="2224"/>
      <c r="S13" s="300"/>
      <c r="T13" s="300"/>
    </row>
    <row r="14" spans="1:20" s="131" customFormat="1" ht="18" thickBot="1">
      <c r="A14" s="437" t="s">
        <v>115</v>
      </c>
      <c r="B14" s="1209">
        <f>SUM(B7:B13)</f>
        <v>158</v>
      </c>
      <c r="C14" s="1209"/>
      <c r="D14" s="1209"/>
      <c r="E14" s="1209"/>
      <c r="F14" s="1209"/>
      <c r="G14" s="1209"/>
      <c r="H14" s="1209"/>
      <c r="I14" s="1209"/>
      <c r="J14" s="1209"/>
      <c r="K14" s="138"/>
      <c r="L14" s="2229"/>
      <c r="M14" s="2230"/>
      <c r="N14" s="1210"/>
      <c r="O14" s="171"/>
      <c r="P14" s="129"/>
      <c r="Q14" s="129"/>
      <c r="R14" s="130"/>
    </row>
    <row r="15" spans="1:20" s="2" customFormat="1">
      <c r="A15"/>
      <c r="B15" s="1482"/>
      <c r="C15" s="1482" t="s">
        <v>138</v>
      </c>
      <c r="D15" s="1482"/>
      <c r="E15" s="1482"/>
      <c r="F15" s="1482"/>
      <c r="G15" s="1482"/>
      <c r="H15" s="1482"/>
      <c r="I15" s="1482"/>
      <c r="J15" s="1482"/>
      <c r="K15" s="1482"/>
      <c r="L15" s="1482"/>
      <c r="M15" s="1482"/>
      <c r="N15" s="2231"/>
      <c r="O15" s="2231"/>
      <c r="P15" s="1482"/>
      <c r="Q15" s="1482"/>
      <c r="R15" s="2224"/>
      <c r="S15" s="300"/>
      <c r="T15" s="300"/>
    </row>
    <row r="16" spans="1:20" s="2" customFormat="1" hidden="1">
      <c r="A16" s="300"/>
      <c r="B16" s="1482"/>
      <c r="C16" s="1482"/>
      <c r="D16" s="1482"/>
      <c r="E16" s="1482"/>
      <c r="F16" s="1482"/>
      <c r="G16" s="1482"/>
      <c r="H16" s="1482"/>
      <c r="I16" s="1482"/>
      <c r="J16" s="1482"/>
      <c r="K16" s="1482"/>
      <c r="L16" s="1482"/>
      <c r="M16" s="1482"/>
      <c r="N16" s="2231"/>
      <c r="O16" s="2231"/>
      <c r="P16" s="1482"/>
      <c r="Q16" s="1482"/>
      <c r="R16" s="2224"/>
      <c r="S16" s="300"/>
      <c r="T16" s="300"/>
    </row>
    <row r="17" spans="1:23" s="2" customFormat="1" hidden="1">
      <c r="A17" s="300"/>
      <c r="B17" s="1482"/>
      <c r="C17" s="1482"/>
      <c r="D17" s="1482"/>
      <c r="E17" s="1482"/>
      <c r="F17" s="1482"/>
      <c r="G17" s="1482"/>
      <c r="H17" s="1482"/>
      <c r="I17" s="1482"/>
      <c r="J17" s="1482"/>
      <c r="K17" s="1482"/>
      <c r="L17" s="1482"/>
      <c r="M17" s="1482"/>
      <c r="N17" s="2231"/>
      <c r="O17" s="2231"/>
      <c r="P17" s="1482"/>
      <c r="Q17" s="1482"/>
      <c r="R17" s="2224"/>
      <c r="S17" s="300"/>
      <c r="T17" s="300"/>
      <c r="U17" s="300"/>
      <c r="V17" s="300"/>
      <c r="W17" s="300"/>
    </row>
    <row r="18" spans="1:23" s="2" customFormat="1" hidden="1">
      <c r="A18" s="300"/>
      <c r="B18" s="1482"/>
      <c r="C18" s="1482"/>
      <c r="D18" s="1482"/>
      <c r="E18" s="1482"/>
      <c r="F18" s="1482"/>
      <c r="G18" s="1482"/>
      <c r="H18" s="1482"/>
      <c r="I18" s="1482"/>
      <c r="J18" s="1482"/>
      <c r="K18" s="1482"/>
      <c r="L18" s="1482"/>
      <c r="M18" s="1482"/>
      <c r="N18" s="2231"/>
      <c r="O18" s="2231"/>
      <c r="P18" s="1482"/>
      <c r="Q18" s="1482"/>
      <c r="R18" s="2224"/>
      <c r="S18" s="300"/>
      <c r="T18" s="300"/>
      <c r="U18" s="300"/>
      <c r="V18" s="300"/>
      <c r="W18" s="300"/>
    </row>
    <row r="19" spans="1:23" s="1" customFormat="1" hidden="1"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56"/>
      <c r="O19" s="156"/>
      <c r="P19" s="121"/>
      <c r="Q19" s="121"/>
      <c r="R19" s="88"/>
    </row>
    <row r="20" spans="1:23" s="14" customFormat="1" ht="53.45" hidden="1" thickBot="1">
      <c r="A20" s="12" t="s">
        <v>87</v>
      </c>
      <c r="B20" s="132" t="s">
        <v>89</v>
      </c>
      <c r="C20" s="133" t="s">
        <v>431</v>
      </c>
      <c r="D20" s="134" t="s">
        <v>91</v>
      </c>
      <c r="E20" s="132" t="s">
        <v>92</v>
      </c>
      <c r="F20" s="132" t="s">
        <v>93</v>
      </c>
      <c r="G20" s="132" t="s">
        <v>94</v>
      </c>
      <c r="H20" s="132"/>
      <c r="I20" s="132"/>
      <c r="J20" s="132"/>
      <c r="K20" s="132"/>
      <c r="L20" s="134"/>
      <c r="M20" s="134"/>
      <c r="N20" s="172"/>
      <c r="O20" s="172" t="s">
        <v>102</v>
      </c>
      <c r="P20" s="172" t="str">
        <f>J6</f>
        <v>CULLED</v>
      </c>
      <c r="Q20" s="134" t="s">
        <v>2200</v>
      </c>
      <c r="R20" s="96" t="s">
        <v>104</v>
      </c>
      <c r="S20" s="135"/>
    </row>
    <row r="21" spans="1:23" hidden="1">
      <c r="A21" s="110" t="s">
        <v>447</v>
      </c>
      <c r="B21" s="2232">
        <v>2837111.5703388108</v>
      </c>
      <c r="C21" s="249"/>
      <c r="D21" s="249"/>
      <c r="E21" s="250"/>
      <c r="F21" s="250"/>
      <c r="G21" s="250"/>
      <c r="H21" s="250"/>
      <c r="I21" s="250"/>
      <c r="J21" s="250"/>
      <c r="K21" s="250"/>
      <c r="L21" s="251"/>
      <c r="M21" s="251"/>
      <c r="N21" s="251"/>
      <c r="O21" s="251">
        <f t="shared" ref="O21:O27" si="0">+I7*M21</f>
        <v>0</v>
      </c>
      <c r="P21" s="251">
        <f>M21*J7</f>
        <v>0</v>
      </c>
      <c r="Q21" s="251">
        <f t="shared" ref="Q21:Q27" si="1">K7*M21</f>
        <v>0</v>
      </c>
      <c r="R21" s="252">
        <f t="shared" ref="R21:R27" si="2">L21+N21+O21+Q21+P21</f>
        <v>0</v>
      </c>
      <c r="S21" s="136">
        <v>12401891203.052711</v>
      </c>
      <c r="U21" s="94">
        <f>R21-S21</f>
        <v>-12401891203.052711</v>
      </c>
    </row>
    <row r="22" spans="1:23" s="2" customFormat="1" hidden="1">
      <c r="A22" s="110" t="s">
        <v>439</v>
      </c>
      <c r="B22" s="2232">
        <v>1609892.112190197</v>
      </c>
      <c r="C22" s="2233"/>
      <c r="D22" s="2233"/>
      <c r="E22" s="2232"/>
      <c r="F22" s="2232"/>
      <c r="G22" s="2232"/>
      <c r="H22" s="2232"/>
      <c r="I22" s="250"/>
      <c r="J22" s="2232"/>
      <c r="K22" s="250"/>
      <c r="L22" s="251"/>
      <c r="M22" s="251"/>
      <c r="N22" s="251"/>
      <c r="O22" s="251">
        <f t="shared" si="0"/>
        <v>0</v>
      </c>
      <c r="P22" s="251">
        <f t="shared" ref="P22:P27" si="3">M22*J8</f>
        <v>0</v>
      </c>
      <c r="Q22" s="251">
        <f t="shared" si="1"/>
        <v>0</v>
      </c>
      <c r="R22" s="252">
        <f t="shared" si="2"/>
        <v>0</v>
      </c>
      <c r="S22" s="136">
        <v>1043493016140.866</v>
      </c>
      <c r="T22" s="300"/>
      <c r="U22" s="94">
        <f t="shared" ref="U22:U28" si="4">R22-S22</f>
        <v>-1043493016140.866</v>
      </c>
      <c r="V22" s="300"/>
      <c r="W22" s="300"/>
    </row>
    <row r="23" spans="1:23" s="2" customFormat="1" hidden="1">
      <c r="A23" s="110" t="s">
        <v>448</v>
      </c>
      <c r="B23" s="2232">
        <v>0</v>
      </c>
      <c r="C23" s="2233"/>
      <c r="D23" s="2233"/>
      <c r="E23" s="2232"/>
      <c r="F23" s="2232"/>
      <c r="G23" s="2232"/>
      <c r="H23" s="2232"/>
      <c r="I23" s="250"/>
      <c r="J23" s="2232"/>
      <c r="K23" s="250"/>
      <c r="L23" s="251"/>
      <c r="M23" s="251"/>
      <c r="N23" s="251"/>
      <c r="O23" s="251">
        <f t="shared" si="0"/>
        <v>0</v>
      </c>
      <c r="P23" s="251">
        <f t="shared" si="3"/>
        <v>0</v>
      </c>
      <c r="Q23" s="251">
        <f t="shared" si="1"/>
        <v>0</v>
      </c>
      <c r="R23" s="252">
        <f t="shared" si="2"/>
        <v>0</v>
      </c>
      <c r="S23" s="136">
        <v>1469859949902.345</v>
      </c>
      <c r="T23" s="300"/>
      <c r="U23" s="94">
        <f t="shared" si="4"/>
        <v>-1469859949902.345</v>
      </c>
      <c r="V23" s="300"/>
      <c r="W23" s="300"/>
    </row>
    <row r="24" spans="1:23" s="2" customFormat="1" hidden="1">
      <c r="A24" s="110" t="s">
        <v>442</v>
      </c>
      <c r="B24" s="2234">
        <v>454430.81938766118</v>
      </c>
      <c r="C24" s="2233"/>
      <c r="D24" s="2233">
        <f>C10*M22</f>
        <v>0</v>
      </c>
      <c r="E24" s="2232"/>
      <c r="F24" s="2232"/>
      <c r="G24" s="2232"/>
      <c r="H24" s="2232"/>
      <c r="I24" s="250"/>
      <c r="J24" s="2232"/>
      <c r="K24" s="250"/>
      <c r="L24" s="251"/>
      <c r="M24" s="251"/>
      <c r="N24" s="251"/>
      <c r="O24" s="251">
        <f t="shared" si="0"/>
        <v>0</v>
      </c>
      <c r="P24" s="251">
        <f>M24*J10</f>
        <v>0</v>
      </c>
      <c r="Q24" s="251">
        <f t="shared" si="1"/>
        <v>0</v>
      </c>
      <c r="R24" s="252">
        <f t="shared" si="2"/>
        <v>0</v>
      </c>
      <c r="S24" s="136">
        <v>985068364242.72632</v>
      </c>
      <c r="T24" s="300"/>
      <c r="U24" s="94">
        <f t="shared" si="4"/>
        <v>-985068364242.72632</v>
      </c>
      <c r="V24" s="300"/>
      <c r="W24" s="300"/>
    </row>
    <row r="25" spans="1:23" s="2" customFormat="1" hidden="1">
      <c r="A25" s="110" t="s">
        <v>449</v>
      </c>
      <c r="B25" s="2235">
        <v>1226063.3880518042</v>
      </c>
      <c r="C25" s="2233"/>
      <c r="D25" s="2233"/>
      <c r="E25" s="2232"/>
      <c r="F25" s="2232"/>
      <c r="G25" s="2232"/>
      <c r="H25" s="2232"/>
      <c r="I25" s="250"/>
      <c r="J25" s="2232"/>
      <c r="K25" s="250"/>
      <c r="L25" s="251"/>
      <c r="M25" s="251"/>
      <c r="N25" s="251"/>
      <c r="O25" s="251">
        <f t="shared" si="0"/>
        <v>0</v>
      </c>
      <c r="P25" s="251">
        <f t="shared" si="3"/>
        <v>0</v>
      </c>
      <c r="Q25" s="251">
        <f t="shared" si="1"/>
        <v>0</v>
      </c>
      <c r="R25" s="252">
        <f t="shared" si="2"/>
        <v>0</v>
      </c>
      <c r="S25" s="136">
        <v>909219607694.36572</v>
      </c>
      <c r="T25" s="300"/>
      <c r="U25" s="94">
        <f t="shared" si="4"/>
        <v>-909219607694.36572</v>
      </c>
      <c r="V25" s="300"/>
      <c r="W25" s="300"/>
    </row>
    <row r="26" spans="1:23" s="2" customFormat="1" hidden="1">
      <c r="A26" s="110" t="s">
        <v>444</v>
      </c>
      <c r="B26" s="2232">
        <v>5431824.3062500646</v>
      </c>
      <c r="C26" s="2232"/>
      <c r="D26" s="2233"/>
      <c r="E26" s="2232"/>
      <c r="F26" s="2232"/>
      <c r="G26" s="2233"/>
      <c r="H26" s="2232"/>
      <c r="I26" s="250"/>
      <c r="J26" s="2232"/>
      <c r="K26" s="250"/>
      <c r="L26" s="251"/>
      <c r="M26" s="251"/>
      <c r="N26" s="251"/>
      <c r="O26" s="251">
        <f t="shared" si="0"/>
        <v>0</v>
      </c>
      <c r="P26" s="251">
        <f t="shared" si="3"/>
        <v>0</v>
      </c>
      <c r="Q26" s="251">
        <f t="shared" si="1"/>
        <v>0</v>
      </c>
      <c r="R26" s="252">
        <f t="shared" si="2"/>
        <v>0</v>
      </c>
      <c r="S26" s="136">
        <v>4328737666954.9434</v>
      </c>
      <c r="T26" s="300"/>
      <c r="U26" s="94">
        <f t="shared" si="4"/>
        <v>-4328737666954.9434</v>
      </c>
      <c r="V26" s="300"/>
      <c r="W26" s="300"/>
    </row>
    <row r="27" spans="1:23" s="2" customFormat="1" ht="13.9" hidden="1" thickBot="1">
      <c r="A27" s="110" t="s">
        <v>445</v>
      </c>
      <c r="B27" s="250">
        <v>581848.34288593009</v>
      </c>
      <c r="C27" s="2236"/>
      <c r="D27" s="2236"/>
      <c r="E27" s="2236"/>
      <c r="F27" s="2236"/>
      <c r="G27" s="2237"/>
      <c r="H27" s="2238"/>
      <c r="I27" s="250"/>
      <c r="J27" s="2239"/>
      <c r="K27" s="253"/>
      <c r="L27" s="251"/>
      <c r="M27" s="251"/>
      <c r="N27" s="251"/>
      <c r="O27" s="251">
        <f t="shared" si="0"/>
        <v>0</v>
      </c>
      <c r="P27" s="251">
        <f t="shared" si="3"/>
        <v>0</v>
      </c>
      <c r="Q27" s="251">
        <f t="shared" si="1"/>
        <v>0</v>
      </c>
      <c r="R27" s="252">
        <f t="shared" si="2"/>
        <v>0</v>
      </c>
      <c r="S27" s="136">
        <v>54026427194.995636</v>
      </c>
      <c r="T27" s="300"/>
      <c r="U27" s="94">
        <f t="shared" si="4"/>
        <v>-54026427194.995636</v>
      </c>
      <c r="V27" s="300"/>
      <c r="W27" s="300"/>
    </row>
    <row r="28" spans="1:23" s="1" customFormat="1" ht="13.9" hidden="1" thickBot="1">
      <c r="A28" s="3" t="s">
        <v>115</v>
      </c>
      <c r="B28" s="254">
        <f t="shared" ref="B28:G28" si="5">SUM(B21:B27)</f>
        <v>12141170.539104469</v>
      </c>
      <c r="C28" s="254">
        <f t="shared" si="5"/>
        <v>0</v>
      </c>
      <c r="D28" s="254">
        <f t="shared" si="5"/>
        <v>0</v>
      </c>
      <c r="E28" s="254">
        <f t="shared" si="5"/>
        <v>0</v>
      </c>
      <c r="F28" s="254">
        <f t="shared" si="5"/>
        <v>0</v>
      </c>
      <c r="G28" s="254">
        <f t="shared" si="5"/>
        <v>0</v>
      </c>
      <c r="H28" s="254"/>
      <c r="I28" s="254"/>
      <c r="J28" s="254"/>
      <c r="K28" s="254"/>
      <c r="L28" s="254"/>
      <c r="M28" s="254"/>
      <c r="N28" s="254"/>
      <c r="O28" s="254">
        <f>SUM(O21:O27)</f>
        <v>0</v>
      </c>
      <c r="P28" s="254">
        <f>SUM(P21:P27)</f>
        <v>0</v>
      </c>
      <c r="Q28" s="254">
        <f>SUM(Q21:Q27)</f>
        <v>0</v>
      </c>
      <c r="R28" s="254">
        <f>SUM(R21:R27)</f>
        <v>0</v>
      </c>
      <c r="S28" s="138">
        <v>8802806923333.2949</v>
      </c>
      <c r="U28" s="94">
        <f t="shared" si="4"/>
        <v>-8802806923333.2949</v>
      </c>
    </row>
    <row r="29" spans="1:23" hidden="1">
      <c r="B29" s="264">
        <f>B28-[32]Cattle!$R$32</f>
        <v>0</v>
      </c>
      <c r="D29" s="126">
        <f>D28+N28</f>
        <v>0</v>
      </c>
      <c r="K29" s="139"/>
      <c r="R29" s="261" t="e">
        <f>R28+'IAS 41 Mvmnt Cattle'!R34-[33]Summary!$B$22</f>
        <v>#DIV/0!</v>
      </c>
      <c r="T29" s="24">
        <f>+O28</f>
        <v>0</v>
      </c>
      <c r="U29" s="24" t="e">
        <f>+'IAS 41 Mvmnt Cattle'!O34</f>
        <v>#DIV/0!</v>
      </c>
      <c r="V29" s="24" t="e">
        <f>+T29+U29</f>
        <v>#DIV/0!</v>
      </c>
      <c r="W29" s="63">
        <f>+'[34]IS ANALYSIS'!$AH$58</f>
        <v>8521739130.4347801</v>
      </c>
    </row>
    <row r="30" spans="1:23" hidden="1">
      <c r="O30" s="173" t="e">
        <f>+'IAS 41 Mvmnt Cattle'!O34</f>
        <v>#DIV/0!</v>
      </c>
      <c r="W30" s="63" t="e">
        <f>+V29+W29</f>
        <v>#DIV/0!</v>
      </c>
    </row>
    <row r="31" spans="1:23" hidden="1">
      <c r="O31" s="173" t="e">
        <f>+O28+O30</f>
        <v>#DIV/0!</v>
      </c>
      <c r="Q31" s="126" t="e">
        <f>O28+'IAS 41 Mvmnt Cattle'!O34</f>
        <v>#DIV/0!</v>
      </c>
    </row>
    <row r="32" spans="1:23" hidden="1"/>
    <row r="33" spans="1:15" hidden="1"/>
    <row r="34" spans="1:15" hidden="1">
      <c r="C34" s="139"/>
    </row>
    <row r="35" spans="1:15" hidden="1">
      <c r="C35" s="139"/>
    </row>
    <row r="36" spans="1:15" hidden="1">
      <c r="C36" s="139"/>
    </row>
    <row r="37" spans="1:15" hidden="1">
      <c r="C37" s="139"/>
      <c r="I37" s="139"/>
      <c r="J37" s="139"/>
    </row>
    <row r="38" spans="1:15">
      <c r="C38" s="114"/>
      <c r="I38" s="139"/>
      <c r="J38" s="139"/>
    </row>
    <row r="39" spans="1:15">
      <c r="C39" s="114"/>
      <c r="I39" s="139"/>
      <c r="J39" s="139"/>
    </row>
    <row r="40" spans="1:15">
      <c r="C40" s="114"/>
      <c r="I40" s="139"/>
      <c r="J40" s="139"/>
    </row>
    <row r="41" spans="1:15" ht="15">
      <c r="A41" s="111"/>
      <c r="B41" s="116"/>
      <c r="C41" s="116"/>
      <c r="I41" s="139"/>
      <c r="J41" s="139"/>
      <c r="M41" s="126" t="s">
        <v>138</v>
      </c>
    </row>
    <row r="42" spans="1:15" ht="15">
      <c r="A42" s="25"/>
      <c r="B42" s="117"/>
      <c r="C42" s="117"/>
      <c r="E42" s="114"/>
      <c r="F42" s="139"/>
      <c r="I42" s="139"/>
      <c r="J42" s="139"/>
    </row>
    <row r="43" spans="1:15" ht="15">
      <c r="A43" s="1208"/>
      <c r="B43" s="117"/>
      <c r="C43" s="117"/>
      <c r="E43" s="114"/>
      <c r="F43" s="139"/>
      <c r="I43" s="139"/>
      <c r="J43" s="139"/>
      <c r="K43" s="139"/>
      <c r="O43" s="170">
        <f>50+58+26+20+49</f>
        <v>203</v>
      </c>
    </row>
    <row r="44" spans="1:15" ht="15">
      <c r="A44" s="1208"/>
      <c r="B44" s="117"/>
      <c r="C44" s="117"/>
      <c r="E44" s="114"/>
      <c r="F44" s="139"/>
      <c r="I44" s="139"/>
      <c r="J44" s="139"/>
      <c r="K44" s="139"/>
    </row>
    <row r="45" spans="1:15" ht="15">
      <c r="A45" s="25"/>
      <c r="B45" s="117"/>
      <c r="C45" s="117"/>
      <c r="E45" s="114"/>
      <c r="F45" s="139"/>
      <c r="I45" s="139"/>
      <c r="J45" s="139"/>
      <c r="K45" s="139"/>
    </row>
    <row r="46" spans="1:15" ht="15">
      <c r="A46" s="25"/>
      <c r="B46" s="117"/>
      <c r="C46" s="117"/>
      <c r="E46" s="114"/>
      <c r="F46" s="139"/>
      <c r="I46" s="139"/>
      <c r="J46" s="139"/>
      <c r="K46" s="139"/>
    </row>
    <row r="47" spans="1:15" ht="15">
      <c r="A47" s="25"/>
      <c r="B47" s="117"/>
      <c r="C47" s="117"/>
      <c r="E47" s="114"/>
      <c r="F47" s="139"/>
      <c r="I47" s="139"/>
      <c r="J47" s="139"/>
      <c r="K47" s="139"/>
    </row>
    <row r="48" spans="1:15" ht="15">
      <c r="A48" s="25"/>
      <c r="B48" s="117"/>
      <c r="C48" s="117"/>
      <c r="E48" s="114"/>
      <c r="I48" s="139"/>
      <c r="J48" s="139"/>
      <c r="K48" s="139"/>
    </row>
    <row r="49" spans="1:10" ht="15">
      <c r="A49" s="25"/>
      <c r="C49" s="139"/>
      <c r="I49" s="139"/>
      <c r="J49" s="139"/>
    </row>
    <row r="50" spans="1:10">
      <c r="I50" s="139"/>
      <c r="J50" s="139"/>
    </row>
    <row r="51" spans="1:10">
      <c r="I51" s="139"/>
      <c r="J51" s="139"/>
    </row>
    <row r="52" spans="1:10">
      <c r="I52" s="139"/>
      <c r="J52" s="139"/>
    </row>
    <row r="53" spans="1:10">
      <c r="I53" s="139"/>
      <c r="J53" s="139"/>
    </row>
    <row r="54" spans="1:10">
      <c r="I54" s="139"/>
      <c r="J54" s="139"/>
    </row>
    <row r="55" spans="1:10">
      <c r="I55" s="139"/>
      <c r="J55" s="139"/>
    </row>
    <row r="56" spans="1:10">
      <c r="H56" s="126">
        <v>3</v>
      </c>
      <c r="I56" s="139"/>
      <c r="J56" s="139"/>
    </row>
    <row r="57" spans="1:10">
      <c r="I57" s="139">
        <v>0.4</v>
      </c>
      <c r="J57" s="139"/>
    </row>
    <row r="58" spans="1:10">
      <c r="I58" s="139"/>
      <c r="J58" s="139"/>
    </row>
  </sheetData>
  <pageMargins left="0.70866141732283472" right="0.70866141732283472" top="0.74803149606299213" bottom="0.74803149606299213" header="0.31496062992125984" footer="0.31496062992125984"/>
  <pageSetup scale="71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75">
    <pageSetUpPr fitToPage="1"/>
  </sheetPr>
  <dimension ref="B1:N36"/>
  <sheetViews>
    <sheetView workbookViewId="0">
      <selection activeCell="B15" sqref="B15"/>
    </sheetView>
  </sheetViews>
  <sheetFormatPr defaultRowHeight="13.15"/>
  <cols>
    <col min="4" max="4" width="13.5703125" customWidth="1"/>
    <col min="5" max="5" width="14" customWidth="1"/>
    <col min="7" max="7" width="11.28515625" customWidth="1"/>
    <col min="10" max="10" width="12.5703125" customWidth="1"/>
  </cols>
  <sheetData>
    <row r="1" spans="2:11">
      <c r="B1" s="17" t="s">
        <v>56</v>
      </c>
    </row>
    <row r="2" spans="2:11">
      <c r="B2" s="17"/>
    </row>
    <row r="3" spans="2:11">
      <c r="B3" s="17" t="s">
        <v>2201</v>
      </c>
    </row>
    <row r="4" spans="2:11">
      <c r="B4" s="17"/>
    </row>
    <row r="6" spans="2:11">
      <c r="B6" s="406"/>
      <c r="C6" s="416" t="s">
        <v>221</v>
      </c>
      <c r="D6" s="414" t="s">
        <v>2137</v>
      </c>
      <c r="E6" s="416" t="s">
        <v>2138</v>
      </c>
      <c r="F6" s="414" t="s">
        <v>169</v>
      </c>
      <c r="G6" s="416" t="s">
        <v>2139</v>
      </c>
      <c r="H6" s="414" t="s">
        <v>2140</v>
      </c>
      <c r="I6" s="416" t="s">
        <v>422</v>
      </c>
      <c r="J6" s="414" t="s">
        <v>2142</v>
      </c>
      <c r="K6" s="416" t="s">
        <v>2143</v>
      </c>
    </row>
    <row r="7" spans="2:11">
      <c r="B7" s="415"/>
      <c r="C7" s="413"/>
      <c r="D7" s="410"/>
      <c r="E7" s="413"/>
      <c r="F7" s="410"/>
      <c r="G7" s="413"/>
      <c r="H7" s="410"/>
      <c r="I7" s="413"/>
      <c r="J7" s="410"/>
      <c r="K7" s="413"/>
    </row>
    <row r="8" spans="2:11">
      <c r="B8" s="276" t="s">
        <v>2146</v>
      </c>
      <c r="C8" s="276">
        <v>84</v>
      </c>
      <c r="D8" s="276">
        <v>1135</v>
      </c>
      <c r="E8" s="276">
        <v>-67</v>
      </c>
      <c r="F8" s="276">
        <v>-99</v>
      </c>
      <c r="G8" s="276">
        <v>-54</v>
      </c>
      <c r="H8" s="276">
        <v>-804</v>
      </c>
      <c r="I8" s="276">
        <f>SUM(C8:H8)</f>
        <v>195</v>
      </c>
      <c r="J8" s="276">
        <v>977</v>
      </c>
      <c r="K8" s="276">
        <f>+I8-J8</f>
        <v>-782</v>
      </c>
    </row>
    <row r="9" spans="2:11">
      <c r="B9" s="276" t="s">
        <v>2147</v>
      </c>
      <c r="C9" s="276">
        <v>79</v>
      </c>
      <c r="D9" s="276">
        <v>1218</v>
      </c>
      <c r="E9" s="276">
        <v>-68</v>
      </c>
      <c r="F9" s="276">
        <v>-74</v>
      </c>
      <c r="G9" s="276">
        <v>-54</v>
      </c>
      <c r="H9" s="276">
        <v>-891</v>
      </c>
      <c r="I9" s="276">
        <f>SUM(C9:H9)</f>
        <v>210</v>
      </c>
      <c r="J9" s="276">
        <v>1079</v>
      </c>
      <c r="K9" s="276">
        <f>+I9-J9</f>
        <v>-869</v>
      </c>
    </row>
    <row r="10" spans="2:11">
      <c r="B10" s="276" t="s">
        <v>2148</v>
      </c>
      <c r="C10" s="276">
        <v>8</v>
      </c>
      <c r="D10" s="276">
        <v>1232</v>
      </c>
      <c r="E10" s="276">
        <v>-64</v>
      </c>
      <c r="F10" s="276">
        <v>-85</v>
      </c>
      <c r="G10" s="276">
        <v>-53</v>
      </c>
      <c r="H10" s="276">
        <v>-851</v>
      </c>
      <c r="I10" s="276">
        <f>SUM(C10:H10)</f>
        <v>187</v>
      </c>
      <c r="J10" s="276">
        <v>1118</v>
      </c>
      <c r="K10" s="276">
        <f>+I10-J10</f>
        <v>-931</v>
      </c>
    </row>
    <row r="11" spans="2:11">
      <c r="B11" s="276" t="s">
        <v>2149</v>
      </c>
      <c r="C11" s="276">
        <f>791+2</f>
        <v>793</v>
      </c>
      <c r="D11" s="276">
        <v>198</v>
      </c>
      <c r="E11" s="276">
        <v>-14</v>
      </c>
      <c r="F11" s="276">
        <v>-57</v>
      </c>
      <c r="G11" s="276">
        <v>-53</v>
      </c>
      <c r="H11" s="276">
        <v>-867</v>
      </c>
      <c r="I11" s="276">
        <f>SUM(C11:H11)</f>
        <v>0</v>
      </c>
      <c r="J11" s="276">
        <v>0</v>
      </c>
      <c r="K11" s="276">
        <f>+I11-J11</f>
        <v>0</v>
      </c>
    </row>
    <row r="12" spans="2:11">
      <c r="B12" s="276" t="s">
        <v>2150</v>
      </c>
      <c r="C12" s="276"/>
      <c r="D12" s="276">
        <v>1058</v>
      </c>
      <c r="E12" s="276">
        <f>+-40</f>
        <v>-40</v>
      </c>
      <c r="F12" s="276">
        <v>-75</v>
      </c>
      <c r="G12" s="276"/>
      <c r="H12" s="276"/>
      <c r="I12" s="276">
        <f>SUM(C12:H12)</f>
        <v>943</v>
      </c>
      <c r="J12" s="276">
        <v>994</v>
      </c>
      <c r="K12" s="276">
        <f>+I12-J12</f>
        <v>-51</v>
      </c>
    </row>
    <row r="13" spans="2:11">
      <c r="B13" s="406"/>
      <c r="C13" s="412"/>
      <c r="D13" s="412"/>
      <c r="E13" s="407"/>
      <c r="F13" s="412"/>
      <c r="G13" s="407"/>
      <c r="H13" s="412"/>
      <c r="I13" s="407"/>
      <c r="J13" s="412"/>
      <c r="K13" s="408"/>
    </row>
    <row r="14" spans="2:11">
      <c r="B14" s="409" t="s">
        <v>71</v>
      </c>
      <c r="C14" s="413">
        <f t="shared" ref="C14:K14" si="0">SUM(C8:C12)</f>
        <v>964</v>
      </c>
      <c r="D14" s="413">
        <f t="shared" si="0"/>
        <v>4841</v>
      </c>
      <c r="E14" s="410">
        <f t="shared" si="0"/>
        <v>-253</v>
      </c>
      <c r="F14" s="413">
        <f t="shared" si="0"/>
        <v>-390</v>
      </c>
      <c r="G14" s="410">
        <f t="shared" si="0"/>
        <v>-214</v>
      </c>
      <c r="H14" s="413">
        <f t="shared" si="0"/>
        <v>-3413</v>
      </c>
      <c r="I14" s="410">
        <f t="shared" si="0"/>
        <v>1535</v>
      </c>
      <c r="J14" s="413">
        <f t="shared" si="0"/>
        <v>4168</v>
      </c>
      <c r="K14" s="411">
        <f t="shared" si="0"/>
        <v>-2633</v>
      </c>
    </row>
    <row r="15" spans="2:11">
      <c r="C15" s="94">
        <f>+'Summary Total Pigs'!C12</f>
        <v>5260</v>
      </c>
      <c r="D15" t="e">
        <f>+'Summary Total Pigs'!#REF!</f>
        <v>#REF!</v>
      </c>
      <c r="F15" t="e">
        <f>+'Summary Total Pigs'!#REF!</f>
        <v>#REF!</v>
      </c>
      <c r="I15">
        <f>+'Summary Total Pigs'!AE12</f>
        <v>5196</v>
      </c>
    </row>
    <row r="16" spans="2:11">
      <c r="C16" s="94"/>
    </row>
    <row r="17" spans="2:14">
      <c r="C17" s="94"/>
    </row>
    <row r="18" spans="2:14">
      <c r="C18" s="94" t="s">
        <v>138</v>
      </c>
      <c r="D18" t="s">
        <v>2202</v>
      </c>
      <c r="E18" t="s">
        <v>169</v>
      </c>
      <c r="F18" t="s">
        <v>168</v>
      </c>
      <c r="I18" t="str">
        <f>+I6</f>
        <v>Closing</v>
      </c>
      <c r="J18" t="str">
        <f>+J6</f>
        <v>Stocktake</v>
      </c>
      <c r="K18" t="str">
        <f>+K6</f>
        <v>Varience</v>
      </c>
    </row>
    <row r="19" spans="2:14">
      <c r="B19" t="str">
        <f>+B8</f>
        <v>FH1</v>
      </c>
      <c r="C19">
        <v>78</v>
      </c>
      <c r="D19">
        <v>94</v>
      </c>
      <c r="E19">
        <v>-1</v>
      </c>
      <c r="F19">
        <v>-89</v>
      </c>
      <c r="I19">
        <f>SUM(C19:H19)</f>
        <v>82</v>
      </c>
      <c r="K19">
        <f>+I19-J19</f>
        <v>82</v>
      </c>
      <c r="L19">
        <f t="shared" ref="L19:L24" si="1">+I8+I19</f>
        <v>277</v>
      </c>
      <c r="M19">
        <v>1060</v>
      </c>
      <c r="N19">
        <f>+L19-M19</f>
        <v>-783</v>
      </c>
    </row>
    <row r="20" spans="2:14">
      <c r="B20" t="str">
        <f>+B9</f>
        <v>FH2</v>
      </c>
      <c r="C20">
        <v>87</v>
      </c>
      <c r="D20">
        <v>98</v>
      </c>
      <c r="E20">
        <v>-1</v>
      </c>
      <c r="F20">
        <v>-96</v>
      </c>
      <c r="I20">
        <f t="shared" ref="I20:I36" si="2">SUM(C20:H20)</f>
        <v>88</v>
      </c>
      <c r="K20">
        <f t="shared" ref="K20:K36" si="3">+I20-J20</f>
        <v>88</v>
      </c>
      <c r="L20">
        <f t="shared" si="1"/>
        <v>298</v>
      </c>
      <c r="M20">
        <v>1167</v>
      </c>
      <c r="N20">
        <f t="shared" ref="N20:N30" si="4">+L20-M20</f>
        <v>-869</v>
      </c>
    </row>
    <row r="21" spans="2:14">
      <c r="B21" t="str">
        <f>+B10</f>
        <v>FH3</v>
      </c>
      <c r="C21">
        <v>85</v>
      </c>
      <c r="D21">
        <v>98</v>
      </c>
      <c r="E21">
        <v>-2</v>
      </c>
      <c r="F21">
        <v>-86</v>
      </c>
      <c r="I21">
        <f t="shared" si="2"/>
        <v>95</v>
      </c>
      <c r="K21">
        <f t="shared" si="3"/>
        <v>95</v>
      </c>
      <c r="L21">
        <f t="shared" si="1"/>
        <v>282</v>
      </c>
      <c r="M21">
        <v>1213</v>
      </c>
      <c r="N21">
        <f t="shared" si="4"/>
        <v>-931</v>
      </c>
    </row>
    <row r="22" spans="2:14">
      <c r="B22" t="str">
        <f>+B11</f>
        <v>FH4</v>
      </c>
      <c r="C22">
        <v>87</v>
      </c>
      <c r="D22">
        <v>88</v>
      </c>
      <c r="E22">
        <v>-5</v>
      </c>
      <c r="F22">
        <f>-91+5</f>
        <v>-86</v>
      </c>
      <c r="I22">
        <f t="shared" si="2"/>
        <v>84</v>
      </c>
      <c r="K22">
        <f t="shared" si="3"/>
        <v>84</v>
      </c>
      <c r="L22">
        <f t="shared" si="1"/>
        <v>84</v>
      </c>
      <c r="M22">
        <v>84</v>
      </c>
      <c r="N22">
        <f t="shared" si="4"/>
        <v>0</v>
      </c>
    </row>
    <row r="23" spans="2:14">
      <c r="B23" t="str">
        <f>+B12</f>
        <v>FH5</v>
      </c>
      <c r="C23">
        <v>84</v>
      </c>
      <c r="D23">
        <v>6</v>
      </c>
      <c r="E23">
        <v>-1</v>
      </c>
      <c r="F23">
        <v>-5</v>
      </c>
      <c r="I23">
        <f t="shared" si="2"/>
        <v>84</v>
      </c>
      <c r="K23">
        <f t="shared" si="3"/>
        <v>84</v>
      </c>
      <c r="L23">
        <f t="shared" si="1"/>
        <v>1027</v>
      </c>
      <c r="M23">
        <v>1026</v>
      </c>
      <c r="N23">
        <f t="shared" si="4"/>
        <v>1</v>
      </c>
    </row>
    <row r="24" spans="2:14">
      <c r="B24" t="s">
        <v>177</v>
      </c>
      <c r="C24">
        <v>0</v>
      </c>
      <c r="D24">
        <v>4</v>
      </c>
      <c r="E24">
        <v>-1</v>
      </c>
      <c r="F24">
        <v>-3</v>
      </c>
      <c r="I24">
        <f t="shared" si="2"/>
        <v>0</v>
      </c>
      <c r="K24">
        <f t="shared" si="3"/>
        <v>0</v>
      </c>
      <c r="L24">
        <f t="shared" si="1"/>
        <v>0</v>
      </c>
      <c r="N24">
        <f t="shared" si="4"/>
        <v>0</v>
      </c>
    </row>
    <row r="25" spans="2:14">
      <c r="B25" t="s">
        <v>2203</v>
      </c>
      <c r="C25">
        <v>341</v>
      </c>
      <c r="D25">
        <v>431</v>
      </c>
      <c r="E25">
        <v>-4</v>
      </c>
      <c r="F25">
        <v>-408</v>
      </c>
      <c r="I25">
        <f t="shared" si="2"/>
        <v>360</v>
      </c>
      <c r="K25">
        <f t="shared" si="3"/>
        <v>360</v>
      </c>
      <c r="L25">
        <f>+I25</f>
        <v>360</v>
      </c>
      <c r="M25">
        <v>362</v>
      </c>
      <c r="N25">
        <f t="shared" si="4"/>
        <v>-2</v>
      </c>
    </row>
    <row r="26" spans="2:14">
      <c r="B26" t="s">
        <v>2204</v>
      </c>
      <c r="C26">
        <v>215</v>
      </c>
      <c r="D26">
        <v>102</v>
      </c>
      <c r="E26">
        <v>-2</v>
      </c>
      <c r="F26">
        <v>-107</v>
      </c>
      <c r="I26">
        <f t="shared" si="2"/>
        <v>208</v>
      </c>
      <c r="K26">
        <f t="shared" si="3"/>
        <v>208</v>
      </c>
      <c r="L26">
        <f>+I26</f>
        <v>208</v>
      </c>
      <c r="M26">
        <f>405-202</f>
        <v>203</v>
      </c>
      <c r="N26">
        <f t="shared" si="4"/>
        <v>5</v>
      </c>
    </row>
    <row r="27" spans="2:14">
      <c r="B27" t="s">
        <v>2205</v>
      </c>
      <c r="C27">
        <v>289</v>
      </c>
      <c r="D27">
        <v>262</v>
      </c>
      <c r="E27">
        <v>-1</v>
      </c>
      <c r="F27">
        <v>-153</v>
      </c>
      <c r="I27">
        <f t="shared" si="2"/>
        <v>397</v>
      </c>
      <c r="K27">
        <f t="shared" si="3"/>
        <v>397</v>
      </c>
      <c r="L27">
        <f>+I27</f>
        <v>397</v>
      </c>
      <c r="M27">
        <v>398</v>
      </c>
      <c r="N27">
        <f t="shared" si="4"/>
        <v>-1</v>
      </c>
    </row>
    <row r="28" spans="2:14">
      <c r="B28" t="s">
        <v>2206</v>
      </c>
      <c r="C28">
        <v>309</v>
      </c>
      <c r="D28">
        <v>73</v>
      </c>
      <c r="E28">
        <v>-2</v>
      </c>
      <c r="F28">
        <v>-156</v>
      </c>
      <c r="I28">
        <f t="shared" si="2"/>
        <v>224</v>
      </c>
      <c r="K28">
        <f t="shared" si="3"/>
        <v>224</v>
      </c>
      <c r="L28">
        <f>+I28</f>
        <v>224</v>
      </c>
      <c r="M28">
        <v>225</v>
      </c>
      <c r="N28">
        <f t="shared" si="4"/>
        <v>-1</v>
      </c>
    </row>
    <row r="29" spans="2:14">
      <c r="B29" t="s">
        <v>2207</v>
      </c>
      <c r="C29">
        <v>397</v>
      </c>
      <c r="D29">
        <v>10</v>
      </c>
      <c r="E29">
        <v>-1</v>
      </c>
      <c r="F29">
        <v>-9</v>
      </c>
      <c r="I29">
        <f t="shared" si="2"/>
        <v>397</v>
      </c>
      <c r="K29">
        <f t="shared" si="3"/>
        <v>397</v>
      </c>
      <c r="L29">
        <f>+I29</f>
        <v>397</v>
      </c>
      <c r="M29">
        <v>398</v>
      </c>
      <c r="N29">
        <f t="shared" si="4"/>
        <v>-1</v>
      </c>
    </row>
    <row r="30" spans="2:14">
      <c r="B30" t="s">
        <v>2208</v>
      </c>
      <c r="C30">
        <v>7</v>
      </c>
      <c r="D30">
        <f>39-4</f>
        <v>35</v>
      </c>
      <c r="E30">
        <v>-1</v>
      </c>
      <c r="F30">
        <v>-35</v>
      </c>
      <c r="I30">
        <f t="shared" si="2"/>
        <v>6</v>
      </c>
      <c r="K30">
        <f t="shared" si="3"/>
        <v>6</v>
      </c>
      <c r="L30">
        <f>+K30</f>
        <v>6</v>
      </c>
      <c r="M30">
        <f>13-7</f>
        <v>6</v>
      </c>
      <c r="N30">
        <f t="shared" si="4"/>
        <v>0</v>
      </c>
    </row>
    <row r="31" spans="2:14">
      <c r="B31" t="str">
        <f>+B14</f>
        <v>Total</v>
      </c>
      <c r="I31">
        <f t="shared" si="2"/>
        <v>0</v>
      </c>
      <c r="K31">
        <f t="shared" si="3"/>
        <v>0</v>
      </c>
      <c r="N31">
        <f>SUM(N19:N30)</f>
        <v>-2582</v>
      </c>
    </row>
    <row r="32" spans="2:14">
      <c r="B32">
        <f>+B15</f>
        <v>0</v>
      </c>
      <c r="I32">
        <f t="shared" si="2"/>
        <v>0</v>
      </c>
      <c r="K32">
        <f t="shared" si="3"/>
        <v>0</v>
      </c>
    </row>
    <row r="33" spans="9:11">
      <c r="I33">
        <f t="shared" si="2"/>
        <v>0</v>
      </c>
      <c r="K33">
        <f t="shared" si="3"/>
        <v>0</v>
      </c>
    </row>
    <row r="34" spans="9:11">
      <c r="I34">
        <f t="shared" si="2"/>
        <v>0</v>
      </c>
      <c r="K34">
        <f t="shared" si="3"/>
        <v>0</v>
      </c>
    </row>
    <row r="35" spans="9:11">
      <c r="I35">
        <f t="shared" si="2"/>
        <v>0</v>
      </c>
      <c r="K35">
        <f t="shared" si="3"/>
        <v>0</v>
      </c>
    </row>
    <row r="36" spans="9:11">
      <c r="I36">
        <f t="shared" si="2"/>
        <v>0</v>
      </c>
      <c r="K36">
        <f t="shared" si="3"/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76"/>
  <dimension ref="B1:L49"/>
  <sheetViews>
    <sheetView workbookViewId="0">
      <selection activeCell="B15" sqref="B15"/>
    </sheetView>
  </sheetViews>
  <sheetFormatPr defaultRowHeight="13.15"/>
  <sheetData>
    <row r="1" spans="2:12">
      <c r="B1" t="s">
        <v>221</v>
      </c>
      <c r="C1" t="s">
        <v>212</v>
      </c>
      <c r="D1" t="s">
        <v>2174</v>
      </c>
      <c r="E1" t="s">
        <v>2209</v>
      </c>
      <c r="F1" t="s">
        <v>229</v>
      </c>
      <c r="G1" t="s">
        <v>169</v>
      </c>
      <c r="H1" t="s">
        <v>2175</v>
      </c>
      <c r="I1" t="s">
        <v>216</v>
      </c>
      <c r="J1" t="s">
        <v>2210</v>
      </c>
      <c r="K1" t="s">
        <v>422</v>
      </c>
    </row>
    <row r="2" spans="2:12">
      <c r="B2">
        <v>5625</v>
      </c>
      <c r="G2">
        <v>-3</v>
      </c>
      <c r="K2">
        <f>SUM(B2:J2)</f>
        <v>5622</v>
      </c>
      <c r="L2">
        <v>5621</v>
      </c>
    </row>
    <row r="3" spans="2:12">
      <c r="B3">
        <f>+K2</f>
        <v>5622</v>
      </c>
      <c r="C3">
        <v>459</v>
      </c>
      <c r="G3">
        <v>-2</v>
      </c>
      <c r="K3">
        <f t="shared" ref="K3:K41" si="0">SUM(B3:J3)</f>
        <v>6079</v>
      </c>
    </row>
    <row r="4" spans="2:12">
      <c r="B4">
        <f t="shared" ref="B4:B49" si="1">+K3</f>
        <v>6079</v>
      </c>
      <c r="G4">
        <v>-2</v>
      </c>
      <c r="H4">
        <v>-3</v>
      </c>
      <c r="K4">
        <f t="shared" si="0"/>
        <v>6074</v>
      </c>
    </row>
    <row r="5" spans="2:12">
      <c r="B5">
        <f t="shared" si="1"/>
        <v>6074</v>
      </c>
      <c r="J5">
        <v>-288</v>
      </c>
      <c r="K5">
        <f t="shared" si="0"/>
        <v>5786</v>
      </c>
    </row>
    <row r="6" spans="2:12">
      <c r="B6">
        <f t="shared" si="1"/>
        <v>5786</v>
      </c>
      <c r="J6">
        <v>-176</v>
      </c>
      <c r="K6">
        <f t="shared" si="0"/>
        <v>5610</v>
      </c>
    </row>
    <row r="7" spans="2:12">
      <c r="B7">
        <f t="shared" si="1"/>
        <v>5610</v>
      </c>
      <c r="G7">
        <v>-4</v>
      </c>
      <c r="K7">
        <f t="shared" si="0"/>
        <v>5606</v>
      </c>
    </row>
    <row r="8" spans="2:12">
      <c r="B8">
        <f t="shared" si="1"/>
        <v>5606</v>
      </c>
      <c r="G8">
        <v>-3</v>
      </c>
      <c r="K8">
        <f t="shared" si="0"/>
        <v>5603</v>
      </c>
    </row>
    <row r="9" spans="2:12">
      <c r="B9">
        <f t="shared" si="1"/>
        <v>5603</v>
      </c>
      <c r="G9">
        <v>-3</v>
      </c>
      <c r="K9">
        <f t="shared" si="0"/>
        <v>5600</v>
      </c>
    </row>
    <row r="10" spans="2:12">
      <c r="B10">
        <f t="shared" si="1"/>
        <v>5600</v>
      </c>
      <c r="G10">
        <v>-3</v>
      </c>
      <c r="K10">
        <f t="shared" si="0"/>
        <v>5597</v>
      </c>
    </row>
    <row r="11" spans="2:12">
      <c r="B11">
        <f t="shared" si="1"/>
        <v>5597</v>
      </c>
      <c r="C11">
        <v>475</v>
      </c>
      <c r="K11">
        <f t="shared" si="0"/>
        <v>6072</v>
      </c>
    </row>
    <row r="12" spans="2:12">
      <c r="B12">
        <f t="shared" si="1"/>
        <v>6072</v>
      </c>
      <c r="G12">
        <v>-3</v>
      </c>
      <c r="K12">
        <f t="shared" si="0"/>
        <v>6069</v>
      </c>
    </row>
    <row r="13" spans="2:12">
      <c r="B13">
        <f t="shared" si="1"/>
        <v>6069</v>
      </c>
      <c r="G13">
        <v>-2</v>
      </c>
      <c r="H13">
        <v>-2</v>
      </c>
      <c r="K13">
        <f t="shared" si="0"/>
        <v>6065</v>
      </c>
    </row>
    <row r="14" spans="2:12">
      <c r="B14">
        <f t="shared" si="1"/>
        <v>6065</v>
      </c>
      <c r="G14">
        <v>-1</v>
      </c>
      <c r="J14">
        <v>-290</v>
      </c>
      <c r="K14">
        <f t="shared" si="0"/>
        <v>5774</v>
      </c>
    </row>
    <row r="15" spans="2:12">
      <c r="B15">
        <f t="shared" si="1"/>
        <v>5774</v>
      </c>
      <c r="J15">
        <v>-170</v>
      </c>
      <c r="K15">
        <f t="shared" si="0"/>
        <v>5604</v>
      </c>
    </row>
    <row r="16" spans="2:12">
      <c r="B16">
        <f t="shared" si="1"/>
        <v>5604</v>
      </c>
      <c r="G16">
        <v>-3</v>
      </c>
      <c r="K16">
        <f t="shared" si="0"/>
        <v>5601</v>
      </c>
    </row>
    <row r="17" spans="2:11">
      <c r="B17">
        <f t="shared" si="1"/>
        <v>5601</v>
      </c>
      <c r="G17">
        <v>-2</v>
      </c>
      <c r="K17">
        <f t="shared" si="0"/>
        <v>5599</v>
      </c>
    </row>
    <row r="18" spans="2:11">
      <c r="B18">
        <f t="shared" si="1"/>
        <v>5599</v>
      </c>
      <c r="G18">
        <v>-3</v>
      </c>
      <c r="K18">
        <f t="shared" si="0"/>
        <v>5596</v>
      </c>
    </row>
    <row r="19" spans="2:11">
      <c r="B19">
        <f t="shared" si="1"/>
        <v>5596</v>
      </c>
      <c r="G19" t="s">
        <v>2211</v>
      </c>
      <c r="K19">
        <f t="shared" si="0"/>
        <v>5596</v>
      </c>
    </row>
    <row r="20" spans="2:11">
      <c r="B20">
        <f t="shared" si="1"/>
        <v>5596</v>
      </c>
      <c r="G20">
        <v>-2</v>
      </c>
      <c r="K20">
        <f t="shared" si="0"/>
        <v>5594</v>
      </c>
    </row>
    <row r="21" spans="2:11">
      <c r="B21">
        <f t="shared" si="1"/>
        <v>5594</v>
      </c>
      <c r="G21">
        <v>-1</v>
      </c>
      <c r="K21">
        <f t="shared" si="0"/>
        <v>5593</v>
      </c>
    </row>
    <row r="22" spans="2:11">
      <c r="B22">
        <f t="shared" si="1"/>
        <v>5593</v>
      </c>
      <c r="G22">
        <v>-3</v>
      </c>
      <c r="K22">
        <f t="shared" si="0"/>
        <v>5590</v>
      </c>
    </row>
    <row r="23" spans="2:11">
      <c r="B23">
        <f t="shared" si="1"/>
        <v>5590</v>
      </c>
      <c r="G23">
        <v>-2</v>
      </c>
      <c r="K23">
        <f t="shared" si="0"/>
        <v>5588</v>
      </c>
    </row>
    <row r="24" spans="2:11">
      <c r="B24">
        <f t="shared" si="1"/>
        <v>5588</v>
      </c>
      <c r="J24">
        <v>-75</v>
      </c>
      <c r="K24">
        <f t="shared" si="0"/>
        <v>5513</v>
      </c>
    </row>
    <row r="25" spans="2:11">
      <c r="B25">
        <f t="shared" si="1"/>
        <v>5513</v>
      </c>
      <c r="G25">
        <v>-1</v>
      </c>
      <c r="K25">
        <f t="shared" si="0"/>
        <v>5512</v>
      </c>
    </row>
    <row r="26" spans="2:11">
      <c r="B26">
        <f t="shared" si="1"/>
        <v>5512</v>
      </c>
      <c r="G26">
        <v>-3</v>
      </c>
      <c r="K26">
        <f t="shared" si="0"/>
        <v>5509</v>
      </c>
    </row>
    <row r="27" spans="2:11">
      <c r="B27">
        <f t="shared" si="1"/>
        <v>5509</v>
      </c>
      <c r="C27">
        <v>479</v>
      </c>
      <c r="G27">
        <v>-1</v>
      </c>
      <c r="K27">
        <f t="shared" si="0"/>
        <v>5987</v>
      </c>
    </row>
    <row r="28" spans="2:11">
      <c r="B28">
        <f t="shared" si="1"/>
        <v>5987</v>
      </c>
      <c r="F28" t="s">
        <v>138</v>
      </c>
      <c r="J28">
        <v>-215</v>
      </c>
      <c r="K28">
        <f t="shared" si="0"/>
        <v>5772</v>
      </c>
    </row>
    <row r="29" spans="2:11">
      <c r="B29">
        <f t="shared" si="1"/>
        <v>5772</v>
      </c>
      <c r="F29">
        <v>-2</v>
      </c>
      <c r="K29">
        <f t="shared" si="0"/>
        <v>5770</v>
      </c>
    </row>
    <row r="30" spans="2:11">
      <c r="B30">
        <f t="shared" si="1"/>
        <v>5770</v>
      </c>
      <c r="G30">
        <v>-1</v>
      </c>
      <c r="J30">
        <f>-149</f>
        <v>-149</v>
      </c>
      <c r="K30">
        <f t="shared" si="0"/>
        <v>5620</v>
      </c>
    </row>
    <row r="31" spans="2:11">
      <c r="B31">
        <f t="shared" si="1"/>
        <v>5620</v>
      </c>
      <c r="G31">
        <v>-2</v>
      </c>
      <c r="K31">
        <f t="shared" si="0"/>
        <v>5618</v>
      </c>
    </row>
    <row r="32" spans="2:11">
      <c r="B32">
        <f t="shared" si="1"/>
        <v>5618</v>
      </c>
      <c r="G32">
        <v>-3</v>
      </c>
      <c r="J32">
        <v>-100</v>
      </c>
      <c r="K32">
        <f t="shared" si="0"/>
        <v>5515</v>
      </c>
    </row>
    <row r="33" spans="2:11">
      <c r="B33">
        <f t="shared" si="1"/>
        <v>5515</v>
      </c>
      <c r="G33">
        <v>-4</v>
      </c>
      <c r="K33">
        <f t="shared" si="0"/>
        <v>5511</v>
      </c>
    </row>
    <row r="34" spans="2:11">
      <c r="B34">
        <f t="shared" si="1"/>
        <v>5511</v>
      </c>
      <c r="J34">
        <v>-100</v>
      </c>
      <c r="K34">
        <f t="shared" si="0"/>
        <v>5411</v>
      </c>
    </row>
    <row r="35" spans="2:11">
      <c r="B35">
        <f t="shared" si="1"/>
        <v>5411</v>
      </c>
      <c r="D35">
        <v>-3</v>
      </c>
      <c r="F35">
        <v>-2</v>
      </c>
      <c r="G35">
        <v>-3</v>
      </c>
      <c r="K35">
        <f t="shared" si="0"/>
        <v>5403</v>
      </c>
    </row>
    <row r="36" spans="2:11">
      <c r="B36">
        <f t="shared" si="1"/>
        <v>5403</v>
      </c>
      <c r="J36">
        <v>-1</v>
      </c>
      <c r="K36">
        <f t="shared" si="0"/>
        <v>5402</v>
      </c>
    </row>
    <row r="37" spans="2:11">
      <c r="B37">
        <f t="shared" si="1"/>
        <v>5402</v>
      </c>
      <c r="G37">
        <v>-3</v>
      </c>
      <c r="K37">
        <f t="shared" si="0"/>
        <v>5399</v>
      </c>
    </row>
    <row r="38" spans="2:11">
      <c r="B38">
        <f t="shared" si="1"/>
        <v>5399</v>
      </c>
      <c r="J38">
        <v>-282</v>
      </c>
      <c r="K38">
        <f t="shared" si="0"/>
        <v>5117</v>
      </c>
    </row>
    <row r="39" spans="2:11">
      <c r="B39">
        <f t="shared" si="1"/>
        <v>5117</v>
      </c>
      <c r="D39">
        <v>-3</v>
      </c>
      <c r="G39">
        <v>-7</v>
      </c>
      <c r="K39">
        <f t="shared" si="0"/>
        <v>5107</v>
      </c>
    </row>
    <row r="40" spans="2:11">
      <c r="B40">
        <f t="shared" si="1"/>
        <v>5107</v>
      </c>
      <c r="C40">
        <v>476</v>
      </c>
      <c r="G40">
        <v>2</v>
      </c>
      <c r="K40">
        <f t="shared" si="0"/>
        <v>5585</v>
      </c>
    </row>
    <row r="41" spans="2:11">
      <c r="B41" t="s">
        <v>138</v>
      </c>
      <c r="C41" t="s">
        <v>138</v>
      </c>
      <c r="K41">
        <f t="shared" si="0"/>
        <v>0</v>
      </c>
    </row>
    <row r="42" spans="2:11">
      <c r="B42">
        <f>+B2</f>
        <v>5625</v>
      </c>
      <c r="C42">
        <f>SUM(C2:C41)</f>
        <v>1889</v>
      </c>
      <c r="D42">
        <f t="shared" ref="D42:J42" si="2">SUM(D2:D41)</f>
        <v>-6</v>
      </c>
      <c r="E42">
        <f t="shared" si="2"/>
        <v>0</v>
      </c>
      <c r="F42">
        <f t="shared" si="2"/>
        <v>-4</v>
      </c>
      <c r="G42">
        <f t="shared" si="2"/>
        <v>-68</v>
      </c>
      <c r="H42">
        <f t="shared" si="2"/>
        <v>-5</v>
      </c>
      <c r="I42">
        <f t="shared" si="2"/>
        <v>0</v>
      </c>
      <c r="J42">
        <f t="shared" si="2"/>
        <v>-1846</v>
      </c>
      <c r="K42">
        <f>SUM(B42:J42)</f>
        <v>5585</v>
      </c>
    </row>
    <row r="43" spans="2:11">
      <c r="B43" t="s">
        <v>138</v>
      </c>
    </row>
    <row r="44" spans="2:11">
      <c r="B44">
        <f t="shared" si="1"/>
        <v>0</v>
      </c>
    </row>
    <row r="45" spans="2:11">
      <c r="B45">
        <f t="shared" si="1"/>
        <v>0</v>
      </c>
    </row>
    <row r="46" spans="2:11">
      <c r="B46">
        <f t="shared" si="1"/>
        <v>0</v>
      </c>
    </row>
    <row r="47" spans="2:11">
      <c r="B47">
        <f t="shared" si="1"/>
        <v>0</v>
      </c>
    </row>
    <row r="48" spans="2:11">
      <c r="B48">
        <f t="shared" si="1"/>
        <v>0</v>
      </c>
    </row>
    <row r="49" spans="2:2">
      <c r="B49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77"/>
  <dimension ref="A1:U63"/>
  <sheetViews>
    <sheetView view="pageBreakPreview" workbookViewId="0">
      <pane xSplit="1" topLeftCell="B1" activePane="topRight" state="frozen"/>
      <selection pane="topRight" activeCell="A26" sqref="A26:B27"/>
    </sheetView>
  </sheetViews>
  <sheetFormatPr defaultRowHeight="13.15"/>
  <cols>
    <col min="1" max="1" width="32.5703125" bestFit="1" customWidth="1"/>
    <col min="2" max="2" width="20.42578125" customWidth="1"/>
    <col min="3" max="3" width="16.5703125" bestFit="1" customWidth="1"/>
    <col min="4" max="4" width="16.42578125" customWidth="1"/>
    <col min="5" max="6" width="16" bestFit="1" customWidth="1"/>
    <col min="7" max="7" width="17.85546875" customWidth="1"/>
    <col min="8" max="8" width="15.42578125" bestFit="1" customWidth="1"/>
    <col min="9" max="9" width="18" bestFit="1" customWidth="1"/>
    <col min="10" max="10" width="11.140625" customWidth="1"/>
    <col min="11" max="11" width="17.28515625" bestFit="1" customWidth="1"/>
    <col min="12" max="12" width="25.42578125" customWidth="1"/>
    <col min="13" max="13" width="19.140625" customWidth="1"/>
    <col min="14" max="14" width="19.42578125" bestFit="1" customWidth="1"/>
    <col min="15" max="15" width="19.85546875" customWidth="1"/>
    <col min="16" max="16" width="17.28515625" customWidth="1"/>
    <col min="17" max="17" width="19.7109375" customWidth="1"/>
    <col min="18" max="18" width="12.42578125" bestFit="1" customWidth="1"/>
    <col min="19" max="19" width="2" bestFit="1" customWidth="1"/>
    <col min="21" max="21" width="13.42578125" bestFit="1" customWidth="1"/>
  </cols>
  <sheetData>
    <row r="1" spans="1:17" s="1" customFormat="1">
      <c r="A1" s="1" t="s">
        <v>81</v>
      </c>
    </row>
    <row r="2" spans="1:17" s="1" customFormat="1"/>
    <row r="3" spans="1:17" s="1" customFormat="1">
      <c r="A3" s="1" t="s">
        <v>2212</v>
      </c>
    </row>
    <row r="4" spans="1:17" s="1" customFormat="1"/>
    <row r="5" spans="1:17" s="1" customFormat="1">
      <c r="A5" s="1" t="s">
        <v>83</v>
      </c>
    </row>
    <row r="6" spans="1:17" s="1" customFormat="1"/>
    <row r="7" spans="1:17" s="1" customFormat="1"/>
    <row r="8" spans="1:17" s="1" customFormat="1"/>
    <row r="9" spans="1:17" s="1" customFormat="1"/>
    <row r="10" spans="1:17" s="1" customFormat="1">
      <c r="A10" s="1" t="s">
        <v>86</v>
      </c>
      <c r="B10" s="17" t="s">
        <v>85</v>
      </c>
      <c r="C10" s="17"/>
    </row>
    <row r="11" spans="1:17" s="1" customFormat="1" ht="13.9" thickBot="1"/>
    <row r="12" spans="1:17" s="1" customFormat="1" ht="13.9" thickBot="1">
      <c r="A12" s="3" t="s">
        <v>87</v>
      </c>
      <c r="B12" s="29" t="s">
        <v>89</v>
      </c>
      <c r="C12" s="4" t="s">
        <v>91</v>
      </c>
      <c r="D12" s="4" t="s">
        <v>430</v>
      </c>
      <c r="E12" s="4" t="s">
        <v>431</v>
      </c>
      <c r="F12" s="4" t="s">
        <v>332</v>
      </c>
      <c r="G12" s="4" t="s">
        <v>115</v>
      </c>
      <c r="H12" s="4" t="s">
        <v>101</v>
      </c>
      <c r="I12" s="4" t="s">
        <v>102</v>
      </c>
      <c r="J12" s="5" t="s">
        <v>104</v>
      </c>
    </row>
    <row r="13" spans="1:17" ht="15">
      <c r="A13" s="25" t="s">
        <v>445</v>
      </c>
      <c r="B13" s="30">
        <v>1</v>
      </c>
      <c r="C13" s="26">
        <v>3</v>
      </c>
      <c r="D13" s="26"/>
      <c r="E13" s="26"/>
      <c r="F13" s="26"/>
      <c r="G13" s="27">
        <f t="shared" ref="G13:G18" si="0">SUM(B13:F13)</f>
        <v>4</v>
      </c>
      <c r="H13" s="26"/>
      <c r="I13" s="26">
        <v>-2</v>
      </c>
      <c r="J13" s="28">
        <f t="shared" ref="J13:J18" si="1">SUM(G13:I13)</f>
        <v>2</v>
      </c>
      <c r="O13" s="22"/>
      <c r="Q13" s="22"/>
    </row>
    <row r="14" spans="1:17" s="2" customFormat="1" ht="15">
      <c r="A14" s="25" t="s">
        <v>447</v>
      </c>
      <c r="B14" s="30">
        <v>37</v>
      </c>
      <c r="C14" s="2240"/>
      <c r="D14" s="2240">
        <v>4</v>
      </c>
      <c r="E14" s="2240"/>
      <c r="F14" s="2240">
        <v>-1</v>
      </c>
      <c r="G14" s="27">
        <f t="shared" si="0"/>
        <v>40</v>
      </c>
      <c r="H14" s="2240"/>
      <c r="I14" s="2240">
        <v>0</v>
      </c>
      <c r="J14" s="28">
        <f t="shared" si="1"/>
        <v>40</v>
      </c>
      <c r="K14" s="300"/>
      <c r="L14" s="300"/>
      <c r="M14" s="300"/>
      <c r="N14" s="300"/>
      <c r="O14" s="22"/>
      <c r="P14" s="300"/>
      <c r="Q14" s="22"/>
    </row>
    <row r="15" spans="1:17" s="2" customFormat="1" ht="15">
      <c r="A15" s="25" t="s">
        <v>444</v>
      </c>
      <c r="B15" s="30">
        <v>75</v>
      </c>
      <c r="C15" s="2240"/>
      <c r="D15" s="2240"/>
      <c r="E15" s="2240"/>
      <c r="F15" s="2240"/>
      <c r="G15" s="27">
        <f t="shared" si="0"/>
        <v>75</v>
      </c>
      <c r="H15" s="2240"/>
      <c r="I15" s="2240">
        <v>-3</v>
      </c>
      <c r="J15" s="28">
        <f t="shared" si="1"/>
        <v>72</v>
      </c>
      <c r="K15" s="300"/>
      <c r="L15" s="300"/>
      <c r="M15" s="300"/>
      <c r="N15" s="300"/>
      <c r="O15" s="22"/>
      <c r="P15" s="300"/>
      <c r="Q15" s="22"/>
    </row>
    <row r="16" spans="1:17" s="2" customFormat="1" ht="15">
      <c r="A16" s="25" t="s">
        <v>439</v>
      </c>
      <c r="B16" s="30">
        <v>16</v>
      </c>
      <c r="C16" s="2240"/>
      <c r="D16" s="2240"/>
      <c r="E16" s="2240"/>
      <c r="F16" s="2240"/>
      <c r="G16" s="27">
        <f t="shared" si="0"/>
        <v>16</v>
      </c>
      <c r="H16" s="2240">
        <v>0</v>
      </c>
      <c r="I16" s="2240"/>
      <c r="J16" s="28">
        <f t="shared" si="1"/>
        <v>16</v>
      </c>
      <c r="K16" s="300"/>
      <c r="L16" s="300"/>
      <c r="M16" s="300"/>
      <c r="N16" s="300"/>
      <c r="O16" s="22"/>
      <c r="P16" s="300"/>
      <c r="Q16" s="22"/>
    </row>
    <row r="17" spans="1:21" s="2" customFormat="1" ht="15">
      <c r="A17" s="25" t="s">
        <v>448</v>
      </c>
      <c r="B17" s="30">
        <v>13</v>
      </c>
      <c r="C17" s="2240"/>
      <c r="D17" s="2240"/>
      <c r="E17" s="2240"/>
      <c r="F17" s="2240"/>
      <c r="G17" s="27">
        <f t="shared" si="0"/>
        <v>13</v>
      </c>
      <c r="H17" s="2240"/>
      <c r="I17" s="2240"/>
      <c r="J17" s="28">
        <f t="shared" si="1"/>
        <v>13</v>
      </c>
      <c r="K17" s="300"/>
      <c r="L17" s="300"/>
      <c r="M17" s="300"/>
      <c r="N17" s="300"/>
      <c r="O17" s="22"/>
      <c r="P17" s="300"/>
      <c r="Q17" s="22"/>
      <c r="R17" s="300"/>
      <c r="S17" s="300"/>
      <c r="T17" s="300"/>
      <c r="U17" s="300"/>
    </row>
    <row r="18" spans="1:21" s="2" customFormat="1" ht="15">
      <c r="A18" s="25" t="s">
        <v>449</v>
      </c>
      <c r="B18" s="30">
        <v>6</v>
      </c>
      <c r="C18" s="2240"/>
      <c r="D18" s="2240"/>
      <c r="E18" s="2240"/>
      <c r="F18" s="2240"/>
      <c r="G18" s="27">
        <f t="shared" si="0"/>
        <v>6</v>
      </c>
      <c r="H18" s="2240">
        <v>-3</v>
      </c>
      <c r="I18" s="2240"/>
      <c r="J18" s="28">
        <f t="shared" si="1"/>
        <v>3</v>
      </c>
      <c r="K18" s="300"/>
      <c r="L18" s="300"/>
      <c r="M18" s="300"/>
      <c r="N18" s="300"/>
      <c r="O18" s="22"/>
      <c r="P18" s="300"/>
      <c r="Q18" s="300"/>
      <c r="R18" s="300"/>
      <c r="S18" s="300"/>
      <c r="T18" s="300"/>
      <c r="U18" s="300"/>
    </row>
    <row r="19" spans="1:21" s="2" customFormat="1" ht="13.9" thickBot="1">
      <c r="A19" s="2174"/>
      <c r="B19" s="2241">
        <v>0</v>
      </c>
      <c r="C19" s="2241"/>
      <c r="D19" s="2241"/>
      <c r="E19" s="2241"/>
      <c r="F19" s="2241"/>
      <c r="G19" s="21"/>
      <c r="H19" s="2241"/>
      <c r="I19" s="2241"/>
      <c r="J19" s="2242">
        <f>SUM(B19:H19)</f>
        <v>0</v>
      </c>
      <c r="K19" s="300"/>
      <c r="L19" s="300"/>
      <c r="M19" s="300"/>
      <c r="N19" s="300"/>
      <c r="O19" s="300"/>
      <c r="P19" s="300"/>
      <c r="Q19" s="300"/>
      <c r="R19" s="300"/>
      <c r="S19" s="300"/>
      <c r="T19" s="300"/>
      <c r="U19" s="300"/>
    </row>
    <row r="20" spans="1:21" s="1" customFormat="1" ht="13.9" thickBot="1">
      <c r="A20" s="3" t="s">
        <v>115</v>
      </c>
      <c r="B20" s="18">
        <f t="shared" ref="B20:I20" si="2">SUM(B13:B19)</f>
        <v>148</v>
      </c>
      <c r="C20" s="18">
        <f>SUM(C13:C19)</f>
        <v>3</v>
      </c>
      <c r="D20" s="10">
        <f t="shared" si="2"/>
        <v>4</v>
      </c>
      <c r="E20" s="10">
        <f t="shared" si="2"/>
        <v>0</v>
      </c>
      <c r="F20" s="10">
        <f t="shared" si="2"/>
        <v>-1</v>
      </c>
      <c r="G20" s="10">
        <f t="shared" si="2"/>
        <v>154</v>
      </c>
      <c r="H20" s="10">
        <f t="shared" si="2"/>
        <v>-3</v>
      </c>
      <c r="I20" s="10">
        <f t="shared" si="2"/>
        <v>-5</v>
      </c>
      <c r="J20" s="11">
        <f>SUM(J13:J19)</f>
        <v>146</v>
      </c>
    </row>
    <row r="21" spans="1:21" s="2" customFormat="1">
      <c r="A21" s="300"/>
      <c r="B21" s="303">
        <f>B20-[112]CATTLE!$L$20</f>
        <v>0</v>
      </c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</row>
    <row r="22" spans="1:21" s="1" customFormat="1"/>
    <row r="23" spans="1:21" s="1" customFormat="1"/>
    <row r="24" spans="1:21" s="1" customFormat="1">
      <c r="B24" s="32" t="s">
        <v>85</v>
      </c>
      <c r="C24" s="300"/>
      <c r="D24" s="300"/>
    </row>
    <row r="25" spans="1:21" s="1" customFormat="1" ht="13.9" thickBot="1"/>
    <row r="26" spans="1:21" s="14" customFormat="1" ht="40.15" thickBot="1">
      <c r="A26" s="12" t="s">
        <v>87</v>
      </c>
      <c r="B26" s="15" t="s">
        <v>89</v>
      </c>
      <c r="C26" s="16" t="s">
        <v>431</v>
      </c>
      <c r="D26" s="19" t="s">
        <v>91</v>
      </c>
      <c r="E26" s="15" t="s">
        <v>92</v>
      </c>
      <c r="F26" s="15" t="s">
        <v>93</v>
      </c>
      <c r="G26" s="15" t="s">
        <v>94</v>
      </c>
      <c r="H26" s="15" t="s">
        <v>95</v>
      </c>
      <c r="I26" s="15" t="s">
        <v>96</v>
      </c>
      <c r="J26" s="15" t="s">
        <v>97</v>
      </c>
      <c r="K26" s="15" t="s">
        <v>98</v>
      </c>
      <c r="L26" s="19" t="s">
        <v>99</v>
      </c>
      <c r="M26" s="19" t="s">
        <v>100</v>
      </c>
      <c r="N26" s="19" t="s">
        <v>101</v>
      </c>
      <c r="O26" s="19" t="s">
        <v>102</v>
      </c>
      <c r="P26" s="19" t="s">
        <v>103</v>
      </c>
      <c r="Q26" s="13" t="s">
        <v>104</v>
      </c>
    </row>
    <row r="27" spans="1:21" ht="15">
      <c r="A27" s="25" t="s">
        <v>445</v>
      </c>
      <c r="B27" s="7">
        <v>81254294.786940217</v>
      </c>
      <c r="C27" s="6"/>
      <c r="D27" s="6">
        <f>M32*C13</f>
        <v>27850504258.892395</v>
      </c>
      <c r="E27" s="7"/>
      <c r="F27" s="7"/>
      <c r="G27" s="7"/>
      <c r="H27" s="7"/>
      <c r="I27" s="7">
        <f>E48</f>
        <v>36986301369.863014</v>
      </c>
      <c r="J27" s="7"/>
      <c r="K27" s="7">
        <f t="shared" ref="K27:K32" si="3">K48</f>
        <v>17835020.845753424</v>
      </c>
      <c r="L27" s="20">
        <f t="shared" ref="L27:L32" si="4">SUM(B27:K27)</f>
        <v>64935894944.388107</v>
      </c>
      <c r="M27" s="20">
        <f>L27/G13</f>
        <v>16233973736.097027</v>
      </c>
      <c r="N27" s="20">
        <f>+M27*H13</f>
        <v>0</v>
      </c>
      <c r="O27" s="20">
        <f>+I13*M27</f>
        <v>-32467947472.194054</v>
      </c>
      <c r="P27" s="20">
        <f>'[5]Cattle June 07 Revised'!$F16</f>
        <v>9665669822.3264961</v>
      </c>
      <c r="Q27" s="8">
        <f t="shared" ref="Q27:Q32" si="5">L27+N27+O27+P27</f>
        <v>42133617294.520554</v>
      </c>
    </row>
    <row r="28" spans="1:21" s="2" customFormat="1" ht="15">
      <c r="A28" s="25" t="s">
        <v>447</v>
      </c>
      <c r="B28" s="1943">
        <v>268699532.64963508</v>
      </c>
      <c r="C28" s="2243"/>
      <c r="D28" s="2243"/>
      <c r="E28" s="1943"/>
      <c r="F28" s="1943"/>
      <c r="G28" s="1943"/>
      <c r="H28" s="1943"/>
      <c r="I28" s="1943">
        <f>+E49</f>
        <v>739726027397.26025</v>
      </c>
      <c r="J28" s="1943"/>
      <c r="K28" s="7">
        <f t="shared" si="3"/>
        <v>356700416.91506845</v>
      </c>
      <c r="L28" s="20">
        <f t="shared" si="4"/>
        <v>740351427346.82495</v>
      </c>
      <c r="M28" s="20">
        <f>L28/G14</f>
        <v>18508785683.670624</v>
      </c>
      <c r="N28" s="20">
        <f>M28*H14</f>
        <v>0</v>
      </c>
      <c r="O28" s="20"/>
      <c r="P28" s="20">
        <f>'[5]Cattle June 07 Revised'!$F17</f>
        <v>26702682242.216118</v>
      </c>
      <c r="Q28" s="8">
        <f t="shared" si="5"/>
        <v>767054109589.04102</v>
      </c>
      <c r="R28" s="300"/>
      <c r="S28" s="300"/>
      <c r="T28" s="300"/>
      <c r="U28" s="300"/>
    </row>
    <row r="29" spans="1:21" s="2" customFormat="1" ht="15">
      <c r="A29" s="25" t="s">
        <v>444</v>
      </c>
      <c r="B29" s="1943">
        <v>3560902357.0205169</v>
      </c>
      <c r="C29" s="2243"/>
      <c r="D29" s="2243"/>
      <c r="E29" s="1943"/>
      <c r="F29" s="1943"/>
      <c r="G29" s="1943"/>
      <c r="H29" s="1943"/>
      <c r="I29" s="1943">
        <f>+E50</f>
        <v>1331506849315.0684</v>
      </c>
      <c r="J29" s="1943"/>
      <c r="K29" s="7">
        <f t="shared" si="3"/>
        <v>642060750.44712329</v>
      </c>
      <c r="L29" s="20">
        <f t="shared" si="4"/>
        <v>1335709812422.5359</v>
      </c>
      <c r="M29" s="20">
        <f>L29/G15</f>
        <v>17809464165.633812</v>
      </c>
      <c r="N29" s="20" t="e">
        <f>M29*'Summary Total Pigs'!#REF!</f>
        <v>#REF!</v>
      </c>
      <c r="O29" s="20">
        <f>I15*M29</f>
        <v>-53428392496.901436</v>
      </c>
      <c r="P29" s="20">
        <f>'[5]Cattle June 07 Revised'!$F18</f>
        <v>196404081444.22833</v>
      </c>
      <c r="Q29" s="8" t="e">
        <f t="shared" si="5"/>
        <v>#REF!</v>
      </c>
      <c r="R29" s="300"/>
      <c r="S29" s="300"/>
      <c r="T29" s="300"/>
      <c r="U29" s="300"/>
    </row>
    <row r="30" spans="1:21" s="2" customFormat="1" ht="15">
      <c r="A30" s="25" t="s">
        <v>439</v>
      </c>
      <c r="B30" s="1943">
        <v>399386142.59104359</v>
      </c>
      <c r="C30" s="2243">
        <f>+C16*M28</f>
        <v>0</v>
      </c>
      <c r="D30" s="2243"/>
      <c r="E30" s="1943"/>
      <c r="F30" s="1943"/>
      <c r="G30" s="1943"/>
      <c r="H30" s="1943"/>
      <c r="I30" s="1943">
        <f>+E51</f>
        <v>295890410958.90411</v>
      </c>
      <c r="J30" s="1943"/>
      <c r="K30" s="7">
        <f t="shared" si="3"/>
        <v>142680166.76602739</v>
      </c>
      <c r="L30" s="20">
        <f t="shared" si="4"/>
        <v>296432477268.26123</v>
      </c>
      <c r="M30" s="20">
        <f>L30/G16</f>
        <v>18527029829.266327</v>
      </c>
      <c r="N30" s="20">
        <f>M30*H16</f>
        <v>0</v>
      </c>
      <c r="O30" s="20" t="e">
        <f>M30*'Summary Total Pigs'!#REF!</f>
        <v>#REF!</v>
      </c>
      <c r="P30" s="20">
        <f>'[5]Cattle June 07 Revised'!$F19</f>
        <v>21589166567.355259</v>
      </c>
      <c r="Q30" s="8" t="e">
        <f t="shared" si="5"/>
        <v>#REF!</v>
      </c>
      <c r="R30" s="300"/>
      <c r="S30" s="300"/>
      <c r="T30" s="300"/>
      <c r="U30" s="303"/>
    </row>
    <row r="31" spans="1:21" s="2" customFormat="1" ht="15">
      <c r="A31" s="25" t="s">
        <v>448</v>
      </c>
      <c r="B31" s="1943">
        <v>324501241.23022294</v>
      </c>
      <c r="C31" s="2243"/>
      <c r="D31" s="2243"/>
      <c r="E31" s="1943"/>
      <c r="F31" s="1943"/>
      <c r="G31" s="1943"/>
      <c r="H31" s="1943"/>
      <c r="I31" s="1943">
        <f>+E52</f>
        <v>240410958904.10959</v>
      </c>
      <c r="J31" s="1943"/>
      <c r="K31" s="7">
        <f t="shared" si="3"/>
        <v>115927635.49739726</v>
      </c>
      <c r="L31" s="20">
        <f t="shared" si="4"/>
        <v>240851387780.83722</v>
      </c>
      <c r="M31" s="20"/>
      <c r="N31" s="20" t="e">
        <f>M31*'Summary Total Pigs'!#REF!</f>
        <v>#REF!</v>
      </c>
      <c r="O31" s="20" t="e">
        <f>M31*'Summary Total Pigs'!#REF!</f>
        <v>#REF!</v>
      </c>
      <c r="P31" s="20">
        <f>'[5]Cattle June 07 Revised'!$F20</f>
        <v>17541197835.601147</v>
      </c>
      <c r="Q31" s="8" t="e">
        <f t="shared" si="5"/>
        <v>#REF!</v>
      </c>
      <c r="R31" s="300"/>
      <c r="S31" s="300"/>
      <c r="T31" s="300"/>
      <c r="U31" s="300"/>
    </row>
    <row r="32" spans="1:21" s="2" customFormat="1" ht="15.6" thickBot="1">
      <c r="A32" s="25" t="s">
        <v>449</v>
      </c>
      <c r="B32" s="2241">
        <v>194803931.72164136</v>
      </c>
      <c r="C32" s="1653"/>
      <c r="D32" s="1653"/>
      <c r="E32" s="2241"/>
      <c r="F32" s="2241"/>
      <c r="G32" s="2241"/>
      <c r="H32" s="2241"/>
      <c r="I32" s="1943">
        <f>+E53</f>
        <v>55479452054.794518</v>
      </c>
      <c r="J32" s="2241"/>
      <c r="K32" s="7">
        <f t="shared" si="3"/>
        <v>26752531.268630136</v>
      </c>
      <c r="L32" s="20">
        <f t="shared" si="4"/>
        <v>55701008517.78479</v>
      </c>
      <c r="M32" s="2244">
        <f>L32/G18</f>
        <v>9283501419.6307983</v>
      </c>
      <c r="N32" s="2244">
        <f>M32*H18</f>
        <v>-27850504258.892395</v>
      </c>
      <c r="O32" s="2244"/>
      <c r="P32" s="20">
        <f>'[5]Cattle June 07 Revised'!$F21</f>
        <v>5639024850.6966448</v>
      </c>
      <c r="Q32" s="8">
        <f t="shared" si="5"/>
        <v>33489529109.589039</v>
      </c>
      <c r="R32" s="300"/>
      <c r="S32" s="300"/>
      <c r="T32" s="300"/>
      <c r="U32" s="300"/>
    </row>
    <row r="33" spans="1:20" s="1" customFormat="1" ht="13.9" thickBot="1">
      <c r="A33" s="3" t="s">
        <v>115</v>
      </c>
      <c r="B33" s="18">
        <f>SUM(B27:B32)</f>
        <v>4829547500</v>
      </c>
      <c r="C33" s="9">
        <f t="shared" ref="C33:Q33" si="6">SUM(C27:C32)</f>
        <v>0</v>
      </c>
      <c r="D33" s="9">
        <f>SUM(D27:D32)</f>
        <v>27850504258.892395</v>
      </c>
      <c r="E33" s="9">
        <f t="shared" si="6"/>
        <v>0</v>
      </c>
      <c r="F33" s="9">
        <f t="shared" si="6"/>
        <v>0</v>
      </c>
      <c r="G33" s="9">
        <f t="shared" si="6"/>
        <v>0</v>
      </c>
      <c r="H33" s="9">
        <f t="shared" si="6"/>
        <v>0</v>
      </c>
      <c r="I33" s="9">
        <f t="shared" si="6"/>
        <v>2699999999999.9995</v>
      </c>
      <c r="J33" s="9">
        <f t="shared" si="6"/>
        <v>0</v>
      </c>
      <c r="K33" s="9">
        <f t="shared" ref="K33:P33" si="7">SUM(K27:K32)</f>
        <v>1301956521.7399998</v>
      </c>
      <c r="L33" s="9">
        <f t="shared" si="7"/>
        <v>2733982008280.6323</v>
      </c>
      <c r="M33" s="9">
        <f t="shared" si="7"/>
        <v>80362754834.298584</v>
      </c>
      <c r="N33" s="9" t="e">
        <f t="shared" si="7"/>
        <v>#REF!</v>
      </c>
      <c r="O33" s="9" t="e">
        <f t="shared" si="7"/>
        <v>#REF!</v>
      </c>
      <c r="P33" s="9">
        <f t="shared" si="7"/>
        <v>277541822762.42395</v>
      </c>
      <c r="Q33" s="9" t="e">
        <f t="shared" si="6"/>
        <v>#REF!</v>
      </c>
      <c r="R33" s="48" t="e">
        <f>Q33-'[5]Cattle June 07 Revised'!$E$22</f>
        <v>#REF!</v>
      </c>
      <c r="T33" s="48">
        <f>P33-'[5]Cattle June 07 Revised'!$F$22</f>
        <v>0</v>
      </c>
    </row>
    <row r="34" spans="1:20">
      <c r="B34" s="22">
        <f>B33-[112]CATTLE!$S$33</f>
        <v>0</v>
      </c>
      <c r="D34" s="22" t="e">
        <f>D33+N33</f>
        <v>#REF!</v>
      </c>
      <c r="I34" s="24">
        <f>I33-'Pigs Cost'!F174</f>
        <v>0</v>
      </c>
      <c r="K34" s="87">
        <f>1301956521.74</f>
        <v>1301956521.74</v>
      </c>
      <c r="N34" s="22" t="e">
        <f>+N33+D33</f>
        <v>#REF!</v>
      </c>
      <c r="P34" s="22">
        <f>P33-'[5]Cattle June 07 Revised'!$F$22</f>
        <v>0</v>
      </c>
      <c r="Q34" s="22" t="e">
        <f>Q33-'[5]Cattle June 07 Revised'!$E$22</f>
        <v>#REF!</v>
      </c>
    </row>
    <row r="35" spans="1:20">
      <c r="K35" s="24">
        <f>K33-K34</f>
        <v>0</v>
      </c>
      <c r="Q35" s="22"/>
    </row>
    <row r="37" spans="1:20">
      <c r="A37" t="s">
        <v>2213</v>
      </c>
    </row>
    <row r="39" spans="1:20">
      <c r="A39" t="s">
        <v>2214</v>
      </c>
      <c r="C39" s="23">
        <f>'Pigs Cost'!F174</f>
        <v>2700000000000</v>
      </c>
      <c r="D39" s="24"/>
    </row>
    <row r="40" spans="1:20">
      <c r="C40" s="23"/>
    </row>
    <row r="41" spans="1:20">
      <c r="C41" s="23"/>
      <c r="D41" s="24"/>
    </row>
    <row r="42" spans="1:20">
      <c r="C42" s="23"/>
      <c r="D42" s="76"/>
      <c r="I42" s="23"/>
      <c r="J42" s="23"/>
    </row>
    <row r="43" spans="1:20">
      <c r="A43" t="s">
        <v>2215</v>
      </c>
      <c r="C43" s="23"/>
      <c r="I43" s="23"/>
      <c r="J43" s="23"/>
    </row>
    <row r="44" spans="1:20">
      <c r="C44" s="23"/>
      <c r="I44" s="23"/>
      <c r="J44" s="23"/>
    </row>
    <row r="45" spans="1:20">
      <c r="C45" s="23"/>
      <c r="G45" s="24"/>
      <c r="I45" s="23"/>
      <c r="J45" s="23"/>
    </row>
    <row r="46" spans="1:20" ht="15.6" thickBot="1">
      <c r="A46" s="33"/>
      <c r="B46" s="33"/>
      <c r="C46" s="33"/>
      <c r="G46" s="24"/>
      <c r="I46" s="23"/>
      <c r="J46" s="23"/>
    </row>
    <row r="47" spans="1:20" ht="15">
      <c r="A47" s="25"/>
      <c r="B47" s="25"/>
      <c r="C47" s="25"/>
      <c r="E47" s="78"/>
      <c r="F47" s="78"/>
      <c r="G47" s="24"/>
      <c r="I47" s="23"/>
      <c r="J47" s="23"/>
    </row>
    <row r="48" spans="1:20" ht="15">
      <c r="A48" s="25" t="s">
        <v>4</v>
      </c>
      <c r="B48" s="25" t="s">
        <v>2216</v>
      </c>
      <c r="C48" s="25" t="s">
        <v>445</v>
      </c>
      <c r="E48" s="78">
        <f t="shared" ref="E48:E53" si="8">$J13/$J$20*$C$39</f>
        <v>36986301369.863014</v>
      </c>
      <c r="F48" s="78"/>
      <c r="I48" s="23"/>
      <c r="J48" s="23"/>
      <c r="K48" s="78">
        <f t="shared" ref="K48:K53" si="9">$J13/$J$20*$K$34</f>
        <v>17835020.845753424</v>
      </c>
    </row>
    <row r="49" spans="1:12" ht="15">
      <c r="A49" s="25" t="s">
        <v>4</v>
      </c>
      <c r="B49" s="25" t="s">
        <v>2217</v>
      </c>
      <c r="C49" s="25" t="s">
        <v>447</v>
      </c>
      <c r="E49" s="78">
        <f t="shared" si="8"/>
        <v>739726027397.26025</v>
      </c>
      <c r="F49" s="78"/>
      <c r="I49" s="23"/>
      <c r="J49" s="23"/>
      <c r="K49" s="78">
        <f t="shared" si="9"/>
        <v>356700416.91506845</v>
      </c>
    </row>
    <row r="50" spans="1:12" ht="15">
      <c r="A50" s="25" t="s">
        <v>4</v>
      </c>
      <c r="B50" s="25" t="s">
        <v>2218</v>
      </c>
      <c r="C50" s="25" t="s">
        <v>444</v>
      </c>
      <c r="E50" s="78">
        <f t="shared" si="8"/>
        <v>1331506849315.0684</v>
      </c>
      <c r="F50" s="78"/>
      <c r="I50" s="23"/>
      <c r="J50" s="23"/>
      <c r="K50" s="78">
        <f t="shared" si="9"/>
        <v>642060750.44712329</v>
      </c>
    </row>
    <row r="51" spans="1:12" ht="15">
      <c r="A51" s="25" t="s">
        <v>4</v>
      </c>
      <c r="B51" s="25" t="s">
        <v>2219</v>
      </c>
      <c r="C51" s="25" t="s">
        <v>439</v>
      </c>
      <c r="E51" s="78">
        <f t="shared" si="8"/>
        <v>295890410958.90411</v>
      </c>
      <c r="F51" s="78"/>
      <c r="I51" s="23"/>
      <c r="J51" s="23"/>
      <c r="K51" s="78">
        <f t="shared" si="9"/>
        <v>142680166.76602739</v>
      </c>
    </row>
    <row r="52" spans="1:12" ht="15">
      <c r="A52" s="25" t="s">
        <v>4</v>
      </c>
      <c r="B52" s="25" t="s">
        <v>2220</v>
      </c>
      <c r="C52" s="25" t="s">
        <v>448</v>
      </c>
      <c r="E52" s="78">
        <f t="shared" si="8"/>
        <v>240410958904.10959</v>
      </c>
      <c r="F52" s="78"/>
      <c r="I52" s="23"/>
      <c r="J52" s="23"/>
      <c r="K52" s="78">
        <f t="shared" si="9"/>
        <v>115927635.49739726</v>
      </c>
    </row>
    <row r="53" spans="1:12" ht="15">
      <c r="A53" s="25" t="s">
        <v>4</v>
      </c>
      <c r="B53" s="25"/>
      <c r="C53" s="25" t="s">
        <v>449</v>
      </c>
      <c r="E53" s="78">
        <f t="shared" si="8"/>
        <v>55479452054.794518</v>
      </c>
      <c r="F53" s="79">
        <f>SUM(E48:E53)</f>
        <v>2699999999999.9995</v>
      </c>
      <c r="I53" s="23"/>
      <c r="J53" s="23"/>
      <c r="K53" s="78">
        <f t="shared" si="9"/>
        <v>26752531.268630136</v>
      </c>
      <c r="L53" s="79">
        <f>SUM(K48:K53)</f>
        <v>1301956521.7399998</v>
      </c>
    </row>
    <row r="54" spans="1:12" ht="15">
      <c r="A54" s="25" t="s">
        <v>1</v>
      </c>
      <c r="C54" s="23"/>
      <c r="I54" s="23"/>
      <c r="J54" s="23"/>
      <c r="L54" s="24">
        <f>L53-K34</f>
        <v>0</v>
      </c>
    </row>
    <row r="55" spans="1:12">
      <c r="I55" s="23"/>
      <c r="J55" s="23"/>
    </row>
    <row r="56" spans="1:12">
      <c r="I56" s="23"/>
      <c r="J56" s="23"/>
    </row>
    <row r="57" spans="1:12">
      <c r="I57" s="23"/>
      <c r="J57" s="23"/>
    </row>
    <row r="58" spans="1:12">
      <c r="I58" s="23"/>
      <c r="J58" s="23"/>
    </row>
    <row r="59" spans="1:12">
      <c r="I59" s="23"/>
      <c r="J59" s="23"/>
    </row>
    <row r="60" spans="1:12">
      <c r="I60" s="23"/>
      <c r="J60" s="23"/>
    </row>
    <row r="61" spans="1:12">
      <c r="I61" s="23"/>
      <c r="J61" s="23"/>
    </row>
    <row r="62" spans="1:12">
      <c r="I62" s="23"/>
      <c r="J62" s="23"/>
    </row>
    <row r="63" spans="1:12">
      <c r="I63" s="23"/>
      <c r="J63" s="23"/>
    </row>
  </sheetData>
  <phoneticPr fontId="19" type="noConversion"/>
  <pageMargins left="0.25" right="0.25" top="0.25" bottom="0.25" header="0.25" footer="0.25"/>
  <pageSetup paperSize="9" scale="44" orientation="landscape" verticalDpi="300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78"/>
  <dimension ref="A2:I24550"/>
  <sheetViews>
    <sheetView view="pageBreakPreview" topLeftCell="A67" zoomScaleSheetLayoutView="100" workbookViewId="0">
      <selection activeCell="E77" sqref="E77"/>
    </sheetView>
  </sheetViews>
  <sheetFormatPr defaultColWidth="9.140625" defaultRowHeight="13.15"/>
  <cols>
    <col min="1" max="1" width="18.42578125" style="2" customWidth="1"/>
    <col min="2" max="2" width="53.5703125" style="2" customWidth="1"/>
    <col min="3" max="3" width="38.7109375" style="235" customWidth="1"/>
    <col min="4" max="4" width="10.7109375" style="235" customWidth="1"/>
    <col min="5" max="5" width="32.5703125" style="235" bestFit="1" customWidth="1"/>
    <col min="6" max="6" width="11.85546875" style="235" customWidth="1"/>
    <col min="7" max="7" width="28" style="2" bestFit="1" customWidth="1"/>
    <col min="8" max="8" width="46.5703125" style="2" bestFit="1" customWidth="1"/>
    <col min="9" max="16384" width="9.140625" style="2"/>
  </cols>
  <sheetData>
    <row r="2" spans="1:7" ht="24.6">
      <c r="A2" s="144" t="s">
        <v>2221</v>
      </c>
      <c r="B2" s="145"/>
      <c r="C2" s="234" t="s">
        <v>2222</v>
      </c>
      <c r="D2" s="2245"/>
      <c r="E2" s="2245"/>
      <c r="F2" s="2245"/>
      <c r="G2" s="300"/>
    </row>
    <row r="3" spans="1:7" ht="27" customHeight="1" thickBot="1">
      <c r="A3" s="146" t="s">
        <v>2223</v>
      </c>
      <c r="B3" s="2246"/>
      <c r="C3" s="2247"/>
      <c r="D3" s="2247"/>
      <c r="E3" s="2247"/>
      <c r="F3" s="2247"/>
      <c r="G3" s="300"/>
    </row>
    <row r="4" spans="1:7" ht="27" customHeight="1" thickTop="1" thickBot="1">
      <c r="A4" s="147" t="s">
        <v>2224</v>
      </c>
      <c r="B4" s="147" t="s">
        <v>87</v>
      </c>
      <c r="C4" s="236" t="s">
        <v>2225</v>
      </c>
      <c r="D4" s="2248"/>
      <c r="E4" s="236" t="s">
        <v>2226</v>
      </c>
      <c r="F4" s="2248"/>
      <c r="G4" s="300"/>
    </row>
    <row r="5" spans="1:7" ht="30" customHeight="1" thickTop="1">
      <c r="A5" s="256" t="s">
        <v>2227</v>
      </c>
      <c r="B5" s="256" t="s">
        <v>389</v>
      </c>
      <c r="C5" s="265" t="e">
        <f>'Pigs Cost'!E14</f>
        <v>#REF!</v>
      </c>
      <c r="D5" s="2249"/>
      <c r="E5" s="265"/>
      <c r="F5" s="2249"/>
      <c r="G5" s="300"/>
    </row>
    <row r="6" spans="1:7" ht="30" customHeight="1">
      <c r="A6" s="256" t="s">
        <v>2228</v>
      </c>
      <c r="B6" s="256" t="s">
        <v>397</v>
      </c>
      <c r="C6" s="265" t="e">
        <f>'Pigs Cost'!E15</f>
        <v>#REF!</v>
      </c>
      <c r="D6" s="2249"/>
      <c r="E6" s="265"/>
      <c r="F6" s="2249"/>
      <c r="G6" s="300"/>
    </row>
    <row r="7" spans="1:7" ht="30" customHeight="1">
      <c r="A7" s="256" t="s">
        <v>2229</v>
      </c>
      <c r="B7" s="256" t="s">
        <v>50</v>
      </c>
      <c r="C7" s="265" t="e">
        <f>'Pigs Cost'!E16</f>
        <v>#REF!</v>
      </c>
      <c r="D7" s="2249"/>
      <c r="E7" s="265"/>
      <c r="F7" s="2249"/>
      <c r="G7" s="300"/>
    </row>
    <row r="8" spans="1:7" ht="30" customHeight="1">
      <c r="A8" s="256" t="s">
        <v>2230</v>
      </c>
      <c r="B8" s="256" t="s">
        <v>55</v>
      </c>
      <c r="C8" s="265" t="e">
        <f>'Pigs Cost'!E17</f>
        <v>#REF!</v>
      </c>
      <c r="D8" s="2249"/>
      <c r="E8" s="265"/>
      <c r="F8" s="2249"/>
      <c r="G8" s="300"/>
    </row>
    <row r="9" spans="1:7" ht="30" customHeight="1">
      <c r="A9" s="256" t="s">
        <v>2231</v>
      </c>
      <c r="B9" s="256" t="s">
        <v>79</v>
      </c>
      <c r="C9" s="265" t="e">
        <f>'Pigs Cost'!E18</f>
        <v>#REF!</v>
      </c>
      <c r="D9" s="2249"/>
      <c r="E9" s="265"/>
      <c r="F9" s="2249"/>
      <c r="G9" s="300"/>
    </row>
    <row r="10" spans="1:7" ht="30" customHeight="1">
      <c r="A10" s="256" t="s">
        <v>2232</v>
      </c>
      <c r="B10" s="256" t="s">
        <v>384</v>
      </c>
      <c r="C10" s="265"/>
      <c r="D10" s="2249"/>
      <c r="E10" s="265" t="e">
        <f>-'Pigs Cost'!O13</f>
        <v>#REF!</v>
      </c>
      <c r="F10" s="2249"/>
      <c r="G10" s="2250" t="e">
        <f>SUM(C5:C14)</f>
        <v>#REF!</v>
      </c>
    </row>
    <row r="11" spans="1:7" ht="30" customHeight="1">
      <c r="A11" s="256" t="s">
        <v>2227</v>
      </c>
      <c r="B11" s="256" t="s">
        <v>389</v>
      </c>
      <c r="C11" s="265"/>
      <c r="D11" s="2249"/>
      <c r="E11" s="265" t="e">
        <f>-'Pigs Cost'!O14</f>
        <v>#REF!</v>
      </c>
      <c r="F11" s="2249"/>
      <c r="G11" s="2250" t="e">
        <f>SUM(E10:E13)</f>
        <v>#REF!</v>
      </c>
    </row>
    <row r="12" spans="1:7" ht="30" customHeight="1">
      <c r="A12" s="256" t="s">
        <v>2228</v>
      </c>
      <c r="B12" s="256" t="s">
        <v>397</v>
      </c>
      <c r="C12" s="265"/>
      <c r="D12" s="2249"/>
      <c r="E12" s="265" t="e">
        <f>-'Pigs Cost'!O15</f>
        <v>#REF!</v>
      </c>
      <c r="F12" s="2249"/>
      <c r="G12" s="2250" t="e">
        <f>G10-G11</f>
        <v>#REF!</v>
      </c>
    </row>
    <row r="13" spans="1:7" ht="30" customHeight="1">
      <c r="A13" s="256" t="s">
        <v>2229</v>
      </c>
      <c r="B13" s="256" t="s">
        <v>50</v>
      </c>
      <c r="C13" s="265"/>
      <c r="D13" s="2249"/>
      <c r="E13" s="265" t="e">
        <f>-'Pigs Cost'!O16</f>
        <v>#REF!</v>
      </c>
      <c r="F13" s="2249"/>
      <c r="G13" s="300"/>
    </row>
    <row r="14" spans="1:7" ht="30" customHeight="1">
      <c r="A14" s="256" t="s">
        <v>2233</v>
      </c>
      <c r="B14" s="256" t="s">
        <v>76</v>
      </c>
      <c r="C14" s="265" t="e">
        <f>10*'Pigs Cost'!N15</f>
        <v>#REF!</v>
      </c>
      <c r="D14" s="2249"/>
      <c r="E14" s="265"/>
      <c r="F14" s="2249"/>
      <c r="G14" s="300"/>
    </row>
    <row r="15" spans="1:7" ht="30" customHeight="1">
      <c r="A15" s="256" t="s">
        <v>2232</v>
      </c>
      <c r="B15" s="256" t="s">
        <v>384</v>
      </c>
      <c r="C15" s="265" t="e">
        <f>'Pigs Cost'!J13</f>
        <v>#REF!</v>
      </c>
      <c r="D15" s="2249"/>
      <c r="E15" s="265"/>
      <c r="F15" s="2249"/>
      <c r="G15" s="300"/>
    </row>
    <row r="16" spans="1:7" ht="30" customHeight="1">
      <c r="A16" s="256" t="s">
        <v>2227</v>
      </c>
      <c r="B16" s="256" t="s">
        <v>389</v>
      </c>
      <c r="C16" s="265" t="e">
        <f>'Pigs Cost'!J14</f>
        <v>#REF!</v>
      </c>
      <c r="D16" s="2249"/>
      <c r="E16" s="265"/>
      <c r="F16" s="2249"/>
      <c r="G16" s="300"/>
    </row>
    <row r="17" spans="1:7" ht="30" customHeight="1">
      <c r="A17" s="256" t="s">
        <v>2228</v>
      </c>
      <c r="B17" s="256" t="s">
        <v>397</v>
      </c>
      <c r="C17" s="265" t="e">
        <f>'Pigs Cost'!J15</f>
        <v>#REF!</v>
      </c>
      <c r="D17" s="2249"/>
      <c r="E17" s="265"/>
      <c r="F17" s="2249"/>
      <c r="G17" s="300"/>
    </row>
    <row r="18" spans="1:7" ht="30" customHeight="1">
      <c r="A18" s="256" t="s">
        <v>2234</v>
      </c>
      <c r="B18" s="256" t="s">
        <v>2235</v>
      </c>
      <c r="C18" s="265"/>
      <c r="D18" s="2249"/>
      <c r="E18" s="265">
        <f>'Pigs Cost'!D191</f>
        <v>124054510000</v>
      </c>
      <c r="F18" s="2249"/>
      <c r="G18" s="300"/>
    </row>
    <row r="19" spans="1:7" ht="30" customHeight="1">
      <c r="A19" s="256" t="s">
        <v>2236</v>
      </c>
      <c r="B19" s="256" t="s">
        <v>2237</v>
      </c>
      <c r="C19" s="265"/>
      <c r="D19" s="2249"/>
      <c r="E19" s="265">
        <f>'Pigs Cost'!D192</f>
        <v>180549260000</v>
      </c>
      <c r="F19" s="2249"/>
      <c r="G19" s="300"/>
    </row>
    <row r="20" spans="1:7" ht="30" customHeight="1">
      <c r="A20" s="256" t="s">
        <v>2238</v>
      </c>
      <c r="B20" s="256" t="s">
        <v>2239</v>
      </c>
      <c r="C20" s="265"/>
      <c r="D20" s="2249"/>
      <c r="E20" s="265">
        <f>'Pigs Cost'!D193</f>
        <v>7420760514060000</v>
      </c>
      <c r="F20" s="2249"/>
      <c r="G20" s="2250">
        <f>SUM(E18:E20)</f>
        <v>7421065117830000</v>
      </c>
    </row>
    <row r="21" spans="1:7" ht="30" customHeight="1">
      <c r="A21" s="256" t="s">
        <v>2240</v>
      </c>
      <c r="B21" s="256" t="s">
        <v>202</v>
      </c>
      <c r="C21" s="265">
        <f>'Pigs Cost'!F174</f>
        <v>2700000000000</v>
      </c>
      <c r="D21" s="2249"/>
      <c r="E21" s="265"/>
      <c r="F21" s="2249"/>
      <c r="G21" s="903" t="e">
        <f>SUM(C15:C34)</f>
        <v>#REF!</v>
      </c>
    </row>
    <row r="22" spans="1:7" ht="30" customHeight="1">
      <c r="A22" s="256" t="s">
        <v>2241</v>
      </c>
      <c r="B22" s="257" t="s">
        <v>72</v>
      </c>
      <c r="C22" s="265">
        <f>'Pigs Cost'!G174</f>
        <v>9900000000000</v>
      </c>
      <c r="D22" s="2249"/>
      <c r="E22" s="265"/>
      <c r="F22" s="2249"/>
      <c r="G22" s="2251" t="e">
        <f>G20-G21</f>
        <v>#REF!</v>
      </c>
    </row>
    <row r="23" spans="1:7" ht="30" customHeight="1">
      <c r="A23" s="256" t="s">
        <v>2242</v>
      </c>
      <c r="B23" s="256" t="s">
        <v>75</v>
      </c>
      <c r="C23" s="265">
        <f>'Pigs Cost'!H174</f>
        <v>5700000000000</v>
      </c>
      <c r="D23" s="2249"/>
      <c r="E23" s="265"/>
      <c r="F23" s="2249"/>
      <c r="G23" s="300"/>
    </row>
    <row r="24" spans="1:7" ht="30" customHeight="1">
      <c r="A24" s="256" t="s">
        <v>2243</v>
      </c>
      <c r="B24" s="256" t="s">
        <v>2244</v>
      </c>
      <c r="C24" s="265">
        <f>'Pigs Cost'!K174</f>
        <v>11100000000000</v>
      </c>
      <c r="D24" s="2249"/>
      <c r="E24" s="265"/>
      <c r="F24" s="2249"/>
      <c r="G24" s="2250" t="e">
        <f>SUM(C15:C32)</f>
        <v>#REF!</v>
      </c>
    </row>
    <row r="25" spans="1:7" ht="30" customHeight="1">
      <c r="A25" s="256" t="s">
        <v>2245</v>
      </c>
      <c r="B25" s="256" t="s">
        <v>128</v>
      </c>
      <c r="C25" s="265">
        <f>'Pigs Cost'!L174</f>
        <v>5700000000000</v>
      </c>
      <c r="D25" s="2249"/>
      <c r="E25" s="265"/>
      <c r="F25" s="2249"/>
      <c r="G25" s="903" t="e">
        <f>G21-G24</f>
        <v>#REF!</v>
      </c>
    </row>
    <row r="26" spans="1:7" ht="30" customHeight="1">
      <c r="A26" s="256" t="s">
        <v>2246</v>
      </c>
      <c r="B26" s="257" t="s">
        <v>147</v>
      </c>
      <c r="C26" s="265">
        <f>'Pigs Cost'!M174</f>
        <v>2100000000000</v>
      </c>
      <c r="D26" s="2249"/>
      <c r="E26" s="265"/>
      <c r="F26" s="2249"/>
      <c r="G26" s="300"/>
    </row>
    <row r="27" spans="1:7" ht="30" customHeight="1">
      <c r="A27" s="256" t="s">
        <v>2247</v>
      </c>
      <c r="B27" s="257" t="s">
        <v>148</v>
      </c>
      <c r="C27" s="265">
        <f>'Pigs Cost'!N174</f>
        <v>15900000000000</v>
      </c>
      <c r="D27" s="2249"/>
      <c r="E27" s="265"/>
      <c r="F27" s="2249"/>
      <c r="G27" s="300"/>
    </row>
    <row r="28" spans="1:7" ht="30" customHeight="1">
      <c r="A28" s="256" t="s">
        <v>2248</v>
      </c>
      <c r="B28" s="257" t="s">
        <v>149</v>
      </c>
      <c r="C28" s="265">
        <f>'Pigs Cost'!O178</f>
        <v>10800000000000</v>
      </c>
      <c r="D28" s="2249"/>
      <c r="E28" s="265"/>
      <c r="F28" s="2249"/>
      <c r="G28" s="300"/>
    </row>
    <row r="29" spans="1:7" ht="30" customHeight="1">
      <c r="A29" s="256" t="s">
        <v>2249</v>
      </c>
      <c r="B29" s="257" t="s">
        <v>150</v>
      </c>
      <c r="C29" s="265">
        <f>'Pigs Cost'!P174</f>
        <v>6600000000000</v>
      </c>
      <c r="D29" s="2249"/>
      <c r="E29" s="265"/>
      <c r="F29" s="2249"/>
      <c r="G29" s="300"/>
    </row>
    <row r="30" spans="1:7" ht="30" customHeight="1">
      <c r="A30" s="256" t="s">
        <v>2250</v>
      </c>
      <c r="B30" s="257" t="s">
        <v>151</v>
      </c>
      <c r="C30" s="265">
        <f>'Pigs Cost'!R174</f>
        <v>3300000000000</v>
      </c>
      <c r="D30" s="2249"/>
      <c r="E30" s="265"/>
      <c r="F30" s="2249"/>
      <c r="G30" s="300"/>
    </row>
    <row r="31" spans="1:7" ht="30" customHeight="1">
      <c r="A31" s="256" t="s">
        <v>2251</v>
      </c>
      <c r="B31" s="257" t="s">
        <v>152</v>
      </c>
      <c r="C31" s="265">
        <f>'Pigs Cost'!S174</f>
        <v>12900000000000</v>
      </c>
      <c r="D31" s="2249"/>
      <c r="E31" s="265"/>
      <c r="F31" s="2249"/>
      <c r="G31" s="300"/>
    </row>
    <row r="32" spans="1:7" ht="30" customHeight="1">
      <c r="A32" s="256" t="s">
        <v>2252</v>
      </c>
      <c r="B32" s="257" t="s">
        <v>153</v>
      </c>
      <c r="C32" s="265">
        <f>'Pigs Cost'!T174</f>
        <v>0</v>
      </c>
      <c r="D32" s="2249"/>
      <c r="E32" s="265"/>
      <c r="F32" s="2249"/>
      <c r="G32" s="300"/>
    </row>
    <row r="33" spans="1:7" ht="30" customHeight="1">
      <c r="A33" s="256" t="s">
        <v>2253</v>
      </c>
      <c r="B33" s="257" t="s">
        <v>154</v>
      </c>
      <c r="C33" s="265">
        <f>'Pigs Cost'!U174</f>
        <v>0</v>
      </c>
      <c r="D33" s="2249"/>
      <c r="E33" s="265"/>
      <c r="F33" s="2249"/>
      <c r="G33" s="300"/>
    </row>
    <row r="34" spans="1:7" ht="30" customHeight="1">
      <c r="A34" s="256" t="s">
        <v>2233</v>
      </c>
      <c r="B34" s="257" t="s">
        <v>76</v>
      </c>
      <c r="C34" s="265">
        <f>'Pigs Cost'!I174</f>
        <v>300000000000</v>
      </c>
      <c r="D34" s="2249"/>
      <c r="E34" s="265"/>
      <c r="F34" s="2249"/>
      <c r="G34" s="300"/>
    </row>
    <row r="35" spans="1:7" ht="30" customHeight="1">
      <c r="A35" s="256" t="s">
        <v>2254</v>
      </c>
      <c r="B35" s="256" t="s">
        <v>2255</v>
      </c>
      <c r="C35" s="265" t="e">
        <f>-'Pigs Cost'!P19-'Pigs Cost'!Q19</f>
        <v>#REF!</v>
      </c>
      <c r="D35" s="2249"/>
      <c r="E35" s="265"/>
      <c r="F35" s="2249"/>
      <c r="G35" s="300"/>
    </row>
    <row r="36" spans="1:7" ht="30" customHeight="1">
      <c r="A36" s="256" t="s">
        <v>2256</v>
      </c>
      <c r="B36" s="256" t="s">
        <v>2257</v>
      </c>
      <c r="C36" s="2252" t="e">
        <f>-'Pigs Cost'!R15-'Pigs Cost'!R17</f>
        <v>#REF!</v>
      </c>
      <c r="D36" s="2253"/>
      <c r="E36" s="265"/>
      <c r="F36" s="2253"/>
      <c r="G36" s="2250" t="e">
        <f>C35-E37</f>
        <v>#REF!</v>
      </c>
    </row>
    <row r="37" spans="1:7" ht="30" customHeight="1">
      <c r="A37" s="256" t="s">
        <v>2228</v>
      </c>
      <c r="B37" s="256" t="s">
        <v>397</v>
      </c>
      <c r="C37" s="265"/>
      <c r="D37" s="2253"/>
      <c r="E37" s="265" t="e">
        <f>-'Pigs Cost'!P15-'Pigs Cost'!Q15-'Pigs Cost'!R15</f>
        <v>#REF!</v>
      </c>
      <c r="F37" s="2253"/>
      <c r="G37" s="300"/>
    </row>
    <row r="38" spans="1:7" ht="30" customHeight="1">
      <c r="A38" s="256" t="s">
        <v>2229</v>
      </c>
      <c r="B38" s="256" t="s">
        <v>50</v>
      </c>
      <c r="C38" s="265"/>
      <c r="D38" s="2254"/>
      <c r="E38" s="265" t="e">
        <f>-'Pigs Cost'!Q16</f>
        <v>#REF!</v>
      </c>
      <c r="F38" s="2253"/>
      <c r="G38" s="2250" t="e">
        <f>SUM(C35:C38)</f>
        <v>#REF!</v>
      </c>
    </row>
    <row r="39" spans="1:7" ht="30" customHeight="1">
      <c r="A39" s="258" t="s">
        <v>2230</v>
      </c>
      <c r="B39" s="258" t="s">
        <v>55</v>
      </c>
      <c r="C39" s="265"/>
      <c r="D39" s="2254"/>
      <c r="E39" s="265" t="e">
        <f>-'Pigs Cost'!P17-'Pigs Cost'!Q17-'Pigs Cost'!R17</f>
        <v>#REF!</v>
      </c>
      <c r="F39" s="2253"/>
      <c r="G39" s="2250" t="e">
        <f>SUM(E37:E40)</f>
        <v>#REF!</v>
      </c>
    </row>
    <row r="40" spans="1:7" ht="30" customHeight="1" thickBot="1">
      <c r="A40" s="258"/>
      <c r="B40" s="258"/>
      <c r="C40" s="2255"/>
      <c r="D40" s="2256"/>
      <c r="E40" s="2255"/>
      <c r="F40" s="2256"/>
      <c r="G40" s="2250" t="e">
        <f>G38-G39</f>
        <v>#REF!</v>
      </c>
    </row>
    <row r="41" spans="1:7" ht="30" customHeight="1" thickBot="1">
      <c r="A41" s="148" t="s">
        <v>2258</v>
      </c>
      <c r="B41" s="2257"/>
      <c r="C41" s="2258" t="e">
        <f>SUM(C5:C40)</f>
        <v>#REF!</v>
      </c>
      <c r="D41" s="2258"/>
      <c r="E41" s="2258" t="e">
        <f>SUM(E5:E40)</f>
        <v>#REF!</v>
      </c>
      <c r="F41" s="2258"/>
      <c r="G41" s="300"/>
    </row>
    <row r="42" spans="1:7" ht="22.5" customHeight="1" thickTop="1">
      <c r="A42" s="300"/>
      <c r="B42" s="300"/>
      <c r="C42" s="2259"/>
      <c r="D42" s="2259"/>
      <c r="E42" s="2259" t="e">
        <f>+C41-E41</f>
        <v>#REF!</v>
      </c>
      <c r="F42" s="2259"/>
      <c r="G42" s="300"/>
    </row>
    <row r="43" spans="1:7" ht="21" customHeight="1">
      <c r="A43" s="131" t="s">
        <v>2259</v>
      </c>
      <c r="B43" s="1"/>
      <c r="C43" s="2245"/>
      <c r="D43" s="2245"/>
      <c r="E43" s="2245"/>
      <c r="F43" s="2245"/>
      <c r="G43" s="300"/>
    </row>
    <row r="44" spans="1:7" ht="17.100000000000001" customHeight="1">
      <c r="A44" s="131" t="s">
        <v>2260</v>
      </c>
      <c r="B44" s="1"/>
      <c r="C44" s="2245"/>
      <c r="D44" s="2245"/>
      <c r="E44" s="2245"/>
      <c r="F44" s="2245"/>
      <c r="G44" s="300"/>
    </row>
    <row r="45" spans="1:7" ht="17.100000000000001" customHeight="1">
      <c r="A45" s="131" t="s">
        <v>2260</v>
      </c>
      <c r="B45" s="1"/>
      <c r="C45" s="2245"/>
      <c r="D45" s="2245"/>
      <c r="E45" s="2245"/>
      <c r="F45" s="2245"/>
      <c r="G45" s="300"/>
    </row>
    <row r="46" spans="1:7" ht="17.100000000000001" customHeight="1">
      <c r="A46" s="131" t="s">
        <v>2260</v>
      </c>
      <c r="B46" s="1"/>
      <c r="C46" s="2245"/>
      <c r="D46" s="2245"/>
      <c r="E46" s="2245"/>
      <c r="F46" s="2245"/>
      <c r="G46" s="300"/>
    </row>
    <row r="47" spans="1:7" ht="17.100000000000001" customHeight="1">
      <c r="A47" s="131"/>
      <c r="B47" s="1"/>
      <c r="C47" s="2245"/>
      <c r="D47" s="2245"/>
      <c r="E47" s="2245"/>
      <c r="F47" s="2245"/>
      <c r="G47" s="300"/>
    </row>
    <row r="48" spans="1:7" ht="22.5" customHeight="1">
      <c r="A48" s="131" t="s">
        <v>2261</v>
      </c>
      <c r="B48" s="1"/>
      <c r="C48" s="2245"/>
      <c r="D48" s="2245"/>
      <c r="E48" s="2245"/>
      <c r="F48" s="2245"/>
      <c r="G48" s="300"/>
    </row>
    <row r="49" spans="1:7" ht="22.5" customHeight="1">
      <c r="A49" s="131"/>
      <c r="B49" s="1"/>
      <c r="C49" s="2245"/>
      <c r="D49" s="2245"/>
      <c r="E49" s="2245"/>
      <c r="F49" s="2245"/>
      <c r="G49" s="300"/>
    </row>
    <row r="50" spans="1:7" ht="24" customHeight="1">
      <c r="A50" s="131" t="s">
        <v>2262</v>
      </c>
      <c r="B50" s="1"/>
      <c r="C50" s="2245"/>
      <c r="D50" s="2245"/>
      <c r="E50" s="2245"/>
      <c r="F50" s="2245"/>
      <c r="G50" s="300"/>
    </row>
    <row r="54" spans="1:7" ht="24.6">
      <c r="A54" s="144" t="s">
        <v>2221</v>
      </c>
      <c r="B54" s="145"/>
      <c r="C54" s="234" t="s">
        <v>2222</v>
      </c>
      <c r="D54" s="2245"/>
      <c r="E54" s="2245"/>
      <c r="F54" s="2245"/>
      <c r="G54" s="300"/>
    </row>
    <row r="55" spans="1:7" ht="18" thickBot="1">
      <c r="A55" s="146" t="s">
        <v>2223</v>
      </c>
      <c r="B55" s="2246"/>
      <c r="C55" s="2247"/>
      <c r="D55" s="2247"/>
      <c r="E55" s="2247"/>
      <c r="F55" s="2247"/>
      <c r="G55" s="300"/>
    </row>
    <row r="56" spans="1:7" ht="14.45" thickTop="1" thickBot="1">
      <c r="A56" s="147" t="s">
        <v>2224</v>
      </c>
      <c r="B56" s="147" t="s">
        <v>87</v>
      </c>
      <c r="C56" s="236" t="s">
        <v>2225</v>
      </c>
      <c r="D56" s="2248"/>
      <c r="E56" s="236" t="s">
        <v>2226</v>
      </c>
      <c r="F56" s="2248"/>
      <c r="G56" s="300"/>
    </row>
    <row r="57" spans="1:7" ht="30" customHeight="1" thickTop="1">
      <c r="A57" s="149" t="s">
        <v>2263</v>
      </c>
      <c r="B57" s="256" t="s">
        <v>2264</v>
      </c>
      <c r="C57" s="265" t="e">
        <f>'IAS 41 Mvmnt Pigs'!D14</f>
        <v>#REF!</v>
      </c>
      <c r="D57" s="2249"/>
      <c r="E57" s="265"/>
      <c r="F57" s="2249"/>
      <c r="G57" s="300"/>
    </row>
    <row r="58" spans="1:7" ht="30" customHeight="1">
      <c r="A58" s="149" t="s">
        <v>2265</v>
      </c>
      <c r="B58" s="256" t="s">
        <v>2266</v>
      </c>
      <c r="C58" s="265" t="e">
        <f>'IAS 41 Mvmnt Pigs'!D15</f>
        <v>#REF!</v>
      </c>
      <c r="D58" s="2249"/>
      <c r="E58" s="265"/>
      <c r="F58" s="2249"/>
      <c r="G58" s="300"/>
    </row>
    <row r="59" spans="1:7" ht="30" customHeight="1">
      <c r="A59" s="149" t="s">
        <v>2267</v>
      </c>
      <c r="B59" s="151" t="s">
        <v>2268</v>
      </c>
      <c r="C59" s="265" t="e">
        <f>'IAS 41 Mvmnt Pigs'!D16</f>
        <v>#REF!</v>
      </c>
      <c r="D59" s="2249"/>
      <c r="E59" s="265"/>
      <c r="F59" s="2249"/>
      <c r="G59" s="300"/>
    </row>
    <row r="60" spans="1:7" ht="30" customHeight="1">
      <c r="A60" s="149" t="s">
        <v>2269</v>
      </c>
      <c r="B60" s="256" t="s">
        <v>2270</v>
      </c>
      <c r="C60" s="265" t="e">
        <f>'IAS 41 Mvmnt Pigs'!D17</f>
        <v>#REF!</v>
      </c>
      <c r="D60" s="2249"/>
      <c r="E60" s="265"/>
      <c r="F60" s="2249"/>
      <c r="G60" s="300"/>
    </row>
    <row r="61" spans="1:7" ht="30" customHeight="1">
      <c r="A61" s="149" t="s">
        <v>2271</v>
      </c>
      <c r="B61" s="256" t="s">
        <v>2272</v>
      </c>
      <c r="C61" s="265" t="e">
        <f>'IAS 41 Mvmnt Pigs'!D18</f>
        <v>#REF!</v>
      </c>
      <c r="D61" s="2249"/>
      <c r="E61" s="265"/>
      <c r="F61" s="2249"/>
      <c r="G61" s="300"/>
    </row>
    <row r="62" spans="1:7" ht="30" customHeight="1">
      <c r="A62" s="149" t="s">
        <v>2273</v>
      </c>
      <c r="B62" s="151" t="s">
        <v>2274</v>
      </c>
      <c r="C62" s="265"/>
      <c r="D62" s="2249"/>
      <c r="E62" s="265" t="e">
        <f>-'IAS 41 Mvmnt Pigs'!G13</f>
        <v>#REF!</v>
      </c>
      <c r="F62" s="2249"/>
      <c r="G62" s="2250" t="e">
        <f>SUM(C57:C68)</f>
        <v>#REF!</v>
      </c>
    </row>
    <row r="63" spans="1:7" ht="30" customHeight="1">
      <c r="A63" s="149" t="s">
        <v>2263</v>
      </c>
      <c r="B63" s="256" t="s">
        <v>2264</v>
      </c>
      <c r="C63" s="265"/>
      <c r="D63" s="2249"/>
      <c r="E63" s="265" t="e">
        <f>-'IAS 41 Mvmnt Pigs'!G14</f>
        <v>#REF!</v>
      </c>
      <c r="F63" s="2249"/>
      <c r="G63" s="2250" t="e">
        <f>SUM(E60:E67)</f>
        <v>#REF!</v>
      </c>
    </row>
    <row r="64" spans="1:7" ht="30" customHeight="1">
      <c r="A64" s="149" t="s">
        <v>2265</v>
      </c>
      <c r="B64" s="256" t="s">
        <v>2266</v>
      </c>
      <c r="C64" s="265"/>
      <c r="D64" s="2249"/>
      <c r="E64" s="265" t="e">
        <f>-'IAS 41 Mvmnt Pigs'!G15</f>
        <v>#REF!</v>
      </c>
      <c r="F64" s="2249"/>
      <c r="G64" s="2250" t="e">
        <f>G62-G63</f>
        <v>#REF!</v>
      </c>
    </row>
    <row r="65" spans="1:7" ht="30" customHeight="1">
      <c r="A65" s="149" t="s">
        <v>2267</v>
      </c>
      <c r="B65" s="151" t="s">
        <v>2268</v>
      </c>
      <c r="C65" s="265"/>
      <c r="D65" s="2249"/>
      <c r="E65" s="265" t="e">
        <f>-'IAS 41 Mvmnt Pigs'!G16</f>
        <v>#REF!</v>
      </c>
      <c r="F65" s="2249"/>
      <c r="G65" s="300"/>
    </row>
    <row r="66" spans="1:7" ht="30" customHeight="1">
      <c r="A66" s="149" t="s">
        <v>2269</v>
      </c>
      <c r="B66" s="256" t="s">
        <v>2270</v>
      </c>
      <c r="C66" s="265"/>
      <c r="D66" s="2249"/>
      <c r="E66" s="265" t="e">
        <f>-'IAS 41 Mvmnt Pigs'!G17</f>
        <v>#REF!</v>
      </c>
      <c r="F66" s="2249"/>
      <c r="G66" s="300"/>
    </row>
    <row r="67" spans="1:7" ht="30" customHeight="1">
      <c r="A67" s="149" t="s">
        <v>2271</v>
      </c>
      <c r="B67" s="256" t="s">
        <v>2272</v>
      </c>
      <c r="C67" s="265"/>
      <c r="D67" s="2249"/>
      <c r="E67" s="265" t="e">
        <f>-'IAS 41 Mvmnt Pigs'!G18</f>
        <v>#REF!</v>
      </c>
      <c r="F67" s="2249"/>
      <c r="G67" s="300"/>
    </row>
    <row r="68" spans="1:7" ht="30" customHeight="1">
      <c r="A68" s="149" t="s">
        <v>2233</v>
      </c>
      <c r="B68" s="256" t="s">
        <v>76</v>
      </c>
      <c r="C68" s="265" t="e">
        <f>10*'IAS 41 Mvmnt Pigs'!F15</f>
        <v>#REF!</v>
      </c>
      <c r="D68" s="2249"/>
      <c r="E68" s="265"/>
      <c r="F68" s="2249"/>
      <c r="G68" s="300"/>
    </row>
    <row r="69" spans="1:7" ht="30" customHeight="1">
      <c r="A69" s="256" t="s">
        <v>2275</v>
      </c>
      <c r="B69" s="256" t="s">
        <v>2276</v>
      </c>
      <c r="C69" s="265" t="e">
        <f>-'IAS 41 Mvmnt Pigs'!H19-'IAS 41 Mvmnt Pigs'!I19</f>
        <v>#REF!</v>
      </c>
      <c r="D69" s="2249"/>
      <c r="E69" s="265"/>
      <c r="F69" s="2249"/>
      <c r="G69" s="300"/>
    </row>
    <row r="70" spans="1:7" ht="30" customHeight="1">
      <c r="A70" s="256" t="s">
        <v>2256</v>
      </c>
      <c r="B70" s="256" t="s">
        <v>2257</v>
      </c>
      <c r="C70" s="265" t="e">
        <f>-'IAS 41 Mvmnt Pigs'!J19</f>
        <v>#REF!</v>
      </c>
      <c r="D70" s="2249"/>
      <c r="E70" s="265"/>
      <c r="F70" s="2249"/>
      <c r="G70" s="300"/>
    </row>
    <row r="71" spans="1:7" ht="30" customHeight="1">
      <c r="A71" s="149" t="s">
        <v>2265</v>
      </c>
      <c r="B71" s="256" t="s">
        <v>2266</v>
      </c>
      <c r="C71" s="265"/>
      <c r="D71" s="2249"/>
      <c r="E71" s="265" t="e">
        <f>-'IAS 41 Mvmnt Pigs'!H15-'IAS 41 Mvmnt Pigs'!I15-'IAS 41 Mvmnt Pigs'!J15</f>
        <v>#REF!</v>
      </c>
      <c r="F71" s="2249"/>
      <c r="G71" s="300"/>
    </row>
    <row r="72" spans="1:7" ht="30" customHeight="1">
      <c r="A72" s="256" t="s">
        <v>2267</v>
      </c>
      <c r="B72" s="256" t="s">
        <v>2268</v>
      </c>
      <c r="C72" s="265"/>
      <c r="D72" s="2249"/>
      <c r="E72" s="265" t="e">
        <f>-'IAS 41 Mvmnt Pigs'!I16</f>
        <v>#REF!</v>
      </c>
      <c r="F72" s="2249"/>
      <c r="G72" s="2250" t="e">
        <f>SUM(C69:C72)</f>
        <v>#REF!</v>
      </c>
    </row>
    <row r="73" spans="1:7" ht="30" customHeight="1">
      <c r="A73" s="149" t="s">
        <v>2269</v>
      </c>
      <c r="B73" s="151" t="s">
        <v>2270</v>
      </c>
      <c r="C73" s="265"/>
      <c r="D73" s="2249"/>
      <c r="E73" s="265" t="e">
        <f>-'IAS 41 Mvmnt Pigs'!H17-'IAS 41 Mvmnt Pigs'!I17-'IAS 41 Mvmnt Pigs'!J17</f>
        <v>#REF!</v>
      </c>
      <c r="F73" s="2249"/>
      <c r="G73" s="2250" t="e">
        <f>SUM(E71:E75)</f>
        <v>#REF!</v>
      </c>
    </row>
    <row r="74" spans="1:7" ht="30" customHeight="1">
      <c r="A74" s="256" t="s">
        <v>2265</v>
      </c>
      <c r="B74" s="256" t="s">
        <v>2266</v>
      </c>
      <c r="C74" s="265"/>
      <c r="D74" s="2249"/>
      <c r="E74" s="265">
        <v>0</v>
      </c>
      <c r="F74" s="2249"/>
      <c r="G74" s="2250" t="e">
        <f>G72-G73</f>
        <v>#REF!</v>
      </c>
    </row>
    <row r="75" spans="1:7" ht="30" customHeight="1">
      <c r="A75" s="149" t="s">
        <v>2269</v>
      </c>
      <c r="B75" s="151" t="s">
        <v>2270</v>
      </c>
      <c r="C75" s="265"/>
      <c r="D75" s="2249"/>
      <c r="E75" s="265">
        <v>0</v>
      </c>
      <c r="F75" s="2249"/>
      <c r="G75" s="300"/>
    </row>
    <row r="76" spans="1:7" ht="30" customHeight="1">
      <c r="A76" s="149" t="s">
        <v>2273</v>
      </c>
      <c r="B76" s="151" t="s">
        <v>2274</v>
      </c>
      <c r="C76" s="265">
        <f>'IAS 41 Mvmnt Pigs'!M13</f>
        <v>0</v>
      </c>
      <c r="D76" s="2249"/>
      <c r="E76" s="265"/>
      <c r="F76" s="2249"/>
      <c r="G76" s="300"/>
    </row>
    <row r="77" spans="1:7" ht="30" customHeight="1">
      <c r="A77" s="149" t="s">
        <v>2263</v>
      </c>
      <c r="B77" s="256" t="s">
        <v>2264</v>
      </c>
      <c r="C77" s="265">
        <f>'IAS 41 Mvmnt Pigs'!M14</f>
        <v>0</v>
      </c>
      <c r="D77" s="2249"/>
      <c r="E77" s="265"/>
      <c r="F77" s="2249"/>
      <c r="G77" s="300"/>
    </row>
    <row r="78" spans="1:7" ht="30" customHeight="1">
      <c r="A78" s="149" t="s">
        <v>2265</v>
      </c>
      <c r="B78" s="256" t="s">
        <v>2266</v>
      </c>
      <c r="C78" s="265">
        <f>'IAS 41 Mvmnt Pigs'!M15</f>
        <v>0</v>
      </c>
      <c r="D78" s="2249"/>
      <c r="E78" s="265"/>
      <c r="F78" s="2249"/>
      <c r="G78" s="300"/>
    </row>
    <row r="79" spans="1:7" ht="30" customHeight="1">
      <c r="A79" s="149" t="s">
        <v>2267</v>
      </c>
      <c r="B79" s="151" t="s">
        <v>2268</v>
      </c>
      <c r="C79" s="265">
        <f>'IAS 41 Mvmnt Pigs'!M16</f>
        <v>0</v>
      </c>
      <c r="D79" s="2249"/>
      <c r="E79" s="265"/>
      <c r="F79" s="2249"/>
      <c r="G79" s="300"/>
    </row>
    <row r="80" spans="1:7" ht="30" customHeight="1">
      <c r="A80" s="149" t="s">
        <v>2269</v>
      </c>
      <c r="B80" s="256" t="s">
        <v>2270</v>
      </c>
      <c r="C80" s="265">
        <f>'IAS 41 Mvmnt Pigs'!M17</f>
        <v>0</v>
      </c>
      <c r="D80" s="2249"/>
      <c r="E80" s="265"/>
      <c r="F80" s="2249"/>
      <c r="G80" s="300"/>
    </row>
    <row r="81" spans="1:9" ht="30" customHeight="1">
      <c r="A81" s="149" t="s">
        <v>2271</v>
      </c>
      <c r="B81" s="256" t="s">
        <v>2272</v>
      </c>
      <c r="C81" s="265">
        <f>'IAS 41 Mvmnt Pigs'!M18</f>
        <v>0</v>
      </c>
      <c r="D81" s="2249"/>
      <c r="E81" s="265"/>
      <c r="F81" s="2249"/>
      <c r="G81" s="300"/>
      <c r="H81" s="300"/>
      <c r="I81" s="300"/>
    </row>
    <row r="82" spans="1:9" ht="30" customHeight="1">
      <c r="A82" s="256" t="s">
        <v>2277</v>
      </c>
      <c r="B82" s="256" t="s">
        <v>2278</v>
      </c>
      <c r="C82" s="265"/>
      <c r="D82" s="2249"/>
      <c r="E82" s="265">
        <f>'IAS 41 Mvmnt Pigs'!M19</f>
        <v>0</v>
      </c>
      <c r="F82" s="2249"/>
      <c r="G82" s="300"/>
      <c r="H82" s="141"/>
      <c r="I82" s="141"/>
    </row>
    <row r="83" spans="1:9" ht="30" customHeight="1">
      <c r="A83" s="256"/>
      <c r="B83" s="151"/>
      <c r="C83" s="265"/>
      <c r="D83" s="2249"/>
      <c r="E83" s="265"/>
      <c r="F83" s="2249"/>
      <c r="G83" s="300"/>
      <c r="H83" s="141"/>
      <c r="I83" s="141"/>
    </row>
    <row r="84" spans="1:9" ht="30" customHeight="1">
      <c r="A84" s="256"/>
      <c r="B84" s="151"/>
      <c r="C84" s="265"/>
      <c r="D84" s="2249"/>
      <c r="E84" s="265"/>
      <c r="F84" s="2249"/>
      <c r="G84" s="300"/>
      <c r="H84" s="141"/>
      <c r="I84" s="141"/>
    </row>
    <row r="85" spans="1:9" ht="30" customHeight="1">
      <c r="A85" s="256"/>
      <c r="B85" s="256"/>
      <c r="C85" s="265"/>
      <c r="D85" s="2249"/>
      <c r="E85" s="265"/>
      <c r="F85" s="2249"/>
      <c r="G85" s="300"/>
      <c r="H85" s="141"/>
      <c r="I85" s="141"/>
    </row>
    <row r="86" spans="1:9" ht="30" customHeight="1">
      <c r="A86" s="256"/>
      <c r="B86" s="256"/>
      <c r="C86" s="265"/>
      <c r="D86" s="2249"/>
      <c r="E86" s="265"/>
      <c r="F86" s="2249"/>
      <c r="G86" s="300"/>
      <c r="H86" s="141"/>
      <c r="I86" s="141"/>
    </row>
    <row r="87" spans="1:9" ht="30" customHeight="1">
      <c r="A87" s="256"/>
      <c r="B87" s="256"/>
      <c r="C87" s="265"/>
      <c r="D87" s="2249"/>
      <c r="E87" s="265"/>
      <c r="F87" s="2249"/>
      <c r="G87" s="300"/>
      <c r="H87" s="141"/>
      <c r="I87" s="141"/>
    </row>
    <row r="88" spans="1:9" ht="30" customHeight="1">
      <c r="A88" s="256"/>
      <c r="B88" s="256"/>
      <c r="C88" s="265"/>
      <c r="D88" s="2249"/>
      <c r="E88" s="265"/>
      <c r="F88" s="2249"/>
      <c r="G88" s="300"/>
      <c r="H88" s="141"/>
      <c r="I88" s="141"/>
    </row>
    <row r="89" spans="1:9" ht="30" customHeight="1">
      <c r="A89" s="256"/>
      <c r="B89" s="256"/>
      <c r="C89" s="265"/>
      <c r="D89" s="2249"/>
      <c r="E89" s="265"/>
      <c r="F89" s="2249"/>
      <c r="G89" s="300"/>
      <c r="H89" s="300"/>
      <c r="I89" s="300"/>
    </row>
    <row r="90" spans="1:9" ht="30" customHeight="1">
      <c r="A90" s="256"/>
      <c r="B90" s="256"/>
      <c r="C90" s="265"/>
      <c r="D90" s="2249"/>
      <c r="E90" s="265"/>
      <c r="F90" s="2249"/>
      <c r="G90" s="300"/>
      <c r="H90" s="300"/>
      <c r="I90" s="300"/>
    </row>
    <row r="91" spans="1:9" ht="30" customHeight="1" thickBot="1">
      <c r="A91" s="149"/>
      <c r="B91" s="150"/>
      <c r="C91" s="265"/>
      <c r="D91" s="2249"/>
      <c r="E91" s="265"/>
      <c r="F91" s="2249"/>
      <c r="G91" s="300"/>
      <c r="H91" s="300"/>
      <c r="I91" s="300"/>
    </row>
    <row r="92" spans="1:9" ht="30" customHeight="1" thickBot="1">
      <c r="A92" s="148" t="s">
        <v>2258</v>
      </c>
      <c r="B92" s="2257"/>
      <c r="C92" s="2258" t="e">
        <f>SUM(C57:C91)</f>
        <v>#REF!</v>
      </c>
      <c r="D92" s="2258"/>
      <c r="E92" s="2258" t="e">
        <f>SUM(E57:E91)</f>
        <v>#REF!</v>
      </c>
      <c r="F92" s="2258"/>
      <c r="G92" s="300"/>
      <c r="H92" s="300"/>
      <c r="I92" s="300"/>
    </row>
    <row r="93" spans="1:9" ht="30" customHeight="1" thickTop="1">
      <c r="A93" s="300"/>
      <c r="B93" s="300"/>
      <c r="C93" s="2259"/>
      <c r="D93" s="2259"/>
      <c r="E93" s="2259" t="e">
        <f>+C92-E92</f>
        <v>#REF!</v>
      </c>
      <c r="F93" s="2259"/>
      <c r="G93" s="300"/>
      <c r="H93" s="300"/>
      <c r="I93" s="300"/>
    </row>
    <row r="94" spans="1:9" ht="30" customHeight="1">
      <c r="A94" s="300"/>
      <c r="B94" s="300"/>
      <c r="C94" s="2259"/>
      <c r="D94" s="2259"/>
      <c r="E94" s="2259"/>
      <c r="F94" s="2259"/>
      <c r="G94" s="300"/>
      <c r="H94" s="300"/>
      <c r="I94" s="300"/>
    </row>
    <row r="95" spans="1:9" ht="30" customHeight="1">
      <c r="A95" s="131" t="s">
        <v>2259</v>
      </c>
      <c r="B95" s="1"/>
      <c r="C95" s="2245"/>
      <c r="D95" s="2245"/>
      <c r="E95" s="2245"/>
      <c r="F95" s="2245"/>
      <c r="G95" s="300"/>
      <c r="H95" s="300"/>
      <c r="I95" s="300"/>
    </row>
    <row r="96" spans="1:9" ht="30" customHeight="1">
      <c r="A96" s="131" t="s">
        <v>2260</v>
      </c>
      <c r="B96" s="1"/>
      <c r="C96" s="2245"/>
      <c r="D96" s="2245"/>
      <c r="E96" s="2245"/>
      <c r="F96" s="2245"/>
      <c r="G96" s="300"/>
      <c r="H96" s="300"/>
      <c r="I96" s="300"/>
    </row>
    <row r="97" spans="1:6" ht="30" customHeight="1">
      <c r="A97" s="131" t="s">
        <v>2260</v>
      </c>
      <c r="B97" s="1"/>
      <c r="C97" s="2245"/>
      <c r="D97" s="2245"/>
      <c r="E97" s="2245"/>
      <c r="F97" s="2245"/>
    </row>
    <row r="98" spans="1:6" ht="30" customHeight="1">
      <c r="A98" s="131" t="s">
        <v>2261</v>
      </c>
      <c r="B98" s="1"/>
      <c r="C98" s="2245"/>
      <c r="D98" s="2245"/>
      <c r="E98" s="2245"/>
      <c r="F98" s="2245"/>
    </row>
    <row r="99" spans="1:6" ht="30" customHeight="1">
      <c r="A99" s="131"/>
      <c r="B99" s="1"/>
      <c r="C99" s="2245"/>
      <c r="D99" s="2245"/>
      <c r="E99" s="2245"/>
      <c r="F99" s="2245"/>
    </row>
    <row r="100" spans="1:6" ht="30" customHeight="1">
      <c r="A100" s="131" t="s">
        <v>2262</v>
      </c>
      <c r="B100" s="1"/>
      <c r="C100" s="2245"/>
      <c r="D100" s="2245"/>
      <c r="E100" s="2245"/>
      <c r="F100" s="2245"/>
    </row>
    <row r="101" spans="1:6" ht="30" customHeight="1">
      <c r="A101" s="300"/>
      <c r="B101" s="300"/>
      <c r="C101" s="2245"/>
      <c r="D101" s="2245"/>
      <c r="E101" s="2245"/>
      <c r="F101" s="2245"/>
    </row>
    <row r="102" spans="1:6" ht="30" customHeight="1">
      <c r="A102" s="2170" t="s">
        <v>2221</v>
      </c>
      <c r="B102" s="2170"/>
      <c r="C102" s="234" t="s">
        <v>2222</v>
      </c>
      <c r="D102" s="2245"/>
      <c r="E102" s="2245"/>
      <c r="F102" s="2245"/>
    </row>
    <row r="103" spans="1:6" ht="30" customHeight="1" thickBot="1">
      <c r="A103" s="146" t="s">
        <v>2223</v>
      </c>
      <c r="B103" s="2246"/>
      <c r="C103" s="2247"/>
      <c r="D103" s="2247"/>
      <c r="E103" s="2247"/>
      <c r="F103" s="2247"/>
    </row>
    <row r="104" spans="1:6" ht="30" customHeight="1" thickTop="1" thickBot="1">
      <c r="A104" s="147" t="s">
        <v>2224</v>
      </c>
      <c r="B104" s="147" t="s">
        <v>87</v>
      </c>
      <c r="C104" s="236" t="s">
        <v>2225</v>
      </c>
      <c r="D104" s="2248"/>
      <c r="E104" s="236" t="s">
        <v>2226</v>
      </c>
      <c r="F104" s="2248"/>
    </row>
    <row r="105" spans="1:6" ht="30" customHeight="1" thickTop="1">
      <c r="A105" s="256"/>
      <c r="B105" s="256"/>
      <c r="C105" s="265"/>
      <c r="D105" s="2249"/>
      <c r="E105" s="265"/>
      <c r="F105" s="2249"/>
    </row>
    <row r="106" spans="1:6" ht="30" customHeight="1">
      <c r="A106" s="256"/>
      <c r="B106" s="256"/>
      <c r="C106" s="265"/>
      <c r="D106" s="2249"/>
      <c r="E106" s="265"/>
      <c r="F106" s="2249"/>
    </row>
    <row r="107" spans="1:6" ht="30" customHeight="1">
      <c r="A107" s="256"/>
      <c r="B107" s="256"/>
      <c r="C107" s="265"/>
      <c r="D107" s="2249"/>
      <c r="E107" s="265"/>
      <c r="F107" s="2249"/>
    </row>
    <row r="108" spans="1:6" ht="30" customHeight="1">
      <c r="A108" s="256"/>
      <c r="B108" s="2260"/>
      <c r="C108" s="265"/>
      <c r="D108" s="2249"/>
      <c r="E108" s="265"/>
      <c r="F108" s="2249"/>
    </row>
    <row r="109" spans="1:6" ht="30" customHeight="1">
      <c r="A109" s="256"/>
      <c r="B109" s="2260"/>
      <c r="C109" s="265"/>
      <c r="D109" s="2249"/>
      <c r="E109" s="265"/>
      <c r="F109" s="2249"/>
    </row>
    <row r="110" spans="1:6" ht="30" customHeight="1">
      <c r="A110" s="256"/>
      <c r="B110" s="2260"/>
      <c r="C110" s="265"/>
      <c r="D110" s="2249"/>
      <c r="E110" s="265"/>
      <c r="F110" s="2249"/>
    </row>
    <row r="111" spans="1:6" ht="30" customHeight="1">
      <c r="A111" s="256"/>
      <c r="B111" s="2260"/>
      <c r="C111" s="265"/>
      <c r="D111" s="2249"/>
      <c r="E111" s="265"/>
      <c r="F111" s="2249"/>
    </row>
    <row r="112" spans="1:6" ht="30" customHeight="1">
      <c r="A112" s="256"/>
      <c r="B112" s="2260"/>
      <c r="C112" s="265"/>
      <c r="D112" s="2249"/>
      <c r="E112" s="265"/>
      <c r="F112" s="2249"/>
    </row>
    <row r="113" spans="1:6" ht="30" customHeight="1">
      <c r="A113" s="256"/>
      <c r="B113" s="2260"/>
      <c r="C113" s="265"/>
      <c r="D113" s="2249"/>
      <c r="E113" s="265"/>
      <c r="F113" s="2249"/>
    </row>
    <row r="114" spans="1:6" ht="30" customHeight="1">
      <c r="A114" s="256"/>
      <c r="B114" s="256"/>
      <c r="C114" s="265"/>
      <c r="D114" s="2249"/>
      <c r="E114" s="265"/>
      <c r="F114" s="2249"/>
    </row>
    <row r="115" spans="1:6" ht="30" customHeight="1">
      <c r="A115" s="256"/>
      <c r="B115" s="256"/>
      <c r="C115" s="265"/>
      <c r="D115" s="2249"/>
      <c r="E115" s="265"/>
      <c r="F115" s="2249"/>
    </row>
    <row r="116" spans="1:6" ht="30" customHeight="1">
      <c r="A116" s="256"/>
      <c r="B116" s="256"/>
      <c r="C116" s="265"/>
      <c r="D116" s="2249"/>
      <c r="E116" s="265"/>
      <c r="F116" s="2249"/>
    </row>
    <row r="117" spans="1:6" ht="30" customHeight="1">
      <c r="A117" s="149"/>
      <c r="B117" s="151"/>
      <c r="C117" s="265"/>
      <c r="D117" s="2249"/>
      <c r="E117" s="265"/>
      <c r="F117" s="2249"/>
    </row>
    <row r="118" spans="1:6" ht="30" customHeight="1">
      <c r="A118" s="149"/>
      <c r="B118" s="256"/>
      <c r="C118" s="265"/>
      <c r="D118" s="2249"/>
      <c r="E118" s="265"/>
      <c r="F118" s="2249"/>
    </row>
    <row r="119" spans="1:6" ht="30" customHeight="1">
      <c r="A119" s="256"/>
      <c r="B119" s="256"/>
      <c r="C119" s="265"/>
      <c r="D119" s="2249"/>
      <c r="E119" s="265"/>
      <c r="F119" s="2249"/>
    </row>
    <row r="120" spans="1:6" ht="30" customHeight="1">
      <c r="A120" s="149"/>
      <c r="B120" s="141"/>
      <c r="C120" s="265"/>
      <c r="D120" s="2249"/>
      <c r="E120" s="265"/>
      <c r="F120" s="2249"/>
    </row>
    <row r="121" spans="1:6" ht="30" customHeight="1">
      <c r="A121" s="149"/>
      <c r="B121" s="150"/>
      <c r="C121" s="265"/>
      <c r="D121" s="2249"/>
      <c r="E121" s="265"/>
      <c r="F121" s="2249"/>
    </row>
    <row r="122" spans="1:6" ht="30" customHeight="1">
      <c r="A122" s="149"/>
      <c r="B122" s="150"/>
      <c r="C122" s="265"/>
      <c r="D122" s="2249"/>
      <c r="E122" s="265"/>
      <c r="F122" s="2249"/>
    </row>
    <row r="123" spans="1:6" ht="30" customHeight="1">
      <c r="A123" s="256"/>
      <c r="B123" s="256"/>
      <c r="C123" s="265"/>
      <c r="D123" s="2249"/>
      <c r="E123" s="265"/>
      <c r="F123" s="2249"/>
    </row>
    <row r="124" spans="1:6" ht="30" customHeight="1">
      <c r="A124" s="256"/>
      <c r="B124" s="256"/>
      <c r="C124" s="265"/>
      <c r="D124" s="2249"/>
      <c r="E124" s="265"/>
      <c r="F124" s="2249"/>
    </row>
    <row r="125" spans="1:6" ht="30" customHeight="1">
      <c r="A125" s="256"/>
      <c r="B125" s="256"/>
      <c r="C125" s="265"/>
      <c r="D125" s="2249"/>
      <c r="E125" s="265"/>
      <c r="F125" s="2249"/>
    </row>
    <row r="126" spans="1:6" ht="30" customHeight="1">
      <c r="A126" s="256"/>
      <c r="B126" s="256"/>
      <c r="C126" s="265"/>
      <c r="D126" s="2249"/>
      <c r="E126" s="265"/>
      <c r="F126" s="2249"/>
    </row>
    <row r="127" spans="1:6" ht="30" customHeight="1">
      <c r="A127" s="256"/>
      <c r="B127" s="256"/>
      <c r="C127" s="265"/>
      <c r="D127" s="2249"/>
      <c r="E127" s="265"/>
      <c r="F127" s="2249"/>
    </row>
    <row r="128" spans="1:6" ht="30" customHeight="1">
      <c r="A128" s="256"/>
      <c r="B128" s="256"/>
      <c r="C128" s="265"/>
      <c r="D128" s="2249"/>
      <c r="E128" s="265"/>
      <c r="F128" s="2249"/>
    </row>
    <row r="129" spans="1:6" ht="30" customHeight="1">
      <c r="A129" s="256"/>
      <c r="B129" s="256"/>
      <c r="C129" s="265"/>
      <c r="D129" s="2249"/>
      <c r="E129" s="265"/>
      <c r="F129" s="2249"/>
    </row>
    <row r="130" spans="1:6" ht="30" customHeight="1">
      <c r="A130" s="256"/>
      <c r="B130" s="256"/>
      <c r="C130" s="265"/>
      <c r="D130" s="2249"/>
      <c r="E130" s="265"/>
      <c r="F130" s="2249"/>
    </row>
    <row r="131" spans="1:6" ht="30" customHeight="1">
      <c r="A131" s="256"/>
      <c r="B131" s="256"/>
      <c r="C131" s="265"/>
      <c r="D131" s="2249"/>
      <c r="E131" s="265"/>
      <c r="F131" s="2249"/>
    </row>
    <row r="132" spans="1:6" ht="30" customHeight="1">
      <c r="A132" s="256"/>
      <c r="B132" s="256"/>
      <c r="C132" s="265"/>
      <c r="D132" s="2249"/>
      <c r="E132" s="265"/>
      <c r="F132" s="2249"/>
    </row>
    <row r="133" spans="1:6" ht="30" customHeight="1">
      <c r="A133" s="256"/>
      <c r="B133" s="256"/>
      <c r="C133" s="265"/>
      <c r="D133" s="2249"/>
      <c r="E133" s="265"/>
      <c r="F133" s="2249"/>
    </row>
    <row r="134" spans="1:6" ht="30" customHeight="1">
      <c r="A134" s="256"/>
      <c r="B134" s="256"/>
      <c r="C134" s="265"/>
      <c r="D134" s="2249"/>
      <c r="E134" s="265"/>
      <c r="F134" s="2249"/>
    </row>
    <row r="135" spans="1:6" ht="30" customHeight="1">
      <c r="A135" s="256"/>
      <c r="B135" s="256"/>
      <c r="C135" s="265"/>
      <c r="D135" s="2249"/>
      <c r="E135" s="265"/>
      <c r="F135" s="2249"/>
    </row>
    <row r="136" spans="1:6" ht="30" customHeight="1">
      <c r="A136" s="256"/>
      <c r="B136" s="256"/>
      <c r="C136" s="2252"/>
      <c r="D136" s="2253"/>
      <c r="E136" s="2252"/>
      <c r="F136" s="2253"/>
    </row>
    <row r="137" spans="1:6" ht="30" customHeight="1" thickBot="1">
      <c r="A137" s="256"/>
      <c r="B137" s="256"/>
      <c r="C137" s="2252"/>
      <c r="D137" s="2253"/>
      <c r="E137" s="2252"/>
      <c r="F137" s="2253"/>
    </row>
    <row r="138" spans="1:6" ht="30" customHeight="1" thickBot="1">
      <c r="A138" s="148" t="s">
        <v>2258</v>
      </c>
      <c r="B138" s="2257"/>
      <c r="C138" s="2258">
        <f>SUM(C105:C137)</f>
        <v>0</v>
      </c>
      <c r="D138" s="2258"/>
      <c r="E138" s="2258">
        <f>SUM(E105:E137)</f>
        <v>0</v>
      </c>
      <c r="F138" s="2258"/>
    </row>
    <row r="139" spans="1:6" ht="30" customHeight="1" thickTop="1">
      <c r="A139" s="300"/>
      <c r="B139" s="300"/>
      <c r="C139" s="2259"/>
      <c r="D139" s="2259"/>
      <c r="E139" s="2259">
        <f>+C138-E138</f>
        <v>0</v>
      </c>
      <c r="F139" s="2259"/>
    </row>
    <row r="140" spans="1:6" ht="30" customHeight="1">
      <c r="A140" s="300"/>
      <c r="B140" s="300"/>
      <c r="C140" s="2259"/>
      <c r="D140" s="2259"/>
      <c r="E140" s="2259"/>
      <c r="F140" s="2259"/>
    </row>
    <row r="141" spans="1:6" ht="30" customHeight="1">
      <c r="A141" s="131" t="s">
        <v>2259</v>
      </c>
      <c r="B141" s="1"/>
      <c r="C141" s="2245"/>
      <c r="D141" s="2245"/>
      <c r="E141" s="2245"/>
      <c r="F141" s="2245"/>
    </row>
    <row r="142" spans="1:6" ht="30" customHeight="1">
      <c r="A142" s="131" t="s">
        <v>2260</v>
      </c>
      <c r="B142" s="1"/>
      <c r="C142" s="2245"/>
      <c r="D142" s="2245"/>
      <c r="E142" s="2245"/>
      <c r="F142" s="2245"/>
    </row>
    <row r="143" spans="1:6" ht="30" customHeight="1">
      <c r="A143" s="131" t="s">
        <v>2260</v>
      </c>
      <c r="B143" s="1"/>
      <c r="C143" s="2245"/>
      <c r="D143" s="2245"/>
      <c r="E143" s="2245"/>
      <c r="F143" s="2245"/>
    </row>
    <row r="144" spans="1:6" ht="30" customHeight="1">
      <c r="A144" s="131" t="s">
        <v>2260</v>
      </c>
      <c r="B144" s="1"/>
      <c r="C144" s="2245"/>
      <c r="D144" s="2245"/>
      <c r="E144" s="2245"/>
      <c r="F144" s="2245"/>
    </row>
    <row r="145" spans="1:9" ht="30" customHeight="1">
      <c r="A145" s="131"/>
      <c r="B145" s="1"/>
      <c r="C145" s="2245"/>
      <c r="D145" s="2245"/>
      <c r="E145" s="2245"/>
      <c r="F145" s="2245"/>
      <c r="G145" s="300"/>
      <c r="H145" s="300"/>
      <c r="I145" s="300"/>
    </row>
    <row r="146" spans="1:9" ht="30" customHeight="1">
      <c r="A146" s="131" t="s">
        <v>2261</v>
      </c>
      <c r="B146" s="1"/>
      <c r="C146" s="2245"/>
      <c r="D146" s="2245"/>
      <c r="E146" s="2245"/>
      <c r="F146" s="2245"/>
      <c r="G146" s="300"/>
      <c r="H146" s="300"/>
      <c r="I146" s="300"/>
    </row>
    <row r="147" spans="1:9" ht="30" customHeight="1">
      <c r="A147" s="131"/>
      <c r="B147" s="1"/>
      <c r="C147" s="2245"/>
      <c r="D147" s="2245"/>
      <c r="E147" s="2245"/>
      <c r="F147" s="2245"/>
      <c r="G147" s="300"/>
      <c r="H147" s="300"/>
      <c r="I147" s="300"/>
    </row>
    <row r="148" spans="1:9" ht="30" customHeight="1">
      <c r="A148" s="131" t="s">
        <v>2262</v>
      </c>
      <c r="B148" s="1"/>
      <c r="C148" s="2245"/>
      <c r="D148" s="2245"/>
      <c r="E148" s="2245"/>
      <c r="F148" s="2245"/>
      <c r="G148" s="300"/>
      <c r="H148" s="300"/>
      <c r="I148" s="300"/>
    </row>
    <row r="149" spans="1:9" ht="30" customHeight="1">
      <c r="A149" s="300"/>
      <c r="B149" s="300"/>
      <c r="C149" s="2245"/>
      <c r="D149" s="2245"/>
      <c r="E149" s="2245"/>
      <c r="F149" s="2245"/>
      <c r="G149" s="300"/>
      <c r="H149" s="300"/>
      <c r="I149" s="300"/>
    </row>
    <row r="150" spans="1:9" ht="30" customHeight="1">
      <c r="A150" s="2170" t="s">
        <v>2279</v>
      </c>
      <c r="B150" s="2170"/>
      <c r="C150" s="234" t="s">
        <v>2222</v>
      </c>
      <c r="D150" s="2245"/>
      <c r="E150" s="2245"/>
      <c r="F150" s="2245"/>
      <c r="G150" s="300"/>
      <c r="H150" s="300"/>
      <c r="I150" s="300"/>
    </row>
    <row r="151" spans="1:9" ht="30" customHeight="1" thickBot="1">
      <c r="A151" s="146" t="s">
        <v>2223</v>
      </c>
      <c r="B151" s="2246"/>
      <c r="C151" s="2247"/>
      <c r="D151" s="2247"/>
      <c r="E151" s="2247"/>
      <c r="F151" s="2247"/>
      <c r="G151" s="300"/>
      <c r="H151" s="300"/>
      <c r="I151" s="300"/>
    </row>
    <row r="152" spans="1:9" ht="30" customHeight="1" thickTop="1" thickBot="1">
      <c r="A152" s="147" t="s">
        <v>2224</v>
      </c>
      <c r="B152" s="147" t="s">
        <v>87</v>
      </c>
      <c r="C152" s="236" t="s">
        <v>2225</v>
      </c>
      <c r="D152" s="2248"/>
      <c r="E152" s="236" t="s">
        <v>2226</v>
      </c>
      <c r="F152" s="2248"/>
      <c r="G152" s="300"/>
      <c r="H152" s="300"/>
      <c r="I152" s="300"/>
    </row>
    <row r="153" spans="1:9" ht="30" customHeight="1" thickTop="1">
      <c r="A153" s="152" t="s">
        <v>2228</v>
      </c>
      <c r="B153" s="141" t="s">
        <v>397</v>
      </c>
      <c r="C153" s="265" t="e">
        <f>'Pigs Cost'!E27</f>
        <v>#REF!</v>
      </c>
      <c r="D153" s="2249"/>
      <c r="E153" s="265"/>
      <c r="F153" s="2249"/>
      <c r="G153" s="300"/>
      <c r="H153" s="300"/>
      <c r="I153" s="300"/>
    </row>
    <row r="154" spans="1:9" ht="30" customHeight="1">
      <c r="A154" s="153" t="s">
        <v>2249</v>
      </c>
      <c r="B154" s="151" t="s">
        <v>2280</v>
      </c>
      <c r="C154" s="2261"/>
      <c r="D154" s="2249"/>
      <c r="E154" s="265" t="e">
        <f>300*'Pigs Cost'!N101</f>
        <v>#REF!</v>
      </c>
      <c r="F154" s="2249"/>
      <c r="G154" s="300"/>
      <c r="H154" s="300"/>
      <c r="I154" s="300"/>
    </row>
    <row r="155" spans="1:9" ht="30" customHeight="1">
      <c r="A155" s="153"/>
      <c r="B155" s="151" t="s">
        <v>2244</v>
      </c>
      <c r="C155" s="2261"/>
      <c r="D155" s="2249"/>
      <c r="E155" s="265" t="e">
        <f>0*'Pigs Cost'!N54</f>
        <v>#REF!</v>
      </c>
      <c r="F155" s="2249"/>
      <c r="G155" s="300"/>
      <c r="H155" s="300"/>
      <c r="I155" s="300"/>
    </row>
    <row r="156" spans="1:9" ht="30" customHeight="1">
      <c r="A156" s="153" t="s">
        <v>2228</v>
      </c>
      <c r="B156" s="154" t="s">
        <v>397</v>
      </c>
      <c r="C156" s="2261" t="e">
        <f>'Pigs Cost'!J27</f>
        <v>#REF!</v>
      </c>
      <c r="D156" s="2249"/>
      <c r="E156" s="265"/>
      <c r="F156" s="2249"/>
      <c r="G156" s="300"/>
      <c r="H156" s="300"/>
      <c r="I156" s="300"/>
    </row>
    <row r="157" spans="1:9" ht="30" customHeight="1">
      <c r="A157" s="153" t="s">
        <v>2281</v>
      </c>
      <c r="B157" s="151" t="s">
        <v>127</v>
      </c>
      <c r="C157" s="2261"/>
      <c r="D157" s="2249"/>
      <c r="E157" s="265" t="e">
        <f>+C156</f>
        <v>#REF!</v>
      </c>
      <c r="F157" s="2249"/>
      <c r="G157" s="300"/>
      <c r="H157" s="141"/>
      <c r="I157" s="141"/>
    </row>
    <row r="158" spans="1:9" ht="30" customHeight="1">
      <c r="A158" s="262" t="s">
        <v>2254</v>
      </c>
      <c r="B158" s="256" t="s">
        <v>2282</v>
      </c>
      <c r="C158" s="265" t="e">
        <f>-'Pigs Cost'!P31-'Pigs Cost'!Q27</f>
        <v>#REF!</v>
      </c>
      <c r="D158" s="2249"/>
      <c r="E158" s="265"/>
      <c r="F158" s="2249"/>
      <c r="G158" s="300"/>
      <c r="H158" s="141"/>
      <c r="I158" s="141"/>
    </row>
    <row r="159" spans="1:9" ht="30" customHeight="1">
      <c r="A159" s="256" t="s">
        <v>2228</v>
      </c>
      <c r="B159" s="256" t="s">
        <v>397</v>
      </c>
      <c r="C159" s="265"/>
      <c r="D159" s="2249"/>
      <c r="E159" s="265" t="e">
        <f>-'Pigs Cost'!P31-'Pigs Cost'!Q31</f>
        <v>#REF!</v>
      </c>
      <c r="F159" s="2249"/>
      <c r="G159" s="2250" t="e">
        <f>C158-E159</f>
        <v>#REF!</v>
      </c>
      <c r="H159" s="141"/>
      <c r="I159" s="141"/>
    </row>
    <row r="160" spans="1:9" ht="30" customHeight="1">
      <c r="A160" s="256" t="s">
        <v>2256</v>
      </c>
      <c r="B160" s="256" t="s">
        <v>2257</v>
      </c>
      <c r="C160" s="265" t="e">
        <f>-'Pigs Cost'!R27</f>
        <v>#REF!</v>
      </c>
      <c r="D160" s="2249"/>
      <c r="E160" s="265"/>
      <c r="F160" s="2249"/>
      <c r="G160" s="300"/>
      <c r="H160" s="141"/>
      <c r="I160" s="141"/>
    </row>
    <row r="161" spans="1:9" ht="30" customHeight="1">
      <c r="A161" s="256" t="s">
        <v>2228</v>
      </c>
      <c r="B161" s="256" t="s">
        <v>397</v>
      </c>
      <c r="C161" s="265"/>
      <c r="D161" s="2249"/>
      <c r="E161" s="265" t="e">
        <f>-'Pigs Cost'!R31</f>
        <v>#REF!</v>
      </c>
      <c r="F161" s="2249"/>
      <c r="G161" s="300"/>
      <c r="H161" s="141"/>
      <c r="I161" s="141"/>
    </row>
    <row r="162" spans="1:9" ht="30" customHeight="1">
      <c r="A162" s="256" t="s">
        <v>2265</v>
      </c>
      <c r="B162" s="256" t="s">
        <v>2266</v>
      </c>
      <c r="C162" s="265" t="e">
        <f>'IAS 41 Mvmnt Pigs'!D27</f>
        <v>#REF!</v>
      </c>
      <c r="D162" s="2249"/>
      <c r="E162" s="265"/>
      <c r="F162" s="2249"/>
      <c r="G162" s="300"/>
      <c r="H162" s="141"/>
      <c r="I162" s="141"/>
    </row>
    <row r="163" spans="1:9" ht="30" customHeight="1">
      <c r="A163" s="262" t="s">
        <v>2249</v>
      </c>
      <c r="B163" s="256" t="s">
        <v>2280</v>
      </c>
      <c r="C163" s="265"/>
      <c r="D163" s="2249"/>
      <c r="E163" s="265" t="e">
        <f>300*'IAS 41 Mvmnt Pigs'!F101</f>
        <v>#REF!</v>
      </c>
      <c r="F163" s="2249"/>
      <c r="G163" s="300"/>
      <c r="H163" s="141"/>
      <c r="I163" s="141"/>
    </row>
    <row r="164" spans="1:9" ht="30" customHeight="1">
      <c r="A164" s="256" t="s">
        <v>2243</v>
      </c>
      <c r="B164" s="256" t="s">
        <v>2244</v>
      </c>
      <c r="C164" s="265"/>
      <c r="D164" s="2249"/>
      <c r="E164" s="265" t="e">
        <f>0*'IAS 41 Mvmnt Pigs'!F54</f>
        <v>#REF!</v>
      </c>
      <c r="F164" s="2249"/>
      <c r="G164" s="300"/>
      <c r="H164" s="141"/>
      <c r="I164" s="141"/>
    </row>
    <row r="165" spans="1:9" ht="30" customHeight="1">
      <c r="A165" s="256" t="s">
        <v>2275</v>
      </c>
      <c r="B165" s="256" t="s">
        <v>2283</v>
      </c>
      <c r="C165" s="265" t="e">
        <f>-'IAS 41 Mvmnt Pigs'!H27-'IAS 41 Mvmnt Pigs'!I27</f>
        <v>#REF!</v>
      </c>
      <c r="D165" s="2249"/>
      <c r="E165" s="265"/>
      <c r="F165" s="2249"/>
      <c r="G165" s="300"/>
      <c r="H165" s="141"/>
      <c r="I165" s="141"/>
    </row>
    <row r="166" spans="1:9" ht="30" customHeight="1">
      <c r="A166" s="256" t="s">
        <v>2265</v>
      </c>
      <c r="B166" s="256" t="s">
        <v>2266</v>
      </c>
      <c r="C166" s="265"/>
      <c r="D166" s="2249"/>
      <c r="E166" s="265" t="e">
        <f>+C165</f>
        <v>#REF!</v>
      </c>
      <c r="F166" s="2249"/>
      <c r="G166" s="300"/>
      <c r="H166" s="141"/>
      <c r="I166" s="141"/>
    </row>
    <row r="167" spans="1:9" ht="30" customHeight="1">
      <c r="A167" s="256" t="s">
        <v>2256</v>
      </c>
      <c r="B167" s="256" t="s">
        <v>2257</v>
      </c>
      <c r="C167" s="265" t="e">
        <f>-'IAS 41 Mvmnt Pigs'!J27</f>
        <v>#REF!</v>
      </c>
      <c r="D167" s="2249"/>
      <c r="E167" s="265"/>
      <c r="F167" s="2249"/>
      <c r="G167" s="300"/>
      <c r="H167" s="141"/>
      <c r="I167" s="141"/>
    </row>
    <row r="168" spans="1:9" ht="30" customHeight="1">
      <c r="A168" s="256" t="s">
        <v>2265</v>
      </c>
      <c r="B168" s="256" t="s">
        <v>2266</v>
      </c>
      <c r="C168" s="265"/>
      <c r="D168" s="2249"/>
      <c r="E168" s="265" t="e">
        <f>-'IAS 41 Mvmnt Pigs'!J31</f>
        <v>#REF!</v>
      </c>
      <c r="F168" s="2249"/>
      <c r="G168" s="300"/>
      <c r="H168" s="141"/>
      <c r="I168" s="141"/>
    </row>
    <row r="169" spans="1:9" ht="30" customHeight="1">
      <c r="A169" s="256" t="s">
        <v>2265</v>
      </c>
      <c r="B169" s="256" t="s">
        <v>2266</v>
      </c>
      <c r="C169" s="265">
        <f>'IAS 41 Mvmnt Pigs'!M27</f>
        <v>0</v>
      </c>
      <c r="D169" s="2249"/>
      <c r="E169" s="265"/>
      <c r="F169" s="2249"/>
      <c r="G169" s="300"/>
      <c r="H169" s="300"/>
      <c r="I169" s="300"/>
    </row>
    <row r="170" spans="1:9" ht="30" customHeight="1">
      <c r="A170" s="256" t="s">
        <v>2277</v>
      </c>
      <c r="B170" s="256" t="s">
        <v>2278</v>
      </c>
      <c r="C170" s="265"/>
      <c r="D170" s="2249"/>
      <c r="E170" s="265">
        <f>C169</f>
        <v>0</v>
      </c>
      <c r="F170" s="2249"/>
      <c r="G170" s="300"/>
      <c r="H170" s="300"/>
      <c r="I170" s="300"/>
    </row>
    <row r="171" spans="1:9" ht="30" customHeight="1">
      <c r="A171" s="256"/>
      <c r="B171" s="256"/>
      <c r="C171" s="265"/>
      <c r="D171" s="2249"/>
      <c r="E171" s="265"/>
      <c r="F171" s="2249"/>
      <c r="G171" s="300"/>
      <c r="H171" s="300"/>
      <c r="I171" s="300"/>
    </row>
    <row r="172" spans="1:9" ht="30" customHeight="1">
      <c r="A172" s="256"/>
      <c r="B172" s="256"/>
      <c r="C172" s="265"/>
      <c r="D172" s="2249"/>
      <c r="E172" s="265"/>
      <c r="F172" s="2249"/>
      <c r="G172" s="300"/>
      <c r="H172" s="300"/>
      <c r="I172" s="300"/>
    </row>
    <row r="173" spans="1:9" ht="30" customHeight="1">
      <c r="A173" s="256"/>
      <c r="B173" s="256"/>
      <c r="C173" s="265"/>
      <c r="D173" s="2249"/>
      <c r="E173" s="265"/>
      <c r="F173" s="2249"/>
      <c r="G173" s="300"/>
      <c r="H173" s="300"/>
      <c r="I173" s="300"/>
    </row>
    <row r="174" spans="1:9" ht="30" customHeight="1">
      <c r="A174" s="256"/>
      <c r="B174" s="256"/>
      <c r="C174" s="265"/>
      <c r="D174" s="2249"/>
      <c r="E174" s="265"/>
      <c r="F174" s="2249"/>
      <c r="G174" s="300"/>
      <c r="H174" s="300"/>
      <c r="I174" s="300"/>
    </row>
    <row r="175" spans="1:9" ht="30" customHeight="1">
      <c r="A175" s="256"/>
      <c r="B175" s="256"/>
      <c r="C175" s="265"/>
      <c r="D175" s="2249"/>
      <c r="E175" s="265"/>
      <c r="F175" s="2249"/>
      <c r="G175" s="300"/>
      <c r="H175" s="300"/>
      <c r="I175" s="300"/>
    </row>
    <row r="176" spans="1:9" ht="30" customHeight="1">
      <c r="A176" s="256"/>
      <c r="B176" s="256"/>
      <c r="C176" s="265"/>
      <c r="D176" s="2249"/>
      <c r="E176" s="265"/>
      <c r="F176" s="2249"/>
      <c r="G176" s="300"/>
      <c r="H176" s="300"/>
      <c r="I176" s="300"/>
    </row>
    <row r="177" spans="1:6" ht="30" customHeight="1">
      <c r="A177" s="256"/>
      <c r="B177" s="256"/>
      <c r="C177" s="265"/>
      <c r="D177" s="2249"/>
      <c r="E177" s="265"/>
      <c r="F177" s="2249"/>
    </row>
    <row r="178" spans="1:6" ht="30" customHeight="1">
      <c r="A178" s="256"/>
      <c r="B178" s="256"/>
      <c r="C178" s="265"/>
      <c r="D178" s="2249"/>
      <c r="E178" s="265"/>
      <c r="F178" s="2249"/>
    </row>
    <row r="179" spans="1:6" ht="30" customHeight="1">
      <c r="A179" s="256"/>
      <c r="B179" s="256"/>
      <c r="C179" s="265"/>
      <c r="D179" s="2249"/>
      <c r="E179" s="265"/>
      <c r="F179" s="2249"/>
    </row>
    <row r="180" spans="1:6" ht="30" customHeight="1">
      <c r="A180" s="256"/>
      <c r="B180" s="256"/>
      <c r="C180" s="265"/>
      <c r="D180" s="2249"/>
      <c r="E180" s="265"/>
      <c r="F180" s="2249"/>
    </row>
    <row r="181" spans="1:6" ht="30" customHeight="1">
      <c r="A181" s="256"/>
      <c r="B181" s="256"/>
      <c r="C181" s="265"/>
      <c r="D181" s="2249"/>
      <c r="E181" s="265"/>
      <c r="F181" s="2249"/>
    </row>
    <row r="182" spans="1:6" ht="30" customHeight="1">
      <c r="A182" s="256"/>
      <c r="B182" s="256"/>
      <c r="C182" s="265"/>
      <c r="D182" s="2249"/>
      <c r="E182" s="265"/>
      <c r="F182" s="2249"/>
    </row>
    <row r="183" spans="1:6" ht="30" customHeight="1">
      <c r="A183" s="256"/>
      <c r="B183" s="256"/>
      <c r="C183" s="265"/>
      <c r="D183" s="2249"/>
      <c r="E183" s="265"/>
      <c r="F183" s="2249"/>
    </row>
    <row r="184" spans="1:6" ht="30" customHeight="1" thickBot="1">
      <c r="A184" s="268"/>
      <c r="B184" s="268"/>
      <c r="C184" s="2252"/>
      <c r="D184" s="2253"/>
      <c r="E184" s="2252"/>
      <c r="F184" s="2253"/>
    </row>
    <row r="185" spans="1:6" ht="30" customHeight="1" thickBot="1">
      <c r="A185" s="148" t="s">
        <v>2258</v>
      </c>
      <c r="B185" s="2257"/>
      <c r="C185" s="2258" t="e">
        <f>SUM(C153:C184)</f>
        <v>#REF!</v>
      </c>
      <c r="D185" s="2258"/>
      <c r="E185" s="2258" t="e">
        <f>SUM(E153:E184)</f>
        <v>#REF!</v>
      </c>
      <c r="F185" s="2258"/>
    </row>
    <row r="186" spans="1:6" ht="30" customHeight="1" thickTop="1">
      <c r="A186" s="300"/>
      <c r="B186" s="300"/>
      <c r="C186" s="2259"/>
      <c r="D186" s="2259"/>
      <c r="E186" s="2259" t="e">
        <f>+C185-E185</f>
        <v>#REF!</v>
      </c>
      <c r="F186" s="2259"/>
    </row>
    <row r="187" spans="1:6" ht="30" customHeight="1">
      <c r="A187" s="300"/>
      <c r="B187" s="300"/>
      <c r="C187" s="2259"/>
      <c r="D187" s="2259"/>
      <c r="E187" s="2259"/>
      <c r="F187" s="2259"/>
    </row>
    <row r="188" spans="1:6" ht="30" customHeight="1">
      <c r="A188" s="131" t="s">
        <v>2259</v>
      </c>
      <c r="B188" s="1"/>
      <c r="C188" s="2245"/>
      <c r="D188" s="2245"/>
      <c r="E188" s="2245"/>
      <c r="F188" s="2245"/>
    </row>
    <row r="189" spans="1:6" ht="30" customHeight="1">
      <c r="A189" s="131" t="s">
        <v>2260</v>
      </c>
      <c r="B189" s="1"/>
      <c r="C189" s="2245"/>
      <c r="D189" s="2245"/>
      <c r="E189" s="2245"/>
      <c r="F189" s="2245"/>
    </row>
    <row r="190" spans="1:6" ht="30" customHeight="1">
      <c r="A190" s="131" t="s">
        <v>2260</v>
      </c>
      <c r="B190" s="1"/>
      <c r="C190" s="2245"/>
      <c r="D190" s="2245"/>
      <c r="E190" s="2245"/>
      <c r="F190" s="2245"/>
    </row>
    <row r="191" spans="1:6" ht="30" customHeight="1">
      <c r="A191" s="131" t="s">
        <v>2260</v>
      </c>
      <c r="B191" s="1"/>
      <c r="C191" s="2245"/>
      <c r="D191" s="2245"/>
      <c r="E191" s="2245"/>
      <c r="F191" s="2245"/>
    </row>
    <row r="192" spans="1:6" ht="30" customHeight="1">
      <c r="A192" s="131"/>
      <c r="B192" s="1"/>
      <c r="C192" s="2245"/>
      <c r="D192" s="2245"/>
      <c r="E192" s="2245"/>
      <c r="F192" s="2245"/>
    </row>
    <row r="193" spans="1:8" ht="30" customHeight="1">
      <c r="A193" s="131" t="s">
        <v>2261</v>
      </c>
      <c r="B193" s="1"/>
      <c r="C193" s="2245"/>
      <c r="D193" s="2245"/>
      <c r="E193" s="2245"/>
      <c r="F193" s="2245"/>
      <c r="G193" s="300"/>
      <c r="H193" s="300"/>
    </row>
    <row r="194" spans="1:8" ht="30" customHeight="1">
      <c r="A194" s="131"/>
      <c r="B194" s="1"/>
      <c r="C194" s="2245"/>
      <c r="D194" s="2245"/>
      <c r="E194" s="2245"/>
      <c r="F194" s="2245"/>
      <c r="G194" s="300"/>
      <c r="H194" s="300"/>
    </row>
    <row r="195" spans="1:8" ht="30" customHeight="1">
      <c r="A195" s="131" t="s">
        <v>2262</v>
      </c>
      <c r="B195" s="1"/>
      <c r="C195" s="2245"/>
      <c r="D195" s="2245"/>
      <c r="E195" s="2245"/>
      <c r="F195" s="2245"/>
      <c r="G195" s="300"/>
      <c r="H195" s="300"/>
    </row>
    <row r="196" spans="1:8" ht="30" customHeight="1">
      <c r="A196" s="300"/>
      <c r="B196" s="300"/>
      <c r="C196" s="2245"/>
      <c r="D196" s="2245"/>
      <c r="E196" s="2245"/>
      <c r="F196" s="2245"/>
      <c r="G196" s="300"/>
      <c r="H196" s="300"/>
    </row>
    <row r="197" spans="1:8" ht="30" customHeight="1">
      <c r="A197" s="300"/>
      <c r="B197" s="300"/>
      <c r="C197" s="2245"/>
      <c r="D197" s="2245"/>
      <c r="E197" s="2245"/>
      <c r="F197" s="2245"/>
      <c r="G197" s="300"/>
      <c r="H197" s="300"/>
    </row>
    <row r="198" spans="1:8" ht="30" customHeight="1">
      <c r="A198" s="144" t="s">
        <v>2284</v>
      </c>
      <c r="B198" s="145"/>
      <c r="C198" s="234" t="s">
        <v>2222</v>
      </c>
      <c r="D198" s="2245"/>
      <c r="E198" s="2245"/>
      <c r="F198" s="2245"/>
      <c r="G198" s="300"/>
      <c r="H198" s="300"/>
    </row>
    <row r="199" spans="1:8" ht="30" customHeight="1" thickBot="1">
      <c r="A199" s="146" t="s">
        <v>2223</v>
      </c>
      <c r="B199" s="2246"/>
      <c r="C199" s="2247"/>
      <c r="D199" s="2247"/>
      <c r="E199" s="2247"/>
      <c r="F199" s="2247"/>
      <c r="G199" s="300"/>
      <c r="H199" s="300"/>
    </row>
    <row r="200" spans="1:8" ht="30" customHeight="1" thickTop="1" thickBot="1">
      <c r="A200" s="147" t="s">
        <v>2224</v>
      </c>
      <c r="B200" s="147" t="s">
        <v>87</v>
      </c>
      <c r="C200" s="236" t="s">
        <v>2225</v>
      </c>
      <c r="D200" s="2248"/>
      <c r="E200" s="236" t="s">
        <v>2226</v>
      </c>
      <c r="F200" s="2248"/>
      <c r="G200" s="300"/>
      <c r="H200" s="300"/>
    </row>
    <row r="201" spans="1:8" ht="30" customHeight="1" thickTop="1">
      <c r="A201" s="256" t="s">
        <v>2229</v>
      </c>
      <c r="B201" s="256" t="s">
        <v>50</v>
      </c>
      <c r="C201" s="265" t="e">
        <f>'Pigs Cost'!E40</f>
        <v>#REF!</v>
      </c>
      <c r="D201" s="2249"/>
      <c r="E201" s="265"/>
      <c r="F201" s="2249"/>
      <c r="G201" s="300"/>
      <c r="H201" s="300"/>
    </row>
    <row r="202" spans="1:8" ht="30" customHeight="1">
      <c r="A202" s="256" t="s">
        <v>2230</v>
      </c>
      <c r="B202" s="256" t="s">
        <v>55</v>
      </c>
      <c r="C202" s="265" t="e">
        <f>'Pigs Cost'!E41</f>
        <v>#REF!</v>
      </c>
      <c r="D202" s="2249"/>
      <c r="E202" s="265" t="e">
        <f>-'Pigs Cost'!P41</f>
        <v>#REF!</v>
      </c>
      <c r="F202" s="2249"/>
      <c r="G202" s="259" t="e">
        <f>SUM(E203:E206)</f>
        <v>#REF!</v>
      </c>
      <c r="H202" s="141"/>
    </row>
    <row r="203" spans="1:8" ht="30" customHeight="1">
      <c r="A203" s="256" t="s">
        <v>2232</v>
      </c>
      <c r="B203" s="256" t="s">
        <v>384</v>
      </c>
      <c r="C203" s="265"/>
      <c r="D203" s="2249"/>
      <c r="E203" s="265" t="e">
        <f>-'Pigs Cost'!O37</f>
        <v>#REF!</v>
      </c>
      <c r="F203" s="2249"/>
      <c r="G203" s="259" t="e">
        <f>SUM(C201:C206)</f>
        <v>#REF!</v>
      </c>
      <c r="H203" s="141"/>
    </row>
    <row r="204" spans="1:8" ht="30" customHeight="1">
      <c r="A204" s="256" t="s">
        <v>2229</v>
      </c>
      <c r="B204" s="256" t="s">
        <v>50</v>
      </c>
      <c r="C204" s="265"/>
      <c r="D204" s="2249"/>
      <c r="E204" s="265" t="e">
        <f>-'Pigs Cost'!O40</f>
        <v>#REF!</v>
      </c>
      <c r="F204" s="2249"/>
      <c r="G204" s="259" t="e">
        <f>G202-G203</f>
        <v>#REF!</v>
      </c>
      <c r="H204" s="141"/>
    </row>
    <row r="205" spans="1:8" ht="30" customHeight="1">
      <c r="A205" s="256" t="s">
        <v>2249</v>
      </c>
      <c r="B205" s="256" t="s">
        <v>2285</v>
      </c>
      <c r="C205" s="265" t="e">
        <f>-'Pigs Cost'!O37</f>
        <v>#REF!</v>
      </c>
      <c r="D205" s="2249"/>
      <c r="E205" s="265"/>
      <c r="F205" s="2249"/>
      <c r="G205" s="141"/>
      <c r="H205" s="141"/>
    </row>
    <row r="206" spans="1:8" ht="30" customHeight="1">
      <c r="A206" s="256"/>
      <c r="B206" s="256" t="s">
        <v>76</v>
      </c>
      <c r="C206" s="265" t="e">
        <f>'Pigs Cost'!E52</f>
        <v>#REF!</v>
      </c>
      <c r="D206" s="2249"/>
      <c r="E206" s="265" t="e">
        <f>-'Pigs Cost'!O66</f>
        <v>#REF!</v>
      </c>
      <c r="F206" s="2249"/>
      <c r="G206" s="141"/>
      <c r="H206" s="141"/>
    </row>
    <row r="207" spans="1:8" ht="30" customHeight="1">
      <c r="A207" s="262" t="s">
        <v>2254</v>
      </c>
      <c r="B207" s="256" t="s">
        <v>2282</v>
      </c>
      <c r="C207" s="265" t="e">
        <f>-'Pigs Cost'!Q43</f>
        <v>#REF!</v>
      </c>
      <c r="D207" s="2249"/>
      <c r="E207" s="265" t="e">
        <f>0*'Pigs Cost'!N79</f>
        <v>#REF!</v>
      </c>
      <c r="F207" s="2249"/>
      <c r="G207" s="259" t="e">
        <f>SUM(C207:C208)</f>
        <v>#REF!</v>
      </c>
      <c r="H207" s="141"/>
    </row>
    <row r="208" spans="1:8" ht="30" customHeight="1">
      <c r="A208" s="256" t="s">
        <v>2256</v>
      </c>
      <c r="B208" s="256" t="s">
        <v>2257</v>
      </c>
      <c r="C208" s="265" t="e">
        <f>-'Pigs Cost'!R43</f>
        <v>#REF!</v>
      </c>
      <c r="D208" s="2249"/>
      <c r="E208" s="265"/>
      <c r="F208" s="2249"/>
      <c r="G208" s="259" t="e">
        <f>SUM(E209)</f>
        <v>#REF!</v>
      </c>
      <c r="H208" s="141"/>
    </row>
    <row r="209" spans="1:8" ht="30" customHeight="1">
      <c r="A209" s="256" t="s">
        <v>2230</v>
      </c>
      <c r="B209" s="256" t="s">
        <v>55</v>
      </c>
      <c r="C209" s="265"/>
      <c r="D209" s="2249"/>
      <c r="E209" s="265" t="e">
        <f>-'Pigs Cost'!Q41-'Pigs Cost'!R41</f>
        <v>#REF!</v>
      </c>
      <c r="F209" s="2249"/>
      <c r="G209" s="259" t="e">
        <f>G207-G208</f>
        <v>#REF!</v>
      </c>
      <c r="H209" s="141"/>
    </row>
    <row r="210" spans="1:8" ht="30" customHeight="1">
      <c r="A210" s="256" t="s">
        <v>2232</v>
      </c>
      <c r="B210" s="256" t="s">
        <v>384</v>
      </c>
      <c r="C210" s="265">
        <f>'Pigs Cost'!J37</f>
        <v>1428807106598.9849</v>
      </c>
      <c r="D210" s="2249"/>
      <c r="E210" s="265"/>
      <c r="F210" s="2249"/>
      <c r="G210" s="259"/>
      <c r="H210" s="141"/>
    </row>
    <row r="211" spans="1:8" ht="30" customHeight="1">
      <c r="A211" s="262" t="s">
        <v>2281</v>
      </c>
      <c r="B211" s="256" t="s">
        <v>127</v>
      </c>
      <c r="C211" s="265"/>
      <c r="D211" s="2249"/>
      <c r="E211" s="265">
        <f>'Pigs Cost'!H174</f>
        <v>5700000000000</v>
      </c>
      <c r="F211" s="2249"/>
      <c r="G211" s="141"/>
      <c r="H211" s="141"/>
    </row>
    <row r="212" spans="1:8" ht="30" customHeight="1">
      <c r="A212" s="256" t="s">
        <v>2267</v>
      </c>
      <c r="B212" s="256" t="s">
        <v>2286</v>
      </c>
      <c r="C212" s="265" t="e">
        <f>'IAS 41 Mvmnt Pigs'!D40</f>
        <v>#REF!</v>
      </c>
      <c r="D212" s="2249"/>
      <c r="E212" s="265"/>
      <c r="F212" s="2249"/>
      <c r="G212" s="259" t="e">
        <f>SUM(C212:C219)</f>
        <v>#REF!</v>
      </c>
      <c r="H212" s="141"/>
    </row>
    <row r="213" spans="1:8" ht="30" customHeight="1">
      <c r="A213" s="256" t="s">
        <v>2269</v>
      </c>
      <c r="B213" s="256" t="s">
        <v>2287</v>
      </c>
      <c r="C213" s="265" t="e">
        <f>'IAS 41 Mvmnt Pigs'!D41</f>
        <v>#REF!</v>
      </c>
      <c r="D213" s="2249"/>
      <c r="E213" s="265"/>
      <c r="F213" s="2249"/>
      <c r="G213" s="259" t="e">
        <f>SUM(E214:E219)</f>
        <v>#REF!</v>
      </c>
      <c r="H213" s="141"/>
    </row>
    <row r="214" spans="1:8" ht="30" customHeight="1">
      <c r="A214" s="256" t="s">
        <v>2273</v>
      </c>
      <c r="B214" s="256" t="s">
        <v>2288</v>
      </c>
      <c r="C214" s="265"/>
      <c r="D214" s="2249"/>
      <c r="E214" s="265" t="e">
        <f>-'IAS 41 Mvmnt Pigs'!G37</f>
        <v>#REF!</v>
      </c>
      <c r="F214" s="2249"/>
      <c r="G214" s="259" t="e">
        <f>G212-G213</f>
        <v>#REF!</v>
      </c>
      <c r="H214" s="141"/>
    </row>
    <row r="215" spans="1:8" ht="30" customHeight="1">
      <c r="A215" s="256" t="s">
        <v>2267</v>
      </c>
      <c r="B215" s="256" t="s">
        <v>2286</v>
      </c>
      <c r="C215" s="265"/>
      <c r="D215" s="2249"/>
      <c r="E215" s="265" t="e">
        <f>-'IAS 41 Mvmnt Pigs'!G40</f>
        <v>#REF!</v>
      </c>
      <c r="F215" s="2249"/>
      <c r="G215" s="141"/>
      <c r="H215" s="141"/>
    </row>
    <row r="216" spans="1:8" ht="30" customHeight="1">
      <c r="A216" s="256" t="s">
        <v>2269</v>
      </c>
      <c r="B216" s="256" t="s">
        <v>2287</v>
      </c>
      <c r="C216" s="265"/>
      <c r="D216" s="2249"/>
      <c r="E216" s="265" t="e">
        <f>-'IAS 41 Mvmnt Pigs'!G41</f>
        <v>#REF!</v>
      </c>
      <c r="F216" s="2249"/>
      <c r="G216" s="259"/>
      <c r="H216" s="141"/>
    </row>
    <row r="217" spans="1:8" ht="30" customHeight="1">
      <c r="A217" s="256" t="s">
        <v>2249</v>
      </c>
      <c r="B217" s="256" t="s">
        <v>2285</v>
      </c>
      <c r="C217" s="265" t="e">
        <f>-'IAS 41 Mvmnt Pigs'!G37</f>
        <v>#REF!</v>
      </c>
      <c r="D217" s="2249"/>
      <c r="E217" s="265"/>
      <c r="F217" s="2249"/>
      <c r="G217" s="141"/>
      <c r="H217" s="141"/>
    </row>
    <row r="218" spans="1:8" ht="30" customHeight="1">
      <c r="A218" s="256" t="s">
        <v>2243</v>
      </c>
      <c r="B218" s="256" t="s">
        <v>76</v>
      </c>
      <c r="C218" s="265"/>
      <c r="D218" s="2249"/>
      <c r="E218" s="265" t="e">
        <f>17*'IAS 41 Mvmnt Pigs'!F66</f>
        <v>#REF!</v>
      </c>
      <c r="F218" s="2249"/>
      <c r="G218" s="141"/>
      <c r="H218" s="141"/>
    </row>
    <row r="219" spans="1:8" ht="30" customHeight="1">
      <c r="A219" s="256" t="s">
        <v>2275</v>
      </c>
      <c r="B219" s="256" t="s">
        <v>2283</v>
      </c>
      <c r="C219" s="265" t="e">
        <f>-'IAS 41 Mvmnt Pigs'!I43</f>
        <v>#REF!</v>
      </c>
      <c r="D219" s="2249"/>
      <c r="E219" s="265" t="e">
        <f>0*'IAS 41 Mvmnt Pigs'!F79</f>
        <v>#REF!</v>
      </c>
      <c r="F219" s="2249"/>
      <c r="G219" s="141"/>
      <c r="H219" s="141"/>
    </row>
    <row r="220" spans="1:8" ht="30" customHeight="1">
      <c r="A220" s="256" t="s">
        <v>2256</v>
      </c>
      <c r="B220" s="256" t="s">
        <v>2257</v>
      </c>
      <c r="C220" s="265" t="e">
        <f>-'IAS 41 Mvmnt Pigs'!J41</f>
        <v>#REF!</v>
      </c>
      <c r="D220" s="2249"/>
      <c r="E220" s="265"/>
      <c r="F220" s="2249"/>
      <c r="G220" s="141"/>
      <c r="H220" s="141"/>
    </row>
    <row r="221" spans="1:8" ht="30" customHeight="1">
      <c r="A221" s="256" t="s">
        <v>2269</v>
      </c>
      <c r="B221" s="256" t="s">
        <v>2287</v>
      </c>
      <c r="C221" s="265"/>
      <c r="D221" s="2249"/>
      <c r="E221" s="265" t="e">
        <f>-'IAS 41 Mvmnt Pigs'!I41-'IAS 41 Mvmnt Pigs'!J41</f>
        <v>#REF!</v>
      </c>
      <c r="F221" s="2249"/>
      <c r="G221" s="141"/>
      <c r="H221" s="141"/>
    </row>
    <row r="222" spans="1:8" ht="30" customHeight="1">
      <c r="A222" s="256"/>
      <c r="B222" s="256"/>
      <c r="C222" s="265"/>
      <c r="D222" s="2249"/>
      <c r="E222" s="265"/>
      <c r="F222" s="2249"/>
      <c r="G222" s="141"/>
      <c r="H222" s="141"/>
    </row>
    <row r="223" spans="1:8" ht="30" customHeight="1">
      <c r="A223" s="256"/>
      <c r="B223" s="256"/>
      <c r="C223" s="265"/>
      <c r="D223" s="2249"/>
      <c r="E223" s="265"/>
      <c r="F223" s="2249"/>
      <c r="G223" s="141"/>
      <c r="H223" s="141"/>
    </row>
    <row r="224" spans="1:8" ht="30" customHeight="1">
      <c r="A224" s="256"/>
      <c r="B224" s="256"/>
      <c r="C224" s="265"/>
      <c r="D224" s="2249"/>
      <c r="E224" s="265"/>
      <c r="F224" s="2249"/>
      <c r="G224" s="141"/>
      <c r="H224" s="141"/>
    </row>
    <row r="225" spans="1:6" ht="30" customHeight="1">
      <c r="A225" s="256"/>
      <c r="B225" s="256"/>
      <c r="C225" s="265"/>
      <c r="D225" s="2249"/>
      <c r="E225" s="265"/>
      <c r="F225" s="2249"/>
    </row>
    <row r="226" spans="1:6" ht="30" customHeight="1">
      <c r="A226" s="256"/>
      <c r="B226" s="256"/>
      <c r="C226" s="265"/>
      <c r="D226" s="2249"/>
      <c r="E226" s="265"/>
      <c r="F226" s="2249"/>
    </row>
    <row r="227" spans="1:6" ht="30" customHeight="1">
      <c r="A227" s="256"/>
      <c r="B227" s="256"/>
      <c r="C227" s="265"/>
      <c r="D227" s="2249"/>
      <c r="E227" s="265"/>
      <c r="F227" s="2249"/>
    </row>
    <row r="228" spans="1:6" ht="30" customHeight="1">
      <c r="A228" s="256"/>
      <c r="B228" s="256"/>
      <c r="C228" s="265"/>
      <c r="D228" s="2249"/>
      <c r="E228" s="265"/>
      <c r="F228" s="2249"/>
    </row>
    <row r="229" spans="1:6" ht="30" customHeight="1" thickBot="1">
      <c r="A229" s="256"/>
      <c r="B229" s="256"/>
      <c r="C229" s="265"/>
      <c r="D229" s="2249"/>
      <c r="E229" s="265"/>
      <c r="F229" s="2249"/>
    </row>
    <row r="230" spans="1:6" ht="30" customHeight="1" thickBot="1">
      <c r="A230" s="148" t="s">
        <v>2258</v>
      </c>
      <c r="B230" s="2257"/>
      <c r="C230" s="2258" t="e">
        <f>SUM(C201:C229)</f>
        <v>#REF!</v>
      </c>
      <c r="D230" s="2258"/>
      <c r="E230" s="2258" t="e">
        <f>SUM(E201:E229)</f>
        <v>#REF!</v>
      </c>
      <c r="F230" s="2258"/>
    </row>
    <row r="231" spans="1:6" ht="30" customHeight="1" thickTop="1">
      <c r="A231" s="300"/>
      <c r="B231" s="300"/>
      <c r="C231" s="2259"/>
      <c r="D231" s="2259"/>
      <c r="E231" s="2259" t="e">
        <f>+C230-E230</f>
        <v>#REF!</v>
      </c>
      <c r="F231" s="2259"/>
    </row>
    <row r="232" spans="1:6" ht="30" customHeight="1">
      <c r="A232" s="300"/>
      <c r="B232" s="300"/>
      <c r="C232" s="2259"/>
      <c r="D232" s="2259"/>
      <c r="E232" s="2259"/>
      <c r="F232" s="2259"/>
    </row>
    <row r="233" spans="1:6" ht="30" customHeight="1">
      <c r="A233" s="131" t="s">
        <v>2259</v>
      </c>
      <c r="B233" s="1"/>
      <c r="C233" s="2245"/>
      <c r="D233" s="2245"/>
      <c r="E233" s="2245"/>
      <c r="F233" s="2245"/>
    </row>
    <row r="234" spans="1:6" ht="30" customHeight="1">
      <c r="A234" s="131" t="s">
        <v>2260</v>
      </c>
      <c r="B234" s="1"/>
      <c r="C234" s="2245"/>
      <c r="D234" s="2245"/>
      <c r="E234" s="2245"/>
      <c r="F234" s="2245"/>
    </row>
    <row r="235" spans="1:6" ht="30" customHeight="1">
      <c r="A235" s="131" t="s">
        <v>2260</v>
      </c>
      <c r="B235" s="1"/>
      <c r="C235" s="2245"/>
      <c r="D235" s="2245"/>
      <c r="E235" s="2245"/>
      <c r="F235" s="2245"/>
    </row>
    <row r="236" spans="1:6" ht="30" customHeight="1">
      <c r="A236" s="131" t="s">
        <v>2260</v>
      </c>
      <c r="B236" s="1"/>
      <c r="C236" s="2245"/>
      <c r="D236" s="2245"/>
      <c r="E236" s="2245"/>
      <c r="F236" s="2245"/>
    </row>
    <row r="237" spans="1:6" ht="30" customHeight="1">
      <c r="A237" s="131"/>
      <c r="B237" s="1"/>
      <c r="C237" s="2245"/>
      <c r="D237" s="2245"/>
      <c r="E237" s="2245"/>
      <c r="F237" s="2245"/>
    </row>
    <row r="238" spans="1:6" ht="30" customHeight="1">
      <c r="A238" s="131" t="s">
        <v>2261</v>
      </c>
      <c r="B238" s="1"/>
      <c r="C238" s="2245"/>
      <c r="D238" s="2245"/>
      <c r="E238" s="2245"/>
      <c r="F238" s="2245"/>
    </row>
    <row r="239" spans="1:6" ht="30" customHeight="1">
      <c r="A239" s="131"/>
      <c r="B239" s="1"/>
      <c r="C239" s="2245"/>
      <c r="D239" s="2245"/>
      <c r="E239" s="2245"/>
      <c r="F239" s="2245"/>
    </row>
    <row r="240" spans="1:6" ht="30" customHeight="1">
      <c r="A240" s="131" t="s">
        <v>2262</v>
      </c>
      <c r="B240" s="1"/>
      <c r="C240" s="2245"/>
      <c r="D240" s="2245"/>
      <c r="E240" s="2245"/>
      <c r="F240" s="2245"/>
    </row>
    <row r="241" spans="1:8" ht="30" customHeight="1">
      <c r="A241" s="300"/>
      <c r="B241" s="300"/>
      <c r="C241" s="2245"/>
      <c r="D241" s="2245"/>
      <c r="E241" s="2245"/>
      <c r="F241" s="2245"/>
      <c r="G241" s="300"/>
      <c r="H241" s="300"/>
    </row>
    <row r="242" spans="1:8" ht="30" customHeight="1">
      <c r="A242" s="144" t="s">
        <v>2289</v>
      </c>
      <c r="B242" s="145"/>
      <c r="C242" s="234" t="s">
        <v>2222</v>
      </c>
      <c r="D242" s="2245"/>
      <c r="E242" s="2245"/>
      <c r="F242" s="2245"/>
      <c r="G242" s="300"/>
      <c r="H242" s="300"/>
    </row>
    <row r="243" spans="1:8" ht="30" customHeight="1" thickBot="1">
      <c r="A243" s="146" t="s">
        <v>2223</v>
      </c>
      <c r="B243" s="2246"/>
      <c r="C243" s="2247"/>
      <c r="D243" s="2247"/>
      <c r="E243" s="2247"/>
      <c r="F243" s="2247"/>
      <c r="G243" s="300"/>
      <c r="H243" s="300"/>
    </row>
    <row r="244" spans="1:8" ht="30" customHeight="1" thickTop="1" thickBot="1">
      <c r="A244" s="147" t="s">
        <v>2224</v>
      </c>
      <c r="B244" s="147" t="s">
        <v>87</v>
      </c>
      <c r="C244" s="236" t="s">
        <v>2225</v>
      </c>
      <c r="D244" s="2248"/>
      <c r="E244" s="236" t="s">
        <v>2226</v>
      </c>
      <c r="F244" s="2248"/>
      <c r="G244" s="300"/>
      <c r="H244" s="300"/>
    </row>
    <row r="245" spans="1:8" ht="30" customHeight="1" thickTop="1">
      <c r="A245" s="256" t="s">
        <v>2227</v>
      </c>
      <c r="B245" s="256" t="s">
        <v>389</v>
      </c>
      <c r="C245" s="265" t="e">
        <f>'Pigs Cost'!E53</f>
        <v>#REF!</v>
      </c>
      <c r="D245" s="2262"/>
      <c r="E245" s="267"/>
      <c r="F245" s="2262"/>
      <c r="G245" s="2250"/>
      <c r="H245" s="2250"/>
    </row>
    <row r="246" spans="1:8" ht="30" customHeight="1">
      <c r="A246" s="256" t="s">
        <v>2228</v>
      </c>
      <c r="B246" s="256" t="s">
        <v>397</v>
      </c>
      <c r="C246" s="265" t="e">
        <f>'Pigs Cost'!E54</f>
        <v>#REF!</v>
      </c>
      <c r="D246" s="2249"/>
      <c r="E246" s="265"/>
      <c r="F246" s="2249"/>
      <c r="G246" s="2250"/>
      <c r="H246" s="2250"/>
    </row>
    <row r="247" spans="1:8" ht="30" customHeight="1">
      <c r="A247" s="256" t="s">
        <v>2229</v>
      </c>
      <c r="B247" s="256" t="s">
        <v>50</v>
      </c>
      <c r="C247" s="265" t="e">
        <f>'Pigs Cost'!E55</f>
        <v>#REF!</v>
      </c>
      <c r="D247" s="2249"/>
      <c r="E247" s="265"/>
      <c r="F247" s="2249"/>
      <c r="G247" s="2250"/>
      <c r="H247" s="300"/>
    </row>
    <row r="248" spans="1:8" ht="30" customHeight="1">
      <c r="A248" s="256" t="s">
        <v>2230</v>
      </c>
      <c r="B248" s="256" t="s">
        <v>55</v>
      </c>
      <c r="C248" s="265" t="e">
        <f>'Pigs Cost'!E56</f>
        <v>#REF!</v>
      </c>
      <c r="D248" s="2249"/>
      <c r="E248" s="265"/>
      <c r="F248" s="2249"/>
      <c r="G248" s="300"/>
      <c r="H248" s="300"/>
    </row>
    <row r="249" spans="1:8" ht="30" customHeight="1">
      <c r="A249" s="256" t="s">
        <v>2232</v>
      </c>
      <c r="B249" s="256" t="s">
        <v>384</v>
      </c>
      <c r="C249" s="265"/>
      <c r="D249" s="2249"/>
      <c r="E249" s="265" t="e">
        <f>-'Pigs Cost'!O52</f>
        <v>#REF!</v>
      </c>
      <c r="F249" s="2249"/>
      <c r="G249" s="300"/>
      <c r="H249" s="300"/>
    </row>
    <row r="250" spans="1:8" ht="30" customHeight="1">
      <c r="A250" s="256" t="s">
        <v>2227</v>
      </c>
      <c r="B250" s="256" t="s">
        <v>389</v>
      </c>
      <c r="C250" s="265"/>
      <c r="D250" s="2249"/>
      <c r="E250" s="265" t="e">
        <f>-'Pigs Cost'!O53</f>
        <v>#REF!</v>
      </c>
      <c r="F250" s="2249"/>
      <c r="G250" s="300"/>
      <c r="H250" s="300"/>
    </row>
    <row r="251" spans="1:8" ht="30" customHeight="1">
      <c r="A251" s="256" t="s">
        <v>2228</v>
      </c>
      <c r="B251" s="256" t="s">
        <v>397</v>
      </c>
      <c r="C251" s="265"/>
      <c r="D251" s="2249"/>
      <c r="E251" s="265" t="e">
        <f>-'Pigs Cost'!O54</f>
        <v>#REF!</v>
      </c>
      <c r="F251" s="2249"/>
      <c r="G251" s="141"/>
      <c r="H251" s="141"/>
    </row>
    <row r="252" spans="1:8" ht="30" customHeight="1">
      <c r="A252" s="256" t="s">
        <v>2229</v>
      </c>
      <c r="B252" s="256" t="s">
        <v>50</v>
      </c>
      <c r="C252" s="265"/>
      <c r="D252" s="2249"/>
      <c r="E252" s="265" t="e">
        <f>-'Pigs Cost'!O55</f>
        <v>#REF!</v>
      </c>
      <c r="F252" s="2249"/>
      <c r="G252" s="141"/>
      <c r="H252" s="141"/>
    </row>
    <row r="253" spans="1:8" ht="30" customHeight="1">
      <c r="A253" s="256" t="s">
        <v>2230</v>
      </c>
      <c r="B253" s="256" t="s">
        <v>55</v>
      </c>
      <c r="C253" s="265"/>
      <c r="D253" s="2249"/>
      <c r="E253" s="265" t="e">
        <f>-'Pigs Cost'!O56</f>
        <v>#REF!</v>
      </c>
      <c r="F253" s="2249"/>
      <c r="G253" s="141"/>
      <c r="H253" s="141"/>
    </row>
    <row r="254" spans="1:8" ht="30" customHeight="1">
      <c r="A254" s="256" t="s">
        <v>2249</v>
      </c>
      <c r="B254" s="256" t="s">
        <v>150</v>
      </c>
      <c r="C254" s="265" t="e">
        <f>489*'Pigs Cost'!N53</f>
        <v>#REF!</v>
      </c>
      <c r="D254" s="2249"/>
      <c r="E254" s="265"/>
      <c r="F254" s="2249"/>
      <c r="G254" s="259" t="e">
        <f>SUM(E246:E260)</f>
        <v>#REF!</v>
      </c>
      <c r="H254" s="141"/>
    </row>
    <row r="255" spans="1:8" ht="30" customHeight="1">
      <c r="A255" s="256" t="s">
        <v>2281</v>
      </c>
      <c r="B255" s="256" t="s">
        <v>127</v>
      </c>
      <c r="C255" s="265" t="e">
        <f>0*'Pigs Cost'!N54</f>
        <v>#REF!</v>
      </c>
      <c r="D255" s="2249"/>
      <c r="E255" s="265" t="e">
        <f>10*'Pigs Cost'!N15</f>
        <v>#REF!</v>
      </c>
      <c r="F255" s="2249"/>
      <c r="G255" s="259" t="e">
        <f>SUM(C245:C257)</f>
        <v>#REF!</v>
      </c>
      <c r="H255" s="141"/>
    </row>
    <row r="256" spans="1:8" ht="30" customHeight="1">
      <c r="A256" s="256" t="s">
        <v>2247</v>
      </c>
      <c r="B256" s="256" t="s">
        <v>148</v>
      </c>
      <c r="C256" s="265" t="e">
        <f>0*'Pigs Cost'!N54</f>
        <v>#REF!</v>
      </c>
      <c r="D256" s="2249"/>
      <c r="E256" s="265"/>
      <c r="F256" s="2249"/>
      <c r="G256" s="259" t="e">
        <f>G254-G255</f>
        <v>#REF!</v>
      </c>
      <c r="H256" s="141"/>
    </row>
    <row r="257" spans="1:8" ht="30" customHeight="1">
      <c r="A257" s="256" t="s">
        <v>2245</v>
      </c>
      <c r="B257" s="256" t="s">
        <v>128</v>
      </c>
      <c r="C257" s="265"/>
      <c r="D257" s="2249"/>
      <c r="E257" s="265" t="e">
        <f>'Pigs Cost'!E54+'Pigs Cost'!O56</f>
        <v>#REF!</v>
      </c>
      <c r="F257" s="2249"/>
      <c r="G257" s="141"/>
      <c r="H257" s="141"/>
    </row>
    <row r="258" spans="1:8" ht="30" customHeight="1">
      <c r="A258" s="256" t="s">
        <v>2232</v>
      </c>
      <c r="B258" s="256" t="s">
        <v>384</v>
      </c>
      <c r="C258" s="265">
        <f>'Pigs Cost'!J52</f>
        <v>3720239848516.7261</v>
      </c>
      <c r="D258" s="2249"/>
      <c r="E258" s="265"/>
      <c r="F258" s="2249"/>
      <c r="G258" s="141"/>
      <c r="H258" s="141"/>
    </row>
    <row r="259" spans="1:8" ht="30" customHeight="1">
      <c r="A259" s="256" t="s">
        <v>2227</v>
      </c>
      <c r="B259" s="256" t="s">
        <v>389</v>
      </c>
      <c r="C259" s="265">
        <f>'Pigs Cost'!J53</f>
        <v>2330696402272.249</v>
      </c>
      <c r="D259" s="2249"/>
      <c r="E259" s="265"/>
      <c r="F259" s="2249"/>
      <c r="G259" s="141"/>
      <c r="H259" s="141"/>
    </row>
    <row r="260" spans="1:8" ht="30" customHeight="1">
      <c r="A260" s="256" t="s">
        <v>2228</v>
      </c>
      <c r="B260" s="256" t="s">
        <v>397</v>
      </c>
      <c r="C260" s="265">
        <f>'Pigs Cost'!J54</f>
        <v>5049063749211.0244</v>
      </c>
      <c r="D260" s="2249"/>
      <c r="E260" s="265"/>
      <c r="F260" s="2249"/>
      <c r="G260" s="141"/>
      <c r="H260" s="141"/>
    </row>
    <row r="261" spans="1:8" ht="30" customHeight="1">
      <c r="A261" s="256" t="s">
        <v>2281</v>
      </c>
      <c r="B261" s="256" t="s">
        <v>127</v>
      </c>
      <c r="C261" s="265"/>
      <c r="D261" s="2249"/>
      <c r="E261" s="265">
        <f>SUM(C258:C260)</f>
        <v>11100000000000</v>
      </c>
      <c r="F261" s="2249"/>
      <c r="G261" s="141"/>
      <c r="H261" s="141"/>
    </row>
    <row r="262" spans="1:8" ht="30" customHeight="1">
      <c r="A262" s="256" t="s">
        <v>2254</v>
      </c>
      <c r="B262" s="256" t="s">
        <v>2282</v>
      </c>
      <c r="C262" s="265" t="e">
        <f>-'Pigs Cost'!Q58-'Pigs Cost'!P58</f>
        <v>#REF!</v>
      </c>
      <c r="D262" s="2249"/>
      <c r="E262" s="265"/>
      <c r="F262" s="2249"/>
      <c r="G262" s="141"/>
      <c r="H262" s="141"/>
    </row>
    <row r="263" spans="1:8" ht="30" customHeight="1">
      <c r="A263" s="256" t="s">
        <v>2256</v>
      </c>
      <c r="B263" s="256" t="s">
        <v>2257</v>
      </c>
      <c r="C263" s="265" t="e">
        <f>-'Pigs Cost'!R58</f>
        <v>#REF!</v>
      </c>
      <c r="D263" s="2249"/>
      <c r="E263" s="265"/>
      <c r="F263" s="2249"/>
      <c r="G263" s="141"/>
      <c r="H263" s="141"/>
    </row>
    <row r="264" spans="1:8" ht="30" customHeight="1">
      <c r="A264" s="256" t="s">
        <v>2227</v>
      </c>
      <c r="B264" s="256" t="s">
        <v>389</v>
      </c>
      <c r="C264" s="265"/>
      <c r="D264" s="2249"/>
      <c r="E264" s="265" t="e">
        <f>-'Pigs Cost'!R53</f>
        <v>#REF!</v>
      </c>
      <c r="F264" s="2249"/>
      <c r="G264" s="141"/>
      <c r="H264" s="141"/>
    </row>
    <row r="265" spans="1:8" ht="30" customHeight="1">
      <c r="A265" s="256" t="s">
        <v>2228</v>
      </c>
      <c r="B265" s="256" t="s">
        <v>397</v>
      </c>
      <c r="C265" s="265"/>
      <c r="D265" s="2249"/>
      <c r="E265" s="265" t="e">
        <f>-'Pigs Cost'!P54-'Pigs Cost'!Q54-'Pigs Cost'!R54</f>
        <v>#REF!</v>
      </c>
      <c r="F265" s="2249"/>
      <c r="G265" s="141"/>
      <c r="H265" s="141"/>
    </row>
    <row r="266" spans="1:8" ht="30" customHeight="1">
      <c r="A266" s="256" t="s">
        <v>2230</v>
      </c>
      <c r="B266" s="151" t="s">
        <v>55</v>
      </c>
      <c r="C266" s="265"/>
      <c r="D266" s="2249"/>
      <c r="E266" s="265" t="e">
        <f>-'Pigs Cost'!P56-'Pigs Cost'!Q56-'Pigs Cost'!R56</f>
        <v>#REF!</v>
      </c>
      <c r="F266" s="2249"/>
      <c r="G266" s="259" t="e">
        <f>C262+C263</f>
        <v>#REF!</v>
      </c>
      <c r="H266" s="141"/>
    </row>
    <row r="267" spans="1:8" ht="30" customHeight="1">
      <c r="A267" s="256" t="s">
        <v>2263</v>
      </c>
      <c r="B267" s="256" t="s">
        <v>2264</v>
      </c>
      <c r="C267" s="265" t="e">
        <f>'IAS 41 Mvmnt Pigs'!D53</f>
        <v>#REF!</v>
      </c>
      <c r="D267" s="2249"/>
      <c r="E267" s="265"/>
      <c r="F267" s="2249"/>
      <c r="G267" s="259"/>
      <c r="H267" s="141"/>
    </row>
    <row r="268" spans="1:8" ht="30" customHeight="1">
      <c r="A268" s="256" t="s">
        <v>2265</v>
      </c>
      <c r="B268" s="256" t="s">
        <v>2266</v>
      </c>
      <c r="C268" s="265" t="e">
        <f>'IAS 41 Mvmnt Pigs'!D54</f>
        <v>#REF!</v>
      </c>
      <c r="D268" s="2249"/>
      <c r="E268" s="265"/>
      <c r="F268" s="2249"/>
      <c r="G268" s="259" t="e">
        <f>SUM(E264:E266)</f>
        <v>#REF!</v>
      </c>
      <c r="H268" s="141"/>
    </row>
    <row r="269" spans="1:8" ht="30" customHeight="1">
      <c r="A269" s="256" t="s">
        <v>2267</v>
      </c>
      <c r="B269" s="256" t="s">
        <v>2268</v>
      </c>
      <c r="C269" s="265" t="e">
        <f>'IAS 41 Mvmnt Pigs'!D55</f>
        <v>#REF!</v>
      </c>
      <c r="D269" s="2249"/>
      <c r="E269" s="265"/>
      <c r="F269" s="2249"/>
      <c r="G269" s="259" t="e">
        <f>G266-G268</f>
        <v>#REF!</v>
      </c>
      <c r="H269" s="141"/>
    </row>
    <row r="270" spans="1:8" ht="30" customHeight="1">
      <c r="A270" s="256" t="s">
        <v>2269</v>
      </c>
      <c r="B270" s="256" t="s">
        <v>2287</v>
      </c>
      <c r="C270" s="265" t="e">
        <f>'IAS 41 Mvmnt Pigs'!D56</f>
        <v>#REF!</v>
      </c>
      <c r="D270" s="2249"/>
      <c r="E270" s="265"/>
      <c r="F270" s="2249"/>
      <c r="G270" s="141"/>
      <c r="H270" s="141"/>
    </row>
    <row r="271" spans="1:8" ht="30" customHeight="1">
      <c r="A271" s="256" t="s">
        <v>2273</v>
      </c>
      <c r="B271" s="256" t="s">
        <v>2274</v>
      </c>
      <c r="C271" s="265"/>
      <c r="D271" s="2249"/>
      <c r="E271" s="265" t="e">
        <f>-'IAS 41 Mvmnt Pigs'!G52</f>
        <v>#REF!</v>
      </c>
      <c r="F271" s="2249"/>
      <c r="G271" s="259" t="e">
        <f>SUM(C267:C278)</f>
        <v>#REF!</v>
      </c>
      <c r="H271" s="141"/>
    </row>
    <row r="272" spans="1:8" ht="30" customHeight="1">
      <c r="A272" s="256" t="s">
        <v>2263</v>
      </c>
      <c r="B272" s="256" t="s">
        <v>2264</v>
      </c>
      <c r="C272" s="265"/>
      <c r="D272" s="2249"/>
      <c r="E272" s="265" t="e">
        <f>-'IAS 41 Mvmnt Pigs'!G53</f>
        <v>#REF!</v>
      </c>
      <c r="F272" s="2249"/>
      <c r="G272" s="259" t="e">
        <f>SUM(E271:E279)</f>
        <v>#REF!</v>
      </c>
      <c r="H272" s="141"/>
    </row>
    <row r="273" spans="1:8" ht="30" customHeight="1">
      <c r="A273" s="256" t="s">
        <v>2265</v>
      </c>
      <c r="B273" s="256" t="s">
        <v>2266</v>
      </c>
      <c r="C273" s="265"/>
      <c r="D273" s="2249"/>
      <c r="E273" s="265" t="e">
        <f>-'IAS 41 Mvmnt Pigs'!G54</f>
        <v>#REF!</v>
      </c>
      <c r="F273" s="2249"/>
      <c r="G273" s="259" t="e">
        <f>G271-G272</f>
        <v>#REF!</v>
      </c>
      <c r="H273" s="141"/>
    </row>
    <row r="274" spans="1:8" ht="30" customHeight="1">
      <c r="A274" s="256" t="s">
        <v>2267</v>
      </c>
      <c r="B274" s="256" t="s">
        <v>2268</v>
      </c>
      <c r="C274" s="265"/>
      <c r="D274" s="2249"/>
      <c r="E274" s="265" t="e">
        <f>-'IAS 41 Mvmnt Pigs'!G55</f>
        <v>#REF!</v>
      </c>
      <c r="F274" s="2249"/>
      <c r="G274" s="259"/>
      <c r="H274" s="141"/>
    </row>
    <row r="275" spans="1:8" ht="30" customHeight="1">
      <c r="A275" s="256" t="s">
        <v>2269</v>
      </c>
      <c r="B275" s="256" t="s">
        <v>2287</v>
      </c>
      <c r="C275" s="265"/>
      <c r="D275" s="2249"/>
      <c r="E275" s="265" t="e">
        <f>-'IAS 41 Mvmnt Pigs'!G56</f>
        <v>#REF!</v>
      </c>
      <c r="F275" s="2249"/>
      <c r="G275" s="259"/>
      <c r="H275" s="141"/>
    </row>
    <row r="276" spans="1:8" ht="30" customHeight="1">
      <c r="A276" s="256" t="s">
        <v>2249</v>
      </c>
      <c r="B276" s="256" t="s">
        <v>150</v>
      </c>
      <c r="C276" s="265" t="e">
        <f>489*'IAS 41 Mvmnt Pigs'!F53</f>
        <v>#REF!</v>
      </c>
      <c r="D276" s="2249"/>
      <c r="E276" s="265"/>
      <c r="F276" s="2249"/>
      <c r="G276" s="141"/>
      <c r="H276" s="141"/>
    </row>
    <row r="277" spans="1:8" ht="30" customHeight="1">
      <c r="A277" s="256" t="s">
        <v>2281</v>
      </c>
      <c r="B277" s="256" t="s">
        <v>127</v>
      </c>
      <c r="C277" s="265" t="e">
        <f>0*'IAS 41 Mvmnt Pigs'!F54</f>
        <v>#REF!</v>
      </c>
      <c r="D277" s="2249"/>
      <c r="E277" s="265" t="e">
        <f>10*'IAS 41 Mvmnt Pigs'!F15</f>
        <v>#REF!</v>
      </c>
      <c r="F277" s="2249"/>
      <c r="G277" s="141"/>
      <c r="H277" s="141"/>
    </row>
    <row r="278" spans="1:8" ht="30" customHeight="1">
      <c r="A278" s="256" t="s">
        <v>2247</v>
      </c>
      <c r="B278" s="256" t="s">
        <v>148</v>
      </c>
      <c r="C278" s="265" t="e">
        <f>0*'IAS 41 Mvmnt Pigs'!F54</f>
        <v>#REF!</v>
      </c>
      <c r="D278" s="2249"/>
      <c r="E278" s="265"/>
      <c r="F278" s="2249"/>
      <c r="G278" s="300"/>
      <c r="H278" s="300"/>
    </row>
    <row r="279" spans="1:8" ht="30" customHeight="1">
      <c r="A279" s="256" t="s">
        <v>2245</v>
      </c>
      <c r="B279" s="256" t="s">
        <v>128</v>
      </c>
      <c r="C279" s="265"/>
      <c r="D279" s="2249"/>
      <c r="E279" s="265" t="e">
        <f>'Summary Total Pigs'!D91*'IAS 41 Mvmnt Pigs'!F77+'IAS 41 Mvmnt Pigs'!G56</f>
        <v>#REF!</v>
      </c>
      <c r="F279" s="2249"/>
      <c r="G279" s="300"/>
      <c r="H279" s="300"/>
    </row>
    <row r="280" spans="1:8" ht="30" customHeight="1">
      <c r="A280" s="256" t="s">
        <v>2275</v>
      </c>
      <c r="B280" s="256" t="s">
        <v>2276</v>
      </c>
      <c r="C280" s="265" t="e">
        <f>-'IAS 41 Mvmnt Pigs'!H58-'IAS 41 Mvmnt Pigs'!I58</f>
        <v>#REF!</v>
      </c>
      <c r="D280" s="2249"/>
      <c r="E280" s="265"/>
      <c r="F280" s="2249"/>
      <c r="G280" s="2250" t="e">
        <f>SUM(C280:C285)</f>
        <v>#REF!</v>
      </c>
      <c r="H280" s="300"/>
    </row>
    <row r="281" spans="1:8" ht="30" customHeight="1">
      <c r="A281" s="256" t="s">
        <v>2256</v>
      </c>
      <c r="B281" s="256" t="s">
        <v>2257</v>
      </c>
      <c r="C281" s="265" t="e">
        <f>-'IAS 41 Mvmnt Pigs'!J58</f>
        <v>#REF!</v>
      </c>
      <c r="D281" s="2249"/>
      <c r="E281" s="265"/>
      <c r="F281" s="2249"/>
      <c r="G281" s="2250" t="e">
        <f>SUM(E281:E286)</f>
        <v>#REF!</v>
      </c>
      <c r="H281" s="300"/>
    </row>
    <row r="282" spans="1:8" ht="30" customHeight="1">
      <c r="A282" s="256" t="s">
        <v>2263</v>
      </c>
      <c r="B282" s="256" t="s">
        <v>2264</v>
      </c>
      <c r="C282" s="265"/>
      <c r="D282" s="2249"/>
      <c r="E282" s="265" t="e">
        <f>-'IAS 41 Mvmnt Pigs'!J53</f>
        <v>#REF!</v>
      </c>
      <c r="F282" s="2249"/>
      <c r="G282" s="2250" t="e">
        <f>G280-G281</f>
        <v>#REF!</v>
      </c>
      <c r="H282" s="300"/>
    </row>
    <row r="283" spans="1:8" ht="30" customHeight="1">
      <c r="A283" s="256" t="s">
        <v>2265</v>
      </c>
      <c r="B283" s="256" t="s">
        <v>2266</v>
      </c>
      <c r="C283" s="265"/>
      <c r="D283" s="2249"/>
      <c r="E283" s="265" t="e">
        <f>-'IAS 41 Mvmnt Pigs'!H54-'IAS 41 Mvmnt Pigs'!J54</f>
        <v>#REF!</v>
      </c>
      <c r="F283" s="2249"/>
      <c r="G283" s="300"/>
      <c r="H283" s="300"/>
    </row>
    <row r="284" spans="1:8" ht="30" customHeight="1">
      <c r="A284" s="256" t="s">
        <v>2269</v>
      </c>
      <c r="B284" s="256" t="s">
        <v>2287</v>
      </c>
      <c r="C284" s="265"/>
      <c r="D284" s="2249"/>
      <c r="E284" s="265" t="e">
        <f>-'IAS 41 Mvmnt Pigs'!H56-'IAS 41 Mvmnt Pigs'!I56-'IAS 41 Mvmnt Pigs'!J56</f>
        <v>#REF!</v>
      </c>
      <c r="F284" s="2249"/>
      <c r="G284" s="300"/>
      <c r="H284" s="300"/>
    </row>
    <row r="285" spans="1:8" ht="30" customHeight="1">
      <c r="A285" s="256" t="s">
        <v>2265</v>
      </c>
      <c r="B285" s="256" t="s">
        <v>2266</v>
      </c>
      <c r="C285" s="265" t="e">
        <f>'IAS 41 Mvmnt Pigs'!K54</f>
        <v>#REF!</v>
      </c>
      <c r="D285" s="2249"/>
      <c r="E285" s="265"/>
      <c r="F285" s="2249"/>
      <c r="G285" s="300"/>
      <c r="H285" s="300"/>
    </row>
    <row r="286" spans="1:8" ht="30" customHeight="1">
      <c r="A286" s="256" t="s">
        <v>2267</v>
      </c>
      <c r="B286" s="256" t="s">
        <v>2268</v>
      </c>
      <c r="C286" s="265" t="e">
        <f>'IAS 41 Mvmnt Pigs'!K56</f>
        <v>#REF!</v>
      </c>
      <c r="D286" s="2249"/>
      <c r="E286" s="265" t="e">
        <f>-'IAS 41 Mvmnt Pigs'!K55</f>
        <v>#REF!</v>
      </c>
      <c r="F286" s="2249"/>
      <c r="G286" s="300"/>
      <c r="H286" s="300"/>
    </row>
    <row r="287" spans="1:8" ht="30" customHeight="1" thickBot="1">
      <c r="A287" s="256" t="s">
        <v>2277</v>
      </c>
      <c r="B287" s="256" t="s">
        <v>2278</v>
      </c>
      <c r="C287" s="265"/>
      <c r="D287" s="2249"/>
      <c r="E287" s="265">
        <f>'IAS 41 Mvmnt Pigs'!M58</f>
        <v>0</v>
      </c>
      <c r="F287" s="2263"/>
      <c r="G287" s="300"/>
      <c r="H287" s="300"/>
    </row>
    <row r="288" spans="1:8" ht="30" customHeight="1" thickBot="1">
      <c r="A288" s="148" t="s">
        <v>2258</v>
      </c>
      <c r="B288" s="2257"/>
      <c r="C288" s="2258" t="e">
        <f>SUM(C245:C287)</f>
        <v>#REF!</v>
      </c>
      <c r="D288" s="2258"/>
      <c r="E288" s="2258" t="e">
        <f>SUM(E246:E287)</f>
        <v>#REF!</v>
      </c>
      <c r="F288" s="2258"/>
      <c r="G288" s="300"/>
      <c r="H288" s="300"/>
    </row>
    <row r="289" spans="1:7" ht="30" customHeight="1" thickTop="1">
      <c r="A289" s="300"/>
      <c r="B289" s="300"/>
      <c r="C289" s="2259"/>
      <c r="D289" s="2259"/>
      <c r="E289" s="2259" t="e">
        <f>+C288-E288</f>
        <v>#REF!</v>
      </c>
      <c r="F289" s="2259"/>
      <c r="G289" s="300"/>
    </row>
    <row r="290" spans="1:7" ht="30" customHeight="1">
      <c r="A290" s="131" t="s">
        <v>2259</v>
      </c>
      <c r="B290" s="1"/>
      <c r="C290" s="2245"/>
      <c r="D290" s="2245"/>
      <c r="E290" s="2245"/>
      <c r="F290" s="2245"/>
      <c r="G290" s="300"/>
    </row>
    <row r="291" spans="1:7" ht="30" customHeight="1">
      <c r="A291" s="131" t="s">
        <v>2290</v>
      </c>
      <c r="B291" s="1"/>
      <c r="C291" s="2245"/>
      <c r="D291" s="2245"/>
      <c r="E291" s="2245"/>
      <c r="F291" s="2245"/>
      <c r="G291" s="300"/>
    </row>
    <row r="292" spans="1:7" ht="30" customHeight="1">
      <c r="A292" s="131" t="s">
        <v>2291</v>
      </c>
      <c r="B292" s="1"/>
      <c r="C292" s="2245"/>
      <c r="D292" s="2245"/>
      <c r="E292" s="2245"/>
      <c r="F292" s="2245"/>
      <c r="G292" s="300"/>
    </row>
    <row r="293" spans="1:7" ht="30" customHeight="1">
      <c r="A293" s="131"/>
      <c r="B293" s="1"/>
      <c r="C293" s="2245"/>
      <c r="D293" s="2245"/>
      <c r="E293" s="2245"/>
      <c r="F293" s="2245"/>
      <c r="G293" s="300"/>
    </row>
    <row r="294" spans="1:7" ht="30" customHeight="1">
      <c r="A294" s="131" t="s">
        <v>2262</v>
      </c>
      <c r="B294" s="1"/>
      <c r="C294" s="2245"/>
      <c r="D294" s="2245"/>
      <c r="E294" s="2245"/>
      <c r="F294" s="2245"/>
      <c r="G294" s="300"/>
    </row>
    <row r="295" spans="1:7" ht="30" customHeight="1">
      <c r="A295" s="300"/>
      <c r="B295" s="300"/>
      <c r="C295" s="2245"/>
      <c r="D295" s="2245"/>
      <c r="E295" s="2245"/>
      <c r="F295" s="2245"/>
      <c r="G295" s="300"/>
    </row>
    <row r="296" spans="1:7" ht="30" customHeight="1">
      <c r="A296" s="144" t="s">
        <v>2292</v>
      </c>
      <c r="B296" s="145"/>
      <c r="C296" s="234" t="s">
        <v>2222</v>
      </c>
      <c r="D296" s="2245"/>
      <c r="E296" s="2245"/>
      <c r="F296" s="2245"/>
      <c r="G296" s="300"/>
    </row>
    <row r="297" spans="1:7" ht="30" customHeight="1" thickBot="1">
      <c r="A297" s="146" t="s">
        <v>2223</v>
      </c>
      <c r="B297" s="2246"/>
      <c r="C297" s="2247"/>
      <c r="D297" s="2247"/>
      <c r="E297" s="2247"/>
      <c r="F297" s="2247"/>
      <c r="G297" s="300"/>
    </row>
    <row r="298" spans="1:7" ht="30" customHeight="1" thickTop="1" thickBot="1">
      <c r="A298" s="147" t="s">
        <v>2224</v>
      </c>
      <c r="B298" s="147" t="s">
        <v>87</v>
      </c>
      <c r="C298" s="236" t="s">
        <v>2225</v>
      </c>
      <c r="D298" s="2248"/>
      <c r="E298" s="236" t="s">
        <v>2226</v>
      </c>
      <c r="F298" s="2248"/>
      <c r="G298" s="300"/>
    </row>
    <row r="299" spans="1:7" ht="30" customHeight="1" thickTop="1">
      <c r="A299" s="256" t="s">
        <v>2229</v>
      </c>
      <c r="B299" s="256" t="s">
        <v>50</v>
      </c>
      <c r="C299" s="265" t="e">
        <f>'Pigs Cost'!E66</f>
        <v>#REF!</v>
      </c>
      <c r="D299" s="2249"/>
      <c r="E299" s="265"/>
      <c r="F299" s="2249"/>
      <c r="G299" s="300"/>
    </row>
    <row r="300" spans="1:7" ht="30" customHeight="1">
      <c r="A300" s="256" t="s">
        <v>2229</v>
      </c>
      <c r="B300" s="256" t="s">
        <v>50</v>
      </c>
      <c r="C300" s="265"/>
      <c r="D300" s="2249"/>
      <c r="E300" s="265" t="e">
        <f>-'Pigs Cost'!O66</f>
        <v>#REF!</v>
      </c>
      <c r="F300" s="2249"/>
      <c r="G300" s="2250" t="e">
        <f>SUM(E300:E302)</f>
        <v>#REF!</v>
      </c>
    </row>
    <row r="301" spans="1:7" ht="30" customHeight="1">
      <c r="A301" s="256" t="s">
        <v>2281</v>
      </c>
      <c r="B301" s="256" t="s">
        <v>127</v>
      </c>
      <c r="C301" s="265"/>
      <c r="D301" s="2249"/>
      <c r="E301" s="265" t="e">
        <f>0*'Pigs Cost'!N15</f>
        <v>#REF!</v>
      </c>
      <c r="F301" s="2249"/>
      <c r="G301" s="300"/>
    </row>
    <row r="302" spans="1:7" ht="30" customHeight="1">
      <c r="A302" s="256" t="s">
        <v>2281</v>
      </c>
      <c r="B302" s="256" t="s">
        <v>127</v>
      </c>
      <c r="C302" s="265"/>
      <c r="D302" s="2249"/>
      <c r="E302" s="265">
        <v>0</v>
      </c>
      <c r="F302" s="2249"/>
      <c r="G302" s="300"/>
    </row>
    <row r="303" spans="1:7" ht="30" customHeight="1">
      <c r="A303" s="256" t="s">
        <v>2242</v>
      </c>
      <c r="B303" s="256" t="s">
        <v>75</v>
      </c>
      <c r="C303" s="265" t="e">
        <f>17*'Pigs Cost'!N66</f>
        <v>#REF!</v>
      </c>
      <c r="D303" s="2249"/>
      <c r="E303" s="265"/>
      <c r="F303" s="2249"/>
      <c r="G303" s="2250" t="e">
        <f>SUM(C304:C309)</f>
        <v>#REF!</v>
      </c>
    </row>
    <row r="304" spans="1:7" ht="30" customHeight="1">
      <c r="A304" s="256" t="s">
        <v>2267</v>
      </c>
      <c r="B304" s="256" t="s">
        <v>2268</v>
      </c>
      <c r="C304" s="265" t="e">
        <f>'IAS 41 Mvmnt Pigs'!D66</f>
        <v>#REF!</v>
      </c>
      <c r="D304" s="2249"/>
      <c r="E304" s="265"/>
      <c r="F304" s="2249"/>
      <c r="G304" s="2250" t="e">
        <f>SUM(E305:E308)</f>
        <v>#REF!</v>
      </c>
    </row>
    <row r="305" spans="1:7" ht="30" customHeight="1">
      <c r="A305" s="256" t="s">
        <v>2271</v>
      </c>
      <c r="B305" s="256" t="s">
        <v>2293</v>
      </c>
      <c r="C305" s="265" t="e">
        <f>'IAS 41 Mvmnt Pigs'!D68</f>
        <v>#REF!</v>
      </c>
      <c r="D305" s="2249"/>
      <c r="E305" s="265"/>
      <c r="F305" s="2249"/>
      <c r="G305" s="2250" t="e">
        <f>G303-G304</f>
        <v>#REF!</v>
      </c>
    </row>
    <row r="306" spans="1:7" ht="30" customHeight="1">
      <c r="A306" s="256" t="s">
        <v>2267</v>
      </c>
      <c r="B306" s="256" t="s">
        <v>2268</v>
      </c>
      <c r="C306" s="265"/>
      <c r="D306" s="2249"/>
      <c r="E306" s="265" t="e">
        <f>-'IAS 41 Mvmnt Pigs'!G66</f>
        <v>#REF!</v>
      </c>
      <c r="F306" s="2249"/>
      <c r="G306" s="300"/>
    </row>
    <row r="307" spans="1:7" ht="30" customHeight="1">
      <c r="A307" s="256" t="s">
        <v>2281</v>
      </c>
      <c r="B307" s="256" t="s">
        <v>127</v>
      </c>
      <c r="C307" s="265"/>
      <c r="D307" s="2249"/>
      <c r="E307" s="265" t="e">
        <f>0*'IAS 41 Mvmnt Pigs'!F15</f>
        <v>#REF!</v>
      </c>
      <c r="F307" s="2249"/>
      <c r="G307" s="300"/>
    </row>
    <row r="308" spans="1:7" ht="30" customHeight="1">
      <c r="A308" s="256" t="s">
        <v>2242</v>
      </c>
      <c r="B308" s="256" t="s">
        <v>75</v>
      </c>
      <c r="C308" s="265" t="e">
        <f>-'IAS 41 Mvmnt Pigs'!G66</f>
        <v>#REF!</v>
      </c>
      <c r="D308" s="2249"/>
      <c r="E308" s="265"/>
      <c r="F308" s="2249"/>
      <c r="G308" s="300"/>
    </row>
    <row r="309" spans="1:7" ht="30" customHeight="1">
      <c r="A309" s="256" t="s">
        <v>2267</v>
      </c>
      <c r="B309" s="256" t="s">
        <v>2268</v>
      </c>
      <c r="C309" s="265">
        <f>'IAS 41 Mvmnt Pigs'!M66</f>
        <v>0</v>
      </c>
      <c r="D309" s="2249"/>
      <c r="E309" s="265"/>
      <c r="F309" s="2249"/>
      <c r="G309" s="300"/>
    </row>
    <row r="310" spans="1:7" ht="30" customHeight="1">
      <c r="A310" s="256" t="s">
        <v>2271</v>
      </c>
      <c r="B310" s="256" t="s">
        <v>2293</v>
      </c>
      <c r="C310" s="265">
        <f>'IAS 41 Mvmnt Pigs'!M68</f>
        <v>0</v>
      </c>
      <c r="D310" s="2249"/>
      <c r="E310" s="265"/>
      <c r="F310" s="2249"/>
      <c r="G310" s="300"/>
    </row>
    <row r="311" spans="1:7" ht="30" customHeight="1">
      <c r="A311" s="256" t="s">
        <v>2277</v>
      </c>
      <c r="B311" s="256" t="s">
        <v>2278</v>
      </c>
      <c r="C311" s="265"/>
      <c r="D311" s="2249"/>
      <c r="E311" s="265">
        <f>'IAS 41 Mvmnt Pigs'!M69</f>
        <v>0</v>
      </c>
      <c r="F311" s="2249"/>
      <c r="G311" s="300"/>
    </row>
    <row r="312" spans="1:7" ht="30" customHeight="1">
      <c r="A312" s="256" t="s">
        <v>2229</v>
      </c>
      <c r="B312" s="256" t="s">
        <v>50</v>
      </c>
      <c r="C312" s="265" t="e">
        <f>'Pigs Cost'!J66</f>
        <v>#REF!</v>
      </c>
      <c r="D312" s="2249"/>
      <c r="E312" s="265"/>
      <c r="F312" s="2249"/>
      <c r="G312" s="300"/>
    </row>
    <row r="313" spans="1:7" ht="30" customHeight="1">
      <c r="A313" s="256" t="s">
        <v>2281</v>
      </c>
      <c r="B313" s="256" t="s">
        <v>127</v>
      </c>
      <c r="C313" s="265"/>
      <c r="D313" s="2249"/>
      <c r="E313" s="265" t="e">
        <f>'Pigs Cost'!J66</f>
        <v>#REF!</v>
      </c>
      <c r="F313" s="2249"/>
      <c r="G313" s="300"/>
    </row>
    <row r="314" spans="1:7" ht="30" customHeight="1">
      <c r="A314" s="262"/>
      <c r="B314" s="256" t="s">
        <v>2294</v>
      </c>
      <c r="C314" s="265" t="e">
        <f>-'Pigs Cost'!Q66</f>
        <v>#REF!</v>
      </c>
      <c r="D314" s="2249"/>
      <c r="E314" s="265"/>
      <c r="F314" s="2249"/>
      <c r="G314" s="300"/>
    </row>
    <row r="315" spans="1:7" ht="30" customHeight="1">
      <c r="A315" s="256" t="s">
        <v>2256</v>
      </c>
      <c r="B315" s="256" t="s">
        <v>2257</v>
      </c>
      <c r="C315" s="265" t="e">
        <f>-'Pigs Cost'!R66</f>
        <v>#REF!</v>
      </c>
      <c r="D315" s="2249"/>
      <c r="E315" s="265"/>
      <c r="F315" s="2249"/>
      <c r="G315" s="300"/>
    </row>
    <row r="316" spans="1:7" ht="30" customHeight="1">
      <c r="A316" s="256" t="s">
        <v>2229</v>
      </c>
      <c r="B316" s="256" t="s">
        <v>50</v>
      </c>
      <c r="C316" s="265"/>
      <c r="D316" s="2249"/>
      <c r="E316" s="265" t="e">
        <f>-'Pigs Cost'!Q66-'Pigs Cost'!R66</f>
        <v>#REF!</v>
      </c>
      <c r="F316" s="2249"/>
      <c r="G316" s="300"/>
    </row>
    <row r="317" spans="1:7" ht="30" customHeight="1">
      <c r="A317" s="256"/>
      <c r="B317" s="256" t="s">
        <v>2294</v>
      </c>
      <c r="C317" s="265" t="e">
        <f>-'IAS 41 Mvmnt Pigs'!I66</f>
        <v>#REF!</v>
      </c>
      <c r="D317" s="2249"/>
      <c r="E317" s="265"/>
      <c r="F317" s="2249"/>
      <c r="G317" s="300"/>
    </row>
    <row r="318" spans="1:7" ht="30" customHeight="1">
      <c r="A318" s="256" t="s">
        <v>2256</v>
      </c>
      <c r="B318" s="256" t="s">
        <v>2257</v>
      </c>
      <c r="C318" s="265" t="e">
        <f>-'IAS 41 Mvmnt Pigs'!J66</f>
        <v>#REF!</v>
      </c>
      <c r="D318" s="2249"/>
      <c r="E318" s="265"/>
      <c r="F318" s="2249"/>
      <c r="G318" s="300"/>
    </row>
    <row r="319" spans="1:7" ht="30" customHeight="1">
      <c r="A319" s="256" t="s">
        <v>2267</v>
      </c>
      <c r="B319" s="256" t="s">
        <v>2268</v>
      </c>
      <c r="C319" s="265"/>
      <c r="D319" s="2249"/>
      <c r="E319" s="265" t="e">
        <f>-'IAS 41 Mvmnt Pigs'!J66-'IAS 41 Mvmnt Pigs'!I66</f>
        <v>#REF!</v>
      </c>
      <c r="F319" s="2249"/>
      <c r="G319" s="300"/>
    </row>
    <row r="320" spans="1:7" ht="30" customHeight="1">
      <c r="A320" s="256"/>
      <c r="B320" s="256"/>
      <c r="C320" s="265"/>
      <c r="D320" s="2249"/>
      <c r="E320" s="265"/>
      <c r="F320" s="2249"/>
      <c r="G320" s="300"/>
    </row>
    <row r="321" spans="1:6" ht="30" customHeight="1">
      <c r="A321" s="256"/>
      <c r="B321" s="256"/>
      <c r="C321" s="265"/>
      <c r="D321" s="2249"/>
      <c r="E321" s="265"/>
      <c r="F321" s="2249"/>
    </row>
    <row r="322" spans="1:6" ht="30" customHeight="1">
      <c r="A322" s="256"/>
      <c r="B322" s="256"/>
      <c r="C322" s="265"/>
      <c r="D322" s="2249"/>
      <c r="E322" s="265"/>
      <c r="F322" s="2249"/>
    </row>
    <row r="323" spans="1:6" ht="30" customHeight="1">
      <c r="A323" s="256"/>
      <c r="B323" s="256"/>
      <c r="C323" s="265"/>
      <c r="D323" s="2249"/>
      <c r="E323" s="265"/>
      <c r="F323" s="2249"/>
    </row>
    <row r="324" spans="1:6" ht="30" customHeight="1">
      <c r="A324" s="256"/>
      <c r="B324" s="256"/>
      <c r="C324" s="265"/>
      <c r="D324" s="2249"/>
      <c r="E324" s="265"/>
      <c r="F324" s="2249"/>
    </row>
    <row r="325" spans="1:6" ht="30" customHeight="1">
      <c r="A325" s="256"/>
      <c r="B325" s="256"/>
      <c r="C325" s="265"/>
      <c r="D325" s="2249"/>
      <c r="E325" s="265"/>
      <c r="F325" s="2249"/>
    </row>
    <row r="326" spans="1:6" ht="30" customHeight="1">
      <c r="A326" s="256"/>
      <c r="B326" s="256"/>
      <c r="C326" s="265"/>
      <c r="D326" s="2249"/>
      <c r="E326" s="265"/>
      <c r="F326" s="2249"/>
    </row>
    <row r="327" spans="1:6" ht="30" customHeight="1">
      <c r="A327" s="256"/>
      <c r="B327" s="256"/>
      <c r="C327" s="265"/>
      <c r="D327" s="2249"/>
      <c r="E327" s="265"/>
      <c r="F327" s="2249"/>
    </row>
    <row r="328" spans="1:6" ht="30" customHeight="1">
      <c r="A328" s="256"/>
      <c r="B328" s="256"/>
      <c r="C328" s="265"/>
      <c r="D328" s="2249"/>
      <c r="E328" s="265"/>
      <c r="F328" s="2249"/>
    </row>
    <row r="329" spans="1:6" ht="30" customHeight="1">
      <c r="A329" s="256"/>
      <c r="B329" s="256"/>
      <c r="C329" s="265"/>
      <c r="D329" s="2249"/>
      <c r="E329" s="265"/>
      <c r="F329" s="2249"/>
    </row>
    <row r="330" spans="1:6" ht="30" customHeight="1">
      <c r="A330" s="256"/>
      <c r="B330" s="256"/>
      <c r="C330" s="265"/>
      <c r="D330" s="2249"/>
      <c r="E330" s="265"/>
      <c r="F330" s="2249"/>
    </row>
    <row r="331" spans="1:6" ht="30" customHeight="1">
      <c r="A331" s="268"/>
      <c r="B331" s="268"/>
      <c r="C331" s="2252"/>
      <c r="D331" s="2253"/>
      <c r="E331" s="265"/>
      <c r="F331" s="2253"/>
    </row>
    <row r="332" spans="1:6" ht="30" customHeight="1" thickBot="1">
      <c r="A332" s="268"/>
      <c r="B332" s="268"/>
      <c r="C332" s="2252"/>
      <c r="D332" s="2253"/>
      <c r="E332" s="2252"/>
      <c r="F332" s="2253"/>
    </row>
    <row r="333" spans="1:6" ht="30" customHeight="1" thickBot="1">
      <c r="A333" s="148" t="s">
        <v>2258</v>
      </c>
      <c r="B333" s="2257"/>
      <c r="C333" s="2258" t="e">
        <f>SUM(C299:C332)</f>
        <v>#REF!</v>
      </c>
      <c r="D333" s="2258"/>
      <c r="E333" s="2258" t="e">
        <f>SUM(E299:E332)</f>
        <v>#REF!</v>
      </c>
      <c r="F333" s="2258"/>
    </row>
    <row r="334" spans="1:6" ht="30" customHeight="1" thickTop="1">
      <c r="A334" s="300"/>
      <c r="B334" s="300"/>
      <c r="C334" s="2259"/>
      <c r="D334" s="2259"/>
      <c r="E334" s="2259" t="e">
        <f>+C333-E333</f>
        <v>#REF!</v>
      </c>
      <c r="F334" s="2259"/>
    </row>
    <row r="335" spans="1:6" ht="30" customHeight="1">
      <c r="A335" s="300"/>
      <c r="B335" s="300"/>
      <c r="C335" s="2259"/>
      <c r="D335" s="2259"/>
      <c r="E335" s="2259"/>
      <c r="F335" s="2259"/>
    </row>
    <row r="336" spans="1:6" ht="30" customHeight="1">
      <c r="A336" s="131" t="s">
        <v>2259</v>
      </c>
      <c r="B336" s="1"/>
      <c r="C336" s="2245"/>
      <c r="D336" s="2245"/>
      <c r="E336" s="2245"/>
      <c r="F336" s="2245"/>
    </row>
    <row r="337" spans="1:7" ht="30" customHeight="1">
      <c r="A337" s="131" t="s">
        <v>2260</v>
      </c>
      <c r="B337" s="1"/>
      <c r="C337" s="2245"/>
      <c r="D337" s="2245"/>
      <c r="E337" s="2245"/>
      <c r="F337" s="2245"/>
      <c r="G337" s="300"/>
    </row>
    <row r="338" spans="1:7" ht="30" customHeight="1">
      <c r="A338" s="131" t="s">
        <v>2260</v>
      </c>
      <c r="B338" s="1"/>
      <c r="C338" s="2245"/>
      <c r="D338" s="2245"/>
      <c r="E338" s="2245"/>
      <c r="F338" s="2245"/>
      <c r="G338" s="300"/>
    </row>
    <row r="339" spans="1:7" ht="30" customHeight="1">
      <c r="A339" s="131" t="s">
        <v>2260</v>
      </c>
      <c r="B339" s="1"/>
      <c r="C339" s="2245"/>
      <c r="D339" s="2245"/>
      <c r="E339" s="2245"/>
      <c r="F339" s="2245"/>
      <c r="G339" s="300"/>
    </row>
    <row r="340" spans="1:7" ht="30" customHeight="1">
      <c r="A340" s="131"/>
      <c r="B340" s="1"/>
      <c r="C340" s="2245"/>
      <c r="D340" s="2245"/>
      <c r="E340" s="2245"/>
      <c r="F340" s="2245"/>
      <c r="G340" s="300"/>
    </row>
    <row r="341" spans="1:7" ht="30" customHeight="1">
      <c r="A341" s="131" t="s">
        <v>2261</v>
      </c>
      <c r="B341" s="1"/>
      <c r="C341" s="2245"/>
      <c r="D341" s="2245"/>
      <c r="E341" s="2245"/>
      <c r="F341" s="2245"/>
      <c r="G341" s="300"/>
    </row>
    <row r="342" spans="1:7" ht="30" customHeight="1">
      <c r="A342" s="131"/>
      <c r="B342" s="1"/>
      <c r="C342" s="2245"/>
      <c r="D342" s="2245"/>
      <c r="E342" s="2245"/>
      <c r="F342" s="2245"/>
      <c r="G342" s="300"/>
    </row>
    <row r="343" spans="1:7" ht="30" customHeight="1">
      <c r="A343" s="131" t="s">
        <v>2262</v>
      </c>
      <c r="B343" s="1"/>
      <c r="C343" s="2245"/>
      <c r="D343" s="2245"/>
      <c r="E343" s="2245"/>
      <c r="F343" s="2245"/>
      <c r="G343" s="300"/>
    </row>
    <row r="344" spans="1:7" ht="30" customHeight="1">
      <c r="A344" s="131"/>
      <c r="B344" s="1"/>
      <c r="C344" s="2245"/>
      <c r="D344" s="2245"/>
      <c r="E344" s="2245"/>
      <c r="F344" s="2245"/>
      <c r="G344" s="300"/>
    </row>
    <row r="345" spans="1:7" ht="30" customHeight="1">
      <c r="A345" s="131"/>
      <c r="B345" s="1"/>
      <c r="C345" s="2245"/>
      <c r="D345" s="2245"/>
      <c r="E345" s="2245"/>
      <c r="F345" s="2245"/>
      <c r="G345" s="300"/>
    </row>
    <row r="346" spans="1:7" ht="30" customHeight="1">
      <c r="A346" s="131"/>
      <c r="B346" s="1"/>
      <c r="C346" s="2245"/>
      <c r="D346" s="2245"/>
      <c r="E346" s="2245"/>
      <c r="F346" s="2245"/>
      <c r="G346" s="300"/>
    </row>
    <row r="347" spans="1:7" ht="30" customHeight="1">
      <c r="A347" s="300"/>
      <c r="B347" s="300"/>
      <c r="C347" s="2245"/>
      <c r="D347" s="2245"/>
      <c r="E347" s="2245"/>
      <c r="F347" s="2245"/>
      <c r="G347" s="300"/>
    </row>
    <row r="348" spans="1:7" ht="30" customHeight="1">
      <c r="A348" s="144" t="s">
        <v>2295</v>
      </c>
      <c r="B348" s="145"/>
      <c r="C348" s="234" t="s">
        <v>2222</v>
      </c>
      <c r="D348" s="2245"/>
      <c r="E348" s="2245"/>
      <c r="F348" s="2245"/>
      <c r="G348" s="300"/>
    </row>
    <row r="349" spans="1:7" ht="30" customHeight="1" thickBot="1">
      <c r="A349" s="146" t="s">
        <v>2223</v>
      </c>
      <c r="B349" s="2246"/>
      <c r="C349" s="2247"/>
      <c r="D349" s="2247"/>
      <c r="E349" s="2247"/>
      <c r="F349" s="2247"/>
      <c r="G349" s="300"/>
    </row>
    <row r="350" spans="1:7" ht="30" customHeight="1" thickTop="1" thickBot="1">
      <c r="A350" s="147" t="s">
        <v>2224</v>
      </c>
      <c r="B350" s="147" t="s">
        <v>87</v>
      </c>
      <c r="C350" s="236" t="s">
        <v>2225</v>
      </c>
      <c r="D350" s="2248"/>
      <c r="E350" s="236" t="s">
        <v>2226</v>
      </c>
      <c r="F350" s="2248"/>
      <c r="G350" s="300"/>
    </row>
    <row r="351" spans="1:7" ht="30" customHeight="1" thickTop="1">
      <c r="A351" s="256" t="s">
        <v>2227</v>
      </c>
      <c r="B351" s="256" t="s">
        <v>389</v>
      </c>
      <c r="C351" s="265" t="e">
        <f>'Pigs Cost'!E76</f>
        <v>#REF!</v>
      </c>
      <c r="D351" s="2249"/>
      <c r="E351" s="265"/>
      <c r="F351" s="2249"/>
      <c r="G351" s="2250"/>
    </row>
    <row r="352" spans="1:7" ht="30" customHeight="1">
      <c r="A352" s="256" t="s">
        <v>2228</v>
      </c>
      <c r="B352" s="256" t="s">
        <v>397</v>
      </c>
      <c r="C352" s="265" t="e">
        <f>'Pigs Cost'!E77</f>
        <v>#REF!</v>
      </c>
      <c r="D352" s="2249"/>
      <c r="E352" s="265"/>
      <c r="F352" s="2249"/>
      <c r="G352" s="2250"/>
    </row>
    <row r="353" spans="1:8" ht="30" customHeight="1">
      <c r="A353" s="256" t="s">
        <v>2230</v>
      </c>
      <c r="B353" s="256" t="s">
        <v>55</v>
      </c>
      <c r="C353" s="265" t="e">
        <f>'Pigs Cost'!E79</f>
        <v>#REF!</v>
      </c>
      <c r="D353" s="2249"/>
      <c r="E353" s="265"/>
      <c r="F353" s="2249"/>
      <c r="G353" s="2250"/>
      <c r="H353" s="300"/>
    </row>
    <row r="354" spans="1:8" ht="30" customHeight="1">
      <c r="A354" s="256" t="s">
        <v>2232</v>
      </c>
      <c r="B354" s="256" t="s">
        <v>384</v>
      </c>
      <c r="C354" s="265"/>
      <c r="D354" s="2249"/>
      <c r="E354" s="265" t="e">
        <f>-'Pigs Cost'!O75</f>
        <v>#REF!</v>
      </c>
      <c r="F354" s="2249"/>
      <c r="G354" s="141"/>
      <c r="H354" s="141"/>
    </row>
    <row r="355" spans="1:8" ht="30" customHeight="1">
      <c r="A355" s="256" t="s">
        <v>2227</v>
      </c>
      <c r="B355" s="256" t="s">
        <v>389</v>
      </c>
      <c r="C355" s="265"/>
      <c r="D355" s="2249"/>
      <c r="E355" s="265" t="e">
        <f>-'Pigs Cost'!O76</f>
        <v>#REF!</v>
      </c>
      <c r="F355" s="2249"/>
      <c r="G355" s="141"/>
      <c r="H355" s="141"/>
    </row>
    <row r="356" spans="1:8" ht="30" customHeight="1">
      <c r="A356" s="256" t="s">
        <v>2228</v>
      </c>
      <c r="B356" s="256" t="s">
        <v>397</v>
      </c>
      <c r="C356" s="265"/>
      <c r="D356" s="2249"/>
      <c r="E356" s="265" t="e">
        <f>-'Pigs Cost'!O77</f>
        <v>#REF!</v>
      </c>
      <c r="F356" s="2249"/>
      <c r="G356" s="259" t="e">
        <f>SUM(C351:C360)</f>
        <v>#REF!</v>
      </c>
      <c r="H356" s="141"/>
    </row>
    <row r="357" spans="1:8" ht="30" customHeight="1">
      <c r="A357" s="256" t="s">
        <v>2230</v>
      </c>
      <c r="B357" s="256" t="s">
        <v>55</v>
      </c>
      <c r="C357" s="265"/>
      <c r="D357" s="2249"/>
      <c r="E357" s="265" t="e">
        <f>-'Pigs Cost'!O79</f>
        <v>#REF!</v>
      </c>
      <c r="F357" s="2249"/>
      <c r="G357" s="259" t="e">
        <f>SUM(E354:E357)</f>
        <v>#REF!</v>
      </c>
      <c r="H357" s="141"/>
    </row>
    <row r="358" spans="1:8" ht="30" customHeight="1">
      <c r="A358" s="256" t="s">
        <v>2251</v>
      </c>
      <c r="B358" s="257" t="s">
        <v>152</v>
      </c>
      <c r="C358" s="265" t="e">
        <f>501*'Pigs Cost'!N77</f>
        <v>#REF!</v>
      </c>
      <c r="D358" s="2249"/>
      <c r="E358" s="265"/>
      <c r="F358" s="2249"/>
      <c r="G358" s="259" t="e">
        <f>G356-G357</f>
        <v>#REF!</v>
      </c>
      <c r="H358" s="141"/>
    </row>
    <row r="359" spans="1:8" ht="30" customHeight="1">
      <c r="A359" s="256"/>
      <c r="B359" s="256" t="s">
        <v>2244</v>
      </c>
      <c r="C359" s="265" t="e">
        <f>631*'Pigs Cost'!N77-'Pigs Cost'!E79</f>
        <v>#REF!</v>
      </c>
      <c r="D359" s="2249"/>
      <c r="E359" s="265"/>
      <c r="F359" s="2249"/>
      <c r="G359" s="259"/>
      <c r="H359" s="141"/>
    </row>
    <row r="360" spans="1:8" ht="30" customHeight="1">
      <c r="A360" s="256"/>
      <c r="B360" s="256" t="s">
        <v>151</v>
      </c>
      <c r="C360" s="265" t="e">
        <f>160*'Pigs Cost'!N77</f>
        <v>#REF!</v>
      </c>
      <c r="D360" s="2249"/>
      <c r="E360" s="265"/>
      <c r="F360" s="2249"/>
      <c r="G360" s="259"/>
      <c r="H360" s="141"/>
    </row>
    <row r="361" spans="1:8" ht="30" customHeight="1">
      <c r="A361" s="256" t="s">
        <v>2232</v>
      </c>
      <c r="B361" s="256" t="s">
        <v>384</v>
      </c>
      <c r="C361" s="265" t="e">
        <f>+'Pigs Cost'!J75</f>
        <v>#REF!</v>
      </c>
      <c r="D361" s="2249"/>
      <c r="E361" s="265"/>
      <c r="F361" s="2249"/>
      <c r="G361" s="141"/>
      <c r="H361" s="141"/>
    </row>
    <row r="362" spans="1:8" ht="30" customHeight="1">
      <c r="A362" s="262" t="s">
        <v>2227</v>
      </c>
      <c r="B362" s="256" t="s">
        <v>389</v>
      </c>
      <c r="C362" s="265" t="e">
        <f>+'Pigs Cost'!J76</f>
        <v>#REF!</v>
      </c>
      <c r="D362" s="2249"/>
      <c r="E362" s="265"/>
      <c r="F362" s="2249"/>
      <c r="G362" s="141"/>
      <c r="H362" s="141"/>
    </row>
    <row r="363" spans="1:8" ht="30" customHeight="1">
      <c r="A363" s="256" t="s">
        <v>2228</v>
      </c>
      <c r="B363" s="256" t="s">
        <v>397</v>
      </c>
      <c r="C363" s="265" t="e">
        <f>+'Pigs Cost'!J77</f>
        <v>#REF!</v>
      </c>
      <c r="D363" s="2249"/>
      <c r="E363" s="265"/>
      <c r="F363" s="2249"/>
      <c r="G363" s="141"/>
      <c r="H363" s="141"/>
    </row>
    <row r="364" spans="1:8" ht="30" customHeight="1">
      <c r="A364" s="256" t="s">
        <v>2281</v>
      </c>
      <c r="B364" s="256" t="s">
        <v>127</v>
      </c>
      <c r="C364" s="265"/>
      <c r="D364" s="2249"/>
      <c r="E364" s="265" t="e">
        <f>SUM(C361:C363)</f>
        <v>#REF!</v>
      </c>
      <c r="F364" s="2249"/>
      <c r="G364" s="141"/>
      <c r="H364" s="141"/>
    </row>
    <row r="365" spans="1:8" ht="30" customHeight="1">
      <c r="A365" s="256" t="s">
        <v>2254</v>
      </c>
      <c r="B365" s="256" t="s">
        <v>2282</v>
      </c>
      <c r="C365" s="265" t="e">
        <f>-'Pigs Cost'!P81-'Pigs Cost'!Q81</f>
        <v>#REF!</v>
      </c>
      <c r="D365" s="2249"/>
      <c r="E365" s="265"/>
      <c r="F365" s="2249"/>
      <c r="G365" s="141"/>
      <c r="H365" s="141"/>
    </row>
    <row r="366" spans="1:8" ht="30" customHeight="1">
      <c r="A366" s="256" t="s">
        <v>2256</v>
      </c>
      <c r="B366" s="256" t="s">
        <v>2296</v>
      </c>
      <c r="C366" s="265" t="e">
        <f>-'Pigs Cost'!R79-'Pigs Cost'!R80</f>
        <v>#REF!</v>
      </c>
      <c r="D366" s="2249"/>
      <c r="E366" s="265"/>
      <c r="F366" s="2249"/>
      <c r="G366" s="141"/>
      <c r="H366" s="141"/>
    </row>
    <row r="367" spans="1:8" ht="30" customHeight="1">
      <c r="A367" s="256" t="s">
        <v>2297</v>
      </c>
      <c r="B367" s="151" t="s">
        <v>2298</v>
      </c>
      <c r="C367" s="265" t="e">
        <f>-'Pigs Cost'!R75</f>
        <v>#REF!</v>
      </c>
      <c r="D367" s="2249"/>
      <c r="E367" s="265"/>
      <c r="F367" s="2249"/>
      <c r="G367" s="259" t="e">
        <f>SUM(C365:C373)</f>
        <v>#REF!</v>
      </c>
      <c r="H367" s="141"/>
    </row>
    <row r="368" spans="1:8" ht="30" customHeight="1">
      <c r="A368" s="256" t="s">
        <v>2228</v>
      </c>
      <c r="B368" s="256" t="s">
        <v>397</v>
      </c>
      <c r="C368" s="265"/>
      <c r="D368" s="2249"/>
      <c r="E368" s="265" t="e">
        <f>-'Pigs Cost'!P77-'Pigs Cost'!Q77-'Pigs Cost'!R77</f>
        <v>#REF!</v>
      </c>
      <c r="F368" s="2249"/>
      <c r="G368" s="259" t="e">
        <f>SUM(E368:E372)</f>
        <v>#REF!</v>
      </c>
      <c r="H368" s="141"/>
    </row>
    <row r="369" spans="1:8" ht="30" customHeight="1">
      <c r="A369" s="256" t="s">
        <v>2230</v>
      </c>
      <c r="B369" s="256" t="s">
        <v>55</v>
      </c>
      <c r="C369" s="265"/>
      <c r="D369" s="2249"/>
      <c r="E369" s="265" t="e">
        <f>-'Pigs Cost'!P79-'Pigs Cost'!Q79-'Pigs Cost'!R79</f>
        <v>#REF!</v>
      </c>
      <c r="F369" s="2249"/>
      <c r="G369" s="259" t="e">
        <f>G367-G368</f>
        <v>#REF!</v>
      </c>
      <c r="H369" s="141"/>
    </row>
    <row r="370" spans="1:8" ht="30" customHeight="1">
      <c r="A370" s="262" t="s">
        <v>2232</v>
      </c>
      <c r="B370" s="256" t="s">
        <v>384</v>
      </c>
      <c r="C370" s="265"/>
      <c r="D370" s="2249"/>
      <c r="E370" s="265" t="e">
        <f>-'Pigs Cost'!R75</f>
        <v>#REF!</v>
      </c>
      <c r="F370" s="2249"/>
      <c r="G370" s="141"/>
      <c r="H370" s="141"/>
    </row>
    <row r="371" spans="1:8" ht="30" customHeight="1">
      <c r="A371" s="262" t="s">
        <v>2227</v>
      </c>
      <c r="B371" s="256" t="s">
        <v>389</v>
      </c>
      <c r="C371" s="265"/>
      <c r="D371" s="2249"/>
      <c r="E371" s="265" t="e">
        <f>-'Pigs Cost'!Q76</f>
        <v>#REF!</v>
      </c>
      <c r="F371" s="2249"/>
      <c r="G371" s="141"/>
      <c r="H371" s="141"/>
    </row>
    <row r="372" spans="1:8" ht="30" customHeight="1">
      <c r="A372" s="256" t="s">
        <v>2231</v>
      </c>
      <c r="B372" s="256" t="s">
        <v>79</v>
      </c>
      <c r="C372" s="265"/>
      <c r="D372" s="2249"/>
      <c r="E372" s="265" t="e">
        <f>-'Pigs Cost'!Q80-'Pigs Cost'!R80</f>
        <v>#REF!</v>
      </c>
      <c r="F372" s="2249"/>
      <c r="G372" s="141"/>
      <c r="H372" s="141"/>
    </row>
    <row r="373" spans="1:8" ht="30" customHeight="1">
      <c r="A373" s="256" t="s">
        <v>2299</v>
      </c>
      <c r="B373" s="256" t="s">
        <v>2300</v>
      </c>
      <c r="C373" s="265" t="e">
        <f>-'Pigs Cost'!R77</f>
        <v>#REF!</v>
      </c>
      <c r="D373" s="2249"/>
      <c r="E373" s="265"/>
      <c r="F373" s="2249"/>
      <c r="G373" s="141"/>
      <c r="H373" s="141"/>
    </row>
    <row r="374" spans="1:8" ht="30" customHeight="1">
      <c r="A374" s="256" t="s">
        <v>2263</v>
      </c>
      <c r="B374" s="256" t="s">
        <v>2264</v>
      </c>
      <c r="C374" s="265"/>
      <c r="D374" s="2249"/>
      <c r="E374" s="265" t="e">
        <f>-'IAS 41 Mvmnt Pigs'!D76</f>
        <v>#REF!</v>
      </c>
      <c r="F374" s="2249"/>
      <c r="G374" s="259" t="e">
        <f>SUM(C374:C376)</f>
        <v>#REF!</v>
      </c>
      <c r="H374" s="141"/>
    </row>
    <row r="375" spans="1:8" ht="30" customHeight="1">
      <c r="A375" s="256" t="s">
        <v>2265</v>
      </c>
      <c r="B375" s="256" t="s">
        <v>2266</v>
      </c>
      <c r="C375" s="265" t="e">
        <f>+'IAS 41 Mvmnt Pigs'!D77</f>
        <v>#REF!</v>
      </c>
      <c r="D375" s="2249"/>
      <c r="E375" s="265"/>
      <c r="F375" s="2249"/>
      <c r="G375" s="259" t="e">
        <f>SUM(E377:E379)</f>
        <v>#REF!</v>
      </c>
      <c r="H375" s="141"/>
    </row>
    <row r="376" spans="1:8" ht="30" customHeight="1">
      <c r="A376" s="256" t="s">
        <v>2269</v>
      </c>
      <c r="B376" s="256" t="s">
        <v>2270</v>
      </c>
      <c r="C376" s="265" t="e">
        <f>+'IAS 41 Mvmnt Pigs'!D79</f>
        <v>#REF!</v>
      </c>
      <c r="D376" s="2249"/>
      <c r="E376" s="265"/>
      <c r="F376" s="2249"/>
      <c r="G376" s="259" t="e">
        <f>G374-G375</f>
        <v>#REF!</v>
      </c>
      <c r="H376" s="141"/>
    </row>
    <row r="377" spans="1:8" ht="30" customHeight="1">
      <c r="A377" s="256" t="s">
        <v>2273</v>
      </c>
      <c r="B377" s="256" t="s">
        <v>2274</v>
      </c>
      <c r="C377" s="265" t="e">
        <f>'IAS 41 Mvmnt Pigs'!G75</f>
        <v>#REF!</v>
      </c>
      <c r="D377" s="2249"/>
      <c r="E377" s="265"/>
      <c r="F377" s="2249"/>
      <c r="G377" s="141"/>
      <c r="H377" s="141"/>
    </row>
    <row r="378" spans="1:8" ht="30" customHeight="1">
      <c r="A378" s="256" t="s">
        <v>2263</v>
      </c>
      <c r="B378" s="256" t="s">
        <v>2264</v>
      </c>
      <c r="C378" s="265"/>
      <c r="D378" s="2249"/>
      <c r="E378" s="265" t="e">
        <f>+-'IAS 41 Mvmnt Pigs'!G76</f>
        <v>#REF!</v>
      </c>
      <c r="F378" s="2249"/>
      <c r="G378" s="141"/>
      <c r="H378" s="141"/>
    </row>
    <row r="379" spans="1:8" ht="30" customHeight="1">
      <c r="A379" s="256" t="s">
        <v>2265</v>
      </c>
      <c r="B379" s="256" t="s">
        <v>2266</v>
      </c>
      <c r="C379" s="265"/>
      <c r="D379" s="2249"/>
      <c r="E379" s="265" t="e">
        <f>+-'IAS 41 Mvmnt Pigs'!G77</f>
        <v>#REF!</v>
      </c>
      <c r="F379" s="2249"/>
      <c r="G379" s="259" t="e">
        <f>SUM(C374:C384)</f>
        <v>#REF!</v>
      </c>
      <c r="H379" s="141"/>
    </row>
    <row r="380" spans="1:8" ht="30" customHeight="1">
      <c r="A380" s="256" t="s">
        <v>2269</v>
      </c>
      <c r="B380" s="256" t="s">
        <v>2270</v>
      </c>
      <c r="C380" s="265"/>
      <c r="D380" s="2249"/>
      <c r="E380" s="265" t="e">
        <f>-'IAS 41 Mvmnt Pigs'!G79</f>
        <v>#REF!</v>
      </c>
      <c r="F380" s="2249"/>
      <c r="G380" s="259" t="e">
        <f>SUM(E374:E384)</f>
        <v>#REF!</v>
      </c>
      <c r="H380" s="141"/>
    </row>
    <row r="381" spans="1:8" ht="30" customHeight="1">
      <c r="A381" s="256" t="s">
        <v>2251</v>
      </c>
      <c r="B381" s="257" t="s">
        <v>152</v>
      </c>
      <c r="C381" s="265" t="e">
        <f>501*'IAS 41 Mvmnt Pigs'!F77</f>
        <v>#REF!</v>
      </c>
      <c r="D381" s="2249"/>
      <c r="E381" s="265"/>
      <c r="F381" s="2249"/>
      <c r="G381" s="259" t="e">
        <f>G379-G380</f>
        <v>#REF!</v>
      </c>
      <c r="H381" s="141"/>
    </row>
    <row r="382" spans="1:8" ht="30" customHeight="1">
      <c r="A382" s="256"/>
      <c r="B382" s="257" t="s">
        <v>2244</v>
      </c>
      <c r="C382" s="265" t="e">
        <f>631*'IAS 41 Mvmnt Pigs'!F77-'IAS 41 Mvmnt Pigs'!D79</f>
        <v>#REF!</v>
      </c>
      <c r="D382" s="2249"/>
      <c r="E382" s="265"/>
      <c r="F382" s="2249"/>
      <c r="G382" s="141"/>
      <c r="H382" s="141"/>
    </row>
    <row r="383" spans="1:8" ht="30" customHeight="1">
      <c r="A383" s="256"/>
      <c r="B383" s="257" t="s">
        <v>75</v>
      </c>
      <c r="C383" s="265" t="e">
        <f>0*'IAS 41 Mvmnt Pigs'!F79</f>
        <v>#REF!</v>
      </c>
      <c r="D383" s="2249"/>
      <c r="E383" s="265"/>
      <c r="F383" s="2249"/>
      <c r="G383" s="141"/>
      <c r="H383" s="141"/>
    </row>
    <row r="384" spans="1:8" ht="30" customHeight="1">
      <c r="A384" s="256"/>
      <c r="B384" s="257" t="s">
        <v>151</v>
      </c>
      <c r="C384" s="265" t="e">
        <f>160*'IAS 41 Mvmnt Pigs'!F77</f>
        <v>#REF!</v>
      </c>
      <c r="D384" s="2249"/>
      <c r="E384" s="265"/>
      <c r="F384" s="2249"/>
      <c r="G384" s="141"/>
      <c r="H384" s="141"/>
    </row>
    <row r="385" spans="1:8" ht="30" customHeight="1">
      <c r="A385" s="256" t="s">
        <v>2275</v>
      </c>
      <c r="B385" s="256" t="s">
        <v>2276</v>
      </c>
      <c r="C385" s="265" t="e">
        <f>-'IAS 41 Mvmnt Pigs'!H81-'IAS 41 Mvmnt Pigs'!I81</f>
        <v>#REF!</v>
      </c>
      <c r="D385" s="2249"/>
      <c r="E385" s="265"/>
      <c r="F385" s="2249"/>
      <c r="G385" s="259" t="e">
        <f>SUM(C385:C392)</f>
        <v>#REF!</v>
      </c>
      <c r="H385" s="141"/>
    </row>
    <row r="386" spans="1:8" ht="30" customHeight="1">
      <c r="A386" s="256" t="s">
        <v>2256</v>
      </c>
      <c r="B386" s="256" t="s">
        <v>2296</v>
      </c>
      <c r="C386" s="265" t="e">
        <f>-'IAS 41 Mvmnt Pigs'!J79-'IAS 41 Mvmnt Pigs'!J80</f>
        <v>#REF!</v>
      </c>
      <c r="D386" s="2249"/>
      <c r="E386" s="265"/>
      <c r="F386" s="2249"/>
      <c r="G386" s="259" t="e">
        <f>SUM(E385:E393)</f>
        <v>#REF!</v>
      </c>
      <c r="H386" s="141"/>
    </row>
    <row r="387" spans="1:8" ht="30" customHeight="1">
      <c r="A387" s="256" t="s">
        <v>2297</v>
      </c>
      <c r="B387" s="151" t="s">
        <v>2298</v>
      </c>
      <c r="C387" s="265"/>
      <c r="D387" s="2249"/>
      <c r="E387" s="265" t="e">
        <f>'IAS 41 Mvmnt Pigs'!J75</f>
        <v>#REF!</v>
      </c>
      <c r="F387" s="2249"/>
      <c r="G387" s="259" t="e">
        <f>G385-G386</f>
        <v>#REF!</v>
      </c>
      <c r="H387" s="141"/>
    </row>
    <row r="388" spans="1:8" ht="30" customHeight="1">
      <c r="A388" s="256" t="s">
        <v>2301</v>
      </c>
      <c r="B388" s="256" t="s">
        <v>2302</v>
      </c>
      <c r="C388" s="265" t="e">
        <f>-'IAS 41 Mvmnt Pigs'!J77</f>
        <v>#REF!</v>
      </c>
      <c r="D388" s="2249"/>
      <c r="E388" s="265"/>
      <c r="F388" s="2249"/>
      <c r="G388" s="141"/>
      <c r="H388" s="141"/>
    </row>
    <row r="389" spans="1:8" ht="30" customHeight="1">
      <c r="A389" s="268" t="s">
        <v>2265</v>
      </c>
      <c r="B389" s="256" t="s">
        <v>2266</v>
      </c>
      <c r="C389" s="265"/>
      <c r="D389" s="2249"/>
      <c r="E389" s="265" t="e">
        <f>-SUM('IAS 41 Mvmnt Pigs'!H77:J77)</f>
        <v>#REF!</v>
      </c>
      <c r="F389" s="2249"/>
      <c r="G389" s="141"/>
      <c r="H389" s="141"/>
    </row>
    <row r="390" spans="1:8" ht="30" customHeight="1">
      <c r="A390" s="256" t="s">
        <v>2269</v>
      </c>
      <c r="B390" s="256" t="s">
        <v>2270</v>
      </c>
      <c r="C390" s="265"/>
      <c r="D390" s="2249"/>
      <c r="E390" s="265" t="e">
        <f>-SUM('IAS 41 Mvmnt Pigs'!H79:J79)</f>
        <v>#REF!</v>
      </c>
      <c r="F390" s="2249"/>
      <c r="G390" s="141"/>
      <c r="H390" s="141"/>
    </row>
    <row r="391" spans="1:8" ht="30" customHeight="1">
      <c r="A391" s="256" t="s">
        <v>2271</v>
      </c>
      <c r="B391" s="256" t="s">
        <v>2293</v>
      </c>
      <c r="C391" s="265"/>
      <c r="D391" s="2249"/>
      <c r="E391" s="265" t="e">
        <f>-SUM('IAS 41 Mvmnt Pigs'!H80:J80)</f>
        <v>#REF!</v>
      </c>
      <c r="F391" s="2249"/>
      <c r="G391" s="141"/>
      <c r="H391" s="141"/>
    </row>
    <row r="392" spans="1:8" ht="30" customHeight="1">
      <c r="A392" s="268" t="s">
        <v>2273</v>
      </c>
      <c r="B392" s="256" t="s">
        <v>384</v>
      </c>
      <c r="C392" s="265" t="e">
        <f>'IAS 41 Mvmnt Pigs'!J75</f>
        <v>#REF!</v>
      </c>
      <c r="D392" s="2249"/>
      <c r="E392" s="265">
        <f>'IAS 41 Mvmnt Pigs'!M81</f>
        <v>0</v>
      </c>
      <c r="F392" s="2253"/>
      <c r="G392" s="300"/>
      <c r="H392" s="300"/>
    </row>
    <row r="393" spans="1:8" ht="30" customHeight="1" thickBot="1">
      <c r="A393" s="268" t="s">
        <v>2263</v>
      </c>
      <c r="B393" s="258" t="s">
        <v>389</v>
      </c>
      <c r="C393" s="2255"/>
      <c r="D393" s="2256"/>
      <c r="E393" s="2255" t="e">
        <f>-'IAS 41 Mvmnt Pigs'!I76</f>
        <v>#REF!</v>
      </c>
      <c r="F393" s="2256"/>
      <c r="G393" s="300"/>
      <c r="H393" s="300"/>
    </row>
    <row r="394" spans="1:8" ht="30" customHeight="1" thickBot="1">
      <c r="A394" s="148" t="s">
        <v>2258</v>
      </c>
      <c r="B394" s="2257"/>
      <c r="C394" s="2258" t="e">
        <f>SUM(C351:C393)</f>
        <v>#REF!</v>
      </c>
      <c r="D394" s="2258"/>
      <c r="E394" s="2258" t="e">
        <f>SUM(E351:E393)</f>
        <v>#REF!</v>
      </c>
      <c r="F394" s="2258"/>
      <c r="G394" s="300"/>
      <c r="H394" s="300"/>
    </row>
    <row r="395" spans="1:8" ht="30" customHeight="1" thickTop="1">
      <c r="A395" s="300"/>
      <c r="B395" s="300"/>
      <c r="C395" s="2259"/>
      <c r="D395" s="2259"/>
      <c r="E395" s="2259" t="e">
        <f>+C394-E394</f>
        <v>#REF!</v>
      </c>
      <c r="F395" s="2259"/>
      <c r="G395" s="300"/>
      <c r="H395" s="300"/>
    </row>
    <row r="396" spans="1:8" ht="30" customHeight="1">
      <c r="A396" s="131" t="s">
        <v>2259</v>
      </c>
      <c r="B396" s="1"/>
      <c r="C396" s="2245"/>
      <c r="D396" s="2245"/>
      <c r="E396" s="2245"/>
      <c r="F396" s="2245"/>
      <c r="G396" s="300"/>
      <c r="H396" s="300"/>
    </row>
    <row r="397" spans="1:8" ht="30" customHeight="1">
      <c r="A397" s="131" t="s">
        <v>2260</v>
      </c>
      <c r="B397" s="1"/>
      <c r="C397" s="2245"/>
      <c r="D397" s="2245"/>
      <c r="E397" s="2245"/>
      <c r="F397" s="2245"/>
      <c r="G397" s="300"/>
      <c r="H397" s="300"/>
    </row>
    <row r="398" spans="1:8" ht="30" customHeight="1">
      <c r="A398" s="131" t="s">
        <v>2260</v>
      </c>
      <c r="B398" s="1"/>
      <c r="C398" s="2245"/>
      <c r="D398" s="2245"/>
      <c r="E398" s="2245"/>
      <c r="F398" s="2245"/>
      <c r="G398" s="300"/>
      <c r="H398" s="300"/>
    </row>
    <row r="399" spans="1:8" ht="30" customHeight="1">
      <c r="A399" s="131" t="s">
        <v>2261</v>
      </c>
      <c r="B399" s="1"/>
      <c r="C399" s="2245"/>
      <c r="D399" s="2245"/>
      <c r="E399" s="2245"/>
      <c r="F399" s="2245"/>
      <c r="G399" s="300"/>
      <c r="H399" s="300"/>
    </row>
    <row r="400" spans="1:8" ht="30" customHeight="1">
      <c r="A400" s="131"/>
      <c r="B400" s="1"/>
      <c r="C400" s="2245"/>
      <c r="D400" s="2245"/>
      <c r="E400" s="2245"/>
      <c r="F400" s="2245"/>
      <c r="G400" s="300"/>
      <c r="H400" s="300"/>
    </row>
    <row r="401" spans="1:6" ht="30" customHeight="1">
      <c r="A401" s="131" t="s">
        <v>2262</v>
      </c>
      <c r="B401" s="1"/>
      <c r="C401" s="2245"/>
      <c r="D401" s="2245"/>
      <c r="E401" s="2245"/>
      <c r="F401" s="2245"/>
    </row>
    <row r="402" spans="1:6" ht="30" customHeight="1">
      <c r="A402" s="300"/>
      <c r="B402" s="300"/>
      <c r="C402" s="2245"/>
      <c r="D402" s="2245"/>
      <c r="E402" s="2245"/>
      <c r="F402" s="2245"/>
    </row>
    <row r="403" spans="1:6" ht="30" customHeight="1">
      <c r="A403" s="144" t="s">
        <v>2303</v>
      </c>
      <c r="B403" s="145"/>
      <c r="C403" s="234" t="s">
        <v>2222</v>
      </c>
      <c r="D403" s="2245"/>
      <c r="E403" s="2245"/>
      <c r="F403" s="2245"/>
    </row>
    <row r="404" spans="1:6" ht="30" customHeight="1" thickBot="1">
      <c r="A404" s="146" t="s">
        <v>2223</v>
      </c>
      <c r="B404" s="2246"/>
      <c r="C404" s="2247"/>
      <c r="D404" s="2247"/>
      <c r="E404" s="2247"/>
      <c r="F404" s="2247"/>
    </row>
    <row r="405" spans="1:6" ht="30" customHeight="1" thickTop="1" thickBot="1">
      <c r="A405" s="147" t="s">
        <v>2224</v>
      </c>
      <c r="B405" s="147" t="s">
        <v>87</v>
      </c>
      <c r="C405" s="236" t="s">
        <v>2225</v>
      </c>
      <c r="D405" s="2248"/>
      <c r="E405" s="236" t="s">
        <v>2226</v>
      </c>
      <c r="F405" s="2248"/>
    </row>
    <row r="406" spans="1:6" ht="30" customHeight="1" thickTop="1">
      <c r="A406" s="256" t="s">
        <v>2228</v>
      </c>
      <c r="B406" s="256" t="s">
        <v>397</v>
      </c>
      <c r="C406" s="265" t="e">
        <f>'Pigs Cost'!E89</f>
        <v>#REF!</v>
      </c>
      <c r="D406" s="2249"/>
      <c r="E406" s="265"/>
      <c r="F406" s="2249"/>
    </row>
    <row r="407" spans="1:6" ht="30" customHeight="1">
      <c r="A407" s="256" t="s">
        <v>2243</v>
      </c>
      <c r="B407" s="256" t="s">
        <v>2244</v>
      </c>
      <c r="C407" s="265"/>
      <c r="D407" s="2249"/>
      <c r="E407" s="265"/>
      <c r="F407" s="2249"/>
    </row>
    <row r="408" spans="1:6" ht="30" customHeight="1">
      <c r="A408" s="256" t="s">
        <v>2249</v>
      </c>
      <c r="B408" s="256" t="s">
        <v>150</v>
      </c>
      <c r="C408" s="265"/>
      <c r="D408" s="2249"/>
      <c r="E408" s="265" t="e">
        <f>C406</f>
        <v>#REF!</v>
      </c>
      <c r="F408" s="2249"/>
    </row>
    <row r="409" spans="1:6" ht="30" customHeight="1">
      <c r="A409" s="256" t="s">
        <v>2227</v>
      </c>
      <c r="B409" s="256" t="s">
        <v>389</v>
      </c>
      <c r="C409" s="265" t="e">
        <f>'Pigs Cost'!J89</f>
        <v>#REF!</v>
      </c>
      <c r="D409" s="2249"/>
      <c r="E409" s="265"/>
      <c r="F409" s="2249"/>
    </row>
    <row r="410" spans="1:6" ht="30" customHeight="1">
      <c r="A410" s="256" t="s">
        <v>2281</v>
      </c>
      <c r="B410" s="256" t="s">
        <v>127</v>
      </c>
      <c r="C410" s="265"/>
      <c r="D410" s="2249"/>
      <c r="E410" s="265" t="e">
        <f>'Pigs Cost'!J93</f>
        <v>#REF!</v>
      </c>
      <c r="F410" s="2249"/>
    </row>
    <row r="411" spans="1:6" ht="30" customHeight="1">
      <c r="A411" s="256" t="s">
        <v>2254</v>
      </c>
      <c r="B411" s="256" t="s">
        <v>2304</v>
      </c>
      <c r="C411" s="265" t="e">
        <f>-'Pigs Cost'!P93-'Pigs Cost'!Q93</f>
        <v>#REF!</v>
      </c>
      <c r="D411" s="2249"/>
      <c r="E411" s="265"/>
      <c r="F411" s="2249"/>
    </row>
    <row r="412" spans="1:6" ht="30" customHeight="1">
      <c r="A412" s="256" t="s">
        <v>2228</v>
      </c>
      <c r="B412" s="256" t="s">
        <v>397</v>
      </c>
      <c r="C412" s="265"/>
      <c r="D412" s="2249"/>
      <c r="E412" s="265" t="e">
        <f>-'Pigs Cost'!P89-'Pigs Cost'!Q89</f>
        <v>#REF!</v>
      </c>
      <c r="F412" s="2249"/>
    </row>
    <row r="413" spans="1:6" ht="30" customHeight="1">
      <c r="A413" s="256" t="s">
        <v>2228</v>
      </c>
      <c r="B413" s="256" t="s">
        <v>397</v>
      </c>
      <c r="C413" s="265" t="e">
        <f>'Pigs Cost'!S89</f>
        <v>#REF!</v>
      </c>
      <c r="D413" s="2249"/>
      <c r="E413" s="265"/>
      <c r="F413" s="2249"/>
    </row>
    <row r="414" spans="1:6" ht="30" customHeight="1">
      <c r="A414" s="256" t="s">
        <v>2297</v>
      </c>
      <c r="B414" s="151" t="s">
        <v>2298</v>
      </c>
      <c r="C414" s="265"/>
      <c r="D414" s="2249"/>
      <c r="E414" s="265" t="e">
        <f>'Pigs Cost'!S89</f>
        <v>#REF!</v>
      </c>
      <c r="F414" s="2249"/>
    </row>
    <row r="415" spans="1:6" ht="30" customHeight="1">
      <c r="A415" s="256" t="s">
        <v>2265</v>
      </c>
      <c r="B415" s="256" t="s">
        <v>2305</v>
      </c>
      <c r="C415" s="265" t="e">
        <f>'IAS 41 Mvmnt Pigs'!D89</f>
        <v>#REF!</v>
      </c>
      <c r="D415" s="2249"/>
      <c r="E415" s="265"/>
      <c r="F415" s="2249"/>
    </row>
    <row r="416" spans="1:6" ht="30" customHeight="1">
      <c r="A416" s="262" t="s">
        <v>2243</v>
      </c>
      <c r="B416" s="256" t="s">
        <v>2244</v>
      </c>
      <c r="C416" s="265"/>
      <c r="D416" s="2249"/>
      <c r="E416" s="265"/>
      <c r="F416" s="2249"/>
    </row>
    <row r="417" spans="1:6" ht="30" customHeight="1">
      <c r="A417" s="256" t="s">
        <v>2249</v>
      </c>
      <c r="B417" s="256" t="s">
        <v>150</v>
      </c>
      <c r="C417" s="265"/>
      <c r="D417" s="2249"/>
      <c r="E417" s="265" t="e">
        <f>C415</f>
        <v>#REF!</v>
      </c>
      <c r="F417" s="2249"/>
    </row>
    <row r="418" spans="1:6" ht="30" customHeight="1">
      <c r="A418" s="256" t="s">
        <v>2275</v>
      </c>
      <c r="B418" s="256" t="s">
        <v>2276</v>
      </c>
      <c r="C418" s="265" t="e">
        <f>-'IAS 41 Mvmnt Pigs'!H93-'IAS 41 Mvmnt Pigs'!I93</f>
        <v>#REF!</v>
      </c>
      <c r="D418" s="2249"/>
      <c r="E418" s="265"/>
      <c r="F418" s="2249"/>
    </row>
    <row r="419" spans="1:6" ht="30" customHeight="1">
      <c r="A419" s="256" t="s">
        <v>2265</v>
      </c>
      <c r="B419" s="256" t="s">
        <v>2305</v>
      </c>
      <c r="C419" s="265"/>
      <c r="D419" s="2249"/>
      <c r="E419" s="265" t="e">
        <f>-'IAS 41 Mvmnt Pigs'!H93-'IAS 41 Mvmnt Pigs'!I93</f>
        <v>#REF!</v>
      </c>
      <c r="F419" s="2249"/>
    </row>
    <row r="420" spans="1:6" ht="30" customHeight="1">
      <c r="A420" s="256" t="s">
        <v>2265</v>
      </c>
      <c r="B420" s="256" t="s">
        <v>2305</v>
      </c>
      <c r="C420" s="265" t="e">
        <f>'IAS 41 Mvmnt Pigs'!K89</f>
        <v>#REF!</v>
      </c>
      <c r="D420" s="2249"/>
      <c r="E420" s="265"/>
      <c r="F420" s="2249"/>
    </row>
    <row r="421" spans="1:6" ht="30" customHeight="1">
      <c r="A421" s="256" t="s">
        <v>2297</v>
      </c>
      <c r="B421" s="151" t="s">
        <v>2298</v>
      </c>
      <c r="C421" s="265"/>
      <c r="D421" s="2249"/>
      <c r="E421" s="265" t="e">
        <f>'IAS 41 Mvmnt Pigs'!K89</f>
        <v>#REF!</v>
      </c>
      <c r="F421" s="2249"/>
    </row>
    <row r="422" spans="1:6" ht="30" customHeight="1">
      <c r="A422" s="256" t="s">
        <v>2265</v>
      </c>
      <c r="B422" s="256" t="s">
        <v>2305</v>
      </c>
      <c r="C422" s="265">
        <f>'IAS 41 Mvmnt Pigs'!M89</f>
        <v>0</v>
      </c>
      <c r="D422" s="2249"/>
      <c r="E422" s="265"/>
      <c r="F422" s="2249"/>
    </row>
    <row r="423" spans="1:6" ht="30" customHeight="1">
      <c r="A423" s="256" t="s">
        <v>2277</v>
      </c>
      <c r="B423" s="256" t="s">
        <v>2278</v>
      </c>
      <c r="C423" s="265"/>
      <c r="D423" s="2249"/>
      <c r="E423" s="265">
        <f>'IAS 41 Mvmnt Pigs'!M89</f>
        <v>0</v>
      </c>
      <c r="F423" s="2249"/>
    </row>
    <row r="424" spans="1:6" ht="30" customHeight="1">
      <c r="A424" s="256"/>
      <c r="B424" s="256"/>
      <c r="C424" s="265"/>
      <c r="D424" s="2249"/>
      <c r="E424" s="265"/>
      <c r="F424" s="2249"/>
    </row>
    <row r="425" spans="1:6" ht="30" customHeight="1">
      <c r="A425" s="256"/>
      <c r="B425" s="256"/>
      <c r="C425" s="265"/>
      <c r="D425" s="2249"/>
      <c r="E425" s="265"/>
      <c r="F425" s="2249"/>
    </row>
    <row r="426" spans="1:6" ht="30" customHeight="1">
      <c r="A426" s="256"/>
      <c r="B426" s="256"/>
      <c r="C426" s="265"/>
      <c r="D426" s="2249"/>
      <c r="E426" s="265"/>
      <c r="F426" s="2249"/>
    </row>
    <row r="427" spans="1:6" ht="30" customHeight="1">
      <c r="A427" s="256"/>
      <c r="B427" s="256"/>
      <c r="C427" s="265"/>
      <c r="D427" s="2249"/>
      <c r="E427" s="265"/>
      <c r="F427" s="2249"/>
    </row>
    <row r="428" spans="1:6" ht="30" customHeight="1">
      <c r="A428" s="256"/>
      <c r="B428" s="256"/>
      <c r="C428" s="265"/>
      <c r="D428" s="2249"/>
      <c r="E428" s="265"/>
      <c r="F428" s="2249"/>
    </row>
    <row r="429" spans="1:6" ht="30" customHeight="1">
      <c r="A429" s="262"/>
      <c r="B429" s="256"/>
      <c r="C429" s="265"/>
      <c r="D429" s="2249"/>
      <c r="E429" s="265"/>
      <c r="F429" s="2249"/>
    </row>
    <row r="430" spans="1:6" ht="30" customHeight="1">
      <c r="A430" s="256"/>
      <c r="B430" s="256"/>
      <c r="C430" s="265"/>
      <c r="D430" s="2249"/>
      <c r="E430" s="265"/>
      <c r="F430" s="2249"/>
    </row>
    <row r="431" spans="1:6" ht="30" customHeight="1">
      <c r="A431" s="256"/>
      <c r="B431" s="256"/>
      <c r="C431" s="265"/>
      <c r="D431" s="2249"/>
      <c r="E431" s="265"/>
      <c r="F431" s="2249"/>
    </row>
    <row r="432" spans="1:6" ht="30" customHeight="1">
      <c r="A432" s="256"/>
      <c r="B432" s="256"/>
      <c r="C432" s="265"/>
      <c r="D432" s="2249"/>
      <c r="E432" s="265"/>
      <c r="F432" s="2249"/>
    </row>
    <row r="433" spans="1:6" ht="30" customHeight="1">
      <c r="A433" s="256"/>
      <c r="B433" s="256"/>
      <c r="C433" s="265"/>
      <c r="D433" s="2249"/>
      <c r="E433" s="265"/>
      <c r="F433" s="2249"/>
    </row>
    <row r="434" spans="1:6" ht="30" customHeight="1">
      <c r="A434" s="256"/>
      <c r="B434" s="256"/>
      <c r="C434" s="265"/>
      <c r="D434" s="2249"/>
      <c r="E434" s="265"/>
      <c r="F434" s="2249"/>
    </row>
    <row r="435" spans="1:6" ht="30" customHeight="1">
      <c r="A435" s="256"/>
      <c r="B435" s="256"/>
      <c r="C435" s="265"/>
      <c r="D435" s="2249"/>
      <c r="E435" s="265"/>
      <c r="F435" s="2249"/>
    </row>
    <row r="436" spans="1:6" ht="30" customHeight="1">
      <c r="A436" s="256"/>
      <c r="B436" s="256"/>
      <c r="C436" s="265"/>
      <c r="D436" s="2249"/>
      <c r="E436" s="265"/>
      <c r="F436" s="2249"/>
    </row>
    <row r="437" spans="1:6" ht="30" customHeight="1">
      <c r="A437" s="256"/>
      <c r="B437" s="256"/>
      <c r="C437" s="2252"/>
      <c r="D437" s="2253"/>
      <c r="E437" s="265"/>
      <c r="F437" s="2253"/>
    </row>
    <row r="438" spans="1:6" ht="30" customHeight="1" thickBot="1">
      <c r="A438" s="268"/>
      <c r="B438" s="268"/>
      <c r="C438" s="2252"/>
      <c r="D438" s="2253"/>
      <c r="E438" s="2252"/>
      <c r="F438" s="2253"/>
    </row>
    <row r="439" spans="1:6" ht="30" customHeight="1" thickBot="1">
      <c r="A439" s="148" t="s">
        <v>2258</v>
      </c>
      <c r="B439" s="2257"/>
      <c r="C439" s="2258" t="e">
        <f>SUM(C406:C438)</f>
        <v>#REF!</v>
      </c>
      <c r="D439" s="2258"/>
      <c r="E439" s="2258" t="e">
        <f>SUM(E406:E438)</f>
        <v>#REF!</v>
      </c>
      <c r="F439" s="2258"/>
    </row>
    <row r="440" spans="1:6" ht="30" customHeight="1" thickTop="1">
      <c r="A440" s="300"/>
      <c r="B440" s="300"/>
      <c r="C440" s="2259"/>
      <c r="D440" s="2259"/>
      <c r="E440" s="2259" t="e">
        <f>+C439-E439</f>
        <v>#REF!</v>
      </c>
      <c r="F440" s="2259"/>
    </row>
    <row r="441" spans="1:6" ht="30" customHeight="1">
      <c r="A441" s="300"/>
      <c r="B441" s="300"/>
      <c r="C441" s="2259"/>
      <c r="D441" s="2259"/>
      <c r="E441" s="2259"/>
      <c r="F441" s="2259"/>
    </row>
    <row r="442" spans="1:6" ht="30" customHeight="1">
      <c r="A442" s="131" t="s">
        <v>2259</v>
      </c>
      <c r="B442" s="1"/>
      <c r="C442" s="2245"/>
      <c r="D442" s="2245"/>
      <c r="E442" s="2245"/>
      <c r="F442" s="2245"/>
    </row>
    <row r="443" spans="1:6" ht="30" customHeight="1">
      <c r="A443" s="131" t="s">
        <v>2260</v>
      </c>
      <c r="B443" s="1"/>
      <c r="C443" s="2245"/>
      <c r="D443" s="2245"/>
      <c r="E443" s="2245"/>
      <c r="F443" s="2245"/>
    </row>
    <row r="444" spans="1:6" ht="30" customHeight="1">
      <c r="A444" s="131" t="s">
        <v>2260</v>
      </c>
      <c r="B444" s="1"/>
      <c r="C444" s="2245"/>
      <c r="D444" s="2245"/>
      <c r="E444" s="2245"/>
      <c r="F444" s="2245"/>
    </row>
    <row r="445" spans="1:6" ht="30" customHeight="1">
      <c r="A445" s="131" t="s">
        <v>2260</v>
      </c>
      <c r="B445" s="1"/>
      <c r="C445" s="2245"/>
      <c r="D445" s="2245"/>
      <c r="E445" s="2245"/>
      <c r="F445" s="2245"/>
    </row>
    <row r="446" spans="1:6" ht="30" customHeight="1">
      <c r="A446" s="131"/>
      <c r="B446" s="1"/>
      <c r="C446" s="2245"/>
      <c r="D446" s="2245"/>
      <c r="E446" s="2245"/>
      <c r="F446" s="2245"/>
    </row>
    <row r="447" spans="1:6" ht="30" customHeight="1">
      <c r="A447" s="131" t="s">
        <v>2261</v>
      </c>
      <c r="B447" s="1"/>
      <c r="C447" s="2245"/>
      <c r="D447" s="2245"/>
      <c r="E447" s="2245"/>
      <c r="F447" s="2245"/>
    </row>
    <row r="448" spans="1:6" ht="30" customHeight="1">
      <c r="A448" s="131"/>
      <c r="B448" s="1"/>
      <c r="C448" s="2245"/>
      <c r="D448" s="2245"/>
      <c r="E448" s="2245"/>
      <c r="F448" s="2245"/>
    </row>
    <row r="449" spans="1:7" ht="30" customHeight="1">
      <c r="A449" s="131" t="s">
        <v>2262</v>
      </c>
      <c r="B449" s="1"/>
      <c r="C449" s="2245"/>
      <c r="D449" s="2245"/>
      <c r="E449" s="2245"/>
      <c r="F449" s="2245"/>
      <c r="G449" s="300"/>
    </row>
    <row r="450" spans="1:7" ht="30" customHeight="1">
      <c r="A450" s="300"/>
      <c r="B450" s="300"/>
      <c r="C450" s="2245"/>
      <c r="D450" s="2245"/>
      <c r="E450" s="2245"/>
      <c r="F450" s="2245"/>
      <c r="G450" s="300"/>
    </row>
    <row r="451" spans="1:7" ht="30" customHeight="1">
      <c r="A451" s="144" t="s">
        <v>2306</v>
      </c>
      <c r="B451" s="145"/>
      <c r="C451" s="234" t="s">
        <v>2222</v>
      </c>
      <c r="D451" s="2245"/>
      <c r="E451" s="2245"/>
      <c r="F451" s="2245"/>
      <c r="G451" s="300"/>
    </row>
    <row r="452" spans="1:7" ht="30" customHeight="1" thickBot="1">
      <c r="A452" s="146" t="s">
        <v>2223</v>
      </c>
      <c r="B452" s="2246"/>
      <c r="C452" s="2247"/>
      <c r="D452" s="2247"/>
      <c r="E452" s="2247"/>
      <c r="F452" s="2247"/>
      <c r="G452" s="300"/>
    </row>
    <row r="453" spans="1:7" ht="30" customHeight="1" thickTop="1" thickBot="1">
      <c r="A453" s="147" t="s">
        <v>2224</v>
      </c>
      <c r="B453" s="147" t="s">
        <v>87</v>
      </c>
      <c r="C453" s="236" t="s">
        <v>2225</v>
      </c>
      <c r="D453" s="2248"/>
      <c r="E453" s="236" t="s">
        <v>2226</v>
      </c>
      <c r="F453" s="2248"/>
      <c r="G453" s="300"/>
    </row>
    <row r="454" spans="1:7" ht="30" customHeight="1" thickTop="1">
      <c r="A454" s="256" t="s">
        <v>2232</v>
      </c>
      <c r="B454" s="256" t="s">
        <v>384</v>
      </c>
      <c r="C454" s="265" t="e">
        <f>'Pigs Cost'!E99</f>
        <v>#REF!</v>
      </c>
      <c r="D454" s="2249"/>
      <c r="E454" s="265"/>
      <c r="F454" s="2249"/>
      <c r="G454" s="2250" t="e">
        <f>SUM(C455:C456)</f>
        <v>#REF!</v>
      </c>
    </row>
    <row r="455" spans="1:7" ht="30" customHeight="1">
      <c r="A455" s="256" t="s">
        <v>2227</v>
      </c>
      <c r="B455" s="256" t="s">
        <v>2140</v>
      </c>
      <c r="C455" s="265" t="e">
        <f>'Pigs Cost'!E100</f>
        <v>#REF!</v>
      </c>
      <c r="D455" s="2249"/>
      <c r="E455" s="265"/>
      <c r="F455" s="2249"/>
      <c r="G455" s="2250" t="e">
        <f>SUM(E458:E459)</f>
        <v>#REF!</v>
      </c>
    </row>
    <row r="456" spans="1:7" ht="30" customHeight="1">
      <c r="A456" s="256" t="s">
        <v>2228</v>
      </c>
      <c r="B456" s="256" t="s">
        <v>397</v>
      </c>
      <c r="C456" s="265" t="e">
        <f>'Pigs Cost'!E101</f>
        <v>#REF!</v>
      </c>
      <c r="D456" s="2249"/>
      <c r="E456" s="265"/>
      <c r="F456" s="2249"/>
      <c r="G456" s="2250" t="e">
        <f>G454-G455</f>
        <v>#REF!</v>
      </c>
    </row>
    <row r="457" spans="1:7" ht="30" customHeight="1">
      <c r="A457" s="256" t="s">
        <v>2232</v>
      </c>
      <c r="B457" s="256" t="s">
        <v>384</v>
      </c>
      <c r="C457" s="265"/>
      <c r="D457" s="2249"/>
      <c r="E457" s="265" t="e">
        <f>-'Pigs Cost'!O99</f>
        <v>#REF!</v>
      </c>
      <c r="F457" s="2249"/>
      <c r="G457" s="205" t="e">
        <f>'Pigs Cost'!O105+'Pigs Cost'!E105</f>
        <v>#REF!</v>
      </c>
    </row>
    <row r="458" spans="1:7" ht="30" customHeight="1">
      <c r="A458" s="256" t="s">
        <v>2227</v>
      </c>
      <c r="B458" s="256" t="s">
        <v>389</v>
      </c>
      <c r="C458" s="265"/>
      <c r="D458" s="2249"/>
      <c r="E458" s="265" t="e">
        <f>-'Pigs Cost'!O100</f>
        <v>#REF!</v>
      </c>
      <c r="F458" s="2249"/>
      <c r="G458" s="300"/>
    </row>
    <row r="459" spans="1:7" ht="30" customHeight="1">
      <c r="A459" s="256" t="s">
        <v>2228</v>
      </c>
      <c r="B459" s="256" t="s">
        <v>397</v>
      </c>
      <c r="C459" s="265"/>
      <c r="D459" s="2249"/>
      <c r="E459" s="265" t="e">
        <f>-'Pigs Cost'!O101</f>
        <v>#REF!</v>
      </c>
      <c r="F459" s="2249"/>
      <c r="G459" s="2250" t="e">
        <f>SUM(C454:C467)</f>
        <v>#REF!</v>
      </c>
    </row>
    <row r="460" spans="1:7" ht="30" customHeight="1">
      <c r="A460" s="256" t="s">
        <v>2242</v>
      </c>
      <c r="B460" s="256" t="s">
        <v>75</v>
      </c>
      <c r="C460" s="265"/>
      <c r="D460" s="2249"/>
      <c r="E460" s="265" t="e">
        <f>-'Pigs Cost'!O37</f>
        <v>#REF!</v>
      </c>
      <c r="F460" s="2249"/>
      <c r="G460" s="2250" t="e">
        <f>SUM(E454:E466)</f>
        <v>#REF!</v>
      </c>
    </row>
    <row r="461" spans="1:7" ht="30" customHeight="1">
      <c r="A461" s="256" t="s">
        <v>2243</v>
      </c>
      <c r="B461" s="256" t="s">
        <v>2244</v>
      </c>
      <c r="C461" s="265"/>
      <c r="D461" s="2249"/>
      <c r="E461" s="265" t="e">
        <f>-'Pigs Cost'!O53</f>
        <v>#REF!</v>
      </c>
      <c r="F461" s="2249"/>
      <c r="G461" s="2250" t="e">
        <f>G459-G460</f>
        <v>#REF!</v>
      </c>
    </row>
    <row r="462" spans="1:7" ht="30" customHeight="1">
      <c r="A462" s="256" t="s">
        <v>2241</v>
      </c>
      <c r="B462" s="256" t="s">
        <v>72</v>
      </c>
      <c r="C462" s="265" t="e">
        <f>300*'Pigs Cost'!N101</f>
        <v>#REF!</v>
      </c>
      <c r="D462" s="2249"/>
      <c r="E462" s="265"/>
      <c r="F462" s="2249"/>
      <c r="G462" s="300"/>
    </row>
    <row r="463" spans="1:7" ht="30" customHeight="1">
      <c r="A463" s="256" t="s">
        <v>2250</v>
      </c>
      <c r="B463" s="256" t="s">
        <v>151</v>
      </c>
      <c r="C463" s="265" t="e">
        <f>150*'Pigs Cost'!N101</f>
        <v>#REF!</v>
      </c>
      <c r="D463" s="2249"/>
      <c r="E463" s="265"/>
      <c r="F463" s="2249"/>
      <c r="G463" s="300"/>
    </row>
    <row r="464" spans="1:7" ht="30" customHeight="1">
      <c r="A464" s="256" t="s">
        <v>2248</v>
      </c>
      <c r="B464" s="256" t="s">
        <v>149</v>
      </c>
      <c r="C464" s="265" t="e">
        <f>350*'Pigs Cost'!N101</f>
        <v>#REF!</v>
      </c>
      <c r="D464" s="2249"/>
      <c r="E464" s="265"/>
      <c r="F464" s="2249"/>
      <c r="G464" s="300"/>
    </row>
    <row r="465" spans="1:7" ht="30" customHeight="1">
      <c r="A465" s="256" t="s">
        <v>2251</v>
      </c>
      <c r="B465" s="256" t="s">
        <v>152</v>
      </c>
      <c r="C465" s="265" t="e">
        <f>0*'Pigs Cost'!N101</f>
        <v>#REF!</v>
      </c>
      <c r="D465" s="2249"/>
      <c r="E465" s="265"/>
      <c r="F465" s="2249"/>
      <c r="G465" s="300"/>
    </row>
    <row r="466" spans="1:7" ht="30" customHeight="1">
      <c r="A466" s="256" t="s">
        <v>2247</v>
      </c>
      <c r="B466" s="256" t="s">
        <v>148</v>
      </c>
      <c r="C466" s="265" t="e">
        <f>(75*'Pigs Cost'!N101)</f>
        <v>#REF!</v>
      </c>
      <c r="D466" s="2249"/>
      <c r="E466" s="265"/>
      <c r="F466" s="2249"/>
      <c r="G466" s="300"/>
    </row>
    <row r="467" spans="1:7" ht="30" customHeight="1">
      <c r="A467" s="256" t="s">
        <v>2252</v>
      </c>
      <c r="B467" s="256" t="s">
        <v>153</v>
      </c>
      <c r="C467" s="265">
        <v>0</v>
      </c>
      <c r="D467" s="2249"/>
      <c r="E467" s="265"/>
      <c r="F467" s="2249"/>
      <c r="G467" s="300"/>
    </row>
    <row r="468" spans="1:7" ht="30" customHeight="1">
      <c r="A468" s="256" t="s">
        <v>2227</v>
      </c>
      <c r="B468" s="256" t="s">
        <v>2140</v>
      </c>
      <c r="C468" s="265" t="e">
        <f>'Pigs Cost'!J100</f>
        <v>#REF!</v>
      </c>
      <c r="D468" s="2249"/>
      <c r="E468" s="265"/>
      <c r="F468" s="2249"/>
      <c r="G468" s="300"/>
    </row>
    <row r="469" spans="1:7" ht="30" customHeight="1">
      <c r="A469" s="256" t="s">
        <v>2228</v>
      </c>
      <c r="B469" s="256" t="s">
        <v>397</v>
      </c>
      <c r="C469" s="265" t="e">
        <f>'Pigs Cost'!J101</f>
        <v>#REF!</v>
      </c>
      <c r="D469" s="2249"/>
      <c r="E469" s="265"/>
      <c r="F469" s="2249"/>
      <c r="G469" s="300"/>
    </row>
    <row r="470" spans="1:7" ht="30" customHeight="1">
      <c r="A470" s="256" t="s">
        <v>2281</v>
      </c>
      <c r="B470" s="256" t="s">
        <v>127</v>
      </c>
      <c r="C470" s="265"/>
      <c r="D470" s="2249"/>
      <c r="E470" s="265" t="e">
        <f>'Pigs Cost'!J105</f>
        <v>#REF!</v>
      </c>
      <c r="F470" s="2249"/>
      <c r="G470" s="300"/>
    </row>
    <row r="471" spans="1:7" ht="30" customHeight="1">
      <c r="A471" s="256" t="s">
        <v>2254</v>
      </c>
      <c r="B471" s="256" t="s">
        <v>2255</v>
      </c>
      <c r="C471" s="265" t="e">
        <f>-'Pigs Cost'!P101</f>
        <v>#REF!</v>
      </c>
      <c r="D471" s="2249"/>
      <c r="E471" s="265"/>
      <c r="F471" s="2249"/>
      <c r="G471" s="300"/>
    </row>
    <row r="472" spans="1:7" ht="30" customHeight="1">
      <c r="A472" s="256" t="s">
        <v>2228</v>
      </c>
      <c r="B472" s="256" t="s">
        <v>397</v>
      </c>
      <c r="C472" s="265"/>
      <c r="D472" s="2249"/>
      <c r="E472" s="265" t="e">
        <f>-'Pigs Cost'!P105</f>
        <v>#REF!</v>
      </c>
      <c r="F472" s="2249"/>
      <c r="G472" s="300"/>
    </row>
    <row r="473" spans="1:7" ht="30" customHeight="1">
      <c r="A473" s="256" t="s">
        <v>2256</v>
      </c>
      <c r="B473" s="256" t="s">
        <v>2257</v>
      </c>
      <c r="C473" s="265" t="e">
        <f>-'Pigs Cost'!R105</f>
        <v>#REF!</v>
      </c>
      <c r="D473" s="2249"/>
      <c r="E473" s="265"/>
      <c r="F473" s="2249"/>
      <c r="G473" s="300"/>
    </row>
    <row r="474" spans="1:7" ht="30" customHeight="1">
      <c r="A474" s="256" t="s">
        <v>2227</v>
      </c>
      <c r="B474" s="256" t="s">
        <v>2140</v>
      </c>
      <c r="C474" s="265"/>
      <c r="D474" s="2249"/>
      <c r="E474" s="265" t="e">
        <f>-'Pigs Cost'!R100</f>
        <v>#REF!</v>
      </c>
      <c r="F474" s="2249"/>
      <c r="G474" s="300"/>
    </row>
    <row r="475" spans="1:7" ht="30" customHeight="1">
      <c r="A475" s="256" t="s">
        <v>2228</v>
      </c>
      <c r="B475" s="256" t="s">
        <v>397</v>
      </c>
      <c r="C475" s="265"/>
      <c r="D475" s="2249"/>
      <c r="E475" s="265" t="e">
        <f>-'Pigs Cost'!R101</f>
        <v>#REF!</v>
      </c>
      <c r="F475" s="2249"/>
      <c r="G475" s="300"/>
    </row>
    <row r="476" spans="1:7" ht="30" customHeight="1">
      <c r="A476" s="256" t="s">
        <v>2273</v>
      </c>
      <c r="B476" s="256" t="s">
        <v>2288</v>
      </c>
      <c r="C476" s="265" t="e">
        <f>'IAS 41 Mvmnt Pigs'!D99</f>
        <v>#REF!</v>
      </c>
      <c r="D476" s="2249"/>
      <c r="E476" s="265"/>
      <c r="F476" s="2249"/>
      <c r="G476" s="300"/>
    </row>
    <row r="477" spans="1:7" ht="30" customHeight="1">
      <c r="A477" s="256" t="s">
        <v>2263</v>
      </c>
      <c r="B477" s="256" t="s">
        <v>2307</v>
      </c>
      <c r="C477" s="265" t="e">
        <f>'IAS 41 Mvmnt Pigs'!D100</f>
        <v>#REF!</v>
      </c>
      <c r="D477" s="2249"/>
      <c r="E477" s="265"/>
      <c r="F477" s="2249"/>
      <c r="G477" s="2250" t="e">
        <f>SUM(C476:C489)</f>
        <v>#REF!</v>
      </c>
    </row>
    <row r="478" spans="1:7" ht="30" customHeight="1">
      <c r="A478" s="256" t="s">
        <v>2265</v>
      </c>
      <c r="B478" s="256" t="s">
        <v>2305</v>
      </c>
      <c r="C478" s="265" t="e">
        <f>'IAS 41 Mvmnt Pigs'!D101</f>
        <v>#REF!</v>
      </c>
      <c r="D478" s="2249"/>
      <c r="E478" s="265"/>
      <c r="F478" s="2249"/>
      <c r="G478" s="2250" t="e">
        <f>SUM(E479:E483)</f>
        <v>#REF!</v>
      </c>
    </row>
    <row r="479" spans="1:7" ht="30" customHeight="1">
      <c r="A479" s="256" t="s">
        <v>2273</v>
      </c>
      <c r="B479" s="256" t="s">
        <v>2288</v>
      </c>
      <c r="C479" s="265"/>
      <c r="D479" s="2249"/>
      <c r="E479" s="265" t="e">
        <f>-'IAS 41 Mvmnt Pigs'!G99</f>
        <v>#REF!</v>
      </c>
      <c r="F479" s="2249"/>
      <c r="G479" s="2250" t="e">
        <f>G477-G478</f>
        <v>#REF!</v>
      </c>
    </row>
    <row r="480" spans="1:7" ht="30" customHeight="1">
      <c r="A480" s="256" t="s">
        <v>2263</v>
      </c>
      <c r="B480" s="256" t="s">
        <v>2307</v>
      </c>
      <c r="C480" s="265"/>
      <c r="D480" s="2249"/>
      <c r="E480" s="265" t="e">
        <f>-'IAS 41 Mvmnt Pigs'!G100</f>
        <v>#REF!</v>
      </c>
      <c r="F480" s="2249"/>
      <c r="G480" s="300"/>
    </row>
    <row r="481" spans="1:7" ht="30" customHeight="1">
      <c r="A481" s="256" t="s">
        <v>2265</v>
      </c>
      <c r="B481" s="256" t="s">
        <v>2305</v>
      </c>
      <c r="C481" s="265"/>
      <c r="D481" s="2249"/>
      <c r="E481" s="265" t="e">
        <f>-'IAS 41 Mvmnt Pigs'!G101</f>
        <v>#REF!</v>
      </c>
      <c r="F481" s="2249"/>
      <c r="G481" s="2250" t="e">
        <f>SUM(C477:C478)</f>
        <v>#REF!</v>
      </c>
    </row>
    <row r="482" spans="1:7" ht="30" customHeight="1">
      <c r="A482" s="262" t="s">
        <v>2242</v>
      </c>
      <c r="B482" s="256" t="s">
        <v>75</v>
      </c>
      <c r="C482" s="265"/>
      <c r="D482" s="2249"/>
      <c r="E482" s="265" t="e">
        <f>-'IAS 41 Mvmnt Pigs'!G37</f>
        <v>#REF!</v>
      </c>
      <c r="F482" s="2249"/>
      <c r="G482" s="2250" t="e">
        <f>SUM(E480:E481)</f>
        <v>#REF!</v>
      </c>
    </row>
    <row r="483" spans="1:7" ht="30" customHeight="1">
      <c r="A483" s="262" t="s">
        <v>2243</v>
      </c>
      <c r="B483" s="256" t="s">
        <v>2244</v>
      </c>
      <c r="C483" s="265"/>
      <c r="D483" s="2249"/>
      <c r="E483" s="265" t="e">
        <f>-'IAS 41 Mvmnt Pigs'!G53</f>
        <v>#REF!</v>
      </c>
      <c r="F483" s="2249"/>
      <c r="G483" s="2250" t="e">
        <f>G481-G482</f>
        <v>#REF!</v>
      </c>
    </row>
    <row r="484" spans="1:7" ht="30" customHeight="1">
      <c r="A484" s="256" t="s">
        <v>2241</v>
      </c>
      <c r="B484" s="256" t="s">
        <v>72</v>
      </c>
      <c r="C484" s="265" t="e">
        <f>300*'IAS 41 Mvmnt Pigs'!F101</f>
        <v>#REF!</v>
      </c>
      <c r="D484" s="2249"/>
      <c r="E484" s="265"/>
      <c r="F484" s="2249"/>
      <c r="G484" s="205" t="e">
        <f>'IAS 41 Mvmnt Pigs'!D105+'IAS 41 Mvmnt Pigs'!G105</f>
        <v>#REF!</v>
      </c>
    </row>
    <row r="485" spans="1:7" ht="30" customHeight="1">
      <c r="A485" s="256" t="s">
        <v>2250</v>
      </c>
      <c r="B485" s="256" t="s">
        <v>151</v>
      </c>
      <c r="C485" s="265" t="e">
        <f>150*'IAS 41 Mvmnt Pigs'!F101</f>
        <v>#REF!</v>
      </c>
      <c r="D485" s="2249"/>
      <c r="E485" s="265"/>
      <c r="F485" s="2249"/>
      <c r="G485" s="2250" t="e">
        <f>G483-G484</f>
        <v>#REF!</v>
      </c>
    </row>
    <row r="486" spans="1:7" ht="30" customHeight="1">
      <c r="A486" s="256" t="s">
        <v>2248</v>
      </c>
      <c r="B486" s="256" t="s">
        <v>149</v>
      </c>
      <c r="C486" s="265" t="e">
        <f>350*'IAS 41 Mvmnt Pigs'!F101</f>
        <v>#REF!</v>
      </c>
      <c r="D486" s="2249"/>
      <c r="E486" s="265"/>
      <c r="F486" s="2249"/>
      <c r="G486" s="300"/>
    </row>
    <row r="487" spans="1:7" ht="30" customHeight="1">
      <c r="A487" s="256" t="s">
        <v>2251</v>
      </c>
      <c r="B487" s="256" t="s">
        <v>152</v>
      </c>
      <c r="C487" s="265" t="e">
        <f>0*'IAS 41 Mvmnt Pigs'!F101</f>
        <v>#REF!</v>
      </c>
      <c r="D487" s="2249"/>
      <c r="E487" s="265"/>
      <c r="F487" s="2249"/>
      <c r="G487" s="300"/>
    </row>
    <row r="488" spans="1:7" ht="30" customHeight="1">
      <c r="A488" s="256" t="s">
        <v>2247</v>
      </c>
      <c r="B488" s="256" t="s">
        <v>148</v>
      </c>
      <c r="C488" s="265" t="e">
        <f>+(75*'IAS 41 Mvmnt Pigs'!F101)</f>
        <v>#REF!</v>
      </c>
      <c r="D488" s="2249"/>
      <c r="E488" s="265"/>
      <c r="F488" s="2249"/>
      <c r="G488" s="2250" t="e">
        <f>SUM(C476:C489)</f>
        <v>#REF!</v>
      </c>
    </row>
    <row r="489" spans="1:7" ht="30" customHeight="1">
      <c r="A489" s="268" t="s">
        <v>2252</v>
      </c>
      <c r="B489" s="256" t="s">
        <v>153</v>
      </c>
      <c r="C489" s="265">
        <v>0</v>
      </c>
      <c r="D489" s="2249"/>
      <c r="E489" s="265"/>
      <c r="F489" s="2253"/>
      <c r="G489" s="2250" t="e">
        <f>SUM(E476:E489)</f>
        <v>#REF!</v>
      </c>
    </row>
    <row r="490" spans="1:7" ht="30" customHeight="1">
      <c r="A490" s="268" t="s">
        <v>2275</v>
      </c>
      <c r="B490" s="256" t="s">
        <v>2283</v>
      </c>
      <c r="C490" s="265" t="e">
        <f>-'IAS 41 Mvmnt Pigs'!H101</f>
        <v>#REF!</v>
      </c>
      <c r="D490" s="2249"/>
      <c r="E490" s="265"/>
      <c r="F490" s="2253"/>
      <c r="G490" s="2250" t="e">
        <f>G488-G489</f>
        <v>#REF!</v>
      </c>
    </row>
    <row r="491" spans="1:7" ht="30" customHeight="1">
      <c r="A491" s="268" t="s">
        <v>2265</v>
      </c>
      <c r="B491" s="256" t="s">
        <v>2305</v>
      </c>
      <c r="C491" s="265"/>
      <c r="D491" s="2249"/>
      <c r="E491" s="265" t="e">
        <f>-'IAS 41 Mvmnt Pigs'!H105</f>
        <v>#REF!</v>
      </c>
      <c r="F491" s="2253"/>
      <c r="G491" s="300"/>
    </row>
    <row r="492" spans="1:7" ht="30" customHeight="1">
      <c r="A492" s="268" t="s">
        <v>2256</v>
      </c>
      <c r="B492" s="256" t="s">
        <v>2257</v>
      </c>
      <c r="C492" s="265" t="e">
        <f>-'IAS 41 Mvmnt Pigs'!J105</f>
        <v>#REF!</v>
      </c>
      <c r="D492" s="2249"/>
      <c r="E492" s="265"/>
      <c r="F492" s="2253"/>
      <c r="G492" s="300"/>
    </row>
    <row r="493" spans="1:7" ht="30" customHeight="1">
      <c r="A493" s="268" t="s">
        <v>2265</v>
      </c>
      <c r="B493" s="256" t="s">
        <v>2305</v>
      </c>
      <c r="C493" s="265"/>
      <c r="D493" s="2249"/>
      <c r="E493" s="265" t="e">
        <f>-'IAS 41 Mvmnt Pigs'!J101</f>
        <v>#REF!</v>
      </c>
      <c r="F493" s="2253"/>
      <c r="G493" s="300"/>
    </row>
    <row r="494" spans="1:7" ht="30" customHeight="1">
      <c r="A494" s="256" t="s">
        <v>2263</v>
      </c>
      <c r="B494" s="256" t="s">
        <v>2307</v>
      </c>
      <c r="C494" s="265">
        <f>'IAS 41 Mvmnt Pigs'!M100</f>
        <v>0</v>
      </c>
      <c r="D494" s="2249"/>
      <c r="E494" s="265" t="e">
        <f>-'IAS 41 Mvmnt Pigs'!J100</f>
        <v>#REF!</v>
      </c>
      <c r="F494" s="2253"/>
      <c r="G494" s="2250" t="e">
        <f>E493+E494</f>
        <v>#REF!</v>
      </c>
    </row>
    <row r="495" spans="1:7" ht="30" customHeight="1">
      <c r="A495" s="256" t="s">
        <v>2265</v>
      </c>
      <c r="B495" s="256" t="s">
        <v>2305</v>
      </c>
      <c r="C495" s="265">
        <f>'IAS 41 Mvmnt Pigs'!M101</f>
        <v>0</v>
      </c>
      <c r="D495" s="2253"/>
      <c r="E495" s="2252"/>
      <c r="F495" s="2253"/>
      <c r="G495" s="2250" t="e">
        <f>C492-G494</f>
        <v>#REF!</v>
      </c>
    </row>
    <row r="496" spans="1:7" ht="30" customHeight="1" thickBot="1">
      <c r="A496" s="256" t="s">
        <v>2277</v>
      </c>
      <c r="B496" s="256" t="s">
        <v>2278</v>
      </c>
      <c r="C496" s="2252"/>
      <c r="D496" s="2253"/>
      <c r="E496" s="2252">
        <f>'IAS 41 Mvmnt Pigs'!M105</f>
        <v>0</v>
      </c>
      <c r="F496" s="2253"/>
      <c r="G496" s="300"/>
    </row>
    <row r="497" spans="1:6" ht="30" customHeight="1" thickBot="1">
      <c r="A497" s="148" t="s">
        <v>2258</v>
      </c>
      <c r="B497" s="2257"/>
      <c r="C497" s="2258" t="e">
        <f>SUM(C454:C496)</f>
        <v>#REF!</v>
      </c>
      <c r="D497" s="2258"/>
      <c r="E497" s="2258" t="e">
        <f>SUM(E454:E496)</f>
        <v>#REF!</v>
      </c>
      <c r="F497" s="2258"/>
    </row>
    <row r="498" spans="1:6" ht="30" customHeight="1" thickTop="1">
      <c r="A498" s="300"/>
      <c r="B498" s="300"/>
      <c r="C498" s="2259"/>
      <c r="D498" s="2259"/>
      <c r="E498" s="2259" t="e">
        <f>+C497-E497</f>
        <v>#REF!</v>
      </c>
      <c r="F498" s="2259"/>
    </row>
    <row r="499" spans="1:6" ht="30" customHeight="1">
      <c r="A499" s="131" t="s">
        <v>2259</v>
      </c>
      <c r="B499" s="1"/>
      <c r="C499" s="2245"/>
      <c r="D499" s="2245"/>
      <c r="E499" s="2245"/>
      <c r="F499" s="2245"/>
    </row>
    <row r="500" spans="1:6" ht="30" customHeight="1">
      <c r="A500" s="131" t="s">
        <v>2260</v>
      </c>
      <c r="B500" s="1"/>
      <c r="C500" s="2245"/>
      <c r="D500" s="2245"/>
      <c r="E500" s="2245"/>
      <c r="F500" s="2245"/>
    </row>
    <row r="501" spans="1:6" ht="30" customHeight="1">
      <c r="A501" s="131" t="s">
        <v>2261</v>
      </c>
      <c r="B501" s="1"/>
      <c r="C501" s="2245"/>
      <c r="D501" s="2245"/>
      <c r="E501" s="2245"/>
      <c r="F501" s="2245"/>
    </row>
    <row r="502" spans="1:6" ht="30" customHeight="1">
      <c r="A502" s="131"/>
      <c r="B502" s="1"/>
      <c r="C502" s="2245"/>
      <c r="D502" s="2245"/>
      <c r="E502" s="2245"/>
      <c r="F502" s="2245"/>
    </row>
    <row r="503" spans="1:6" ht="30" customHeight="1">
      <c r="A503" s="131" t="s">
        <v>2262</v>
      </c>
      <c r="B503" s="1"/>
      <c r="C503" s="2245"/>
      <c r="D503" s="2245"/>
      <c r="E503" s="2245"/>
      <c r="F503" s="2245"/>
    </row>
    <row r="504" spans="1:6" ht="30" customHeight="1">
      <c r="A504" s="300"/>
      <c r="B504" s="300"/>
      <c r="C504" s="2245"/>
      <c r="D504" s="2245"/>
      <c r="E504" s="2245"/>
      <c r="F504" s="2245"/>
    </row>
    <row r="505" spans="1:6" ht="30" customHeight="1">
      <c r="A505" s="144" t="s">
        <v>2308</v>
      </c>
      <c r="B505" s="145"/>
      <c r="C505" s="234" t="s">
        <v>2222</v>
      </c>
      <c r="D505" s="2245"/>
      <c r="E505" s="2245"/>
      <c r="F505" s="2245"/>
    </row>
    <row r="506" spans="1:6" ht="30" customHeight="1" thickBot="1">
      <c r="A506" s="146" t="s">
        <v>2223</v>
      </c>
      <c r="B506" s="2246"/>
      <c r="C506" s="2247"/>
      <c r="D506" s="2247"/>
      <c r="E506" s="2247"/>
      <c r="F506" s="2247"/>
    </row>
    <row r="507" spans="1:6" ht="30" customHeight="1" thickTop="1" thickBot="1">
      <c r="A507" s="147" t="s">
        <v>2224</v>
      </c>
      <c r="B507" s="147" t="s">
        <v>87</v>
      </c>
      <c r="C507" s="236" t="s">
        <v>2225</v>
      </c>
      <c r="D507" s="2248"/>
      <c r="E507" s="236" t="s">
        <v>2226</v>
      </c>
      <c r="F507" s="2248"/>
    </row>
    <row r="508" spans="1:6" ht="30" customHeight="1" thickTop="1">
      <c r="A508" s="256" t="s">
        <v>2228</v>
      </c>
      <c r="B508" s="256" t="s">
        <v>397</v>
      </c>
      <c r="C508" s="265" t="e">
        <f>'Pigs Cost'!E113</f>
        <v>#REF!</v>
      </c>
      <c r="D508" s="2249"/>
      <c r="E508" s="265"/>
      <c r="F508" s="2249"/>
    </row>
    <row r="509" spans="1:6" ht="30" customHeight="1">
      <c r="A509" s="256" t="s">
        <v>2249</v>
      </c>
      <c r="B509" s="256" t="s">
        <v>150</v>
      </c>
      <c r="C509" s="265"/>
      <c r="D509" s="2249"/>
      <c r="E509" s="265" t="e">
        <f>150*'Pigs Cost'!N101</f>
        <v>#REF!</v>
      </c>
      <c r="F509" s="2249"/>
    </row>
    <row r="510" spans="1:6" ht="30" customHeight="1">
      <c r="A510" s="256" t="s">
        <v>2245</v>
      </c>
      <c r="B510" s="256" t="s">
        <v>128</v>
      </c>
      <c r="C510" s="265"/>
      <c r="D510" s="2249"/>
      <c r="E510" s="265" t="e">
        <f>160*'Pigs Cost'!N77</f>
        <v>#REF!</v>
      </c>
      <c r="F510" s="2249"/>
    </row>
    <row r="511" spans="1:6" ht="30" customHeight="1">
      <c r="A511" s="256" t="s">
        <v>2228</v>
      </c>
      <c r="B511" s="256" t="s">
        <v>397</v>
      </c>
      <c r="C511" s="265" t="e">
        <f>'Pigs Cost'!J113</f>
        <v>#REF!</v>
      </c>
      <c r="D511" s="2249"/>
      <c r="E511" s="265"/>
      <c r="F511" s="2249"/>
    </row>
    <row r="512" spans="1:6" ht="30" customHeight="1">
      <c r="A512" s="256" t="s">
        <v>2281</v>
      </c>
      <c r="B512" s="256" t="s">
        <v>127</v>
      </c>
      <c r="C512" s="2252"/>
      <c r="D512" s="2253"/>
      <c r="E512" s="265" t="e">
        <f>'Pigs Cost'!J117</f>
        <v>#REF!</v>
      </c>
      <c r="F512" s="2249"/>
    </row>
    <row r="513" spans="1:6" ht="30" customHeight="1">
      <c r="A513" s="256" t="s">
        <v>2254</v>
      </c>
      <c r="B513" s="256" t="s">
        <v>2255</v>
      </c>
      <c r="C513" s="2252" t="e">
        <f>-'Pigs Cost'!P113</f>
        <v>#REF!</v>
      </c>
      <c r="D513" s="2253"/>
      <c r="E513" s="2252"/>
      <c r="F513" s="2249"/>
    </row>
    <row r="514" spans="1:6" ht="30" customHeight="1">
      <c r="A514" s="256" t="s">
        <v>2228</v>
      </c>
      <c r="B514" s="256" t="s">
        <v>397</v>
      </c>
      <c r="C514" s="265"/>
      <c r="D514" s="2249"/>
      <c r="E514" s="265" t="e">
        <f>-'Pigs Cost'!P117</f>
        <v>#REF!</v>
      </c>
      <c r="F514" s="2249"/>
    </row>
    <row r="515" spans="1:6" ht="30" customHeight="1">
      <c r="A515" s="256" t="s">
        <v>2265</v>
      </c>
      <c r="B515" s="256" t="s">
        <v>2305</v>
      </c>
      <c r="C515" s="265" t="e">
        <f>'IAS 41 Mvmnt Pigs'!D113</f>
        <v>#REF!</v>
      </c>
      <c r="D515" s="2249"/>
      <c r="E515" s="265"/>
      <c r="F515" s="2249"/>
    </row>
    <row r="516" spans="1:6" ht="30" customHeight="1">
      <c r="A516" s="256" t="s">
        <v>2249</v>
      </c>
      <c r="B516" s="256" t="s">
        <v>150</v>
      </c>
      <c r="C516" s="265"/>
      <c r="D516" s="2249"/>
      <c r="E516" s="265" t="e">
        <f>150*'IAS 41 Mvmnt Pigs'!F101</f>
        <v>#REF!</v>
      </c>
      <c r="F516" s="2249"/>
    </row>
    <row r="517" spans="1:6" ht="30" customHeight="1">
      <c r="A517" s="256" t="s">
        <v>2245</v>
      </c>
      <c r="B517" s="256" t="s">
        <v>128</v>
      </c>
      <c r="C517" s="265"/>
      <c r="D517" s="2249"/>
      <c r="E517" s="265" t="e">
        <f>160*'IAS 41 Mvmnt Pigs'!F77</f>
        <v>#REF!</v>
      </c>
      <c r="F517" s="2249"/>
    </row>
    <row r="518" spans="1:6" ht="30" customHeight="1">
      <c r="A518" s="256" t="s">
        <v>2275</v>
      </c>
      <c r="B518" s="256" t="s">
        <v>2283</v>
      </c>
      <c r="C518" s="265" t="e">
        <f>-'IAS 41 Mvmnt Pigs'!H113</f>
        <v>#REF!</v>
      </c>
      <c r="D518" s="2249"/>
      <c r="E518" s="265"/>
      <c r="F518" s="2249"/>
    </row>
    <row r="519" spans="1:6" ht="30" customHeight="1">
      <c r="A519" s="256" t="s">
        <v>2265</v>
      </c>
      <c r="B519" s="256" t="s">
        <v>2305</v>
      </c>
      <c r="C519" s="265"/>
      <c r="D519" s="2249"/>
      <c r="E519" s="265" t="e">
        <f>-'IAS 41 Mvmnt Pigs'!H117</f>
        <v>#REF!</v>
      </c>
      <c r="F519" s="2249"/>
    </row>
    <row r="520" spans="1:6" ht="30" customHeight="1">
      <c r="A520" s="256" t="s">
        <v>2228</v>
      </c>
      <c r="B520" s="256" t="s">
        <v>397</v>
      </c>
      <c r="C520" s="265" t="e">
        <f>'Pigs Cost'!S113</f>
        <v>#REF!</v>
      </c>
      <c r="D520" s="2249"/>
      <c r="E520" s="265"/>
      <c r="F520" s="2249"/>
    </row>
    <row r="521" spans="1:6" ht="30" customHeight="1">
      <c r="A521" s="256" t="s">
        <v>2265</v>
      </c>
      <c r="B521" s="256" t="s">
        <v>2305</v>
      </c>
      <c r="C521" s="265" t="e">
        <f>'IAS 41 Mvmnt Pigs'!K113</f>
        <v>#REF!</v>
      </c>
      <c r="D521" s="2249"/>
      <c r="E521" s="265"/>
      <c r="F521" s="2249"/>
    </row>
    <row r="522" spans="1:6" ht="30" customHeight="1">
      <c r="A522" s="256" t="s">
        <v>2297</v>
      </c>
      <c r="B522" s="151" t="s">
        <v>2298</v>
      </c>
      <c r="C522" s="265"/>
      <c r="D522" s="2249"/>
      <c r="E522" s="265" t="e">
        <f>SUM(C520:C521)</f>
        <v>#REF!</v>
      </c>
      <c r="F522" s="2249"/>
    </row>
    <row r="523" spans="1:6" ht="30" customHeight="1">
      <c r="A523" s="256" t="s">
        <v>2265</v>
      </c>
      <c r="B523" s="256" t="s">
        <v>2305</v>
      </c>
      <c r="C523" s="265">
        <f>'IAS 41 Mvmnt Pigs'!M113</f>
        <v>0</v>
      </c>
      <c r="D523" s="2249"/>
      <c r="E523" s="265"/>
      <c r="F523" s="2249"/>
    </row>
    <row r="524" spans="1:6" ht="30" customHeight="1">
      <c r="A524" s="256" t="s">
        <v>2277</v>
      </c>
      <c r="B524" s="256" t="s">
        <v>2278</v>
      </c>
      <c r="C524" s="265"/>
      <c r="D524" s="2249"/>
      <c r="E524" s="265">
        <f>'IAS 41 Mvmnt Pigs'!M113</f>
        <v>0</v>
      </c>
      <c r="F524" s="2249"/>
    </row>
    <row r="525" spans="1:6" ht="30" customHeight="1">
      <c r="A525" s="256"/>
      <c r="B525" s="256"/>
      <c r="C525" s="265"/>
      <c r="D525" s="2249"/>
      <c r="E525" s="265"/>
      <c r="F525" s="2249"/>
    </row>
    <row r="526" spans="1:6" ht="30" customHeight="1">
      <c r="A526" s="256"/>
      <c r="B526" s="256"/>
      <c r="C526" s="265"/>
      <c r="D526" s="2249"/>
      <c r="E526" s="265"/>
      <c r="F526" s="2249"/>
    </row>
    <row r="527" spans="1:6" ht="30" customHeight="1">
      <c r="A527" s="256"/>
      <c r="B527" s="256"/>
      <c r="C527" s="265"/>
      <c r="D527" s="2249"/>
      <c r="E527" s="265"/>
      <c r="F527" s="2249"/>
    </row>
    <row r="528" spans="1:6" ht="30" customHeight="1">
      <c r="A528" s="256"/>
      <c r="B528" s="256"/>
      <c r="C528" s="265"/>
      <c r="D528" s="2249"/>
      <c r="E528" s="265"/>
      <c r="F528" s="2249"/>
    </row>
    <row r="529" spans="1:6" ht="30" customHeight="1">
      <c r="A529" s="256"/>
      <c r="B529" s="256"/>
      <c r="C529" s="265"/>
      <c r="D529" s="2249"/>
      <c r="E529" s="265"/>
      <c r="F529" s="2249"/>
    </row>
    <row r="530" spans="1:6" ht="30" customHeight="1">
      <c r="A530" s="256"/>
      <c r="B530" s="256"/>
      <c r="C530" s="265"/>
      <c r="D530" s="2249"/>
      <c r="E530" s="265"/>
      <c r="F530" s="2249"/>
    </row>
    <row r="531" spans="1:6" ht="30" customHeight="1">
      <c r="A531" s="262"/>
      <c r="B531" s="256"/>
      <c r="C531" s="265"/>
      <c r="D531" s="2249"/>
      <c r="E531" s="265"/>
      <c r="F531" s="2249"/>
    </row>
    <row r="532" spans="1:6" ht="30" customHeight="1">
      <c r="A532" s="256"/>
      <c r="B532" s="256"/>
      <c r="C532" s="265"/>
      <c r="D532" s="2249"/>
      <c r="E532" s="265"/>
      <c r="F532" s="2249"/>
    </row>
    <row r="533" spans="1:6" ht="30" customHeight="1">
      <c r="A533" s="256"/>
      <c r="B533" s="256"/>
      <c r="C533" s="265"/>
      <c r="D533" s="2249"/>
      <c r="E533" s="265"/>
      <c r="F533" s="2249"/>
    </row>
    <row r="534" spans="1:6" ht="30" customHeight="1">
      <c r="A534" s="256"/>
      <c r="B534" s="256"/>
      <c r="C534" s="265"/>
      <c r="D534" s="2249"/>
      <c r="E534" s="265"/>
      <c r="F534" s="2249"/>
    </row>
    <row r="535" spans="1:6" ht="30" customHeight="1">
      <c r="A535" s="256"/>
      <c r="B535" s="256"/>
      <c r="C535" s="265"/>
      <c r="D535" s="2249"/>
      <c r="E535" s="265"/>
      <c r="F535" s="2249"/>
    </row>
    <row r="536" spans="1:6" ht="30" customHeight="1">
      <c r="A536" s="256"/>
      <c r="B536" s="256"/>
      <c r="C536" s="265"/>
      <c r="D536" s="2249"/>
      <c r="E536" s="265"/>
      <c r="F536" s="2249"/>
    </row>
    <row r="537" spans="1:6" ht="30" customHeight="1">
      <c r="A537" s="256"/>
      <c r="B537" s="256"/>
      <c r="C537" s="265"/>
      <c r="D537" s="2249"/>
      <c r="E537" s="265"/>
      <c r="F537" s="2249"/>
    </row>
    <row r="538" spans="1:6" ht="30" customHeight="1">
      <c r="A538" s="256"/>
      <c r="B538" s="256"/>
      <c r="C538" s="265"/>
      <c r="D538" s="2249"/>
      <c r="E538" s="265"/>
      <c r="F538" s="2249"/>
    </row>
    <row r="539" spans="1:6" ht="30" customHeight="1">
      <c r="A539" s="256"/>
      <c r="B539" s="256"/>
      <c r="C539" s="265"/>
      <c r="D539" s="2249"/>
      <c r="E539" s="265"/>
      <c r="F539" s="2249"/>
    </row>
    <row r="540" spans="1:6" ht="30" customHeight="1">
      <c r="A540" s="256"/>
      <c r="B540" s="256"/>
      <c r="C540" s="265"/>
      <c r="D540" s="2249"/>
      <c r="E540" s="265"/>
      <c r="F540" s="2249"/>
    </row>
    <row r="541" spans="1:6" ht="30" customHeight="1">
      <c r="A541" s="256"/>
      <c r="B541" s="256"/>
      <c r="C541" s="265"/>
      <c r="D541" s="2249"/>
      <c r="E541" s="265"/>
      <c r="F541" s="2249"/>
    </row>
    <row r="542" spans="1:6" ht="30" customHeight="1">
      <c r="A542" s="256"/>
      <c r="B542" s="256"/>
      <c r="C542" s="265"/>
      <c r="D542" s="2249"/>
      <c r="E542" s="265"/>
      <c r="F542" s="2249"/>
    </row>
    <row r="543" spans="1:6" ht="30" customHeight="1">
      <c r="A543" s="256"/>
      <c r="B543" s="256"/>
      <c r="C543" s="2252"/>
      <c r="D543" s="2253"/>
      <c r="E543" s="265"/>
      <c r="F543" s="2253"/>
    </row>
    <row r="544" spans="1:6" ht="30" customHeight="1" thickBot="1">
      <c r="A544" s="268"/>
      <c r="B544" s="268"/>
      <c r="C544" s="2252"/>
      <c r="D544" s="2253"/>
      <c r="E544" s="2252"/>
      <c r="F544" s="2253"/>
    </row>
    <row r="545" spans="1:6" ht="30" customHeight="1" thickBot="1">
      <c r="A545" s="148" t="s">
        <v>2258</v>
      </c>
      <c r="B545" s="2257"/>
      <c r="C545" s="2258" t="e">
        <f>SUM(C508:C544)</f>
        <v>#REF!</v>
      </c>
      <c r="D545" s="2258"/>
      <c r="E545" s="2258" t="e">
        <f>SUM(E508:E544)</f>
        <v>#REF!</v>
      </c>
      <c r="F545" s="2258"/>
    </row>
    <row r="546" spans="1:6" ht="30" customHeight="1" thickTop="1">
      <c r="A546" s="300"/>
      <c r="B546" s="300"/>
      <c r="C546" s="2259"/>
      <c r="D546" s="2259"/>
      <c r="E546" s="2259" t="e">
        <f>+C545-E545</f>
        <v>#REF!</v>
      </c>
      <c r="F546" s="2259"/>
    </row>
    <row r="547" spans="1:6" ht="30" customHeight="1">
      <c r="A547" s="300"/>
      <c r="B547" s="300"/>
      <c r="C547" s="2259"/>
      <c r="D547" s="2259"/>
      <c r="E547" s="2259"/>
      <c r="F547" s="2259"/>
    </row>
    <row r="548" spans="1:6" ht="30" customHeight="1">
      <c r="A548" s="131" t="s">
        <v>2259</v>
      </c>
      <c r="B548" s="1"/>
      <c r="C548" s="2245"/>
      <c r="D548" s="2245"/>
      <c r="E548" s="2245"/>
      <c r="F548" s="2245"/>
    </row>
    <row r="549" spans="1:6" ht="30" customHeight="1">
      <c r="A549" s="131" t="s">
        <v>2260</v>
      </c>
      <c r="B549" s="1"/>
      <c r="C549" s="2245"/>
      <c r="D549" s="2245"/>
      <c r="E549" s="2245"/>
      <c r="F549" s="2245"/>
    </row>
    <row r="550" spans="1:6" ht="30" customHeight="1">
      <c r="A550" s="131" t="s">
        <v>2260</v>
      </c>
      <c r="B550" s="1"/>
      <c r="C550" s="2245"/>
      <c r="D550" s="2245"/>
      <c r="E550" s="2245"/>
      <c r="F550" s="2245"/>
    </row>
    <row r="551" spans="1:6" ht="30" customHeight="1">
      <c r="A551" s="131" t="s">
        <v>2260</v>
      </c>
      <c r="B551" s="1"/>
      <c r="C551" s="2245"/>
      <c r="D551" s="2245"/>
      <c r="E551" s="2245"/>
      <c r="F551" s="2245"/>
    </row>
    <row r="552" spans="1:6" ht="30" customHeight="1">
      <c r="A552" s="131"/>
      <c r="B552" s="1"/>
      <c r="C552" s="2245"/>
      <c r="D552" s="2245"/>
      <c r="E552" s="2245"/>
      <c r="F552" s="2245"/>
    </row>
    <row r="553" spans="1:6" ht="30" customHeight="1">
      <c r="A553" s="131" t="s">
        <v>2261</v>
      </c>
      <c r="B553" s="1"/>
      <c r="C553" s="2245"/>
      <c r="D553" s="2245"/>
      <c r="E553" s="2245"/>
      <c r="F553" s="2245"/>
    </row>
    <row r="554" spans="1:6" ht="30" customHeight="1">
      <c r="A554" s="131"/>
      <c r="B554" s="1"/>
      <c r="C554" s="2245"/>
      <c r="D554" s="2245"/>
      <c r="E554" s="2245"/>
      <c r="F554" s="2245"/>
    </row>
    <row r="555" spans="1:6" ht="30" customHeight="1">
      <c r="A555" s="131" t="s">
        <v>2262</v>
      </c>
      <c r="B555" s="1"/>
      <c r="C555" s="2245"/>
      <c r="D555" s="2245"/>
      <c r="E555" s="2245"/>
      <c r="F555" s="2245"/>
    </row>
    <row r="556" spans="1:6" ht="30" customHeight="1">
      <c r="A556" s="300"/>
      <c r="B556" s="300"/>
      <c r="C556" s="2245"/>
      <c r="D556" s="2245"/>
      <c r="E556" s="2245"/>
      <c r="F556" s="2245"/>
    </row>
    <row r="557" spans="1:6" ht="30" customHeight="1">
      <c r="A557" s="144" t="s">
        <v>2309</v>
      </c>
      <c r="B557" s="145"/>
      <c r="C557" s="234" t="s">
        <v>2222</v>
      </c>
      <c r="D557" s="2245"/>
      <c r="E557" s="2245"/>
      <c r="F557" s="2245"/>
    </row>
    <row r="558" spans="1:6" ht="30" customHeight="1" thickBot="1">
      <c r="A558" s="146" t="s">
        <v>2223</v>
      </c>
      <c r="B558" s="2246"/>
      <c r="C558" s="2247"/>
      <c r="D558" s="2247"/>
      <c r="E558" s="2247"/>
      <c r="F558" s="2247"/>
    </row>
    <row r="559" spans="1:6" ht="30" customHeight="1" thickTop="1" thickBot="1">
      <c r="A559" s="147" t="s">
        <v>2224</v>
      </c>
      <c r="B559" s="147" t="s">
        <v>87</v>
      </c>
      <c r="C559" s="236" t="s">
        <v>2225</v>
      </c>
      <c r="D559" s="2248"/>
      <c r="E559" s="236" t="s">
        <v>2226</v>
      </c>
      <c r="F559" s="2248"/>
    </row>
    <row r="560" spans="1:6" ht="30" customHeight="1" thickTop="1">
      <c r="A560" s="256" t="s">
        <v>2232</v>
      </c>
      <c r="B560" s="256" t="str">
        <f>'Cattle Mvnt'!A28</f>
        <v>Calves</v>
      </c>
      <c r="C560" s="265">
        <f>'Cattle Mvnt'!J28</f>
        <v>570731707317.07324</v>
      </c>
      <c r="D560" s="2249"/>
      <c r="E560" s="265"/>
      <c r="F560" s="2249"/>
    </row>
    <row r="561" spans="1:9" ht="30" customHeight="1">
      <c r="A561" s="256" t="s">
        <v>2227</v>
      </c>
      <c r="B561" s="256" t="str">
        <f>'Cattle Mvnt'!A29</f>
        <v>Weaner Heifers (6-12mths)</v>
      </c>
      <c r="C561" s="265">
        <f>'Cattle Mvnt'!J29</f>
        <v>175609756097.561</v>
      </c>
      <c r="D561" s="2249"/>
      <c r="E561" s="265"/>
      <c r="F561" s="2249"/>
      <c r="G561" s="300"/>
      <c r="H561" s="300"/>
      <c r="I561" s="300"/>
    </row>
    <row r="562" spans="1:9" ht="30" customHeight="1">
      <c r="A562" s="256" t="s">
        <v>2229</v>
      </c>
      <c r="B562" s="256" t="str">
        <f>'Cattle Mvnt'!A31</f>
        <v>Bulling Heifers</v>
      </c>
      <c r="C562" s="265">
        <f>'Cattle Mvnt'!J31</f>
        <v>43902439024.390251</v>
      </c>
      <c r="D562" s="2249"/>
      <c r="E562" s="265"/>
      <c r="F562" s="2249"/>
      <c r="G562" s="300"/>
      <c r="H562" s="300"/>
      <c r="I562" s="300"/>
    </row>
    <row r="563" spans="1:9" ht="30" customHeight="1">
      <c r="A563" s="256" t="s">
        <v>2231</v>
      </c>
      <c r="B563" s="256" t="str">
        <f>'Cattle Mvnt'!A33</f>
        <v>Cows</v>
      </c>
      <c r="C563" s="265">
        <f>'Cattle Mvnt'!J33</f>
        <v>1295121951219.5122</v>
      </c>
      <c r="D563" s="2249"/>
      <c r="E563" s="265"/>
      <c r="F563" s="2249"/>
      <c r="G563" s="141"/>
      <c r="H563" s="141"/>
      <c r="I563" s="110"/>
    </row>
    <row r="564" spans="1:9" ht="30" customHeight="1">
      <c r="A564" s="256" t="s">
        <v>2273</v>
      </c>
      <c r="B564" s="256" t="str">
        <f>'Cattle Mvnt'!A34</f>
        <v>Bulls</v>
      </c>
      <c r="C564" s="265">
        <f>'Cattle Mvnt'!J34</f>
        <v>241463414634.14633</v>
      </c>
      <c r="D564" s="2249"/>
      <c r="E564" s="265"/>
      <c r="F564" s="2249"/>
      <c r="G564" s="141"/>
      <c r="H564" s="141"/>
      <c r="I564" s="110"/>
    </row>
    <row r="565" spans="1:9" ht="30" customHeight="1">
      <c r="A565" s="256" t="s">
        <v>2281</v>
      </c>
      <c r="B565" s="256" t="s">
        <v>127</v>
      </c>
      <c r="C565" s="265"/>
      <c r="D565" s="2249"/>
      <c r="E565" s="265">
        <f>'Cattle Mvnt'!J35</f>
        <v>2348780487804.8784</v>
      </c>
      <c r="F565" s="2249"/>
      <c r="G565" s="259">
        <f>E565-'Pigs Cost'!F174</f>
        <v>-351219512195.12158</v>
      </c>
      <c r="H565" s="141"/>
      <c r="I565" s="110"/>
    </row>
    <row r="566" spans="1:9" ht="30" customHeight="1">
      <c r="A566" s="256" t="s">
        <v>2229</v>
      </c>
      <c r="B566" s="256" t="s">
        <v>442</v>
      </c>
      <c r="C566" s="265">
        <f>'Cattle Mvnt'!D31</f>
        <v>0</v>
      </c>
      <c r="D566" s="2249"/>
      <c r="E566" s="265"/>
      <c r="F566" s="2249"/>
      <c r="G566" s="259">
        <f>SUM(C560:C564)</f>
        <v>2326829268292.6831</v>
      </c>
      <c r="H566" s="141"/>
      <c r="I566" s="110"/>
    </row>
    <row r="567" spans="1:9" ht="30" customHeight="1">
      <c r="A567" s="256" t="s">
        <v>2227</v>
      </c>
      <c r="B567" s="256" t="s">
        <v>439</v>
      </c>
      <c r="C567" s="265"/>
      <c r="D567" s="2249"/>
      <c r="E567" s="265">
        <f>-'Cattle Mvnt'!O29</f>
        <v>0</v>
      </c>
      <c r="F567" s="2249"/>
      <c r="G567" s="141"/>
      <c r="H567" s="141"/>
      <c r="I567" s="110"/>
    </row>
    <row r="568" spans="1:9" ht="30" customHeight="1">
      <c r="A568" s="256" t="s">
        <v>2269</v>
      </c>
      <c r="B568" s="256" t="s">
        <v>2310</v>
      </c>
      <c r="C568" s="265">
        <f>'IAS 41 Mvmnt Cattle'!D30</f>
        <v>0</v>
      </c>
      <c r="D568" s="2249"/>
      <c r="E568" s="265"/>
      <c r="F568" s="2249"/>
      <c r="G568" s="141"/>
      <c r="H568" s="141"/>
      <c r="I568" s="300"/>
    </row>
    <row r="569" spans="1:9" ht="30" customHeight="1">
      <c r="A569" s="256" t="s">
        <v>2265</v>
      </c>
      <c r="B569" s="256" t="s">
        <v>2311</v>
      </c>
      <c r="C569" s="265"/>
      <c r="D569" s="2249"/>
      <c r="E569" s="265">
        <f>-'IAS 41 Mvmnt Cattle'!N28</f>
        <v>0</v>
      </c>
      <c r="F569" s="2249"/>
      <c r="G569" s="141"/>
      <c r="H569" s="141"/>
      <c r="I569" s="300"/>
    </row>
    <row r="570" spans="1:9" ht="30" customHeight="1">
      <c r="A570" s="256"/>
      <c r="B570" s="256" t="s">
        <v>2312</v>
      </c>
      <c r="C570" s="265">
        <f>-'Cattle Mvnt'!P35</f>
        <v>0</v>
      </c>
      <c r="D570" s="2249"/>
      <c r="E570" s="265"/>
      <c r="F570" s="2249"/>
      <c r="G570" s="141"/>
      <c r="H570" s="141"/>
      <c r="I570" s="300"/>
    </row>
    <row r="571" spans="1:9" ht="30" customHeight="1">
      <c r="A571" s="256"/>
      <c r="B571" s="256" t="s">
        <v>442</v>
      </c>
      <c r="C571" s="265"/>
      <c r="D571" s="2249"/>
      <c r="E571" s="265">
        <f>-'Cattle Mvnt'!P31</f>
        <v>0</v>
      </c>
      <c r="F571" s="2249"/>
      <c r="G571" s="141"/>
      <c r="H571" s="141"/>
      <c r="I571" s="300"/>
    </row>
    <row r="572" spans="1:9" ht="30" customHeight="1">
      <c r="A572" s="256"/>
      <c r="B572" s="256" t="s">
        <v>449</v>
      </c>
      <c r="C572" s="265"/>
      <c r="D572" s="2249"/>
      <c r="E572" s="265">
        <f>-'Cattle Mvnt'!P32</f>
        <v>0</v>
      </c>
      <c r="F572" s="2249"/>
      <c r="G572" s="141"/>
      <c r="H572" s="141"/>
      <c r="I572" s="300"/>
    </row>
    <row r="573" spans="1:9" ht="30" customHeight="1">
      <c r="A573" s="256"/>
      <c r="B573" s="256" t="s">
        <v>444</v>
      </c>
      <c r="C573" s="265"/>
      <c r="D573" s="2249"/>
      <c r="E573" s="265">
        <f>-'Cattle Mvnt'!P33</f>
        <v>0</v>
      </c>
      <c r="F573" s="2249"/>
      <c r="G573" s="142"/>
      <c r="H573" s="300"/>
      <c r="I573" s="300"/>
    </row>
    <row r="574" spans="1:9" ht="30" customHeight="1">
      <c r="A574" s="256"/>
      <c r="B574" s="256" t="s">
        <v>445</v>
      </c>
      <c r="C574" s="265"/>
      <c r="D574" s="2249"/>
      <c r="E574" s="265">
        <f>-'Cattle Mvnt'!P34</f>
        <v>0</v>
      </c>
      <c r="F574" s="2249"/>
      <c r="G574" s="300"/>
      <c r="H574" s="300"/>
      <c r="I574" s="300"/>
    </row>
    <row r="575" spans="1:9" ht="30" customHeight="1">
      <c r="A575" s="256" t="s">
        <v>2297</v>
      </c>
      <c r="B575" s="151" t="s">
        <v>2298</v>
      </c>
      <c r="C575" s="265">
        <f>-'Cattle Mvnt'!R35</f>
        <v>0</v>
      </c>
      <c r="D575" s="2249"/>
      <c r="E575" s="265"/>
      <c r="F575" s="2249"/>
      <c r="G575" s="300"/>
      <c r="H575" s="300"/>
      <c r="I575" s="300"/>
    </row>
    <row r="576" spans="1:9" ht="30" customHeight="1">
      <c r="A576" s="256"/>
      <c r="B576" s="256" t="s">
        <v>442</v>
      </c>
      <c r="C576" s="265">
        <f>'Cattle Mvnt'!R31</f>
        <v>0</v>
      </c>
      <c r="D576" s="2249"/>
      <c r="E576" s="265"/>
      <c r="F576" s="2249"/>
      <c r="G576" s="300"/>
      <c r="H576" s="300"/>
      <c r="I576" s="300"/>
    </row>
    <row r="577" spans="1:6" ht="30" customHeight="1">
      <c r="A577" s="256"/>
      <c r="B577" s="256" t="s">
        <v>449</v>
      </c>
      <c r="C577" s="265">
        <f>'Cattle Mvnt'!R32</f>
        <v>0</v>
      </c>
      <c r="D577" s="2249"/>
      <c r="E577" s="265"/>
      <c r="F577" s="2249"/>
    </row>
    <row r="578" spans="1:6" ht="30" customHeight="1">
      <c r="A578" s="256"/>
      <c r="B578" s="256" t="s">
        <v>444</v>
      </c>
      <c r="C578" s="265"/>
      <c r="D578" s="2249"/>
      <c r="E578" s="265">
        <f>-'Cattle Mvnt'!R33</f>
        <v>0</v>
      </c>
      <c r="F578" s="2249"/>
    </row>
    <row r="579" spans="1:6" ht="30" customHeight="1">
      <c r="A579" s="256"/>
      <c r="B579" s="256" t="s">
        <v>445</v>
      </c>
      <c r="C579" s="265"/>
      <c r="D579" s="2249"/>
      <c r="E579" s="265">
        <f>-'Cattle Mvnt'!R34</f>
        <v>0</v>
      </c>
      <c r="F579" s="2249"/>
    </row>
    <row r="580" spans="1:6" ht="30" customHeight="1">
      <c r="A580" s="256"/>
      <c r="B580" s="256" t="s">
        <v>2312</v>
      </c>
      <c r="C580" s="265" t="e">
        <f>-'IAS 41 Mvmnt Cattle'!O34</f>
        <v>#DIV/0!</v>
      </c>
      <c r="D580" s="2249"/>
      <c r="E580" s="265"/>
      <c r="F580" s="2249"/>
    </row>
    <row r="581" spans="1:6" ht="30" customHeight="1">
      <c r="A581" s="256"/>
      <c r="B581" s="256" t="s">
        <v>2310</v>
      </c>
      <c r="C581" s="265"/>
      <c r="D581" s="2249"/>
      <c r="E581" s="265">
        <f>-'IAS 41 Mvmnt Cattle'!O30</f>
        <v>0</v>
      </c>
      <c r="F581" s="2249"/>
    </row>
    <row r="582" spans="1:6" ht="30" customHeight="1">
      <c r="A582" s="256"/>
      <c r="B582" s="256" t="s">
        <v>2313</v>
      </c>
      <c r="C582" s="265"/>
      <c r="D582" s="2249"/>
      <c r="E582" s="265" t="e">
        <f>-'IAS 41 Mvmnt Cattle'!O31</f>
        <v>#DIV/0!</v>
      </c>
      <c r="F582" s="2249"/>
    </row>
    <row r="583" spans="1:6" ht="30" customHeight="1">
      <c r="A583" s="256"/>
      <c r="B583" s="256" t="s">
        <v>2314</v>
      </c>
      <c r="C583" s="265"/>
      <c r="D583" s="2249"/>
      <c r="E583" s="265">
        <f>-'IAS 41 Mvmnt Cattle'!O32</f>
        <v>0</v>
      </c>
      <c r="F583" s="2249"/>
    </row>
    <row r="584" spans="1:6" ht="30" customHeight="1">
      <c r="A584" s="256"/>
      <c r="B584" s="256" t="s">
        <v>2315</v>
      </c>
      <c r="C584" s="2252"/>
      <c r="D584" s="2253"/>
      <c r="E584" s="265">
        <f>-'IAS 41 Mvmnt Cattle'!O33</f>
        <v>0</v>
      </c>
      <c r="F584" s="2253"/>
    </row>
    <row r="585" spans="1:6" ht="30" customHeight="1">
      <c r="A585" s="256" t="s">
        <v>2297</v>
      </c>
      <c r="B585" s="151" t="s">
        <v>2298</v>
      </c>
      <c r="C585" s="2252" t="e">
        <f>-'IAS 41 Mvmnt Cattle'!Q34</f>
        <v>#DIV/0!</v>
      </c>
      <c r="D585" s="2253"/>
      <c r="E585" s="2252"/>
      <c r="F585" s="2253"/>
    </row>
    <row r="586" spans="1:6" ht="30" customHeight="1">
      <c r="A586" s="268"/>
      <c r="B586" s="268" t="s">
        <v>2310</v>
      </c>
      <c r="C586" s="2252">
        <f>'IAS 41 Mvmnt Cattle'!Q30</f>
        <v>0</v>
      </c>
      <c r="D586" s="2253"/>
      <c r="E586" s="2252"/>
      <c r="F586" s="2253"/>
    </row>
    <row r="587" spans="1:6" ht="30" customHeight="1">
      <c r="A587" s="268"/>
      <c r="B587" s="268" t="s">
        <v>2313</v>
      </c>
      <c r="C587" s="2252" t="e">
        <f>'IAS 41 Mvmnt Cattle'!Q31</f>
        <v>#DIV/0!</v>
      </c>
      <c r="D587" s="2253"/>
      <c r="E587" s="2252"/>
      <c r="F587" s="2253"/>
    </row>
    <row r="588" spans="1:6" ht="30" customHeight="1">
      <c r="A588" s="268"/>
      <c r="B588" s="268" t="s">
        <v>2314</v>
      </c>
      <c r="C588" s="2252"/>
      <c r="D588" s="2253"/>
      <c r="E588" s="2252">
        <f>-'IAS 41 Mvmnt Cattle'!Q32</f>
        <v>0</v>
      </c>
      <c r="F588" s="2253"/>
    </row>
    <row r="589" spans="1:6" ht="30" customHeight="1">
      <c r="A589" s="268"/>
      <c r="B589" s="268" t="s">
        <v>2315</v>
      </c>
      <c r="C589" s="2252"/>
      <c r="D589" s="2253"/>
      <c r="E589" s="2252">
        <f>-'IAS 41 Mvmnt Cattle'!Q33</f>
        <v>0</v>
      </c>
      <c r="F589" s="2253"/>
    </row>
    <row r="590" spans="1:6" ht="30" customHeight="1">
      <c r="A590" s="268"/>
      <c r="B590" s="268"/>
      <c r="C590" s="2252"/>
      <c r="D590" s="2253"/>
      <c r="E590" s="2252"/>
      <c r="F590" s="2253"/>
    </row>
    <row r="591" spans="1:6" ht="30" customHeight="1">
      <c r="A591" s="268"/>
      <c r="B591" s="268"/>
      <c r="C591" s="2252"/>
      <c r="D591" s="2253"/>
      <c r="E591" s="2252"/>
      <c r="F591" s="2253"/>
    </row>
    <row r="592" spans="1:6" ht="30" customHeight="1">
      <c r="A592" s="268"/>
      <c r="B592" s="268"/>
      <c r="C592" s="2252"/>
      <c r="D592" s="2253"/>
      <c r="E592" s="2252"/>
      <c r="F592" s="2253"/>
    </row>
    <row r="593" spans="1:6" ht="30" customHeight="1">
      <c r="A593" s="268"/>
      <c r="B593" s="268"/>
      <c r="C593" s="2252"/>
      <c r="D593" s="2253"/>
      <c r="E593" s="2252"/>
      <c r="F593" s="2253"/>
    </row>
    <row r="594" spans="1:6" ht="30" customHeight="1" thickBot="1">
      <c r="A594" s="268"/>
      <c r="B594" s="268"/>
      <c r="C594" s="2252"/>
      <c r="D594" s="2253"/>
      <c r="E594" s="2252"/>
      <c r="F594" s="2253"/>
    </row>
    <row r="595" spans="1:6" ht="30" customHeight="1" thickBot="1">
      <c r="A595" s="148" t="s">
        <v>2258</v>
      </c>
      <c r="B595" s="2257"/>
      <c r="C595" s="2258" t="e">
        <f>SUM(C560:C594)</f>
        <v>#DIV/0!</v>
      </c>
      <c r="D595" s="2258"/>
      <c r="E595" s="2258" t="e">
        <f>SUM(E560:E594)</f>
        <v>#DIV/0!</v>
      </c>
      <c r="F595" s="2258"/>
    </row>
    <row r="596" spans="1:6" ht="30" customHeight="1" thickTop="1">
      <c r="A596" s="300"/>
      <c r="B596" s="300"/>
      <c r="C596" s="2259"/>
      <c r="D596" s="2259"/>
      <c r="E596" s="2259" t="e">
        <f>+C595-E595</f>
        <v>#DIV/0!</v>
      </c>
      <c r="F596" s="2259"/>
    </row>
    <row r="597" spans="1:6" ht="30" customHeight="1">
      <c r="A597" s="300"/>
      <c r="B597" s="300"/>
      <c r="C597" s="2259"/>
      <c r="D597" s="2259"/>
      <c r="E597" s="2259"/>
      <c r="F597" s="2259"/>
    </row>
    <row r="598" spans="1:6" ht="30" customHeight="1">
      <c r="A598" s="131" t="s">
        <v>2259</v>
      </c>
      <c r="B598" s="1"/>
      <c r="C598" s="2245"/>
      <c r="D598" s="2245"/>
      <c r="E598" s="2245"/>
      <c r="F598" s="2245"/>
    </row>
    <row r="599" spans="1:6" ht="30" customHeight="1">
      <c r="A599" s="131" t="s">
        <v>2260</v>
      </c>
      <c r="B599" s="1"/>
      <c r="C599" s="2245"/>
      <c r="D599" s="2245"/>
      <c r="E599" s="2245"/>
      <c r="F599" s="2245"/>
    </row>
    <row r="600" spans="1:6" ht="30" customHeight="1">
      <c r="A600" s="131" t="s">
        <v>2260</v>
      </c>
      <c r="B600" s="1"/>
      <c r="C600" s="2245"/>
      <c r="D600" s="2245"/>
      <c r="E600" s="2245"/>
      <c r="F600" s="2245"/>
    </row>
    <row r="601" spans="1:6" ht="30" customHeight="1">
      <c r="A601" s="131" t="s">
        <v>2260</v>
      </c>
      <c r="B601" s="1"/>
      <c r="C601" s="2245"/>
      <c r="D601" s="2245"/>
      <c r="E601" s="2245"/>
      <c r="F601" s="2245"/>
    </row>
    <row r="602" spans="1:6" ht="30" customHeight="1">
      <c r="A602" s="131"/>
      <c r="B602" s="1"/>
      <c r="C602" s="2245"/>
      <c r="D602" s="2245"/>
      <c r="E602" s="2245"/>
      <c r="F602" s="2245"/>
    </row>
    <row r="603" spans="1:6" ht="30" customHeight="1">
      <c r="A603" s="131" t="s">
        <v>2261</v>
      </c>
      <c r="B603" s="1"/>
      <c r="C603" s="2245"/>
      <c r="D603" s="2245"/>
      <c r="E603" s="2245"/>
      <c r="F603" s="2245"/>
    </row>
    <row r="604" spans="1:6" ht="30" customHeight="1">
      <c r="A604" s="131"/>
      <c r="B604" s="1"/>
      <c r="C604" s="2245"/>
      <c r="D604" s="2245"/>
      <c r="E604" s="2245"/>
      <c r="F604" s="2245"/>
    </row>
    <row r="605" spans="1:6" ht="30" customHeight="1">
      <c r="A605" s="131" t="s">
        <v>2262</v>
      </c>
      <c r="B605" s="1"/>
      <c r="C605" s="2245"/>
      <c r="D605" s="2245"/>
      <c r="E605" s="2245"/>
      <c r="F605" s="2245"/>
    </row>
    <row r="606" spans="1:6" ht="30" customHeight="1">
      <c r="A606" s="300"/>
      <c r="B606" s="300"/>
      <c r="C606" s="2245"/>
      <c r="D606" s="2245"/>
      <c r="E606" s="2245"/>
      <c r="F606" s="2245"/>
    </row>
    <row r="607" spans="1:6" ht="30" customHeight="1">
      <c r="A607" s="144" t="s">
        <v>2316</v>
      </c>
      <c r="B607" s="145"/>
      <c r="C607" s="234" t="s">
        <v>2222</v>
      </c>
      <c r="D607" s="2245"/>
      <c r="E607" s="2245"/>
      <c r="F607" s="2245"/>
    </row>
    <row r="608" spans="1:6" ht="30" customHeight="1" thickBot="1">
      <c r="A608" s="146" t="s">
        <v>2223</v>
      </c>
      <c r="B608" s="2246"/>
      <c r="C608" s="2247"/>
      <c r="D608" s="2247"/>
      <c r="E608" s="2247"/>
      <c r="F608" s="2247"/>
    </row>
    <row r="609" spans="1:6" ht="30" customHeight="1" thickTop="1" thickBot="1">
      <c r="A609" s="147" t="s">
        <v>2224</v>
      </c>
      <c r="B609" s="147" t="s">
        <v>87</v>
      </c>
      <c r="C609" s="236" t="s">
        <v>2225</v>
      </c>
      <c r="D609" s="2248"/>
      <c r="E609" s="236" t="s">
        <v>2226</v>
      </c>
      <c r="F609" s="2248"/>
    </row>
    <row r="610" spans="1:6" ht="30" customHeight="1" thickTop="1">
      <c r="A610" s="256" t="s">
        <v>2228</v>
      </c>
      <c r="B610" s="256" t="s">
        <v>397</v>
      </c>
      <c r="C610" s="265" t="e">
        <f>'Pigs Cost'!E125</f>
        <v>#REF!</v>
      </c>
      <c r="D610" s="2249"/>
      <c r="E610" s="265"/>
      <c r="F610" s="2249"/>
    </row>
    <row r="611" spans="1:6" ht="30" customHeight="1">
      <c r="A611" s="256" t="s">
        <v>2249</v>
      </c>
      <c r="B611" s="256" t="s">
        <v>150</v>
      </c>
      <c r="C611" s="265"/>
      <c r="D611" s="2249"/>
      <c r="E611" s="265" t="e">
        <f>C610</f>
        <v>#REF!</v>
      </c>
      <c r="F611" s="2249"/>
    </row>
    <row r="612" spans="1:6" ht="30" customHeight="1">
      <c r="A612" s="256" t="s">
        <v>2243</v>
      </c>
      <c r="B612" s="256" t="s">
        <v>2244</v>
      </c>
      <c r="C612" s="265"/>
      <c r="D612" s="2249"/>
      <c r="E612" s="265" t="e">
        <f>0*'Pigs Cost'!N54</f>
        <v>#REF!</v>
      </c>
      <c r="F612" s="2249"/>
    </row>
    <row r="613" spans="1:6" ht="30" customHeight="1">
      <c r="A613" s="256" t="s">
        <v>2228</v>
      </c>
      <c r="B613" s="256" t="s">
        <v>397</v>
      </c>
      <c r="C613" s="265" t="e">
        <f>'Pigs Cost'!J125</f>
        <v>#REF!</v>
      </c>
      <c r="D613" s="2249"/>
      <c r="E613" s="265"/>
      <c r="F613" s="2249"/>
    </row>
    <row r="614" spans="1:6" ht="30" customHeight="1">
      <c r="A614" s="256" t="s">
        <v>2281</v>
      </c>
      <c r="B614" s="256" t="s">
        <v>127</v>
      </c>
      <c r="C614" s="265"/>
      <c r="D614" s="2249"/>
      <c r="E614" s="265" t="e">
        <f>C613</f>
        <v>#REF!</v>
      </c>
      <c r="F614" s="2249"/>
    </row>
    <row r="615" spans="1:6" ht="30" customHeight="1">
      <c r="A615" s="256" t="s">
        <v>2254</v>
      </c>
      <c r="B615" s="256" t="s">
        <v>2255</v>
      </c>
      <c r="C615" s="265" t="e">
        <f>-'Pigs Cost'!P125</f>
        <v>#REF!</v>
      </c>
      <c r="D615" s="2249"/>
      <c r="E615" s="265"/>
      <c r="F615" s="2249"/>
    </row>
    <row r="616" spans="1:6" ht="30" customHeight="1">
      <c r="A616" s="256" t="s">
        <v>2228</v>
      </c>
      <c r="B616" s="256" t="s">
        <v>397</v>
      </c>
      <c r="C616" s="265"/>
      <c r="D616" s="2249"/>
      <c r="E616" s="265" t="e">
        <f>-'Pigs Cost'!P129</f>
        <v>#REF!</v>
      </c>
      <c r="F616" s="2249"/>
    </row>
    <row r="617" spans="1:6" ht="30" customHeight="1">
      <c r="A617" s="256" t="s">
        <v>2265</v>
      </c>
      <c r="B617" s="256" t="s">
        <v>2305</v>
      </c>
      <c r="C617" s="265" t="e">
        <f>'IAS 41 Mvmnt Pigs'!D125</f>
        <v>#REF!</v>
      </c>
      <c r="D617" s="2249"/>
      <c r="E617" s="265"/>
      <c r="F617" s="2249"/>
    </row>
    <row r="618" spans="1:6" ht="30" customHeight="1">
      <c r="A618" s="256" t="s">
        <v>2249</v>
      </c>
      <c r="B618" s="256" t="s">
        <v>150</v>
      </c>
      <c r="C618" s="265"/>
      <c r="D618" s="2249"/>
      <c r="E618" s="265" t="e">
        <f>C617</f>
        <v>#REF!</v>
      </c>
      <c r="F618" s="2249"/>
    </row>
    <row r="619" spans="1:6" ht="30" customHeight="1">
      <c r="A619" s="256" t="s">
        <v>2243</v>
      </c>
      <c r="B619" s="256" t="s">
        <v>2244</v>
      </c>
      <c r="C619" s="265"/>
      <c r="D619" s="2249"/>
      <c r="E619" s="265">
        <v>0</v>
      </c>
      <c r="F619" s="2249"/>
    </row>
    <row r="620" spans="1:6" ht="30" customHeight="1">
      <c r="A620" s="256" t="s">
        <v>2275</v>
      </c>
      <c r="B620" s="256" t="s">
        <v>2276</v>
      </c>
      <c r="C620" s="265" t="e">
        <f>-'IAS 41 Mvmnt Pigs'!H125</f>
        <v>#REF!</v>
      </c>
      <c r="D620" s="2249"/>
      <c r="E620" s="265"/>
      <c r="F620" s="2249"/>
    </row>
    <row r="621" spans="1:6" ht="30" customHeight="1">
      <c r="A621" s="256" t="s">
        <v>2265</v>
      </c>
      <c r="B621" s="256" t="s">
        <v>2305</v>
      </c>
      <c r="C621" s="2252"/>
      <c r="D621" s="2253"/>
      <c r="E621" s="2252" t="e">
        <f>-'IAS 41 Mvmnt Pigs'!H129</f>
        <v>#REF!</v>
      </c>
      <c r="F621" s="2253"/>
    </row>
    <row r="622" spans="1:6" ht="30" customHeight="1">
      <c r="A622" s="256"/>
      <c r="B622" s="256"/>
      <c r="C622" s="2252"/>
      <c r="D622" s="2253"/>
      <c r="E622" s="2252"/>
      <c r="F622" s="2253"/>
    </row>
    <row r="623" spans="1:6" ht="30" customHeight="1">
      <c r="A623" s="256"/>
      <c r="B623" s="256"/>
      <c r="C623" s="2252"/>
      <c r="D623" s="2253"/>
      <c r="E623" s="2252"/>
      <c r="F623" s="2253"/>
    </row>
    <row r="624" spans="1:6" ht="30" customHeight="1">
      <c r="A624" s="256"/>
      <c r="B624" s="256"/>
      <c r="C624" s="2252"/>
      <c r="D624" s="2253"/>
      <c r="E624" s="2252"/>
      <c r="F624" s="2253"/>
    </row>
    <row r="625" spans="1:6" ht="30" customHeight="1">
      <c r="A625" s="256"/>
      <c r="B625" s="256"/>
      <c r="C625" s="2252"/>
      <c r="D625" s="2253"/>
      <c r="E625" s="2252"/>
      <c r="F625" s="2253"/>
    </row>
    <row r="626" spans="1:6" ht="30" customHeight="1">
      <c r="A626" s="256"/>
      <c r="B626" s="256"/>
      <c r="C626" s="2252"/>
      <c r="D626" s="2253"/>
      <c r="E626" s="2252"/>
      <c r="F626" s="2253"/>
    </row>
    <row r="627" spans="1:6" ht="30" customHeight="1">
      <c r="A627" s="256"/>
      <c r="B627" s="256"/>
      <c r="C627" s="2252"/>
      <c r="D627" s="2253"/>
      <c r="E627" s="2252"/>
      <c r="F627" s="2253"/>
    </row>
    <row r="628" spans="1:6" ht="30" customHeight="1">
      <c r="A628" s="256"/>
      <c r="B628" s="256"/>
      <c r="C628" s="2252"/>
      <c r="D628" s="2253"/>
      <c r="E628" s="2252"/>
      <c r="F628" s="2253"/>
    </row>
    <row r="629" spans="1:6" ht="30" customHeight="1">
      <c r="A629" s="256"/>
      <c r="B629" s="256"/>
      <c r="C629" s="2252"/>
      <c r="D629" s="2253"/>
      <c r="E629" s="2252"/>
      <c r="F629" s="2253"/>
    </row>
    <row r="630" spans="1:6" ht="30" customHeight="1">
      <c r="A630" s="256"/>
      <c r="B630" s="256"/>
      <c r="C630" s="2252"/>
      <c r="D630" s="2253"/>
      <c r="E630" s="2252"/>
      <c r="F630" s="2253"/>
    </row>
    <row r="631" spans="1:6" ht="30" customHeight="1">
      <c r="A631" s="256"/>
      <c r="B631" s="256"/>
      <c r="C631" s="2252"/>
      <c r="D631" s="2253"/>
      <c r="E631" s="2252"/>
      <c r="F631" s="2253"/>
    </row>
    <row r="632" spans="1:6" ht="30" customHeight="1">
      <c r="A632" s="256"/>
      <c r="B632" s="256"/>
      <c r="C632" s="2252"/>
      <c r="D632" s="2253"/>
      <c r="E632" s="2252"/>
      <c r="F632" s="2253"/>
    </row>
    <row r="633" spans="1:6" ht="30" customHeight="1">
      <c r="A633" s="256"/>
      <c r="B633" s="256"/>
      <c r="C633" s="2252"/>
      <c r="D633" s="2253"/>
      <c r="E633" s="2252"/>
      <c r="F633" s="2253"/>
    </row>
    <row r="634" spans="1:6" ht="30" customHeight="1">
      <c r="A634" s="256"/>
      <c r="B634" s="256"/>
      <c r="C634" s="2252"/>
      <c r="D634" s="2253"/>
      <c r="E634" s="2252"/>
      <c r="F634" s="2253"/>
    </row>
    <row r="635" spans="1:6" ht="30" customHeight="1">
      <c r="A635" s="256"/>
      <c r="B635" s="256"/>
      <c r="C635" s="2252"/>
      <c r="D635" s="2253"/>
      <c r="E635" s="2252"/>
      <c r="F635" s="2253"/>
    </row>
    <row r="636" spans="1:6" ht="30" customHeight="1">
      <c r="A636" s="256"/>
      <c r="B636" s="256"/>
      <c r="C636" s="2252"/>
      <c r="D636" s="2253"/>
      <c r="E636" s="2252"/>
      <c r="F636" s="2253"/>
    </row>
    <row r="637" spans="1:6" ht="30" customHeight="1">
      <c r="A637" s="256"/>
      <c r="B637" s="256"/>
      <c r="C637" s="2252"/>
      <c r="D637" s="2253"/>
      <c r="E637" s="2252"/>
      <c r="F637" s="2253"/>
    </row>
    <row r="638" spans="1:6" ht="30" customHeight="1">
      <c r="A638" s="256"/>
      <c r="B638" s="256"/>
      <c r="C638" s="2252"/>
      <c r="D638" s="2253"/>
      <c r="E638" s="2252"/>
      <c r="F638" s="2253"/>
    </row>
    <row r="639" spans="1:6" ht="30" customHeight="1">
      <c r="A639" s="256"/>
      <c r="B639" s="256"/>
      <c r="C639" s="2252"/>
      <c r="D639" s="2253"/>
      <c r="E639" s="2252"/>
      <c r="F639" s="2253"/>
    </row>
    <row r="640" spans="1:6" ht="30" customHeight="1">
      <c r="A640" s="256"/>
      <c r="B640" s="256"/>
      <c r="C640" s="2252"/>
      <c r="D640" s="2253"/>
      <c r="E640" s="2252"/>
      <c r="F640" s="2253"/>
    </row>
    <row r="641" spans="1:6" ht="30" customHeight="1">
      <c r="A641" s="256"/>
      <c r="B641" s="256"/>
      <c r="C641" s="2252"/>
      <c r="D641" s="2253"/>
      <c r="E641" s="2252"/>
      <c r="F641" s="2253"/>
    </row>
    <row r="642" spans="1:6" ht="30" customHeight="1">
      <c r="A642" s="256"/>
      <c r="B642" s="256"/>
      <c r="C642" s="2252"/>
      <c r="D642" s="2253"/>
      <c r="E642" s="2252"/>
      <c r="F642" s="2253"/>
    </row>
    <row r="643" spans="1:6" ht="30" customHeight="1" thickBot="1">
      <c r="A643" s="256"/>
      <c r="B643" s="256"/>
      <c r="C643" s="2252"/>
      <c r="D643" s="2253"/>
      <c r="E643" s="2252"/>
      <c r="F643" s="2253"/>
    </row>
    <row r="644" spans="1:6" ht="30" customHeight="1" thickBot="1">
      <c r="A644" s="148" t="s">
        <v>2258</v>
      </c>
      <c r="B644" s="2257"/>
      <c r="C644" s="2258" t="e">
        <f>SUM(C610:C643)</f>
        <v>#REF!</v>
      </c>
      <c r="D644" s="2258"/>
      <c r="E644" s="2258" t="e">
        <f>SUM(E610:E643)</f>
        <v>#REF!</v>
      </c>
      <c r="F644" s="2258"/>
    </row>
    <row r="645" spans="1:6" ht="30" customHeight="1" thickTop="1">
      <c r="A645" s="300"/>
      <c r="B645" s="300"/>
      <c r="C645" s="2259"/>
      <c r="D645" s="2259"/>
      <c r="E645" s="2259" t="e">
        <f>+C644-E644</f>
        <v>#REF!</v>
      </c>
      <c r="F645" s="2259"/>
    </row>
    <row r="646" spans="1:6" ht="30" customHeight="1">
      <c r="A646" s="300"/>
      <c r="B646" s="300"/>
      <c r="C646" s="2259"/>
      <c r="D646" s="2259"/>
      <c r="E646" s="2259"/>
      <c r="F646" s="2259"/>
    </row>
    <row r="647" spans="1:6" ht="30" customHeight="1">
      <c r="A647" s="131" t="s">
        <v>2259</v>
      </c>
      <c r="B647" s="1"/>
      <c r="C647" s="2245"/>
      <c r="D647" s="2245"/>
      <c r="E647" s="2245"/>
      <c r="F647" s="2245"/>
    </row>
    <row r="648" spans="1:6" ht="30" customHeight="1">
      <c r="A648" s="131" t="s">
        <v>2260</v>
      </c>
      <c r="B648" s="1"/>
      <c r="C648" s="2245"/>
      <c r="D648" s="2245"/>
      <c r="E648" s="2245"/>
      <c r="F648" s="2245"/>
    </row>
    <row r="649" spans="1:6" ht="30" customHeight="1">
      <c r="A649" s="131" t="s">
        <v>2260</v>
      </c>
      <c r="B649" s="1"/>
      <c r="C649" s="2245"/>
      <c r="D649" s="2245"/>
      <c r="E649" s="2245"/>
      <c r="F649" s="2245"/>
    </row>
    <row r="650" spans="1:6" ht="30" customHeight="1">
      <c r="A650" s="131" t="s">
        <v>2260</v>
      </c>
      <c r="B650" s="1"/>
      <c r="C650" s="2245"/>
      <c r="D650" s="2245"/>
      <c r="E650" s="2245"/>
      <c r="F650" s="2245"/>
    </row>
    <row r="651" spans="1:6" ht="30" customHeight="1">
      <c r="A651" s="131"/>
      <c r="B651" s="1"/>
      <c r="C651" s="2245"/>
      <c r="D651" s="2245"/>
      <c r="E651" s="2245"/>
      <c r="F651" s="2245"/>
    </row>
    <row r="652" spans="1:6" ht="30" customHeight="1">
      <c r="A652" s="131" t="s">
        <v>2261</v>
      </c>
      <c r="B652" s="1"/>
      <c r="C652" s="2245"/>
      <c r="D652" s="2245"/>
      <c r="E652" s="2245"/>
      <c r="F652" s="2245"/>
    </row>
    <row r="653" spans="1:6" ht="30" customHeight="1">
      <c r="A653" s="131"/>
      <c r="B653" s="1"/>
      <c r="C653" s="2245"/>
      <c r="D653" s="2245"/>
      <c r="E653" s="2245"/>
      <c r="F653" s="2245"/>
    </row>
    <row r="654" spans="1:6" ht="30" customHeight="1">
      <c r="A654" s="131" t="s">
        <v>2262</v>
      </c>
      <c r="B654" s="1"/>
      <c r="C654" s="2245"/>
      <c r="D654" s="2245"/>
      <c r="E654" s="2245"/>
      <c r="F654" s="2245"/>
    </row>
    <row r="655" spans="1:6" ht="30" customHeight="1">
      <c r="A655" s="300"/>
      <c r="B655" s="300"/>
      <c r="C655" s="2245"/>
      <c r="D655" s="2245"/>
      <c r="E655" s="2245"/>
      <c r="F655" s="2245"/>
    </row>
    <row r="656" spans="1:6" ht="30" customHeight="1">
      <c r="A656" s="144" t="s">
        <v>2317</v>
      </c>
      <c r="B656" s="145"/>
      <c r="C656" s="234" t="s">
        <v>2222</v>
      </c>
      <c r="D656" s="2245"/>
      <c r="E656" s="2245"/>
      <c r="F656" s="2245"/>
    </row>
    <row r="657" spans="1:6" ht="30" customHeight="1" thickBot="1">
      <c r="A657" s="146" t="s">
        <v>2223</v>
      </c>
      <c r="B657" s="2246"/>
      <c r="C657" s="2247"/>
      <c r="D657" s="2247"/>
      <c r="E657" s="2247"/>
      <c r="F657" s="2247"/>
    </row>
    <row r="658" spans="1:6" ht="30" customHeight="1" thickTop="1" thickBot="1">
      <c r="A658" s="147" t="s">
        <v>2224</v>
      </c>
      <c r="B658" s="147" t="s">
        <v>87</v>
      </c>
      <c r="C658" s="236" t="s">
        <v>2225</v>
      </c>
      <c r="D658" s="2248"/>
      <c r="E658" s="236" t="s">
        <v>2226</v>
      </c>
      <c r="F658" s="2248"/>
    </row>
    <row r="659" spans="1:6" ht="30" customHeight="1" thickTop="1">
      <c r="A659" s="256" t="s">
        <v>2228</v>
      </c>
      <c r="B659" s="256" t="s">
        <v>2318</v>
      </c>
      <c r="C659" s="265" t="e">
        <f>'Pigs Cost'!E137</f>
        <v>#REF!</v>
      </c>
      <c r="D659" s="2249"/>
      <c r="E659" s="265"/>
      <c r="F659" s="2249"/>
    </row>
    <row r="660" spans="1:6" ht="30" customHeight="1">
      <c r="A660" s="256" t="s">
        <v>2228</v>
      </c>
      <c r="B660" s="256" t="s">
        <v>2318</v>
      </c>
      <c r="C660" s="265"/>
      <c r="D660" s="2249"/>
      <c r="E660" s="265" t="e">
        <f>-'Pigs Cost'!O137</f>
        <v>#REF!</v>
      </c>
      <c r="F660" s="2249"/>
    </row>
    <row r="661" spans="1:6" ht="30" customHeight="1">
      <c r="A661" s="256" t="s">
        <v>2245</v>
      </c>
      <c r="B661" s="256" t="s">
        <v>128</v>
      </c>
      <c r="C661" s="265"/>
      <c r="D661" s="2249"/>
      <c r="E661" s="265" t="e">
        <f>C659</f>
        <v>#REF!</v>
      </c>
      <c r="F661" s="2249"/>
    </row>
    <row r="662" spans="1:6" ht="30" customHeight="1">
      <c r="A662" s="256" t="s">
        <v>2252</v>
      </c>
      <c r="B662" s="256" t="s">
        <v>153</v>
      </c>
      <c r="C662" s="265" t="e">
        <f>'Pigs Cost'!E149</f>
        <v>#REF!</v>
      </c>
      <c r="D662" s="2249"/>
      <c r="E662" s="265"/>
      <c r="F662" s="2249"/>
    </row>
    <row r="663" spans="1:6" ht="30" customHeight="1">
      <c r="A663" s="256" t="s">
        <v>2249</v>
      </c>
      <c r="B663" s="256" t="s">
        <v>150</v>
      </c>
      <c r="C663" s="265"/>
      <c r="D663" s="2249"/>
      <c r="E663" s="265">
        <v>0</v>
      </c>
      <c r="F663" s="2249"/>
    </row>
    <row r="664" spans="1:6" ht="30" customHeight="1">
      <c r="A664" s="256" t="s">
        <v>2228</v>
      </c>
      <c r="B664" s="256" t="str">
        <f>B659</f>
        <v>Grower</v>
      </c>
      <c r="C664" s="265" t="e">
        <f>'Pigs Cost'!J137</f>
        <v>#REF!</v>
      </c>
      <c r="D664" s="2249"/>
      <c r="E664" s="265"/>
      <c r="F664" s="2249"/>
    </row>
    <row r="665" spans="1:6" ht="30" customHeight="1">
      <c r="A665" s="256" t="s">
        <v>2281</v>
      </c>
      <c r="B665" s="256" t="s">
        <v>127</v>
      </c>
      <c r="C665" s="265"/>
      <c r="D665" s="2249"/>
      <c r="E665" s="265" t="e">
        <f>C664</f>
        <v>#REF!</v>
      </c>
      <c r="F665" s="2249"/>
    </row>
    <row r="666" spans="1:6" ht="30" customHeight="1">
      <c r="A666" s="256" t="s">
        <v>2254</v>
      </c>
      <c r="B666" s="256" t="s">
        <v>2255</v>
      </c>
      <c r="C666" s="265" t="e">
        <f>-'Pigs Cost'!P137</f>
        <v>#REF!</v>
      </c>
      <c r="D666" s="2249"/>
      <c r="E666" s="265"/>
      <c r="F666" s="2249"/>
    </row>
    <row r="667" spans="1:6" ht="30" customHeight="1">
      <c r="A667" s="256" t="s">
        <v>2228</v>
      </c>
      <c r="B667" s="256" t="s">
        <v>2318</v>
      </c>
      <c r="C667" s="265"/>
      <c r="D667" s="2249"/>
      <c r="E667" s="265" t="e">
        <f>-'Pigs Cost'!P137</f>
        <v>#REF!</v>
      </c>
      <c r="F667" s="2249"/>
    </row>
    <row r="668" spans="1:6" ht="30" customHeight="1">
      <c r="A668" s="256" t="s">
        <v>2265</v>
      </c>
      <c r="B668" s="256" t="s">
        <v>2319</v>
      </c>
      <c r="C668" s="265" t="e">
        <f>'IAS 41 Mvmnt Pigs'!D137</f>
        <v>#REF!</v>
      </c>
      <c r="D668" s="2249"/>
      <c r="E668" s="265"/>
      <c r="F668" s="2249"/>
    </row>
    <row r="669" spans="1:6" ht="30" customHeight="1">
      <c r="A669" s="256" t="s">
        <v>2265</v>
      </c>
      <c r="B669" s="256" t="s">
        <v>2319</v>
      </c>
      <c r="C669" s="265"/>
      <c r="D669" s="2249"/>
      <c r="E669" s="265" t="e">
        <f>-'IAS 41 Mvmnt Pigs'!G137</f>
        <v>#REF!</v>
      </c>
      <c r="F669" s="2249"/>
    </row>
    <row r="670" spans="1:6" ht="30" customHeight="1">
      <c r="A670" s="256" t="s">
        <v>2245</v>
      </c>
      <c r="B670" s="256" t="s">
        <v>128</v>
      </c>
      <c r="C670" s="265"/>
      <c r="D670" s="2249"/>
      <c r="E670" s="265" t="e">
        <f>C668</f>
        <v>#REF!</v>
      </c>
      <c r="F670" s="2249"/>
    </row>
    <row r="671" spans="1:6" ht="30" customHeight="1">
      <c r="A671" s="256" t="s">
        <v>2249</v>
      </c>
      <c r="B671" s="256" t="s">
        <v>150</v>
      </c>
      <c r="C671" s="265"/>
      <c r="D671" s="2249"/>
      <c r="E671" s="265">
        <v>0</v>
      </c>
      <c r="F671" s="2249"/>
    </row>
    <row r="672" spans="1:6" ht="30" customHeight="1">
      <c r="A672" s="256" t="s">
        <v>2252</v>
      </c>
      <c r="B672" s="256" t="s">
        <v>153</v>
      </c>
      <c r="C672" s="265" t="e">
        <f>-'IAS 41 Mvmnt Pigs'!G137</f>
        <v>#REF!</v>
      </c>
      <c r="D672" s="2249"/>
      <c r="E672" s="265"/>
      <c r="F672" s="2249"/>
    </row>
    <row r="673" spans="1:6" ht="30" customHeight="1">
      <c r="A673" s="256" t="s">
        <v>2275</v>
      </c>
      <c r="B673" s="256" t="s">
        <v>2276</v>
      </c>
      <c r="C673" s="265" t="e">
        <f>-SUM('IAS 41 Mvmnt Pigs'!H141:I141)</f>
        <v>#REF!</v>
      </c>
      <c r="D673" s="2249"/>
      <c r="E673" s="265"/>
      <c r="F673" s="2249"/>
    </row>
    <row r="674" spans="1:6" ht="30" customHeight="1">
      <c r="A674" s="256" t="s">
        <v>2265</v>
      </c>
      <c r="B674" s="256" t="s">
        <v>2319</v>
      </c>
      <c r="C674" s="265"/>
      <c r="D674" s="2249"/>
      <c r="E674" s="265" t="e">
        <f>-'IAS 41 Mvmnt Pigs'!H137-'IAS 41 Mvmnt Pigs'!I137</f>
        <v>#REF!</v>
      </c>
      <c r="F674" s="2249"/>
    </row>
    <row r="675" spans="1:6" ht="30" customHeight="1">
      <c r="A675" s="256"/>
      <c r="B675" s="256"/>
      <c r="C675" s="265"/>
      <c r="D675" s="2249"/>
      <c r="E675" s="265"/>
      <c r="F675" s="2249"/>
    </row>
    <row r="676" spans="1:6" ht="30" customHeight="1">
      <c r="A676" s="256"/>
      <c r="B676" s="256"/>
      <c r="C676" s="265"/>
      <c r="D676" s="2249"/>
      <c r="E676" s="265"/>
      <c r="F676" s="2249"/>
    </row>
    <row r="677" spans="1:6" ht="30" customHeight="1">
      <c r="A677" s="262"/>
      <c r="B677" s="256"/>
      <c r="C677" s="265"/>
      <c r="D677" s="2249"/>
      <c r="E677" s="265"/>
      <c r="F677" s="2249"/>
    </row>
    <row r="678" spans="1:6" ht="30" customHeight="1">
      <c r="A678" s="256"/>
      <c r="B678" s="256"/>
      <c r="C678" s="265"/>
      <c r="D678" s="2249"/>
      <c r="E678" s="265"/>
      <c r="F678" s="2249"/>
    </row>
    <row r="679" spans="1:6" ht="30" customHeight="1">
      <c r="A679" s="256"/>
      <c r="B679" s="256"/>
      <c r="C679" s="265"/>
      <c r="D679" s="2249"/>
      <c r="E679" s="265"/>
      <c r="F679" s="2249"/>
    </row>
    <row r="680" spans="1:6" ht="30" customHeight="1">
      <c r="A680" s="256"/>
      <c r="B680" s="256"/>
      <c r="C680" s="265"/>
      <c r="D680" s="2249"/>
      <c r="E680" s="265"/>
      <c r="F680" s="2249"/>
    </row>
    <row r="681" spans="1:6" ht="30" customHeight="1">
      <c r="A681" s="256"/>
      <c r="B681" s="256"/>
      <c r="C681" s="265"/>
      <c r="D681" s="2249"/>
      <c r="E681" s="265"/>
      <c r="F681" s="2249"/>
    </row>
    <row r="682" spans="1:6" ht="30" customHeight="1">
      <c r="A682" s="256"/>
      <c r="B682" s="256"/>
      <c r="C682" s="265"/>
      <c r="D682" s="2249"/>
      <c r="E682" s="265"/>
      <c r="F682" s="2249"/>
    </row>
    <row r="683" spans="1:6" ht="30" customHeight="1">
      <c r="A683" s="256"/>
      <c r="B683" s="256"/>
      <c r="C683" s="265"/>
      <c r="D683" s="2249"/>
      <c r="E683" s="265"/>
      <c r="F683" s="2249"/>
    </row>
    <row r="684" spans="1:6" ht="30" customHeight="1">
      <c r="A684" s="256"/>
      <c r="B684" s="256"/>
      <c r="C684" s="265"/>
      <c r="D684" s="2249"/>
      <c r="E684" s="265"/>
      <c r="F684" s="2249"/>
    </row>
    <row r="685" spans="1:6" ht="30" customHeight="1">
      <c r="A685" s="256"/>
      <c r="B685" s="256"/>
      <c r="C685" s="265"/>
      <c r="D685" s="2249"/>
      <c r="E685" s="265"/>
      <c r="F685" s="2249"/>
    </row>
    <row r="686" spans="1:6" ht="30" customHeight="1">
      <c r="A686" s="256"/>
      <c r="B686" s="256"/>
      <c r="C686" s="265"/>
      <c r="D686" s="2249"/>
      <c r="E686" s="265"/>
      <c r="F686" s="2249"/>
    </row>
    <row r="687" spans="1:6" ht="30" customHeight="1">
      <c r="A687" s="256"/>
      <c r="B687" s="256"/>
      <c r="C687" s="265"/>
      <c r="D687" s="2249"/>
      <c r="E687" s="265"/>
      <c r="F687" s="2249"/>
    </row>
    <row r="688" spans="1:6" ht="30" customHeight="1">
      <c r="A688" s="256"/>
      <c r="B688" s="256"/>
      <c r="C688" s="265"/>
      <c r="D688" s="2249"/>
      <c r="E688" s="265"/>
      <c r="F688" s="2249"/>
    </row>
    <row r="689" spans="1:6" ht="30" customHeight="1">
      <c r="A689" s="256"/>
      <c r="B689" s="256"/>
      <c r="C689" s="265"/>
      <c r="D689" s="2249"/>
      <c r="E689" s="265"/>
      <c r="F689" s="2249"/>
    </row>
    <row r="690" spans="1:6" ht="30" customHeight="1">
      <c r="A690" s="256"/>
      <c r="B690" s="256"/>
      <c r="C690" s="265"/>
      <c r="D690" s="2249"/>
      <c r="E690" s="265"/>
      <c r="F690" s="2249"/>
    </row>
    <row r="691" spans="1:6" ht="30" customHeight="1">
      <c r="A691" s="256"/>
      <c r="B691" s="256"/>
      <c r="C691" s="265"/>
      <c r="D691" s="2249"/>
      <c r="E691" s="265"/>
      <c r="F691" s="2249"/>
    </row>
    <row r="692" spans="1:6" ht="30" customHeight="1">
      <c r="A692" s="268"/>
      <c r="B692" s="268"/>
      <c r="C692" s="2252"/>
      <c r="D692" s="2253"/>
      <c r="E692" s="265"/>
      <c r="F692" s="2253"/>
    </row>
    <row r="693" spans="1:6" ht="30" customHeight="1" thickBot="1">
      <c r="A693" s="268"/>
      <c r="B693" s="268"/>
      <c r="C693" s="2252"/>
      <c r="D693" s="2253"/>
      <c r="E693" s="2252"/>
      <c r="F693" s="2253"/>
    </row>
    <row r="694" spans="1:6" ht="30" customHeight="1" thickBot="1">
      <c r="A694" s="148" t="s">
        <v>2258</v>
      </c>
      <c r="B694" s="2257"/>
      <c r="C694" s="2258" t="e">
        <f>SUM(C659:C693)</f>
        <v>#REF!</v>
      </c>
      <c r="D694" s="2258"/>
      <c r="E694" s="2258" t="e">
        <f>SUM(E659:E693)</f>
        <v>#REF!</v>
      </c>
      <c r="F694" s="2258"/>
    </row>
    <row r="695" spans="1:6" ht="30" customHeight="1" thickTop="1">
      <c r="A695" s="300"/>
      <c r="B695" s="300"/>
      <c r="C695" s="2259"/>
      <c r="D695" s="2259"/>
      <c r="E695" s="2259" t="e">
        <f>+C694-E694</f>
        <v>#REF!</v>
      </c>
      <c r="F695" s="2259"/>
    </row>
    <row r="696" spans="1:6" ht="30" customHeight="1">
      <c r="A696" s="300"/>
      <c r="B696" s="300"/>
      <c r="C696" s="2259"/>
      <c r="D696" s="2259"/>
      <c r="E696" s="2259"/>
      <c r="F696" s="2259"/>
    </row>
    <row r="697" spans="1:6" ht="30" customHeight="1">
      <c r="A697" s="131" t="s">
        <v>2259</v>
      </c>
      <c r="B697" s="1"/>
      <c r="C697" s="2245"/>
      <c r="D697" s="2245"/>
      <c r="E697" s="2245"/>
      <c r="F697" s="2245"/>
    </row>
    <row r="698" spans="1:6" ht="30" customHeight="1">
      <c r="A698" s="131" t="s">
        <v>2260</v>
      </c>
      <c r="B698" s="1"/>
      <c r="C698" s="2245"/>
      <c r="D698" s="2245"/>
      <c r="E698" s="2245"/>
      <c r="F698" s="2245"/>
    </row>
    <row r="699" spans="1:6" ht="30" customHeight="1">
      <c r="A699" s="131" t="s">
        <v>2260</v>
      </c>
      <c r="B699" s="1"/>
      <c r="C699" s="2245"/>
      <c r="D699" s="2245"/>
      <c r="E699" s="2245"/>
      <c r="F699" s="2245"/>
    </row>
    <row r="700" spans="1:6" ht="30" customHeight="1">
      <c r="A700" s="131" t="s">
        <v>2260</v>
      </c>
      <c r="B700" s="1"/>
      <c r="C700" s="2245"/>
      <c r="D700" s="2245"/>
      <c r="E700" s="2245"/>
      <c r="F700" s="2245"/>
    </row>
    <row r="701" spans="1:6" ht="30" customHeight="1">
      <c r="A701" s="131"/>
      <c r="B701" s="1"/>
      <c r="C701" s="2245"/>
      <c r="D701" s="2245"/>
      <c r="E701" s="2245"/>
      <c r="F701" s="2245"/>
    </row>
    <row r="702" spans="1:6" ht="30" customHeight="1">
      <c r="A702" s="131" t="s">
        <v>2261</v>
      </c>
      <c r="B702" s="1"/>
      <c r="C702" s="2245"/>
      <c r="D702" s="2245"/>
      <c r="E702" s="2245"/>
      <c r="F702" s="2245"/>
    </row>
    <row r="703" spans="1:6" ht="30" customHeight="1">
      <c r="A703" s="131"/>
      <c r="B703" s="1"/>
      <c r="C703" s="2245"/>
      <c r="D703" s="2245"/>
      <c r="E703" s="2245"/>
      <c r="F703" s="2245"/>
    </row>
    <row r="704" spans="1:6" ht="30" customHeight="1">
      <c r="A704" s="131" t="s">
        <v>2262</v>
      </c>
      <c r="B704" s="1"/>
      <c r="C704" s="2245"/>
      <c r="D704" s="2245"/>
      <c r="E704" s="2245"/>
      <c r="F704" s="2245"/>
    </row>
    <row r="705" spans="1:6" ht="30" customHeight="1">
      <c r="A705" s="300"/>
      <c r="B705" s="300"/>
      <c r="C705" s="2245"/>
      <c r="D705" s="2245"/>
      <c r="E705" s="2245"/>
      <c r="F705" s="2245"/>
    </row>
    <row r="706" spans="1:6" ht="30" customHeight="1">
      <c r="A706" s="144" t="s">
        <v>2320</v>
      </c>
      <c r="B706" s="145"/>
      <c r="C706" s="234" t="s">
        <v>2222</v>
      </c>
      <c r="D706" s="2245"/>
      <c r="E706" s="2245"/>
      <c r="F706" s="2245"/>
    </row>
    <row r="707" spans="1:6" ht="30" customHeight="1" thickBot="1">
      <c r="A707" s="146" t="s">
        <v>2223</v>
      </c>
      <c r="B707" s="2246"/>
      <c r="C707" s="2247"/>
      <c r="D707" s="2247"/>
      <c r="E707" s="2247"/>
      <c r="F707" s="2247"/>
    </row>
    <row r="708" spans="1:6" ht="30" customHeight="1" thickTop="1" thickBot="1">
      <c r="A708" s="147" t="s">
        <v>2224</v>
      </c>
      <c r="B708" s="147" t="s">
        <v>87</v>
      </c>
      <c r="C708" s="236" t="s">
        <v>2225</v>
      </c>
      <c r="D708" s="2248"/>
      <c r="E708" s="236" t="s">
        <v>2226</v>
      </c>
      <c r="F708" s="2248"/>
    </row>
    <row r="709" spans="1:6" ht="30" customHeight="1" thickTop="1">
      <c r="A709" s="256" t="s">
        <v>2228</v>
      </c>
      <c r="B709" s="256" t="s">
        <v>2318</v>
      </c>
      <c r="C709" s="265" t="e">
        <f>'Pigs Cost'!E149</f>
        <v>#REF!</v>
      </c>
      <c r="D709" s="2249"/>
      <c r="E709" s="265"/>
      <c r="F709" s="2249"/>
    </row>
    <row r="710" spans="1:6" ht="30" customHeight="1">
      <c r="A710" s="256" t="s">
        <v>2249</v>
      </c>
      <c r="B710" s="256" t="s">
        <v>150</v>
      </c>
      <c r="C710" s="265"/>
      <c r="D710" s="2249"/>
      <c r="E710" s="265"/>
      <c r="F710" s="2249"/>
    </row>
    <row r="711" spans="1:6" ht="30" customHeight="1">
      <c r="A711" s="256" t="s">
        <v>2251</v>
      </c>
      <c r="B711" s="256" t="s">
        <v>152</v>
      </c>
      <c r="C711" s="265"/>
      <c r="D711" s="2249"/>
      <c r="E711" s="265" t="e">
        <f>C709</f>
        <v>#REF!</v>
      </c>
      <c r="F711" s="2249"/>
    </row>
    <row r="712" spans="1:6" ht="30" customHeight="1">
      <c r="A712" s="256" t="s">
        <v>2228</v>
      </c>
      <c r="B712" s="256" t="str">
        <f>B709</f>
        <v>Grower</v>
      </c>
      <c r="C712" s="265" t="e">
        <f>'Pigs Cost'!J149</f>
        <v>#REF!</v>
      </c>
      <c r="D712" s="2249"/>
      <c r="E712" s="265"/>
      <c r="F712" s="2249"/>
    </row>
    <row r="713" spans="1:6" ht="30" customHeight="1">
      <c r="A713" s="256" t="s">
        <v>2281</v>
      </c>
      <c r="B713" s="256" t="s">
        <v>127</v>
      </c>
      <c r="C713" s="265"/>
      <c r="D713" s="2249"/>
      <c r="E713" s="265" t="e">
        <f>'Pigs Cost'!J153</f>
        <v>#REF!</v>
      </c>
      <c r="F713" s="2249"/>
    </row>
    <row r="714" spans="1:6" ht="30" customHeight="1">
      <c r="A714" s="256" t="s">
        <v>2265</v>
      </c>
      <c r="B714" s="256" t="s">
        <v>2319</v>
      </c>
      <c r="C714" s="265" t="e">
        <f>'IAS 41 Mvmnt Pigs'!D149</f>
        <v>#REF!</v>
      </c>
      <c r="D714" s="2249"/>
      <c r="E714" s="265"/>
      <c r="F714" s="2249"/>
    </row>
    <row r="715" spans="1:6" ht="30" customHeight="1">
      <c r="A715" s="256" t="s">
        <v>2249</v>
      </c>
      <c r="B715" s="256" t="s">
        <v>150</v>
      </c>
      <c r="C715" s="265"/>
      <c r="D715" s="2249"/>
      <c r="E715" s="265"/>
      <c r="F715" s="2249"/>
    </row>
    <row r="716" spans="1:6" ht="30" customHeight="1">
      <c r="A716" s="256" t="s">
        <v>2251</v>
      </c>
      <c r="B716" s="256" t="s">
        <v>152</v>
      </c>
      <c r="C716" s="265"/>
      <c r="D716" s="2249"/>
      <c r="E716" s="265" t="e">
        <f>C714</f>
        <v>#REF!</v>
      </c>
      <c r="F716" s="2249"/>
    </row>
    <row r="717" spans="1:6" ht="30" customHeight="1">
      <c r="A717" s="256" t="s">
        <v>2265</v>
      </c>
      <c r="B717" s="256" t="s">
        <v>2319</v>
      </c>
      <c r="C717" s="265">
        <f>'IAS 41 Mvmnt Pigs'!M149</f>
        <v>0</v>
      </c>
      <c r="D717" s="2249"/>
      <c r="E717" s="265"/>
      <c r="F717" s="2249"/>
    </row>
    <row r="718" spans="1:6" ht="30" customHeight="1">
      <c r="A718" s="256" t="s">
        <v>2277</v>
      </c>
      <c r="B718" s="256" t="s">
        <v>2278</v>
      </c>
      <c r="C718" s="265"/>
      <c r="D718" s="2249"/>
      <c r="E718" s="265">
        <f>C717</f>
        <v>0</v>
      </c>
      <c r="F718" s="2249"/>
    </row>
    <row r="719" spans="1:6" ht="30" customHeight="1">
      <c r="A719" s="256"/>
      <c r="B719" s="256"/>
      <c r="C719" s="265"/>
      <c r="D719" s="2249"/>
      <c r="E719" s="265"/>
      <c r="F719" s="2249"/>
    </row>
    <row r="720" spans="1:6" ht="30" customHeight="1">
      <c r="A720" s="256"/>
      <c r="B720" s="256"/>
      <c r="C720" s="265"/>
      <c r="D720" s="2249"/>
      <c r="E720" s="265"/>
      <c r="F720" s="2249"/>
    </row>
    <row r="721" spans="1:6" ht="30" customHeight="1">
      <c r="A721" s="256"/>
      <c r="B721" s="256"/>
      <c r="C721" s="265"/>
      <c r="D721" s="2249"/>
      <c r="E721" s="265"/>
      <c r="F721" s="2249"/>
    </row>
    <row r="722" spans="1:6" ht="30" customHeight="1">
      <c r="A722" s="262"/>
      <c r="B722" s="256"/>
      <c r="C722" s="265"/>
      <c r="D722" s="2249"/>
      <c r="E722" s="265"/>
      <c r="F722" s="2249"/>
    </row>
    <row r="723" spans="1:6" ht="30" customHeight="1">
      <c r="A723" s="256"/>
      <c r="B723" s="256"/>
      <c r="C723" s="265"/>
      <c r="D723" s="2249"/>
      <c r="E723" s="265"/>
      <c r="F723" s="2249"/>
    </row>
    <row r="724" spans="1:6" ht="30" customHeight="1">
      <c r="A724" s="256"/>
      <c r="B724" s="256"/>
      <c r="C724" s="265"/>
      <c r="D724" s="2249"/>
      <c r="E724" s="265"/>
      <c r="F724" s="2249"/>
    </row>
    <row r="725" spans="1:6" ht="30" customHeight="1">
      <c r="A725" s="262"/>
      <c r="B725" s="256"/>
      <c r="C725" s="265"/>
      <c r="D725" s="2249"/>
      <c r="E725" s="265"/>
      <c r="F725" s="2249"/>
    </row>
    <row r="726" spans="1:6" ht="30" customHeight="1">
      <c r="A726" s="256"/>
      <c r="B726" s="256"/>
      <c r="C726" s="265"/>
      <c r="D726" s="2249"/>
      <c r="E726" s="265"/>
      <c r="F726" s="2249"/>
    </row>
    <row r="727" spans="1:6" ht="30" customHeight="1">
      <c r="A727" s="256"/>
      <c r="B727" s="256"/>
      <c r="C727" s="265"/>
      <c r="D727" s="2249"/>
      <c r="E727" s="265"/>
      <c r="F727" s="2249"/>
    </row>
    <row r="728" spans="1:6" ht="30" customHeight="1">
      <c r="A728" s="256"/>
      <c r="B728" s="256"/>
      <c r="C728" s="265"/>
      <c r="D728" s="2249"/>
      <c r="E728" s="265"/>
      <c r="F728" s="2249"/>
    </row>
    <row r="729" spans="1:6" ht="30" customHeight="1">
      <c r="A729" s="256"/>
      <c r="B729" s="256"/>
      <c r="C729" s="265"/>
      <c r="D729" s="2249"/>
      <c r="E729" s="265"/>
      <c r="F729" s="2249"/>
    </row>
    <row r="730" spans="1:6" ht="30" customHeight="1">
      <c r="A730" s="256"/>
      <c r="B730" s="256"/>
      <c r="C730" s="265"/>
      <c r="D730" s="2249"/>
      <c r="E730" s="265"/>
      <c r="F730" s="2249"/>
    </row>
    <row r="731" spans="1:6" ht="30" customHeight="1">
      <c r="A731" s="256"/>
      <c r="B731" s="256"/>
      <c r="C731" s="265"/>
      <c r="D731" s="2249"/>
      <c r="E731" s="265"/>
      <c r="F731" s="2249"/>
    </row>
    <row r="732" spans="1:6" ht="30" customHeight="1">
      <c r="A732" s="256"/>
      <c r="B732" s="256"/>
      <c r="C732" s="265"/>
      <c r="D732" s="2249"/>
      <c r="E732" s="265"/>
      <c r="F732" s="2249"/>
    </row>
    <row r="733" spans="1:6" ht="30" customHeight="1">
      <c r="A733" s="256"/>
      <c r="B733" s="256"/>
      <c r="C733" s="265"/>
      <c r="D733" s="2249"/>
      <c r="E733" s="265"/>
      <c r="F733" s="2249"/>
    </row>
    <row r="734" spans="1:6" ht="30" customHeight="1">
      <c r="A734" s="256"/>
      <c r="B734" s="256"/>
      <c r="C734" s="265"/>
      <c r="D734" s="2249"/>
      <c r="E734" s="265"/>
      <c r="F734" s="2249"/>
    </row>
    <row r="735" spans="1:6" ht="30" customHeight="1">
      <c r="A735" s="256"/>
      <c r="B735" s="256"/>
      <c r="C735" s="265"/>
      <c r="D735" s="2249"/>
      <c r="E735" s="265"/>
      <c r="F735" s="2249"/>
    </row>
    <row r="736" spans="1:6" ht="30" customHeight="1">
      <c r="A736" s="256"/>
      <c r="B736" s="256"/>
      <c r="C736" s="265"/>
      <c r="D736" s="2249"/>
      <c r="E736" s="265"/>
      <c r="F736" s="2249"/>
    </row>
    <row r="737" spans="1:6" ht="30" customHeight="1">
      <c r="A737" s="256"/>
      <c r="B737" s="256"/>
      <c r="C737" s="265"/>
      <c r="D737" s="2249"/>
      <c r="E737" s="265"/>
      <c r="F737" s="2249"/>
    </row>
    <row r="738" spans="1:6" ht="30" customHeight="1">
      <c r="A738" s="256"/>
      <c r="B738" s="256"/>
      <c r="C738" s="265"/>
      <c r="D738" s="2249"/>
      <c r="E738" s="265"/>
      <c r="F738" s="2249"/>
    </row>
    <row r="739" spans="1:6" ht="30" customHeight="1">
      <c r="A739" s="256"/>
      <c r="B739" s="256"/>
      <c r="C739" s="265"/>
      <c r="D739" s="2249"/>
      <c r="E739" s="265"/>
      <c r="F739" s="2249"/>
    </row>
    <row r="740" spans="1:6" ht="30" customHeight="1">
      <c r="A740" s="268"/>
      <c r="B740" s="268"/>
      <c r="C740" s="2252"/>
      <c r="D740" s="2253"/>
      <c r="E740" s="265"/>
      <c r="F740" s="2253"/>
    </row>
    <row r="741" spans="1:6" ht="30" customHeight="1" thickBot="1">
      <c r="A741" s="268"/>
      <c r="B741" s="268"/>
      <c r="C741" s="2252"/>
      <c r="D741" s="2253"/>
      <c r="E741" s="2252"/>
      <c r="F741" s="2253"/>
    </row>
    <row r="742" spans="1:6" ht="30" customHeight="1" thickBot="1">
      <c r="A742" s="148" t="s">
        <v>2258</v>
      </c>
      <c r="B742" s="2257"/>
      <c r="C742" s="2258" t="e">
        <f>SUM(C709:C741)</f>
        <v>#REF!</v>
      </c>
      <c r="D742" s="2258"/>
      <c r="E742" s="2258" t="e">
        <f>SUM(E709:E741)</f>
        <v>#REF!</v>
      </c>
      <c r="F742" s="2258"/>
    </row>
    <row r="743" spans="1:6" ht="30" customHeight="1" thickTop="1">
      <c r="A743" s="300"/>
      <c r="B743" s="300"/>
      <c r="C743" s="2259"/>
      <c r="D743" s="2259"/>
      <c r="E743" s="2259" t="e">
        <f>+C742-E742</f>
        <v>#REF!</v>
      </c>
      <c r="F743" s="2259"/>
    </row>
    <row r="744" spans="1:6" ht="30" customHeight="1">
      <c r="A744" s="300"/>
      <c r="B744" s="300"/>
      <c r="C744" s="2259"/>
      <c r="D744" s="2259"/>
      <c r="E744" s="2259"/>
      <c r="F744" s="2259"/>
    </row>
    <row r="745" spans="1:6" ht="30" customHeight="1">
      <c r="A745" s="131" t="s">
        <v>2259</v>
      </c>
      <c r="B745" s="1"/>
      <c r="C745" s="2245"/>
      <c r="D745" s="2245"/>
      <c r="E745" s="2245"/>
      <c r="F745" s="2245"/>
    </row>
    <row r="746" spans="1:6" ht="30" customHeight="1">
      <c r="A746" s="131" t="s">
        <v>2260</v>
      </c>
      <c r="B746" s="1"/>
      <c r="C746" s="2245"/>
      <c r="D746" s="2245"/>
      <c r="E746" s="2245"/>
      <c r="F746" s="2245"/>
    </row>
    <row r="747" spans="1:6" ht="30" customHeight="1">
      <c r="A747" s="131" t="s">
        <v>2260</v>
      </c>
      <c r="B747" s="1"/>
      <c r="C747" s="2245"/>
      <c r="D747" s="2245"/>
      <c r="E747" s="2245"/>
      <c r="F747" s="2245"/>
    </row>
    <row r="748" spans="1:6" ht="30" customHeight="1">
      <c r="A748" s="131" t="s">
        <v>2260</v>
      </c>
      <c r="B748" s="1"/>
      <c r="C748" s="2245"/>
      <c r="D748" s="2245"/>
      <c r="E748" s="2245"/>
      <c r="F748" s="2245"/>
    </row>
    <row r="749" spans="1:6" ht="30" customHeight="1">
      <c r="A749" s="131"/>
      <c r="B749" s="1"/>
      <c r="C749" s="2245"/>
      <c r="D749" s="2245"/>
      <c r="E749" s="2245"/>
      <c r="F749" s="2245"/>
    </row>
    <row r="750" spans="1:6" ht="30" customHeight="1">
      <c r="A750" s="131" t="s">
        <v>2261</v>
      </c>
      <c r="B750" s="1"/>
      <c r="C750" s="2245"/>
      <c r="D750" s="2245"/>
      <c r="E750" s="2245"/>
      <c r="F750" s="2245"/>
    </row>
    <row r="751" spans="1:6" ht="30" customHeight="1">
      <c r="A751" s="131"/>
      <c r="B751" s="1"/>
      <c r="C751" s="2245"/>
      <c r="D751" s="2245"/>
      <c r="E751" s="2245"/>
      <c r="F751" s="2245"/>
    </row>
    <row r="752" spans="1:6" ht="30" customHeight="1">
      <c r="A752" s="131" t="s">
        <v>2262</v>
      </c>
      <c r="B752" s="1"/>
      <c r="C752" s="2245"/>
      <c r="D752" s="2245"/>
      <c r="E752" s="2245"/>
      <c r="F752" s="2245"/>
    </row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30" customHeight="1"/>
    <row r="968" ht="30" customHeight="1"/>
    <row r="969" ht="30" customHeight="1"/>
    <row r="970" ht="30" customHeight="1"/>
    <row r="971" ht="30" customHeight="1"/>
    <row r="972" ht="30" customHeight="1"/>
    <row r="973" ht="30" customHeight="1"/>
    <row r="974" ht="30" customHeight="1"/>
    <row r="975" ht="30" customHeight="1"/>
    <row r="976" ht="30" customHeight="1"/>
    <row r="977" ht="30" customHeight="1"/>
    <row r="978" ht="30" customHeight="1"/>
    <row r="979" ht="30" customHeight="1"/>
    <row r="980" ht="30" customHeight="1"/>
    <row r="981" ht="30" customHeight="1"/>
    <row r="982" ht="30" customHeight="1"/>
    <row r="983" ht="30" customHeight="1"/>
    <row r="984" ht="30" customHeight="1"/>
    <row r="985" ht="30" customHeight="1"/>
    <row r="986" ht="30" customHeight="1"/>
    <row r="987" ht="30" customHeight="1"/>
    <row r="988" ht="30" customHeight="1"/>
    <row r="989" ht="30" customHeight="1"/>
    <row r="990" ht="30" customHeight="1"/>
    <row r="991" ht="30" customHeight="1"/>
    <row r="992" ht="30" customHeight="1"/>
    <row r="993" ht="30" customHeight="1"/>
    <row r="994" ht="30" customHeight="1"/>
    <row r="995" ht="30" customHeight="1"/>
    <row r="996" ht="30" customHeight="1"/>
    <row r="997" ht="30" customHeight="1"/>
    <row r="998" ht="30" customHeight="1"/>
    <row r="999" ht="30" customHeight="1"/>
    <row r="1000" ht="30" customHeight="1"/>
    <row r="1001" ht="30" customHeight="1"/>
    <row r="1002" ht="30" customHeight="1"/>
    <row r="1003" ht="30" customHeight="1"/>
    <row r="1004" ht="30" customHeight="1"/>
    <row r="1005" ht="30" customHeight="1"/>
    <row r="1006" ht="30" customHeight="1"/>
    <row r="1007" ht="30" customHeight="1"/>
    <row r="1008" ht="30" customHeight="1"/>
    <row r="1009" ht="30" customHeight="1"/>
    <row r="1010" ht="30" customHeight="1"/>
    <row r="1011" ht="30" customHeight="1"/>
    <row r="1012" ht="30" customHeight="1"/>
    <row r="1013" ht="30" customHeight="1"/>
    <row r="1014" ht="30" customHeight="1"/>
    <row r="1015" ht="30" customHeight="1"/>
    <row r="1016" ht="30" customHeight="1"/>
    <row r="1017" ht="30" customHeight="1"/>
    <row r="1018" ht="30" customHeight="1"/>
    <row r="1019" ht="30" customHeight="1"/>
    <row r="1020" ht="30" customHeight="1"/>
    <row r="1021" ht="30" customHeight="1"/>
    <row r="1022" ht="30" customHeight="1"/>
    <row r="1023" ht="30" customHeight="1"/>
    <row r="1024" ht="30" customHeight="1"/>
    <row r="1025" ht="30" customHeight="1"/>
    <row r="1026" ht="30" customHeight="1"/>
    <row r="1027" ht="30" customHeight="1"/>
    <row r="1028" ht="30" customHeight="1"/>
    <row r="1029" ht="30" customHeight="1"/>
    <row r="1030" ht="30" customHeight="1"/>
    <row r="1031" ht="30" customHeight="1"/>
    <row r="1032" ht="30" customHeight="1"/>
    <row r="1033" ht="30" customHeight="1"/>
    <row r="1034" ht="30" customHeight="1"/>
    <row r="1035" ht="30" customHeight="1"/>
    <row r="1036" ht="30" customHeight="1"/>
    <row r="1037" ht="30" customHeight="1"/>
    <row r="1038" ht="30" customHeight="1"/>
    <row r="1039" ht="30" customHeight="1"/>
    <row r="1040" ht="30" customHeight="1"/>
    <row r="1041" ht="30" customHeight="1"/>
    <row r="1042" ht="30" customHeight="1"/>
    <row r="1043" ht="30" customHeight="1"/>
    <row r="1044" ht="30" customHeight="1"/>
    <row r="1045" ht="30" customHeight="1"/>
    <row r="1046" ht="30" customHeight="1"/>
    <row r="1047" ht="30" customHeight="1"/>
    <row r="1048" ht="30" customHeight="1"/>
    <row r="1049" ht="30" customHeight="1"/>
    <row r="1050" ht="30" customHeight="1"/>
    <row r="1051" ht="30" customHeight="1"/>
    <row r="1052" ht="30" customHeight="1"/>
    <row r="1053" ht="30" customHeight="1"/>
    <row r="1054" ht="30" customHeight="1"/>
    <row r="1055" ht="30" customHeight="1"/>
    <row r="1056" ht="30" customHeight="1"/>
    <row r="1057" ht="30" customHeight="1"/>
    <row r="1058" ht="30" customHeight="1"/>
    <row r="1059" ht="30" customHeight="1"/>
    <row r="1060" ht="30" customHeight="1"/>
    <row r="1061" ht="30" customHeight="1"/>
    <row r="1062" ht="30" customHeight="1"/>
    <row r="1063" ht="30" customHeight="1"/>
    <row r="1064" ht="30" customHeight="1"/>
    <row r="1065" ht="30" customHeight="1"/>
    <row r="1066" ht="30" customHeight="1"/>
    <row r="1067" ht="30" customHeight="1"/>
    <row r="1068" ht="30" customHeight="1"/>
    <row r="1069" ht="30" customHeight="1"/>
    <row r="1070" ht="30" customHeight="1"/>
    <row r="1071" ht="30" customHeight="1"/>
    <row r="1072" ht="30" customHeight="1"/>
    <row r="1073" ht="30" customHeight="1"/>
    <row r="1074" ht="30" customHeight="1"/>
    <row r="1075" ht="30" customHeight="1"/>
    <row r="1076" ht="30" customHeight="1"/>
    <row r="1077" ht="30" customHeight="1"/>
    <row r="1078" ht="30" customHeight="1"/>
    <row r="1079" ht="30" customHeight="1"/>
    <row r="1080" ht="30" customHeight="1"/>
    <row r="1081" ht="30" customHeight="1"/>
    <row r="1082" ht="30" customHeight="1"/>
    <row r="1083" ht="30" customHeight="1"/>
    <row r="1084" ht="30" customHeight="1"/>
    <row r="1085" ht="30" customHeight="1"/>
    <row r="1086" ht="30" customHeight="1"/>
    <row r="1087" ht="30" customHeight="1"/>
    <row r="1088" ht="30" customHeight="1"/>
    <row r="1089" ht="30" customHeight="1"/>
    <row r="1090" ht="30" customHeight="1"/>
    <row r="1091" ht="30" customHeight="1"/>
    <row r="1092" ht="30" customHeight="1"/>
    <row r="1093" ht="30" customHeight="1"/>
    <row r="1094" ht="30" customHeight="1"/>
    <row r="1095" ht="30" customHeight="1"/>
    <row r="1096" ht="30" customHeight="1"/>
    <row r="1097" ht="30" customHeight="1"/>
    <row r="1098" ht="30" customHeight="1"/>
    <row r="1099" ht="30" customHeight="1"/>
    <row r="1100" ht="30" customHeight="1"/>
    <row r="1101" ht="30" customHeight="1"/>
    <row r="1102" ht="30" customHeight="1"/>
    <row r="1103" ht="30" customHeight="1"/>
    <row r="1104" ht="30" customHeight="1"/>
    <row r="1105" ht="30" customHeight="1"/>
    <row r="1106" ht="30" customHeight="1"/>
    <row r="1107" ht="30" customHeight="1"/>
    <row r="1108" ht="30" customHeight="1"/>
    <row r="1109" ht="30" customHeight="1"/>
    <row r="1110" ht="30" customHeight="1"/>
    <row r="1111" ht="30" customHeight="1"/>
    <row r="1112" ht="30" customHeight="1"/>
    <row r="1113" ht="30" customHeight="1"/>
    <row r="1114" ht="30" customHeight="1"/>
    <row r="1115" ht="30" customHeight="1"/>
    <row r="1116" ht="30" customHeight="1"/>
    <row r="1117" ht="30" customHeight="1"/>
    <row r="1118" ht="30" customHeight="1"/>
    <row r="1119" ht="30" customHeight="1"/>
    <row r="1120" ht="30" customHeight="1"/>
    <row r="1121" ht="30" customHeight="1"/>
    <row r="1122" ht="30" customHeight="1"/>
    <row r="1123" ht="30" customHeight="1"/>
    <row r="1124" ht="30" customHeight="1"/>
    <row r="1125" ht="30" customHeight="1"/>
    <row r="1126" ht="30" customHeight="1"/>
    <row r="1127" ht="30" customHeight="1"/>
    <row r="1128" ht="30" customHeight="1"/>
    <row r="1129" ht="30" customHeight="1"/>
    <row r="1130" ht="30" customHeight="1"/>
    <row r="1131" ht="30" customHeight="1"/>
    <row r="1132" ht="30" customHeight="1"/>
    <row r="1133" ht="30" customHeight="1"/>
    <row r="1134" ht="30" customHeight="1"/>
    <row r="1135" ht="30" customHeight="1"/>
    <row r="1136" ht="30" customHeight="1"/>
    <row r="1137" ht="30" customHeight="1"/>
    <row r="1138" ht="30" customHeight="1"/>
    <row r="1139" ht="30" customHeight="1"/>
    <row r="1140" ht="30" customHeight="1"/>
    <row r="1141" ht="30" customHeight="1"/>
    <row r="1142" ht="30" customHeight="1"/>
    <row r="1143" ht="30" customHeight="1"/>
    <row r="1144" ht="30" customHeight="1"/>
    <row r="1145" ht="30" customHeight="1"/>
    <row r="1146" ht="30" customHeight="1"/>
    <row r="1147" ht="30" customHeight="1"/>
    <row r="1148" ht="30" customHeight="1"/>
    <row r="1149" ht="30" customHeight="1"/>
    <row r="1150" ht="30" customHeight="1"/>
    <row r="1151" ht="30" customHeight="1"/>
    <row r="1152" ht="30" customHeight="1"/>
    <row r="1153" ht="30" customHeight="1"/>
    <row r="1154" ht="30" customHeight="1"/>
    <row r="1155" ht="30" customHeight="1"/>
    <row r="1156" ht="30" customHeight="1"/>
    <row r="1157" ht="30" customHeight="1"/>
    <row r="1158" ht="30" customHeight="1"/>
    <row r="1159" ht="30" customHeight="1"/>
    <row r="1160" ht="30" customHeight="1"/>
    <row r="1161" ht="30" customHeight="1"/>
    <row r="1162" ht="30" customHeight="1"/>
    <row r="1163" ht="30" customHeight="1"/>
    <row r="1164" ht="30" customHeight="1"/>
    <row r="1165" ht="30" customHeight="1"/>
    <row r="1166" ht="30" customHeight="1"/>
    <row r="1167" ht="30" customHeight="1"/>
    <row r="1168" ht="30" customHeight="1"/>
    <row r="1169" ht="30" customHeight="1"/>
    <row r="1170" ht="30" customHeight="1"/>
    <row r="1171" ht="30" customHeight="1"/>
    <row r="1172" ht="30" customHeight="1"/>
    <row r="1173" ht="30" customHeight="1"/>
    <row r="1174" ht="30" customHeight="1"/>
    <row r="1175" ht="30" customHeight="1"/>
    <row r="1176" ht="30" customHeight="1"/>
    <row r="1177" ht="30" customHeight="1"/>
    <row r="1178" ht="30" customHeight="1"/>
    <row r="1179" ht="30" customHeight="1"/>
    <row r="1180" ht="30" customHeight="1"/>
    <row r="1181" ht="30" customHeight="1"/>
    <row r="1182" ht="30" customHeight="1"/>
    <row r="1183" ht="30" customHeight="1"/>
    <row r="1184" ht="30" customHeight="1"/>
    <row r="1185" ht="30" customHeight="1"/>
    <row r="1186" ht="30" customHeight="1"/>
    <row r="1187" ht="30" customHeight="1"/>
    <row r="1188" ht="30" customHeight="1"/>
    <row r="1189" ht="30" customHeight="1"/>
    <row r="1190" ht="30" customHeight="1"/>
    <row r="1191" ht="30" customHeight="1"/>
    <row r="1192" ht="30" customHeight="1"/>
    <row r="1193" ht="30" customHeight="1"/>
    <row r="1194" ht="30" customHeight="1"/>
    <row r="1195" ht="30" customHeight="1"/>
    <row r="1196" ht="30" customHeight="1"/>
    <row r="1197" ht="30" customHeight="1"/>
    <row r="1198" ht="30" customHeight="1"/>
    <row r="1199" ht="30" customHeight="1"/>
    <row r="1200" ht="30" customHeight="1"/>
    <row r="1201" ht="30" customHeight="1"/>
    <row r="1202" ht="30" customHeight="1"/>
    <row r="1203" ht="30" customHeight="1"/>
    <row r="1204" ht="30" customHeight="1"/>
    <row r="1205" ht="30" customHeight="1"/>
    <row r="1206" ht="30" customHeight="1"/>
    <row r="1207" ht="30" customHeight="1"/>
    <row r="1208" ht="30" customHeight="1"/>
    <row r="1209" ht="30" customHeight="1"/>
    <row r="1210" ht="30" customHeight="1"/>
    <row r="1211" ht="30" customHeight="1"/>
    <row r="1212" ht="30" customHeight="1"/>
    <row r="1213" ht="30" customHeight="1"/>
    <row r="1214" ht="30" customHeight="1"/>
    <row r="1215" ht="30" customHeight="1"/>
    <row r="1216" ht="30" customHeight="1"/>
    <row r="1217" ht="30" customHeight="1"/>
    <row r="1218" ht="30" customHeight="1"/>
    <row r="1219" ht="30" customHeight="1"/>
    <row r="1220" ht="30" customHeight="1"/>
    <row r="1221" ht="30" customHeight="1"/>
    <row r="1222" ht="30" customHeight="1"/>
    <row r="1223" ht="30" customHeight="1"/>
    <row r="1224" ht="30" customHeight="1"/>
    <row r="1225" ht="30" customHeight="1"/>
    <row r="1226" ht="30" customHeight="1"/>
    <row r="1227" ht="30" customHeight="1"/>
    <row r="1228" ht="30" customHeight="1"/>
    <row r="1229" ht="30" customHeight="1"/>
    <row r="1230" ht="30" customHeight="1"/>
    <row r="1231" ht="30" customHeight="1"/>
    <row r="1232" ht="30" customHeight="1"/>
    <row r="1233" ht="30" customHeight="1"/>
    <row r="1234" ht="30" customHeight="1"/>
    <row r="1235" ht="30" customHeight="1"/>
    <row r="1236" ht="30" customHeight="1"/>
    <row r="1237" ht="30" customHeight="1"/>
    <row r="1238" ht="30" customHeight="1"/>
    <row r="1239" ht="30" customHeight="1"/>
    <row r="1240" ht="30" customHeight="1"/>
    <row r="1241" ht="30" customHeight="1"/>
    <row r="1242" ht="30" customHeight="1"/>
    <row r="1243" ht="30" customHeight="1"/>
    <row r="1244" ht="30" customHeight="1"/>
    <row r="1245" ht="30" customHeight="1"/>
    <row r="1246" ht="30" customHeight="1"/>
    <row r="1247" ht="30" customHeight="1"/>
    <row r="1248" ht="30" customHeight="1"/>
    <row r="1249" ht="30" customHeight="1"/>
    <row r="1250" ht="30" customHeight="1"/>
    <row r="1251" ht="30" customHeight="1"/>
    <row r="1252" ht="30" customHeight="1"/>
    <row r="1253" ht="30" customHeight="1"/>
    <row r="1254" ht="30" customHeight="1"/>
    <row r="1255" ht="30" customHeight="1"/>
    <row r="1256" ht="30" customHeight="1"/>
    <row r="1257" ht="30" customHeight="1"/>
    <row r="1258" ht="30" customHeight="1"/>
    <row r="1259" ht="30" customHeight="1"/>
    <row r="1260" ht="30" customHeight="1"/>
    <row r="1261" ht="30" customHeight="1"/>
    <row r="1262" ht="30" customHeight="1"/>
    <row r="1263" ht="30" customHeight="1"/>
    <row r="1264" ht="30" customHeight="1"/>
    <row r="1265" ht="30" customHeight="1"/>
    <row r="1266" ht="30" customHeight="1"/>
    <row r="1267" ht="30" customHeight="1"/>
    <row r="1268" ht="30" customHeight="1"/>
    <row r="1269" ht="30" customHeight="1"/>
    <row r="1270" ht="30" customHeight="1"/>
    <row r="1271" ht="30" customHeight="1"/>
    <row r="1272" ht="30" customHeight="1"/>
    <row r="1273" ht="30" customHeight="1"/>
    <row r="1274" ht="30" customHeight="1"/>
    <row r="1275" ht="30" customHeight="1"/>
    <row r="1276" ht="30" customHeight="1"/>
    <row r="1277" ht="30" customHeight="1"/>
    <row r="1278" ht="30" customHeight="1"/>
    <row r="1279" ht="30" customHeight="1"/>
    <row r="1280" ht="30" customHeight="1"/>
    <row r="1281" ht="30" customHeight="1"/>
    <row r="1282" ht="30" customHeight="1"/>
    <row r="1283" ht="30" customHeight="1"/>
    <row r="1284" ht="30" customHeight="1"/>
    <row r="1285" ht="30" customHeight="1"/>
    <row r="1286" ht="30" customHeight="1"/>
    <row r="1287" ht="30" customHeight="1"/>
    <row r="1288" ht="30" customHeight="1"/>
    <row r="1289" ht="30" customHeight="1"/>
    <row r="1290" ht="30" customHeight="1"/>
    <row r="1291" ht="30" customHeight="1"/>
    <row r="1292" ht="30" customHeight="1"/>
    <row r="1293" ht="30" customHeight="1"/>
    <row r="1294" ht="30" customHeight="1"/>
    <row r="1295" ht="30" customHeight="1"/>
    <row r="1296" ht="30" customHeight="1"/>
    <row r="1297" ht="30" customHeight="1"/>
    <row r="1298" ht="30" customHeight="1"/>
    <row r="1299" ht="30" customHeight="1"/>
    <row r="1300" ht="30" customHeight="1"/>
    <row r="1301" ht="30" customHeight="1"/>
    <row r="1302" ht="30" customHeight="1"/>
    <row r="1303" ht="30" customHeight="1"/>
    <row r="1304" ht="30" customHeight="1"/>
    <row r="1305" ht="30" customHeight="1"/>
    <row r="1306" ht="30" customHeight="1"/>
    <row r="1307" ht="30" customHeight="1"/>
    <row r="1308" ht="30" customHeight="1"/>
    <row r="1309" ht="30" customHeight="1"/>
    <row r="1310" ht="30" customHeight="1"/>
    <row r="1311" ht="30" customHeight="1"/>
    <row r="1312" ht="30" customHeight="1"/>
    <row r="1313" ht="30" customHeight="1"/>
    <row r="1314" ht="30" customHeight="1"/>
    <row r="1315" ht="30" customHeight="1"/>
    <row r="1316" ht="30" customHeight="1"/>
    <row r="1317" ht="30" customHeight="1"/>
    <row r="1318" ht="30" customHeight="1"/>
    <row r="1319" ht="30" customHeight="1"/>
    <row r="1320" ht="30" customHeight="1"/>
    <row r="1321" ht="30" customHeight="1"/>
    <row r="1322" ht="30" customHeight="1"/>
    <row r="1323" ht="30" customHeight="1"/>
    <row r="1324" ht="30" customHeight="1"/>
    <row r="1325" ht="30" customHeight="1"/>
    <row r="1326" ht="30" customHeight="1"/>
    <row r="1327" ht="30" customHeight="1"/>
    <row r="1328" ht="30" customHeight="1"/>
    <row r="1329" ht="30" customHeight="1"/>
    <row r="1330" ht="30" customHeight="1"/>
    <row r="1331" ht="30" customHeight="1"/>
    <row r="1332" ht="30" customHeight="1"/>
    <row r="1333" ht="30" customHeight="1"/>
    <row r="1334" ht="30" customHeight="1"/>
    <row r="1335" ht="30" customHeight="1"/>
    <row r="1336" ht="30" customHeight="1"/>
    <row r="1337" ht="30" customHeight="1"/>
    <row r="1338" ht="30" customHeight="1"/>
    <row r="1339" ht="30" customHeight="1"/>
    <row r="1340" ht="30" customHeight="1"/>
    <row r="1341" ht="30" customHeight="1"/>
    <row r="1342" ht="30" customHeight="1"/>
    <row r="1343" ht="30" customHeight="1"/>
    <row r="1344" ht="30" customHeight="1"/>
    <row r="1345" ht="30" customHeight="1"/>
    <row r="1346" ht="30" customHeight="1"/>
    <row r="1347" ht="30" customHeight="1"/>
    <row r="1348" ht="30" customHeight="1"/>
    <row r="1349" ht="30" customHeight="1"/>
    <row r="1350" ht="30" customHeight="1"/>
    <row r="1351" ht="30" customHeight="1"/>
    <row r="1352" ht="30" customHeight="1"/>
    <row r="1353" ht="30" customHeight="1"/>
    <row r="1354" ht="30" customHeight="1"/>
    <row r="1355" ht="30" customHeight="1"/>
    <row r="1356" ht="30" customHeight="1"/>
    <row r="1357" ht="30" customHeight="1"/>
    <row r="1358" ht="30" customHeight="1"/>
    <row r="1359" ht="30" customHeight="1"/>
    <row r="1360" ht="30" customHeight="1"/>
    <row r="1361" ht="30" customHeight="1"/>
    <row r="1362" ht="30" customHeight="1"/>
    <row r="1363" ht="30" customHeight="1"/>
    <row r="1364" ht="30" customHeight="1"/>
    <row r="1365" ht="30" customHeight="1"/>
    <row r="1366" ht="30" customHeight="1"/>
    <row r="1367" ht="30" customHeight="1"/>
    <row r="1368" ht="30" customHeight="1"/>
    <row r="1369" ht="30" customHeight="1"/>
    <row r="1370" ht="30" customHeight="1"/>
    <row r="1371" ht="30" customHeight="1"/>
    <row r="1372" ht="30" customHeight="1"/>
    <row r="1373" ht="30" customHeight="1"/>
    <row r="1374" ht="30" customHeight="1"/>
    <row r="1375" ht="30" customHeight="1"/>
    <row r="1376" ht="30" customHeight="1"/>
    <row r="1377" ht="30" customHeight="1"/>
    <row r="1378" ht="30" customHeight="1"/>
    <row r="1379" ht="30" customHeight="1"/>
    <row r="1380" ht="30" customHeight="1"/>
    <row r="1381" ht="30" customHeight="1"/>
    <row r="1382" ht="30" customHeight="1"/>
    <row r="1383" ht="30" customHeight="1"/>
    <row r="1384" ht="30" customHeight="1"/>
    <row r="1385" ht="30" customHeight="1"/>
    <row r="1386" ht="30" customHeight="1"/>
    <row r="1387" ht="30" customHeight="1"/>
    <row r="1388" ht="30" customHeight="1"/>
    <row r="1389" ht="30" customHeight="1"/>
    <row r="1390" ht="30" customHeight="1"/>
    <row r="1391" ht="30" customHeight="1"/>
    <row r="1392" ht="30" customHeight="1"/>
    <row r="1393" ht="30" customHeight="1"/>
    <row r="1394" ht="30" customHeight="1"/>
    <row r="1395" ht="30" customHeight="1"/>
    <row r="1396" ht="30" customHeight="1"/>
    <row r="1397" ht="30" customHeight="1"/>
    <row r="1398" ht="30" customHeight="1"/>
    <row r="1399" ht="30" customHeight="1"/>
    <row r="1400" ht="30" customHeight="1"/>
    <row r="1401" ht="30" customHeight="1"/>
    <row r="1402" ht="30" customHeight="1"/>
    <row r="1403" ht="30" customHeight="1"/>
    <row r="1404" ht="30" customHeight="1"/>
    <row r="1405" ht="30" customHeight="1"/>
    <row r="1406" ht="30" customHeight="1"/>
    <row r="1407" ht="30" customHeight="1"/>
    <row r="1408" ht="30" customHeight="1"/>
    <row r="1409" ht="30" customHeight="1"/>
    <row r="1410" ht="30" customHeight="1"/>
    <row r="1411" ht="30" customHeight="1"/>
    <row r="1412" ht="30" customHeight="1"/>
    <row r="1413" ht="30" customHeight="1"/>
    <row r="1414" ht="30" customHeight="1"/>
    <row r="1415" ht="30" customHeight="1"/>
    <row r="1416" ht="30" customHeight="1"/>
    <row r="1417" ht="30" customHeight="1"/>
    <row r="1418" ht="30" customHeight="1"/>
    <row r="1419" ht="30" customHeight="1"/>
    <row r="1420" ht="30" customHeight="1"/>
    <row r="1421" ht="30" customHeight="1"/>
    <row r="1422" ht="30" customHeight="1"/>
    <row r="1423" ht="30" customHeight="1"/>
    <row r="1424" ht="30" customHeight="1"/>
    <row r="1425" ht="30" customHeight="1"/>
    <row r="1426" ht="30" customHeight="1"/>
    <row r="1427" ht="30" customHeight="1"/>
    <row r="1428" ht="30" customHeight="1"/>
    <row r="1429" ht="30" customHeight="1"/>
    <row r="1430" ht="30" customHeight="1"/>
    <row r="1431" ht="30" customHeight="1"/>
    <row r="1432" ht="30" customHeight="1"/>
    <row r="1433" ht="30" customHeight="1"/>
    <row r="1434" ht="30" customHeight="1"/>
    <row r="1435" ht="30" customHeight="1"/>
    <row r="1436" ht="30" customHeight="1"/>
    <row r="1437" ht="30" customHeight="1"/>
    <row r="1438" ht="30" customHeight="1"/>
    <row r="1439" ht="30" customHeight="1"/>
    <row r="1440" ht="30" customHeight="1"/>
    <row r="1441" ht="30" customHeight="1"/>
    <row r="1442" ht="30" customHeight="1"/>
    <row r="1443" ht="30" customHeight="1"/>
    <row r="1444" ht="30" customHeight="1"/>
    <row r="1445" ht="30" customHeight="1"/>
    <row r="1446" ht="30" customHeight="1"/>
    <row r="1447" ht="30" customHeight="1"/>
    <row r="1448" ht="30" customHeight="1"/>
    <row r="1449" ht="30" customHeight="1"/>
    <row r="1450" ht="30" customHeight="1"/>
    <row r="1451" ht="30" customHeight="1"/>
    <row r="1452" ht="30" customHeight="1"/>
    <row r="1453" ht="30" customHeight="1"/>
    <row r="1454" ht="30" customHeight="1"/>
    <row r="1455" ht="30" customHeight="1"/>
    <row r="1456" ht="30" customHeight="1"/>
    <row r="1457" ht="30" customHeight="1"/>
    <row r="1458" ht="30" customHeight="1"/>
    <row r="1459" ht="30" customHeight="1"/>
    <row r="1460" ht="30" customHeight="1"/>
    <row r="1461" ht="30" customHeight="1"/>
    <row r="1462" ht="30" customHeight="1"/>
    <row r="1463" ht="30" customHeight="1"/>
    <row r="1464" ht="30" customHeight="1"/>
    <row r="1465" ht="30" customHeight="1"/>
    <row r="1466" ht="30" customHeight="1"/>
    <row r="1467" ht="30" customHeight="1"/>
    <row r="1468" ht="30" customHeight="1"/>
    <row r="1469" ht="30" customHeight="1"/>
    <row r="1470" ht="30" customHeight="1"/>
    <row r="1471" ht="30" customHeight="1"/>
    <row r="1472" ht="30" customHeight="1"/>
    <row r="1473" ht="30" customHeight="1"/>
    <row r="1474" ht="30" customHeight="1"/>
    <row r="1475" ht="30" customHeight="1"/>
    <row r="1476" ht="30" customHeight="1"/>
    <row r="1477" ht="30" customHeight="1"/>
    <row r="1478" ht="30" customHeight="1"/>
    <row r="1479" ht="30" customHeight="1"/>
    <row r="1480" ht="30" customHeight="1"/>
    <row r="1481" ht="30" customHeight="1"/>
    <row r="1482" ht="30" customHeight="1"/>
    <row r="1483" ht="30" customHeight="1"/>
    <row r="1484" ht="30" customHeight="1"/>
    <row r="1485" ht="30" customHeight="1"/>
    <row r="1486" ht="30" customHeight="1"/>
    <row r="1487" ht="30" customHeight="1"/>
    <row r="1488" ht="30" customHeight="1"/>
    <row r="1489" ht="30" customHeight="1"/>
    <row r="1490" ht="30" customHeight="1"/>
    <row r="1491" ht="30" customHeight="1"/>
    <row r="1492" ht="30" customHeight="1"/>
    <row r="1493" ht="30" customHeight="1"/>
    <row r="1494" ht="30" customHeight="1"/>
    <row r="1495" ht="30" customHeight="1"/>
    <row r="1496" ht="30" customHeight="1"/>
    <row r="1497" ht="30" customHeight="1"/>
    <row r="1498" ht="30" customHeight="1"/>
    <row r="1499" ht="30" customHeight="1"/>
    <row r="1500" ht="30" customHeight="1"/>
    <row r="1501" ht="30" customHeight="1"/>
    <row r="1502" ht="30" customHeight="1"/>
    <row r="1503" ht="30" customHeight="1"/>
    <row r="1504" ht="30" customHeight="1"/>
    <row r="1505" ht="30" customHeight="1"/>
    <row r="1506" ht="30" customHeight="1"/>
    <row r="1507" ht="30" customHeight="1"/>
    <row r="1508" ht="30" customHeight="1"/>
    <row r="1509" ht="30" customHeight="1"/>
    <row r="1510" ht="30" customHeight="1"/>
    <row r="1511" ht="30" customHeight="1"/>
    <row r="1512" ht="30" customHeight="1"/>
    <row r="1513" ht="30" customHeight="1"/>
    <row r="1514" ht="30" customHeight="1"/>
    <row r="1515" ht="30" customHeight="1"/>
    <row r="1516" ht="30" customHeight="1"/>
    <row r="1517" ht="30" customHeight="1"/>
    <row r="1518" ht="30" customHeight="1"/>
    <row r="1519" ht="30" customHeight="1"/>
    <row r="1520" ht="30" customHeight="1"/>
    <row r="1521" ht="30" customHeight="1"/>
    <row r="1522" ht="30" customHeight="1"/>
    <row r="1523" ht="30" customHeight="1"/>
    <row r="1524" ht="30" customHeight="1"/>
    <row r="1525" ht="30" customHeight="1"/>
    <row r="1526" ht="30" customHeight="1"/>
    <row r="1527" ht="30" customHeight="1"/>
    <row r="1528" ht="30" customHeight="1"/>
    <row r="1529" ht="30" customHeight="1"/>
    <row r="1530" ht="30" customHeight="1"/>
    <row r="1531" ht="30" customHeight="1"/>
    <row r="1532" ht="30" customHeight="1"/>
    <row r="1533" ht="30" customHeight="1"/>
    <row r="1534" ht="30" customHeight="1"/>
    <row r="1535" ht="30" customHeight="1"/>
    <row r="1536" ht="30" customHeight="1"/>
    <row r="1537" ht="30" customHeight="1"/>
    <row r="1538" ht="30" customHeight="1"/>
    <row r="1539" ht="30" customHeight="1"/>
    <row r="1540" ht="30" customHeight="1"/>
    <row r="1541" ht="30" customHeight="1"/>
    <row r="1542" ht="30" customHeight="1"/>
    <row r="1543" ht="30" customHeight="1"/>
    <row r="1544" ht="30" customHeight="1"/>
    <row r="1545" ht="30" customHeight="1"/>
    <row r="1546" ht="30" customHeight="1"/>
    <row r="1547" ht="30" customHeight="1"/>
    <row r="1548" ht="30" customHeight="1"/>
    <row r="1549" ht="30" customHeight="1"/>
    <row r="1550" ht="30" customHeight="1"/>
    <row r="1551" ht="30" customHeight="1"/>
    <row r="1552" ht="30" customHeight="1"/>
    <row r="1553" ht="30" customHeight="1"/>
    <row r="1554" ht="30" customHeight="1"/>
    <row r="1555" ht="30" customHeight="1"/>
    <row r="1556" ht="30" customHeight="1"/>
    <row r="1557" ht="30" customHeight="1"/>
    <row r="1558" ht="30" customHeight="1"/>
    <row r="1559" ht="30" customHeight="1"/>
    <row r="1560" ht="30" customHeight="1"/>
    <row r="1561" ht="30" customHeight="1"/>
    <row r="1562" ht="30" customHeight="1"/>
    <row r="1563" ht="30" customHeight="1"/>
    <row r="1564" ht="30" customHeight="1"/>
    <row r="1565" ht="30" customHeight="1"/>
    <row r="1566" ht="30" customHeight="1"/>
    <row r="1567" ht="30" customHeight="1"/>
    <row r="1568" ht="30" customHeight="1"/>
    <row r="1569" ht="30" customHeight="1"/>
    <row r="1570" ht="30" customHeight="1"/>
    <row r="1571" ht="30" customHeight="1"/>
    <row r="1572" ht="30" customHeight="1"/>
    <row r="1573" ht="30" customHeight="1"/>
    <row r="1574" ht="30" customHeight="1"/>
    <row r="1575" ht="30" customHeight="1"/>
    <row r="1576" ht="30" customHeight="1"/>
    <row r="1577" ht="30" customHeight="1"/>
    <row r="1578" ht="30" customHeight="1"/>
    <row r="1579" ht="30" customHeight="1"/>
    <row r="1580" ht="30" customHeight="1"/>
    <row r="1581" ht="30" customHeight="1"/>
    <row r="1582" ht="30" customHeight="1"/>
    <row r="1583" ht="30" customHeight="1"/>
    <row r="1584" ht="30" customHeight="1"/>
    <row r="1585" ht="30" customHeight="1"/>
    <row r="1586" ht="30" customHeight="1"/>
    <row r="1587" ht="30" customHeight="1"/>
    <row r="1588" ht="30" customHeight="1"/>
    <row r="1589" ht="30" customHeight="1"/>
    <row r="1590" ht="30" customHeight="1"/>
    <row r="1591" ht="30" customHeight="1"/>
    <row r="1592" ht="30" customHeight="1"/>
    <row r="1593" ht="30" customHeight="1"/>
    <row r="1594" ht="30" customHeight="1"/>
    <row r="1595" ht="30" customHeight="1"/>
    <row r="1596" ht="30" customHeight="1"/>
    <row r="1597" ht="30" customHeight="1"/>
    <row r="1598" ht="30" customHeight="1"/>
    <row r="1599" ht="30" customHeight="1"/>
    <row r="1600" ht="30" customHeight="1"/>
    <row r="1601" ht="30" customHeight="1"/>
    <row r="1602" ht="30" customHeight="1"/>
    <row r="1603" ht="30" customHeight="1"/>
    <row r="1604" ht="30" customHeight="1"/>
    <row r="1605" ht="30" customHeight="1"/>
    <row r="1606" ht="30" customHeight="1"/>
    <row r="1607" ht="30" customHeight="1"/>
    <row r="1608" ht="30" customHeight="1"/>
    <row r="1609" ht="30" customHeight="1"/>
    <row r="1610" ht="30" customHeight="1"/>
    <row r="1611" ht="30" customHeight="1"/>
    <row r="1612" ht="30" customHeight="1"/>
    <row r="1613" ht="30" customHeight="1"/>
    <row r="1614" ht="30" customHeight="1"/>
    <row r="1615" ht="30" customHeight="1"/>
    <row r="1616" ht="30" customHeight="1"/>
    <row r="1617" ht="30" customHeight="1"/>
    <row r="1618" ht="30" customHeight="1"/>
    <row r="1619" ht="30" customHeight="1"/>
    <row r="1620" ht="30" customHeight="1"/>
    <row r="1621" ht="30" customHeight="1"/>
    <row r="1622" ht="30" customHeight="1"/>
    <row r="1623" ht="30" customHeight="1"/>
    <row r="1624" ht="30" customHeight="1"/>
    <row r="1625" ht="30" customHeight="1"/>
    <row r="1626" ht="30" customHeight="1"/>
    <row r="1627" ht="30" customHeight="1"/>
    <row r="1628" ht="30" customHeight="1"/>
    <row r="1629" ht="30" customHeight="1"/>
    <row r="1630" ht="30" customHeight="1"/>
    <row r="1631" ht="30" customHeight="1"/>
    <row r="1632" ht="30" customHeight="1"/>
    <row r="1633" ht="30" customHeight="1"/>
    <row r="1634" ht="30" customHeight="1"/>
    <row r="1635" ht="30" customHeight="1"/>
    <row r="1636" ht="30" customHeight="1"/>
    <row r="1637" ht="30" customHeight="1"/>
    <row r="1638" ht="30" customHeight="1"/>
    <row r="1639" ht="30" customHeight="1"/>
    <row r="1640" ht="30" customHeight="1"/>
    <row r="1641" ht="30" customHeight="1"/>
    <row r="1642" ht="30" customHeight="1"/>
    <row r="1643" ht="30" customHeight="1"/>
    <row r="1644" ht="30" customHeight="1"/>
    <row r="1645" ht="30" customHeight="1"/>
    <row r="1646" ht="30" customHeight="1"/>
    <row r="1647" ht="30" customHeight="1"/>
    <row r="1648" ht="30" customHeight="1"/>
    <row r="1649" ht="30" customHeight="1"/>
    <row r="1650" ht="30" customHeight="1"/>
    <row r="1651" ht="30" customHeight="1"/>
    <row r="1652" ht="30" customHeight="1"/>
    <row r="1653" ht="30" customHeight="1"/>
    <row r="1654" ht="30" customHeight="1"/>
    <row r="1655" ht="30" customHeight="1"/>
    <row r="1656" ht="30" customHeight="1"/>
    <row r="1657" ht="30" customHeight="1"/>
    <row r="1658" ht="30" customHeight="1"/>
    <row r="1659" ht="30" customHeight="1"/>
    <row r="1660" ht="30" customHeight="1"/>
    <row r="1661" ht="30" customHeight="1"/>
    <row r="1662" ht="30" customHeight="1"/>
    <row r="1663" ht="30" customHeight="1"/>
    <row r="1664" ht="30" customHeight="1"/>
    <row r="1665" ht="30" customHeight="1"/>
    <row r="1666" ht="30" customHeight="1"/>
    <row r="1667" ht="30" customHeight="1"/>
    <row r="1668" ht="30" customHeight="1"/>
    <row r="1669" ht="30" customHeight="1"/>
    <row r="1670" ht="30" customHeight="1"/>
    <row r="1671" ht="30" customHeight="1"/>
    <row r="1672" ht="30" customHeight="1"/>
    <row r="1673" ht="30" customHeight="1"/>
    <row r="1674" ht="30" customHeight="1"/>
    <row r="1675" ht="30" customHeight="1"/>
    <row r="1676" ht="30" customHeight="1"/>
    <row r="1677" ht="30" customHeight="1"/>
    <row r="1678" ht="30" customHeight="1"/>
    <row r="1679" ht="30" customHeight="1"/>
    <row r="1680" ht="30" customHeight="1"/>
    <row r="1681" ht="30" customHeight="1"/>
    <row r="1682" ht="30" customHeight="1"/>
    <row r="1683" ht="30" customHeight="1"/>
    <row r="1684" ht="30" customHeight="1"/>
    <row r="1685" ht="30" customHeight="1"/>
    <row r="1686" ht="30" customHeight="1"/>
    <row r="1687" ht="30" customHeight="1"/>
    <row r="1688" ht="30" customHeight="1"/>
    <row r="1689" ht="30" customHeight="1"/>
    <row r="1690" ht="30" customHeight="1"/>
    <row r="1691" ht="30" customHeight="1"/>
    <row r="1692" ht="30" customHeight="1"/>
    <row r="1693" ht="30" customHeight="1"/>
    <row r="1694" ht="30" customHeight="1"/>
    <row r="1695" ht="30" customHeight="1"/>
    <row r="1696" ht="30" customHeight="1"/>
    <row r="1697" ht="30" customHeight="1"/>
    <row r="1698" ht="30" customHeight="1"/>
    <row r="1699" ht="30" customHeight="1"/>
    <row r="1700" ht="30" customHeight="1"/>
    <row r="1701" ht="30" customHeight="1"/>
    <row r="1702" ht="30" customHeight="1"/>
    <row r="1703" ht="30" customHeight="1"/>
    <row r="1704" ht="30" customHeight="1"/>
    <row r="1705" ht="30" customHeight="1"/>
    <row r="1706" ht="30" customHeight="1"/>
    <row r="1707" ht="30" customHeight="1"/>
    <row r="1708" ht="30" customHeight="1"/>
    <row r="1709" ht="30" customHeight="1"/>
    <row r="1710" ht="30" customHeight="1"/>
    <row r="1711" ht="30" customHeight="1"/>
    <row r="1712" ht="30" customHeight="1"/>
    <row r="1713" ht="30" customHeight="1"/>
    <row r="1714" ht="30" customHeight="1"/>
    <row r="1715" ht="30" customHeight="1"/>
    <row r="1716" ht="30" customHeight="1"/>
    <row r="1717" ht="30" customHeight="1"/>
    <row r="1718" ht="30" customHeight="1"/>
    <row r="1719" ht="30" customHeight="1"/>
    <row r="1720" ht="30" customHeight="1"/>
    <row r="1721" ht="30" customHeight="1"/>
    <row r="1722" ht="30" customHeight="1"/>
    <row r="1723" ht="30" customHeight="1"/>
    <row r="1724" ht="30" customHeight="1"/>
    <row r="1725" ht="30" customHeight="1"/>
    <row r="1726" ht="30" customHeight="1"/>
    <row r="1727" ht="30" customHeight="1"/>
    <row r="1728" ht="30" customHeight="1"/>
    <row r="1729" ht="30" customHeight="1"/>
    <row r="1730" ht="30" customHeight="1"/>
    <row r="1731" ht="30" customHeight="1"/>
    <row r="1732" ht="30" customHeight="1"/>
    <row r="1733" ht="30" customHeight="1"/>
    <row r="1734" ht="30" customHeight="1"/>
    <row r="1735" ht="30" customHeight="1"/>
    <row r="1736" ht="30" customHeight="1"/>
    <row r="1737" ht="30" customHeight="1"/>
    <row r="1738" ht="30" customHeight="1"/>
    <row r="1739" ht="30" customHeight="1"/>
    <row r="1740" ht="30" customHeight="1"/>
    <row r="1741" ht="30" customHeight="1"/>
    <row r="1742" ht="30" customHeight="1"/>
    <row r="1743" ht="30" customHeight="1"/>
    <row r="1744" ht="30" customHeight="1"/>
    <row r="1745" ht="30" customHeight="1"/>
    <row r="1746" ht="30" customHeight="1"/>
    <row r="1747" ht="30" customHeight="1"/>
    <row r="1748" ht="30" customHeight="1"/>
    <row r="1749" ht="30" customHeight="1"/>
    <row r="1750" ht="30" customHeight="1"/>
    <row r="1751" ht="30" customHeight="1"/>
    <row r="1752" ht="30" customHeight="1"/>
    <row r="1753" ht="30" customHeight="1"/>
    <row r="1754" ht="30" customHeight="1"/>
    <row r="1755" ht="30" customHeight="1"/>
    <row r="1756" ht="30" customHeight="1"/>
    <row r="1757" ht="30" customHeight="1"/>
    <row r="1758" ht="30" customHeight="1"/>
    <row r="1759" ht="30" customHeight="1"/>
    <row r="1760" ht="30" customHeight="1"/>
    <row r="1761" ht="30" customHeight="1"/>
    <row r="1762" ht="30" customHeight="1"/>
    <row r="1763" ht="30" customHeight="1"/>
    <row r="1764" ht="30" customHeight="1"/>
    <row r="1765" ht="30" customHeight="1"/>
    <row r="1766" ht="30" customHeight="1"/>
    <row r="1767" ht="30" customHeight="1"/>
    <row r="1768" ht="30" customHeight="1"/>
    <row r="1769" ht="30" customHeight="1"/>
    <row r="1770" ht="30" customHeight="1"/>
    <row r="1771" ht="30" customHeight="1"/>
    <row r="1772" ht="30" customHeight="1"/>
    <row r="1773" ht="30" customHeight="1"/>
    <row r="1774" ht="30" customHeight="1"/>
    <row r="1775" ht="30" customHeight="1"/>
    <row r="1776" ht="30" customHeight="1"/>
    <row r="1777" ht="30" customHeight="1"/>
    <row r="1778" ht="30" customHeight="1"/>
    <row r="1779" ht="30" customHeight="1"/>
    <row r="1780" ht="30" customHeight="1"/>
    <row r="1781" ht="30" customHeight="1"/>
    <row r="1782" ht="30" customHeight="1"/>
    <row r="1783" ht="30" customHeight="1"/>
    <row r="1784" ht="30" customHeight="1"/>
    <row r="1785" ht="30" customHeight="1"/>
    <row r="1786" ht="30" customHeight="1"/>
    <row r="1787" ht="30" customHeight="1"/>
    <row r="1788" ht="30" customHeight="1"/>
    <row r="1789" ht="30" customHeight="1"/>
    <row r="1790" ht="30" customHeight="1"/>
    <row r="1791" ht="30" customHeight="1"/>
    <row r="1792" ht="30" customHeight="1"/>
    <row r="1793" ht="30" customHeight="1"/>
    <row r="1794" ht="30" customHeight="1"/>
    <row r="1795" ht="30" customHeight="1"/>
    <row r="1796" ht="30" customHeight="1"/>
    <row r="1797" ht="30" customHeight="1"/>
    <row r="1798" ht="30" customHeight="1"/>
    <row r="1799" ht="30" customHeight="1"/>
    <row r="1800" ht="30" customHeight="1"/>
    <row r="1801" ht="30" customHeight="1"/>
    <row r="1802" ht="30" customHeight="1"/>
    <row r="1803" ht="30" customHeight="1"/>
    <row r="1804" ht="30" customHeight="1"/>
    <row r="1805" ht="30" customHeight="1"/>
    <row r="1806" ht="30" customHeight="1"/>
    <row r="1807" ht="30" customHeight="1"/>
    <row r="1808" ht="30" customHeight="1"/>
    <row r="1809" ht="30" customHeight="1"/>
    <row r="1810" ht="30" customHeight="1"/>
    <row r="1811" ht="30" customHeight="1"/>
    <row r="1812" ht="30" customHeight="1"/>
    <row r="1813" ht="30" customHeight="1"/>
    <row r="1814" ht="30" customHeight="1"/>
    <row r="1815" ht="30" customHeight="1"/>
    <row r="1816" ht="30" customHeight="1"/>
    <row r="1817" ht="30" customHeight="1"/>
    <row r="1818" ht="30" customHeight="1"/>
    <row r="1819" ht="30" customHeight="1"/>
    <row r="1820" ht="30" customHeight="1"/>
    <row r="1821" ht="30" customHeight="1"/>
    <row r="1822" ht="30" customHeight="1"/>
    <row r="1823" ht="30" customHeight="1"/>
    <row r="1824" ht="30" customHeight="1"/>
    <row r="1825" ht="30" customHeight="1"/>
    <row r="1826" ht="30" customHeight="1"/>
    <row r="1827" ht="30" customHeight="1"/>
    <row r="1828" ht="30" customHeight="1"/>
    <row r="1829" ht="30" customHeight="1"/>
    <row r="1830" ht="30" customHeight="1"/>
    <row r="1831" ht="30" customHeight="1"/>
    <row r="1832" ht="30" customHeight="1"/>
    <row r="1833" ht="30" customHeight="1"/>
    <row r="1834" ht="30" customHeight="1"/>
    <row r="1835" ht="30" customHeight="1"/>
    <row r="1836" ht="30" customHeight="1"/>
    <row r="1837" ht="30" customHeight="1"/>
    <row r="1838" ht="30" customHeight="1"/>
    <row r="1839" ht="30" customHeight="1"/>
    <row r="1840" ht="30" customHeight="1"/>
    <row r="1841" ht="30" customHeight="1"/>
    <row r="1842" ht="30" customHeight="1"/>
    <row r="1843" ht="30" customHeight="1"/>
    <row r="1844" ht="30" customHeight="1"/>
    <row r="1845" ht="30" customHeight="1"/>
    <row r="1846" ht="30" customHeight="1"/>
    <row r="1847" ht="30" customHeight="1"/>
    <row r="1848" ht="30" customHeight="1"/>
    <row r="1849" ht="30" customHeight="1"/>
    <row r="1850" ht="30" customHeight="1"/>
    <row r="1851" ht="30" customHeight="1"/>
    <row r="1852" ht="30" customHeight="1"/>
    <row r="1853" ht="30" customHeight="1"/>
    <row r="1854" ht="30" customHeight="1"/>
    <row r="1855" ht="30" customHeight="1"/>
    <row r="1856" ht="30" customHeight="1"/>
    <row r="1857" ht="30" customHeight="1"/>
    <row r="1858" ht="30" customHeight="1"/>
    <row r="1859" ht="30" customHeight="1"/>
    <row r="1860" ht="30" customHeight="1"/>
    <row r="1861" ht="30" customHeight="1"/>
    <row r="1862" ht="30" customHeight="1"/>
    <row r="1863" ht="30" customHeight="1"/>
    <row r="1864" ht="30" customHeight="1"/>
    <row r="1865" ht="30" customHeight="1"/>
    <row r="1866" ht="30" customHeight="1"/>
    <row r="1867" ht="30" customHeight="1"/>
    <row r="1868" ht="30" customHeight="1"/>
    <row r="1869" ht="30" customHeight="1"/>
    <row r="1870" ht="30" customHeight="1"/>
    <row r="1871" ht="30" customHeight="1"/>
    <row r="1872" ht="30" customHeight="1"/>
    <row r="1873" ht="30" customHeight="1"/>
    <row r="1874" ht="30" customHeight="1"/>
    <row r="1875" ht="30" customHeight="1"/>
    <row r="1876" ht="30" customHeight="1"/>
    <row r="1877" ht="30" customHeight="1"/>
    <row r="1878" ht="30" customHeight="1"/>
    <row r="1879" ht="30" customHeight="1"/>
    <row r="1880" ht="30" customHeight="1"/>
    <row r="1881" ht="30" customHeight="1"/>
    <row r="1882" ht="30" customHeight="1"/>
    <row r="1883" ht="30" customHeight="1"/>
    <row r="1884" ht="30" customHeight="1"/>
    <row r="1885" ht="30" customHeight="1"/>
    <row r="1886" ht="30" customHeight="1"/>
    <row r="1887" ht="30" customHeight="1"/>
    <row r="1888" ht="30" customHeight="1"/>
    <row r="1889" ht="30" customHeight="1"/>
    <row r="1890" ht="30" customHeight="1"/>
    <row r="1891" ht="30" customHeight="1"/>
    <row r="1892" ht="30" customHeight="1"/>
    <row r="1893" ht="30" customHeight="1"/>
    <row r="1894" ht="30" customHeight="1"/>
    <row r="1895" ht="30" customHeight="1"/>
    <row r="1896" ht="30" customHeight="1"/>
    <row r="1897" ht="30" customHeight="1"/>
    <row r="1898" ht="30" customHeight="1"/>
    <row r="1899" ht="30" customHeight="1"/>
    <row r="1900" ht="30" customHeight="1"/>
    <row r="1901" ht="30" customHeight="1"/>
    <row r="1902" ht="30" customHeight="1"/>
    <row r="1903" ht="30" customHeight="1"/>
    <row r="1904" ht="30" customHeight="1"/>
    <row r="1905" ht="30" customHeight="1"/>
    <row r="1906" ht="30" customHeight="1"/>
    <row r="1907" ht="30" customHeight="1"/>
    <row r="1908" ht="30" customHeight="1"/>
    <row r="1909" ht="30" customHeight="1"/>
    <row r="1910" ht="30" customHeight="1"/>
    <row r="1911" ht="30" customHeight="1"/>
    <row r="1912" ht="30" customHeight="1"/>
    <row r="1913" ht="30" customHeight="1"/>
    <row r="1914" ht="30" customHeight="1"/>
    <row r="1915" ht="30" customHeight="1"/>
    <row r="1916" ht="30" customHeight="1"/>
    <row r="1917" ht="30" customHeight="1"/>
    <row r="1918" ht="30" customHeight="1"/>
    <row r="1919" ht="30" customHeight="1"/>
    <row r="1920" ht="30" customHeight="1"/>
    <row r="1921" ht="30" customHeight="1"/>
    <row r="1922" ht="30" customHeight="1"/>
    <row r="1923" ht="30" customHeight="1"/>
    <row r="1924" ht="30" customHeight="1"/>
    <row r="1925" ht="30" customHeight="1"/>
    <row r="1926" ht="30" customHeight="1"/>
    <row r="1927" ht="30" customHeight="1"/>
    <row r="1928" ht="30" customHeight="1"/>
    <row r="1929" ht="30" customHeight="1"/>
    <row r="1930" ht="30" customHeight="1"/>
    <row r="1931" ht="30" customHeight="1"/>
    <row r="1932" ht="30" customHeight="1"/>
    <row r="1933" ht="30" customHeight="1"/>
    <row r="1934" ht="30" customHeight="1"/>
    <row r="1935" ht="30" customHeight="1"/>
    <row r="1936" ht="30" customHeight="1"/>
    <row r="1937" ht="30" customHeight="1"/>
    <row r="1938" ht="30" customHeight="1"/>
    <row r="1939" ht="30" customHeight="1"/>
    <row r="1940" ht="30" customHeight="1"/>
    <row r="1941" ht="30" customHeight="1"/>
    <row r="1942" ht="30" customHeight="1"/>
    <row r="1943" ht="30" customHeight="1"/>
    <row r="1944" ht="30" customHeight="1"/>
    <row r="1945" ht="30" customHeight="1"/>
    <row r="1946" ht="30" customHeight="1"/>
    <row r="1947" ht="30" customHeight="1"/>
    <row r="1948" ht="30" customHeight="1"/>
    <row r="1949" ht="30" customHeight="1"/>
    <row r="1950" ht="30" customHeight="1"/>
    <row r="1951" ht="30" customHeight="1"/>
    <row r="1952" ht="30" customHeight="1"/>
    <row r="1953" ht="30" customHeight="1"/>
    <row r="1954" ht="30" customHeight="1"/>
    <row r="1955" ht="30" customHeight="1"/>
    <row r="1956" ht="30" customHeight="1"/>
    <row r="1957" ht="30" customHeight="1"/>
    <row r="1958" ht="30" customHeight="1"/>
    <row r="1959" ht="30" customHeight="1"/>
    <row r="1960" ht="30" customHeight="1"/>
    <row r="1961" ht="30" customHeight="1"/>
    <row r="1962" ht="30" customHeight="1"/>
    <row r="1963" ht="30" customHeight="1"/>
    <row r="1964" ht="30" customHeight="1"/>
    <row r="1965" ht="30" customHeight="1"/>
    <row r="1966" ht="30" customHeight="1"/>
    <row r="1967" ht="30" customHeight="1"/>
    <row r="1968" ht="30" customHeight="1"/>
    <row r="1969" ht="30" customHeight="1"/>
    <row r="1970" ht="30" customHeight="1"/>
    <row r="1971" ht="30" customHeight="1"/>
    <row r="1972" ht="30" customHeight="1"/>
    <row r="1973" ht="30" customHeight="1"/>
    <row r="1974" ht="30" customHeight="1"/>
    <row r="1975" ht="30" customHeight="1"/>
    <row r="1976" ht="30" customHeight="1"/>
    <row r="1977" ht="30" customHeight="1"/>
    <row r="1978" ht="30" customHeight="1"/>
    <row r="1979" ht="30" customHeight="1"/>
    <row r="1980" ht="30" customHeight="1"/>
    <row r="1981" ht="30" customHeight="1"/>
    <row r="1982" ht="30" customHeight="1"/>
    <row r="1983" ht="30" customHeight="1"/>
    <row r="1984" ht="30" customHeight="1"/>
    <row r="1985" ht="30" customHeight="1"/>
    <row r="1986" ht="30" customHeight="1"/>
    <row r="1987" ht="30" customHeight="1"/>
    <row r="1988" ht="30" customHeight="1"/>
    <row r="1989" ht="30" customHeight="1"/>
    <row r="1990" ht="30" customHeight="1"/>
    <row r="1991" ht="30" customHeight="1"/>
    <row r="1992" ht="30" customHeight="1"/>
    <row r="1993" ht="30" customHeight="1"/>
    <row r="1994" ht="30" customHeight="1"/>
    <row r="1995" ht="30" customHeight="1"/>
    <row r="1996" ht="30" customHeight="1"/>
    <row r="1997" ht="30" customHeight="1"/>
    <row r="1998" ht="30" customHeight="1"/>
    <row r="1999" ht="30" customHeight="1"/>
    <row r="2000" ht="30" customHeight="1"/>
    <row r="2001" ht="30" customHeight="1"/>
    <row r="2002" ht="30" customHeight="1"/>
    <row r="2003" ht="30" customHeight="1"/>
    <row r="2004" ht="30" customHeight="1"/>
    <row r="2005" ht="30" customHeight="1"/>
    <row r="2006" ht="30" customHeight="1"/>
    <row r="2007" ht="30" customHeight="1"/>
    <row r="2008" ht="30" customHeight="1"/>
    <row r="2009" ht="30" customHeight="1"/>
    <row r="2010" ht="30" customHeight="1"/>
    <row r="2011" ht="30" customHeight="1"/>
    <row r="2012" ht="30" customHeight="1"/>
    <row r="2013" ht="30" customHeight="1"/>
    <row r="2014" ht="30" customHeight="1"/>
    <row r="2015" ht="30" customHeight="1"/>
    <row r="2016" ht="30" customHeight="1"/>
    <row r="2017" ht="30" customHeight="1"/>
    <row r="2018" ht="30" customHeight="1"/>
    <row r="2019" ht="30" customHeight="1"/>
    <row r="2020" ht="30" customHeight="1"/>
    <row r="2021" ht="30" customHeight="1"/>
    <row r="2022" ht="30" customHeight="1"/>
    <row r="2023" ht="30" customHeight="1"/>
    <row r="2024" ht="30" customHeight="1"/>
    <row r="2025" ht="30" customHeight="1"/>
    <row r="2026" ht="30" customHeight="1"/>
    <row r="2027" ht="30" customHeight="1"/>
    <row r="2028" ht="30" customHeight="1"/>
    <row r="2029" ht="30" customHeight="1"/>
    <row r="2030" ht="30" customHeight="1"/>
    <row r="2031" ht="30" customHeight="1"/>
    <row r="2032" ht="30" customHeight="1"/>
    <row r="2033" ht="30" customHeight="1"/>
    <row r="2034" ht="30" customHeight="1"/>
    <row r="2035" ht="30" customHeight="1"/>
    <row r="2036" ht="30" customHeight="1"/>
    <row r="2037" ht="30" customHeight="1"/>
    <row r="2038" ht="30" customHeight="1"/>
    <row r="2039" ht="30" customHeight="1"/>
    <row r="2040" ht="30" customHeight="1"/>
    <row r="2041" ht="30" customHeight="1"/>
    <row r="2042" ht="30" customHeight="1"/>
    <row r="2043" ht="30" customHeight="1"/>
    <row r="2044" ht="30" customHeight="1"/>
    <row r="2045" ht="30" customHeight="1"/>
    <row r="2046" ht="30" customHeight="1"/>
    <row r="2047" ht="30" customHeight="1"/>
    <row r="2048" ht="30" customHeight="1"/>
    <row r="2049" ht="30" customHeight="1"/>
    <row r="2050" ht="30" customHeight="1"/>
    <row r="2051" ht="30" customHeight="1"/>
    <row r="2052" ht="30" customHeight="1"/>
    <row r="2053" ht="30" customHeight="1"/>
    <row r="2054" ht="30" customHeight="1"/>
    <row r="2055" ht="30" customHeight="1"/>
    <row r="2056" ht="30" customHeight="1"/>
    <row r="2057" ht="30" customHeight="1"/>
    <row r="2058" ht="30" customHeight="1"/>
    <row r="2059" ht="30" customHeight="1"/>
    <row r="2060" ht="30" customHeight="1"/>
    <row r="2061" ht="30" customHeight="1"/>
    <row r="2062" ht="30" customHeight="1"/>
    <row r="2063" ht="30" customHeight="1"/>
    <row r="2064" ht="30" customHeight="1"/>
    <row r="2065" ht="30" customHeight="1"/>
    <row r="2066" ht="30" customHeight="1"/>
    <row r="2067" ht="30" customHeight="1"/>
    <row r="2068" ht="30" customHeight="1"/>
    <row r="2069" ht="30" customHeight="1"/>
    <row r="2070" ht="30" customHeight="1"/>
    <row r="2071" ht="30" customHeight="1"/>
    <row r="2072" ht="30" customHeight="1"/>
    <row r="2073" ht="30" customHeight="1"/>
    <row r="2074" ht="30" customHeight="1"/>
    <row r="2075" ht="30" customHeight="1"/>
    <row r="2076" ht="30" customHeight="1"/>
    <row r="2077" ht="30" customHeight="1"/>
    <row r="2078" ht="30" customHeight="1"/>
    <row r="2079" ht="30" customHeight="1"/>
    <row r="2080" ht="30" customHeight="1"/>
    <row r="2081" ht="30" customHeight="1"/>
    <row r="2082" ht="30" customHeight="1"/>
    <row r="2083" ht="30" customHeight="1"/>
    <row r="2084" ht="30" customHeight="1"/>
    <row r="2085" ht="30" customHeight="1"/>
    <row r="2086" ht="30" customHeight="1"/>
    <row r="2087" ht="30" customHeight="1"/>
    <row r="2088" ht="30" customHeight="1"/>
    <row r="2089" ht="30" customHeight="1"/>
    <row r="2090" ht="30" customHeight="1"/>
    <row r="2091" ht="30" customHeight="1"/>
    <row r="2092" ht="30" customHeight="1"/>
    <row r="2093" ht="30" customHeight="1"/>
    <row r="2094" ht="30" customHeight="1"/>
    <row r="2095" ht="30" customHeight="1"/>
    <row r="2096" ht="30" customHeight="1"/>
    <row r="2097" ht="30" customHeight="1"/>
    <row r="2098" ht="30" customHeight="1"/>
    <row r="2099" ht="30" customHeight="1"/>
    <row r="2100" ht="30" customHeight="1"/>
    <row r="2101" ht="30" customHeight="1"/>
    <row r="2102" ht="30" customHeight="1"/>
    <row r="2103" ht="30" customHeight="1"/>
    <row r="2104" ht="30" customHeight="1"/>
    <row r="2105" ht="30" customHeight="1"/>
    <row r="2106" ht="30" customHeight="1"/>
    <row r="2107" ht="30" customHeight="1"/>
    <row r="2108" ht="30" customHeight="1"/>
    <row r="2109" ht="30" customHeight="1"/>
    <row r="2110" ht="30" customHeight="1"/>
    <row r="2111" ht="30" customHeight="1"/>
    <row r="2112" ht="30" customHeight="1"/>
    <row r="2113" ht="30" customHeight="1"/>
    <row r="2114" ht="30" customHeight="1"/>
    <row r="2115" ht="30" customHeight="1"/>
    <row r="2116" ht="30" customHeight="1"/>
    <row r="2117" ht="30" customHeight="1"/>
    <row r="2118" ht="30" customHeight="1"/>
    <row r="2119" ht="30" customHeight="1"/>
    <row r="2120" ht="30" customHeight="1"/>
    <row r="2121" ht="30" customHeight="1"/>
    <row r="2122" ht="30" customHeight="1"/>
    <row r="2123" ht="30" customHeight="1"/>
    <row r="2124" ht="30" customHeight="1"/>
    <row r="2125" ht="30" customHeight="1"/>
    <row r="2126" ht="30" customHeight="1"/>
    <row r="2127" ht="30" customHeight="1"/>
    <row r="2128" ht="30" customHeight="1"/>
    <row r="2129" ht="30" customHeight="1"/>
    <row r="2130" ht="30" customHeight="1"/>
    <row r="2131" ht="30" customHeight="1"/>
    <row r="2132" ht="30" customHeight="1"/>
    <row r="2133" ht="30" customHeight="1"/>
    <row r="2134" ht="30" customHeight="1"/>
    <row r="2135" ht="30" customHeight="1"/>
    <row r="2136" ht="30" customHeight="1"/>
    <row r="2137" ht="30" customHeight="1"/>
    <row r="2138" ht="30" customHeight="1"/>
    <row r="2139" ht="30" customHeight="1"/>
    <row r="2140" ht="30" customHeight="1"/>
    <row r="2141" ht="30" customHeight="1"/>
    <row r="2142" ht="30" customHeight="1"/>
    <row r="2143" ht="30" customHeight="1"/>
    <row r="2144" ht="30" customHeight="1"/>
    <row r="2145" ht="30" customHeight="1"/>
    <row r="2146" ht="30" customHeight="1"/>
    <row r="2147" ht="30" customHeight="1"/>
    <row r="2148" ht="30" customHeight="1"/>
    <row r="2149" ht="30" customHeight="1"/>
    <row r="2150" ht="30" customHeight="1"/>
    <row r="2151" ht="30" customHeight="1"/>
    <row r="2152" ht="30" customHeight="1"/>
    <row r="2153" ht="30" customHeight="1"/>
    <row r="2154" ht="30" customHeight="1"/>
    <row r="2155" ht="30" customHeight="1"/>
    <row r="2156" ht="30" customHeight="1"/>
    <row r="2157" ht="30" customHeight="1"/>
    <row r="2158" ht="30" customHeight="1"/>
    <row r="2159" ht="30" customHeight="1"/>
    <row r="2160" ht="30" customHeight="1"/>
    <row r="2161" ht="30" customHeight="1"/>
    <row r="2162" ht="30" customHeight="1"/>
    <row r="2163" ht="30" customHeight="1"/>
    <row r="2164" ht="30" customHeight="1"/>
    <row r="2165" ht="30" customHeight="1"/>
    <row r="2166" ht="30" customHeight="1"/>
    <row r="2167" ht="30" customHeight="1"/>
    <row r="2168" ht="30" customHeight="1"/>
    <row r="2169" ht="30" customHeight="1"/>
    <row r="2170" ht="30" customHeight="1"/>
    <row r="2171" ht="30" customHeight="1"/>
    <row r="2172" ht="30" customHeight="1"/>
    <row r="2173" ht="30" customHeight="1"/>
    <row r="2174" ht="30" customHeight="1"/>
    <row r="2175" ht="30" customHeight="1"/>
    <row r="2176" ht="30" customHeight="1"/>
    <row r="2177" ht="30" customHeight="1"/>
    <row r="2178" ht="30" customHeight="1"/>
    <row r="2179" ht="30" customHeight="1"/>
    <row r="2180" ht="30" customHeight="1"/>
    <row r="2181" ht="30" customHeight="1"/>
    <row r="2182" ht="30" customHeight="1"/>
    <row r="2183" ht="30" customHeight="1"/>
    <row r="2184" ht="30" customHeight="1"/>
    <row r="2185" ht="30" customHeight="1"/>
    <row r="2186" ht="30" customHeight="1"/>
    <row r="2187" ht="30" customHeight="1"/>
    <row r="2188" ht="30" customHeight="1"/>
    <row r="2189" ht="30" customHeight="1"/>
    <row r="2190" ht="30" customHeight="1"/>
    <row r="2191" ht="30" customHeight="1"/>
    <row r="2192" ht="30" customHeight="1"/>
    <row r="2193" ht="30" customHeight="1"/>
    <row r="2194" ht="30" customHeight="1"/>
    <row r="2195" ht="30" customHeight="1"/>
    <row r="2196" ht="30" customHeight="1"/>
    <row r="2197" ht="30" customHeight="1"/>
    <row r="2198" ht="30" customHeight="1"/>
    <row r="2199" ht="30" customHeight="1"/>
    <row r="2200" ht="30" customHeight="1"/>
    <row r="2201" ht="30" customHeight="1"/>
    <row r="2202" ht="30" customHeight="1"/>
    <row r="2203" ht="30" customHeight="1"/>
    <row r="2204" ht="30" customHeight="1"/>
    <row r="2205" ht="30" customHeight="1"/>
    <row r="2206" ht="30" customHeight="1"/>
    <row r="2207" ht="30" customHeight="1"/>
    <row r="2208" ht="30" customHeight="1"/>
    <row r="2209" ht="30" customHeight="1"/>
    <row r="2210" ht="30" customHeight="1"/>
    <row r="2211" ht="30" customHeight="1"/>
    <row r="2212" ht="30" customHeight="1"/>
    <row r="2213" ht="30" customHeight="1"/>
    <row r="2214" ht="30" customHeight="1"/>
    <row r="2215" ht="30" customHeight="1"/>
    <row r="2216" ht="30" customHeight="1"/>
    <row r="2217" ht="30" customHeight="1"/>
    <row r="2218" ht="30" customHeight="1"/>
    <row r="2219" ht="30" customHeight="1"/>
    <row r="2220" ht="30" customHeight="1"/>
    <row r="2221" ht="30" customHeight="1"/>
    <row r="2222" ht="30" customHeight="1"/>
    <row r="2223" ht="30" customHeight="1"/>
    <row r="2224" ht="30" customHeight="1"/>
    <row r="2225" ht="30" customHeight="1"/>
    <row r="2226" ht="30" customHeight="1"/>
    <row r="2227" ht="30" customHeight="1"/>
    <row r="2228" ht="30" customHeight="1"/>
    <row r="2229" ht="30" customHeight="1"/>
    <row r="2230" ht="30" customHeight="1"/>
    <row r="2231" ht="30" customHeight="1"/>
    <row r="2232" ht="30" customHeight="1"/>
    <row r="2233" ht="30" customHeight="1"/>
    <row r="2234" ht="30" customHeight="1"/>
    <row r="2235" ht="30" customHeight="1"/>
    <row r="2236" ht="30" customHeight="1"/>
    <row r="2237" ht="30" customHeight="1"/>
    <row r="2238" ht="30" customHeight="1"/>
    <row r="2239" ht="30" customHeight="1"/>
    <row r="2240" ht="30" customHeight="1"/>
    <row r="2241" ht="30" customHeight="1"/>
    <row r="2242" ht="30" customHeight="1"/>
    <row r="2243" ht="30" customHeight="1"/>
    <row r="2244" ht="30" customHeight="1"/>
    <row r="2245" ht="30" customHeight="1"/>
    <row r="2246" ht="30" customHeight="1"/>
    <row r="2247" ht="30" customHeight="1"/>
    <row r="2248" ht="30" customHeight="1"/>
    <row r="2249" ht="30" customHeight="1"/>
    <row r="2250" ht="30" customHeight="1"/>
    <row r="2251" ht="30" customHeight="1"/>
    <row r="2252" ht="30" customHeight="1"/>
    <row r="2253" ht="30" customHeight="1"/>
    <row r="2254" ht="30" customHeight="1"/>
    <row r="2255" ht="30" customHeight="1"/>
    <row r="2256" ht="30" customHeight="1"/>
    <row r="2257" ht="30" customHeight="1"/>
    <row r="2258" ht="30" customHeight="1"/>
    <row r="2259" ht="30" customHeight="1"/>
    <row r="2260" ht="30" customHeight="1"/>
    <row r="2261" ht="30" customHeight="1"/>
    <row r="2262" ht="30" customHeight="1"/>
    <row r="2263" ht="30" customHeight="1"/>
    <row r="2264" ht="30" customHeight="1"/>
    <row r="2265" ht="30" customHeight="1"/>
    <row r="2266" ht="30" customHeight="1"/>
    <row r="2267" ht="30" customHeight="1"/>
    <row r="2268" ht="30" customHeight="1"/>
    <row r="2269" ht="30" customHeight="1"/>
    <row r="2270" ht="30" customHeight="1"/>
    <row r="2271" ht="30" customHeight="1"/>
    <row r="2272" ht="30" customHeight="1"/>
    <row r="2273" ht="30" customHeight="1"/>
    <row r="2274" ht="30" customHeight="1"/>
    <row r="2275" ht="30" customHeight="1"/>
    <row r="2276" ht="30" customHeight="1"/>
    <row r="2277" ht="30" customHeight="1"/>
    <row r="2278" ht="30" customHeight="1"/>
    <row r="2279" ht="30" customHeight="1"/>
    <row r="2280" ht="30" customHeight="1"/>
    <row r="2281" ht="30" customHeight="1"/>
    <row r="2282" ht="30" customHeight="1"/>
    <row r="2283" ht="30" customHeight="1"/>
    <row r="2284" ht="30" customHeight="1"/>
    <row r="2285" ht="30" customHeight="1"/>
    <row r="2286" ht="30" customHeight="1"/>
    <row r="2287" ht="30" customHeight="1"/>
    <row r="2288" ht="30" customHeight="1"/>
    <row r="2289" ht="30" customHeight="1"/>
    <row r="2290" ht="30" customHeight="1"/>
    <row r="2291" ht="30" customHeight="1"/>
    <row r="2292" ht="30" customHeight="1"/>
    <row r="2293" ht="30" customHeight="1"/>
    <row r="2294" ht="30" customHeight="1"/>
    <row r="2295" ht="30" customHeight="1"/>
    <row r="2296" ht="30" customHeight="1"/>
    <row r="2297" ht="30" customHeight="1"/>
    <row r="2298" ht="30" customHeight="1"/>
    <row r="2299" ht="30" customHeight="1"/>
    <row r="2300" ht="30" customHeight="1"/>
    <row r="2301" ht="30" customHeight="1"/>
    <row r="2302" ht="30" customHeight="1"/>
    <row r="2303" ht="30" customHeight="1"/>
    <row r="2304" ht="30" customHeight="1"/>
    <row r="2305" ht="30" customHeight="1"/>
    <row r="2306" ht="30" customHeight="1"/>
    <row r="2307" ht="30" customHeight="1"/>
    <row r="2308" ht="30" customHeight="1"/>
    <row r="2309" ht="30" customHeight="1"/>
    <row r="2310" ht="30" customHeight="1"/>
    <row r="2311" ht="30" customHeight="1"/>
    <row r="2312" ht="30" customHeight="1"/>
    <row r="2313" ht="30" customHeight="1"/>
    <row r="2314" ht="30" customHeight="1"/>
    <row r="2315" ht="30" customHeight="1"/>
    <row r="2316" ht="30" customHeight="1"/>
    <row r="2317" ht="30" customHeight="1"/>
    <row r="2318" ht="30" customHeight="1"/>
    <row r="2319" ht="30" customHeight="1"/>
    <row r="2320" ht="30" customHeight="1"/>
    <row r="2321" ht="30" customHeight="1"/>
    <row r="2322" ht="30" customHeight="1"/>
    <row r="2323" ht="30" customHeight="1"/>
    <row r="2324" ht="30" customHeight="1"/>
    <row r="2325" ht="30" customHeight="1"/>
    <row r="2326" ht="30" customHeight="1"/>
    <row r="2327" ht="30" customHeight="1"/>
    <row r="2328" ht="30" customHeight="1"/>
    <row r="2329" ht="30" customHeight="1"/>
    <row r="2330" ht="30" customHeight="1"/>
    <row r="2331" ht="30" customHeight="1"/>
    <row r="2332" ht="30" customHeight="1"/>
    <row r="2333" ht="30" customHeight="1"/>
    <row r="2334" ht="30" customHeight="1"/>
    <row r="2335" ht="30" customHeight="1"/>
    <row r="2336" ht="30" customHeight="1"/>
    <row r="2337" ht="30" customHeight="1"/>
    <row r="2338" ht="30" customHeight="1"/>
    <row r="2339" ht="30" customHeight="1"/>
    <row r="2340" ht="30" customHeight="1"/>
    <row r="2341" ht="30" customHeight="1"/>
    <row r="2342" ht="30" customHeight="1"/>
    <row r="2343" ht="30" customHeight="1"/>
    <row r="2344" ht="30" customHeight="1"/>
    <row r="2345" ht="30" customHeight="1"/>
    <row r="2346" ht="30" customHeight="1"/>
    <row r="2347" ht="30" customHeight="1"/>
    <row r="2348" ht="30" customHeight="1"/>
    <row r="2349" ht="30" customHeight="1"/>
    <row r="2350" ht="30" customHeight="1"/>
    <row r="2351" ht="30" customHeight="1"/>
    <row r="2352" ht="30" customHeight="1"/>
    <row r="2353" ht="30" customHeight="1"/>
    <row r="2354" ht="30" customHeight="1"/>
    <row r="2355" ht="30" customHeight="1"/>
    <row r="2356" ht="30" customHeight="1"/>
    <row r="2357" ht="30" customHeight="1"/>
    <row r="2358" ht="30" customHeight="1"/>
    <row r="2359" ht="30" customHeight="1"/>
    <row r="2360" ht="30" customHeight="1"/>
    <row r="2361" ht="30" customHeight="1"/>
    <row r="2362" ht="30" customHeight="1"/>
    <row r="2363" ht="30" customHeight="1"/>
    <row r="2364" ht="30" customHeight="1"/>
    <row r="2365" ht="30" customHeight="1"/>
    <row r="2366" ht="30" customHeight="1"/>
    <row r="2367" ht="30" customHeight="1"/>
    <row r="2368" ht="30" customHeight="1"/>
    <row r="2369" ht="30" customHeight="1"/>
    <row r="2370" ht="30" customHeight="1"/>
    <row r="2371" ht="30" customHeight="1"/>
    <row r="2372" ht="30" customHeight="1"/>
    <row r="2373" ht="30" customHeight="1"/>
    <row r="2374" ht="30" customHeight="1"/>
    <row r="2375" ht="30" customHeight="1"/>
    <row r="2376" ht="30" customHeight="1"/>
    <row r="2377" ht="30" customHeight="1"/>
    <row r="2378" ht="30" customHeight="1"/>
    <row r="2379" ht="30" customHeight="1"/>
    <row r="2380" ht="30" customHeight="1"/>
    <row r="2381" ht="30" customHeight="1"/>
    <row r="2382" ht="30" customHeight="1"/>
    <row r="2383" ht="30" customHeight="1"/>
    <row r="2384" ht="30" customHeight="1"/>
    <row r="2385" ht="30" customHeight="1"/>
    <row r="2386" ht="30" customHeight="1"/>
    <row r="2387" ht="30" customHeight="1"/>
    <row r="2388" ht="30" customHeight="1"/>
    <row r="2389" ht="30" customHeight="1"/>
    <row r="2390" ht="30" customHeight="1"/>
    <row r="2391" ht="30" customHeight="1"/>
    <row r="2392" ht="30" customHeight="1"/>
    <row r="2393" ht="30" customHeight="1"/>
    <row r="2394" ht="30" customHeight="1"/>
    <row r="2395" ht="30" customHeight="1"/>
    <row r="2396" ht="30" customHeight="1"/>
    <row r="2397" ht="30" customHeight="1"/>
    <row r="2398" ht="30" customHeight="1"/>
    <row r="2399" ht="30" customHeight="1"/>
    <row r="2400" ht="30" customHeight="1"/>
    <row r="2401" ht="30" customHeight="1"/>
    <row r="2402" ht="30" customHeight="1"/>
    <row r="2403" ht="30" customHeight="1"/>
    <row r="2404" ht="30" customHeight="1"/>
    <row r="2405" ht="30" customHeight="1"/>
    <row r="2406" ht="30" customHeight="1"/>
    <row r="2407" ht="30" customHeight="1"/>
    <row r="2408" ht="30" customHeight="1"/>
    <row r="2409" ht="30" customHeight="1"/>
    <row r="2410" ht="30" customHeight="1"/>
    <row r="2411" ht="30" customHeight="1"/>
    <row r="2412" ht="30" customHeight="1"/>
    <row r="2413" ht="30" customHeight="1"/>
    <row r="2414" ht="30" customHeight="1"/>
    <row r="2415" ht="30" customHeight="1"/>
    <row r="2416" ht="30" customHeight="1"/>
    <row r="2417" ht="30" customHeight="1"/>
    <row r="2418" ht="30" customHeight="1"/>
    <row r="2419" ht="30" customHeight="1"/>
    <row r="2420" ht="30" customHeight="1"/>
    <row r="2421" ht="30" customHeight="1"/>
    <row r="2422" ht="30" customHeight="1"/>
    <row r="2423" ht="30" customHeight="1"/>
    <row r="2424" ht="30" customHeight="1"/>
    <row r="2425" ht="30" customHeight="1"/>
    <row r="2426" ht="30" customHeight="1"/>
    <row r="2427" ht="30" customHeight="1"/>
    <row r="2428" ht="30" customHeight="1"/>
    <row r="2429" ht="30" customHeight="1"/>
    <row r="2430" ht="30" customHeight="1"/>
    <row r="2431" ht="30" customHeight="1"/>
    <row r="2432" ht="30" customHeight="1"/>
    <row r="2433" ht="30" customHeight="1"/>
    <row r="2434" ht="30" customHeight="1"/>
    <row r="2435" ht="30" customHeight="1"/>
    <row r="2436" ht="30" customHeight="1"/>
    <row r="2437" ht="30" customHeight="1"/>
    <row r="2438" ht="30" customHeight="1"/>
    <row r="2439" ht="30" customHeight="1"/>
    <row r="2440" ht="30" customHeight="1"/>
    <row r="2441" ht="30" customHeight="1"/>
    <row r="2442" ht="30" customHeight="1"/>
    <row r="2443" ht="30" customHeight="1"/>
    <row r="2444" ht="30" customHeight="1"/>
    <row r="2445" ht="30" customHeight="1"/>
    <row r="2446" ht="30" customHeight="1"/>
    <row r="2447" ht="30" customHeight="1"/>
    <row r="2448" ht="30" customHeight="1"/>
    <row r="2449" ht="30" customHeight="1"/>
    <row r="2450" ht="30" customHeight="1"/>
    <row r="2451" ht="30" customHeight="1"/>
    <row r="2452" ht="30" customHeight="1"/>
    <row r="2453" ht="30" customHeight="1"/>
    <row r="2454" ht="30" customHeight="1"/>
    <row r="2455" ht="30" customHeight="1"/>
    <row r="2456" ht="30" customHeight="1"/>
    <row r="2457" ht="30" customHeight="1"/>
    <row r="2458" ht="30" customHeight="1"/>
    <row r="2459" ht="30" customHeight="1"/>
    <row r="2460" ht="30" customHeight="1"/>
    <row r="2461" ht="30" customHeight="1"/>
    <row r="2462" ht="30" customHeight="1"/>
    <row r="2463" ht="30" customHeight="1"/>
    <row r="2464" ht="30" customHeight="1"/>
    <row r="2465" ht="30" customHeight="1"/>
    <row r="2466" ht="30" customHeight="1"/>
    <row r="2467" ht="30" customHeight="1"/>
    <row r="2468" ht="30" customHeight="1"/>
    <row r="2469" ht="30" customHeight="1"/>
    <row r="2470" ht="30" customHeight="1"/>
    <row r="2471" ht="30" customHeight="1"/>
    <row r="2472" ht="30" customHeight="1"/>
    <row r="2473" ht="30" customHeight="1"/>
    <row r="2474" ht="30" customHeight="1"/>
    <row r="2475" ht="30" customHeight="1"/>
    <row r="2476" ht="30" customHeight="1"/>
    <row r="2477" ht="30" customHeight="1"/>
    <row r="2478" ht="30" customHeight="1"/>
    <row r="2479" ht="30" customHeight="1"/>
    <row r="2480" ht="30" customHeight="1"/>
    <row r="2481" ht="30" customHeight="1"/>
    <row r="2482" ht="30" customHeight="1"/>
    <row r="2483" ht="30" customHeight="1"/>
    <row r="2484" ht="30" customHeight="1"/>
    <row r="2485" ht="30" customHeight="1"/>
    <row r="2486" ht="30" customHeight="1"/>
    <row r="2487" ht="30" customHeight="1"/>
    <row r="2488" ht="30" customHeight="1"/>
    <row r="2489" ht="30" customHeight="1"/>
    <row r="2490" ht="30" customHeight="1"/>
    <row r="2491" ht="30" customHeight="1"/>
    <row r="2492" ht="30" customHeight="1"/>
    <row r="2493" ht="30" customHeight="1"/>
    <row r="2494" ht="30" customHeight="1"/>
    <row r="2495" ht="30" customHeight="1"/>
    <row r="2496" ht="30" customHeight="1"/>
    <row r="2497" ht="30" customHeight="1"/>
    <row r="2498" ht="30" customHeight="1"/>
    <row r="2499" ht="30" customHeight="1"/>
    <row r="2500" ht="30" customHeight="1"/>
    <row r="2501" ht="30" customHeight="1"/>
    <row r="2502" ht="30" customHeight="1"/>
    <row r="2503" ht="30" customHeight="1"/>
    <row r="2504" ht="30" customHeight="1"/>
    <row r="2505" ht="30" customHeight="1"/>
    <row r="2506" ht="30" customHeight="1"/>
    <row r="2507" ht="30" customHeight="1"/>
    <row r="2508" ht="30" customHeight="1"/>
    <row r="2509" ht="30" customHeight="1"/>
    <row r="2510" ht="30" customHeight="1"/>
    <row r="2511" ht="30" customHeight="1"/>
    <row r="2512" ht="30" customHeight="1"/>
    <row r="2513" ht="30" customHeight="1"/>
    <row r="2514" ht="30" customHeight="1"/>
    <row r="2515" ht="30" customHeight="1"/>
    <row r="2516" ht="30" customHeight="1"/>
    <row r="2517" ht="30" customHeight="1"/>
    <row r="2518" ht="30" customHeight="1"/>
    <row r="2519" ht="30" customHeight="1"/>
    <row r="2520" ht="30" customHeight="1"/>
    <row r="2521" ht="30" customHeight="1"/>
    <row r="2522" ht="30" customHeight="1"/>
    <row r="2523" ht="30" customHeight="1"/>
    <row r="2524" ht="30" customHeight="1"/>
    <row r="2525" ht="30" customHeight="1"/>
    <row r="2526" ht="30" customHeight="1"/>
    <row r="2527" ht="30" customHeight="1"/>
    <row r="2528" ht="30" customHeight="1"/>
    <row r="2529" ht="30" customHeight="1"/>
    <row r="2530" ht="30" customHeight="1"/>
    <row r="2531" ht="30" customHeight="1"/>
    <row r="2532" ht="30" customHeight="1"/>
    <row r="2533" ht="30" customHeight="1"/>
    <row r="2534" ht="30" customHeight="1"/>
    <row r="2535" ht="30" customHeight="1"/>
    <row r="2536" ht="30" customHeight="1"/>
    <row r="2537" ht="30" customHeight="1"/>
    <row r="2538" ht="30" customHeight="1"/>
    <row r="2539" ht="30" customHeight="1"/>
    <row r="2540" ht="30" customHeight="1"/>
    <row r="2541" ht="30" customHeight="1"/>
    <row r="2542" ht="30" customHeight="1"/>
    <row r="2543" ht="30" customHeight="1"/>
    <row r="2544" ht="30" customHeight="1"/>
    <row r="2545" ht="30" customHeight="1"/>
    <row r="2546" ht="30" customHeight="1"/>
    <row r="2547" ht="30" customHeight="1"/>
    <row r="2548" ht="30" customHeight="1"/>
    <row r="2549" ht="30" customHeight="1"/>
    <row r="2550" ht="30" customHeight="1"/>
    <row r="2551" ht="30" customHeight="1"/>
    <row r="2552" ht="30" customHeight="1"/>
    <row r="2553" ht="30" customHeight="1"/>
    <row r="2554" ht="30" customHeight="1"/>
    <row r="2555" ht="30" customHeight="1"/>
    <row r="2556" ht="30" customHeight="1"/>
    <row r="2557" ht="30" customHeight="1"/>
    <row r="2558" ht="30" customHeight="1"/>
    <row r="2559" ht="30" customHeight="1"/>
    <row r="2560" ht="30" customHeight="1"/>
    <row r="2561" ht="30" customHeight="1"/>
    <row r="2562" ht="30" customHeight="1"/>
    <row r="2563" ht="30" customHeight="1"/>
    <row r="2564" ht="30" customHeight="1"/>
    <row r="2565" ht="30" customHeight="1"/>
    <row r="2566" ht="30" customHeight="1"/>
    <row r="2567" ht="30" customHeight="1"/>
    <row r="2568" ht="30" customHeight="1"/>
    <row r="2569" ht="30" customHeight="1"/>
    <row r="2570" ht="30" customHeight="1"/>
    <row r="2571" ht="30" customHeight="1"/>
    <row r="2572" ht="30" customHeight="1"/>
    <row r="2573" ht="30" customHeight="1"/>
    <row r="2574" ht="30" customHeight="1"/>
    <row r="2575" ht="30" customHeight="1"/>
    <row r="2576" ht="30" customHeight="1"/>
    <row r="2577" ht="30" customHeight="1"/>
    <row r="2578" ht="30" customHeight="1"/>
    <row r="2579" ht="30" customHeight="1"/>
    <row r="2580" ht="30" customHeight="1"/>
    <row r="2581" ht="30" customHeight="1"/>
    <row r="2582" ht="30" customHeight="1"/>
    <row r="2583" ht="30" customHeight="1"/>
    <row r="2584" ht="30" customHeight="1"/>
    <row r="2585" ht="30" customHeight="1"/>
    <row r="2586" ht="30" customHeight="1"/>
    <row r="2587" ht="30" customHeight="1"/>
    <row r="2588" ht="30" customHeight="1"/>
    <row r="2589" ht="30" customHeight="1"/>
    <row r="2590" ht="30" customHeight="1"/>
    <row r="2591" ht="30" customHeight="1"/>
    <row r="2592" ht="30" customHeight="1"/>
    <row r="2593" ht="30" customHeight="1"/>
    <row r="2594" ht="30" customHeight="1"/>
    <row r="2595" ht="30" customHeight="1"/>
    <row r="2596" ht="30" customHeight="1"/>
    <row r="2597" ht="30" customHeight="1"/>
    <row r="2598" ht="30" customHeight="1"/>
    <row r="2599" ht="30" customHeight="1"/>
    <row r="2600" ht="30" customHeight="1"/>
    <row r="2601" ht="30" customHeight="1"/>
    <row r="2602" ht="30" customHeight="1"/>
    <row r="2603" ht="30" customHeight="1"/>
    <row r="2604" ht="30" customHeight="1"/>
    <row r="2605" ht="30" customHeight="1"/>
    <row r="2606" ht="30" customHeight="1"/>
    <row r="2607" ht="30" customHeight="1"/>
    <row r="2608" ht="30" customHeight="1"/>
    <row r="2609" ht="30" customHeight="1"/>
    <row r="2610" ht="30" customHeight="1"/>
    <row r="2611" ht="30" customHeight="1"/>
    <row r="2612" ht="30" customHeight="1"/>
    <row r="2613" ht="30" customHeight="1"/>
    <row r="2614" ht="30" customHeight="1"/>
    <row r="2615" ht="30" customHeight="1"/>
    <row r="2616" ht="30" customHeight="1"/>
    <row r="2617" ht="30" customHeight="1"/>
    <row r="2618" ht="30" customHeight="1"/>
    <row r="2619" ht="30" customHeight="1"/>
    <row r="2620" ht="30" customHeight="1"/>
    <row r="2621" ht="30" customHeight="1"/>
    <row r="2622" ht="30" customHeight="1"/>
    <row r="2623" ht="30" customHeight="1"/>
    <row r="2624" ht="30" customHeight="1"/>
    <row r="2625" ht="30" customHeight="1"/>
    <row r="2626" ht="30" customHeight="1"/>
    <row r="2627" ht="30" customHeight="1"/>
    <row r="2628" ht="30" customHeight="1"/>
    <row r="2629" ht="30" customHeight="1"/>
    <row r="2630" ht="30" customHeight="1"/>
    <row r="2631" ht="30" customHeight="1"/>
    <row r="2632" ht="30" customHeight="1"/>
    <row r="2633" ht="30" customHeight="1"/>
    <row r="2634" ht="30" customHeight="1"/>
    <row r="2635" ht="30" customHeight="1"/>
    <row r="2636" ht="30" customHeight="1"/>
    <row r="2637" ht="30" customHeight="1"/>
    <row r="2638" ht="30" customHeight="1"/>
    <row r="2639" ht="30" customHeight="1"/>
    <row r="2640" ht="30" customHeight="1"/>
    <row r="2641" ht="30" customHeight="1"/>
    <row r="2642" ht="30" customHeight="1"/>
    <row r="2643" ht="30" customHeight="1"/>
    <row r="2644" ht="30" customHeight="1"/>
    <row r="2645" ht="30" customHeight="1"/>
    <row r="2646" ht="30" customHeight="1"/>
    <row r="2647" ht="30" customHeight="1"/>
    <row r="2648" ht="30" customHeight="1"/>
    <row r="2649" ht="30" customHeight="1"/>
    <row r="2650" ht="30" customHeight="1"/>
    <row r="2651" ht="30" customHeight="1"/>
    <row r="2652" ht="30" customHeight="1"/>
    <row r="2653" ht="30" customHeight="1"/>
    <row r="2654" ht="30" customHeight="1"/>
    <row r="2655" ht="30" customHeight="1"/>
    <row r="2656" ht="30" customHeight="1"/>
    <row r="2657" ht="30" customHeight="1"/>
    <row r="2658" ht="30" customHeight="1"/>
    <row r="2659" ht="30" customHeight="1"/>
    <row r="2660" ht="30" customHeight="1"/>
    <row r="2661" ht="30" customHeight="1"/>
    <row r="2662" ht="30" customHeight="1"/>
    <row r="2663" ht="30" customHeight="1"/>
    <row r="2664" ht="30" customHeight="1"/>
    <row r="2665" ht="30" customHeight="1"/>
    <row r="2666" ht="30" customHeight="1"/>
    <row r="2667" ht="30" customHeight="1"/>
    <row r="2668" ht="30" customHeight="1"/>
    <row r="2669" ht="30" customHeight="1"/>
    <row r="2670" ht="30" customHeight="1"/>
    <row r="2671" ht="30" customHeight="1"/>
    <row r="2672" ht="30" customHeight="1"/>
    <row r="2673" ht="30" customHeight="1"/>
    <row r="2674" ht="30" customHeight="1"/>
    <row r="2675" ht="30" customHeight="1"/>
    <row r="2676" ht="30" customHeight="1"/>
    <row r="2677" ht="30" customHeight="1"/>
    <row r="2678" ht="30" customHeight="1"/>
    <row r="2679" ht="30" customHeight="1"/>
    <row r="2680" ht="30" customHeight="1"/>
    <row r="2681" ht="30" customHeight="1"/>
    <row r="2682" ht="30" customHeight="1"/>
    <row r="2683" ht="30" customHeight="1"/>
    <row r="2684" ht="30" customHeight="1"/>
    <row r="2685" ht="30" customHeight="1"/>
    <row r="2686" ht="30" customHeight="1"/>
    <row r="2687" ht="30" customHeight="1"/>
    <row r="2688" ht="30" customHeight="1"/>
    <row r="2689" ht="30" customHeight="1"/>
    <row r="2690" ht="30" customHeight="1"/>
    <row r="2691" ht="30" customHeight="1"/>
    <row r="2692" ht="30" customHeight="1"/>
    <row r="2693" ht="30" customHeight="1"/>
    <row r="2694" ht="30" customHeight="1"/>
    <row r="2695" ht="30" customHeight="1"/>
    <row r="2696" ht="30" customHeight="1"/>
    <row r="2697" ht="30" customHeight="1"/>
    <row r="2698" ht="30" customHeight="1"/>
    <row r="2699" ht="30" customHeight="1"/>
    <row r="2700" ht="30" customHeight="1"/>
    <row r="2701" ht="30" customHeight="1"/>
    <row r="2702" ht="30" customHeight="1"/>
    <row r="2703" ht="30" customHeight="1"/>
    <row r="2704" ht="30" customHeight="1"/>
    <row r="2705" ht="30" customHeight="1"/>
    <row r="2706" ht="30" customHeight="1"/>
    <row r="2707" ht="30" customHeight="1"/>
    <row r="2708" ht="30" customHeight="1"/>
    <row r="2709" ht="30" customHeight="1"/>
    <row r="2710" ht="30" customHeight="1"/>
    <row r="2711" ht="30" customHeight="1"/>
    <row r="2712" ht="30" customHeight="1"/>
    <row r="2713" ht="30" customHeight="1"/>
    <row r="2714" ht="30" customHeight="1"/>
    <row r="2715" ht="30" customHeight="1"/>
    <row r="2716" ht="30" customHeight="1"/>
    <row r="2717" ht="30" customHeight="1"/>
    <row r="2718" ht="30" customHeight="1"/>
    <row r="2719" ht="30" customHeight="1"/>
    <row r="2720" ht="30" customHeight="1"/>
    <row r="2721" ht="30" customHeight="1"/>
    <row r="2722" ht="30" customHeight="1"/>
    <row r="2723" ht="30" customHeight="1"/>
    <row r="2724" ht="30" customHeight="1"/>
    <row r="2725" ht="30" customHeight="1"/>
    <row r="2726" ht="30" customHeight="1"/>
    <row r="2727" ht="30" customHeight="1"/>
    <row r="2728" ht="30" customHeight="1"/>
    <row r="2729" ht="30" customHeight="1"/>
    <row r="2730" ht="30" customHeight="1"/>
    <row r="2731" ht="30" customHeight="1"/>
    <row r="2732" ht="30" customHeight="1"/>
    <row r="2733" ht="30" customHeight="1"/>
    <row r="2734" ht="30" customHeight="1"/>
    <row r="2735" ht="30" customHeight="1"/>
    <row r="2736" ht="30" customHeight="1"/>
    <row r="2737" ht="30" customHeight="1"/>
    <row r="2738" ht="30" customHeight="1"/>
    <row r="2739" ht="30" customHeight="1"/>
    <row r="2740" ht="30" customHeight="1"/>
    <row r="2741" ht="30" customHeight="1"/>
    <row r="2742" ht="30" customHeight="1"/>
    <row r="2743" ht="30" customHeight="1"/>
    <row r="2744" ht="30" customHeight="1"/>
    <row r="2745" ht="30" customHeight="1"/>
    <row r="2746" ht="30" customHeight="1"/>
    <row r="2747" ht="30" customHeight="1"/>
    <row r="2748" ht="30" customHeight="1"/>
    <row r="2749" ht="30" customHeight="1"/>
    <row r="2750" ht="30" customHeight="1"/>
    <row r="2751" ht="30" customHeight="1"/>
    <row r="2752" ht="30" customHeight="1"/>
    <row r="2753" ht="30" customHeight="1"/>
    <row r="2754" ht="30" customHeight="1"/>
    <row r="2755" ht="30" customHeight="1"/>
    <row r="2756" ht="30" customHeight="1"/>
    <row r="2757" ht="30" customHeight="1"/>
    <row r="2758" ht="30" customHeight="1"/>
    <row r="2759" ht="30" customHeight="1"/>
    <row r="2760" ht="30" customHeight="1"/>
    <row r="2761" ht="30" customHeight="1"/>
    <row r="2762" ht="30" customHeight="1"/>
    <row r="2763" ht="30" customHeight="1"/>
    <row r="2764" ht="30" customHeight="1"/>
    <row r="2765" ht="30" customHeight="1"/>
    <row r="2766" ht="30" customHeight="1"/>
    <row r="2767" ht="30" customHeight="1"/>
    <row r="2768" ht="30" customHeight="1"/>
    <row r="2769" ht="30" customHeight="1"/>
    <row r="2770" ht="30" customHeight="1"/>
    <row r="2771" ht="30" customHeight="1"/>
    <row r="2772" ht="30" customHeight="1"/>
    <row r="2773" ht="30" customHeight="1"/>
    <row r="2774" ht="30" customHeight="1"/>
    <row r="2775" ht="30" customHeight="1"/>
    <row r="2776" ht="30" customHeight="1"/>
    <row r="2777" ht="30" customHeight="1"/>
    <row r="2778" ht="30" customHeight="1"/>
    <row r="2779" ht="30" customHeight="1"/>
    <row r="2780" ht="30" customHeight="1"/>
    <row r="2781" ht="30" customHeight="1"/>
    <row r="2782" ht="30" customHeight="1"/>
    <row r="2783" ht="30" customHeight="1"/>
    <row r="2784" ht="30" customHeight="1"/>
    <row r="2785" ht="30" customHeight="1"/>
    <row r="2786" ht="30" customHeight="1"/>
    <row r="2787" ht="30" customHeight="1"/>
    <row r="2788" ht="30" customHeight="1"/>
    <row r="2789" ht="30" customHeight="1"/>
    <row r="2790" ht="30" customHeight="1"/>
    <row r="2791" ht="30" customHeight="1"/>
    <row r="2792" ht="30" customHeight="1"/>
    <row r="2793" ht="30" customHeight="1"/>
    <row r="2794" ht="30" customHeight="1"/>
    <row r="2795" ht="30" customHeight="1"/>
    <row r="2796" ht="30" customHeight="1"/>
    <row r="2797" ht="30" customHeight="1"/>
    <row r="2798" ht="30" customHeight="1"/>
    <row r="2799" ht="30" customHeight="1"/>
    <row r="2800" ht="30" customHeight="1"/>
    <row r="2801" ht="30" customHeight="1"/>
    <row r="2802" ht="30" customHeight="1"/>
    <row r="2803" ht="30" customHeight="1"/>
    <row r="2804" ht="30" customHeight="1"/>
    <row r="2805" ht="30" customHeight="1"/>
    <row r="2806" ht="30" customHeight="1"/>
    <row r="2807" ht="30" customHeight="1"/>
    <row r="2808" ht="30" customHeight="1"/>
    <row r="2809" ht="30" customHeight="1"/>
    <row r="2810" ht="30" customHeight="1"/>
    <row r="2811" ht="30" customHeight="1"/>
    <row r="2812" ht="30" customHeight="1"/>
    <row r="2813" ht="30" customHeight="1"/>
    <row r="2814" ht="30" customHeight="1"/>
    <row r="2815" ht="30" customHeight="1"/>
    <row r="2816" ht="30" customHeight="1"/>
    <row r="2817" ht="30" customHeight="1"/>
    <row r="2818" ht="30" customHeight="1"/>
    <row r="2819" ht="30" customHeight="1"/>
    <row r="2820" ht="30" customHeight="1"/>
    <row r="2821" ht="30" customHeight="1"/>
    <row r="2822" ht="30" customHeight="1"/>
    <row r="2823" ht="30" customHeight="1"/>
    <row r="2824" ht="30" customHeight="1"/>
    <row r="2825" ht="30" customHeight="1"/>
    <row r="2826" ht="30" customHeight="1"/>
    <row r="2827" ht="30" customHeight="1"/>
    <row r="2828" ht="30" customHeight="1"/>
    <row r="2829" ht="30" customHeight="1"/>
    <row r="2830" ht="30" customHeight="1"/>
    <row r="2831" ht="30" customHeight="1"/>
    <row r="2832" ht="30" customHeight="1"/>
    <row r="2833" ht="30" customHeight="1"/>
    <row r="2834" ht="30" customHeight="1"/>
    <row r="2835" ht="30" customHeight="1"/>
    <row r="2836" ht="30" customHeight="1"/>
    <row r="2837" ht="30" customHeight="1"/>
    <row r="2838" ht="30" customHeight="1"/>
    <row r="2839" ht="30" customHeight="1"/>
    <row r="2840" ht="30" customHeight="1"/>
    <row r="2841" ht="30" customHeight="1"/>
    <row r="2842" ht="30" customHeight="1"/>
    <row r="2843" ht="30" customHeight="1"/>
    <row r="2844" ht="30" customHeight="1"/>
    <row r="2845" ht="30" customHeight="1"/>
    <row r="2846" ht="30" customHeight="1"/>
    <row r="2847" ht="30" customHeight="1"/>
    <row r="2848" ht="30" customHeight="1"/>
    <row r="2849" ht="30" customHeight="1"/>
    <row r="2850" ht="30" customHeight="1"/>
    <row r="2851" ht="30" customHeight="1"/>
    <row r="2852" ht="30" customHeight="1"/>
    <row r="2853" ht="30" customHeight="1"/>
    <row r="2854" ht="30" customHeight="1"/>
    <row r="2855" ht="30" customHeight="1"/>
    <row r="2856" ht="30" customHeight="1"/>
    <row r="2857" ht="30" customHeight="1"/>
    <row r="2858" ht="30" customHeight="1"/>
    <row r="2859" ht="30" customHeight="1"/>
    <row r="2860" ht="30" customHeight="1"/>
    <row r="2861" ht="30" customHeight="1"/>
    <row r="2862" ht="30" customHeight="1"/>
    <row r="2863" ht="30" customHeight="1"/>
    <row r="2864" ht="30" customHeight="1"/>
    <row r="2865" ht="30" customHeight="1"/>
    <row r="2866" ht="30" customHeight="1"/>
    <row r="2867" ht="30" customHeight="1"/>
    <row r="2868" ht="30" customHeight="1"/>
    <row r="2869" ht="30" customHeight="1"/>
    <row r="2870" ht="30" customHeight="1"/>
    <row r="2871" ht="30" customHeight="1"/>
    <row r="2872" ht="30" customHeight="1"/>
    <row r="2873" ht="30" customHeight="1"/>
    <row r="2874" ht="30" customHeight="1"/>
    <row r="2875" ht="30" customHeight="1"/>
    <row r="2876" ht="30" customHeight="1"/>
    <row r="2877" ht="30" customHeight="1"/>
    <row r="2878" ht="30" customHeight="1"/>
    <row r="2879" ht="30" customHeight="1"/>
    <row r="2880" ht="30" customHeight="1"/>
    <row r="2881" ht="30" customHeight="1"/>
    <row r="2882" ht="30" customHeight="1"/>
    <row r="2883" ht="30" customHeight="1"/>
    <row r="2884" ht="30" customHeight="1"/>
    <row r="2885" ht="30" customHeight="1"/>
    <row r="2886" ht="30" customHeight="1"/>
    <row r="2887" ht="30" customHeight="1"/>
    <row r="2888" ht="30" customHeight="1"/>
    <row r="2889" ht="30" customHeight="1"/>
    <row r="2890" ht="30" customHeight="1"/>
    <row r="2891" ht="30" customHeight="1"/>
    <row r="2892" ht="30" customHeight="1"/>
    <row r="2893" ht="30" customHeight="1"/>
    <row r="2894" ht="30" customHeight="1"/>
    <row r="2895" ht="30" customHeight="1"/>
    <row r="2896" ht="30" customHeight="1"/>
    <row r="2897" ht="30" customHeight="1"/>
    <row r="2898" ht="30" customHeight="1"/>
    <row r="2899" ht="30" customHeight="1"/>
    <row r="2900" ht="30" customHeight="1"/>
    <row r="2901" ht="30" customHeight="1"/>
    <row r="2902" ht="30" customHeight="1"/>
    <row r="2903" ht="30" customHeight="1"/>
    <row r="2904" ht="30" customHeight="1"/>
    <row r="2905" ht="30" customHeight="1"/>
    <row r="2906" ht="30" customHeight="1"/>
    <row r="2907" ht="30" customHeight="1"/>
    <row r="2908" ht="30" customHeight="1"/>
    <row r="2909" ht="30" customHeight="1"/>
    <row r="2910" ht="30" customHeight="1"/>
    <row r="2911" ht="30" customHeight="1"/>
    <row r="2912" ht="30" customHeight="1"/>
    <row r="2913" ht="30" customHeight="1"/>
    <row r="2914" ht="30" customHeight="1"/>
    <row r="2915" ht="30" customHeight="1"/>
    <row r="2916" ht="30" customHeight="1"/>
    <row r="2917" ht="30" customHeight="1"/>
    <row r="2918" ht="30" customHeight="1"/>
    <row r="2919" ht="30" customHeight="1"/>
    <row r="2920" ht="30" customHeight="1"/>
    <row r="2921" ht="30" customHeight="1"/>
    <row r="2922" ht="30" customHeight="1"/>
    <row r="2923" ht="30" customHeight="1"/>
    <row r="2924" ht="30" customHeight="1"/>
    <row r="2925" ht="30" customHeight="1"/>
    <row r="2926" ht="30" customHeight="1"/>
    <row r="2927" ht="30" customHeight="1"/>
    <row r="2928" ht="30" customHeight="1"/>
    <row r="2929" ht="30" customHeight="1"/>
    <row r="2930" ht="30" customHeight="1"/>
    <row r="2931" ht="30" customHeight="1"/>
    <row r="2932" ht="30" customHeight="1"/>
    <row r="2933" ht="30" customHeight="1"/>
    <row r="2934" ht="30" customHeight="1"/>
    <row r="2935" ht="30" customHeight="1"/>
    <row r="2936" ht="30" customHeight="1"/>
    <row r="2937" ht="30" customHeight="1"/>
    <row r="2938" ht="30" customHeight="1"/>
    <row r="2939" ht="30" customHeight="1"/>
    <row r="2940" ht="30" customHeight="1"/>
    <row r="2941" ht="30" customHeight="1"/>
    <row r="2942" ht="30" customHeight="1"/>
    <row r="2943" ht="30" customHeight="1"/>
    <row r="2944" ht="30" customHeight="1"/>
    <row r="2945" ht="30" customHeight="1"/>
    <row r="2946" ht="30" customHeight="1"/>
    <row r="2947" ht="30" customHeight="1"/>
    <row r="2948" ht="30" customHeight="1"/>
    <row r="2949" ht="30" customHeight="1"/>
    <row r="2950" ht="30" customHeight="1"/>
    <row r="2951" ht="30" customHeight="1"/>
    <row r="2952" ht="30" customHeight="1"/>
    <row r="2953" ht="30" customHeight="1"/>
    <row r="2954" ht="30" customHeight="1"/>
    <row r="2955" ht="30" customHeight="1"/>
    <row r="2956" ht="30" customHeight="1"/>
    <row r="2957" ht="30" customHeight="1"/>
    <row r="2958" ht="30" customHeight="1"/>
    <row r="2959" ht="30" customHeight="1"/>
    <row r="2960" ht="30" customHeight="1"/>
    <row r="2961" ht="30" customHeight="1"/>
    <row r="2962" ht="30" customHeight="1"/>
    <row r="2963" ht="30" customHeight="1"/>
    <row r="2964" ht="30" customHeight="1"/>
    <row r="2965" ht="30" customHeight="1"/>
    <row r="2966" ht="30" customHeight="1"/>
    <row r="2967" ht="30" customHeight="1"/>
    <row r="2968" ht="30" customHeight="1"/>
    <row r="2969" ht="30" customHeight="1"/>
    <row r="2970" ht="30" customHeight="1"/>
    <row r="2971" ht="30" customHeight="1"/>
    <row r="2972" ht="30" customHeight="1"/>
    <row r="2973" ht="30" customHeight="1"/>
    <row r="2974" ht="30" customHeight="1"/>
    <row r="2975" ht="30" customHeight="1"/>
    <row r="2976" ht="30" customHeight="1"/>
    <row r="2977" ht="30" customHeight="1"/>
    <row r="2978" ht="30" customHeight="1"/>
    <row r="2979" ht="30" customHeight="1"/>
    <row r="2980" ht="30" customHeight="1"/>
    <row r="2981" ht="30" customHeight="1"/>
    <row r="2982" ht="30" customHeight="1"/>
    <row r="2983" ht="30" customHeight="1"/>
    <row r="2984" ht="30" customHeight="1"/>
    <row r="2985" ht="30" customHeight="1"/>
    <row r="2986" ht="30" customHeight="1"/>
    <row r="2987" ht="30" customHeight="1"/>
    <row r="2988" ht="30" customHeight="1"/>
    <row r="2989" ht="30" customHeight="1"/>
    <row r="2990" ht="30" customHeight="1"/>
    <row r="2991" ht="30" customHeight="1"/>
    <row r="2992" ht="30" customHeight="1"/>
    <row r="2993" ht="30" customHeight="1"/>
    <row r="2994" ht="30" customHeight="1"/>
    <row r="2995" ht="30" customHeight="1"/>
    <row r="2996" ht="30" customHeight="1"/>
    <row r="2997" ht="30" customHeight="1"/>
    <row r="2998" ht="30" customHeight="1"/>
    <row r="2999" ht="30" customHeight="1"/>
    <row r="3000" ht="30" customHeight="1"/>
    <row r="3001" ht="30" customHeight="1"/>
    <row r="3002" ht="30" customHeight="1"/>
    <row r="3003" ht="30" customHeight="1"/>
    <row r="3004" ht="30" customHeight="1"/>
    <row r="3005" ht="30" customHeight="1"/>
    <row r="3006" ht="30" customHeight="1"/>
    <row r="3007" ht="30" customHeight="1"/>
    <row r="3008" ht="30" customHeight="1"/>
    <row r="3009" ht="30" customHeight="1"/>
    <row r="3010" ht="30" customHeight="1"/>
    <row r="3011" ht="30" customHeight="1"/>
    <row r="3012" ht="30" customHeight="1"/>
    <row r="3013" ht="30" customHeight="1"/>
    <row r="3014" ht="30" customHeight="1"/>
    <row r="3015" ht="30" customHeight="1"/>
    <row r="3016" ht="30" customHeight="1"/>
    <row r="3017" ht="30" customHeight="1"/>
    <row r="3018" ht="30" customHeight="1"/>
    <row r="3019" ht="30" customHeight="1"/>
    <row r="3020" ht="30" customHeight="1"/>
    <row r="3021" ht="30" customHeight="1"/>
    <row r="3022" ht="30" customHeight="1"/>
    <row r="3023" ht="30" customHeight="1"/>
    <row r="3024" ht="30" customHeight="1"/>
    <row r="3025" ht="30" customHeight="1"/>
    <row r="3026" ht="30" customHeight="1"/>
    <row r="3027" ht="30" customHeight="1"/>
    <row r="3028" ht="30" customHeight="1"/>
    <row r="3029" ht="30" customHeight="1"/>
    <row r="3030" ht="30" customHeight="1"/>
    <row r="3031" ht="30" customHeight="1"/>
    <row r="3032" ht="30" customHeight="1"/>
    <row r="3033" ht="30" customHeight="1"/>
    <row r="3034" ht="30" customHeight="1"/>
    <row r="3035" ht="30" customHeight="1"/>
    <row r="3036" ht="30" customHeight="1"/>
    <row r="3037" ht="30" customHeight="1"/>
    <row r="3038" ht="30" customHeight="1"/>
    <row r="3039" ht="30" customHeight="1"/>
    <row r="3040" ht="30" customHeight="1"/>
    <row r="3041" ht="30" customHeight="1"/>
    <row r="3042" ht="30" customHeight="1"/>
    <row r="3043" ht="30" customHeight="1"/>
    <row r="3044" ht="30" customHeight="1"/>
    <row r="3045" ht="30" customHeight="1"/>
    <row r="3046" ht="30" customHeight="1"/>
    <row r="3047" ht="30" customHeight="1"/>
    <row r="3048" ht="30" customHeight="1"/>
    <row r="3049" ht="30" customHeight="1"/>
    <row r="3050" ht="30" customHeight="1"/>
    <row r="3051" ht="30" customHeight="1"/>
    <row r="3052" ht="30" customHeight="1"/>
    <row r="3053" ht="30" customHeight="1"/>
    <row r="3054" ht="30" customHeight="1"/>
    <row r="3055" ht="30" customHeight="1"/>
    <row r="3056" ht="30" customHeight="1"/>
    <row r="3057" ht="30" customHeight="1"/>
    <row r="3058" ht="30" customHeight="1"/>
    <row r="3059" ht="30" customHeight="1"/>
    <row r="3060" ht="30" customHeight="1"/>
    <row r="3061" ht="30" customHeight="1"/>
    <row r="3062" ht="30" customHeight="1"/>
    <row r="3063" ht="30" customHeight="1"/>
    <row r="3064" ht="30" customHeight="1"/>
    <row r="3065" ht="30" customHeight="1"/>
    <row r="3066" ht="30" customHeight="1"/>
    <row r="3067" ht="30" customHeight="1"/>
    <row r="3068" ht="30" customHeight="1"/>
    <row r="3069" ht="30" customHeight="1"/>
    <row r="3070" ht="30" customHeight="1"/>
    <row r="3071" ht="30" customHeight="1"/>
    <row r="3072" ht="30" customHeight="1"/>
    <row r="3073" ht="30" customHeight="1"/>
    <row r="3074" ht="30" customHeight="1"/>
    <row r="3075" ht="30" customHeight="1"/>
    <row r="3076" ht="30" customHeight="1"/>
    <row r="3077" ht="30" customHeight="1"/>
    <row r="3078" ht="30" customHeight="1"/>
    <row r="3079" ht="30" customHeight="1"/>
    <row r="3080" ht="30" customHeight="1"/>
    <row r="3081" ht="30" customHeight="1"/>
    <row r="3082" ht="30" customHeight="1"/>
    <row r="3083" ht="30" customHeight="1"/>
    <row r="3084" ht="30" customHeight="1"/>
    <row r="3085" ht="30" customHeight="1"/>
    <row r="3086" ht="30" customHeight="1"/>
    <row r="3087" ht="30" customHeight="1"/>
    <row r="3088" ht="30" customHeight="1"/>
    <row r="3089" ht="30" customHeight="1"/>
    <row r="3090" ht="30" customHeight="1"/>
    <row r="3091" ht="30" customHeight="1"/>
    <row r="3092" ht="30" customHeight="1"/>
    <row r="3093" ht="30" customHeight="1"/>
    <row r="3094" ht="30" customHeight="1"/>
    <row r="3095" ht="30" customHeight="1"/>
    <row r="3096" ht="30" customHeight="1"/>
    <row r="3097" ht="30" customHeight="1"/>
    <row r="3098" ht="30" customHeight="1"/>
    <row r="3099" ht="30" customHeight="1"/>
    <row r="3100" ht="30" customHeight="1"/>
    <row r="3101" ht="30" customHeight="1"/>
    <row r="3102" ht="30" customHeight="1"/>
    <row r="3103" ht="30" customHeight="1"/>
    <row r="3104" ht="30" customHeight="1"/>
    <row r="3105" ht="30" customHeight="1"/>
    <row r="3106" ht="30" customHeight="1"/>
    <row r="3107" ht="30" customHeight="1"/>
    <row r="3108" ht="30" customHeight="1"/>
    <row r="3109" ht="30" customHeight="1"/>
    <row r="3110" ht="30" customHeight="1"/>
    <row r="3111" ht="30" customHeight="1"/>
    <row r="3112" ht="30" customHeight="1"/>
    <row r="3113" ht="30" customHeight="1"/>
    <row r="3114" ht="30" customHeight="1"/>
    <row r="3115" ht="30" customHeight="1"/>
    <row r="3116" ht="30" customHeight="1"/>
    <row r="3117" ht="30" customHeight="1"/>
    <row r="3118" ht="30" customHeight="1"/>
    <row r="3119" ht="30" customHeight="1"/>
    <row r="3120" ht="30" customHeight="1"/>
    <row r="3121" ht="30" customHeight="1"/>
    <row r="3122" ht="30" customHeight="1"/>
    <row r="3123" ht="30" customHeight="1"/>
    <row r="3124" ht="30" customHeight="1"/>
    <row r="3125" ht="30" customHeight="1"/>
    <row r="3126" ht="30" customHeight="1"/>
    <row r="3127" ht="30" customHeight="1"/>
    <row r="3128" ht="30" customHeight="1"/>
    <row r="3129" ht="30" customHeight="1"/>
    <row r="3130" ht="30" customHeight="1"/>
    <row r="3131" ht="30" customHeight="1"/>
    <row r="3132" ht="30" customHeight="1"/>
    <row r="3133" ht="30" customHeight="1"/>
    <row r="3134" ht="30" customHeight="1"/>
    <row r="3135" ht="30" customHeight="1"/>
    <row r="3136" ht="30" customHeight="1"/>
    <row r="3137" ht="30" customHeight="1"/>
    <row r="3138" ht="30" customHeight="1"/>
    <row r="3139" ht="30" customHeight="1"/>
    <row r="3140" ht="30" customHeight="1"/>
    <row r="3141" ht="30" customHeight="1"/>
    <row r="3142" ht="30" customHeight="1"/>
    <row r="3143" ht="30" customHeight="1"/>
    <row r="3144" ht="30" customHeight="1"/>
    <row r="3145" ht="30" customHeight="1"/>
    <row r="3146" ht="30" customHeight="1"/>
    <row r="3147" ht="30" customHeight="1"/>
    <row r="3148" ht="30" customHeight="1"/>
    <row r="3149" ht="30" customHeight="1"/>
    <row r="3150" ht="30" customHeight="1"/>
    <row r="3151" ht="30" customHeight="1"/>
    <row r="3152" ht="30" customHeight="1"/>
    <row r="3153" ht="30" customHeight="1"/>
    <row r="3154" ht="30" customHeight="1"/>
    <row r="3155" ht="30" customHeight="1"/>
    <row r="3156" ht="30" customHeight="1"/>
    <row r="3157" ht="30" customHeight="1"/>
    <row r="3158" ht="30" customHeight="1"/>
    <row r="3159" ht="30" customHeight="1"/>
    <row r="3160" ht="30" customHeight="1"/>
    <row r="3161" ht="30" customHeight="1"/>
    <row r="3162" ht="30" customHeight="1"/>
    <row r="3163" ht="30" customHeight="1"/>
    <row r="3164" ht="30" customHeight="1"/>
    <row r="3165" ht="30" customHeight="1"/>
    <row r="3166" ht="30" customHeight="1"/>
    <row r="3167" ht="30" customHeight="1"/>
    <row r="3168" ht="30" customHeight="1"/>
    <row r="3169" ht="30" customHeight="1"/>
    <row r="3170" ht="30" customHeight="1"/>
    <row r="3171" ht="30" customHeight="1"/>
    <row r="3172" ht="30" customHeight="1"/>
    <row r="3173" ht="30" customHeight="1"/>
    <row r="3174" ht="30" customHeight="1"/>
    <row r="3175" ht="30" customHeight="1"/>
    <row r="3176" ht="30" customHeight="1"/>
    <row r="3177" ht="30" customHeight="1"/>
    <row r="3178" ht="30" customHeight="1"/>
    <row r="3179" ht="30" customHeight="1"/>
    <row r="3180" ht="30" customHeight="1"/>
    <row r="3181" ht="30" customHeight="1"/>
    <row r="3182" ht="30" customHeight="1"/>
    <row r="3183" ht="30" customHeight="1"/>
    <row r="3184" ht="30" customHeight="1"/>
    <row r="3185" ht="30" customHeight="1"/>
    <row r="3186" ht="30" customHeight="1"/>
    <row r="3187" ht="30" customHeight="1"/>
    <row r="3188" ht="30" customHeight="1"/>
    <row r="3189" ht="30" customHeight="1"/>
    <row r="3190" ht="30" customHeight="1"/>
    <row r="3191" ht="30" customHeight="1"/>
    <row r="3192" ht="30" customHeight="1"/>
    <row r="3193" ht="30" customHeight="1"/>
    <row r="3194" ht="30" customHeight="1"/>
    <row r="3195" ht="30" customHeight="1"/>
    <row r="3196" ht="30" customHeight="1"/>
    <row r="3197" ht="30" customHeight="1"/>
    <row r="3198" ht="30" customHeight="1"/>
    <row r="3199" ht="30" customHeight="1"/>
    <row r="3200" ht="30" customHeight="1"/>
    <row r="3201" ht="30" customHeight="1"/>
    <row r="3202" ht="30" customHeight="1"/>
    <row r="3203" ht="30" customHeight="1"/>
    <row r="3204" ht="30" customHeight="1"/>
    <row r="3205" ht="30" customHeight="1"/>
    <row r="3206" ht="30" customHeight="1"/>
    <row r="3207" ht="30" customHeight="1"/>
    <row r="3208" ht="30" customHeight="1"/>
    <row r="3209" ht="30" customHeight="1"/>
    <row r="3210" ht="30" customHeight="1"/>
    <row r="3211" ht="30" customHeight="1"/>
    <row r="3212" ht="30" customHeight="1"/>
    <row r="3213" ht="30" customHeight="1"/>
    <row r="3214" ht="30" customHeight="1"/>
    <row r="3215" ht="30" customHeight="1"/>
    <row r="3216" ht="30" customHeight="1"/>
    <row r="3217" ht="30" customHeight="1"/>
    <row r="3218" ht="30" customHeight="1"/>
    <row r="3219" ht="30" customHeight="1"/>
    <row r="3220" ht="30" customHeight="1"/>
    <row r="3221" ht="30" customHeight="1"/>
    <row r="3222" ht="30" customHeight="1"/>
    <row r="3223" ht="30" customHeight="1"/>
    <row r="3224" ht="30" customHeight="1"/>
    <row r="3225" ht="30" customHeight="1"/>
    <row r="3226" ht="30" customHeight="1"/>
    <row r="3227" ht="30" customHeight="1"/>
    <row r="3228" ht="30" customHeight="1"/>
    <row r="3229" ht="30" customHeight="1"/>
    <row r="3230" ht="30" customHeight="1"/>
    <row r="3231" ht="30" customHeight="1"/>
    <row r="3232" ht="30" customHeight="1"/>
    <row r="3233" ht="30" customHeight="1"/>
    <row r="3234" ht="30" customHeight="1"/>
    <row r="3235" ht="30" customHeight="1"/>
    <row r="3236" ht="30" customHeight="1"/>
    <row r="3237" ht="30" customHeight="1"/>
    <row r="3238" ht="30" customHeight="1"/>
    <row r="3239" ht="30" customHeight="1"/>
    <row r="3240" ht="30" customHeight="1"/>
    <row r="3241" ht="30" customHeight="1"/>
    <row r="3242" ht="30" customHeight="1"/>
    <row r="3243" ht="30" customHeight="1"/>
    <row r="3244" ht="30" customHeight="1"/>
    <row r="3245" ht="30" customHeight="1"/>
    <row r="3246" ht="30" customHeight="1"/>
    <row r="3247" ht="30" customHeight="1"/>
    <row r="3248" ht="30" customHeight="1"/>
    <row r="3249" ht="30" customHeight="1"/>
    <row r="3250" ht="30" customHeight="1"/>
    <row r="3251" ht="30" customHeight="1"/>
    <row r="3252" ht="30" customHeight="1"/>
    <row r="3253" ht="30" customHeight="1"/>
    <row r="3254" ht="30" customHeight="1"/>
    <row r="3255" ht="30" customHeight="1"/>
    <row r="3256" ht="30" customHeight="1"/>
    <row r="3257" ht="30" customHeight="1"/>
    <row r="3258" ht="30" customHeight="1"/>
    <row r="3259" ht="30" customHeight="1"/>
    <row r="3260" ht="30" customHeight="1"/>
    <row r="3261" ht="30" customHeight="1"/>
    <row r="3262" ht="30" customHeight="1"/>
    <row r="3263" ht="30" customHeight="1"/>
    <row r="3264" ht="30" customHeight="1"/>
    <row r="3265" ht="30" customHeight="1"/>
    <row r="3266" ht="30" customHeight="1"/>
    <row r="3267" ht="30" customHeight="1"/>
    <row r="3268" ht="30" customHeight="1"/>
    <row r="3269" ht="30" customHeight="1"/>
    <row r="3270" ht="30" customHeight="1"/>
    <row r="3271" ht="30" customHeight="1"/>
    <row r="3272" ht="30" customHeight="1"/>
    <row r="3273" ht="30" customHeight="1"/>
    <row r="3274" ht="30" customHeight="1"/>
    <row r="3275" ht="30" customHeight="1"/>
    <row r="3276" ht="30" customHeight="1"/>
    <row r="3277" ht="30" customHeight="1"/>
    <row r="3278" ht="30" customHeight="1"/>
    <row r="3279" ht="30" customHeight="1"/>
    <row r="3280" ht="30" customHeight="1"/>
    <row r="3281" ht="30" customHeight="1"/>
    <row r="3282" ht="30" customHeight="1"/>
    <row r="3283" ht="30" customHeight="1"/>
    <row r="3284" ht="30" customHeight="1"/>
    <row r="3285" ht="30" customHeight="1"/>
    <row r="3286" ht="30" customHeight="1"/>
    <row r="3287" ht="30" customHeight="1"/>
    <row r="3288" ht="30" customHeight="1"/>
    <row r="3289" ht="30" customHeight="1"/>
    <row r="3290" ht="30" customHeight="1"/>
    <row r="3291" ht="30" customHeight="1"/>
    <row r="3292" ht="30" customHeight="1"/>
    <row r="3293" ht="30" customHeight="1"/>
    <row r="3294" ht="30" customHeight="1"/>
    <row r="3295" ht="30" customHeight="1"/>
    <row r="3296" ht="30" customHeight="1"/>
    <row r="3297" ht="30" customHeight="1"/>
    <row r="3298" ht="30" customHeight="1"/>
    <row r="3299" ht="30" customHeight="1"/>
    <row r="3300" ht="30" customHeight="1"/>
    <row r="3301" ht="30" customHeight="1"/>
    <row r="3302" ht="30" customHeight="1"/>
    <row r="3303" ht="30" customHeight="1"/>
    <row r="3304" ht="30" customHeight="1"/>
    <row r="3305" ht="30" customHeight="1"/>
    <row r="3306" ht="30" customHeight="1"/>
    <row r="3307" ht="30" customHeight="1"/>
    <row r="3308" ht="30" customHeight="1"/>
    <row r="3309" ht="30" customHeight="1"/>
    <row r="3310" ht="30" customHeight="1"/>
    <row r="3311" ht="30" customHeight="1"/>
    <row r="3312" ht="30" customHeight="1"/>
    <row r="3313" ht="30" customHeight="1"/>
    <row r="3314" ht="30" customHeight="1"/>
    <row r="3315" ht="30" customHeight="1"/>
    <row r="3316" ht="30" customHeight="1"/>
    <row r="3317" ht="30" customHeight="1"/>
    <row r="3318" ht="30" customHeight="1"/>
    <row r="3319" ht="30" customHeight="1"/>
    <row r="3320" ht="30" customHeight="1"/>
    <row r="3321" ht="30" customHeight="1"/>
    <row r="3322" ht="30" customHeight="1"/>
    <row r="3323" ht="30" customHeight="1"/>
    <row r="3324" ht="30" customHeight="1"/>
    <row r="3325" ht="30" customHeight="1"/>
    <row r="3326" ht="30" customHeight="1"/>
    <row r="3327" ht="30" customHeight="1"/>
    <row r="3328" ht="30" customHeight="1"/>
    <row r="3329" ht="30" customHeight="1"/>
    <row r="3330" ht="30" customHeight="1"/>
    <row r="3331" ht="30" customHeight="1"/>
    <row r="3332" ht="30" customHeight="1"/>
    <row r="3333" ht="30" customHeight="1"/>
    <row r="3334" ht="30" customHeight="1"/>
    <row r="3335" ht="30" customHeight="1"/>
    <row r="3336" ht="30" customHeight="1"/>
    <row r="3337" ht="30" customHeight="1"/>
    <row r="3338" ht="30" customHeight="1"/>
    <row r="3339" ht="30" customHeight="1"/>
    <row r="3340" ht="30" customHeight="1"/>
    <row r="3341" ht="30" customHeight="1"/>
    <row r="3342" ht="30" customHeight="1"/>
    <row r="3343" ht="30" customHeight="1"/>
    <row r="3344" ht="30" customHeight="1"/>
    <row r="3345" ht="30" customHeight="1"/>
    <row r="3346" ht="30" customHeight="1"/>
    <row r="3347" ht="30" customHeight="1"/>
    <row r="3348" ht="30" customHeight="1"/>
    <row r="3349" ht="30" customHeight="1"/>
    <row r="3350" ht="30" customHeight="1"/>
    <row r="3351" ht="30" customHeight="1"/>
    <row r="3352" ht="30" customHeight="1"/>
    <row r="3353" ht="30" customHeight="1"/>
    <row r="3354" ht="30" customHeight="1"/>
    <row r="3355" ht="30" customHeight="1"/>
    <row r="3356" ht="30" customHeight="1"/>
    <row r="3357" ht="30" customHeight="1"/>
    <row r="3358" ht="30" customHeight="1"/>
    <row r="3359" ht="30" customHeight="1"/>
    <row r="3360" ht="30" customHeight="1"/>
    <row r="3361" ht="30" customHeight="1"/>
    <row r="3362" ht="30" customHeight="1"/>
    <row r="3363" ht="30" customHeight="1"/>
    <row r="3364" ht="30" customHeight="1"/>
    <row r="3365" ht="30" customHeight="1"/>
    <row r="3366" ht="30" customHeight="1"/>
    <row r="3367" ht="30" customHeight="1"/>
    <row r="3368" ht="30" customHeight="1"/>
    <row r="3369" ht="30" customHeight="1"/>
    <row r="3370" ht="30" customHeight="1"/>
    <row r="3371" ht="30" customHeight="1"/>
    <row r="3372" ht="30" customHeight="1"/>
    <row r="3373" ht="30" customHeight="1"/>
    <row r="3374" ht="30" customHeight="1"/>
    <row r="3375" ht="30" customHeight="1"/>
    <row r="3376" ht="30" customHeight="1"/>
    <row r="3377" ht="30" customHeight="1"/>
    <row r="3378" ht="30" customHeight="1"/>
    <row r="3379" ht="30" customHeight="1"/>
    <row r="3380" ht="30" customHeight="1"/>
    <row r="3381" ht="30" customHeight="1"/>
    <row r="3382" ht="30" customHeight="1"/>
    <row r="3383" ht="30" customHeight="1"/>
    <row r="3384" ht="30" customHeight="1"/>
    <row r="3385" ht="30" customHeight="1"/>
    <row r="3386" ht="30" customHeight="1"/>
    <row r="3387" ht="30" customHeight="1"/>
    <row r="3388" ht="30" customHeight="1"/>
    <row r="3389" ht="30" customHeight="1"/>
    <row r="3390" ht="30" customHeight="1"/>
    <row r="3391" ht="30" customHeight="1"/>
    <row r="3392" ht="30" customHeight="1"/>
    <row r="3393" ht="30" customHeight="1"/>
    <row r="3394" ht="30" customHeight="1"/>
    <row r="3395" ht="30" customHeight="1"/>
    <row r="3396" ht="30" customHeight="1"/>
    <row r="3397" ht="30" customHeight="1"/>
    <row r="3398" ht="30" customHeight="1"/>
    <row r="3399" ht="30" customHeight="1"/>
    <row r="3400" ht="30" customHeight="1"/>
    <row r="3401" ht="30" customHeight="1"/>
    <row r="3402" ht="30" customHeight="1"/>
    <row r="3403" ht="30" customHeight="1"/>
    <row r="3404" ht="30" customHeight="1"/>
    <row r="3405" ht="30" customHeight="1"/>
    <row r="3406" ht="30" customHeight="1"/>
    <row r="3407" ht="30" customHeight="1"/>
    <row r="3408" ht="30" customHeight="1"/>
    <row r="3409" ht="30" customHeight="1"/>
    <row r="3410" ht="30" customHeight="1"/>
    <row r="3411" ht="30" customHeight="1"/>
    <row r="3412" ht="30" customHeight="1"/>
    <row r="3413" ht="30" customHeight="1"/>
    <row r="3414" ht="30" customHeight="1"/>
    <row r="3415" ht="30" customHeight="1"/>
    <row r="3416" ht="30" customHeight="1"/>
    <row r="3417" ht="30" customHeight="1"/>
    <row r="3418" ht="30" customHeight="1"/>
    <row r="3419" ht="30" customHeight="1"/>
    <row r="3420" ht="30" customHeight="1"/>
    <row r="3421" ht="30" customHeight="1"/>
    <row r="3422" ht="30" customHeight="1"/>
    <row r="3423" ht="30" customHeight="1"/>
    <row r="3424" ht="30" customHeight="1"/>
    <row r="3425" ht="30" customHeight="1"/>
    <row r="3426" ht="30" customHeight="1"/>
    <row r="3427" ht="30" customHeight="1"/>
    <row r="3428" ht="30" customHeight="1"/>
    <row r="3429" ht="30" customHeight="1"/>
    <row r="3430" ht="30" customHeight="1"/>
    <row r="3431" ht="30" customHeight="1"/>
    <row r="3432" ht="30" customHeight="1"/>
    <row r="3433" ht="30" customHeight="1"/>
    <row r="3434" ht="30" customHeight="1"/>
    <row r="3435" ht="30" customHeight="1"/>
    <row r="3436" ht="30" customHeight="1"/>
    <row r="3437" ht="30" customHeight="1"/>
    <row r="3438" ht="30" customHeight="1"/>
    <row r="3439" ht="30" customHeight="1"/>
    <row r="3440" ht="30" customHeight="1"/>
    <row r="3441" ht="30" customHeight="1"/>
    <row r="3442" ht="30" customHeight="1"/>
    <row r="3443" ht="30" customHeight="1"/>
    <row r="3444" ht="30" customHeight="1"/>
    <row r="3445" ht="30" customHeight="1"/>
    <row r="3446" ht="30" customHeight="1"/>
    <row r="3447" ht="30" customHeight="1"/>
    <row r="3448" ht="30" customHeight="1"/>
    <row r="3449" ht="30" customHeight="1"/>
    <row r="3450" ht="30" customHeight="1"/>
    <row r="3451" ht="30" customHeight="1"/>
    <row r="3452" ht="30" customHeight="1"/>
    <row r="3453" ht="30" customHeight="1"/>
    <row r="3454" ht="30" customHeight="1"/>
    <row r="3455" ht="30" customHeight="1"/>
    <row r="3456" ht="30" customHeight="1"/>
    <row r="3457" ht="30" customHeight="1"/>
    <row r="3458" ht="30" customHeight="1"/>
    <row r="3459" ht="30" customHeight="1"/>
    <row r="3460" ht="30" customHeight="1"/>
    <row r="3461" ht="30" customHeight="1"/>
    <row r="3462" ht="30" customHeight="1"/>
    <row r="3463" ht="30" customHeight="1"/>
    <row r="3464" ht="30" customHeight="1"/>
    <row r="3465" ht="30" customHeight="1"/>
    <row r="3466" ht="30" customHeight="1"/>
    <row r="3467" ht="30" customHeight="1"/>
    <row r="3468" ht="30" customHeight="1"/>
    <row r="3469" ht="30" customHeight="1"/>
    <row r="3470" ht="30" customHeight="1"/>
    <row r="3471" ht="30" customHeight="1"/>
    <row r="3472" ht="30" customHeight="1"/>
    <row r="3473" ht="30" customHeight="1"/>
    <row r="3474" ht="30" customHeight="1"/>
    <row r="3475" ht="30" customHeight="1"/>
    <row r="3476" ht="30" customHeight="1"/>
    <row r="3477" ht="30" customHeight="1"/>
    <row r="3478" ht="30" customHeight="1"/>
    <row r="3479" ht="30" customHeight="1"/>
    <row r="3480" ht="30" customHeight="1"/>
    <row r="3481" ht="30" customHeight="1"/>
    <row r="3482" ht="30" customHeight="1"/>
    <row r="3483" ht="30" customHeight="1"/>
    <row r="3484" ht="30" customHeight="1"/>
    <row r="3485" ht="30" customHeight="1"/>
    <row r="3486" ht="30" customHeight="1"/>
    <row r="3487" ht="30" customHeight="1"/>
    <row r="3488" ht="30" customHeight="1"/>
    <row r="3489" ht="30" customHeight="1"/>
    <row r="3490" ht="30" customHeight="1"/>
    <row r="3491" ht="30" customHeight="1"/>
    <row r="3492" ht="30" customHeight="1"/>
    <row r="3493" ht="30" customHeight="1"/>
    <row r="3494" ht="30" customHeight="1"/>
    <row r="3495" ht="30" customHeight="1"/>
    <row r="3496" ht="30" customHeight="1"/>
    <row r="3497" ht="30" customHeight="1"/>
    <row r="3498" ht="30" customHeight="1"/>
    <row r="3499" ht="30" customHeight="1"/>
    <row r="3500" ht="30" customHeight="1"/>
    <row r="3501" ht="30" customHeight="1"/>
    <row r="3502" ht="30" customHeight="1"/>
    <row r="3503" ht="30" customHeight="1"/>
    <row r="3504" ht="30" customHeight="1"/>
    <row r="3505" ht="30" customHeight="1"/>
    <row r="3506" ht="30" customHeight="1"/>
    <row r="3507" ht="30" customHeight="1"/>
    <row r="3508" ht="30" customHeight="1"/>
    <row r="3509" ht="30" customHeight="1"/>
    <row r="3510" ht="30" customHeight="1"/>
    <row r="3511" ht="30" customHeight="1"/>
    <row r="3512" ht="30" customHeight="1"/>
    <row r="3513" ht="30" customHeight="1"/>
    <row r="3514" ht="30" customHeight="1"/>
    <row r="3515" ht="30" customHeight="1"/>
    <row r="3516" ht="30" customHeight="1"/>
    <row r="3517" ht="30" customHeight="1"/>
    <row r="3518" ht="30" customHeight="1"/>
    <row r="3519" ht="30" customHeight="1"/>
    <row r="3520" ht="30" customHeight="1"/>
    <row r="3521" ht="30" customHeight="1"/>
    <row r="3522" ht="30" customHeight="1"/>
    <row r="3523" ht="30" customHeight="1"/>
    <row r="3524" ht="30" customHeight="1"/>
    <row r="3525" ht="30" customHeight="1"/>
    <row r="3526" ht="30" customHeight="1"/>
    <row r="3527" ht="30" customHeight="1"/>
    <row r="3528" ht="30" customHeight="1"/>
    <row r="3529" ht="30" customHeight="1"/>
    <row r="3530" ht="30" customHeight="1"/>
    <row r="3531" ht="30" customHeight="1"/>
    <row r="3532" ht="30" customHeight="1"/>
    <row r="3533" ht="30" customHeight="1"/>
    <row r="3534" ht="30" customHeight="1"/>
    <row r="3535" ht="30" customHeight="1"/>
    <row r="3536" ht="30" customHeight="1"/>
    <row r="3537" ht="30" customHeight="1"/>
    <row r="3538" ht="30" customHeight="1"/>
    <row r="3539" ht="30" customHeight="1"/>
    <row r="3540" ht="30" customHeight="1"/>
    <row r="3541" ht="30" customHeight="1"/>
    <row r="3542" ht="30" customHeight="1"/>
    <row r="3543" ht="30" customHeight="1"/>
    <row r="3544" ht="30" customHeight="1"/>
    <row r="3545" ht="30" customHeight="1"/>
    <row r="3546" ht="30" customHeight="1"/>
    <row r="3547" ht="30" customHeight="1"/>
    <row r="3548" ht="30" customHeight="1"/>
    <row r="3549" ht="30" customHeight="1"/>
    <row r="3550" ht="30" customHeight="1"/>
    <row r="3551" ht="30" customHeight="1"/>
    <row r="3552" ht="30" customHeight="1"/>
    <row r="3553" ht="30" customHeight="1"/>
    <row r="3554" ht="30" customHeight="1"/>
    <row r="3555" ht="30" customHeight="1"/>
    <row r="3556" ht="30" customHeight="1"/>
    <row r="3557" ht="30" customHeight="1"/>
    <row r="3558" ht="30" customHeight="1"/>
    <row r="3559" ht="30" customHeight="1"/>
    <row r="3560" ht="30" customHeight="1"/>
    <row r="3561" ht="30" customHeight="1"/>
    <row r="3562" ht="30" customHeight="1"/>
    <row r="3563" ht="30" customHeight="1"/>
    <row r="3564" ht="30" customHeight="1"/>
    <row r="3565" ht="30" customHeight="1"/>
    <row r="3566" ht="30" customHeight="1"/>
    <row r="3567" ht="30" customHeight="1"/>
    <row r="3568" ht="30" customHeight="1"/>
    <row r="3569" ht="30" customHeight="1"/>
    <row r="3570" ht="30" customHeight="1"/>
    <row r="3571" ht="30" customHeight="1"/>
    <row r="3572" ht="30" customHeight="1"/>
    <row r="3573" ht="30" customHeight="1"/>
    <row r="3574" ht="30" customHeight="1"/>
    <row r="3575" ht="30" customHeight="1"/>
    <row r="3576" ht="30" customHeight="1"/>
    <row r="3577" ht="30" customHeight="1"/>
    <row r="3578" ht="30" customHeight="1"/>
    <row r="3579" ht="30" customHeight="1"/>
    <row r="3580" ht="30" customHeight="1"/>
    <row r="3581" ht="30" customHeight="1"/>
    <row r="3582" ht="30" customHeight="1"/>
    <row r="3583" ht="30" customHeight="1"/>
    <row r="3584" ht="30" customHeight="1"/>
    <row r="3585" ht="30" customHeight="1"/>
    <row r="3586" ht="30" customHeight="1"/>
    <row r="3587" ht="30" customHeight="1"/>
    <row r="3588" ht="30" customHeight="1"/>
    <row r="3589" ht="30" customHeight="1"/>
    <row r="3590" ht="30" customHeight="1"/>
    <row r="3591" ht="30" customHeight="1"/>
    <row r="3592" ht="30" customHeight="1"/>
    <row r="3593" ht="30" customHeight="1"/>
    <row r="3594" ht="30" customHeight="1"/>
    <row r="3595" ht="30" customHeight="1"/>
    <row r="3596" ht="30" customHeight="1"/>
    <row r="3597" ht="30" customHeight="1"/>
    <row r="3598" ht="30" customHeight="1"/>
    <row r="3599" ht="30" customHeight="1"/>
    <row r="3600" ht="30" customHeight="1"/>
    <row r="3601" ht="30" customHeight="1"/>
    <row r="3602" ht="30" customHeight="1"/>
    <row r="3603" ht="30" customHeight="1"/>
    <row r="3604" ht="30" customHeight="1"/>
    <row r="3605" ht="30" customHeight="1"/>
    <row r="3606" ht="30" customHeight="1"/>
    <row r="3607" ht="30" customHeight="1"/>
    <row r="3608" ht="30" customHeight="1"/>
    <row r="3609" ht="30" customHeight="1"/>
    <row r="3610" ht="30" customHeight="1"/>
    <row r="3611" ht="30" customHeight="1"/>
    <row r="3612" ht="30" customHeight="1"/>
    <row r="3613" ht="30" customHeight="1"/>
    <row r="3614" ht="30" customHeight="1"/>
    <row r="3615" ht="30" customHeight="1"/>
    <row r="3616" ht="30" customHeight="1"/>
    <row r="3617" ht="30" customHeight="1"/>
    <row r="3618" ht="30" customHeight="1"/>
    <row r="3619" ht="30" customHeight="1"/>
    <row r="3620" ht="30" customHeight="1"/>
    <row r="3621" ht="30" customHeight="1"/>
    <row r="3622" ht="30" customHeight="1"/>
    <row r="3623" ht="30" customHeight="1"/>
    <row r="3624" ht="30" customHeight="1"/>
    <row r="3625" ht="30" customHeight="1"/>
    <row r="3626" ht="30" customHeight="1"/>
    <row r="3627" ht="30" customHeight="1"/>
    <row r="3628" ht="30" customHeight="1"/>
    <row r="3629" ht="30" customHeight="1"/>
    <row r="3630" ht="30" customHeight="1"/>
    <row r="3631" ht="30" customHeight="1"/>
    <row r="3632" ht="30" customHeight="1"/>
    <row r="3633" ht="30" customHeight="1"/>
    <row r="3634" ht="30" customHeight="1"/>
    <row r="3635" ht="30" customHeight="1"/>
    <row r="3636" ht="30" customHeight="1"/>
    <row r="3637" ht="30" customHeight="1"/>
    <row r="3638" ht="30" customHeight="1"/>
    <row r="3639" ht="30" customHeight="1"/>
    <row r="3640" ht="30" customHeight="1"/>
    <row r="3641" ht="30" customHeight="1"/>
    <row r="3642" ht="30" customHeight="1"/>
    <row r="3643" ht="30" customHeight="1"/>
    <row r="3644" ht="30" customHeight="1"/>
    <row r="3645" ht="30" customHeight="1"/>
    <row r="3646" ht="30" customHeight="1"/>
    <row r="3647" ht="30" customHeight="1"/>
    <row r="3648" ht="30" customHeight="1"/>
    <row r="3649" ht="30" customHeight="1"/>
    <row r="3650" ht="30" customHeight="1"/>
    <row r="3651" ht="30" customHeight="1"/>
    <row r="3652" ht="30" customHeight="1"/>
    <row r="3653" ht="30" customHeight="1"/>
    <row r="3654" ht="30" customHeight="1"/>
    <row r="3655" ht="30" customHeight="1"/>
    <row r="3656" ht="30" customHeight="1"/>
    <row r="3657" ht="30" customHeight="1"/>
    <row r="3658" ht="30" customHeight="1"/>
    <row r="3659" ht="30" customHeight="1"/>
    <row r="3660" ht="30" customHeight="1"/>
    <row r="3661" ht="30" customHeight="1"/>
    <row r="3662" ht="30" customHeight="1"/>
    <row r="3663" ht="30" customHeight="1"/>
    <row r="3664" ht="30" customHeight="1"/>
    <row r="3665" ht="30" customHeight="1"/>
    <row r="3666" ht="30" customHeight="1"/>
    <row r="3667" ht="30" customHeight="1"/>
    <row r="3668" ht="30" customHeight="1"/>
    <row r="3669" ht="30" customHeight="1"/>
    <row r="3670" ht="30" customHeight="1"/>
    <row r="3671" ht="30" customHeight="1"/>
    <row r="3672" ht="30" customHeight="1"/>
    <row r="3673" ht="30" customHeight="1"/>
    <row r="3674" ht="30" customHeight="1"/>
    <row r="3675" ht="30" customHeight="1"/>
    <row r="3676" ht="30" customHeight="1"/>
    <row r="3677" ht="30" customHeight="1"/>
    <row r="3678" ht="30" customHeight="1"/>
    <row r="3679" ht="30" customHeight="1"/>
    <row r="3680" ht="30" customHeight="1"/>
    <row r="3681" ht="30" customHeight="1"/>
    <row r="3682" ht="30" customHeight="1"/>
    <row r="3683" ht="30" customHeight="1"/>
    <row r="3684" ht="30" customHeight="1"/>
    <row r="3685" ht="30" customHeight="1"/>
    <row r="3686" ht="30" customHeight="1"/>
    <row r="3687" ht="30" customHeight="1"/>
    <row r="3688" ht="30" customHeight="1"/>
    <row r="3689" ht="30" customHeight="1"/>
    <row r="3690" ht="30" customHeight="1"/>
    <row r="3691" ht="30" customHeight="1"/>
    <row r="3692" ht="30" customHeight="1"/>
    <row r="3693" ht="30" customHeight="1"/>
    <row r="3694" ht="30" customHeight="1"/>
    <row r="3695" ht="30" customHeight="1"/>
    <row r="3696" ht="30" customHeight="1"/>
    <row r="3697" ht="30" customHeight="1"/>
    <row r="3698" ht="30" customHeight="1"/>
    <row r="3699" ht="30" customHeight="1"/>
    <row r="3700" ht="30" customHeight="1"/>
    <row r="3701" ht="30" customHeight="1"/>
    <row r="3702" ht="30" customHeight="1"/>
    <row r="3703" ht="30" customHeight="1"/>
    <row r="3704" ht="30" customHeight="1"/>
    <row r="3705" ht="30" customHeight="1"/>
    <row r="3706" ht="30" customHeight="1"/>
    <row r="3707" ht="30" customHeight="1"/>
    <row r="3708" ht="30" customHeight="1"/>
    <row r="3709" ht="30" customHeight="1"/>
    <row r="3710" ht="30" customHeight="1"/>
    <row r="3711" ht="30" customHeight="1"/>
    <row r="3712" ht="30" customHeight="1"/>
    <row r="3713" ht="30" customHeight="1"/>
    <row r="3714" ht="30" customHeight="1"/>
    <row r="3715" ht="30" customHeight="1"/>
    <row r="3716" ht="30" customHeight="1"/>
    <row r="3717" ht="30" customHeight="1"/>
    <row r="3718" ht="30" customHeight="1"/>
    <row r="3719" ht="30" customHeight="1"/>
    <row r="3720" ht="30" customHeight="1"/>
    <row r="3721" ht="30" customHeight="1"/>
    <row r="3722" ht="30" customHeight="1"/>
    <row r="3723" ht="30" customHeight="1"/>
    <row r="3724" ht="30" customHeight="1"/>
    <row r="3725" ht="30" customHeight="1"/>
    <row r="3726" ht="30" customHeight="1"/>
    <row r="3727" ht="30" customHeight="1"/>
    <row r="3728" ht="30" customHeight="1"/>
    <row r="3729" ht="30" customHeight="1"/>
    <row r="3730" ht="30" customHeight="1"/>
    <row r="3731" ht="30" customHeight="1"/>
    <row r="3732" ht="30" customHeight="1"/>
    <row r="3733" ht="30" customHeight="1"/>
    <row r="3734" ht="30" customHeight="1"/>
    <row r="3735" ht="30" customHeight="1"/>
    <row r="3736" ht="30" customHeight="1"/>
    <row r="3737" ht="30" customHeight="1"/>
    <row r="3738" ht="30" customHeight="1"/>
    <row r="3739" ht="30" customHeight="1"/>
    <row r="3740" ht="30" customHeight="1"/>
    <row r="3741" ht="30" customHeight="1"/>
    <row r="3742" ht="30" customHeight="1"/>
    <row r="3743" ht="30" customHeight="1"/>
    <row r="3744" ht="30" customHeight="1"/>
    <row r="3745" ht="30" customHeight="1"/>
    <row r="3746" ht="30" customHeight="1"/>
    <row r="3747" ht="30" customHeight="1"/>
    <row r="3748" ht="30" customHeight="1"/>
    <row r="3749" ht="30" customHeight="1"/>
    <row r="3750" ht="30" customHeight="1"/>
    <row r="3751" ht="30" customHeight="1"/>
    <row r="3752" ht="30" customHeight="1"/>
    <row r="3753" ht="30" customHeight="1"/>
    <row r="3754" ht="30" customHeight="1"/>
    <row r="3755" ht="30" customHeight="1"/>
    <row r="3756" ht="30" customHeight="1"/>
    <row r="3757" ht="30" customHeight="1"/>
    <row r="3758" ht="30" customHeight="1"/>
    <row r="3759" ht="30" customHeight="1"/>
    <row r="3760" ht="30" customHeight="1"/>
    <row r="3761" ht="30" customHeight="1"/>
    <row r="3762" ht="30" customHeight="1"/>
    <row r="3763" ht="30" customHeight="1"/>
    <row r="3764" ht="30" customHeight="1"/>
    <row r="3765" ht="30" customHeight="1"/>
    <row r="3766" ht="30" customHeight="1"/>
    <row r="3767" ht="30" customHeight="1"/>
    <row r="3768" ht="30" customHeight="1"/>
    <row r="3769" ht="30" customHeight="1"/>
    <row r="3770" ht="30" customHeight="1"/>
    <row r="3771" ht="30" customHeight="1"/>
    <row r="3772" ht="30" customHeight="1"/>
    <row r="3773" ht="30" customHeight="1"/>
    <row r="3774" ht="30" customHeight="1"/>
    <row r="3775" ht="30" customHeight="1"/>
    <row r="3776" ht="30" customHeight="1"/>
    <row r="3777" ht="30" customHeight="1"/>
    <row r="3778" ht="30" customHeight="1"/>
    <row r="3779" ht="30" customHeight="1"/>
    <row r="3780" ht="30" customHeight="1"/>
    <row r="3781" ht="30" customHeight="1"/>
    <row r="3782" ht="30" customHeight="1"/>
    <row r="3783" ht="30" customHeight="1"/>
    <row r="3784" ht="30" customHeight="1"/>
    <row r="3785" ht="30" customHeight="1"/>
    <row r="3786" ht="30" customHeight="1"/>
    <row r="3787" ht="30" customHeight="1"/>
    <row r="3788" ht="30" customHeight="1"/>
    <row r="3789" ht="30" customHeight="1"/>
    <row r="3790" ht="30" customHeight="1"/>
    <row r="3791" ht="30" customHeight="1"/>
    <row r="3792" ht="30" customHeight="1"/>
    <row r="3793" ht="30" customHeight="1"/>
    <row r="3794" ht="30" customHeight="1"/>
    <row r="3795" ht="30" customHeight="1"/>
    <row r="3796" ht="30" customHeight="1"/>
    <row r="3797" ht="30" customHeight="1"/>
    <row r="3798" ht="30" customHeight="1"/>
    <row r="3799" ht="30" customHeight="1"/>
    <row r="3800" ht="30" customHeight="1"/>
    <row r="3801" ht="30" customHeight="1"/>
    <row r="3802" ht="30" customHeight="1"/>
    <row r="3803" ht="30" customHeight="1"/>
    <row r="3804" ht="30" customHeight="1"/>
    <row r="3805" ht="30" customHeight="1"/>
    <row r="3806" ht="30" customHeight="1"/>
    <row r="3807" ht="30" customHeight="1"/>
    <row r="3808" ht="30" customHeight="1"/>
    <row r="3809" ht="30" customHeight="1"/>
    <row r="3810" ht="30" customHeight="1"/>
    <row r="3811" ht="30" customHeight="1"/>
    <row r="3812" ht="30" customHeight="1"/>
    <row r="3813" ht="30" customHeight="1"/>
    <row r="3814" ht="30" customHeight="1"/>
    <row r="3815" ht="30" customHeight="1"/>
    <row r="3816" ht="30" customHeight="1"/>
    <row r="3817" ht="30" customHeight="1"/>
    <row r="3818" ht="30" customHeight="1"/>
    <row r="3819" ht="30" customHeight="1"/>
    <row r="3820" ht="30" customHeight="1"/>
    <row r="3821" ht="30" customHeight="1"/>
    <row r="3822" ht="30" customHeight="1"/>
    <row r="3823" ht="30" customHeight="1"/>
    <row r="3824" ht="30" customHeight="1"/>
    <row r="3825" ht="30" customHeight="1"/>
    <row r="3826" ht="30" customHeight="1"/>
    <row r="3827" ht="30" customHeight="1"/>
    <row r="3828" ht="30" customHeight="1"/>
    <row r="3829" ht="30" customHeight="1"/>
    <row r="3830" ht="30" customHeight="1"/>
    <row r="3831" ht="30" customHeight="1"/>
    <row r="3832" ht="30" customHeight="1"/>
    <row r="3833" ht="30" customHeight="1"/>
    <row r="3834" ht="30" customHeight="1"/>
    <row r="3835" ht="30" customHeight="1"/>
    <row r="3836" ht="30" customHeight="1"/>
    <row r="3837" ht="30" customHeight="1"/>
    <row r="3838" ht="30" customHeight="1"/>
    <row r="3839" ht="30" customHeight="1"/>
    <row r="3840" ht="30" customHeight="1"/>
    <row r="3841" ht="30" customHeight="1"/>
    <row r="3842" ht="30" customHeight="1"/>
    <row r="3843" ht="30" customHeight="1"/>
    <row r="3844" ht="30" customHeight="1"/>
    <row r="3845" ht="30" customHeight="1"/>
    <row r="3846" ht="30" customHeight="1"/>
    <row r="3847" ht="30" customHeight="1"/>
    <row r="3848" ht="30" customHeight="1"/>
    <row r="3849" ht="30" customHeight="1"/>
    <row r="3850" ht="30" customHeight="1"/>
    <row r="3851" ht="30" customHeight="1"/>
    <row r="3852" ht="30" customHeight="1"/>
    <row r="3853" ht="30" customHeight="1"/>
    <row r="3854" ht="30" customHeight="1"/>
    <row r="3855" ht="30" customHeight="1"/>
    <row r="3856" ht="30" customHeight="1"/>
    <row r="3857" ht="30" customHeight="1"/>
    <row r="3858" ht="30" customHeight="1"/>
    <row r="3859" ht="30" customHeight="1"/>
    <row r="3860" ht="30" customHeight="1"/>
    <row r="3861" ht="30" customHeight="1"/>
    <row r="3862" ht="30" customHeight="1"/>
    <row r="3863" ht="30" customHeight="1"/>
    <row r="3864" ht="30" customHeight="1"/>
    <row r="3865" ht="30" customHeight="1"/>
    <row r="3866" ht="30" customHeight="1"/>
    <row r="3867" ht="30" customHeight="1"/>
    <row r="3868" ht="30" customHeight="1"/>
    <row r="3869" ht="30" customHeight="1"/>
    <row r="3870" ht="30" customHeight="1"/>
    <row r="3871" ht="30" customHeight="1"/>
    <row r="3872" ht="30" customHeight="1"/>
    <row r="3873" ht="30" customHeight="1"/>
    <row r="3874" ht="30" customHeight="1"/>
    <row r="3875" ht="30" customHeight="1"/>
    <row r="3876" ht="30" customHeight="1"/>
    <row r="3877" ht="30" customHeight="1"/>
    <row r="3878" ht="30" customHeight="1"/>
    <row r="3879" ht="30" customHeight="1"/>
    <row r="3880" ht="30" customHeight="1"/>
    <row r="3881" ht="30" customHeight="1"/>
    <row r="3882" ht="30" customHeight="1"/>
    <row r="3883" ht="30" customHeight="1"/>
    <row r="3884" ht="30" customHeight="1"/>
    <row r="3885" ht="30" customHeight="1"/>
    <row r="3886" ht="30" customHeight="1"/>
    <row r="3887" ht="30" customHeight="1"/>
    <row r="3888" ht="30" customHeight="1"/>
    <row r="3889" ht="30" customHeight="1"/>
    <row r="3890" ht="30" customHeight="1"/>
    <row r="3891" ht="30" customHeight="1"/>
    <row r="3892" ht="30" customHeight="1"/>
    <row r="3893" ht="30" customHeight="1"/>
    <row r="3894" ht="30" customHeight="1"/>
    <row r="3895" ht="30" customHeight="1"/>
    <row r="3896" ht="30" customHeight="1"/>
    <row r="3897" ht="30" customHeight="1"/>
    <row r="3898" ht="30" customHeight="1"/>
    <row r="3899" ht="30" customHeight="1"/>
    <row r="3900" ht="30" customHeight="1"/>
    <row r="3901" ht="30" customHeight="1"/>
    <row r="3902" ht="30" customHeight="1"/>
    <row r="3903" ht="30" customHeight="1"/>
    <row r="3904" ht="30" customHeight="1"/>
    <row r="3905" ht="30" customHeight="1"/>
    <row r="3906" ht="30" customHeight="1"/>
    <row r="3907" ht="30" customHeight="1"/>
    <row r="3908" ht="30" customHeight="1"/>
    <row r="3909" ht="30" customHeight="1"/>
    <row r="3910" ht="30" customHeight="1"/>
    <row r="3911" ht="30" customHeight="1"/>
    <row r="3912" ht="30" customHeight="1"/>
    <row r="3913" ht="30" customHeight="1"/>
    <row r="3914" ht="30" customHeight="1"/>
    <row r="3915" ht="30" customHeight="1"/>
    <row r="3916" ht="30" customHeight="1"/>
    <row r="3917" ht="30" customHeight="1"/>
    <row r="3918" ht="30" customHeight="1"/>
    <row r="3919" ht="30" customHeight="1"/>
    <row r="3920" ht="30" customHeight="1"/>
    <row r="3921" ht="30" customHeight="1"/>
    <row r="3922" ht="30" customHeight="1"/>
    <row r="3923" ht="30" customHeight="1"/>
    <row r="3924" ht="30" customHeight="1"/>
    <row r="3925" ht="30" customHeight="1"/>
    <row r="3926" ht="30" customHeight="1"/>
    <row r="3927" ht="30" customHeight="1"/>
    <row r="3928" ht="30" customHeight="1"/>
    <row r="3929" ht="30" customHeight="1"/>
    <row r="3930" ht="30" customHeight="1"/>
    <row r="3931" ht="30" customHeight="1"/>
    <row r="3932" ht="30" customHeight="1"/>
    <row r="3933" ht="30" customHeight="1"/>
    <row r="3934" ht="30" customHeight="1"/>
    <row r="3935" ht="30" customHeight="1"/>
    <row r="3936" ht="30" customHeight="1"/>
    <row r="3937" ht="30" customHeight="1"/>
    <row r="3938" ht="30" customHeight="1"/>
    <row r="3939" ht="30" customHeight="1"/>
    <row r="3940" ht="30" customHeight="1"/>
    <row r="3941" ht="30" customHeight="1"/>
    <row r="3942" ht="30" customHeight="1"/>
    <row r="3943" ht="30" customHeight="1"/>
    <row r="3944" ht="30" customHeight="1"/>
    <row r="3945" ht="30" customHeight="1"/>
    <row r="3946" ht="30" customHeight="1"/>
    <row r="3947" ht="30" customHeight="1"/>
    <row r="3948" ht="30" customHeight="1"/>
    <row r="3949" ht="30" customHeight="1"/>
    <row r="3950" ht="30" customHeight="1"/>
    <row r="3951" ht="30" customHeight="1"/>
    <row r="3952" ht="30" customHeight="1"/>
    <row r="3953" ht="30" customHeight="1"/>
    <row r="3954" ht="30" customHeight="1"/>
    <row r="3955" ht="30" customHeight="1"/>
    <row r="3956" ht="30" customHeight="1"/>
    <row r="3957" ht="30" customHeight="1"/>
    <row r="3958" ht="30" customHeight="1"/>
    <row r="3959" ht="30" customHeight="1"/>
    <row r="3960" ht="30" customHeight="1"/>
    <row r="3961" ht="30" customHeight="1"/>
    <row r="3962" ht="30" customHeight="1"/>
    <row r="3963" ht="30" customHeight="1"/>
    <row r="3964" ht="30" customHeight="1"/>
    <row r="3965" ht="30" customHeight="1"/>
    <row r="3966" ht="30" customHeight="1"/>
    <row r="3967" ht="30" customHeight="1"/>
    <row r="3968" ht="30" customHeight="1"/>
    <row r="3969" ht="30" customHeight="1"/>
    <row r="3970" ht="30" customHeight="1"/>
    <row r="3971" ht="30" customHeight="1"/>
    <row r="3972" ht="30" customHeight="1"/>
    <row r="3973" ht="30" customHeight="1"/>
    <row r="3974" ht="30" customHeight="1"/>
    <row r="3975" ht="30" customHeight="1"/>
    <row r="3976" ht="30" customHeight="1"/>
    <row r="3977" ht="30" customHeight="1"/>
    <row r="3978" ht="30" customHeight="1"/>
    <row r="3979" ht="30" customHeight="1"/>
    <row r="3980" ht="30" customHeight="1"/>
    <row r="3981" ht="30" customHeight="1"/>
    <row r="3982" ht="30" customHeight="1"/>
    <row r="3983" ht="30" customHeight="1"/>
    <row r="3984" ht="30" customHeight="1"/>
    <row r="3985" ht="30" customHeight="1"/>
    <row r="3986" ht="30" customHeight="1"/>
    <row r="3987" ht="30" customHeight="1"/>
    <row r="3988" ht="30" customHeight="1"/>
    <row r="3989" ht="30" customHeight="1"/>
    <row r="3990" ht="30" customHeight="1"/>
    <row r="3991" ht="30" customHeight="1"/>
    <row r="3992" ht="30" customHeight="1"/>
    <row r="3993" ht="30" customHeight="1"/>
    <row r="3994" ht="30" customHeight="1"/>
    <row r="3995" ht="30" customHeight="1"/>
    <row r="3996" ht="30" customHeight="1"/>
    <row r="3997" ht="30" customHeight="1"/>
    <row r="3998" ht="30" customHeight="1"/>
    <row r="3999" ht="30" customHeight="1"/>
    <row r="4000" ht="30" customHeight="1"/>
    <row r="4001" ht="30" customHeight="1"/>
    <row r="4002" ht="30" customHeight="1"/>
    <row r="4003" ht="30" customHeight="1"/>
    <row r="4004" ht="30" customHeight="1"/>
    <row r="4005" ht="30" customHeight="1"/>
    <row r="4006" ht="30" customHeight="1"/>
    <row r="4007" ht="30" customHeight="1"/>
    <row r="4008" ht="30" customHeight="1"/>
    <row r="4009" ht="30" customHeight="1"/>
    <row r="4010" ht="30" customHeight="1"/>
    <row r="4011" ht="30" customHeight="1"/>
    <row r="4012" ht="30" customHeight="1"/>
    <row r="4013" ht="30" customHeight="1"/>
    <row r="4014" ht="30" customHeight="1"/>
    <row r="4015" ht="30" customHeight="1"/>
    <row r="4016" ht="30" customHeight="1"/>
    <row r="4017" ht="30" customHeight="1"/>
    <row r="4018" ht="30" customHeight="1"/>
    <row r="4019" ht="30" customHeight="1"/>
    <row r="4020" ht="30" customHeight="1"/>
    <row r="4021" ht="30" customHeight="1"/>
    <row r="4022" ht="30" customHeight="1"/>
    <row r="4023" ht="30" customHeight="1"/>
    <row r="4024" ht="30" customHeight="1"/>
    <row r="4025" ht="30" customHeight="1"/>
    <row r="4026" ht="30" customHeight="1"/>
    <row r="4027" ht="30" customHeight="1"/>
    <row r="4028" ht="30" customHeight="1"/>
    <row r="4029" ht="30" customHeight="1"/>
    <row r="4030" ht="30" customHeight="1"/>
    <row r="4031" ht="30" customHeight="1"/>
    <row r="4032" ht="30" customHeight="1"/>
    <row r="4033" ht="30" customHeight="1"/>
    <row r="4034" ht="30" customHeight="1"/>
    <row r="4035" ht="30" customHeight="1"/>
    <row r="4036" ht="30" customHeight="1"/>
    <row r="4037" ht="30" customHeight="1"/>
    <row r="4038" ht="30" customHeight="1"/>
    <row r="4039" ht="30" customHeight="1"/>
    <row r="4040" ht="30" customHeight="1"/>
    <row r="4041" ht="30" customHeight="1"/>
    <row r="4042" ht="30" customHeight="1"/>
    <row r="4043" ht="30" customHeight="1"/>
    <row r="4044" ht="30" customHeight="1"/>
    <row r="4045" ht="30" customHeight="1"/>
    <row r="4046" ht="30" customHeight="1"/>
    <row r="4047" ht="30" customHeight="1"/>
    <row r="4048" ht="30" customHeight="1"/>
    <row r="4049" ht="30" customHeight="1"/>
    <row r="4050" ht="30" customHeight="1"/>
    <row r="4051" ht="30" customHeight="1"/>
    <row r="4052" ht="30" customHeight="1"/>
    <row r="4053" ht="30" customHeight="1"/>
    <row r="4054" ht="30" customHeight="1"/>
    <row r="4055" ht="30" customHeight="1"/>
    <row r="4056" ht="30" customHeight="1"/>
    <row r="4057" ht="30" customHeight="1"/>
    <row r="4058" ht="30" customHeight="1"/>
    <row r="4059" ht="30" customHeight="1"/>
    <row r="4060" ht="30" customHeight="1"/>
    <row r="4061" ht="30" customHeight="1"/>
    <row r="4062" ht="30" customHeight="1"/>
    <row r="4063" ht="30" customHeight="1"/>
    <row r="4064" ht="30" customHeight="1"/>
    <row r="4065" ht="30" customHeight="1"/>
    <row r="4066" ht="30" customHeight="1"/>
    <row r="4067" ht="30" customHeight="1"/>
    <row r="4068" ht="30" customHeight="1"/>
    <row r="4069" ht="30" customHeight="1"/>
    <row r="4070" ht="30" customHeight="1"/>
    <row r="4071" ht="30" customHeight="1"/>
    <row r="4072" ht="30" customHeight="1"/>
    <row r="4073" ht="30" customHeight="1"/>
    <row r="4074" ht="30" customHeight="1"/>
    <row r="4075" ht="30" customHeight="1"/>
    <row r="4076" ht="30" customHeight="1"/>
    <row r="4077" ht="30" customHeight="1"/>
    <row r="4078" ht="30" customHeight="1"/>
    <row r="4079" ht="30" customHeight="1"/>
    <row r="4080" ht="30" customHeight="1"/>
    <row r="4081" ht="30" customHeight="1"/>
    <row r="4082" ht="30" customHeight="1"/>
    <row r="4083" ht="30" customHeight="1"/>
    <row r="4084" ht="30" customHeight="1"/>
    <row r="4085" ht="30" customHeight="1"/>
    <row r="4086" ht="30" customHeight="1"/>
    <row r="4087" ht="30" customHeight="1"/>
    <row r="4088" ht="30" customHeight="1"/>
    <row r="4089" ht="30" customHeight="1"/>
    <row r="4090" ht="30" customHeight="1"/>
    <row r="4091" ht="30" customHeight="1"/>
    <row r="4092" ht="30" customHeight="1"/>
    <row r="4093" ht="30" customHeight="1"/>
    <row r="4094" ht="30" customHeight="1"/>
    <row r="4095" ht="30" customHeight="1"/>
    <row r="4096" ht="30" customHeight="1"/>
    <row r="4097" ht="30" customHeight="1"/>
    <row r="4098" ht="30" customHeight="1"/>
    <row r="4099" ht="30" customHeight="1"/>
    <row r="4100" ht="30" customHeight="1"/>
    <row r="4101" ht="30" customHeight="1"/>
    <row r="4102" ht="30" customHeight="1"/>
    <row r="4103" ht="30" customHeight="1"/>
    <row r="4104" ht="30" customHeight="1"/>
    <row r="4105" ht="30" customHeight="1"/>
    <row r="4106" ht="30" customHeight="1"/>
    <row r="4107" ht="30" customHeight="1"/>
    <row r="4108" ht="30" customHeight="1"/>
    <row r="4109" ht="30" customHeight="1"/>
    <row r="4110" ht="30" customHeight="1"/>
    <row r="4111" ht="30" customHeight="1"/>
    <row r="4112" ht="30" customHeight="1"/>
    <row r="4113" ht="30" customHeight="1"/>
    <row r="4114" ht="30" customHeight="1"/>
    <row r="4115" ht="30" customHeight="1"/>
    <row r="4116" ht="30" customHeight="1"/>
    <row r="4117" ht="30" customHeight="1"/>
    <row r="4118" ht="30" customHeight="1"/>
    <row r="4119" ht="30" customHeight="1"/>
    <row r="4120" ht="30" customHeight="1"/>
    <row r="4121" ht="30" customHeight="1"/>
    <row r="4122" ht="30" customHeight="1"/>
    <row r="4123" ht="30" customHeight="1"/>
    <row r="4124" ht="30" customHeight="1"/>
    <row r="4125" ht="30" customHeight="1"/>
    <row r="4126" ht="30" customHeight="1"/>
    <row r="4127" ht="30" customHeight="1"/>
    <row r="4128" ht="30" customHeight="1"/>
    <row r="4129" ht="30" customHeight="1"/>
    <row r="4130" ht="30" customHeight="1"/>
    <row r="4131" ht="30" customHeight="1"/>
    <row r="4132" ht="30" customHeight="1"/>
    <row r="4133" ht="30" customHeight="1"/>
    <row r="4134" ht="30" customHeight="1"/>
    <row r="4135" ht="30" customHeight="1"/>
    <row r="4136" ht="30" customHeight="1"/>
    <row r="4137" ht="30" customHeight="1"/>
    <row r="4138" ht="30" customHeight="1"/>
    <row r="4139" ht="30" customHeight="1"/>
    <row r="4140" ht="30" customHeight="1"/>
    <row r="4141" ht="30" customHeight="1"/>
    <row r="4142" ht="30" customHeight="1"/>
    <row r="4143" ht="30" customHeight="1"/>
    <row r="4144" ht="30" customHeight="1"/>
    <row r="4145" ht="30" customHeight="1"/>
    <row r="4146" ht="30" customHeight="1"/>
    <row r="4147" ht="30" customHeight="1"/>
    <row r="4148" ht="30" customHeight="1"/>
    <row r="4149" ht="30" customHeight="1"/>
    <row r="4150" ht="30" customHeight="1"/>
    <row r="4151" ht="30" customHeight="1"/>
    <row r="4152" ht="30" customHeight="1"/>
    <row r="4153" ht="30" customHeight="1"/>
    <row r="4154" ht="30" customHeight="1"/>
    <row r="4155" ht="30" customHeight="1"/>
    <row r="4156" ht="30" customHeight="1"/>
    <row r="4157" ht="30" customHeight="1"/>
    <row r="4158" ht="30" customHeight="1"/>
    <row r="4159" ht="30" customHeight="1"/>
    <row r="4160" ht="30" customHeight="1"/>
    <row r="4161" ht="30" customHeight="1"/>
    <row r="4162" ht="30" customHeight="1"/>
    <row r="4163" ht="30" customHeight="1"/>
    <row r="4164" ht="30" customHeight="1"/>
    <row r="4165" ht="30" customHeight="1"/>
    <row r="4166" ht="30" customHeight="1"/>
    <row r="4167" ht="30" customHeight="1"/>
    <row r="4168" ht="30" customHeight="1"/>
    <row r="4169" ht="30" customHeight="1"/>
    <row r="4170" ht="30" customHeight="1"/>
    <row r="4171" ht="30" customHeight="1"/>
    <row r="4172" ht="30" customHeight="1"/>
    <row r="4173" ht="30" customHeight="1"/>
    <row r="4174" ht="30" customHeight="1"/>
    <row r="4175" ht="30" customHeight="1"/>
    <row r="4176" ht="30" customHeight="1"/>
    <row r="4177" ht="30" customHeight="1"/>
    <row r="4178" ht="30" customHeight="1"/>
    <row r="4179" ht="30" customHeight="1"/>
    <row r="4180" ht="30" customHeight="1"/>
    <row r="4181" ht="30" customHeight="1"/>
    <row r="4182" ht="30" customHeight="1"/>
    <row r="4183" ht="30" customHeight="1"/>
    <row r="4184" ht="30" customHeight="1"/>
    <row r="4185" ht="30" customHeight="1"/>
    <row r="4186" ht="30" customHeight="1"/>
    <row r="4187" ht="30" customHeight="1"/>
    <row r="4188" ht="30" customHeight="1"/>
    <row r="4189" ht="30" customHeight="1"/>
    <row r="4190" ht="30" customHeight="1"/>
    <row r="4191" ht="30" customHeight="1"/>
    <row r="4192" ht="30" customHeight="1"/>
    <row r="4193" ht="30" customHeight="1"/>
    <row r="4194" ht="30" customHeight="1"/>
    <row r="4195" ht="30" customHeight="1"/>
    <row r="4196" ht="30" customHeight="1"/>
    <row r="4197" ht="30" customHeight="1"/>
    <row r="4198" ht="30" customHeight="1"/>
    <row r="4199" ht="30" customHeight="1"/>
    <row r="4200" ht="30" customHeight="1"/>
    <row r="4201" ht="30" customHeight="1"/>
    <row r="4202" ht="30" customHeight="1"/>
    <row r="4203" ht="30" customHeight="1"/>
    <row r="4204" ht="30" customHeight="1"/>
    <row r="4205" ht="30" customHeight="1"/>
    <row r="4206" ht="30" customHeight="1"/>
    <row r="4207" ht="30" customHeight="1"/>
    <row r="4208" ht="30" customHeight="1"/>
    <row r="4209" ht="30" customHeight="1"/>
    <row r="4210" ht="30" customHeight="1"/>
    <row r="4211" ht="30" customHeight="1"/>
    <row r="4212" ht="30" customHeight="1"/>
    <row r="4213" ht="30" customHeight="1"/>
    <row r="4214" ht="30" customHeight="1"/>
    <row r="4215" ht="30" customHeight="1"/>
    <row r="4216" ht="30" customHeight="1"/>
    <row r="4217" ht="30" customHeight="1"/>
    <row r="4218" ht="30" customHeight="1"/>
    <row r="4219" ht="30" customHeight="1"/>
    <row r="4220" ht="30" customHeight="1"/>
    <row r="4221" ht="30" customHeight="1"/>
    <row r="4222" ht="30" customHeight="1"/>
    <row r="4223" ht="30" customHeight="1"/>
    <row r="4224" ht="30" customHeight="1"/>
    <row r="4225" ht="30" customHeight="1"/>
    <row r="4226" ht="30" customHeight="1"/>
    <row r="4227" ht="30" customHeight="1"/>
    <row r="4228" ht="30" customHeight="1"/>
    <row r="4229" ht="30" customHeight="1"/>
    <row r="4230" ht="30" customHeight="1"/>
    <row r="4231" ht="30" customHeight="1"/>
    <row r="4232" ht="30" customHeight="1"/>
    <row r="4233" ht="30" customHeight="1"/>
    <row r="4234" ht="30" customHeight="1"/>
    <row r="4235" ht="30" customHeight="1"/>
    <row r="4236" ht="30" customHeight="1"/>
    <row r="4237" ht="30" customHeight="1"/>
    <row r="4238" ht="30" customHeight="1"/>
    <row r="4239" ht="30" customHeight="1"/>
    <row r="4240" ht="30" customHeight="1"/>
    <row r="4241" ht="30" customHeight="1"/>
    <row r="4242" ht="30" customHeight="1"/>
    <row r="4243" ht="30" customHeight="1"/>
    <row r="4244" ht="30" customHeight="1"/>
    <row r="4245" ht="30" customHeight="1"/>
    <row r="4246" ht="30" customHeight="1"/>
    <row r="4247" ht="30" customHeight="1"/>
    <row r="4248" ht="30" customHeight="1"/>
    <row r="4249" ht="30" customHeight="1"/>
    <row r="4250" ht="30" customHeight="1"/>
    <row r="4251" ht="30" customHeight="1"/>
    <row r="4252" ht="30" customHeight="1"/>
    <row r="4253" ht="30" customHeight="1"/>
    <row r="4254" ht="30" customHeight="1"/>
    <row r="4255" ht="30" customHeight="1"/>
    <row r="4256" ht="30" customHeight="1"/>
    <row r="4257" ht="30" customHeight="1"/>
    <row r="4258" ht="30" customHeight="1"/>
    <row r="4259" ht="30" customHeight="1"/>
    <row r="4260" ht="30" customHeight="1"/>
    <row r="4261" ht="30" customHeight="1"/>
    <row r="4262" ht="30" customHeight="1"/>
    <row r="4263" ht="30" customHeight="1"/>
    <row r="4264" ht="30" customHeight="1"/>
    <row r="4265" ht="30" customHeight="1"/>
    <row r="4266" ht="30" customHeight="1"/>
    <row r="4267" ht="30" customHeight="1"/>
    <row r="4268" ht="30" customHeight="1"/>
    <row r="4269" ht="30" customHeight="1"/>
    <row r="4270" ht="30" customHeight="1"/>
    <row r="4271" ht="30" customHeight="1"/>
    <row r="4272" ht="30" customHeight="1"/>
    <row r="4273" ht="30" customHeight="1"/>
    <row r="4274" ht="30" customHeight="1"/>
    <row r="4275" ht="30" customHeight="1"/>
    <row r="4276" ht="30" customHeight="1"/>
    <row r="4277" ht="30" customHeight="1"/>
    <row r="4278" ht="30" customHeight="1"/>
    <row r="4279" ht="30" customHeight="1"/>
    <row r="4280" ht="30" customHeight="1"/>
    <row r="4281" ht="30" customHeight="1"/>
    <row r="4282" ht="30" customHeight="1"/>
    <row r="4283" ht="30" customHeight="1"/>
    <row r="4284" ht="30" customHeight="1"/>
    <row r="4285" ht="30" customHeight="1"/>
    <row r="4286" ht="30" customHeight="1"/>
    <row r="4287" ht="30" customHeight="1"/>
    <row r="4288" ht="30" customHeight="1"/>
    <row r="4289" ht="30" customHeight="1"/>
    <row r="4290" ht="30" customHeight="1"/>
    <row r="4291" ht="30" customHeight="1"/>
    <row r="4292" ht="30" customHeight="1"/>
    <row r="4293" ht="30" customHeight="1"/>
    <row r="4294" ht="30" customHeight="1"/>
    <row r="4295" ht="30" customHeight="1"/>
    <row r="4296" ht="30" customHeight="1"/>
    <row r="4297" ht="30" customHeight="1"/>
    <row r="4298" ht="30" customHeight="1"/>
    <row r="4299" ht="30" customHeight="1"/>
    <row r="4300" ht="30" customHeight="1"/>
    <row r="4301" ht="30" customHeight="1"/>
    <row r="4302" ht="30" customHeight="1"/>
    <row r="4303" ht="30" customHeight="1"/>
    <row r="4304" ht="30" customHeight="1"/>
    <row r="4305" ht="30" customHeight="1"/>
    <row r="4306" ht="30" customHeight="1"/>
    <row r="4307" ht="30" customHeight="1"/>
    <row r="4308" ht="30" customHeight="1"/>
    <row r="4309" ht="30" customHeight="1"/>
    <row r="4310" ht="30" customHeight="1"/>
    <row r="4311" ht="30" customHeight="1"/>
    <row r="4312" ht="30" customHeight="1"/>
    <row r="4313" ht="30" customHeight="1"/>
    <row r="4314" ht="30" customHeight="1"/>
    <row r="4315" ht="30" customHeight="1"/>
    <row r="4316" ht="30" customHeight="1"/>
    <row r="4317" ht="30" customHeight="1"/>
    <row r="4318" ht="30" customHeight="1"/>
    <row r="4319" ht="30" customHeight="1"/>
    <row r="4320" ht="30" customHeight="1"/>
    <row r="4321" ht="30" customHeight="1"/>
    <row r="4322" ht="30" customHeight="1"/>
    <row r="4323" ht="30" customHeight="1"/>
    <row r="4324" ht="30" customHeight="1"/>
    <row r="4325" ht="30" customHeight="1"/>
    <row r="4326" ht="30" customHeight="1"/>
    <row r="4327" ht="30" customHeight="1"/>
    <row r="4328" ht="30" customHeight="1"/>
    <row r="4329" ht="30" customHeight="1"/>
    <row r="4330" ht="30" customHeight="1"/>
    <row r="4331" ht="30" customHeight="1"/>
    <row r="4332" ht="30" customHeight="1"/>
    <row r="4333" ht="30" customHeight="1"/>
    <row r="4334" ht="30" customHeight="1"/>
    <row r="4335" ht="30" customHeight="1"/>
    <row r="4336" ht="30" customHeight="1"/>
    <row r="4337" ht="30" customHeight="1"/>
    <row r="4338" ht="30" customHeight="1"/>
    <row r="4339" ht="30" customHeight="1"/>
    <row r="4340" ht="30" customHeight="1"/>
    <row r="4341" ht="30" customHeight="1"/>
    <row r="4342" ht="30" customHeight="1"/>
    <row r="4343" ht="30" customHeight="1"/>
    <row r="4344" ht="30" customHeight="1"/>
    <row r="4345" ht="30" customHeight="1"/>
    <row r="4346" ht="30" customHeight="1"/>
    <row r="4347" ht="30" customHeight="1"/>
    <row r="4348" ht="30" customHeight="1"/>
    <row r="4349" ht="30" customHeight="1"/>
    <row r="4350" ht="30" customHeight="1"/>
    <row r="4351" ht="30" customHeight="1"/>
    <row r="4352" ht="30" customHeight="1"/>
    <row r="4353" ht="30" customHeight="1"/>
    <row r="4354" ht="30" customHeight="1"/>
    <row r="4355" ht="30" customHeight="1"/>
    <row r="4356" ht="30" customHeight="1"/>
    <row r="4357" ht="30" customHeight="1"/>
    <row r="4358" ht="30" customHeight="1"/>
    <row r="4359" ht="30" customHeight="1"/>
    <row r="4360" ht="30" customHeight="1"/>
    <row r="4361" ht="30" customHeight="1"/>
    <row r="4362" ht="30" customHeight="1"/>
    <row r="4363" ht="30" customHeight="1"/>
    <row r="4364" ht="30" customHeight="1"/>
    <row r="4365" ht="30" customHeight="1"/>
    <row r="4366" ht="30" customHeight="1"/>
    <row r="4367" ht="30" customHeight="1"/>
    <row r="4368" ht="30" customHeight="1"/>
    <row r="4369" ht="30" customHeight="1"/>
    <row r="4370" ht="30" customHeight="1"/>
    <row r="4371" ht="30" customHeight="1"/>
    <row r="4372" ht="30" customHeight="1"/>
    <row r="4373" ht="30" customHeight="1"/>
    <row r="4374" ht="30" customHeight="1"/>
    <row r="4375" ht="30" customHeight="1"/>
    <row r="4376" ht="30" customHeight="1"/>
    <row r="4377" ht="30" customHeight="1"/>
    <row r="4378" ht="30" customHeight="1"/>
    <row r="4379" ht="30" customHeight="1"/>
    <row r="4380" ht="30" customHeight="1"/>
    <row r="4381" ht="30" customHeight="1"/>
    <row r="4382" ht="30" customHeight="1"/>
    <row r="4383" ht="30" customHeight="1"/>
    <row r="4384" ht="30" customHeight="1"/>
    <row r="4385" ht="30" customHeight="1"/>
    <row r="4386" ht="30" customHeight="1"/>
    <row r="4387" ht="30" customHeight="1"/>
    <row r="4388" ht="30" customHeight="1"/>
    <row r="4389" ht="30" customHeight="1"/>
    <row r="4390" ht="30" customHeight="1"/>
    <row r="4391" ht="30" customHeight="1"/>
    <row r="4392" ht="30" customHeight="1"/>
    <row r="4393" ht="30" customHeight="1"/>
    <row r="4394" ht="30" customHeight="1"/>
    <row r="4395" ht="30" customHeight="1"/>
    <row r="4396" ht="30" customHeight="1"/>
    <row r="4397" ht="30" customHeight="1"/>
    <row r="4398" ht="30" customHeight="1"/>
    <row r="4399" ht="30" customHeight="1"/>
    <row r="4400" ht="30" customHeight="1"/>
    <row r="4401" ht="30" customHeight="1"/>
    <row r="4402" ht="30" customHeight="1"/>
    <row r="4403" ht="30" customHeight="1"/>
    <row r="4404" ht="30" customHeight="1"/>
    <row r="4405" ht="30" customHeight="1"/>
    <row r="4406" ht="30" customHeight="1"/>
    <row r="4407" ht="30" customHeight="1"/>
    <row r="4408" ht="30" customHeight="1"/>
    <row r="4409" ht="30" customHeight="1"/>
    <row r="4410" ht="30" customHeight="1"/>
    <row r="4411" ht="30" customHeight="1"/>
    <row r="4412" ht="30" customHeight="1"/>
    <row r="4413" ht="30" customHeight="1"/>
    <row r="4414" ht="30" customHeight="1"/>
    <row r="4415" ht="30" customHeight="1"/>
    <row r="4416" ht="30" customHeight="1"/>
    <row r="4417" ht="30" customHeight="1"/>
    <row r="4418" ht="30" customHeight="1"/>
    <row r="4419" ht="30" customHeight="1"/>
    <row r="4420" ht="30" customHeight="1"/>
    <row r="4421" ht="30" customHeight="1"/>
    <row r="4422" ht="30" customHeight="1"/>
    <row r="4423" ht="30" customHeight="1"/>
    <row r="4424" ht="30" customHeight="1"/>
    <row r="4425" ht="30" customHeight="1"/>
    <row r="4426" ht="30" customHeight="1"/>
    <row r="4427" ht="30" customHeight="1"/>
    <row r="4428" ht="30" customHeight="1"/>
    <row r="4429" ht="30" customHeight="1"/>
    <row r="4430" ht="30" customHeight="1"/>
    <row r="4431" ht="30" customHeight="1"/>
    <row r="4432" ht="30" customHeight="1"/>
    <row r="4433" ht="30" customHeight="1"/>
    <row r="4434" ht="30" customHeight="1"/>
    <row r="4435" ht="30" customHeight="1"/>
    <row r="4436" ht="30" customHeight="1"/>
    <row r="4437" ht="30" customHeight="1"/>
    <row r="4438" ht="30" customHeight="1"/>
    <row r="4439" ht="30" customHeight="1"/>
    <row r="4440" ht="30" customHeight="1"/>
    <row r="4441" ht="30" customHeight="1"/>
    <row r="4442" ht="30" customHeight="1"/>
    <row r="4443" ht="30" customHeight="1"/>
    <row r="4444" ht="30" customHeight="1"/>
    <row r="4445" ht="30" customHeight="1"/>
    <row r="4446" ht="30" customHeight="1"/>
    <row r="4447" ht="30" customHeight="1"/>
    <row r="4448" ht="30" customHeight="1"/>
    <row r="4449" ht="30" customHeight="1"/>
    <row r="4450" ht="30" customHeight="1"/>
    <row r="4451" ht="30" customHeight="1"/>
    <row r="4452" ht="30" customHeight="1"/>
    <row r="4453" ht="30" customHeight="1"/>
    <row r="4454" ht="30" customHeight="1"/>
    <row r="4455" ht="30" customHeight="1"/>
    <row r="4456" ht="30" customHeight="1"/>
    <row r="4457" ht="30" customHeight="1"/>
    <row r="4458" ht="30" customHeight="1"/>
    <row r="4459" ht="30" customHeight="1"/>
    <row r="4460" ht="30" customHeight="1"/>
    <row r="4461" ht="30" customHeight="1"/>
    <row r="4462" ht="30" customHeight="1"/>
    <row r="4463" ht="30" customHeight="1"/>
    <row r="4464" ht="30" customHeight="1"/>
    <row r="4465" ht="30" customHeight="1"/>
    <row r="4466" ht="30" customHeight="1"/>
    <row r="4467" ht="30" customHeight="1"/>
    <row r="4468" ht="30" customHeight="1"/>
    <row r="4469" ht="30" customHeight="1"/>
    <row r="4470" ht="30" customHeight="1"/>
    <row r="4471" ht="30" customHeight="1"/>
    <row r="4472" ht="30" customHeight="1"/>
    <row r="4473" ht="30" customHeight="1"/>
    <row r="4474" ht="30" customHeight="1"/>
    <row r="4475" ht="30" customHeight="1"/>
    <row r="4476" ht="30" customHeight="1"/>
    <row r="4477" ht="30" customHeight="1"/>
    <row r="4478" ht="30" customHeight="1"/>
    <row r="4479" ht="30" customHeight="1"/>
    <row r="4480" ht="30" customHeight="1"/>
    <row r="4481" ht="30" customHeight="1"/>
    <row r="4482" ht="30" customHeight="1"/>
    <row r="4483" ht="30" customHeight="1"/>
    <row r="4484" ht="30" customHeight="1"/>
    <row r="4485" ht="30" customHeight="1"/>
    <row r="4486" ht="30" customHeight="1"/>
    <row r="4487" ht="30" customHeight="1"/>
    <row r="4488" ht="30" customHeight="1"/>
    <row r="4489" ht="30" customHeight="1"/>
    <row r="4490" ht="30" customHeight="1"/>
    <row r="4491" ht="30" customHeight="1"/>
    <row r="4492" ht="30" customHeight="1"/>
    <row r="4493" ht="30" customHeight="1"/>
    <row r="4494" ht="30" customHeight="1"/>
    <row r="4495" ht="30" customHeight="1"/>
    <row r="4496" ht="30" customHeight="1"/>
    <row r="4497" ht="30" customHeight="1"/>
    <row r="4498" ht="30" customHeight="1"/>
    <row r="4499" ht="30" customHeight="1"/>
    <row r="4500" ht="30" customHeight="1"/>
    <row r="4501" ht="30" customHeight="1"/>
    <row r="4502" ht="30" customHeight="1"/>
    <row r="4503" ht="30" customHeight="1"/>
    <row r="4504" ht="30" customHeight="1"/>
    <row r="4505" ht="30" customHeight="1"/>
    <row r="4506" ht="30" customHeight="1"/>
    <row r="4507" ht="30" customHeight="1"/>
    <row r="4508" ht="30" customHeight="1"/>
    <row r="4509" ht="30" customHeight="1"/>
    <row r="4510" ht="30" customHeight="1"/>
    <row r="4511" ht="30" customHeight="1"/>
    <row r="4512" ht="30" customHeight="1"/>
    <row r="4513" ht="30" customHeight="1"/>
    <row r="4514" ht="30" customHeight="1"/>
    <row r="4515" ht="30" customHeight="1"/>
    <row r="4516" ht="30" customHeight="1"/>
    <row r="4517" ht="30" customHeight="1"/>
    <row r="4518" ht="30" customHeight="1"/>
    <row r="4519" ht="30" customHeight="1"/>
    <row r="4520" ht="30" customHeight="1"/>
    <row r="4521" ht="30" customHeight="1"/>
    <row r="4522" ht="30" customHeight="1"/>
    <row r="4523" ht="30" customHeight="1"/>
    <row r="4524" ht="30" customHeight="1"/>
    <row r="4525" ht="30" customHeight="1"/>
    <row r="4526" ht="30" customHeight="1"/>
    <row r="4527" ht="30" customHeight="1"/>
    <row r="4528" ht="30" customHeight="1"/>
    <row r="4529" ht="30" customHeight="1"/>
    <row r="4530" ht="30" customHeight="1"/>
    <row r="4531" ht="30" customHeight="1"/>
    <row r="4532" ht="30" customHeight="1"/>
    <row r="4533" ht="30" customHeight="1"/>
    <row r="4534" ht="30" customHeight="1"/>
    <row r="4535" ht="30" customHeight="1"/>
    <row r="4536" ht="30" customHeight="1"/>
    <row r="4537" ht="30" customHeight="1"/>
    <row r="4538" ht="30" customHeight="1"/>
    <row r="4539" ht="30" customHeight="1"/>
    <row r="4540" ht="30" customHeight="1"/>
    <row r="4541" ht="30" customHeight="1"/>
    <row r="4542" ht="30" customHeight="1"/>
    <row r="4543" ht="30" customHeight="1"/>
    <row r="4544" ht="30" customHeight="1"/>
    <row r="4545" ht="30" customHeight="1"/>
    <row r="4546" ht="30" customHeight="1"/>
    <row r="4547" ht="30" customHeight="1"/>
    <row r="4548" ht="30" customHeight="1"/>
    <row r="4549" ht="30" customHeight="1"/>
    <row r="4550" ht="30" customHeight="1"/>
    <row r="4551" ht="30" customHeight="1"/>
    <row r="4552" ht="30" customHeight="1"/>
    <row r="4553" ht="30" customHeight="1"/>
    <row r="4554" ht="30" customHeight="1"/>
    <row r="4555" ht="30" customHeight="1"/>
    <row r="4556" ht="30" customHeight="1"/>
    <row r="4557" ht="30" customHeight="1"/>
    <row r="4558" ht="30" customHeight="1"/>
    <row r="4559" ht="30" customHeight="1"/>
    <row r="4560" ht="30" customHeight="1"/>
    <row r="4561" ht="30" customHeight="1"/>
    <row r="4562" ht="30" customHeight="1"/>
    <row r="4563" ht="30" customHeight="1"/>
    <row r="4564" ht="30" customHeight="1"/>
    <row r="4565" ht="30" customHeight="1"/>
    <row r="4566" ht="30" customHeight="1"/>
    <row r="4567" ht="30" customHeight="1"/>
    <row r="4568" ht="30" customHeight="1"/>
    <row r="4569" ht="30" customHeight="1"/>
    <row r="4570" ht="30" customHeight="1"/>
    <row r="4571" ht="30" customHeight="1"/>
    <row r="4572" ht="30" customHeight="1"/>
    <row r="4573" ht="30" customHeight="1"/>
    <row r="4574" ht="30" customHeight="1"/>
    <row r="4575" ht="30" customHeight="1"/>
    <row r="4576" ht="30" customHeight="1"/>
    <row r="4577" ht="30" customHeight="1"/>
    <row r="4578" ht="30" customHeight="1"/>
    <row r="4579" ht="30" customHeight="1"/>
    <row r="4580" ht="30" customHeight="1"/>
    <row r="4581" ht="30" customHeight="1"/>
    <row r="4582" ht="30" customHeight="1"/>
    <row r="4583" ht="30" customHeight="1"/>
    <row r="4584" ht="30" customHeight="1"/>
    <row r="4585" ht="30" customHeight="1"/>
    <row r="4586" ht="30" customHeight="1"/>
    <row r="4587" ht="30" customHeight="1"/>
    <row r="4588" ht="30" customHeight="1"/>
    <row r="4589" ht="30" customHeight="1"/>
    <row r="4590" ht="30" customHeight="1"/>
    <row r="4591" ht="30" customHeight="1"/>
    <row r="4592" ht="30" customHeight="1"/>
    <row r="4593" ht="30" customHeight="1"/>
    <row r="4594" ht="30" customHeight="1"/>
    <row r="4595" ht="30" customHeight="1"/>
    <row r="4596" ht="30" customHeight="1"/>
    <row r="4597" ht="30" customHeight="1"/>
    <row r="4598" ht="30" customHeight="1"/>
    <row r="4599" ht="30" customHeight="1"/>
    <row r="4600" ht="30" customHeight="1"/>
    <row r="4601" ht="30" customHeight="1"/>
    <row r="4602" ht="30" customHeight="1"/>
    <row r="4603" ht="30" customHeight="1"/>
    <row r="4604" ht="30" customHeight="1"/>
    <row r="4605" ht="30" customHeight="1"/>
    <row r="4606" ht="30" customHeight="1"/>
    <row r="4607" ht="30" customHeight="1"/>
    <row r="4608" ht="30" customHeight="1"/>
    <row r="4609" ht="30" customHeight="1"/>
    <row r="4610" ht="30" customHeight="1"/>
    <row r="4611" ht="30" customHeight="1"/>
    <row r="4612" ht="30" customHeight="1"/>
    <row r="4613" ht="30" customHeight="1"/>
    <row r="4614" ht="30" customHeight="1"/>
    <row r="4615" ht="30" customHeight="1"/>
    <row r="4616" ht="30" customHeight="1"/>
    <row r="4617" ht="30" customHeight="1"/>
    <row r="4618" ht="30" customHeight="1"/>
    <row r="4619" ht="30" customHeight="1"/>
    <row r="4620" ht="30" customHeight="1"/>
    <row r="4621" ht="30" customHeight="1"/>
    <row r="4622" ht="30" customHeight="1"/>
    <row r="4623" ht="30" customHeight="1"/>
    <row r="4624" ht="30" customHeight="1"/>
    <row r="4625" ht="30" customHeight="1"/>
    <row r="4626" ht="30" customHeight="1"/>
    <row r="4627" ht="30" customHeight="1"/>
    <row r="4628" ht="30" customHeight="1"/>
    <row r="4629" ht="30" customHeight="1"/>
    <row r="4630" ht="30" customHeight="1"/>
    <row r="4631" ht="30" customHeight="1"/>
    <row r="4632" ht="30" customHeight="1"/>
    <row r="4633" ht="30" customHeight="1"/>
    <row r="4634" ht="30" customHeight="1"/>
    <row r="4635" ht="30" customHeight="1"/>
    <row r="4636" ht="30" customHeight="1"/>
    <row r="4637" ht="30" customHeight="1"/>
    <row r="4638" ht="30" customHeight="1"/>
    <row r="4639" ht="30" customHeight="1"/>
    <row r="4640" ht="30" customHeight="1"/>
    <row r="4641" ht="30" customHeight="1"/>
    <row r="4642" ht="30" customHeight="1"/>
    <row r="4643" ht="30" customHeight="1"/>
    <row r="4644" ht="30" customHeight="1"/>
    <row r="4645" ht="30" customHeight="1"/>
    <row r="4646" ht="30" customHeight="1"/>
    <row r="4647" ht="30" customHeight="1"/>
    <row r="4648" ht="30" customHeight="1"/>
    <row r="4649" ht="30" customHeight="1"/>
    <row r="4650" ht="30" customHeight="1"/>
    <row r="4651" ht="30" customHeight="1"/>
    <row r="4652" ht="30" customHeight="1"/>
    <row r="4653" ht="30" customHeight="1"/>
    <row r="4654" ht="30" customHeight="1"/>
    <row r="4655" ht="30" customHeight="1"/>
    <row r="4656" ht="30" customHeight="1"/>
    <row r="4657" ht="30" customHeight="1"/>
    <row r="4658" ht="30" customHeight="1"/>
    <row r="4659" ht="30" customHeight="1"/>
    <row r="4660" ht="30" customHeight="1"/>
    <row r="4661" ht="30" customHeight="1"/>
    <row r="4662" ht="30" customHeight="1"/>
    <row r="4663" ht="30" customHeight="1"/>
    <row r="4664" ht="30" customHeight="1"/>
    <row r="4665" ht="30" customHeight="1"/>
    <row r="4666" ht="30" customHeight="1"/>
    <row r="4667" ht="30" customHeight="1"/>
    <row r="4668" ht="30" customHeight="1"/>
    <row r="4669" ht="30" customHeight="1"/>
    <row r="4670" ht="30" customHeight="1"/>
    <row r="4671" ht="30" customHeight="1"/>
    <row r="4672" ht="30" customHeight="1"/>
    <row r="4673" ht="30" customHeight="1"/>
    <row r="4674" ht="30" customHeight="1"/>
    <row r="4675" ht="30" customHeight="1"/>
    <row r="4676" ht="30" customHeight="1"/>
    <row r="4677" ht="30" customHeight="1"/>
    <row r="4678" ht="30" customHeight="1"/>
    <row r="4679" ht="30" customHeight="1"/>
    <row r="4680" ht="30" customHeight="1"/>
    <row r="4681" ht="30" customHeight="1"/>
    <row r="4682" ht="30" customHeight="1"/>
    <row r="4683" ht="30" customHeight="1"/>
    <row r="4684" ht="30" customHeight="1"/>
    <row r="4685" ht="30" customHeight="1"/>
    <row r="4686" ht="30" customHeight="1"/>
    <row r="4687" ht="30" customHeight="1"/>
    <row r="4688" ht="30" customHeight="1"/>
    <row r="4689" ht="30" customHeight="1"/>
    <row r="4690" ht="30" customHeight="1"/>
    <row r="4691" ht="30" customHeight="1"/>
    <row r="4692" ht="30" customHeight="1"/>
    <row r="4693" ht="30" customHeight="1"/>
    <row r="4694" ht="30" customHeight="1"/>
    <row r="4695" ht="30" customHeight="1"/>
    <row r="4696" ht="30" customHeight="1"/>
    <row r="4697" ht="30" customHeight="1"/>
    <row r="4698" ht="30" customHeight="1"/>
    <row r="4699" ht="30" customHeight="1"/>
    <row r="4700" ht="30" customHeight="1"/>
    <row r="4701" ht="30" customHeight="1"/>
    <row r="4702" ht="30" customHeight="1"/>
    <row r="4703" ht="30" customHeight="1"/>
    <row r="4704" ht="30" customHeight="1"/>
    <row r="4705" ht="30" customHeight="1"/>
    <row r="4706" ht="30" customHeight="1"/>
    <row r="4707" ht="30" customHeight="1"/>
    <row r="4708" ht="30" customHeight="1"/>
    <row r="4709" ht="30" customHeight="1"/>
    <row r="4710" ht="30" customHeight="1"/>
    <row r="4711" ht="30" customHeight="1"/>
    <row r="4712" ht="30" customHeight="1"/>
    <row r="4713" ht="30" customHeight="1"/>
    <row r="4714" ht="30" customHeight="1"/>
    <row r="4715" ht="30" customHeight="1"/>
    <row r="4716" ht="30" customHeight="1"/>
    <row r="4717" ht="30" customHeight="1"/>
    <row r="4718" ht="30" customHeight="1"/>
    <row r="4719" ht="30" customHeight="1"/>
    <row r="4720" ht="30" customHeight="1"/>
    <row r="4721" ht="30" customHeight="1"/>
    <row r="4722" ht="30" customHeight="1"/>
    <row r="4723" ht="30" customHeight="1"/>
    <row r="4724" ht="30" customHeight="1"/>
    <row r="4725" ht="30" customHeight="1"/>
    <row r="4726" ht="30" customHeight="1"/>
    <row r="4727" ht="30" customHeight="1"/>
    <row r="4728" ht="30" customHeight="1"/>
    <row r="4729" ht="30" customHeight="1"/>
    <row r="4730" ht="30" customHeight="1"/>
    <row r="4731" ht="30" customHeight="1"/>
    <row r="4732" ht="30" customHeight="1"/>
    <row r="4733" ht="30" customHeight="1"/>
    <row r="4734" ht="30" customHeight="1"/>
    <row r="4735" ht="30" customHeight="1"/>
    <row r="4736" ht="30" customHeight="1"/>
    <row r="4737" ht="30" customHeight="1"/>
    <row r="4738" ht="30" customHeight="1"/>
    <row r="4739" ht="30" customHeight="1"/>
    <row r="4740" ht="30" customHeight="1"/>
    <row r="4741" ht="30" customHeight="1"/>
    <row r="4742" ht="30" customHeight="1"/>
    <row r="4743" ht="30" customHeight="1"/>
    <row r="4744" ht="30" customHeight="1"/>
    <row r="4745" ht="30" customHeight="1"/>
    <row r="4746" ht="30" customHeight="1"/>
    <row r="4747" ht="30" customHeight="1"/>
    <row r="4748" ht="30" customHeight="1"/>
    <row r="4749" ht="30" customHeight="1"/>
    <row r="4750" ht="30" customHeight="1"/>
    <row r="4751" ht="30" customHeight="1"/>
    <row r="4752" ht="30" customHeight="1"/>
    <row r="4753" ht="30" customHeight="1"/>
    <row r="4754" ht="30" customHeight="1"/>
    <row r="4755" ht="30" customHeight="1"/>
    <row r="4756" ht="30" customHeight="1"/>
    <row r="4757" ht="30" customHeight="1"/>
    <row r="4758" ht="30" customHeight="1"/>
    <row r="4759" ht="30" customHeight="1"/>
    <row r="4760" ht="30" customHeight="1"/>
    <row r="4761" ht="30" customHeight="1"/>
    <row r="4762" ht="30" customHeight="1"/>
    <row r="4763" ht="30" customHeight="1"/>
    <row r="4764" ht="30" customHeight="1"/>
    <row r="4765" ht="30" customHeight="1"/>
    <row r="4766" ht="30" customHeight="1"/>
    <row r="4767" ht="30" customHeight="1"/>
    <row r="4768" ht="30" customHeight="1"/>
    <row r="4769" ht="30" customHeight="1"/>
    <row r="4770" ht="30" customHeight="1"/>
    <row r="4771" ht="30" customHeight="1"/>
    <row r="4772" ht="30" customHeight="1"/>
    <row r="4773" ht="30" customHeight="1"/>
    <row r="4774" ht="30" customHeight="1"/>
    <row r="4775" ht="30" customHeight="1"/>
    <row r="4776" ht="30" customHeight="1"/>
    <row r="4777" ht="30" customHeight="1"/>
    <row r="4778" ht="30" customHeight="1"/>
    <row r="4779" ht="30" customHeight="1"/>
    <row r="4780" ht="30" customHeight="1"/>
    <row r="4781" ht="30" customHeight="1"/>
    <row r="4782" ht="30" customHeight="1"/>
    <row r="4783" ht="30" customHeight="1"/>
    <row r="4784" ht="30" customHeight="1"/>
    <row r="4785" ht="30" customHeight="1"/>
    <row r="4786" ht="30" customHeight="1"/>
    <row r="4787" ht="30" customHeight="1"/>
    <row r="4788" ht="30" customHeight="1"/>
    <row r="4789" ht="30" customHeight="1"/>
    <row r="4790" ht="30" customHeight="1"/>
    <row r="4791" ht="30" customHeight="1"/>
    <row r="4792" ht="30" customHeight="1"/>
    <row r="4793" ht="30" customHeight="1"/>
    <row r="4794" ht="30" customHeight="1"/>
    <row r="4795" ht="30" customHeight="1"/>
    <row r="4796" ht="30" customHeight="1"/>
    <row r="4797" ht="30" customHeight="1"/>
    <row r="4798" ht="30" customHeight="1"/>
    <row r="4799" ht="30" customHeight="1"/>
    <row r="4800" ht="30" customHeight="1"/>
    <row r="4801" ht="30" customHeight="1"/>
    <row r="4802" ht="30" customHeight="1"/>
    <row r="4803" ht="30" customHeight="1"/>
    <row r="4804" ht="30" customHeight="1"/>
    <row r="4805" ht="30" customHeight="1"/>
    <row r="4806" ht="30" customHeight="1"/>
    <row r="4807" ht="30" customHeight="1"/>
    <row r="4808" ht="30" customHeight="1"/>
    <row r="4809" ht="30" customHeight="1"/>
    <row r="4810" ht="30" customHeight="1"/>
    <row r="4811" ht="30" customHeight="1"/>
    <row r="4812" ht="30" customHeight="1"/>
    <row r="4813" ht="30" customHeight="1"/>
    <row r="4814" ht="30" customHeight="1"/>
    <row r="4815" ht="30" customHeight="1"/>
    <row r="4816" ht="30" customHeight="1"/>
    <row r="4817" ht="30" customHeight="1"/>
    <row r="4818" ht="30" customHeight="1"/>
    <row r="4819" ht="30" customHeight="1"/>
    <row r="4820" ht="30" customHeight="1"/>
    <row r="4821" ht="30" customHeight="1"/>
    <row r="4822" ht="30" customHeight="1"/>
    <row r="4823" ht="30" customHeight="1"/>
    <row r="4824" ht="30" customHeight="1"/>
    <row r="4825" ht="30" customHeight="1"/>
    <row r="4826" ht="30" customHeight="1"/>
    <row r="4827" ht="30" customHeight="1"/>
    <row r="4828" ht="30" customHeight="1"/>
    <row r="4829" ht="30" customHeight="1"/>
    <row r="4830" ht="30" customHeight="1"/>
    <row r="4831" ht="30" customHeight="1"/>
    <row r="4832" ht="30" customHeight="1"/>
    <row r="4833" ht="30" customHeight="1"/>
    <row r="4834" ht="30" customHeight="1"/>
    <row r="4835" ht="30" customHeight="1"/>
    <row r="4836" ht="30" customHeight="1"/>
    <row r="4837" ht="30" customHeight="1"/>
    <row r="4838" ht="30" customHeight="1"/>
    <row r="4839" ht="30" customHeight="1"/>
    <row r="4840" ht="30" customHeight="1"/>
    <row r="4841" ht="30" customHeight="1"/>
    <row r="4842" ht="30" customHeight="1"/>
    <row r="4843" ht="30" customHeight="1"/>
    <row r="4844" ht="30" customHeight="1"/>
    <row r="4845" ht="30" customHeight="1"/>
    <row r="4846" ht="30" customHeight="1"/>
    <row r="4847" ht="30" customHeight="1"/>
    <row r="4848" ht="30" customHeight="1"/>
    <row r="4849" ht="30" customHeight="1"/>
    <row r="4850" ht="30" customHeight="1"/>
    <row r="4851" ht="30" customHeight="1"/>
    <row r="4852" ht="30" customHeight="1"/>
    <row r="4853" ht="30" customHeight="1"/>
    <row r="4854" ht="30" customHeight="1"/>
    <row r="4855" ht="30" customHeight="1"/>
    <row r="4856" ht="30" customHeight="1"/>
    <row r="4857" ht="30" customHeight="1"/>
    <row r="4858" ht="30" customHeight="1"/>
    <row r="4859" ht="30" customHeight="1"/>
    <row r="4860" ht="30" customHeight="1"/>
    <row r="4861" ht="30" customHeight="1"/>
    <row r="4862" ht="30" customHeight="1"/>
    <row r="4863" ht="30" customHeight="1"/>
    <row r="4864" ht="30" customHeight="1"/>
    <row r="4865" ht="30" customHeight="1"/>
    <row r="4866" ht="30" customHeight="1"/>
    <row r="4867" ht="30" customHeight="1"/>
    <row r="4868" ht="30" customHeight="1"/>
    <row r="4869" ht="30" customHeight="1"/>
    <row r="4870" ht="30" customHeight="1"/>
    <row r="4871" ht="30" customHeight="1"/>
    <row r="4872" ht="30" customHeight="1"/>
    <row r="4873" ht="30" customHeight="1"/>
    <row r="4874" ht="30" customHeight="1"/>
    <row r="4875" ht="30" customHeight="1"/>
    <row r="4876" ht="30" customHeight="1"/>
    <row r="4877" ht="30" customHeight="1"/>
    <row r="4878" ht="30" customHeight="1"/>
    <row r="4879" ht="30" customHeight="1"/>
    <row r="4880" ht="30" customHeight="1"/>
    <row r="4881" ht="30" customHeight="1"/>
    <row r="4882" ht="30" customHeight="1"/>
    <row r="4883" ht="30" customHeight="1"/>
    <row r="4884" ht="30" customHeight="1"/>
    <row r="4885" ht="30" customHeight="1"/>
    <row r="4886" ht="30" customHeight="1"/>
    <row r="4887" ht="30" customHeight="1"/>
    <row r="4888" ht="30" customHeight="1"/>
    <row r="4889" ht="30" customHeight="1"/>
    <row r="4890" ht="30" customHeight="1"/>
    <row r="4891" ht="30" customHeight="1"/>
    <row r="4892" ht="30" customHeight="1"/>
    <row r="4893" ht="30" customHeight="1"/>
    <row r="4894" ht="30" customHeight="1"/>
    <row r="4895" ht="30" customHeight="1"/>
    <row r="4896" ht="30" customHeight="1"/>
    <row r="4897" ht="30" customHeight="1"/>
    <row r="4898" ht="30" customHeight="1"/>
    <row r="4899" ht="30" customHeight="1"/>
    <row r="4900" ht="30" customHeight="1"/>
    <row r="4901" ht="30" customHeight="1"/>
    <row r="4902" ht="30" customHeight="1"/>
    <row r="4903" ht="30" customHeight="1"/>
    <row r="4904" ht="30" customHeight="1"/>
    <row r="4905" ht="30" customHeight="1"/>
    <row r="4906" ht="30" customHeight="1"/>
    <row r="4907" ht="30" customHeight="1"/>
    <row r="4908" ht="30" customHeight="1"/>
    <row r="4909" ht="30" customHeight="1"/>
    <row r="4910" ht="30" customHeight="1"/>
    <row r="4911" ht="30" customHeight="1"/>
    <row r="4912" ht="30" customHeight="1"/>
    <row r="4913" ht="30" customHeight="1"/>
    <row r="4914" ht="30" customHeight="1"/>
    <row r="4915" ht="30" customHeight="1"/>
    <row r="4916" ht="30" customHeight="1"/>
    <row r="4917" ht="30" customHeight="1"/>
    <row r="4918" ht="30" customHeight="1"/>
    <row r="4919" ht="30" customHeight="1"/>
    <row r="4920" ht="30" customHeight="1"/>
    <row r="4921" ht="30" customHeight="1"/>
    <row r="4922" ht="30" customHeight="1"/>
    <row r="4923" ht="30" customHeight="1"/>
    <row r="4924" ht="30" customHeight="1"/>
    <row r="4925" ht="30" customHeight="1"/>
    <row r="4926" ht="30" customHeight="1"/>
    <row r="4927" ht="30" customHeight="1"/>
    <row r="4928" ht="30" customHeight="1"/>
    <row r="4929" ht="30" customHeight="1"/>
    <row r="4930" ht="30" customHeight="1"/>
    <row r="4931" ht="30" customHeight="1"/>
    <row r="4932" ht="30" customHeight="1"/>
    <row r="4933" ht="30" customHeight="1"/>
    <row r="4934" ht="30" customHeight="1"/>
    <row r="4935" ht="30" customHeight="1"/>
    <row r="4936" ht="30" customHeight="1"/>
    <row r="4937" ht="30" customHeight="1"/>
    <row r="4938" ht="30" customHeight="1"/>
    <row r="4939" ht="30" customHeight="1"/>
    <row r="4940" ht="30" customHeight="1"/>
    <row r="4941" ht="30" customHeight="1"/>
    <row r="4942" ht="30" customHeight="1"/>
    <row r="4943" ht="30" customHeight="1"/>
    <row r="4944" ht="30" customHeight="1"/>
    <row r="4945" ht="30" customHeight="1"/>
    <row r="4946" ht="30" customHeight="1"/>
    <row r="4947" ht="30" customHeight="1"/>
    <row r="4948" ht="30" customHeight="1"/>
    <row r="4949" ht="30" customHeight="1"/>
    <row r="4950" ht="30" customHeight="1"/>
    <row r="4951" ht="30" customHeight="1"/>
    <row r="4952" ht="30" customHeight="1"/>
    <row r="4953" ht="30" customHeight="1"/>
    <row r="4954" ht="30" customHeight="1"/>
    <row r="4955" ht="30" customHeight="1"/>
    <row r="4956" ht="30" customHeight="1"/>
    <row r="4957" ht="30" customHeight="1"/>
    <row r="4958" ht="30" customHeight="1"/>
    <row r="4959" ht="30" customHeight="1"/>
    <row r="4960" ht="30" customHeight="1"/>
    <row r="4961" ht="30" customHeight="1"/>
    <row r="4962" ht="30" customHeight="1"/>
    <row r="4963" ht="30" customHeight="1"/>
    <row r="4964" ht="30" customHeight="1"/>
    <row r="4965" ht="30" customHeight="1"/>
    <row r="4966" ht="30" customHeight="1"/>
    <row r="4967" ht="30" customHeight="1"/>
    <row r="4968" ht="30" customHeight="1"/>
    <row r="4969" ht="30" customHeight="1"/>
    <row r="4970" ht="30" customHeight="1"/>
    <row r="4971" ht="30" customHeight="1"/>
    <row r="4972" ht="30" customHeight="1"/>
    <row r="4973" ht="30" customHeight="1"/>
    <row r="4974" ht="30" customHeight="1"/>
    <row r="4975" ht="30" customHeight="1"/>
    <row r="4976" ht="30" customHeight="1"/>
    <row r="4977" ht="30" customHeight="1"/>
    <row r="4978" ht="30" customHeight="1"/>
    <row r="4979" ht="30" customHeight="1"/>
    <row r="4980" ht="30" customHeight="1"/>
    <row r="4981" ht="30" customHeight="1"/>
    <row r="4982" ht="30" customHeight="1"/>
    <row r="4983" ht="30" customHeight="1"/>
    <row r="4984" ht="30" customHeight="1"/>
    <row r="4985" ht="30" customHeight="1"/>
    <row r="4986" ht="30" customHeight="1"/>
    <row r="4987" ht="30" customHeight="1"/>
    <row r="4988" ht="30" customHeight="1"/>
    <row r="4989" ht="30" customHeight="1"/>
    <row r="4990" ht="30" customHeight="1"/>
    <row r="4991" ht="30" customHeight="1"/>
    <row r="4992" ht="30" customHeight="1"/>
    <row r="4993" ht="30" customHeight="1"/>
    <row r="4994" ht="30" customHeight="1"/>
    <row r="4995" ht="30" customHeight="1"/>
    <row r="4996" ht="30" customHeight="1"/>
    <row r="4997" ht="30" customHeight="1"/>
    <row r="4998" ht="30" customHeight="1"/>
    <row r="4999" ht="30" customHeight="1"/>
    <row r="5000" ht="30" customHeight="1"/>
    <row r="5001" ht="30" customHeight="1"/>
    <row r="5002" ht="30" customHeight="1"/>
    <row r="5003" ht="30" customHeight="1"/>
    <row r="5004" ht="30" customHeight="1"/>
    <row r="5005" ht="30" customHeight="1"/>
    <row r="5006" ht="30" customHeight="1"/>
    <row r="5007" ht="30" customHeight="1"/>
    <row r="5008" ht="30" customHeight="1"/>
    <row r="5009" ht="30" customHeight="1"/>
    <row r="5010" ht="30" customHeight="1"/>
    <row r="5011" ht="30" customHeight="1"/>
    <row r="5012" ht="30" customHeight="1"/>
    <row r="5013" ht="30" customHeight="1"/>
    <row r="5014" ht="30" customHeight="1"/>
    <row r="5015" ht="30" customHeight="1"/>
    <row r="5016" ht="30" customHeight="1"/>
    <row r="5017" ht="30" customHeight="1"/>
    <row r="5018" ht="30" customHeight="1"/>
    <row r="5019" ht="30" customHeight="1"/>
    <row r="5020" ht="30" customHeight="1"/>
    <row r="5021" ht="30" customHeight="1"/>
    <row r="5022" ht="30" customHeight="1"/>
    <row r="5023" ht="30" customHeight="1"/>
    <row r="5024" ht="30" customHeight="1"/>
    <row r="5025" ht="30" customHeight="1"/>
    <row r="5026" ht="30" customHeight="1"/>
    <row r="5027" ht="30" customHeight="1"/>
    <row r="5028" ht="30" customHeight="1"/>
    <row r="5029" ht="30" customHeight="1"/>
    <row r="5030" ht="30" customHeight="1"/>
    <row r="5031" ht="30" customHeight="1"/>
    <row r="5032" ht="30" customHeight="1"/>
    <row r="5033" ht="30" customHeight="1"/>
    <row r="5034" ht="30" customHeight="1"/>
    <row r="5035" ht="30" customHeight="1"/>
    <row r="5036" ht="30" customHeight="1"/>
    <row r="5037" ht="30" customHeight="1"/>
    <row r="5038" ht="30" customHeight="1"/>
    <row r="5039" ht="30" customHeight="1"/>
    <row r="5040" ht="30" customHeight="1"/>
    <row r="5041" ht="30" customHeight="1"/>
    <row r="5042" ht="30" customHeight="1"/>
    <row r="5043" ht="30" customHeight="1"/>
    <row r="5044" ht="30" customHeight="1"/>
    <row r="5045" ht="30" customHeight="1"/>
    <row r="5046" ht="30" customHeight="1"/>
    <row r="5047" ht="30" customHeight="1"/>
    <row r="5048" ht="30" customHeight="1"/>
    <row r="5049" ht="30" customHeight="1"/>
    <row r="5050" ht="30" customHeight="1"/>
    <row r="5051" ht="30" customHeight="1"/>
    <row r="5052" ht="30" customHeight="1"/>
    <row r="5053" ht="30" customHeight="1"/>
    <row r="5054" ht="30" customHeight="1"/>
    <row r="5055" ht="30" customHeight="1"/>
    <row r="5056" ht="30" customHeight="1"/>
    <row r="5057" ht="30" customHeight="1"/>
    <row r="5058" ht="30" customHeight="1"/>
    <row r="5059" ht="30" customHeight="1"/>
    <row r="5060" ht="30" customHeight="1"/>
    <row r="5061" ht="30" customHeight="1"/>
    <row r="5062" ht="30" customHeight="1"/>
    <row r="5063" ht="30" customHeight="1"/>
    <row r="5064" ht="30" customHeight="1"/>
    <row r="5065" ht="30" customHeight="1"/>
    <row r="5066" ht="30" customHeight="1"/>
    <row r="5067" ht="30" customHeight="1"/>
    <row r="5068" ht="30" customHeight="1"/>
    <row r="5069" ht="30" customHeight="1"/>
    <row r="5070" ht="30" customHeight="1"/>
    <row r="5071" ht="30" customHeight="1"/>
    <row r="5072" ht="30" customHeight="1"/>
    <row r="5073" ht="30" customHeight="1"/>
    <row r="5074" ht="30" customHeight="1"/>
    <row r="5075" ht="30" customHeight="1"/>
    <row r="5076" ht="30" customHeight="1"/>
    <row r="5077" ht="30" customHeight="1"/>
    <row r="5078" ht="30" customHeight="1"/>
    <row r="5079" ht="30" customHeight="1"/>
    <row r="5080" ht="30" customHeight="1"/>
    <row r="5081" ht="30" customHeight="1"/>
    <row r="5082" ht="30" customHeight="1"/>
    <row r="5083" ht="30" customHeight="1"/>
    <row r="5084" ht="30" customHeight="1"/>
    <row r="5085" ht="30" customHeight="1"/>
    <row r="5086" ht="30" customHeight="1"/>
    <row r="5087" ht="30" customHeight="1"/>
    <row r="5088" ht="30" customHeight="1"/>
    <row r="5089" ht="30" customHeight="1"/>
    <row r="5090" ht="30" customHeight="1"/>
    <row r="5091" ht="30" customHeight="1"/>
    <row r="5092" ht="30" customHeight="1"/>
    <row r="5093" ht="30" customHeight="1"/>
    <row r="5094" ht="30" customHeight="1"/>
    <row r="5095" ht="30" customHeight="1"/>
    <row r="5096" ht="30" customHeight="1"/>
    <row r="5097" ht="30" customHeight="1"/>
    <row r="5098" ht="30" customHeight="1"/>
    <row r="5099" ht="30" customHeight="1"/>
    <row r="5100" ht="30" customHeight="1"/>
    <row r="5101" ht="30" customHeight="1"/>
    <row r="5102" ht="30" customHeight="1"/>
    <row r="5103" ht="30" customHeight="1"/>
    <row r="5104" ht="30" customHeight="1"/>
    <row r="5105" ht="30" customHeight="1"/>
    <row r="5106" ht="30" customHeight="1"/>
    <row r="5107" ht="30" customHeight="1"/>
    <row r="5108" ht="30" customHeight="1"/>
    <row r="5109" ht="30" customHeight="1"/>
    <row r="5110" ht="30" customHeight="1"/>
    <row r="5111" ht="30" customHeight="1"/>
    <row r="5112" ht="30" customHeight="1"/>
    <row r="5113" ht="30" customHeight="1"/>
    <row r="5114" ht="30" customHeight="1"/>
    <row r="5115" ht="30" customHeight="1"/>
    <row r="5116" ht="30" customHeight="1"/>
    <row r="5117" ht="30" customHeight="1"/>
    <row r="5118" ht="30" customHeight="1"/>
    <row r="5119" ht="30" customHeight="1"/>
    <row r="5120" ht="30" customHeight="1"/>
    <row r="5121" ht="30" customHeight="1"/>
    <row r="5122" ht="30" customHeight="1"/>
    <row r="5123" ht="30" customHeight="1"/>
    <row r="5124" ht="30" customHeight="1"/>
    <row r="5125" ht="30" customHeight="1"/>
    <row r="5126" ht="30" customHeight="1"/>
    <row r="5127" ht="30" customHeight="1"/>
    <row r="5128" ht="30" customHeight="1"/>
    <row r="5129" ht="30" customHeight="1"/>
    <row r="5130" ht="30" customHeight="1"/>
    <row r="5131" ht="30" customHeight="1"/>
    <row r="5132" ht="30" customHeight="1"/>
    <row r="5133" ht="30" customHeight="1"/>
    <row r="5134" ht="30" customHeight="1"/>
    <row r="5135" ht="30" customHeight="1"/>
    <row r="5136" ht="30" customHeight="1"/>
    <row r="5137" ht="30" customHeight="1"/>
    <row r="5138" ht="30" customHeight="1"/>
    <row r="5139" ht="30" customHeight="1"/>
    <row r="5140" ht="30" customHeight="1"/>
    <row r="5141" ht="30" customHeight="1"/>
    <row r="5142" ht="30" customHeight="1"/>
    <row r="5143" ht="30" customHeight="1"/>
    <row r="5144" ht="30" customHeight="1"/>
    <row r="5145" ht="30" customHeight="1"/>
    <row r="5146" ht="30" customHeight="1"/>
    <row r="5147" ht="30" customHeight="1"/>
    <row r="5148" ht="30" customHeight="1"/>
    <row r="5149" ht="30" customHeight="1"/>
    <row r="5150" ht="30" customHeight="1"/>
    <row r="5151" ht="30" customHeight="1"/>
    <row r="5152" ht="30" customHeight="1"/>
    <row r="5153" ht="30" customHeight="1"/>
    <row r="5154" ht="30" customHeight="1"/>
    <row r="5155" ht="30" customHeight="1"/>
    <row r="5156" ht="30" customHeight="1"/>
    <row r="5157" ht="30" customHeight="1"/>
    <row r="5158" ht="30" customHeight="1"/>
    <row r="5159" ht="30" customHeight="1"/>
    <row r="5160" ht="30" customHeight="1"/>
    <row r="5161" ht="30" customHeight="1"/>
    <row r="5162" ht="30" customHeight="1"/>
    <row r="5163" ht="30" customHeight="1"/>
    <row r="5164" ht="30" customHeight="1"/>
    <row r="5165" ht="30" customHeight="1"/>
    <row r="5166" ht="30" customHeight="1"/>
    <row r="5167" ht="30" customHeight="1"/>
    <row r="5168" ht="30" customHeight="1"/>
    <row r="5169" ht="30" customHeight="1"/>
    <row r="5170" ht="30" customHeight="1"/>
    <row r="5171" ht="30" customHeight="1"/>
    <row r="5172" ht="30" customHeight="1"/>
    <row r="5173" ht="30" customHeight="1"/>
    <row r="5174" ht="30" customHeight="1"/>
    <row r="5175" ht="30" customHeight="1"/>
    <row r="5176" ht="30" customHeight="1"/>
    <row r="5177" ht="30" customHeight="1"/>
    <row r="5178" ht="30" customHeight="1"/>
    <row r="5179" ht="30" customHeight="1"/>
    <row r="5180" ht="30" customHeight="1"/>
    <row r="5181" ht="30" customHeight="1"/>
    <row r="5182" ht="30" customHeight="1"/>
    <row r="5183" ht="30" customHeight="1"/>
    <row r="5184" ht="30" customHeight="1"/>
    <row r="5185" ht="30" customHeight="1"/>
    <row r="5186" ht="30" customHeight="1"/>
    <row r="5187" ht="30" customHeight="1"/>
    <row r="5188" ht="30" customHeight="1"/>
    <row r="5189" ht="30" customHeight="1"/>
    <row r="5190" ht="30" customHeight="1"/>
    <row r="5191" ht="30" customHeight="1"/>
    <row r="5192" ht="30" customHeight="1"/>
    <row r="5193" ht="30" customHeight="1"/>
    <row r="5194" ht="30" customHeight="1"/>
    <row r="5195" ht="30" customHeight="1"/>
    <row r="5196" ht="30" customHeight="1"/>
    <row r="5197" ht="30" customHeight="1"/>
    <row r="5198" ht="30" customHeight="1"/>
    <row r="5199" ht="30" customHeight="1"/>
    <row r="5200" ht="30" customHeight="1"/>
    <row r="5201" ht="30" customHeight="1"/>
    <row r="5202" ht="30" customHeight="1"/>
    <row r="5203" ht="30" customHeight="1"/>
    <row r="5204" ht="30" customHeight="1"/>
    <row r="5205" ht="30" customHeight="1"/>
    <row r="5206" ht="30" customHeight="1"/>
    <row r="5207" ht="30" customHeight="1"/>
    <row r="5208" ht="30" customHeight="1"/>
    <row r="5209" ht="30" customHeight="1"/>
    <row r="5210" ht="30" customHeight="1"/>
    <row r="5211" ht="30" customHeight="1"/>
    <row r="5212" ht="30" customHeight="1"/>
    <row r="5213" ht="30" customHeight="1"/>
    <row r="5214" ht="30" customHeight="1"/>
    <row r="5215" ht="30" customHeight="1"/>
    <row r="5216" ht="30" customHeight="1"/>
    <row r="5217" ht="30" customHeight="1"/>
    <row r="5218" ht="30" customHeight="1"/>
    <row r="5219" ht="30" customHeight="1"/>
    <row r="5220" ht="30" customHeight="1"/>
    <row r="5221" ht="30" customHeight="1"/>
    <row r="5222" ht="30" customHeight="1"/>
    <row r="5223" ht="30" customHeight="1"/>
    <row r="5224" ht="30" customHeight="1"/>
    <row r="5225" ht="30" customHeight="1"/>
    <row r="5226" ht="30" customHeight="1"/>
    <row r="5227" ht="30" customHeight="1"/>
    <row r="5228" ht="30" customHeight="1"/>
    <row r="5229" ht="30" customHeight="1"/>
    <row r="5230" ht="30" customHeight="1"/>
    <row r="5231" ht="30" customHeight="1"/>
    <row r="5232" ht="30" customHeight="1"/>
    <row r="5233" ht="30" customHeight="1"/>
    <row r="5234" ht="30" customHeight="1"/>
    <row r="5235" ht="30" customHeight="1"/>
    <row r="5236" ht="30" customHeight="1"/>
    <row r="5237" ht="30" customHeight="1"/>
    <row r="5238" ht="30" customHeight="1"/>
    <row r="5239" ht="30" customHeight="1"/>
    <row r="5240" ht="30" customHeight="1"/>
    <row r="5241" ht="30" customHeight="1"/>
    <row r="5242" ht="30" customHeight="1"/>
    <row r="5243" ht="30" customHeight="1"/>
    <row r="5244" ht="30" customHeight="1"/>
    <row r="5245" ht="30" customHeight="1"/>
    <row r="5246" ht="30" customHeight="1"/>
    <row r="5247" ht="30" customHeight="1"/>
    <row r="5248" ht="30" customHeight="1"/>
    <row r="5249" ht="30" customHeight="1"/>
    <row r="5250" ht="30" customHeight="1"/>
    <row r="5251" ht="30" customHeight="1"/>
    <row r="5252" ht="30" customHeight="1"/>
    <row r="5253" ht="30" customHeight="1"/>
    <row r="5254" ht="30" customHeight="1"/>
    <row r="5255" ht="30" customHeight="1"/>
    <row r="5256" ht="30" customHeight="1"/>
    <row r="5257" ht="30" customHeight="1"/>
    <row r="5258" ht="30" customHeight="1"/>
    <row r="5259" ht="30" customHeight="1"/>
    <row r="5260" ht="30" customHeight="1"/>
    <row r="5261" ht="30" customHeight="1"/>
    <row r="5262" ht="30" customHeight="1"/>
    <row r="5263" ht="30" customHeight="1"/>
    <row r="5264" ht="30" customHeight="1"/>
    <row r="5265" ht="30" customHeight="1"/>
    <row r="5266" ht="30" customHeight="1"/>
    <row r="5267" ht="30" customHeight="1"/>
    <row r="5268" ht="30" customHeight="1"/>
    <row r="5269" ht="30" customHeight="1"/>
    <row r="5270" ht="30" customHeight="1"/>
    <row r="5271" ht="30" customHeight="1"/>
    <row r="5272" ht="30" customHeight="1"/>
    <row r="5273" ht="30" customHeight="1"/>
    <row r="5274" ht="30" customHeight="1"/>
    <row r="5275" ht="30" customHeight="1"/>
    <row r="5276" ht="30" customHeight="1"/>
    <row r="5277" ht="30" customHeight="1"/>
    <row r="5278" ht="30" customHeight="1"/>
    <row r="5279" ht="30" customHeight="1"/>
    <row r="5280" ht="30" customHeight="1"/>
    <row r="5281" ht="30" customHeight="1"/>
    <row r="5282" ht="30" customHeight="1"/>
    <row r="5283" ht="30" customHeight="1"/>
    <row r="5284" ht="30" customHeight="1"/>
    <row r="5285" ht="30" customHeight="1"/>
    <row r="5286" ht="30" customHeight="1"/>
    <row r="5287" ht="30" customHeight="1"/>
    <row r="5288" ht="30" customHeight="1"/>
    <row r="5289" ht="30" customHeight="1"/>
    <row r="5290" ht="30" customHeight="1"/>
    <row r="5291" ht="30" customHeight="1"/>
    <row r="5292" ht="30" customHeight="1"/>
    <row r="5293" ht="30" customHeight="1"/>
    <row r="5294" ht="30" customHeight="1"/>
    <row r="5295" ht="30" customHeight="1"/>
    <row r="5296" ht="30" customHeight="1"/>
    <row r="5297" ht="30" customHeight="1"/>
    <row r="5298" ht="30" customHeight="1"/>
    <row r="5299" ht="30" customHeight="1"/>
    <row r="5300" ht="30" customHeight="1"/>
    <row r="5301" ht="30" customHeight="1"/>
    <row r="5302" ht="30" customHeight="1"/>
    <row r="5303" ht="30" customHeight="1"/>
    <row r="5304" ht="30" customHeight="1"/>
    <row r="5305" ht="30" customHeight="1"/>
    <row r="5306" ht="30" customHeight="1"/>
    <row r="5307" ht="30" customHeight="1"/>
    <row r="5308" ht="30" customHeight="1"/>
    <row r="5309" ht="30" customHeight="1"/>
    <row r="5310" ht="30" customHeight="1"/>
    <row r="5311" ht="30" customHeight="1"/>
    <row r="5312" ht="30" customHeight="1"/>
    <row r="5313" ht="30" customHeight="1"/>
    <row r="5314" ht="30" customHeight="1"/>
    <row r="5315" ht="30" customHeight="1"/>
    <row r="5316" ht="30" customHeight="1"/>
    <row r="5317" ht="30" customHeight="1"/>
    <row r="5318" ht="30" customHeight="1"/>
    <row r="5319" ht="30" customHeight="1"/>
    <row r="5320" ht="30" customHeight="1"/>
    <row r="5321" ht="30" customHeight="1"/>
    <row r="5322" ht="30" customHeight="1"/>
    <row r="5323" ht="30" customHeight="1"/>
    <row r="5324" ht="30" customHeight="1"/>
    <row r="5325" ht="30" customHeight="1"/>
    <row r="5326" ht="30" customHeight="1"/>
    <row r="5327" ht="30" customHeight="1"/>
    <row r="5328" ht="30" customHeight="1"/>
    <row r="5329" ht="30" customHeight="1"/>
    <row r="5330" ht="30" customHeight="1"/>
    <row r="5331" ht="30" customHeight="1"/>
    <row r="5332" ht="30" customHeight="1"/>
    <row r="5333" ht="30" customHeight="1"/>
    <row r="5334" ht="30" customHeight="1"/>
    <row r="5335" ht="30" customHeight="1"/>
    <row r="5336" ht="30" customHeight="1"/>
    <row r="5337" ht="30" customHeight="1"/>
    <row r="5338" ht="30" customHeight="1"/>
    <row r="5339" ht="30" customHeight="1"/>
    <row r="5340" ht="30" customHeight="1"/>
    <row r="5341" ht="30" customHeight="1"/>
    <row r="5342" ht="30" customHeight="1"/>
    <row r="5343" ht="30" customHeight="1"/>
    <row r="5344" ht="30" customHeight="1"/>
    <row r="5345" ht="30" customHeight="1"/>
    <row r="5346" ht="30" customHeight="1"/>
    <row r="5347" ht="30" customHeight="1"/>
    <row r="5348" ht="30" customHeight="1"/>
    <row r="5349" ht="30" customHeight="1"/>
    <row r="5350" ht="30" customHeight="1"/>
    <row r="5351" ht="30" customHeight="1"/>
    <row r="5352" ht="30" customHeight="1"/>
    <row r="5353" ht="30" customHeight="1"/>
    <row r="5354" ht="30" customHeight="1"/>
    <row r="5355" ht="30" customHeight="1"/>
    <row r="5356" ht="30" customHeight="1"/>
    <row r="5357" ht="30" customHeight="1"/>
    <row r="5358" ht="30" customHeight="1"/>
    <row r="5359" ht="30" customHeight="1"/>
    <row r="5360" ht="30" customHeight="1"/>
    <row r="5361" ht="30" customHeight="1"/>
    <row r="5362" ht="30" customHeight="1"/>
    <row r="5363" ht="30" customHeight="1"/>
    <row r="5364" ht="30" customHeight="1"/>
    <row r="5365" ht="30" customHeight="1"/>
    <row r="5366" ht="30" customHeight="1"/>
    <row r="5367" ht="30" customHeight="1"/>
    <row r="5368" ht="30" customHeight="1"/>
    <row r="5369" ht="30" customHeight="1"/>
    <row r="5370" ht="30" customHeight="1"/>
    <row r="5371" ht="30" customHeight="1"/>
    <row r="5372" ht="30" customHeight="1"/>
    <row r="5373" ht="30" customHeight="1"/>
    <row r="5374" ht="30" customHeight="1"/>
    <row r="5375" ht="30" customHeight="1"/>
    <row r="5376" ht="30" customHeight="1"/>
    <row r="5377" ht="30" customHeight="1"/>
    <row r="5378" ht="30" customHeight="1"/>
    <row r="5379" ht="30" customHeight="1"/>
    <row r="5380" ht="30" customHeight="1"/>
    <row r="5381" ht="30" customHeight="1"/>
    <row r="5382" ht="30" customHeight="1"/>
    <row r="5383" ht="30" customHeight="1"/>
    <row r="5384" ht="30" customHeight="1"/>
    <row r="5385" ht="30" customHeight="1"/>
    <row r="5386" ht="30" customHeight="1"/>
    <row r="5387" ht="30" customHeight="1"/>
    <row r="5388" ht="30" customHeight="1"/>
    <row r="5389" ht="30" customHeight="1"/>
    <row r="5390" ht="30" customHeight="1"/>
    <row r="5391" ht="30" customHeight="1"/>
    <row r="5392" ht="30" customHeight="1"/>
    <row r="5393" ht="30" customHeight="1"/>
    <row r="5394" ht="30" customHeight="1"/>
    <row r="5395" ht="30" customHeight="1"/>
    <row r="5396" ht="30" customHeight="1"/>
    <row r="5397" ht="30" customHeight="1"/>
    <row r="5398" ht="30" customHeight="1"/>
    <row r="5399" ht="30" customHeight="1"/>
    <row r="5400" ht="30" customHeight="1"/>
    <row r="5401" ht="30" customHeight="1"/>
    <row r="5402" ht="30" customHeight="1"/>
    <row r="5403" ht="30" customHeight="1"/>
    <row r="5404" ht="30" customHeight="1"/>
    <row r="5405" ht="30" customHeight="1"/>
    <row r="5406" ht="30" customHeight="1"/>
    <row r="5407" ht="30" customHeight="1"/>
    <row r="5408" ht="30" customHeight="1"/>
    <row r="5409" ht="30" customHeight="1"/>
    <row r="5410" ht="30" customHeight="1"/>
    <row r="5411" ht="30" customHeight="1"/>
    <row r="5412" ht="30" customHeight="1"/>
    <row r="5413" ht="30" customHeight="1"/>
    <row r="5414" ht="30" customHeight="1"/>
    <row r="5415" ht="30" customHeight="1"/>
    <row r="5416" ht="30" customHeight="1"/>
    <row r="5417" ht="30" customHeight="1"/>
    <row r="5418" ht="30" customHeight="1"/>
    <row r="5419" ht="30" customHeight="1"/>
    <row r="5420" ht="30" customHeight="1"/>
    <row r="5421" ht="30" customHeight="1"/>
    <row r="5422" ht="30" customHeight="1"/>
    <row r="5423" ht="30" customHeight="1"/>
    <row r="5424" ht="30" customHeight="1"/>
    <row r="5425" ht="30" customHeight="1"/>
    <row r="5426" ht="30" customHeight="1"/>
    <row r="5427" ht="30" customHeight="1"/>
    <row r="5428" ht="30" customHeight="1"/>
    <row r="5429" ht="30" customHeight="1"/>
    <row r="5430" ht="30" customHeight="1"/>
    <row r="5431" ht="30" customHeight="1"/>
    <row r="5432" ht="30" customHeight="1"/>
    <row r="5433" ht="30" customHeight="1"/>
    <row r="5434" ht="30" customHeight="1"/>
    <row r="5435" ht="30" customHeight="1"/>
    <row r="5436" ht="30" customHeight="1"/>
    <row r="5437" ht="30" customHeight="1"/>
    <row r="5438" ht="30" customHeight="1"/>
    <row r="5439" ht="30" customHeight="1"/>
    <row r="5440" ht="30" customHeight="1"/>
    <row r="5441" ht="30" customHeight="1"/>
    <row r="5442" ht="30" customHeight="1"/>
    <row r="5443" ht="30" customHeight="1"/>
    <row r="5444" ht="30" customHeight="1"/>
    <row r="5445" ht="30" customHeight="1"/>
    <row r="5446" ht="30" customHeight="1"/>
    <row r="5447" ht="30" customHeight="1"/>
    <row r="5448" ht="30" customHeight="1"/>
    <row r="5449" ht="30" customHeight="1"/>
    <row r="5450" ht="30" customHeight="1"/>
    <row r="5451" ht="30" customHeight="1"/>
    <row r="5452" ht="30" customHeight="1"/>
    <row r="5453" ht="30" customHeight="1"/>
    <row r="5454" ht="30" customHeight="1"/>
    <row r="5455" ht="30" customHeight="1"/>
    <row r="5456" ht="30" customHeight="1"/>
    <row r="5457" ht="30" customHeight="1"/>
    <row r="5458" ht="30" customHeight="1"/>
    <row r="5459" ht="30" customHeight="1"/>
    <row r="5460" ht="30" customHeight="1"/>
    <row r="5461" ht="30" customHeight="1"/>
    <row r="5462" ht="30" customHeight="1"/>
    <row r="5463" ht="30" customHeight="1"/>
    <row r="5464" ht="30" customHeight="1"/>
    <row r="5465" ht="30" customHeight="1"/>
    <row r="5466" ht="30" customHeight="1"/>
    <row r="5467" ht="30" customHeight="1"/>
    <row r="5468" ht="30" customHeight="1"/>
    <row r="5469" ht="30" customHeight="1"/>
    <row r="5470" ht="30" customHeight="1"/>
    <row r="5471" ht="30" customHeight="1"/>
    <row r="5472" ht="30" customHeight="1"/>
    <row r="5473" ht="30" customHeight="1"/>
    <row r="5474" ht="30" customHeight="1"/>
    <row r="5475" ht="30" customHeight="1"/>
    <row r="5476" ht="30" customHeight="1"/>
    <row r="5477" ht="30" customHeight="1"/>
    <row r="5478" ht="30" customHeight="1"/>
    <row r="5479" ht="30" customHeight="1"/>
    <row r="5480" ht="30" customHeight="1"/>
    <row r="5481" ht="30" customHeight="1"/>
    <row r="5482" ht="30" customHeight="1"/>
    <row r="5483" ht="30" customHeight="1"/>
    <row r="5484" ht="30" customHeight="1"/>
    <row r="5485" ht="30" customHeight="1"/>
    <row r="5486" ht="30" customHeight="1"/>
    <row r="5487" ht="30" customHeight="1"/>
    <row r="5488" ht="30" customHeight="1"/>
    <row r="5489" ht="30" customHeight="1"/>
    <row r="5490" ht="30" customHeight="1"/>
    <row r="5491" ht="30" customHeight="1"/>
    <row r="5492" ht="30" customHeight="1"/>
    <row r="5493" ht="30" customHeight="1"/>
    <row r="5494" ht="30" customHeight="1"/>
    <row r="5495" ht="30" customHeight="1"/>
    <row r="5496" ht="30" customHeight="1"/>
    <row r="5497" ht="30" customHeight="1"/>
    <row r="5498" ht="30" customHeight="1"/>
    <row r="5499" ht="30" customHeight="1"/>
    <row r="5500" ht="30" customHeight="1"/>
    <row r="5501" ht="30" customHeight="1"/>
    <row r="5502" ht="30" customHeight="1"/>
    <row r="5503" ht="30" customHeight="1"/>
    <row r="5504" ht="30" customHeight="1"/>
    <row r="5505" ht="30" customHeight="1"/>
    <row r="5506" ht="30" customHeight="1"/>
    <row r="5507" ht="30" customHeight="1"/>
    <row r="5508" ht="30" customHeight="1"/>
    <row r="5509" ht="30" customHeight="1"/>
    <row r="5510" ht="30" customHeight="1"/>
    <row r="5511" ht="30" customHeight="1"/>
    <row r="5512" ht="30" customHeight="1"/>
    <row r="5513" ht="30" customHeight="1"/>
    <row r="5514" ht="30" customHeight="1"/>
    <row r="5515" ht="30" customHeight="1"/>
    <row r="5516" ht="30" customHeight="1"/>
    <row r="5517" ht="30" customHeight="1"/>
    <row r="5518" ht="30" customHeight="1"/>
    <row r="5519" ht="30" customHeight="1"/>
    <row r="5520" ht="30" customHeight="1"/>
    <row r="5521" ht="30" customHeight="1"/>
    <row r="5522" ht="30" customHeight="1"/>
    <row r="5523" ht="30" customHeight="1"/>
    <row r="5524" ht="30" customHeight="1"/>
    <row r="5525" ht="30" customHeight="1"/>
    <row r="5526" ht="30" customHeight="1"/>
    <row r="5527" ht="30" customHeight="1"/>
    <row r="5528" ht="30" customHeight="1"/>
    <row r="5529" ht="30" customHeight="1"/>
    <row r="5530" ht="30" customHeight="1"/>
    <row r="5531" ht="30" customHeight="1"/>
    <row r="5532" ht="30" customHeight="1"/>
    <row r="5533" ht="30" customHeight="1"/>
    <row r="5534" ht="30" customHeight="1"/>
    <row r="5535" ht="30" customHeight="1"/>
    <row r="5536" ht="30" customHeight="1"/>
    <row r="5537" ht="30" customHeight="1"/>
    <row r="5538" ht="30" customHeight="1"/>
    <row r="5539" ht="30" customHeight="1"/>
    <row r="5540" ht="30" customHeight="1"/>
    <row r="5541" ht="30" customHeight="1"/>
    <row r="5542" ht="30" customHeight="1"/>
    <row r="5543" ht="30" customHeight="1"/>
    <row r="5544" ht="30" customHeight="1"/>
    <row r="5545" ht="30" customHeight="1"/>
    <row r="5546" ht="30" customHeight="1"/>
    <row r="5547" ht="30" customHeight="1"/>
    <row r="5548" ht="30" customHeight="1"/>
    <row r="5549" ht="30" customHeight="1"/>
    <row r="5550" ht="30" customHeight="1"/>
    <row r="5551" ht="30" customHeight="1"/>
    <row r="5552" ht="30" customHeight="1"/>
    <row r="5553" ht="30" customHeight="1"/>
    <row r="5554" ht="30" customHeight="1"/>
    <row r="5555" ht="30" customHeight="1"/>
    <row r="5556" ht="30" customHeight="1"/>
    <row r="5557" ht="30" customHeight="1"/>
    <row r="5558" ht="30" customHeight="1"/>
    <row r="5559" ht="30" customHeight="1"/>
    <row r="5560" ht="30" customHeight="1"/>
    <row r="5561" ht="30" customHeight="1"/>
    <row r="5562" ht="30" customHeight="1"/>
    <row r="5563" ht="30" customHeight="1"/>
    <row r="5564" ht="30" customHeight="1"/>
    <row r="5565" ht="30" customHeight="1"/>
    <row r="5566" ht="30" customHeight="1"/>
    <row r="5567" ht="30" customHeight="1"/>
    <row r="5568" ht="30" customHeight="1"/>
    <row r="5569" ht="30" customHeight="1"/>
    <row r="5570" ht="30" customHeight="1"/>
    <row r="5571" ht="30" customHeight="1"/>
    <row r="5572" ht="30" customHeight="1"/>
    <row r="5573" ht="30" customHeight="1"/>
    <row r="5574" ht="30" customHeight="1"/>
    <row r="5575" ht="30" customHeight="1"/>
    <row r="5576" ht="30" customHeight="1"/>
    <row r="5577" ht="30" customHeight="1"/>
    <row r="5578" ht="30" customHeight="1"/>
    <row r="5579" ht="30" customHeight="1"/>
    <row r="5580" ht="30" customHeight="1"/>
    <row r="5581" ht="30" customHeight="1"/>
    <row r="5582" ht="30" customHeight="1"/>
    <row r="5583" ht="30" customHeight="1"/>
    <row r="5584" ht="30" customHeight="1"/>
    <row r="5585" ht="30" customHeight="1"/>
    <row r="5586" ht="30" customHeight="1"/>
    <row r="5587" ht="30" customHeight="1"/>
    <row r="5588" ht="30" customHeight="1"/>
    <row r="5589" ht="30" customHeight="1"/>
    <row r="5590" ht="30" customHeight="1"/>
    <row r="5591" ht="30" customHeight="1"/>
    <row r="5592" ht="30" customHeight="1"/>
    <row r="5593" ht="30" customHeight="1"/>
    <row r="5594" ht="30" customHeight="1"/>
    <row r="5595" ht="30" customHeight="1"/>
    <row r="5596" ht="30" customHeight="1"/>
    <row r="5597" ht="30" customHeight="1"/>
    <row r="5598" ht="30" customHeight="1"/>
    <row r="5599" ht="30" customHeight="1"/>
    <row r="5600" ht="30" customHeight="1"/>
    <row r="5601" ht="30" customHeight="1"/>
    <row r="5602" ht="30" customHeight="1"/>
    <row r="5603" ht="30" customHeight="1"/>
    <row r="5604" ht="30" customHeight="1"/>
    <row r="5605" ht="30" customHeight="1"/>
    <row r="5606" ht="30" customHeight="1"/>
    <row r="5607" ht="30" customHeight="1"/>
    <row r="5608" ht="30" customHeight="1"/>
    <row r="5609" ht="30" customHeight="1"/>
    <row r="5610" ht="30" customHeight="1"/>
    <row r="5611" ht="30" customHeight="1"/>
    <row r="5612" ht="30" customHeight="1"/>
    <row r="5613" ht="30" customHeight="1"/>
    <row r="5614" ht="30" customHeight="1"/>
    <row r="5615" ht="30" customHeight="1"/>
    <row r="5616" ht="30" customHeight="1"/>
    <row r="5617" ht="30" customHeight="1"/>
    <row r="5618" ht="30" customHeight="1"/>
    <row r="5619" ht="30" customHeight="1"/>
    <row r="5620" ht="30" customHeight="1"/>
    <row r="5621" ht="30" customHeight="1"/>
    <row r="5622" ht="30" customHeight="1"/>
    <row r="5623" ht="30" customHeight="1"/>
    <row r="5624" ht="30" customHeight="1"/>
    <row r="5625" ht="30" customHeight="1"/>
    <row r="5626" ht="30" customHeight="1"/>
    <row r="5627" ht="30" customHeight="1"/>
    <row r="5628" ht="30" customHeight="1"/>
    <row r="5629" ht="30" customHeight="1"/>
    <row r="5630" ht="30" customHeight="1"/>
    <row r="5631" ht="30" customHeight="1"/>
    <row r="5632" ht="30" customHeight="1"/>
    <row r="5633" ht="30" customHeight="1"/>
    <row r="5634" ht="30" customHeight="1"/>
    <row r="5635" ht="30" customHeight="1"/>
    <row r="5636" ht="30" customHeight="1"/>
    <row r="5637" ht="30" customHeight="1"/>
    <row r="5638" ht="30" customHeight="1"/>
    <row r="5639" ht="30" customHeight="1"/>
    <row r="5640" ht="30" customHeight="1"/>
    <row r="5641" ht="30" customHeight="1"/>
    <row r="5642" ht="30" customHeight="1"/>
    <row r="5643" ht="30" customHeight="1"/>
    <row r="5644" ht="30" customHeight="1"/>
    <row r="5645" ht="30" customHeight="1"/>
    <row r="5646" ht="30" customHeight="1"/>
    <row r="5647" ht="30" customHeight="1"/>
    <row r="5648" ht="30" customHeight="1"/>
    <row r="5649" ht="30" customHeight="1"/>
    <row r="5650" ht="30" customHeight="1"/>
    <row r="5651" ht="30" customHeight="1"/>
    <row r="5652" ht="30" customHeight="1"/>
    <row r="5653" ht="30" customHeight="1"/>
    <row r="5654" ht="30" customHeight="1"/>
    <row r="5655" ht="30" customHeight="1"/>
    <row r="5656" ht="30" customHeight="1"/>
    <row r="5657" ht="30" customHeight="1"/>
    <row r="5658" ht="30" customHeight="1"/>
    <row r="5659" ht="30" customHeight="1"/>
    <row r="5660" ht="30" customHeight="1"/>
    <row r="5661" ht="30" customHeight="1"/>
    <row r="5662" ht="30" customHeight="1"/>
    <row r="5663" ht="30" customHeight="1"/>
    <row r="5664" ht="30" customHeight="1"/>
    <row r="5665" ht="30" customHeight="1"/>
    <row r="5666" ht="30" customHeight="1"/>
    <row r="5667" ht="30" customHeight="1"/>
    <row r="5668" ht="30" customHeight="1"/>
    <row r="5669" ht="30" customHeight="1"/>
    <row r="5670" ht="30" customHeight="1"/>
    <row r="5671" ht="30" customHeight="1"/>
    <row r="5672" ht="30" customHeight="1"/>
    <row r="5673" ht="30" customHeight="1"/>
    <row r="5674" ht="30" customHeight="1"/>
    <row r="5675" ht="30" customHeight="1"/>
    <row r="5676" ht="30" customHeight="1"/>
    <row r="5677" ht="30" customHeight="1"/>
    <row r="5678" ht="30" customHeight="1"/>
    <row r="5679" ht="30" customHeight="1"/>
    <row r="5680" ht="30" customHeight="1"/>
    <row r="5681" ht="30" customHeight="1"/>
    <row r="5682" ht="30" customHeight="1"/>
    <row r="5683" ht="30" customHeight="1"/>
    <row r="5684" ht="30" customHeight="1"/>
    <row r="5685" ht="30" customHeight="1"/>
    <row r="5686" ht="30" customHeight="1"/>
    <row r="5687" ht="30" customHeight="1"/>
    <row r="5688" ht="30" customHeight="1"/>
    <row r="5689" ht="30" customHeight="1"/>
    <row r="5690" ht="30" customHeight="1"/>
    <row r="5691" ht="30" customHeight="1"/>
    <row r="5692" ht="30" customHeight="1"/>
    <row r="5693" ht="30" customHeight="1"/>
    <row r="5694" ht="30" customHeight="1"/>
    <row r="5695" ht="30" customHeight="1"/>
    <row r="5696" ht="30" customHeight="1"/>
    <row r="5697" ht="30" customHeight="1"/>
    <row r="5698" ht="30" customHeight="1"/>
    <row r="5699" ht="30" customHeight="1"/>
    <row r="5700" ht="30" customHeight="1"/>
    <row r="5701" ht="30" customHeight="1"/>
    <row r="5702" ht="30" customHeight="1"/>
    <row r="5703" ht="30" customHeight="1"/>
    <row r="5704" ht="30" customHeight="1"/>
    <row r="5705" ht="30" customHeight="1"/>
    <row r="5706" ht="30" customHeight="1"/>
    <row r="5707" ht="30" customHeight="1"/>
    <row r="5708" ht="30" customHeight="1"/>
    <row r="5709" ht="30" customHeight="1"/>
    <row r="5710" ht="30" customHeight="1"/>
    <row r="5711" ht="30" customHeight="1"/>
    <row r="5712" ht="30" customHeight="1"/>
    <row r="5713" ht="30" customHeight="1"/>
    <row r="5714" ht="30" customHeight="1"/>
    <row r="5715" ht="30" customHeight="1"/>
    <row r="5716" ht="30" customHeight="1"/>
    <row r="5717" ht="30" customHeight="1"/>
    <row r="5718" ht="30" customHeight="1"/>
    <row r="5719" ht="30" customHeight="1"/>
    <row r="5720" ht="30" customHeight="1"/>
    <row r="5721" ht="30" customHeight="1"/>
    <row r="5722" ht="30" customHeight="1"/>
    <row r="5723" ht="30" customHeight="1"/>
    <row r="5724" ht="30" customHeight="1"/>
    <row r="5725" ht="30" customHeight="1"/>
    <row r="5726" ht="30" customHeight="1"/>
    <row r="5727" ht="30" customHeight="1"/>
    <row r="5728" ht="30" customHeight="1"/>
    <row r="5729" ht="30" customHeight="1"/>
    <row r="5730" ht="30" customHeight="1"/>
    <row r="5731" ht="30" customHeight="1"/>
    <row r="5732" ht="30" customHeight="1"/>
    <row r="5733" ht="30" customHeight="1"/>
    <row r="5734" ht="30" customHeight="1"/>
    <row r="5735" ht="30" customHeight="1"/>
    <row r="5736" ht="30" customHeight="1"/>
    <row r="5737" ht="30" customHeight="1"/>
    <row r="5738" ht="30" customHeight="1"/>
    <row r="5739" ht="30" customHeight="1"/>
    <row r="5740" ht="30" customHeight="1"/>
    <row r="5741" ht="30" customHeight="1"/>
    <row r="5742" ht="30" customHeight="1"/>
    <row r="5743" ht="30" customHeight="1"/>
    <row r="5744" ht="30" customHeight="1"/>
    <row r="5745" ht="30" customHeight="1"/>
    <row r="5746" ht="30" customHeight="1"/>
    <row r="5747" ht="30" customHeight="1"/>
    <row r="5748" ht="30" customHeight="1"/>
    <row r="5749" ht="30" customHeight="1"/>
    <row r="5750" ht="30" customHeight="1"/>
    <row r="5751" ht="30" customHeight="1"/>
    <row r="5752" ht="30" customHeight="1"/>
    <row r="5753" ht="30" customHeight="1"/>
    <row r="5754" ht="30" customHeight="1"/>
    <row r="5755" ht="30" customHeight="1"/>
    <row r="5756" ht="30" customHeight="1"/>
    <row r="5757" ht="30" customHeight="1"/>
    <row r="5758" ht="30" customHeight="1"/>
    <row r="5759" ht="30" customHeight="1"/>
    <row r="5760" ht="30" customHeight="1"/>
    <row r="5761" ht="30" customHeight="1"/>
    <row r="5762" ht="30" customHeight="1"/>
    <row r="5763" ht="30" customHeight="1"/>
    <row r="5764" ht="30" customHeight="1"/>
    <row r="5765" ht="30" customHeight="1"/>
    <row r="5766" ht="30" customHeight="1"/>
    <row r="5767" ht="30" customHeight="1"/>
    <row r="5768" ht="30" customHeight="1"/>
    <row r="5769" ht="30" customHeight="1"/>
    <row r="5770" ht="30" customHeight="1"/>
    <row r="5771" ht="30" customHeight="1"/>
    <row r="5772" ht="30" customHeight="1"/>
    <row r="5773" ht="30" customHeight="1"/>
    <row r="5774" ht="30" customHeight="1"/>
    <row r="5775" ht="30" customHeight="1"/>
    <row r="5776" ht="30" customHeight="1"/>
    <row r="5777" ht="30" customHeight="1"/>
    <row r="5778" ht="30" customHeight="1"/>
    <row r="5779" ht="30" customHeight="1"/>
    <row r="5780" ht="30" customHeight="1"/>
    <row r="5781" ht="30" customHeight="1"/>
    <row r="5782" ht="30" customHeight="1"/>
    <row r="5783" ht="30" customHeight="1"/>
    <row r="5784" ht="30" customHeight="1"/>
    <row r="5785" ht="30" customHeight="1"/>
    <row r="5786" ht="30" customHeight="1"/>
    <row r="5787" ht="30" customHeight="1"/>
    <row r="5788" ht="30" customHeight="1"/>
    <row r="5789" ht="30" customHeight="1"/>
    <row r="5790" ht="30" customHeight="1"/>
    <row r="5791" ht="30" customHeight="1"/>
    <row r="5792" ht="30" customHeight="1"/>
    <row r="5793" ht="30" customHeight="1"/>
    <row r="5794" ht="30" customHeight="1"/>
    <row r="5795" ht="30" customHeight="1"/>
    <row r="5796" ht="30" customHeight="1"/>
    <row r="5797" ht="30" customHeight="1"/>
    <row r="5798" ht="30" customHeight="1"/>
    <row r="5799" ht="30" customHeight="1"/>
    <row r="5800" ht="30" customHeight="1"/>
    <row r="5801" ht="30" customHeight="1"/>
    <row r="5802" ht="30" customHeight="1"/>
    <row r="5803" ht="30" customHeight="1"/>
    <row r="5804" ht="30" customHeight="1"/>
    <row r="5805" ht="30" customHeight="1"/>
    <row r="5806" ht="30" customHeight="1"/>
    <row r="5807" ht="30" customHeight="1"/>
    <row r="5808" ht="30" customHeight="1"/>
    <row r="5809" ht="30" customHeight="1"/>
    <row r="5810" ht="30" customHeight="1"/>
    <row r="5811" ht="30" customHeight="1"/>
    <row r="5812" ht="30" customHeight="1"/>
    <row r="5813" ht="30" customHeight="1"/>
    <row r="5814" ht="30" customHeight="1"/>
    <row r="5815" ht="30" customHeight="1"/>
    <row r="5816" ht="30" customHeight="1"/>
    <row r="5817" ht="30" customHeight="1"/>
    <row r="5818" ht="30" customHeight="1"/>
    <row r="5819" ht="30" customHeight="1"/>
    <row r="5820" ht="30" customHeight="1"/>
    <row r="5821" ht="30" customHeight="1"/>
    <row r="5822" ht="30" customHeight="1"/>
    <row r="5823" ht="30" customHeight="1"/>
    <row r="5824" ht="30" customHeight="1"/>
    <row r="5825" ht="30" customHeight="1"/>
    <row r="5826" ht="30" customHeight="1"/>
    <row r="5827" ht="30" customHeight="1"/>
    <row r="5828" ht="30" customHeight="1"/>
    <row r="5829" ht="30" customHeight="1"/>
    <row r="5830" ht="30" customHeight="1"/>
    <row r="5831" ht="30" customHeight="1"/>
    <row r="5832" ht="30" customHeight="1"/>
    <row r="5833" ht="30" customHeight="1"/>
    <row r="5834" ht="30" customHeight="1"/>
    <row r="5835" ht="30" customHeight="1"/>
    <row r="5836" ht="30" customHeight="1"/>
    <row r="5837" ht="30" customHeight="1"/>
    <row r="5838" ht="30" customHeight="1"/>
    <row r="5839" ht="30" customHeight="1"/>
    <row r="5840" ht="30" customHeight="1"/>
    <row r="5841" ht="30" customHeight="1"/>
    <row r="5842" ht="30" customHeight="1"/>
    <row r="5843" ht="30" customHeight="1"/>
    <row r="5844" ht="30" customHeight="1"/>
    <row r="5845" ht="30" customHeight="1"/>
    <row r="5846" ht="30" customHeight="1"/>
    <row r="5847" ht="30" customHeight="1"/>
    <row r="5848" ht="30" customHeight="1"/>
    <row r="5849" ht="30" customHeight="1"/>
    <row r="5850" ht="30" customHeight="1"/>
    <row r="5851" ht="30" customHeight="1"/>
    <row r="5852" ht="30" customHeight="1"/>
    <row r="5853" ht="30" customHeight="1"/>
    <row r="5854" ht="30" customHeight="1"/>
    <row r="5855" ht="30" customHeight="1"/>
    <row r="5856" ht="30" customHeight="1"/>
    <row r="5857" ht="30" customHeight="1"/>
    <row r="5858" ht="30" customHeight="1"/>
    <row r="5859" ht="30" customHeight="1"/>
    <row r="5860" ht="30" customHeight="1"/>
    <row r="5861" ht="30" customHeight="1"/>
    <row r="5862" ht="30" customHeight="1"/>
    <row r="5863" ht="30" customHeight="1"/>
    <row r="5864" ht="30" customHeight="1"/>
    <row r="5865" ht="30" customHeight="1"/>
    <row r="5866" ht="30" customHeight="1"/>
    <row r="5867" ht="30" customHeight="1"/>
    <row r="5868" ht="30" customHeight="1"/>
    <row r="5869" ht="30" customHeight="1"/>
    <row r="5870" ht="30" customHeight="1"/>
    <row r="5871" ht="30" customHeight="1"/>
    <row r="5872" ht="30" customHeight="1"/>
    <row r="5873" ht="30" customHeight="1"/>
    <row r="5874" ht="30" customHeight="1"/>
    <row r="5875" ht="30" customHeight="1"/>
    <row r="5876" ht="30" customHeight="1"/>
    <row r="5877" ht="30" customHeight="1"/>
    <row r="5878" ht="30" customHeight="1"/>
    <row r="5879" ht="30" customHeight="1"/>
    <row r="5880" ht="30" customHeight="1"/>
    <row r="5881" ht="30" customHeight="1"/>
    <row r="5882" ht="30" customHeight="1"/>
    <row r="5883" ht="30" customHeight="1"/>
    <row r="5884" ht="30" customHeight="1"/>
    <row r="5885" ht="30" customHeight="1"/>
    <row r="5886" ht="30" customHeight="1"/>
    <row r="5887" ht="30" customHeight="1"/>
    <row r="5888" ht="30" customHeight="1"/>
    <row r="5889" ht="30" customHeight="1"/>
    <row r="5890" ht="30" customHeight="1"/>
    <row r="5891" ht="30" customHeight="1"/>
    <row r="5892" ht="30" customHeight="1"/>
    <row r="5893" ht="30" customHeight="1"/>
    <row r="5894" ht="30" customHeight="1"/>
    <row r="5895" ht="30" customHeight="1"/>
    <row r="5896" ht="30" customHeight="1"/>
    <row r="5897" ht="30" customHeight="1"/>
    <row r="5898" ht="30" customHeight="1"/>
    <row r="5899" ht="30" customHeight="1"/>
    <row r="5900" ht="30" customHeight="1"/>
    <row r="5901" ht="30" customHeight="1"/>
    <row r="5902" ht="30" customHeight="1"/>
    <row r="5903" ht="30" customHeight="1"/>
    <row r="5904" ht="30" customHeight="1"/>
    <row r="5905" ht="30" customHeight="1"/>
    <row r="5906" ht="30" customHeight="1"/>
    <row r="5907" ht="30" customHeight="1"/>
    <row r="5908" ht="30" customHeight="1"/>
    <row r="5909" ht="30" customHeight="1"/>
    <row r="5910" ht="30" customHeight="1"/>
    <row r="5911" ht="30" customHeight="1"/>
    <row r="5912" ht="30" customHeight="1"/>
    <row r="5913" ht="30" customHeight="1"/>
    <row r="5914" ht="30" customHeight="1"/>
    <row r="5915" ht="30" customHeight="1"/>
    <row r="5916" ht="30" customHeight="1"/>
    <row r="5917" ht="30" customHeight="1"/>
    <row r="5918" ht="30" customHeight="1"/>
    <row r="5919" ht="30" customHeight="1"/>
    <row r="5920" ht="30" customHeight="1"/>
    <row r="5921" ht="30" customHeight="1"/>
    <row r="5922" ht="30" customHeight="1"/>
    <row r="5923" ht="30" customHeight="1"/>
    <row r="5924" ht="30" customHeight="1"/>
    <row r="5925" ht="30" customHeight="1"/>
    <row r="5926" ht="30" customHeight="1"/>
    <row r="5927" ht="30" customHeight="1"/>
    <row r="5928" ht="30" customHeight="1"/>
    <row r="5929" ht="30" customHeight="1"/>
    <row r="5930" ht="30" customHeight="1"/>
    <row r="5931" ht="30" customHeight="1"/>
    <row r="5932" ht="30" customHeight="1"/>
    <row r="5933" ht="30" customHeight="1"/>
    <row r="5934" ht="30" customHeight="1"/>
    <row r="5935" ht="30" customHeight="1"/>
    <row r="5936" ht="30" customHeight="1"/>
    <row r="5937" ht="30" customHeight="1"/>
    <row r="5938" ht="30" customHeight="1"/>
    <row r="5939" ht="30" customHeight="1"/>
    <row r="5940" ht="30" customHeight="1"/>
    <row r="5941" ht="30" customHeight="1"/>
    <row r="5942" ht="30" customHeight="1"/>
    <row r="5943" ht="30" customHeight="1"/>
    <row r="5944" ht="30" customHeight="1"/>
    <row r="5945" ht="30" customHeight="1"/>
    <row r="5946" ht="30" customHeight="1"/>
    <row r="5947" ht="30" customHeight="1"/>
    <row r="5948" ht="30" customHeight="1"/>
    <row r="5949" ht="30" customHeight="1"/>
    <row r="5950" ht="30" customHeight="1"/>
    <row r="5951" ht="30" customHeight="1"/>
    <row r="5952" ht="30" customHeight="1"/>
    <row r="5953" ht="30" customHeight="1"/>
    <row r="5954" ht="30" customHeight="1"/>
    <row r="5955" ht="30" customHeight="1"/>
    <row r="5956" ht="30" customHeight="1"/>
    <row r="5957" ht="30" customHeight="1"/>
    <row r="5958" ht="30" customHeight="1"/>
    <row r="5959" ht="30" customHeight="1"/>
    <row r="5960" ht="30" customHeight="1"/>
    <row r="5961" ht="30" customHeight="1"/>
    <row r="5962" ht="30" customHeight="1"/>
    <row r="5963" ht="30" customHeight="1"/>
    <row r="5964" ht="30" customHeight="1"/>
    <row r="5965" ht="30" customHeight="1"/>
    <row r="5966" ht="30" customHeight="1"/>
    <row r="5967" ht="30" customHeight="1"/>
    <row r="5968" ht="30" customHeight="1"/>
    <row r="5969" ht="30" customHeight="1"/>
    <row r="5970" ht="30" customHeight="1"/>
    <row r="5971" ht="30" customHeight="1"/>
    <row r="5972" ht="30" customHeight="1"/>
    <row r="5973" ht="30" customHeight="1"/>
    <row r="5974" ht="30" customHeight="1"/>
    <row r="5975" ht="30" customHeight="1"/>
    <row r="5976" ht="30" customHeight="1"/>
    <row r="5977" ht="30" customHeight="1"/>
    <row r="5978" ht="30" customHeight="1"/>
    <row r="5979" ht="30" customHeight="1"/>
    <row r="5980" ht="30" customHeight="1"/>
    <row r="5981" ht="30" customHeight="1"/>
    <row r="5982" ht="30" customHeight="1"/>
    <row r="5983" ht="30" customHeight="1"/>
    <row r="5984" ht="30" customHeight="1"/>
    <row r="5985" ht="30" customHeight="1"/>
    <row r="5986" ht="30" customHeight="1"/>
    <row r="5987" ht="30" customHeight="1"/>
    <row r="5988" ht="30" customHeight="1"/>
    <row r="5989" ht="30" customHeight="1"/>
    <row r="5990" ht="30" customHeight="1"/>
    <row r="5991" ht="30" customHeight="1"/>
    <row r="5992" ht="30" customHeight="1"/>
    <row r="5993" ht="30" customHeight="1"/>
    <row r="5994" ht="30" customHeight="1"/>
    <row r="5995" ht="30" customHeight="1"/>
    <row r="5996" ht="30" customHeight="1"/>
    <row r="5997" ht="30" customHeight="1"/>
    <row r="5998" ht="30" customHeight="1"/>
    <row r="5999" ht="30" customHeight="1"/>
    <row r="6000" ht="30" customHeight="1"/>
    <row r="6001" ht="30" customHeight="1"/>
    <row r="6002" ht="30" customHeight="1"/>
    <row r="6003" ht="30" customHeight="1"/>
    <row r="6004" ht="30" customHeight="1"/>
    <row r="6005" ht="30" customHeight="1"/>
    <row r="6006" ht="30" customHeight="1"/>
    <row r="6007" ht="30" customHeight="1"/>
    <row r="6008" ht="30" customHeight="1"/>
    <row r="6009" ht="30" customHeight="1"/>
    <row r="6010" ht="30" customHeight="1"/>
    <row r="6011" ht="30" customHeight="1"/>
    <row r="6012" ht="30" customHeight="1"/>
    <row r="6013" ht="30" customHeight="1"/>
    <row r="6014" ht="30" customHeight="1"/>
    <row r="6015" ht="30" customHeight="1"/>
    <row r="6016" ht="30" customHeight="1"/>
    <row r="6017" ht="30" customHeight="1"/>
    <row r="6018" ht="30" customHeight="1"/>
    <row r="6019" ht="30" customHeight="1"/>
    <row r="6020" ht="30" customHeight="1"/>
    <row r="6021" ht="30" customHeight="1"/>
    <row r="6022" ht="30" customHeight="1"/>
    <row r="6023" ht="30" customHeight="1"/>
    <row r="6024" ht="30" customHeight="1"/>
    <row r="6025" ht="30" customHeight="1"/>
    <row r="6026" ht="30" customHeight="1"/>
    <row r="6027" ht="30" customHeight="1"/>
    <row r="6028" ht="30" customHeight="1"/>
    <row r="6029" ht="30" customHeight="1"/>
    <row r="6030" ht="30" customHeight="1"/>
    <row r="6031" ht="30" customHeight="1"/>
    <row r="6032" ht="30" customHeight="1"/>
    <row r="6033" ht="30" customHeight="1"/>
    <row r="6034" ht="30" customHeight="1"/>
    <row r="6035" ht="30" customHeight="1"/>
    <row r="6036" ht="30" customHeight="1"/>
    <row r="6037" ht="30" customHeight="1"/>
    <row r="6038" ht="30" customHeight="1"/>
    <row r="6039" ht="30" customHeight="1"/>
    <row r="6040" ht="30" customHeight="1"/>
    <row r="6041" ht="30" customHeight="1"/>
    <row r="6042" ht="30" customHeight="1"/>
    <row r="6043" ht="30" customHeight="1"/>
    <row r="6044" ht="30" customHeight="1"/>
    <row r="6045" ht="30" customHeight="1"/>
    <row r="6046" ht="30" customHeight="1"/>
    <row r="6047" ht="30" customHeight="1"/>
    <row r="6048" ht="30" customHeight="1"/>
    <row r="6049" ht="30" customHeight="1"/>
    <row r="6050" ht="30" customHeight="1"/>
    <row r="6051" ht="30" customHeight="1"/>
    <row r="6052" ht="30" customHeight="1"/>
    <row r="6053" ht="30" customHeight="1"/>
    <row r="6054" ht="30" customHeight="1"/>
    <row r="6055" ht="30" customHeight="1"/>
    <row r="6056" ht="30" customHeight="1"/>
    <row r="6057" ht="30" customHeight="1"/>
    <row r="6058" ht="30" customHeight="1"/>
    <row r="6059" ht="30" customHeight="1"/>
    <row r="6060" ht="30" customHeight="1"/>
    <row r="6061" ht="30" customHeight="1"/>
    <row r="6062" ht="30" customHeight="1"/>
    <row r="6063" ht="30" customHeight="1"/>
    <row r="6064" ht="30" customHeight="1"/>
    <row r="6065" ht="30" customHeight="1"/>
    <row r="6066" ht="30" customHeight="1"/>
    <row r="6067" ht="30" customHeight="1"/>
    <row r="6068" ht="30" customHeight="1"/>
    <row r="6069" ht="30" customHeight="1"/>
    <row r="6070" ht="30" customHeight="1"/>
    <row r="6071" ht="30" customHeight="1"/>
    <row r="6072" ht="30" customHeight="1"/>
    <row r="6073" ht="30" customHeight="1"/>
    <row r="6074" ht="30" customHeight="1"/>
    <row r="6075" ht="30" customHeight="1"/>
    <row r="6076" ht="30" customHeight="1"/>
    <row r="6077" ht="30" customHeight="1"/>
    <row r="6078" ht="30" customHeight="1"/>
    <row r="6079" ht="30" customHeight="1"/>
    <row r="6080" ht="30" customHeight="1"/>
    <row r="6081" ht="30" customHeight="1"/>
    <row r="6082" ht="30" customHeight="1"/>
    <row r="6083" ht="30" customHeight="1"/>
    <row r="6084" ht="30" customHeight="1"/>
    <row r="6085" ht="30" customHeight="1"/>
    <row r="6086" ht="30" customHeight="1"/>
    <row r="6087" ht="30" customHeight="1"/>
    <row r="6088" ht="30" customHeight="1"/>
    <row r="6089" ht="30" customHeight="1"/>
    <row r="6090" ht="30" customHeight="1"/>
    <row r="6091" ht="30" customHeight="1"/>
    <row r="6092" ht="30" customHeight="1"/>
    <row r="6093" ht="30" customHeight="1"/>
    <row r="6094" ht="30" customHeight="1"/>
    <row r="6095" ht="30" customHeight="1"/>
    <row r="6096" ht="30" customHeight="1"/>
    <row r="6097" ht="30" customHeight="1"/>
    <row r="6098" ht="30" customHeight="1"/>
    <row r="6099" ht="30" customHeight="1"/>
    <row r="6100" ht="30" customHeight="1"/>
    <row r="6101" ht="30" customHeight="1"/>
    <row r="6102" ht="30" customHeight="1"/>
    <row r="6103" ht="30" customHeight="1"/>
    <row r="6104" ht="30" customHeight="1"/>
    <row r="6105" ht="30" customHeight="1"/>
    <row r="6106" ht="30" customHeight="1"/>
    <row r="6107" ht="30" customHeight="1"/>
    <row r="6108" ht="30" customHeight="1"/>
    <row r="6109" ht="30" customHeight="1"/>
    <row r="6110" ht="30" customHeight="1"/>
    <row r="6111" ht="30" customHeight="1"/>
    <row r="6112" ht="30" customHeight="1"/>
    <row r="6113" ht="30" customHeight="1"/>
    <row r="6114" ht="30" customHeight="1"/>
    <row r="6115" ht="30" customHeight="1"/>
    <row r="6116" ht="30" customHeight="1"/>
    <row r="6117" ht="30" customHeight="1"/>
    <row r="6118" ht="30" customHeight="1"/>
    <row r="6119" ht="30" customHeight="1"/>
    <row r="6120" ht="30" customHeight="1"/>
    <row r="6121" ht="30" customHeight="1"/>
    <row r="6122" ht="30" customHeight="1"/>
    <row r="6123" ht="30" customHeight="1"/>
    <row r="6124" ht="30" customHeight="1"/>
    <row r="6125" ht="30" customHeight="1"/>
    <row r="6126" ht="30" customHeight="1"/>
    <row r="6127" ht="30" customHeight="1"/>
    <row r="6128" ht="30" customHeight="1"/>
    <row r="6129" ht="30" customHeight="1"/>
    <row r="6130" ht="30" customHeight="1"/>
    <row r="6131" ht="30" customHeight="1"/>
    <row r="6132" ht="30" customHeight="1"/>
    <row r="6133" ht="30" customHeight="1"/>
    <row r="6134" ht="30" customHeight="1"/>
    <row r="6135" ht="30" customHeight="1"/>
    <row r="6136" ht="30" customHeight="1"/>
    <row r="6137" ht="30" customHeight="1"/>
    <row r="6138" ht="30" customHeight="1"/>
    <row r="6139" ht="30" customHeight="1"/>
    <row r="6140" ht="30" customHeight="1"/>
    <row r="6141" ht="30" customHeight="1"/>
    <row r="6142" ht="30" customHeight="1"/>
    <row r="6143" ht="30" customHeight="1"/>
    <row r="6144" ht="30" customHeight="1"/>
    <row r="6145" ht="30" customHeight="1"/>
    <row r="6146" ht="30" customHeight="1"/>
    <row r="6147" ht="30" customHeight="1"/>
    <row r="6148" ht="30" customHeight="1"/>
    <row r="6149" ht="30" customHeight="1"/>
    <row r="6150" ht="30" customHeight="1"/>
    <row r="6151" ht="30" customHeight="1"/>
    <row r="6152" ht="30" customHeight="1"/>
    <row r="6153" ht="30" customHeight="1"/>
    <row r="6154" ht="30" customHeight="1"/>
    <row r="6155" ht="30" customHeight="1"/>
    <row r="6156" ht="30" customHeight="1"/>
    <row r="6157" ht="30" customHeight="1"/>
    <row r="6158" ht="30" customHeight="1"/>
    <row r="6159" ht="30" customHeight="1"/>
    <row r="6160" ht="30" customHeight="1"/>
    <row r="6161" ht="30" customHeight="1"/>
    <row r="6162" ht="30" customHeight="1"/>
    <row r="6163" ht="30" customHeight="1"/>
    <row r="6164" ht="30" customHeight="1"/>
    <row r="6165" ht="30" customHeight="1"/>
    <row r="6166" ht="30" customHeight="1"/>
    <row r="6167" ht="30" customHeight="1"/>
    <row r="6168" ht="30" customHeight="1"/>
    <row r="6169" ht="30" customHeight="1"/>
    <row r="6170" ht="30" customHeight="1"/>
    <row r="6171" ht="30" customHeight="1"/>
    <row r="6172" ht="30" customHeight="1"/>
    <row r="6173" ht="30" customHeight="1"/>
    <row r="6174" ht="30" customHeight="1"/>
    <row r="6175" ht="30" customHeight="1"/>
    <row r="6176" ht="30" customHeight="1"/>
    <row r="6177" ht="30" customHeight="1"/>
    <row r="6178" ht="30" customHeight="1"/>
    <row r="6179" ht="30" customHeight="1"/>
    <row r="6180" ht="30" customHeight="1"/>
    <row r="6181" ht="30" customHeight="1"/>
    <row r="6182" ht="30" customHeight="1"/>
    <row r="6183" ht="30" customHeight="1"/>
    <row r="6184" ht="30" customHeight="1"/>
    <row r="6185" ht="30" customHeight="1"/>
    <row r="6186" ht="30" customHeight="1"/>
    <row r="6187" ht="30" customHeight="1"/>
    <row r="6188" ht="30" customHeight="1"/>
    <row r="6189" ht="30" customHeight="1"/>
    <row r="6190" ht="30" customHeight="1"/>
    <row r="6191" ht="30" customHeight="1"/>
    <row r="6192" ht="30" customHeight="1"/>
    <row r="6193" ht="30" customHeight="1"/>
    <row r="6194" ht="30" customHeight="1"/>
    <row r="6195" ht="30" customHeight="1"/>
    <row r="6196" ht="30" customHeight="1"/>
    <row r="6197" ht="30" customHeight="1"/>
    <row r="6198" ht="30" customHeight="1"/>
    <row r="6199" ht="30" customHeight="1"/>
    <row r="6200" ht="30" customHeight="1"/>
    <row r="6201" ht="30" customHeight="1"/>
    <row r="6202" ht="30" customHeight="1"/>
    <row r="6203" ht="30" customHeight="1"/>
    <row r="6204" ht="30" customHeight="1"/>
    <row r="6205" ht="30" customHeight="1"/>
    <row r="6206" ht="30" customHeight="1"/>
    <row r="6207" ht="30" customHeight="1"/>
    <row r="6208" ht="30" customHeight="1"/>
    <row r="6209" ht="30" customHeight="1"/>
    <row r="6210" ht="30" customHeight="1"/>
    <row r="6211" ht="30" customHeight="1"/>
    <row r="6212" ht="30" customHeight="1"/>
    <row r="6213" ht="30" customHeight="1"/>
    <row r="6214" ht="30" customHeight="1"/>
    <row r="6215" ht="30" customHeight="1"/>
    <row r="6216" ht="30" customHeight="1"/>
    <row r="6217" ht="30" customHeight="1"/>
    <row r="6218" ht="30" customHeight="1"/>
    <row r="6219" ht="30" customHeight="1"/>
    <row r="6220" ht="30" customHeight="1"/>
    <row r="6221" ht="30" customHeight="1"/>
    <row r="6222" ht="30" customHeight="1"/>
    <row r="6223" ht="30" customHeight="1"/>
    <row r="6224" ht="30" customHeight="1"/>
    <row r="6225" ht="30" customHeight="1"/>
    <row r="6226" ht="30" customHeight="1"/>
    <row r="6227" ht="30" customHeight="1"/>
    <row r="6228" ht="30" customHeight="1"/>
    <row r="6229" ht="30" customHeight="1"/>
    <row r="6230" ht="30" customHeight="1"/>
    <row r="6231" ht="30" customHeight="1"/>
    <row r="6232" ht="30" customHeight="1"/>
    <row r="6233" ht="30" customHeight="1"/>
    <row r="6234" ht="30" customHeight="1"/>
    <row r="6235" ht="30" customHeight="1"/>
    <row r="6236" ht="30" customHeight="1"/>
    <row r="6237" ht="30" customHeight="1"/>
    <row r="6238" ht="30" customHeight="1"/>
    <row r="6239" ht="30" customHeight="1"/>
    <row r="6240" ht="30" customHeight="1"/>
    <row r="6241" ht="30" customHeight="1"/>
    <row r="6242" ht="30" customHeight="1"/>
    <row r="6243" ht="30" customHeight="1"/>
    <row r="6244" ht="30" customHeight="1"/>
    <row r="6245" ht="30" customHeight="1"/>
    <row r="6246" ht="30" customHeight="1"/>
    <row r="6247" ht="30" customHeight="1"/>
    <row r="6248" ht="30" customHeight="1"/>
    <row r="6249" ht="30" customHeight="1"/>
    <row r="6250" ht="30" customHeight="1"/>
    <row r="6251" ht="30" customHeight="1"/>
    <row r="6252" ht="30" customHeight="1"/>
    <row r="6253" ht="30" customHeight="1"/>
    <row r="6254" ht="30" customHeight="1"/>
    <row r="6255" ht="30" customHeight="1"/>
    <row r="6256" ht="30" customHeight="1"/>
    <row r="6257" ht="30" customHeight="1"/>
    <row r="6258" ht="30" customHeight="1"/>
    <row r="6259" ht="30" customHeight="1"/>
    <row r="6260" ht="30" customHeight="1"/>
    <row r="6261" ht="30" customHeight="1"/>
    <row r="6262" ht="30" customHeight="1"/>
    <row r="6263" ht="30" customHeight="1"/>
    <row r="6264" ht="30" customHeight="1"/>
    <row r="6265" ht="30" customHeight="1"/>
    <row r="6266" ht="30" customHeight="1"/>
    <row r="6267" ht="30" customHeight="1"/>
    <row r="6268" ht="30" customHeight="1"/>
    <row r="6269" ht="30" customHeight="1"/>
    <row r="6270" ht="30" customHeight="1"/>
    <row r="6271" ht="30" customHeight="1"/>
    <row r="6272" ht="30" customHeight="1"/>
    <row r="6273" ht="30" customHeight="1"/>
    <row r="6274" ht="30" customHeight="1"/>
    <row r="6275" ht="30" customHeight="1"/>
    <row r="6276" ht="30" customHeight="1"/>
    <row r="6277" ht="30" customHeight="1"/>
    <row r="6278" ht="30" customHeight="1"/>
    <row r="6279" ht="30" customHeight="1"/>
    <row r="6280" ht="30" customHeight="1"/>
    <row r="6281" ht="30" customHeight="1"/>
    <row r="6282" ht="30" customHeight="1"/>
    <row r="6283" ht="30" customHeight="1"/>
    <row r="6284" ht="30" customHeight="1"/>
    <row r="6285" ht="30" customHeight="1"/>
    <row r="6286" ht="30" customHeight="1"/>
    <row r="6287" ht="30" customHeight="1"/>
    <row r="6288" ht="30" customHeight="1"/>
    <row r="6289" ht="30" customHeight="1"/>
    <row r="6290" ht="30" customHeight="1"/>
    <row r="6291" ht="30" customHeight="1"/>
    <row r="6292" ht="30" customHeight="1"/>
    <row r="6293" ht="30" customHeight="1"/>
    <row r="6294" ht="30" customHeight="1"/>
    <row r="6295" ht="30" customHeight="1"/>
    <row r="6296" ht="30" customHeight="1"/>
    <row r="6297" ht="30" customHeight="1"/>
    <row r="6298" ht="30" customHeight="1"/>
    <row r="6299" ht="30" customHeight="1"/>
    <row r="6300" ht="30" customHeight="1"/>
    <row r="6301" ht="30" customHeight="1"/>
    <row r="6302" ht="30" customHeight="1"/>
    <row r="6303" ht="30" customHeight="1"/>
    <row r="6304" ht="30" customHeight="1"/>
    <row r="6305" ht="30" customHeight="1"/>
    <row r="6306" ht="30" customHeight="1"/>
    <row r="6307" ht="30" customHeight="1"/>
    <row r="6308" ht="30" customHeight="1"/>
    <row r="6309" ht="30" customHeight="1"/>
    <row r="6310" ht="30" customHeight="1"/>
    <row r="6311" ht="30" customHeight="1"/>
    <row r="6312" ht="30" customHeight="1"/>
    <row r="6313" ht="30" customHeight="1"/>
    <row r="6314" ht="30" customHeight="1"/>
    <row r="6315" ht="30" customHeight="1"/>
    <row r="6316" ht="30" customHeight="1"/>
    <row r="6317" ht="30" customHeight="1"/>
    <row r="6318" ht="30" customHeight="1"/>
    <row r="6319" ht="30" customHeight="1"/>
    <row r="6320" ht="30" customHeight="1"/>
    <row r="6321" ht="30" customHeight="1"/>
    <row r="6322" ht="30" customHeight="1"/>
    <row r="6323" ht="30" customHeight="1"/>
    <row r="6324" ht="30" customHeight="1"/>
    <row r="6325" ht="30" customHeight="1"/>
    <row r="6326" ht="30" customHeight="1"/>
    <row r="6327" ht="30" customHeight="1"/>
    <row r="6328" ht="30" customHeight="1"/>
    <row r="6329" ht="30" customHeight="1"/>
    <row r="6330" ht="30" customHeight="1"/>
    <row r="6331" ht="30" customHeight="1"/>
    <row r="6332" ht="30" customHeight="1"/>
    <row r="6333" ht="30" customHeight="1"/>
    <row r="6334" ht="30" customHeight="1"/>
    <row r="6335" ht="30" customHeight="1"/>
    <row r="6336" ht="30" customHeight="1"/>
    <row r="6337" ht="30" customHeight="1"/>
    <row r="6338" ht="30" customHeight="1"/>
    <row r="6339" ht="30" customHeight="1"/>
    <row r="6340" ht="30" customHeight="1"/>
    <row r="6341" ht="30" customHeight="1"/>
    <row r="6342" ht="30" customHeight="1"/>
    <row r="6343" ht="30" customHeight="1"/>
    <row r="6344" ht="30" customHeight="1"/>
    <row r="6345" ht="30" customHeight="1"/>
    <row r="6346" ht="30" customHeight="1"/>
    <row r="6347" ht="30" customHeight="1"/>
    <row r="6348" ht="30" customHeight="1"/>
    <row r="6349" ht="30" customHeight="1"/>
    <row r="6350" ht="30" customHeight="1"/>
    <row r="6351" ht="30" customHeight="1"/>
    <row r="6352" ht="30" customHeight="1"/>
    <row r="6353" ht="30" customHeight="1"/>
    <row r="6354" ht="30" customHeight="1"/>
    <row r="6355" ht="30" customHeight="1"/>
    <row r="6356" ht="30" customHeight="1"/>
    <row r="6357" ht="30" customHeight="1"/>
    <row r="6358" ht="30" customHeight="1"/>
    <row r="6359" ht="30" customHeight="1"/>
    <row r="6360" ht="30" customHeight="1"/>
    <row r="6361" ht="30" customHeight="1"/>
    <row r="6362" ht="30" customHeight="1"/>
    <row r="6363" ht="30" customHeight="1"/>
    <row r="6364" ht="30" customHeight="1"/>
    <row r="6365" ht="30" customHeight="1"/>
    <row r="6366" ht="30" customHeight="1"/>
    <row r="6367" ht="30" customHeight="1"/>
    <row r="6368" ht="30" customHeight="1"/>
    <row r="6369" ht="30" customHeight="1"/>
    <row r="6370" ht="30" customHeight="1"/>
    <row r="6371" ht="30" customHeight="1"/>
    <row r="6372" ht="30" customHeight="1"/>
    <row r="6373" ht="30" customHeight="1"/>
    <row r="6374" ht="30" customHeight="1"/>
    <row r="6375" ht="30" customHeight="1"/>
    <row r="6376" ht="30" customHeight="1"/>
    <row r="6377" ht="30" customHeight="1"/>
    <row r="6378" ht="30" customHeight="1"/>
    <row r="6379" ht="30" customHeight="1"/>
    <row r="6380" ht="30" customHeight="1"/>
    <row r="6381" ht="30" customHeight="1"/>
    <row r="6382" ht="30" customHeight="1"/>
    <row r="6383" ht="30" customHeight="1"/>
    <row r="6384" ht="30" customHeight="1"/>
    <row r="6385" ht="30" customHeight="1"/>
    <row r="6386" ht="30" customHeight="1"/>
    <row r="6387" ht="30" customHeight="1"/>
    <row r="6388" ht="30" customHeight="1"/>
    <row r="6389" ht="30" customHeight="1"/>
    <row r="6390" ht="30" customHeight="1"/>
    <row r="6391" ht="30" customHeight="1"/>
    <row r="6392" ht="30" customHeight="1"/>
    <row r="6393" ht="30" customHeight="1"/>
    <row r="6394" ht="30" customHeight="1"/>
    <row r="6395" ht="30" customHeight="1"/>
    <row r="6396" ht="30" customHeight="1"/>
    <row r="6397" ht="30" customHeight="1"/>
    <row r="6398" ht="30" customHeight="1"/>
    <row r="6399" ht="30" customHeight="1"/>
    <row r="6400" ht="30" customHeight="1"/>
    <row r="6401" ht="30" customHeight="1"/>
    <row r="6402" ht="30" customHeight="1"/>
    <row r="6403" ht="30" customHeight="1"/>
    <row r="6404" ht="30" customHeight="1"/>
    <row r="6405" ht="30" customHeight="1"/>
    <row r="6406" ht="30" customHeight="1"/>
    <row r="6407" ht="30" customHeight="1"/>
    <row r="6408" ht="30" customHeight="1"/>
    <row r="6409" ht="30" customHeight="1"/>
    <row r="6410" ht="30" customHeight="1"/>
    <row r="6411" ht="30" customHeight="1"/>
    <row r="6412" ht="30" customHeight="1"/>
    <row r="6413" ht="30" customHeight="1"/>
    <row r="6414" ht="30" customHeight="1"/>
    <row r="6415" ht="30" customHeight="1"/>
    <row r="6416" ht="30" customHeight="1"/>
    <row r="6417" ht="30" customHeight="1"/>
    <row r="6418" ht="30" customHeight="1"/>
    <row r="6419" ht="30" customHeight="1"/>
    <row r="6420" ht="30" customHeight="1"/>
    <row r="6421" ht="30" customHeight="1"/>
    <row r="6422" ht="30" customHeight="1"/>
    <row r="6423" ht="30" customHeight="1"/>
    <row r="6424" ht="30" customHeight="1"/>
    <row r="6425" ht="30" customHeight="1"/>
    <row r="6426" ht="30" customHeight="1"/>
    <row r="6427" ht="30" customHeight="1"/>
    <row r="6428" ht="30" customHeight="1"/>
    <row r="6429" ht="30" customHeight="1"/>
    <row r="6430" ht="30" customHeight="1"/>
    <row r="6431" ht="30" customHeight="1"/>
    <row r="6432" ht="30" customHeight="1"/>
    <row r="6433" ht="30" customHeight="1"/>
    <row r="6434" ht="30" customHeight="1"/>
    <row r="6435" ht="30" customHeight="1"/>
    <row r="6436" ht="30" customHeight="1"/>
    <row r="6437" ht="30" customHeight="1"/>
    <row r="6438" ht="30" customHeight="1"/>
    <row r="6439" ht="30" customHeight="1"/>
    <row r="6440" ht="30" customHeight="1"/>
    <row r="6441" ht="30" customHeight="1"/>
    <row r="6442" ht="30" customHeight="1"/>
    <row r="6443" ht="30" customHeight="1"/>
    <row r="6444" ht="30" customHeight="1"/>
    <row r="6445" ht="30" customHeight="1"/>
    <row r="6446" ht="30" customHeight="1"/>
    <row r="6447" ht="30" customHeight="1"/>
    <row r="6448" ht="30" customHeight="1"/>
    <row r="6449" ht="30" customHeight="1"/>
    <row r="6450" ht="30" customHeight="1"/>
    <row r="6451" ht="30" customHeight="1"/>
    <row r="6452" ht="30" customHeight="1"/>
    <row r="6453" ht="30" customHeight="1"/>
    <row r="6454" ht="30" customHeight="1"/>
    <row r="6455" ht="30" customHeight="1"/>
    <row r="6456" ht="30" customHeight="1"/>
    <row r="6457" ht="30" customHeight="1"/>
    <row r="6458" ht="30" customHeight="1"/>
    <row r="6459" ht="30" customHeight="1"/>
    <row r="6460" ht="30" customHeight="1"/>
    <row r="6461" ht="30" customHeight="1"/>
    <row r="6462" ht="30" customHeight="1"/>
    <row r="6463" ht="30" customHeight="1"/>
    <row r="6464" ht="30" customHeight="1"/>
    <row r="6465" ht="30" customHeight="1"/>
    <row r="6466" ht="30" customHeight="1"/>
    <row r="6467" ht="30" customHeight="1"/>
    <row r="6468" ht="30" customHeight="1"/>
    <row r="6469" ht="30" customHeight="1"/>
    <row r="6470" ht="30" customHeight="1"/>
    <row r="6471" ht="30" customHeight="1"/>
    <row r="6472" ht="30" customHeight="1"/>
    <row r="6473" ht="30" customHeight="1"/>
    <row r="6474" ht="30" customHeight="1"/>
    <row r="6475" ht="30" customHeight="1"/>
    <row r="6476" ht="30" customHeight="1"/>
    <row r="6477" ht="30" customHeight="1"/>
    <row r="6478" ht="30" customHeight="1"/>
    <row r="6479" ht="30" customHeight="1"/>
    <row r="6480" ht="30" customHeight="1"/>
    <row r="6481" ht="30" customHeight="1"/>
    <row r="6482" ht="30" customHeight="1"/>
    <row r="6483" ht="30" customHeight="1"/>
    <row r="6484" ht="30" customHeight="1"/>
    <row r="6485" ht="30" customHeight="1"/>
    <row r="6486" ht="30" customHeight="1"/>
    <row r="6487" ht="30" customHeight="1"/>
    <row r="6488" ht="30" customHeight="1"/>
    <row r="6489" ht="30" customHeight="1"/>
    <row r="6490" ht="30" customHeight="1"/>
    <row r="6491" ht="30" customHeight="1"/>
    <row r="6492" ht="30" customHeight="1"/>
    <row r="6493" ht="30" customHeight="1"/>
    <row r="6494" ht="30" customHeight="1"/>
    <row r="6495" ht="30" customHeight="1"/>
    <row r="6496" ht="30" customHeight="1"/>
    <row r="6497" ht="30" customHeight="1"/>
    <row r="6498" ht="30" customHeight="1"/>
    <row r="6499" ht="30" customHeight="1"/>
    <row r="6500" ht="30" customHeight="1"/>
    <row r="6501" ht="30" customHeight="1"/>
    <row r="6502" ht="30" customHeight="1"/>
    <row r="6503" ht="30" customHeight="1"/>
    <row r="6504" ht="30" customHeight="1"/>
    <row r="6505" ht="30" customHeight="1"/>
    <row r="6506" ht="30" customHeight="1"/>
    <row r="6507" ht="30" customHeight="1"/>
    <row r="6508" ht="30" customHeight="1"/>
    <row r="6509" ht="30" customHeight="1"/>
    <row r="6510" ht="30" customHeight="1"/>
    <row r="6511" ht="30" customHeight="1"/>
    <row r="6512" ht="30" customHeight="1"/>
    <row r="6513" ht="30" customHeight="1"/>
    <row r="6514" ht="30" customHeight="1"/>
    <row r="6515" ht="30" customHeight="1"/>
    <row r="6516" ht="30" customHeight="1"/>
    <row r="6517" ht="30" customHeight="1"/>
    <row r="6518" ht="30" customHeight="1"/>
    <row r="6519" ht="30" customHeight="1"/>
    <row r="6520" ht="30" customHeight="1"/>
    <row r="6521" ht="30" customHeight="1"/>
    <row r="6522" ht="30" customHeight="1"/>
    <row r="6523" ht="30" customHeight="1"/>
    <row r="6524" ht="30" customHeight="1"/>
    <row r="6525" ht="30" customHeight="1"/>
    <row r="6526" ht="30" customHeight="1"/>
    <row r="6527" ht="30" customHeight="1"/>
    <row r="6528" ht="30" customHeight="1"/>
    <row r="6529" ht="30" customHeight="1"/>
    <row r="6530" ht="30" customHeight="1"/>
    <row r="6531" ht="30" customHeight="1"/>
    <row r="6532" ht="30" customHeight="1"/>
    <row r="6533" ht="30" customHeight="1"/>
    <row r="6534" ht="30" customHeight="1"/>
    <row r="6535" ht="30" customHeight="1"/>
    <row r="6536" ht="30" customHeight="1"/>
    <row r="6537" ht="30" customHeight="1"/>
    <row r="6538" ht="30" customHeight="1"/>
    <row r="6539" ht="30" customHeight="1"/>
    <row r="6540" ht="30" customHeight="1"/>
    <row r="6541" ht="30" customHeight="1"/>
    <row r="6542" ht="30" customHeight="1"/>
    <row r="6543" ht="30" customHeight="1"/>
    <row r="6544" ht="30" customHeight="1"/>
    <row r="6545" ht="30" customHeight="1"/>
    <row r="6546" ht="30" customHeight="1"/>
    <row r="6547" ht="30" customHeight="1"/>
    <row r="6548" ht="30" customHeight="1"/>
    <row r="6549" ht="30" customHeight="1"/>
    <row r="6550" ht="30" customHeight="1"/>
    <row r="6551" ht="30" customHeight="1"/>
    <row r="6552" ht="30" customHeight="1"/>
    <row r="6553" ht="30" customHeight="1"/>
    <row r="6554" ht="30" customHeight="1"/>
    <row r="6555" ht="30" customHeight="1"/>
    <row r="6556" ht="30" customHeight="1"/>
    <row r="6557" ht="30" customHeight="1"/>
    <row r="6558" ht="30" customHeight="1"/>
    <row r="6559" ht="30" customHeight="1"/>
    <row r="6560" ht="30" customHeight="1"/>
    <row r="6561" ht="30" customHeight="1"/>
    <row r="6562" ht="30" customHeight="1"/>
    <row r="6563" ht="30" customHeight="1"/>
    <row r="6564" ht="30" customHeight="1"/>
    <row r="6565" ht="30" customHeight="1"/>
    <row r="6566" ht="30" customHeight="1"/>
    <row r="6567" ht="30" customHeight="1"/>
    <row r="6568" ht="30" customHeight="1"/>
    <row r="6569" ht="30" customHeight="1"/>
    <row r="6570" ht="30" customHeight="1"/>
    <row r="6571" ht="30" customHeight="1"/>
    <row r="6572" ht="30" customHeight="1"/>
    <row r="6573" ht="30" customHeight="1"/>
    <row r="6574" ht="30" customHeight="1"/>
    <row r="6575" ht="30" customHeight="1"/>
    <row r="6576" ht="30" customHeight="1"/>
    <row r="6577" ht="30" customHeight="1"/>
    <row r="6578" ht="30" customHeight="1"/>
    <row r="6579" ht="30" customHeight="1"/>
    <row r="6580" ht="30" customHeight="1"/>
    <row r="6581" ht="30" customHeight="1"/>
    <row r="6582" ht="30" customHeight="1"/>
    <row r="6583" ht="30" customHeight="1"/>
    <row r="6584" ht="30" customHeight="1"/>
    <row r="6585" ht="30" customHeight="1"/>
    <row r="6586" ht="30" customHeight="1"/>
    <row r="6587" ht="30" customHeight="1"/>
    <row r="6588" ht="30" customHeight="1"/>
    <row r="6589" ht="30" customHeight="1"/>
    <row r="6590" ht="30" customHeight="1"/>
    <row r="6591" ht="30" customHeight="1"/>
    <row r="6592" ht="30" customHeight="1"/>
    <row r="6593" ht="30" customHeight="1"/>
    <row r="6594" ht="30" customHeight="1"/>
    <row r="6595" ht="30" customHeight="1"/>
    <row r="6596" ht="30" customHeight="1"/>
    <row r="6597" ht="30" customHeight="1"/>
    <row r="6598" ht="30" customHeight="1"/>
    <row r="6599" ht="30" customHeight="1"/>
    <row r="6600" ht="30" customHeight="1"/>
    <row r="6601" ht="30" customHeight="1"/>
    <row r="6602" ht="30" customHeight="1"/>
    <row r="6603" ht="30" customHeight="1"/>
    <row r="6604" ht="30" customHeight="1"/>
    <row r="6605" ht="30" customHeight="1"/>
    <row r="6606" ht="30" customHeight="1"/>
    <row r="6607" ht="30" customHeight="1"/>
    <row r="6608" ht="30" customHeight="1"/>
    <row r="6609" ht="30" customHeight="1"/>
    <row r="6610" ht="30" customHeight="1"/>
    <row r="6611" ht="30" customHeight="1"/>
    <row r="6612" ht="30" customHeight="1"/>
    <row r="6613" ht="30" customHeight="1"/>
    <row r="6614" ht="30" customHeight="1"/>
    <row r="6615" ht="30" customHeight="1"/>
    <row r="6616" ht="30" customHeight="1"/>
    <row r="6617" ht="30" customHeight="1"/>
    <row r="6618" ht="30" customHeight="1"/>
    <row r="6619" ht="30" customHeight="1"/>
    <row r="6620" ht="30" customHeight="1"/>
    <row r="6621" ht="30" customHeight="1"/>
    <row r="6622" ht="30" customHeight="1"/>
    <row r="6623" ht="30" customHeight="1"/>
    <row r="6624" ht="30" customHeight="1"/>
    <row r="6625" ht="30" customHeight="1"/>
    <row r="6626" ht="30" customHeight="1"/>
    <row r="6627" ht="30" customHeight="1"/>
    <row r="6628" ht="30" customHeight="1"/>
    <row r="6629" ht="30" customHeight="1"/>
    <row r="6630" ht="30" customHeight="1"/>
    <row r="6631" ht="30" customHeight="1"/>
    <row r="6632" ht="30" customHeight="1"/>
    <row r="6633" ht="30" customHeight="1"/>
    <row r="6634" ht="30" customHeight="1"/>
    <row r="6635" ht="30" customHeight="1"/>
    <row r="6636" ht="30" customHeight="1"/>
    <row r="6637" ht="30" customHeight="1"/>
    <row r="6638" ht="30" customHeight="1"/>
    <row r="6639" ht="30" customHeight="1"/>
    <row r="6640" ht="30" customHeight="1"/>
    <row r="6641" ht="30" customHeight="1"/>
    <row r="6642" ht="30" customHeight="1"/>
    <row r="6643" ht="30" customHeight="1"/>
    <row r="6644" ht="30" customHeight="1"/>
    <row r="6645" ht="30" customHeight="1"/>
    <row r="6646" ht="30" customHeight="1"/>
    <row r="6647" ht="30" customHeight="1"/>
    <row r="6648" ht="30" customHeight="1"/>
    <row r="6649" ht="30" customHeight="1"/>
    <row r="6650" ht="30" customHeight="1"/>
    <row r="6651" ht="30" customHeight="1"/>
    <row r="6652" ht="30" customHeight="1"/>
    <row r="6653" ht="30" customHeight="1"/>
    <row r="6654" ht="30" customHeight="1"/>
    <row r="6655" ht="30" customHeight="1"/>
    <row r="6656" ht="30" customHeight="1"/>
    <row r="6657" ht="30" customHeight="1"/>
    <row r="6658" ht="30" customHeight="1"/>
    <row r="6659" ht="30" customHeight="1"/>
    <row r="6660" ht="30" customHeight="1"/>
    <row r="6661" ht="30" customHeight="1"/>
    <row r="6662" ht="30" customHeight="1"/>
    <row r="6663" ht="30" customHeight="1"/>
    <row r="6664" ht="30" customHeight="1"/>
    <row r="6665" ht="30" customHeight="1"/>
    <row r="6666" ht="30" customHeight="1"/>
    <row r="6667" ht="30" customHeight="1"/>
    <row r="6668" ht="30" customHeight="1"/>
    <row r="6669" ht="30" customHeight="1"/>
    <row r="6670" ht="30" customHeight="1"/>
    <row r="6671" ht="30" customHeight="1"/>
    <row r="6672" ht="30" customHeight="1"/>
    <row r="6673" ht="30" customHeight="1"/>
    <row r="6674" ht="30" customHeight="1"/>
    <row r="6675" ht="30" customHeight="1"/>
    <row r="6676" ht="30" customHeight="1"/>
    <row r="6677" ht="30" customHeight="1"/>
    <row r="6678" ht="30" customHeight="1"/>
    <row r="6679" ht="30" customHeight="1"/>
    <row r="6680" ht="30" customHeight="1"/>
    <row r="6681" ht="30" customHeight="1"/>
    <row r="6682" ht="30" customHeight="1"/>
    <row r="6683" ht="30" customHeight="1"/>
    <row r="6684" ht="30" customHeight="1"/>
    <row r="6685" ht="30" customHeight="1"/>
    <row r="6686" ht="30" customHeight="1"/>
    <row r="6687" ht="30" customHeight="1"/>
    <row r="6688" ht="30" customHeight="1"/>
    <row r="6689" ht="30" customHeight="1"/>
    <row r="6690" ht="30" customHeight="1"/>
    <row r="6691" ht="30" customHeight="1"/>
    <row r="6692" ht="30" customHeight="1"/>
    <row r="6693" ht="30" customHeight="1"/>
    <row r="6694" ht="30" customHeight="1"/>
    <row r="6695" ht="30" customHeight="1"/>
    <row r="6696" ht="30" customHeight="1"/>
    <row r="6697" ht="30" customHeight="1"/>
    <row r="6698" ht="30" customHeight="1"/>
    <row r="6699" ht="30" customHeight="1"/>
    <row r="6700" ht="30" customHeight="1"/>
    <row r="6701" ht="30" customHeight="1"/>
    <row r="6702" ht="30" customHeight="1"/>
    <row r="6703" ht="30" customHeight="1"/>
    <row r="6704" ht="30" customHeight="1"/>
    <row r="6705" ht="30" customHeight="1"/>
    <row r="6706" ht="30" customHeight="1"/>
    <row r="6707" ht="30" customHeight="1"/>
    <row r="6708" ht="30" customHeight="1"/>
    <row r="6709" ht="30" customHeight="1"/>
    <row r="6710" ht="30" customHeight="1"/>
    <row r="6711" ht="30" customHeight="1"/>
    <row r="6712" ht="30" customHeight="1"/>
    <row r="6713" ht="30" customHeight="1"/>
    <row r="6714" ht="30" customHeight="1"/>
    <row r="6715" ht="30" customHeight="1"/>
    <row r="6716" ht="30" customHeight="1"/>
    <row r="6717" ht="30" customHeight="1"/>
    <row r="6718" ht="30" customHeight="1"/>
    <row r="6719" ht="30" customHeight="1"/>
    <row r="6720" ht="30" customHeight="1"/>
    <row r="6721" ht="30" customHeight="1"/>
    <row r="6722" ht="30" customHeight="1"/>
    <row r="6723" ht="30" customHeight="1"/>
    <row r="6724" ht="30" customHeight="1"/>
    <row r="6725" ht="30" customHeight="1"/>
    <row r="6726" ht="30" customHeight="1"/>
    <row r="6727" ht="30" customHeight="1"/>
    <row r="6728" ht="30" customHeight="1"/>
    <row r="6729" ht="30" customHeight="1"/>
    <row r="6730" ht="30" customHeight="1"/>
    <row r="6731" ht="30" customHeight="1"/>
    <row r="6732" ht="30" customHeight="1"/>
    <row r="6733" ht="30" customHeight="1"/>
    <row r="6734" ht="30" customHeight="1"/>
    <row r="6735" ht="30" customHeight="1"/>
    <row r="6736" ht="30" customHeight="1"/>
    <row r="6737" ht="30" customHeight="1"/>
    <row r="6738" ht="30" customHeight="1"/>
    <row r="6739" ht="30" customHeight="1"/>
    <row r="6740" ht="30" customHeight="1"/>
    <row r="6741" ht="30" customHeight="1"/>
    <row r="6742" ht="30" customHeight="1"/>
    <row r="6743" ht="30" customHeight="1"/>
    <row r="6744" ht="30" customHeight="1"/>
    <row r="6745" ht="30" customHeight="1"/>
    <row r="6746" ht="30" customHeight="1"/>
    <row r="6747" ht="30" customHeight="1"/>
    <row r="6748" ht="30" customHeight="1"/>
    <row r="6749" ht="30" customHeight="1"/>
    <row r="6750" ht="30" customHeight="1"/>
    <row r="6751" ht="30" customHeight="1"/>
    <row r="6752" ht="30" customHeight="1"/>
    <row r="6753" ht="30" customHeight="1"/>
    <row r="6754" ht="30" customHeight="1"/>
    <row r="6755" ht="30" customHeight="1"/>
    <row r="6756" ht="30" customHeight="1"/>
    <row r="6757" ht="30" customHeight="1"/>
    <row r="6758" ht="30" customHeight="1"/>
    <row r="6759" ht="30" customHeight="1"/>
    <row r="6760" ht="30" customHeight="1"/>
    <row r="6761" ht="30" customHeight="1"/>
    <row r="6762" ht="30" customHeight="1"/>
    <row r="6763" ht="30" customHeight="1"/>
    <row r="6764" ht="30" customHeight="1"/>
    <row r="6765" ht="30" customHeight="1"/>
    <row r="6766" ht="30" customHeight="1"/>
    <row r="6767" ht="30" customHeight="1"/>
    <row r="6768" ht="30" customHeight="1"/>
    <row r="6769" ht="30" customHeight="1"/>
    <row r="6770" ht="30" customHeight="1"/>
    <row r="6771" ht="30" customHeight="1"/>
    <row r="6772" ht="30" customHeight="1"/>
    <row r="6773" ht="30" customHeight="1"/>
    <row r="6774" ht="30" customHeight="1"/>
    <row r="6775" ht="30" customHeight="1"/>
    <row r="6776" ht="30" customHeight="1"/>
    <row r="6777" ht="30" customHeight="1"/>
    <row r="6778" ht="30" customHeight="1"/>
    <row r="6779" ht="30" customHeight="1"/>
    <row r="6780" ht="30" customHeight="1"/>
    <row r="6781" ht="30" customHeight="1"/>
    <row r="6782" ht="30" customHeight="1"/>
    <row r="6783" ht="30" customHeight="1"/>
    <row r="6784" ht="30" customHeight="1"/>
    <row r="6785" ht="30" customHeight="1"/>
    <row r="6786" ht="30" customHeight="1"/>
    <row r="6787" ht="30" customHeight="1"/>
    <row r="6788" ht="30" customHeight="1"/>
    <row r="6789" ht="30" customHeight="1"/>
    <row r="6790" ht="30" customHeight="1"/>
    <row r="6791" ht="30" customHeight="1"/>
    <row r="6792" ht="30" customHeight="1"/>
    <row r="6793" ht="30" customHeight="1"/>
    <row r="6794" ht="30" customHeight="1"/>
    <row r="6795" ht="30" customHeight="1"/>
    <row r="6796" ht="30" customHeight="1"/>
    <row r="6797" ht="30" customHeight="1"/>
    <row r="6798" ht="30" customHeight="1"/>
    <row r="6799" ht="30" customHeight="1"/>
    <row r="6800" ht="30" customHeight="1"/>
    <row r="6801" ht="30" customHeight="1"/>
    <row r="6802" ht="30" customHeight="1"/>
    <row r="6803" ht="30" customHeight="1"/>
    <row r="6804" ht="30" customHeight="1"/>
    <row r="6805" ht="30" customHeight="1"/>
    <row r="6806" ht="30" customHeight="1"/>
    <row r="6807" ht="30" customHeight="1"/>
    <row r="6808" ht="30" customHeight="1"/>
    <row r="6809" ht="30" customHeight="1"/>
    <row r="6810" ht="30" customHeight="1"/>
    <row r="6811" ht="30" customHeight="1"/>
    <row r="6812" ht="30" customHeight="1"/>
    <row r="6813" ht="30" customHeight="1"/>
    <row r="6814" ht="30" customHeight="1"/>
    <row r="6815" ht="30" customHeight="1"/>
    <row r="6816" ht="30" customHeight="1"/>
    <row r="6817" ht="30" customHeight="1"/>
    <row r="6818" ht="30" customHeight="1"/>
    <row r="6819" ht="30" customHeight="1"/>
    <row r="6820" ht="30" customHeight="1"/>
    <row r="6821" ht="30" customHeight="1"/>
    <row r="6822" ht="30" customHeight="1"/>
    <row r="6823" ht="30" customHeight="1"/>
    <row r="6824" ht="30" customHeight="1"/>
    <row r="6825" ht="30" customHeight="1"/>
    <row r="6826" ht="30" customHeight="1"/>
    <row r="6827" ht="30" customHeight="1"/>
    <row r="6828" ht="30" customHeight="1"/>
    <row r="6829" ht="30" customHeight="1"/>
    <row r="6830" ht="30" customHeight="1"/>
    <row r="6831" ht="30" customHeight="1"/>
    <row r="6832" ht="30" customHeight="1"/>
    <row r="6833" ht="30" customHeight="1"/>
    <row r="6834" ht="30" customHeight="1"/>
    <row r="6835" ht="30" customHeight="1"/>
    <row r="6836" ht="30" customHeight="1"/>
    <row r="6837" ht="30" customHeight="1"/>
    <row r="6838" ht="30" customHeight="1"/>
    <row r="6839" ht="30" customHeight="1"/>
    <row r="6840" ht="30" customHeight="1"/>
    <row r="6841" ht="30" customHeight="1"/>
    <row r="6842" ht="30" customHeight="1"/>
    <row r="6843" ht="30" customHeight="1"/>
    <row r="6844" ht="30" customHeight="1"/>
    <row r="6845" ht="30" customHeight="1"/>
    <row r="6846" ht="30" customHeight="1"/>
    <row r="6847" ht="30" customHeight="1"/>
    <row r="6848" ht="30" customHeight="1"/>
    <row r="6849" ht="30" customHeight="1"/>
    <row r="6850" ht="30" customHeight="1"/>
    <row r="6851" ht="30" customHeight="1"/>
    <row r="6852" ht="30" customHeight="1"/>
    <row r="6853" ht="30" customHeight="1"/>
    <row r="6854" ht="30" customHeight="1"/>
    <row r="6855" ht="30" customHeight="1"/>
    <row r="6856" ht="30" customHeight="1"/>
    <row r="6857" ht="30" customHeight="1"/>
    <row r="6858" ht="30" customHeight="1"/>
    <row r="6859" ht="30" customHeight="1"/>
    <row r="6860" ht="30" customHeight="1"/>
    <row r="6861" ht="30" customHeight="1"/>
    <row r="6862" ht="30" customHeight="1"/>
    <row r="6863" ht="30" customHeight="1"/>
    <row r="6864" ht="30" customHeight="1"/>
    <row r="6865" ht="30" customHeight="1"/>
    <row r="6866" ht="30" customHeight="1"/>
    <row r="6867" ht="30" customHeight="1"/>
    <row r="6868" ht="30" customHeight="1"/>
    <row r="6869" ht="30" customHeight="1"/>
    <row r="6870" ht="30" customHeight="1"/>
    <row r="6871" ht="30" customHeight="1"/>
    <row r="6872" ht="30" customHeight="1"/>
    <row r="6873" ht="30" customHeight="1"/>
    <row r="6874" ht="30" customHeight="1"/>
    <row r="6875" ht="30" customHeight="1"/>
    <row r="6876" ht="30" customHeight="1"/>
    <row r="6877" ht="30" customHeight="1"/>
    <row r="6878" ht="30" customHeight="1"/>
    <row r="6879" ht="30" customHeight="1"/>
    <row r="6880" ht="30" customHeight="1"/>
    <row r="6881" ht="30" customHeight="1"/>
    <row r="6882" ht="30" customHeight="1"/>
    <row r="6883" ht="30" customHeight="1"/>
    <row r="6884" ht="30" customHeight="1"/>
    <row r="6885" ht="30" customHeight="1"/>
    <row r="6886" ht="30" customHeight="1"/>
    <row r="6887" ht="30" customHeight="1"/>
    <row r="6888" ht="30" customHeight="1"/>
    <row r="6889" ht="30" customHeight="1"/>
    <row r="6890" ht="30" customHeight="1"/>
    <row r="6891" ht="30" customHeight="1"/>
    <row r="6892" ht="30" customHeight="1"/>
    <row r="6893" ht="30" customHeight="1"/>
    <row r="6894" ht="30" customHeight="1"/>
    <row r="6895" ht="30" customHeight="1"/>
    <row r="6896" ht="30" customHeight="1"/>
    <row r="6897" ht="30" customHeight="1"/>
    <row r="6898" ht="30" customHeight="1"/>
    <row r="6899" ht="30" customHeight="1"/>
    <row r="6900" ht="30" customHeight="1"/>
    <row r="6901" ht="30" customHeight="1"/>
    <row r="6902" ht="30" customHeight="1"/>
    <row r="6903" ht="30" customHeight="1"/>
    <row r="6904" ht="30" customHeight="1"/>
    <row r="6905" ht="30" customHeight="1"/>
    <row r="6906" ht="30" customHeight="1"/>
    <row r="6907" ht="30" customHeight="1"/>
    <row r="6908" ht="30" customHeight="1"/>
    <row r="6909" ht="30" customHeight="1"/>
    <row r="6910" ht="30" customHeight="1"/>
    <row r="6911" ht="30" customHeight="1"/>
    <row r="6912" ht="30" customHeight="1"/>
    <row r="6913" ht="30" customHeight="1"/>
    <row r="6914" ht="30" customHeight="1"/>
    <row r="6915" ht="30" customHeight="1"/>
    <row r="6916" ht="30" customHeight="1"/>
    <row r="6917" ht="30" customHeight="1"/>
    <row r="6918" ht="30" customHeight="1"/>
    <row r="6919" ht="30" customHeight="1"/>
    <row r="6920" ht="30" customHeight="1"/>
    <row r="6921" ht="30" customHeight="1"/>
    <row r="6922" ht="30" customHeight="1"/>
    <row r="6923" ht="30" customHeight="1"/>
    <row r="6924" ht="30" customHeight="1"/>
    <row r="6925" ht="30" customHeight="1"/>
    <row r="6926" ht="30" customHeight="1"/>
    <row r="6927" ht="30" customHeight="1"/>
    <row r="6928" ht="30" customHeight="1"/>
    <row r="6929" ht="30" customHeight="1"/>
    <row r="6930" ht="30" customHeight="1"/>
    <row r="6931" ht="30" customHeight="1"/>
    <row r="6932" ht="30" customHeight="1"/>
    <row r="6933" ht="30" customHeight="1"/>
    <row r="6934" ht="30" customHeight="1"/>
    <row r="6935" ht="30" customHeight="1"/>
    <row r="6936" ht="30" customHeight="1"/>
    <row r="6937" ht="30" customHeight="1"/>
    <row r="6938" ht="30" customHeight="1"/>
    <row r="6939" ht="30" customHeight="1"/>
    <row r="6940" ht="30" customHeight="1"/>
    <row r="6941" ht="30" customHeight="1"/>
    <row r="6942" ht="30" customHeight="1"/>
    <row r="6943" ht="30" customHeight="1"/>
    <row r="6944" ht="30" customHeight="1"/>
    <row r="6945" ht="30" customHeight="1"/>
    <row r="6946" ht="30" customHeight="1"/>
    <row r="6947" ht="30" customHeight="1"/>
    <row r="6948" ht="30" customHeight="1"/>
    <row r="6949" ht="30" customHeight="1"/>
    <row r="6950" ht="30" customHeight="1"/>
    <row r="6951" ht="30" customHeight="1"/>
    <row r="6952" ht="30" customHeight="1"/>
    <row r="6953" ht="30" customHeight="1"/>
    <row r="6954" ht="30" customHeight="1"/>
    <row r="6955" ht="30" customHeight="1"/>
    <row r="6956" ht="30" customHeight="1"/>
    <row r="6957" ht="30" customHeight="1"/>
    <row r="6958" ht="30" customHeight="1"/>
    <row r="6959" ht="30" customHeight="1"/>
    <row r="6960" ht="30" customHeight="1"/>
    <row r="6961" ht="30" customHeight="1"/>
    <row r="6962" ht="30" customHeight="1"/>
    <row r="6963" ht="30" customHeight="1"/>
    <row r="6964" ht="30" customHeight="1"/>
    <row r="6965" ht="30" customHeight="1"/>
    <row r="6966" ht="30" customHeight="1"/>
    <row r="6967" ht="30" customHeight="1"/>
    <row r="6968" ht="30" customHeight="1"/>
    <row r="6969" ht="30" customHeight="1"/>
    <row r="6970" ht="30" customHeight="1"/>
    <row r="6971" ht="30" customHeight="1"/>
    <row r="6972" ht="30" customHeight="1"/>
    <row r="6973" ht="30" customHeight="1"/>
    <row r="6974" ht="30" customHeight="1"/>
    <row r="6975" ht="30" customHeight="1"/>
    <row r="6976" ht="30" customHeight="1"/>
    <row r="6977" ht="30" customHeight="1"/>
    <row r="6978" ht="30" customHeight="1"/>
    <row r="6979" ht="30" customHeight="1"/>
    <row r="6980" ht="30" customHeight="1"/>
    <row r="6981" ht="30" customHeight="1"/>
    <row r="6982" ht="30" customHeight="1"/>
    <row r="6983" ht="30" customHeight="1"/>
    <row r="6984" ht="30" customHeight="1"/>
    <row r="6985" ht="30" customHeight="1"/>
    <row r="6986" ht="30" customHeight="1"/>
    <row r="6987" ht="30" customHeight="1"/>
    <row r="6988" ht="30" customHeight="1"/>
    <row r="6989" ht="30" customHeight="1"/>
    <row r="6990" ht="30" customHeight="1"/>
    <row r="6991" ht="30" customHeight="1"/>
    <row r="6992" ht="30" customHeight="1"/>
    <row r="6993" ht="30" customHeight="1"/>
    <row r="6994" ht="30" customHeight="1"/>
    <row r="6995" ht="30" customHeight="1"/>
    <row r="6996" ht="30" customHeight="1"/>
    <row r="6997" ht="30" customHeight="1"/>
    <row r="6998" ht="30" customHeight="1"/>
    <row r="6999" ht="30" customHeight="1"/>
    <row r="7000" ht="30" customHeight="1"/>
    <row r="7001" ht="30" customHeight="1"/>
    <row r="7002" ht="30" customHeight="1"/>
    <row r="7003" ht="30" customHeight="1"/>
    <row r="7004" ht="30" customHeight="1"/>
    <row r="7005" ht="30" customHeight="1"/>
    <row r="7006" ht="30" customHeight="1"/>
    <row r="7007" ht="30" customHeight="1"/>
    <row r="7008" ht="30" customHeight="1"/>
    <row r="7009" ht="30" customHeight="1"/>
    <row r="7010" ht="30" customHeight="1"/>
    <row r="7011" ht="30" customHeight="1"/>
    <row r="7012" ht="30" customHeight="1"/>
    <row r="7013" ht="30" customHeight="1"/>
    <row r="7014" ht="30" customHeight="1"/>
    <row r="7015" ht="30" customHeight="1"/>
    <row r="7016" ht="30" customHeight="1"/>
    <row r="7017" ht="30" customHeight="1"/>
    <row r="7018" ht="30" customHeight="1"/>
    <row r="7019" ht="30" customHeight="1"/>
    <row r="7020" ht="30" customHeight="1"/>
    <row r="7021" ht="30" customHeight="1"/>
    <row r="7022" ht="30" customHeight="1"/>
    <row r="7023" ht="30" customHeight="1"/>
    <row r="7024" ht="30" customHeight="1"/>
    <row r="7025" ht="30" customHeight="1"/>
    <row r="7026" ht="30" customHeight="1"/>
    <row r="7027" ht="30" customHeight="1"/>
    <row r="7028" ht="30" customHeight="1"/>
    <row r="7029" ht="30" customHeight="1"/>
    <row r="7030" ht="30" customHeight="1"/>
    <row r="7031" ht="30" customHeight="1"/>
    <row r="7032" ht="30" customHeight="1"/>
    <row r="7033" ht="30" customHeight="1"/>
    <row r="7034" ht="30" customHeight="1"/>
    <row r="7035" ht="30" customHeight="1"/>
    <row r="7036" ht="30" customHeight="1"/>
    <row r="7037" ht="30" customHeight="1"/>
    <row r="7038" ht="30" customHeight="1"/>
    <row r="7039" ht="30" customHeight="1"/>
    <row r="7040" ht="30" customHeight="1"/>
    <row r="7041" ht="30" customHeight="1"/>
    <row r="7042" ht="30" customHeight="1"/>
    <row r="7043" ht="30" customHeight="1"/>
    <row r="7044" ht="30" customHeight="1"/>
    <row r="7045" ht="30" customHeight="1"/>
    <row r="7046" ht="30" customHeight="1"/>
    <row r="7047" ht="30" customHeight="1"/>
    <row r="7048" ht="30" customHeight="1"/>
    <row r="7049" ht="30" customHeight="1"/>
    <row r="7050" ht="30" customHeight="1"/>
    <row r="7051" ht="30" customHeight="1"/>
    <row r="7052" ht="30" customHeight="1"/>
    <row r="7053" ht="30" customHeight="1"/>
    <row r="7054" ht="30" customHeight="1"/>
    <row r="7055" ht="30" customHeight="1"/>
    <row r="7056" ht="30" customHeight="1"/>
    <row r="7057" ht="30" customHeight="1"/>
    <row r="7058" ht="30" customHeight="1"/>
    <row r="7059" ht="30" customHeight="1"/>
    <row r="7060" ht="30" customHeight="1"/>
    <row r="7061" ht="30" customHeight="1"/>
    <row r="7062" ht="30" customHeight="1"/>
    <row r="7063" ht="30" customHeight="1"/>
    <row r="7064" ht="30" customHeight="1"/>
    <row r="7065" ht="30" customHeight="1"/>
    <row r="7066" ht="30" customHeight="1"/>
    <row r="7067" ht="30" customHeight="1"/>
    <row r="7068" ht="30" customHeight="1"/>
    <row r="7069" ht="30" customHeight="1"/>
    <row r="7070" ht="30" customHeight="1"/>
    <row r="7071" ht="30" customHeight="1"/>
    <row r="7072" ht="30" customHeight="1"/>
    <row r="7073" ht="30" customHeight="1"/>
    <row r="7074" ht="30" customHeight="1"/>
    <row r="7075" ht="30" customHeight="1"/>
    <row r="7076" ht="30" customHeight="1"/>
    <row r="7077" ht="30" customHeight="1"/>
    <row r="7078" ht="30" customHeight="1"/>
    <row r="7079" ht="30" customHeight="1"/>
    <row r="7080" ht="30" customHeight="1"/>
    <row r="7081" ht="30" customHeight="1"/>
    <row r="7082" ht="30" customHeight="1"/>
    <row r="7083" ht="30" customHeight="1"/>
    <row r="7084" ht="30" customHeight="1"/>
    <row r="7085" ht="30" customHeight="1"/>
    <row r="7086" ht="30" customHeight="1"/>
    <row r="7087" ht="30" customHeight="1"/>
    <row r="7088" ht="30" customHeight="1"/>
    <row r="7089" ht="30" customHeight="1"/>
    <row r="7090" ht="30" customHeight="1"/>
    <row r="7091" ht="30" customHeight="1"/>
    <row r="7092" ht="30" customHeight="1"/>
    <row r="7093" ht="30" customHeight="1"/>
    <row r="7094" ht="30" customHeight="1"/>
    <row r="7095" ht="30" customHeight="1"/>
    <row r="7096" ht="30" customHeight="1"/>
    <row r="7097" ht="30" customHeight="1"/>
    <row r="7098" ht="30" customHeight="1"/>
    <row r="7099" ht="30" customHeight="1"/>
    <row r="7100" ht="30" customHeight="1"/>
    <row r="7101" ht="30" customHeight="1"/>
    <row r="7102" ht="30" customHeight="1"/>
    <row r="7103" ht="30" customHeight="1"/>
    <row r="7104" ht="30" customHeight="1"/>
    <row r="7105" ht="30" customHeight="1"/>
    <row r="7106" ht="30" customHeight="1"/>
    <row r="7107" ht="30" customHeight="1"/>
    <row r="7108" ht="30" customHeight="1"/>
    <row r="7109" ht="30" customHeight="1"/>
    <row r="7110" ht="30" customHeight="1"/>
    <row r="7111" ht="30" customHeight="1"/>
    <row r="7112" ht="30" customHeight="1"/>
    <row r="7113" ht="30" customHeight="1"/>
    <row r="7114" ht="30" customHeight="1"/>
    <row r="7115" ht="30" customHeight="1"/>
    <row r="7116" ht="30" customHeight="1"/>
    <row r="7117" ht="30" customHeight="1"/>
    <row r="7118" ht="30" customHeight="1"/>
    <row r="7119" ht="30" customHeight="1"/>
    <row r="7120" ht="30" customHeight="1"/>
    <row r="7121" ht="30" customHeight="1"/>
    <row r="7122" ht="30" customHeight="1"/>
    <row r="7123" ht="30" customHeight="1"/>
    <row r="7124" ht="30" customHeight="1"/>
    <row r="7125" ht="30" customHeight="1"/>
    <row r="7126" ht="30" customHeight="1"/>
    <row r="7127" ht="30" customHeight="1"/>
    <row r="7128" ht="30" customHeight="1"/>
    <row r="7129" ht="30" customHeight="1"/>
    <row r="7130" ht="30" customHeight="1"/>
    <row r="7131" ht="30" customHeight="1"/>
    <row r="7132" ht="30" customHeight="1"/>
    <row r="7133" ht="30" customHeight="1"/>
    <row r="7134" ht="30" customHeight="1"/>
    <row r="7135" ht="30" customHeight="1"/>
    <row r="7136" ht="30" customHeight="1"/>
    <row r="7137" ht="30" customHeight="1"/>
    <row r="7138" ht="30" customHeight="1"/>
    <row r="7139" ht="30" customHeight="1"/>
    <row r="7140" ht="30" customHeight="1"/>
    <row r="7141" ht="30" customHeight="1"/>
    <row r="7142" ht="30" customHeight="1"/>
    <row r="7143" ht="30" customHeight="1"/>
    <row r="7144" ht="30" customHeight="1"/>
    <row r="7145" ht="30" customHeight="1"/>
    <row r="7146" ht="30" customHeight="1"/>
    <row r="7147" ht="30" customHeight="1"/>
    <row r="7148" ht="30" customHeight="1"/>
    <row r="7149" ht="30" customHeight="1"/>
    <row r="7150" ht="30" customHeight="1"/>
    <row r="7151" ht="30" customHeight="1"/>
    <row r="7152" ht="30" customHeight="1"/>
    <row r="7153" ht="30" customHeight="1"/>
    <row r="7154" ht="30" customHeight="1"/>
    <row r="7155" ht="30" customHeight="1"/>
    <row r="7156" ht="30" customHeight="1"/>
    <row r="7157" ht="30" customHeight="1"/>
    <row r="7158" ht="30" customHeight="1"/>
    <row r="7159" ht="30" customHeight="1"/>
    <row r="7160" ht="30" customHeight="1"/>
    <row r="7161" ht="30" customHeight="1"/>
    <row r="7162" ht="30" customHeight="1"/>
    <row r="7163" ht="30" customHeight="1"/>
    <row r="7164" ht="30" customHeight="1"/>
    <row r="7165" ht="30" customHeight="1"/>
    <row r="7166" ht="30" customHeight="1"/>
    <row r="7167" ht="30" customHeight="1"/>
    <row r="7168" ht="30" customHeight="1"/>
    <row r="7169" ht="30" customHeight="1"/>
    <row r="7170" ht="30" customHeight="1"/>
    <row r="7171" ht="30" customHeight="1"/>
    <row r="7172" ht="30" customHeight="1"/>
    <row r="7173" ht="30" customHeight="1"/>
    <row r="7174" ht="30" customHeight="1"/>
    <row r="7175" ht="30" customHeight="1"/>
    <row r="7176" ht="30" customHeight="1"/>
    <row r="7177" ht="30" customHeight="1"/>
    <row r="7178" ht="30" customHeight="1"/>
    <row r="7179" ht="30" customHeight="1"/>
    <row r="7180" ht="30" customHeight="1"/>
    <row r="7181" ht="30" customHeight="1"/>
    <row r="7182" ht="30" customHeight="1"/>
    <row r="7183" ht="30" customHeight="1"/>
    <row r="7184" ht="30" customHeight="1"/>
    <row r="7185" ht="30" customHeight="1"/>
    <row r="7186" ht="30" customHeight="1"/>
    <row r="7187" ht="30" customHeight="1"/>
    <row r="7188" ht="30" customHeight="1"/>
    <row r="7189" ht="30" customHeight="1"/>
    <row r="7190" ht="30" customHeight="1"/>
    <row r="7191" ht="30" customHeight="1"/>
    <row r="7192" ht="30" customHeight="1"/>
    <row r="7193" ht="30" customHeight="1"/>
    <row r="7194" ht="30" customHeight="1"/>
    <row r="7195" ht="30" customHeight="1"/>
    <row r="7196" ht="30" customHeight="1"/>
    <row r="7197" ht="30" customHeight="1"/>
    <row r="7198" ht="30" customHeight="1"/>
    <row r="7199" ht="30" customHeight="1"/>
    <row r="7200" ht="30" customHeight="1"/>
    <row r="7201" ht="30" customHeight="1"/>
    <row r="7202" ht="30" customHeight="1"/>
    <row r="7203" ht="30" customHeight="1"/>
    <row r="7204" ht="30" customHeight="1"/>
    <row r="7205" ht="30" customHeight="1"/>
    <row r="7206" ht="30" customHeight="1"/>
    <row r="7207" ht="30" customHeight="1"/>
    <row r="7208" ht="30" customHeight="1"/>
    <row r="7209" ht="30" customHeight="1"/>
    <row r="7210" ht="30" customHeight="1"/>
    <row r="7211" ht="30" customHeight="1"/>
    <row r="7212" ht="30" customHeight="1"/>
    <row r="7213" ht="30" customHeight="1"/>
    <row r="7214" ht="30" customHeight="1"/>
    <row r="7215" ht="30" customHeight="1"/>
    <row r="7216" ht="30" customHeight="1"/>
    <row r="7217" ht="30" customHeight="1"/>
    <row r="7218" ht="30" customHeight="1"/>
    <row r="7219" ht="30" customHeight="1"/>
    <row r="7220" ht="30" customHeight="1"/>
    <row r="7221" ht="30" customHeight="1"/>
    <row r="7222" ht="30" customHeight="1"/>
    <row r="7223" ht="30" customHeight="1"/>
    <row r="7224" ht="30" customHeight="1"/>
    <row r="7225" ht="30" customHeight="1"/>
    <row r="7226" ht="30" customHeight="1"/>
    <row r="7227" ht="30" customHeight="1"/>
    <row r="7228" ht="30" customHeight="1"/>
    <row r="7229" ht="30" customHeight="1"/>
    <row r="7230" ht="30" customHeight="1"/>
    <row r="7231" ht="30" customHeight="1"/>
    <row r="7232" ht="30" customHeight="1"/>
    <row r="7233" ht="30" customHeight="1"/>
    <row r="7234" ht="30" customHeight="1"/>
    <row r="7235" ht="30" customHeight="1"/>
    <row r="7236" ht="30" customHeight="1"/>
    <row r="7237" ht="30" customHeight="1"/>
    <row r="7238" ht="30" customHeight="1"/>
    <row r="7239" ht="30" customHeight="1"/>
    <row r="7240" ht="30" customHeight="1"/>
    <row r="7241" ht="30" customHeight="1"/>
    <row r="7242" ht="30" customHeight="1"/>
    <row r="7243" ht="30" customHeight="1"/>
    <row r="7244" ht="30" customHeight="1"/>
    <row r="7245" ht="30" customHeight="1"/>
    <row r="7246" ht="30" customHeight="1"/>
    <row r="7247" ht="30" customHeight="1"/>
    <row r="7248" ht="30" customHeight="1"/>
    <row r="7249" ht="30" customHeight="1"/>
    <row r="7250" ht="30" customHeight="1"/>
    <row r="7251" ht="30" customHeight="1"/>
    <row r="7252" ht="30" customHeight="1"/>
    <row r="7253" ht="30" customHeight="1"/>
    <row r="7254" ht="30" customHeight="1"/>
    <row r="7255" ht="30" customHeight="1"/>
    <row r="7256" ht="30" customHeight="1"/>
    <row r="7257" ht="30" customHeight="1"/>
    <row r="7258" ht="30" customHeight="1"/>
    <row r="7259" ht="30" customHeight="1"/>
    <row r="7260" ht="30" customHeight="1"/>
    <row r="7261" ht="30" customHeight="1"/>
    <row r="7262" ht="30" customHeight="1"/>
    <row r="7263" ht="30" customHeight="1"/>
    <row r="7264" ht="30" customHeight="1"/>
    <row r="7265" ht="30" customHeight="1"/>
    <row r="7266" ht="30" customHeight="1"/>
    <row r="7267" ht="30" customHeight="1"/>
    <row r="7268" ht="30" customHeight="1"/>
    <row r="7269" ht="30" customHeight="1"/>
    <row r="7270" ht="30" customHeight="1"/>
    <row r="7271" ht="30" customHeight="1"/>
    <row r="7272" ht="30" customHeight="1"/>
    <row r="7273" ht="30" customHeight="1"/>
    <row r="7274" ht="30" customHeight="1"/>
    <row r="7275" ht="30" customHeight="1"/>
    <row r="7276" ht="30" customHeight="1"/>
    <row r="7277" ht="30" customHeight="1"/>
    <row r="7278" ht="30" customHeight="1"/>
    <row r="7279" ht="30" customHeight="1"/>
    <row r="7280" ht="30" customHeight="1"/>
    <row r="7281" ht="30" customHeight="1"/>
    <row r="7282" ht="30" customHeight="1"/>
    <row r="7283" ht="30" customHeight="1"/>
    <row r="7284" ht="30" customHeight="1"/>
    <row r="7285" ht="30" customHeight="1"/>
    <row r="7286" ht="30" customHeight="1"/>
    <row r="7287" ht="30" customHeight="1"/>
    <row r="7288" ht="30" customHeight="1"/>
    <row r="7289" ht="30" customHeight="1"/>
    <row r="7290" ht="30" customHeight="1"/>
    <row r="7291" ht="30" customHeight="1"/>
    <row r="7292" ht="30" customHeight="1"/>
    <row r="7293" ht="30" customHeight="1"/>
    <row r="7294" ht="30" customHeight="1"/>
    <row r="7295" ht="30" customHeight="1"/>
    <row r="7296" ht="30" customHeight="1"/>
    <row r="7297" ht="30" customHeight="1"/>
    <row r="7298" ht="30" customHeight="1"/>
    <row r="7299" ht="30" customHeight="1"/>
    <row r="7300" ht="30" customHeight="1"/>
    <row r="7301" ht="30" customHeight="1"/>
    <row r="7302" ht="30" customHeight="1"/>
    <row r="7303" ht="30" customHeight="1"/>
    <row r="7304" ht="30" customHeight="1"/>
    <row r="7305" ht="30" customHeight="1"/>
    <row r="7306" ht="30" customHeight="1"/>
    <row r="7307" ht="30" customHeight="1"/>
    <row r="7308" ht="30" customHeight="1"/>
    <row r="7309" ht="30" customHeight="1"/>
    <row r="7310" ht="30" customHeight="1"/>
    <row r="7311" ht="30" customHeight="1"/>
    <row r="7312" ht="30" customHeight="1"/>
    <row r="7313" ht="30" customHeight="1"/>
    <row r="7314" ht="30" customHeight="1"/>
    <row r="7315" ht="30" customHeight="1"/>
    <row r="7316" ht="30" customHeight="1"/>
    <row r="7317" ht="30" customHeight="1"/>
    <row r="7318" ht="30" customHeight="1"/>
    <row r="7319" ht="30" customHeight="1"/>
    <row r="7320" ht="30" customHeight="1"/>
    <row r="7321" ht="30" customHeight="1"/>
    <row r="7322" ht="30" customHeight="1"/>
    <row r="7323" ht="30" customHeight="1"/>
    <row r="7324" ht="30" customHeight="1"/>
    <row r="7325" ht="30" customHeight="1"/>
    <row r="7326" ht="30" customHeight="1"/>
    <row r="7327" ht="30" customHeight="1"/>
    <row r="7328" ht="30" customHeight="1"/>
    <row r="7329" ht="30" customHeight="1"/>
    <row r="7330" ht="30" customHeight="1"/>
    <row r="7331" ht="30" customHeight="1"/>
    <row r="7332" ht="30" customHeight="1"/>
    <row r="7333" ht="30" customHeight="1"/>
    <row r="7334" ht="30" customHeight="1"/>
    <row r="7335" ht="30" customHeight="1"/>
    <row r="7336" ht="30" customHeight="1"/>
    <row r="7337" ht="30" customHeight="1"/>
    <row r="7338" ht="30" customHeight="1"/>
    <row r="7339" ht="30" customHeight="1"/>
    <row r="7340" ht="30" customHeight="1"/>
    <row r="7341" ht="30" customHeight="1"/>
    <row r="7342" ht="30" customHeight="1"/>
    <row r="7343" ht="30" customHeight="1"/>
    <row r="7344" ht="30" customHeight="1"/>
    <row r="7345" ht="30" customHeight="1"/>
    <row r="7346" ht="30" customHeight="1"/>
    <row r="7347" ht="30" customHeight="1"/>
    <row r="7348" ht="30" customHeight="1"/>
    <row r="7349" ht="30" customHeight="1"/>
    <row r="7350" ht="30" customHeight="1"/>
    <row r="7351" ht="30" customHeight="1"/>
    <row r="7352" ht="30" customHeight="1"/>
    <row r="7353" ht="30" customHeight="1"/>
    <row r="7354" ht="30" customHeight="1"/>
    <row r="7355" ht="30" customHeight="1"/>
    <row r="7356" ht="30" customHeight="1"/>
    <row r="7357" ht="30" customHeight="1"/>
    <row r="7358" ht="30" customHeight="1"/>
    <row r="7359" ht="30" customHeight="1"/>
    <row r="7360" ht="30" customHeight="1"/>
    <row r="7361" ht="30" customHeight="1"/>
    <row r="7362" ht="30" customHeight="1"/>
    <row r="7363" ht="30" customHeight="1"/>
    <row r="7364" ht="30" customHeight="1"/>
    <row r="7365" ht="30" customHeight="1"/>
    <row r="7366" ht="30" customHeight="1"/>
    <row r="7367" ht="30" customHeight="1"/>
    <row r="7368" ht="30" customHeight="1"/>
    <row r="7369" ht="30" customHeight="1"/>
    <row r="7370" ht="30" customHeight="1"/>
    <row r="7371" ht="30" customHeight="1"/>
    <row r="7372" ht="30" customHeight="1"/>
    <row r="7373" ht="30" customHeight="1"/>
    <row r="7374" ht="30" customHeight="1"/>
    <row r="7375" ht="30" customHeight="1"/>
    <row r="7376" ht="30" customHeight="1"/>
    <row r="7377" ht="30" customHeight="1"/>
    <row r="7378" ht="30" customHeight="1"/>
    <row r="7379" ht="30" customHeight="1"/>
    <row r="7380" ht="30" customHeight="1"/>
    <row r="7381" ht="30" customHeight="1"/>
    <row r="7382" ht="30" customHeight="1"/>
    <row r="7383" ht="30" customHeight="1"/>
    <row r="7384" ht="30" customHeight="1"/>
    <row r="7385" ht="30" customHeight="1"/>
    <row r="7386" ht="30" customHeight="1"/>
    <row r="7387" ht="30" customHeight="1"/>
    <row r="7388" ht="30" customHeight="1"/>
    <row r="7389" ht="30" customHeight="1"/>
    <row r="7390" ht="30" customHeight="1"/>
    <row r="7391" ht="30" customHeight="1"/>
    <row r="7392" ht="30" customHeight="1"/>
    <row r="7393" ht="30" customHeight="1"/>
    <row r="7394" ht="30" customHeight="1"/>
    <row r="7395" ht="30" customHeight="1"/>
    <row r="7396" ht="30" customHeight="1"/>
    <row r="7397" ht="30" customHeight="1"/>
    <row r="7398" ht="30" customHeight="1"/>
    <row r="7399" ht="30" customHeight="1"/>
    <row r="7400" ht="30" customHeight="1"/>
    <row r="7401" ht="30" customHeight="1"/>
    <row r="7402" ht="30" customHeight="1"/>
    <row r="7403" ht="30" customHeight="1"/>
    <row r="7404" ht="30" customHeight="1"/>
    <row r="7405" ht="30" customHeight="1"/>
    <row r="7406" ht="30" customHeight="1"/>
    <row r="7407" ht="30" customHeight="1"/>
    <row r="7408" ht="30" customHeight="1"/>
    <row r="7409" ht="30" customHeight="1"/>
    <row r="7410" ht="30" customHeight="1"/>
    <row r="7411" ht="30" customHeight="1"/>
    <row r="7412" ht="30" customHeight="1"/>
    <row r="7413" ht="30" customHeight="1"/>
    <row r="7414" ht="30" customHeight="1"/>
    <row r="7415" ht="30" customHeight="1"/>
    <row r="7416" ht="30" customHeight="1"/>
    <row r="7417" ht="30" customHeight="1"/>
    <row r="7418" ht="30" customHeight="1"/>
    <row r="7419" ht="30" customHeight="1"/>
    <row r="7420" ht="30" customHeight="1"/>
    <row r="7421" ht="30" customHeight="1"/>
    <row r="7422" ht="30" customHeight="1"/>
    <row r="7423" ht="30" customHeight="1"/>
    <row r="7424" ht="30" customHeight="1"/>
    <row r="7425" ht="30" customHeight="1"/>
    <row r="7426" ht="30" customHeight="1"/>
    <row r="7427" ht="30" customHeight="1"/>
    <row r="7428" ht="30" customHeight="1"/>
    <row r="7429" ht="30" customHeight="1"/>
    <row r="7430" ht="30" customHeight="1"/>
    <row r="7431" ht="30" customHeight="1"/>
    <row r="7432" ht="30" customHeight="1"/>
    <row r="7433" ht="30" customHeight="1"/>
    <row r="7434" ht="30" customHeight="1"/>
    <row r="7435" ht="30" customHeight="1"/>
    <row r="7436" ht="30" customHeight="1"/>
    <row r="7437" ht="30" customHeight="1"/>
    <row r="7438" ht="30" customHeight="1"/>
    <row r="7439" ht="30" customHeight="1"/>
    <row r="7440" ht="30" customHeight="1"/>
    <row r="7441" ht="30" customHeight="1"/>
    <row r="7442" ht="30" customHeight="1"/>
    <row r="7443" ht="30" customHeight="1"/>
    <row r="7444" ht="30" customHeight="1"/>
    <row r="7445" ht="30" customHeight="1"/>
    <row r="7446" ht="30" customHeight="1"/>
    <row r="7447" ht="30" customHeight="1"/>
    <row r="7448" ht="30" customHeight="1"/>
    <row r="7449" ht="30" customHeight="1"/>
    <row r="7450" ht="30" customHeight="1"/>
    <row r="7451" ht="30" customHeight="1"/>
    <row r="7452" ht="30" customHeight="1"/>
    <row r="7453" ht="30" customHeight="1"/>
    <row r="7454" ht="30" customHeight="1"/>
    <row r="7455" ht="30" customHeight="1"/>
    <row r="7456" ht="30" customHeight="1"/>
    <row r="7457" ht="30" customHeight="1"/>
    <row r="7458" ht="30" customHeight="1"/>
    <row r="7459" ht="30" customHeight="1"/>
    <row r="7460" ht="30" customHeight="1"/>
    <row r="7461" ht="30" customHeight="1"/>
    <row r="7462" ht="30" customHeight="1"/>
    <row r="7463" ht="30" customHeight="1"/>
    <row r="7464" ht="30" customHeight="1"/>
    <row r="7465" ht="30" customHeight="1"/>
    <row r="7466" ht="30" customHeight="1"/>
    <row r="7467" ht="30" customHeight="1"/>
    <row r="7468" ht="30" customHeight="1"/>
    <row r="7469" ht="30" customHeight="1"/>
    <row r="7470" ht="30" customHeight="1"/>
    <row r="7471" ht="30" customHeight="1"/>
    <row r="7472" ht="30" customHeight="1"/>
    <row r="7473" ht="30" customHeight="1"/>
    <row r="7474" ht="30" customHeight="1"/>
    <row r="7475" ht="30" customHeight="1"/>
    <row r="7476" ht="30" customHeight="1"/>
    <row r="7477" ht="30" customHeight="1"/>
    <row r="7478" ht="30" customHeight="1"/>
    <row r="7479" ht="30" customHeight="1"/>
    <row r="7480" ht="30" customHeight="1"/>
    <row r="7481" ht="30" customHeight="1"/>
    <row r="7482" ht="30" customHeight="1"/>
    <row r="7483" ht="30" customHeight="1"/>
    <row r="7484" ht="30" customHeight="1"/>
    <row r="7485" ht="30" customHeight="1"/>
    <row r="7486" ht="30" customHeight="1"/>
    <row r="7487" ht="30" customHeight="1"/>
    <row r="7488" ht="30" customHeight="1"/>
    <row r="7489" ht="30" customHeight="1"/>
    <row r="7490" ht="30" customHeight="1"/>
    <row r="7491" ht="30" customHeight="1"/>
    <row r="7492" ht="30" customHeight="1"/>
    <row r="7493" ht="30" customHeight="1"/>
    <row r="7494" ht="30" customHeight="1"/>
    <row r="7495" ht="30" customHeight="1"/>
    <row r="7496" ht="30" customHeight="1"/>
    <row r="7497" ht="30" customHeight="1"/>
    <row r="7498" ht="30" customHeight="1"/>
    <row r="7499" ht="30" customHeight="1"/>
    <row r="7500" ht="30" customHeight="1"/>
    <row r="7501" ht="30" customHeight="1"/>
    <row r="7502" ht="30" customHeight="1"/>
    <row r="7503" ht="30" customHeight="1"/>
    <row r="7504" ht="30" customHeight="1"/>
    <row r="7505" ht="30" customHeight="1"/>
    <row r="7506" ht="30" customHeight="1"/>
    <row r="7507" ht="30" customHeight="1"/>
    <row r="7508" ht="30" customHeight="1"/>
    <row r="7509" ht="30" customHeight="1"/>
    <row r="7510" ht="30" customHeight="1"/>
    <row r="7511" ht="30" customHeight="1"/>
    <row r="7512" ht="30" customHeight="1"/>
    <row r="7513" ht="30" customHeight="1"/>
    <row r="7514" ht="30" customHeight="1"/>
    <row r="7515" ht="30" customHeight="1"/>
    <row r="7516" ht="30" customHeight="1"/>
    <row r="7517" ht="30" customHeight="1"/>
    <row r="7518" ht="30" customHeight="1"/>
    <row r="7519" ht="30" customHeight="1"/>
    <row r="7520" ht="30" customHeight="1"/>
    <row r="7521" ht="30" customHeight="1"/>
    <row r="7522" ht="30" customHeight="1"/>
    <row r="7523" ht="30" customHeight="1"/>
    <row r="7524" ht="30" customHeight="1"/>
    <row r="7525" ht="30" customHeight="1"/>
    <row r="7526" ht="30" customHeight="1"/>
    <row r="7527" ht="30" customHeight="1"/>
    <row r="7528" ht="30" customHeight="1"/>
    <row r="7529" ht="30" customHeight="1"/>
    <row r="7530" ht="30" customHeight="1"/>
    <row r="7531" ht="30" customHeight="1"/>
    <row r="7532" ht="30" customHeight="1"/>
    <row r="7533" ht="30" customHeight="1"/>
    <row r="7534" ht="30" customHeight="1"/>
    <row r="7535" ht="30" customHeight="1"/>
    <row r="7536" ht="30" customHeight="1"/>
    <row r="7537" ht="30" customHeight="1"/>
    <row r="7538" ht="30" customHeight="1"/>
    <row r="7539" ht="30" customHeight="1"/>
    <row r="7540" ht="30" customHeight="1"/>
    <row r="7541" ht="30" customHeight="1"/>
    <row r="7542" ht="30" customHeight="1"/>
    <row r="7543" ht="30" customHeight="1"/>
    <row r="7544" ht="30" customHeight="1"/>
    <row r="7545" ht="30" customHeight="1"/>
    <row r="7546" ht="30" customHeight="1"/>
    <row r="7547" ht="30" customHeight="1"/>
    <row r="7548" ht="30" customHeight="1"/>
    <row r="7549" ht="30" customHeight="1"/>
    <row r="7550" ht="30" customHeight="1"/>
    <row r="7551" ht="30" customHeight="1"/>
    <row r="7552" ht="30" customHeight="1"/>
    <row r="7553" ht="30" customHeight="1"/>
    <row r="7554" ht="30" customHeight="1"/>
    <row r="7555" ht="30" customHeight="1"/>
    <row r="7556" ht="30" customHeight="1"/>
    <row r="7557" ht="30" customHeight="1"/>
    <row r="7558" ht="30" customHeight="1"/>
    <row r="7559" ht="30" customHeight="1"/>
    <row r="7560" ht="30" customHeight="1"/>
    <row r="7561" ht="30" customHeight="1"/>
    <row r="7562" ht="30" customHeight="1"/>
    <row r="7563" ht="30" customHeight="1"/>
    <row r="7564" ht="30" customHeight="1"/>
    <row r="7565" ht="30" customHeight="1"/>
    <row r="7566" ht="30" customHeight="1"/>
    <row r="7567" ht="30" customHeight="1"/>
    <row r="7568" ht="30" customHeight="1"/>
    <row r="7569" ht="30" customHeight="1"/>
    <row r="7570" ht="30" customHeight="1"/>
    <row r="7571" ht="30" customHeight="1"/>
    <row r="7572" ht="30" customHeight="1"/>
    <row r="7573" ht="30" customHeight="1"/>
    <row r="7574" ht="30" customHeight="1"/>
    <row r="7575" ht="30" customHeight="1"/>
    <row r="7576" ht="30" customHeight="1"/>
    <row r="7577" ht="30" customHeight="1"/>
    <row r="7578" ht="30" customHeight="1"/>
    <row r="7579" ht="30" customHeight="1"/>
    <row r="7580" ht="30" customHeight="1"/>
    <row r="7581" ht="30" customHeight="1"/>
    <row r="7582" ht="30" customHeight="1"/>
    <row r="7583" ht="30" customHeight="1"/>
    <row r="7584" ht="30" customHeight="1"/>
    <row r="7585" ht="30" customHeight="1"/>
    <row r="7586" ht="30" customHeight="1"/>
    <row r="7587" ht="30" customHeight="1"/>
    <row r="7588" ht="30" customHeight="1"/>
    <row r="7589" ht="30" customHeight="1"/>
    <row r="7590" ht="30" customHeight="1"/>
    <row r="7591" ht="30" customHeight="1"/>
    <row r="7592" ht="30" customHeight="1"/>
    <row r="7593" ht="30" customHeight="1"/>
    <row r="7594" ht="30" customHeight="1"/>
    <row r="7595" ht="30" customHeight="1"/>
    <row r="7596" ht="30" customHeight="1"/>
    <row r="7597" ht="30" customHeight="1"/>
    <row r="7598" ht="30" customHeight="1"/>
    <row r="7599" ht="30" customHeight="1"/>
    <row r="7600" ht="30" customHeight="1"/>
    <row r="7601" ht="30" customHeight="1"/>
    <row r="7602" ht="30" customHeight="1"/>
    <row r="7603" ht="30" customHeight="1"/>
    <row r="7604" ht="30" customHeight="1"/>
    <row r="7605" ht="30" customHeight="1"/>
    <row r="7606" ht="30" customHeight="1"/>
    <row r="7607" ht="30" customHeight="1"/>
    <row r="7608" ht="30" customHeight="1"/>
    <row r="7609" ht="30" customHeight="1"/>
    <row r="7610" ht="30" customHeight="1"/>
    <row r="7611" ht="30" customHeight="1"/>
    <row r="7612" ht="30" customHeight="1"/>
    <row r="7613" ht="30" customHeight="1"/>
    <row r="7614" ht="30" customHeight="1"/>
    <row r="7615" ht="30" customHeight="1"/>
    <row r="7616" ht="30" customHeight="1"/>
    <row r="7617" ht="30" customHeight="1"/>
    <row r="7618" ht="30" customHeight="1"/>
    <row r="7619" ht="30" customHeight="1"/>
    <row r="7620" ht="30" customHeight="1"/>
    <row r="7621" ht="30" customHeight="1"/>
    <row r="7622" ht="30" customHeight="1"/>
    <row r="7623" ht="30" customHeight="1"/>
    <row r="7624" ht="30" customHeight="1"/>
    <row r="7625" ht="30" customHeight="1"/>
    <row r="7626" ht="30" customHeight="1"/>
    <row r="7627" ht="30" customHeight="1"/>
    <row r="7628" ht="30" customHeight="1"/>
    <row r="7629" ht="30" customHeight="1"/>
    <row r="7630" ht="30" customHeight="1"/>
    <row r="7631" ht="30" customHeight="1"/>
    <row r="7632" ht="30" customHeight="1"/>
    <row r="7633" ht="30" customHeight="1"/>
    <row r="7634" ht="30" customHeight="1"/>
    <row r="7635" ht="30" customHeight="1"/>
    <row r="7636" ht="30" customHeight="1"/>
    <row r="7637" ht="30" customHeight="1"/>
    <row r="7638" ht="30" customHeight="1"/>
    <row r="7639" ht="30" customHeight="1"/>
    <row r="7640" ht="30" customHeight="1"/>
    <row r="7641" ht="30" customHeight="1"/>
    <row r="7642" ht="30" customHeight="1"/>
    <row r="7643" ht="30" customHeight="1"/>
    <row r="7644" ht="30" customHeight="1"/>
    <row r="7645" ht="30" customHeight="1"/>
    <row r="7646" ht="30" customHeight="1"/>
    <row r="7647" ht="30" customHeight="1"/>
    <row r="7648" ht="30" customHeight="1"/>
    <row r="7649" ht="30" customHeight="1"/>
    <row r="7650" ht="30" customHeight="1"/>
    <row r="7651" ht="30" customHeight="1"/>
    <row r="7652" ht="30" customHeight="1"/>
    <row r="7653" ht="30" customHeight="1"/>
    <row r="7654" ht="30" customHeight="1"/>
    <row r="7655" ht="30" customHeight="1"/>
    <row r="7656" ht="30" customHeight="1"/>
    <row r="7657" ht="30" customHeight="1"/>
    <row r="7658" ht="30" customHeight="1"/>
    <row r="7659" ht="30" customHeight="1"/>
    <row r="7660" ht="30" customHeight="1"/>
    <row r="7661" ht="30" customHeight="1"/>
    <row r="7662" ht="30" customHeight="1"/>
    <row r="7663" ht="30" customHeight="1"/>
    <row r="7664" ht="30" customHeight="1"/>
    <row r="7665" ht="30" customHeight="1"/>
    <row r="7666" ht="30" customHeight="1"/>
    <row r="7667" ht="30" customHeight="1"/>
    <row r="7668" ht="30" customHeight="1"/>
    <row r="7669" ht="30" customHeight="1"/>
    <row r="7670" ht="30" customHeight="1"/>
    <row r="7671" ht="30" customHeight="1"/>
    <row r="7672" ht="30" customHeight="1"/>
    <row r="7673" ht="30" customHeight="1"/>
    <row r="7674" ht="30" customHeight="1"/>
    <row r="7675" ht="30" customHeight="1"/>
    <row r="7676" ht="30" customHeight="1"/>
    <row r="7677" ht="30" customHeight="1"/>
    <row r="7678" ht="30" customHeight="1"/>
    <row r="7679" ht="30" customHeight="1"/>
    <row r="7680" ht="30" customHeight="1"/>
    <row r="7681" ht="30" customHeight="1"/>
    <row r="7682" ht="30" customHeight="1"/>
    <row r="7683" ht="30" customHeight="1"/>
    <row r="7684" ht="30" customHeight="1"/>
    <row r="7685" ht="30" customHeight="1"/>
    <row r="7686" ht="30" customHeight="1"/>
    <row r="7687" ht="30" customHeight="1"/>
    <row r="7688" ht="30" customHeight="1"/>
    <row r="7689" ht="30" customHeight="1"/>
    <row r="7690" ht="30" customHeight="1"/>
    <row r="7691" ht="30" customHeight="1"/>
    <row r="7692" ht="30" customHeight="1"/>
    <row r="7693" ht="30" customHeight="1"/>
    <row r="7694" ht="30" customHeight="1"/>
    <row r="7695" ht="30" customHeight="1"/>
    <row r="7696" ht="30" customHeight="1"/>
    <row r="7697" ht="30" customHeight="1"/>
    <row r="7698" ht="30" customHeight="1"/>
    <row r="7699" ht="30" customHeight="1"/>
    <row r="7700" ht="30" customHeight="1"/>
    <row r="7701" ht="30" customHeight="1"/>
    <row r="7702" ht="30" customHeight="1"/>
    <row r="7703" ht="30" customHeight="1"/>
    <row r="7704" ht="30" customHeight="1"/>
    <row r="7705" ht="30" customHeight="1"/>
    <row r="7706" ht="30" customHeight="1"/>
    <row r="7707" ht="30" customHeight="1"/>
    <row r="7708" ht="30" customHeight="1"/>
    <row r="7709" ht="30" customHeight="1"/>
    <row r="7710" ht="30" customHeight="1"/>
    <row r="7711" ht="30" customHeight="1"/>
    <row r="7712" ht="30" customHeight="1"/>
    <row r="7713" ht="30" customHeight="1"/>
    <row r="7714" ht="30" customHeight="1"/>
    <row r="7715" ht="30" customHeight="1"/>
    <row r="7716" ht="30" customHeight="1"/>
    <row r="7717" ht="30" customHeight="1"/>
    <row r="7718" ht="30" customHeight="1"/>
    <row r="7719" ht="30" customHeight="1"/>
    <row r="7720" ht="30" customHeight="1"/>
    <row r="7721" ht="30" customHeight="1"/>
    <row r="7722" ht="30" customHeight="1"/>
    <row r="7723" ht="30" customHeight="1"/>
    <row r="7724" ht="30" customHeight="1"/>
    <row r="7725" ht="30" customHeight="1"/>
    <row r="7726" ht="30" customHeight="1"/>
    <row r="7727" ht="30" customHeight="1"/>
    <row r="7728" ht="30" customHeight="1"/>
    <row r="7729" ht="30" customHeight="1"/>
    <row r="7730" ht="30" customHeight="1"/>
    <row r="7731" ht="30" customHeight="1"/>
    <row r="7732" ht="30" customHeight="1"/>
    <row r="7733" ht="30" customHeight="1"/>
    <row r="7734" ht="30" customHeight="1"/>
    <row r="7735" ht="30" customHeight="1"/>
    <row r="7736" ht="30" customHeight="1"/>
    <row r="7737" ht="30" customHeight="1"/>
    <row r="7738" ht="30" customHeight="1"/>
    <row r="7739" ht="30" customHeight="1"/>
    <row r="7740" ht="30" customHeight="1"/>
    <row r="7741" ht="30" customHeight="1"/>
    <row r="7742" ht="30" customHeight="1"/>
    <row r="7743" ht="30" customHeight="1"/>
    <row r="7744" ht="30" customHeight="1"/>
    <row r="7745" ht="30" customHeight="1"/>
    <row r="7746" ht="30" customHeight="1"/>
    <row r="7747" ht="30" customHeight="1"/>
    <row r="7748" ht="30" customHeight="1"/>
    <row r="7749" ht="30" customHeight="1"/>
    <row r="7750" ht="30" customHeight="1"/>
    <row r="7751" ht="30" customHeight="1"/>
    <row r="7752" ht="30" customHeight="1"/>
    <row r="7753" ht="30" customHeight="1"/>
    <row r="7754" ht="30" customHeight="1"/>
    <row r="7755" ht="30" customHeight="1"/>
    <row r="7756" ht="30" customHeight="1"/>
    <row r="7757" ht="30" customHeight="1"/>
    <row r="7758" ht="30" customHeight="1"/>
    <row r="7759" ht="30" customHeight="1"/>
    <row r="7760" ht="30" customHeight="1"/>
    <row r="7761" ht="30" customHeight="1"/>
    <row r="7762" ht="30" customHeight="1"/>
    <row r="7763" ht="30" customHeight="1"/>
    <row r="7764" ht="30" customHeight="1"/>
    <row r="7765" ht="30" customHeight="1"/>
    <row r="7766" ht="30" customHeight="1"/>
    <row r="7767" ht="30" customHeight="1"/>
    <row r="7768" ht="30" customHeight="1"/>
    <row r="7769" ht="30" customHeight="1"/>
    <row r="7770" ht="30" customHeight="1"/>
    <row r="7771" ht="30" customHeight="1"/>
    <row r="7772" ht="30" customHeight="1"/>
    <row r="7773" ht="30" customHeight="1"/>
    <row r="7774" ht="30" customHeight="1"/>
    <row r="7775" ht="30" customHeight="1"/>
    <row r="7776" ht="30" customHeight="1"/>
    <row r="7777" ht="30" customHeight="1"/>
    <row r="7778" ht="30" customHeight="1"/>
    <row r="7779" ht="30" customHeight="1"/>
    <row r="7780" ht="30" customHeight="1"/>
    <row r="7781" ht="30" customHeight="1"/>
    <row r="7782" ht="30" customHeight="1"/>
    <row r="7783" ht="30" customHeight="1"/>
    <row r="7784" ht="30" customHeight="1"/>
    <row r="7785" ht="30" customHeight="1"/>
    <row r="7786" ht="30" customHeight="1"/>
    <row r="7787" ht="30" customHeight="1"/>
    <row r="7788" ht="30" customHeight="1"/>
    <row r="7789" ht="30" customHeight="1"/>
    <row r="7790" ht="30" customHeight="1"/>
    <row r="7791" ht="30" customHeight="1"/>
    <row r="7792" ht="30" customHeight="1"/>
    <row r="7793" ht="30" customHeight="1"/>
    <row r="7794" ht="30" customHeight="1"/>
    <row r="7795" ht="30" customHeight="1"/>
    <row r="7796" ht="30" customHeight="1"/>
    <row r="7797" ht="30" customHeight="1"/>
    <row r="7798" ht="30" customHeight="1"/>
    <row r="7799" ht="30" customHeight="1"/>
    <row r="7800" ht="30" customHeight="1"/>
    <row r="7801" ht="30" customHeight="1"/>
    <row r="7802" ht="30" customHeight="1"/>
    <row r="7803" ht="30" customHeight="1"/>
    <row r="7804" ht="30" customHeight="1"/>
    <row r="7805" ht="30" customHeight="1"/>
    <row r="7806" ht="30" customHeight="1"/>
    <row r="7807" ht="30" customHeight="1"/>
    <row r="7808" ht="30" customHeight="1"/>
    <row r="7809" ht="30" customHeight="1"/>
    <row r="7810" ht="30" customHeight="1"/>
    <row r="7811" ht="30" customHeight="1"/>
    <row r="7812" ht="30" customHeight="1"/>
    <row r="7813" ht="30" customHeight="1"/>
    <row r="7814" ht="30" customHeight="1"/>
    <row r="7815" ht="30" customHeight="1"/>
    <row r="7816" ht="30" customHeight="1"/>
    <row r="7817" ht="30" customHeight="1"/>
    <row r="7818" ht="30" customHeight="1"/>
    <row r="7819" ht="30" customHeight="1"/>
    <row r="7820" ht="30" customHeight="1"/>
    <row r="7821" ht="30" customHeight="1"/>
    <row r="7822" ht="30" customHeight="1"/>
    <row r="7823" ht="30" customHeight="1"/>
    <row r="7824" ht="30" customHeight="1"/>
    <row r="7825" ht="30" customHeight="1"/>
    <row r="7826" ht="30" customHeight="1"/>
    <row r="7827" ht="30" customHeight="1"/>
    <row r="7828" ht="30" customHeight="1"/>
    <row r="7829" ht="30" customHeight="1"/>
    <row r="7830" ht="30" customHeight="1"/>
    <row r="7831" ht="30" customHeight="1"/>
    <row r="7832" ht="30" customHeight="1"/>
    <row r="7833" ht="30" customHeight="1"/>
    <row r="7834" ht="30" customHeight="1"/>
    <row r="7835" ht="30" customHeight="1"/>
    <row r="7836" ht="30" customHeight="1"/>
    <row r="7837" ht="30" customHeight="1"/>
    <row r="7838" ht="30" customHeight="1"/>
    <row r="7839" ht="30" customHeight="1"/>
    <row r="7840" ht="30" customHeight="1"/>
    <row r="7841" ht="30" customHeight="1"/>
    <row r="7842" ht="30" customHeight="1"/>
    <row r="7843" ht="30" customHeight="1"/>
    <row r="7844" ht="30" customHeight="1"/>
    <row r="7845" ht="30" customHeight="1"/>
    <row r="7846" ht="30" customHeight="1"/>
    <row r="7847" ht="30" customHeight="1"/>
    <row r="7848" ht="30" customHeight="1"/>
    <row r="7849" ht="30" customHeight="1"/>
    <row r="7850" ht="30" customHeight="1"/>
    <row r="7851" ht="30" customHeight="1"/>
    <row r="7852" ht="30" customHeight="1"/>
    <row r="7853" ht="30" customHeight="1"/>
    <row r="7854" ht="30" customHeight="1"/>
    <row r="7855" ht="30" customHeight="1"/>
    <row r="7856" ht="30" customHeight="1"/>
    <row r="7857" ht="30" customHeight="1"/>
    <row r="7858" ht="30" customHeight="1"/>
    <row r="7859" ht="30" customHeight="1"/>
    <row r="7860" ht="30" customHeight="1"/>
    <row r="7861" ht="30" customHeight="1"/>
    <row r="7862" ht="30" customHeight="1"/>
    <row r="7863" ht="30" customHeight="1"/>
    <row r="7864" ht="30" customHeight="1"/>
    <row r="7865" ht="30" customHeight="1"/>
    <row r="7866" ht="30" customHeight="1"/>
    <row r="7867" ht="30" customHeight="1"/>
    <row r="7868" ht="30" customHeight="1"/>
    <row r="7869" ht="30" customHeight="1"/>
    <row r="7870" ht="30" customHeight="1"/>
    <row r="7871" ht="30" customHeight="1"/>
    <row r="7872" ht="30" customHeight="1"/>
    <row r="7873" ht="30" customHeight="1"/>
    <row r="7874" ht="30" customHeight="1"/>
    <row r="7875" ht="30" customHeight="1"/>
    <row r="7876" ht="30" customHeight="1"/>
    <row r="7877" ht="30" customHeight="1"/>
    <row r="7878" ht="30" customHeight="1"/>
    <row r="7879" ht="30" customHeight="1"/>
    <row r="7880" ht="30" customHeight="1"/>
    <row r="7881" ht="30" customHeight="1"/>
    <row r="7882" ht="30" customHeight="1"/>
    <row r="7883" ht="30" customHeight="1"/>
    <row r="7884" ht="30" customHeight="1"/>
    <row r="7885" ht="30" customHeight="1"/>
    <row r="7886" ht="30" customHeight="1"/>
    <row r="7887" ht="30" customHeight="1"/>
    <row r="7888" ht="30" customHeight="1"/>
    <row r="7889" ht="30" customHeight="1"/>
    <row r="7890" ht="30" customHeight="1"/>
    <row r="7891" ht="30" customHeight="1"/>
    <row r="7892" ht="30" customHeight="1"/>
    <row r="7893" ht="30" customHeight="1"/>
    <row r="7894" ht="30" customHeight="1"/>
    <row r="7895" ht="30" customHeight="1"/>
    <row r="7896" ht="30" customHeight="1"/>
    <row r="7897" ht="30" customHeight="1"/>
    <row r="7898" ht="30" customHeight="1"/>
    <row r="7899" ht="30" customHeight="1"/>
    <row r="7900" ht="30" customHeight="1"/>
    <row r="7901" ht="30" customHeight="1"/>
    <row r="7902" ht="30" customHeight="1"/>
    <row r="7903" ht="30" customHeight="1"/>
    <row r="7904" ht="30" customHeight="1"/>
    <row r="7905" ht="30" customHeight="1"/>
    <row r="7906" ht="30" customHeight="1"/>
    <row r="7907" ht="30" customHeight="1"/>
    <row r="7908" ht="30" customHeight="1"/>
    <row r="7909" ht="30" customHeight="1"/>
    <row r="7910" ht="30" customHeight="1"/>
    <row r="7911" ht="30" customHeight="1"/>
    <row r="7912" ht="30" customHeight="1"/>
    <row r="7913" ht="30" customHeight="1"/>
    <row r="7914" ht="30" customHeight="1"/>
    <row r="7915" ht="30" customHeight="1"/>
    <row r="7916" ht="30" customHeight="1"/>
    <row r="7917" ht="30" customHeight="1"/>
    <row r="7918" ht="30" customHeight="1"/>
    <row r="7919" ht="30" customHeight="1"/>
    <row r="7920" ht="30" customHeight="1"/>
    <row r="7921" ht="30" customHeight="1"/>
    <row r="7922" ht="30" customHeight="1"/>
    <row r="7923" ht="30" customHeight="1"/>
    <row r="7924" ht="30" customHeight="1"/>
    <row r="7925" ht="30" customHeight="1"/>
    <row r="7926" ht="30" customHeight="1"/>
    <row r="7927" ht="30" customHeight="1"/>
    <row r="7928" ht="30" customHeight="1"/>
    <row r="7929" ht="30" customHeight="1"/>
    <row r="7930" ht="30" customHeight="1"/>
    <row r="7931" ht="30" customHeight="1"/>
    <row r="7932" ht="30" customHeight="1"/>
    <row r="7933" ht="30" customHeight="1"/>
    <row r="7934" ht="30" customHeight="1"/>
    <row r="7935" ht="30" customHeight="1"/>
    <row r="7936" ht="30" customHeight="1"/>
    <row r="7937" ht="30" customHeight="1"/>
    <row r="7938" ht="30" customHeight="1"/>
    <row r="7939" ht="30" customHeight="1"/>
    <row r="7940" ht="30" customHeight="1"/>
    <row r="7941" ht="30" customHeight="1"/>
    <row r="7942" ht="30" customHeight="1"/>
    <row r="7943" ht="30" customHeight="1"/>
    <row r="7944" ht="30" customHeight="1"/>
    <row r="7945" ht="30" customHeight="1"/>
    <row r="7946" ht="30" customHeight="1"/>
    <row r="7947" ht="30" customHeight="1"/>
    <row r="7948" ht="30" customHeight="1"/>
    <row r="7949" ht="30" customHeight="1"/>
    <row r="7950" ht="30" customHeight="1"/>
    <row r="7951" ht="30" customHeight="1"/>
    <row r="7952" ht="30" customHeight="1"/>
    <row r="7953" ht="30" customHeight="1"/>
    <row r="7954" ht="30" customHeight="1"/>
    <row r="7955" ht="30" customHeight="1"/>
    <row r="7956" ht="30" customHeight="1"/>
    <row r="7957" ht="30" customHeight="1"/>
    <row r="7958" ht="30" customHeight="1"/>
    <row r="7959" ht="30" customHeight="1"/>
    <row r="7960" ht="30" customHeight="1"/>
    <row r="7961" ht="30" customHeight="1"/>
    <row r="7962" ht="30" customHeight="1"/>
    <row r="7963" ht="30" customHeight="1"/>
    <row r="7964" ht="30" customHeight="1"/>
    <row r="7965" ht="30" customHeight="1"/>
    <row r="7966" ht="30" customHeight="1"/>
    <row r="7967" ht="30" customHeight="1"/>
    <row r="7968" ht="30" customHeight="1"/>
    <row r="7969" ht="30" customHeight="1"/>
    <row r="7970" ht="30" customHeight="1"/>
    <row r="7971" ht="30" customHeight="1"/>
    <row r="7972" ht="30" customHeight="1"/>
    <row r="7973" ht="30" customHeight="1"/>
    <row r="7974" ht="30" customHeight="1"/>
    <row r="7975" ht="30" customHeight="1"/>
    <row r="7976" ht="30" customHeight="1"/>
    <row r="7977" ht="30" customHeight="1"/>
    <row r="7978" ht="30" customHeight="1"/>
    <row r="7979" ht="30" customHeight="1"/>
    <row r="7980" ht="30" customHeight="1"/>
    <row r="7981" ht="30" customHeight="1"/>
    <row r="7982" ht="30" customHeight="1"/>
    <row r="7983" ht="30" customHeight="1"/>
    <row r="7984" ht="30" customHeight="1"/>
    <row r="7985" ht="30" customHeight="1"/>
    <row r="7986" ht="30" customHeight="1"/>
    <row r="7987" ht="30" customHeight="1"/>
    <row r="7988" ht="30" customHeight="1"/>
    <row r="7989" ht="30" customHeight="1"/>
    <row r="7990" ht="30" customHeight="1"/>
    <row r="7991" ht="30" customHeight="1"/>
    <row r="7992" ht="30" customHeight="1"/>
    <row r="7993" ht="30" customHeight="1"/>
    <row r="7994" ht="30" customHeight="1"/>
    <row r="7995" ht="30" customHeight="1"/>
    <row r="7996" ht="30" customHeight="1"/>
    <row r="7997" ht="30" customHeight="1"/>
    <row r="7998" ht="30" customHeight="1"/>
    <row r="7999" ht="30" customHeight="1"/>
    <row r="8000" ht="30" customHeight="1"/>
    <row r="8001" ht="30" customHeight="1"/>
    <row r="8002" ht="30" customHeight="1"/>
    <row r="8003" ht="30" customHeight="1"/>
    <row r="8004" ht="30" customHeight="1"/>
    <row r="8005" ht="30" customHeight="1"/>
    <row r="8006" ht="30" customHeight="1"/>
    <row r="8007" ht="30" customHeight="1"/>
    <row r="8008" ht="30" customHeight="1"/>
    <row r="8009" ht="30" customHeight="1"/>
    <row r="8010" ht="30" customHeight="1"/>
    <row r="8011" ht="30" customHeight="1"/>
    <row r="8012" ht="30" customHeight="1"/>
    <row r="8013" ht="30" customHeight="1"/>
    <row r="8014" ht="30" customHeight="1"/>
    <row r="8015" ht="30" customHeight="1"/>
    <row r="8016" ht="30" customHeight="1"/>
    <row r="8017" ht="30" customHeight="1"/>
    <row r="8018" ht="30" customHeight="1"/>
    <row r="8019" ht="30" customHeight="1"/>
    <row r="8020" ht="30" customHeight="1"/>
    <row r="8021" ht="30" customHeight="1"/>
    <row r="8022" ht="30" customHeight="1"/>
    <row r="8023" ht="30" customHeight="1"/>
    <row r="8024" ht="30" customHeight="1"/>
    <row r="8025" ht="30" customHeight="1"/>
    <row r="8026" ht="30" customHeight="1"/>
    <row r="8027" ht="30" customHeight="1"/>
    <row r="8028" ht="30" customHeight="1"/>
    <row r="8029" ht="30" customHeight="1"/>
    <row r="8030" ht="30" customHeight="1"/>
    <row r="8031" ht="30" customHeight="1"/>
    <row r="8032" ht="30" customHeight="1"/>
    <row r="8033" ht="30" customHeight="1"/>
    <row r="8034" ht="30" customHeight="1"/>
    <row r="8035" ht="30" customHeight="1"/>
    <row r="8036" ht="30" customHeight="1"/>
    <row r="8037" ht="30" customHeight="1"/>
    <row r="8038" ht="30" customHeight="1"/>
    <row r="8039" ht="30" customHeight="1"/>
    <row r="8040" ht="30" customHeight="1"/>
    <row r="8041" ht="30" customHeight="1"/>
    <row r="8042" ht="30" customHeight="1"/>
    <row r="8043" ht="30" customHeight="1"/>
    <row r="8044" ht="30" customHeight="1"/>
    <row r="8045" ht="30" customHeight="1"/>
    <row r="8046" ht="30" customHeight="1"/>
    <row r="8047" ht="30" customHeight="1"/>
    <row r="8048" ht="30" customHeight="1"/>
    <row r="8049" ht="30" customHeight="1"/>
    <row r="8050" ht="30" customHeight="1"/>
    <row r="8051" ht="30" customHeight="1"/>
    <row r="8052" ht="30" customHeight="1"/>
    <row r="8053" ht="30" customHeight="1"/>
    <row r="8054" ht="30" customHeight="1"/>
    <row r="8055" ht="30" customHeight="1"/>
    <row r="8056" ht="30" customHeight="1"/>
    <row r="8057" ht="30" customHeight="1"/>
    <row r="8058" ht="30" customHeight="1"/>
    <row r="8059" ht="30" customHeight="1"/>
    <row r="8060" ht="30" customHeight="1"/>
    <row r="8061" ht="30" customHeight="1"/>
    <row r="8062" ht="30" customHeight="1"/>
    <row r="8063" ht="30" customHeight="1"/>
    <row r="8064" ht="30" customHeight="1"/>
    <row r="8065" ht="30" customHeight="1"/>
    <row r="8066" ht="30" customHeight="1"/>
    <row r="8067" ht="30" customHeight="1"/>
    <row r="8068" ht="30" customHeight="1"/>
    <row r="8069" ht="30" customHeight="1"/>
    <row r="8070" ht="30" customHeight="1"/>
    <row r="8071" ht="30" customHeight="1"/>
    <row r="8072" ht="30" customHeight="1"/>
    <row r="8073" ht="30" customHeight="1"/>
    <row r="8074" ht="30" customHeight="1"/>
    <row r="8075" ht="30" customHeight="1"/>
    <row r="8076" ht="30" customHeight="1"/>
    <row r="8077" ht="30" customHeight="1"/>
    <row r="8078" ht="30" customHeight="1"/>
    <row r="8079" ht="30" customHeight="1"/>
    <row r="8080" ht="30" customHeight="1"/>
    <row r="8081" ht="30" customHeight="1"/>
    <row r="8082" ht="30" customHeight="1"/>
    <row r="8083" ht="30" customHeight="1"/>
    <row r="8084" ht="30" customHeight="1"/>
    <row r="8085" ht="30" customHeight="1"/>
    <row r="8086" ht="30" customHeight="1"/>
    <row r="8087" ht="30" customHeight="1"/>
    <row r="8088" ht="30" customHeight="1"/>
    <row r="8089" ht="30" customHeight="1"/>
    <row r="8090" ht="30" customHeight="1"/>
    <row r="8091" ht="30" customHeight="1"/>
    <row r="8092" ht="30" customHeight="1"/>
    <row r="8093" ht="30" customHeight="1"/>
    <row r="8094" ht="30" customHeight="1"/>
    <row r="8095" ht="30" customHeight="1"/>
    <row r="8096" ht="30" customHeight="1"/>
    <row r="8097" ht="30" customHeight="1"/>
    <row r="8098" ht="30" customHeight="1"/>
    <row r="8099" ht="30" customHeight="1"/>
    <row r="8100" ht="30" customHeight="1"/>
    <row r="8101" ht="30" customHeight="1"/>
    <row r="8102" ht="30" customHeight="1"/>
    <row r="8103" ht="30" customHeight="1"/>
    <row r="8104" ht="30" customHeight="1"/>
    <row r="8105" ht="30" customHeight="1"/>
    <row r="8106" ht="30" customHeight="1"/>
    <row r="8107" ht="30" customHeight="1"/>
    <row r="8108" ht="30" customHeight="1"/>
    <row r="8109" ht="30" customHeight="1"/>
    <row r="8110" ht="30" customHeight="1"/>
    <row r="8111" ht="30" customHeight="1"/>
    <row r="8112" ht="30" customHeight="1"/>
    <row r="8113" ht="30" customHeight="1"/>
    <row r="8114" ht="30" customHeight="1"/>
    <row r="8115" ht="30" customHeight="1"/>
    <row r="8116" ht="30" customHeight="1"/>
    <row r="8117" ht="30" customHeight="1"/>
    <row r="8118" ht="30" customHeight="1"/>
    <row r="8119" ht="30" customHeight="1"/>
    <row r="8120" ht="30" customHeight="1"/>
    <row r="8121" ht="30" customHeight="1"/>
    <row r="8122" ht="30" customHeight="1"/>
    <row r="8123" ht="30" customHeight="1"/>
    <row r="8124" ht="30" customHeight="1"/>
    <row r="8125" ht="30" customHeight="1"/>
    <row r="8126" ht="30" customHeight="1"/>
    <row r="8127" ht="30" customHeight="1"/>
    <row r="8128" ht="30" customHeight="1"/>
    <row r="8129" ht="30" customHeight="1"/>
    <row r="8130" ht="30" customHeight="1"/>
    <row r="8131" ht="30" customHeight="1"/>
    <row r="8132" ht="30" customHeight="1"/>
    <row r="8133" ht="30" customHeight="1"/>
    <row r="8134" ht="30" customHeight="1"/>
    <row r="8135" ht="30" customHeight="1"/>
    <row r="8136" ht="30" customHeight="1"/>
    <row r="8137" ht="30" customHeight="1"/>
    <row r="8138" ht="30" customHeight="1"/>
    <row r="8139" ht="30" customHeight="1"/>
    <row r="8140" ht="30" customHeight="1"/>
    <row r="8141" ht="30" customHeight="1"/>
    <row r="8142" ht="30" customHeight="1"/>
    <row r="8143" ht="30" customHeight="1"/>
    <row r="8144" ht="30" customHeight="1"/>
    <row r="8145" ht="30" customHeight="1"/>
    <row r="8146" ht="30" customHeight="1"/>
    <row r="8147" ht="30" customHeight="1"/>
    <row r="8148" ht="30" customHeight="1"/>
    <row r="8149" ht="30" customHeight="1"/>
    <row r="8150" ht="30" customHeight="1"/>
    <row r="8151" ht="30" customHeight="1"/>
    <row r="8152" ht="30" customHeight="1"/>
    <row r="8153" ht="30" customHeight="1"/>
    <row r="8154" ht="30" customHeight="1"/>
    <row r="8155" ht="30" customHeight="1"/>
    <row r="8156" ht="30" customHeight="1"/>
    <row r="8157" ht="30" customHeight="1"/>
    <row r="8158" ht="30" customHeight="1"/>
    <row r="8159" ht="30" customHeight="1"/>
    <row r="8160" ht="30" customHeight="1"/>
    <row r="8161" ht="30" customHeight="1"/>
    <row r="8162" ht="30" customHeight="1"/>
    <row r="8163" ht="30" customHeight="1"/>
    <row r="8164" ht="30" customHeight="1"/>
    <row r="8165" ht="30" customHeight="1"/>
    <row r="8166" ht="30" customHeight="1"/>
    <row r="8167" ht="30" customHeight="1"/>
    <row r="8168" ht="30" customHeight="1"/>
    <row r="8169" ht="30" customHeight="1"/>
    <row r="8170" ht="30" customHeight="1"/>
    <row r="8171" ht="30" customHeight="1"/>
    <row r="8172" ht="30" customHeight="1"/>
    <row r="8173" ht="30" customHeight="1"/>
    <row r="8174" ht="30" customHeight="1"/>
    <row r="8175" ht="30" customHeight="1"/>
    <row r="8176" ht="30" customHeight="1"/>
    <row r="8177" ht="30" customHeight="1"/>
    <row r="8178" ht="30" customHeight="1"/>
    <row r="8179" ht="30" customHeight="1"/>
    <row r="8180" ht="30" customHeight="1"/>
    <row r="8181" ht="30" customHeight="1"/>
    <row r="8182" ht="30" customHeight="1"/>
    <row r="8183" ht="30" customHeight="1"/>
    <row r="8184" ht="30" customHeight="1"/>
    <row r="8185" ht="30" customHeight="1"/>
    <row r="8186" ht="30" customHeight="1"/>
    <row r="8187" ht="30" customHeight="1"/>
    <row r="8188" ht="30" customHeight="1"/>
    <row r="8189" ht="30" customHeight="1"/>
    <row r="8190" ht="30" customHeight="1"/>
    <row r="8191" ht="30" customHeight="1"/>
    <row r="8192" ht="30" customHeight="1"/>
    <row r="8193" ht="30" customHeight="1"/>
    <row r="8194" ht="30" customHeight="1"/>
    <row r="8195" ht="30" customHeight="1"/>
    <row r="8196" ht="30" customHeight="1"/>
    <row r="8197" ht="30" customHeight="1"/>
    <row r="8198" ht="30" customHeight="1"/>
    <row r="8199" ht="30" customHeight="1"/>
    <row r="8200" ht="30" customHeight="1"/>
    <row r="8201" ht="30" customHeight="1"/>
    <row r="8202" ht="30" customHeight="1"/>
    <row r="8203" ht="30" customHeight="1"/>
    <row r="8204" ht="30" customHeight="1"/>
    <row r="8205" ht="30" customHeight="1"/>
    <row r="8206" ht="30" customHeight="1"/>
    <row r="8207" ht="30" customHeight="1"/>
    <row r="8208" ht="30" customHeight="1"/>
    <row r="8209" ht="30" customHeight="1"/>
    <row r="8210" ht="30" customHeight="1"/>
    <row r="8211" ht="30" customHeight="1"/>
    <row r="8212" ht="30" customHeight="1"/>
    <row r="8213" ht="30" customHeight="1"/>
    <row r="8214" ht="30" customHeight="1"/>
    <row r="8215" ht="30" customHeight="1"/>
    <row r="8216" ht="30" customHeight="1"/>
    <row r="8217" ht="30" customHeight="1"/>
    <row r="8218" ht="30" customHeight="1"/>
    <row r="8219" ht="30" customHeight="1"/>
    <row r="8220" ht="30" customHeight="1"/>
    <row r="8221" ht="30" customHeight="1"/>
    <row r="8222" ht="30" customHeight="1"/>
    <row r="8223" ht="30" customHeight="1"/>
    <row r="8224" ht="30" customHeight="1"/>
    <row r="8225" ht="30" customHeight="1"/>
    <row r="8226" ht="30" customHeight="1"/>
    <row r="8227" ht="30" customHeight="1"/>
    <row r="8228" ht="30" customHeight="1"/>
    <row r="8229" ht="30" customHeight="1"/>
    <row r="8230" ht="30" customHeight="1"/>
    <row r="8231" ht="30" customHeight="1"/>
    <row r="8232" ht="30" customHeight="1"/>
    <row r="8233" ht="30" customHeight="1"/>
    <row r="8234" ht="30" customHeight="1"/>
    <row r="8235" ht="30" customHeight="1"/>
    <row r="8236" ht="30" customHeight="1"/>
    <row r="8237" ht="30" customHeight="1"/>
    <row r="8238" ht="30" customHeight="1"/>
    <row r="8239" ht="30" customHeight="1"/>
    <row r="8240" ht="30" customHeight="1"/>
    <row r="8241" ht="30" customHeight="1"/>
    <row r="8242" ht="30" customHeight="1"/>
    <row r="8243" ht="30" customHeight="1"/>
    <row r="8244" ht="30" customHeight="1"/>
    <row r="8245" ht="30" customHeight="1"/>
    <row r="8246" ht="30" customHeight="1"/>
    <row r="8247" ht="30" customHeight="1"/>
    <row r="8248" ht="30" customHeight="1"/>
    <row r="8249" ht="30" customHeight="1"/>
    <row r="8250" ht="30" customHeight="1"/>
    <row r="8251" ht="30" customHeight="1"/>
    <row r="8252" ht="30" customHeight="1"/>
    <row r="8253" ht="30" customHeight="1"/>
    <row r="8254" ht="30" customHeight="1"/>
    <row r="8255" ht="30" customHeight="1"/>
    <row r="8256" ht="30" customHeight="1"/>
    <row r="8257" ht="30" customHeight="1"/>
    <row r="8258" ht="30" customHeight="1"/>
    <row r="8259" ht="30" customHeight="1"/>
    <row r="8260" ht="30" customHeight="1"/>
    <row r="8261" ht="30" customHeight="1"/>
    <row r="8262" ht="30" customHeight="1"/>
    <row r="8263" ht="30" customHeight="1"/>
    <row r="8264" ht="30" customHeight="1"/>
    <row r="8265" ht="30" customHeight="1"/>
    <row r="8266" ht="30" customHeight="1"/>
    <row r="8267" ht="30" customHeight="1"/>
    <row r="8268" ht="30" customHeight="1"/>
    <row r="8269" ht="30" customHeight="1"/>
    <row r="8270" ht="30" customHeight="1"/>
    <row r="8271" ht="30" customHeight="1"/>
    <row r="8272" ht="30" customHeight="1"/>
    <row r="8273" ht="30" customHeight="1"/>
    <row r="8274" ht="30" customHeight="1"/>
    <row r="8275" ht="30" customHeight="1"/>
    <row r="8276" ht="30" customHeight="1"/>
    <row r="8277" ht="30" customHeight="1"/>
    <row r="8278" ht="30" customHeight="1"/>
    <row r="8279" ht="30" customHeight="1"/>
    <row r="8280" ht="30" customHeight="1"/>
    <row r="8281" ht="30" customHeight="1"/>
    <row r="8282" ht="30" customHeight="1"/>
    <row r="8283" ht="30" customHeight="1"/>
    <row r="8284" ht="30" customHeight="1"/>
    <row r="8285" ht="30" customHeight="1"/>
    <row r="8286" ht="30" customHeight="1"/>
    <row r="8287" ht="30" customHeight="1"/>
    <row r="8288" ht="30" customHeight="1"/>
    <row r="8289" ht="30" customHeight="1"/>
    <row r="8290" ht="30" customHeight="1"/>
    <row r="8291" ht="30" customHeight="1"/>
    <row r="8292" ht="30" customHeight="1"/>
    <row r="8293" ht="30" customHeight="1"/>
    <row r="8294" ht="30" customHeight="1"/>
    <row r="8295" ht="30" customHeight="1"/>
    <row r="8296" ht="30" customHeight="1"/>
    <row r="8297" ht="30" customHeight="1"/>
    <row r="8298" ht="30" customHeight="1"/>
    <row r="8299" ht="30" customHeight="1"/>
    <row r="8300" ht="30" customHeight="1"/>
    <row r="8301" ht="30" customHeight="1"/>
    <row r="8302" ht="30" customHeight="1"/>
    <row r="8303" ht="30" customHeight="1"/>
    <row r="8304" ht="30" customHeight="1"/>
    <row r="8305" ht="30" customHeight="1"/>
    <row r="8306" ht="30" customHeight="1"/>
    <row r="8307" ht="30" customHeight="1"/>
    <row r="8308" ht="30" customHeight="1"/>
    <row r="8309" ht="30" customHeight="1"/>
    <row r="8310" ht="30" customHeight="1"/>
    <row r="8311" ht="30" customHeight="1"/>
    <row r="8312" ht="30" customHeight="1"/>
    <row r="8313" ht="30" customHeight="1"/>
    <row r="8314" ht="30" customHeight="1"/>
    <row r="8315" ht="30" customHeight="1"/>
    <row r="8316" ht="30" customHeight="1"/>
    <row r="8317" ht="30" customHeight="1"/>
    <row r="8318" ht="30" customHeight="1"/>
    <row r="8319" ht="30" customHeight="1"/>
    <row r="8320" ht="30" customHeight="1"/>
    <row r="8321" ht="30" customHeight="1"/>
    <row r="8322" ht="30" customHeight="1"/>
    <row r="8323" ht="30" customHeight="1"/>
    <row r="8324" ht="30" customHeight="1"/>
    <row r="8325" ht="30" customHeight="1"/>
    <row r="8326" ht="30" customHeight="1"/>
    <row r="8327" ht="30" customHeight="1"/>
    <row r="8328" ht="30" customHeight="1"/>
    <row r="8329" ht="30" customHeight="1"/>
    <row r="8330" ht="30" customHeight="1"/>
    <row r="8331" ht="30" customHeight="1"/>
    <row r="8332" ht="30" customHeight="1"/>
    <row r="8333" ht="30" customHeight="1"/>
    <row r="8334" ht="30" customHeight="1"/>
    <row r="8335" ht="30" customHeight="1"/>
    <row r="8336" ht="30" customHeight="1"/>
    <row r="8337" ht="30" customHeight="1"/>
    <row r="8338" ht="30" customHeight="1"/>
    <row r="8339" ht="30" customHeight="1"/>
    <row r="8340" ht="30" customHeight="1"/>
    <row r="8341" ht="30" customHeight="1"/>
    <row r="8342" ht="30" customHeight="1"/>
    <row r="8343" ht="30" customHeight="1"/>
    <row r="8344" ht="30" customHeight="1"/>
    <row r="8345" ht="30" customHeight="1"/>
    <row r="8346" ht="30" customHeight="1"/>
    <row r="8347" ht="30" customHeight="1"/>
    <row r="8348" ht="30" customHeight="1"/>
    <row r="8349" ht="30" customHeight="1"/>
    <row r="8350" ht="30" customHeight="1"/>
    <row r="8351" ht="30" customHeight="1"/>
    <row r="8352" ht="30" customHeight="1"/>
    <row r="8353" ht="30" customHeight="1"/>
    <row r="8354" ht="30" customHeight="1"/>
    <row r="8355" ht="30" customHeight="1"/>
    <row r="8356" ht="30" customHeight="1"/>
    <row r="8357" ht="30" customHeight="1"/>
    <row r="8358" ht="30" customHeight="1"/>
    <row r="8359" ht="30" customHeight="1"/>
    <row r="8360" ht="30" customHeight="1"/>
    <row r="8361" ht="30" customHeight="1"/>
    <row r="8362" ht="30" customHeight="1"/>
    <row r="8363" ht="30" customHeight="1"/>
    <row r="8364" ht="30" customHeight="1"/>
    <row r="8365" ht="30" customHeight="1"/>
    <row r="8366" ht="30" customHeight="1"/>
    <row r="8367" ht="30" customHeight="1"/>
    <row r="8368" ht="30" customHeight="1"/>
    <row r="8369" ht="30" customHeight="1"/>
    <row r="8370" ht="30" customHeight="1"/>
    <row r="8371" ht="30" customHeight="1"/>
    <row r="8372" ht="30" customHeight="1"/>
    <row r="8373" ht="30" customHeight="1"/>
    <row r="8374" ht="30" customHeight="1"/>
    <row r="8375" ht="30" customHeight="1"/>
    <row r="8376" ht="30" customHeight="1"/>
    <row r="8377" ht="30" customHeight="1"/>
    <row r="8378" ht="30" customHeight="1"/>
    <row r="8379" ht="30" customHeight="1"/>
    <row r="8380" ht="30" customHeight="1"/>
    <row r="8381" ht="30" customHeight="1"/>
    <row r="8382" ht="30" customHeight="1"/>
    <row r="8383" ht="30" customHeight="1"/>
    <row r="8384" ht="30" customHeight="1"/>
    <row r="8385" ht="30" customHeight="1"/>
    <row r="8386" ht="30" customHeight="1"/>
    <row r="8387" ht="30" customHeight="1"/>
    <row r="8388" ht="30" customHeight="1"/>
    <row r="8389" ht="30" customHeight="1"/>
    <row r="8390" ht="30" customHeight="1"/>
    <row r="8391" ht="30" customHeight="1"/>
    <row r="8392" ht="30" customHeight="1"/>
    <row r="8393" ht="30" customHeight="1"/>
    <row r="8394" ht="30" customHeight="1"/>
    <row r="8395" ht="30" customHeight="1"/>
    <row r="8396" ht="30" customHeight="1"/>
    <row r="8397" ht="30" customHeight="1"/>
    <row r="8398" ht="30" customHeight="1"/>
    <row r="8399" ht="30" customHeight="1"/>
    <row r="8400" ht="30" customHeight="1"/>
    <row r="8401" ht="30" customHeight="1"/>
    <row r="8402" ht="30" customHeight="1"/>
    <row r="8403" ht="30" customHeight="1"/>
    <row r="8404" ht="30" customHeight="1"/>
    <row r="8405" ht="30" customHeight="1"/>
    <row r="8406" ht="30" customHeight="1"/>
    <row r="8407" ht="30" customHeight="1"/>
    <row r="8408" ht="30" customHeight="1"/>
    <row r="8409" ht="30" customHeight="1"/>
    <row r="8410" ht="30" customHeight="1"/>
    <row r="8411" ht="30" customHeight="1"/>
    <row r="8412" ht="30" customHeight="1"/>
    <row r="8413" ht="30" customHeight="1"/>
    <row r="8414" ht="30" customHeight="1"/>
    <row r="8415" ht="30" customHeight="1"/>
    <row r="8416" ht="30" customHeight="1"/>
    <row r="8417" ht="30" customHeight="1"/>
    <row r="8418" ht="30" customHeight="1"/>
    <row r="8419" ht="30" customHeight="1"/>
    <row r="8420" ht="30" customHeight="1"/>
    <row r="8421" ht="30" customHeight="1"/>
    <row r="8422" ht="30" customHeight="1"/>
    <row r="8423" ht="30" customHeight="1"/>
    <row r="8424" ht="30" customHeight="1"/>
    <row r="8425" ht="30" customHeight="1"/>
    <row r="8426" ht="30" customHeight="1"/>
    <row r="8427" ht="30" customHeight="1"/>
    <row r="8428" ht="30" customHeight="1"/>
    <row r="8429" ht="30" customHeight="1"/>
    <row r="8430" ht="30" customHeight="1"/>
    <row r="8431" ht="30" customHeight="1"/>
    <row r="8432" ht="30" customHeight="1"/>
    <row r="8433" ht="30" customHeight="1"/>
    <row r="8434" ht="30" customHeight="1"/>
    <row r="8435" ht="30" customHeight="1"/>
    <row r="8436" ht="30" customHeight="1"/>
    <row r="8437" ht="30" customHeight="1"/>
    <row r="8438" ht="30" customHeight="1"/>
    <row r="8439" ht="30" customHeight="1"/>
    <row r="8440" ht="30" customHeight="1"/>
    <row r="8441" ht="30" customHeight="1"/>
    <row r="8442" ht="30" customHeight="1"/>
    <row r="8443" ht="30" customHeight="1"/>
    <row r="8444" ht="30" customHeight="1"/>
    <row r="8445" ht="30" customHeight="1"/>
    <row r="8446" ht="30" customHeight="1"/>
    <row r="8447" ht="30" customHeight="1"/>
    <row r="8448" ht="30" customHeight="1"/>
    <row r="8449" ht="30" customHeight="1"/>
    <row r="8450" ht="30" customHeight="1"/>
    <row r="8451" ht="30" customHeight="1"/>
    <row r="8452" ht="30" customHeight="1"/>
    <row r="8453" ht="30" customHeight="1"/>
    <row r="8454" ht="30" customHeight="1"/>
    <row r="8455" ht="30" customHeight="1"/>
    <row r="8456" ht="30" customHeight="1"/>
    <row r="8457" ht="30" customHeight="1"/>
    <row r="8458" ht="30" customHeight="1"/>
    <row r="8459" ht="30" customHeight="1"/>
    <row r="8460" ht="30" customHeight="1"/>
    <row r="8461" ht="30" customHeight="1"/>
    <row r="8462" ht="30" customHeight="1"/>
    <row r="8463" ht="30" customHeight="1"/>
    <row r="8464" ht="30" customHeight="1"/>
    <row r="8465" ht="30" customHeight="1"/>
    <row r="8466" ht="30" customHeight="1"/>
    <row r="8467" ht="30" customHeight="1"/>
    <row r="8468" ht="30" customHeight="1"/>
    <row r="8469" ht="30" customHeight="1"/>
    <row r="8470" ht="30" customHeight="1"/>
    <row r="8471" ht="30" customHeight="1"/>
    <row r="8472" ht="30" customHeight="1"/>
    <row r="8473" ht="30" customHeight="1"/>
    <row r="8474" ht="30" customHeight="1"/>
    <row r="8475" ht="30" customHeight="1"/>
    <row r="8476" ht="30" customHeight="1"/>
    <row r="8477" ht="30" customHeight="1"/>
    <row r="8478" ht="30" customHeight="1"/>
    <row r="8479" ht="30" customHeight="1"/>
    <row r="8480" ht="30" customHeight="1"/>
    <row r="8481" ht="30" customHeight="1"/>
    <row r="8482" ht="30" customHeight="1"/>
    <row r="8483" ht="30" customHeight="1"/>
    <row r="8484" ht="30" customHeight="1"/>
    <row r="8485" ht="30" customHeight="1"/>
    <row r="8486" ht="30" customHeight="1"/>
    <row r="8487" ht="30" customHeight="1"/>
    <row r="8488" ht="30" customHeight="1"/>
    <row r="8489" ht="30" customHeight="1"/>
    <row r="8490" ht="30" customHeight="1"/>
    <row r="8491" ht="30" customHeight="1"/>
    <row r="8492" ht="30" customHeight="1"/>
    <row r="8493" ht="30" customHeight="1"/>
    <row r="8494" ht="30" customHeight="1"/>
    <row r="8495" ht="30" customHeight="1"/>
    <row r="8496" ht="30" customHeight="1"/>
    <row r="8497" ht="30" customHeight="1"/>
    <row r="8498" ht="30" customHeight="1"/>
    <row r="8499" ht="30" customHeight="1"/>
    <row r="8500" ht="30" customHeight="1"/>
    <row r="8501" ht="30" customHeight="1"/>
    <row r="8502" ht="30" customHeight="1"/>
    <row r="8503" ht="30" customHeight="1"/>
    <row r="8504" ht="30" customHeight="1"/>
    <row r="8505" ht="30" customHeight="1"/>
    <row r="8506" ht="30" customHeight="1"/>
    <row r="8507" ht="30" customHeight="1"/>
    <row r="8508" ht="30" customHeight="1"/>
    <row r="8509" ht="30" customHeight="1"/>
    <row r="8510" ht="30" customHeight="1"/>
    <row r="8511" ht="30" customHeight="1"/>
    <row r="8512" ht="30" customHeight="1"/>
    <row r="8513" ht="30" customHeight="1"/>
    <row r="8514" ht="30" customHeight="1"/>
    <row r="8515" ht="30" customHeight="1"/>
    <row r="8516" ht="30" customHeight="1"/>
    <row r="8517" ht="30" customHeight="1"/>
    <row r="8518" ht="30" customHeight="1"/>
    <row r="8519" ht="30" customHeight="1"/>
    <row r="8520" ht="30" customHeight="1"/>
    <row r="8521" ht="30" customHeight="1"/>
    <row r="8522" ht="30" customHeight="1"/>
    <row r="8523" ht="30" customHeight="1"/>
    <row r="8524" ht="30" customHeight="1"/>
    <row r="8525" ht="30" customHeight="1"/>
    <row r="8526" ht="30" customHeight="1"/>
    <row r="8527" ht="30" customHeight="1"/>
    <row r="8528" ht="30" customHeight="1"/>
    <row r="8529" ht="30" customHeight="1"/>
    <row r="8530" ht="30" customHeight="1"/>
    <row r="8531" ht="30" customHeight="1"/>
    <row r="8532" ht="30" customHeight="1"/>
    <row r="8533" ht="30" customHeight="1"/>
    <row r="8534" ht="30" customHeight="1"/>
    <row r="8535" ht="30" customHeight="1"/>
    <row r="8536" ht="30" customHeight="1"/>
    <row r="8537" ht="30" customHeight="1"/>
    <row r="8538" ht="30" customHeight="1"/>
    <row r="8539" ht="30" customHeight="1"/>
    <row r="8540" ht="30" customHeight="1"/>
    <row r="8541" ht="30" customHeight="1"/>
    <row r="8542" ht="30" customHeight="1"/>
    <row r="8543" ht="30" customHeight="1"/>
    <row r="8544" ht="30" customHeight="1"/>
    <row r="8545" ht="30" customHeight="1"/>
    <row r="8546" ht="30" customHeight="1"/>
    <row r="8547" ht="30" customHeight="1"/>
    <row r="8548" ht="30" customHeight="1"/>
    <row r="8549" ht="30" customHeight="1"/>
    <row r="8550" ht="30" customHeight="1"/>
    <row r="8551" ht="30" customHeight="1"/>
    <row r="8552" ht="30" customHeight="1"/>
    <row r="8553" ht="30" customHeight="1"/>
    <row r="8554" ht="30" customHeight="1"/>
    <row r="8555" ht="30" customHeight="1"/>
    <row r="8556" ht="30" customHeight="1"/>
    <row r="8557" ht="30" customHeight="1"/>
    <row r="8558" ht="30" customHeight="1"/>
    <row r="8559" ht="30" customHeight="1"/>
    <row r="8560" ht="30" customHeight="1"/>
    <row r="8561" ht="30" customHeight="1"/>
    <row r="8562" ht="30" customHeight="1"/>
    <row r="8563" ht="30" customHeight="1"/>
    <row r="8564" ht="30" customHeight="1"/>
    <row r="8565" ht="30" customHeight="1"/>
    <row r="8566" ht="30" customHeight="1"/>
    <row r="8567" ht="30" customHeight="1"/>
    <row r="8568" ht="30" customHeight="1"/>
    <row r="8569" ht="30" customHeight="1"/>
    <row r="8570" ht="30" customHeight="1"/>
    <row r="8571" ht="30" customHeight="1"/>
    <row r="8572" ht="30" customHeight="1"/>
    <row r="8573" ht="30" customHeight="1"/>
    <row r="8574" ht="30" customHeight="1"/>
    <row r="8575" ht="30" customHeight="1"/>
    <row r="8576" ht="30" customHeight="1"/>
    <row r="8577" ht="30" customHeight="1"/>
    <row r="8578" ht="30" customHeight="1"/>
    <row r="8579" ht="30" customHeight="1"/>
    <row r="8580" ht="30" customHeight="1"/>
    <row r="8581" ht="30" customHeight="1"/>
    <row r="8582" ht="30" customHeight="1"/>
    <row r="8583" ht="30" customHeight="1"/>
    <row r="8584" ht="30" customHeight="1"/>
    <row r="8585" ht="30" customHeight="1"/>
    <row r="8586" ht="30" customHeight="1"/>
    <row r="8587" ht="30" customHeight="1"/>
    <row r="8588" ht="30" customHeight="1"/>
    <row r="8589" ht="30" customHeight="1"/>
    <row r="8590" ht="30" customHeight="1"/>
    <row r="8591" ht="30" customHeight="1"/>
    <row r="8592" ht="30" customHeight="1"/>
    <row r="8593" ht="30" customHeight="1"/>
    <row r="8594" ht="30" customHeight="1"/>
    <row r="8595" ht="30" customHeight="1"/>
    <row r="8596" ht="30" customHeight="1"/>
    <row r="8597" ht="30" customHeight="1"/>
    <row r="8598" ht="30" customHeight="1"/>
    <row r="8599" ht="30" customHeight="1"/>
    <row r="8600" ht="30" customHeight="1"/>
    <row r="8601" ht="30" customHeight="1"/>
    <row r="8602" ht="30" customHeight="1"/>
    <row r="8603" ht="30" customHeight="1"/>
    <row r="8604" ht="30" customHeight="1"/>
    <row r="8605" ht="30" customHeight="1"/>
    <row r="8606" ht="30" customHeight="1"/>
    <row r="8607" ht="30" customHeight="1"/>
    <row r="8608" ht="30" customHeight="1"/>
    <row r="8609" ht="30" customHeight="1"/>
    <row r="8610" ht="30" customHeight="1"/>
    <row r="8611" ht="30" customHeight="1"/>
    <row r="8612" ht="30" customHeight="1"/>
    <row r="8613" ht="30" customHeight="1"/>
    <row r="8614" ht="30" customHeight="1"/>
    <row r="8615" ht="30" customHeight="1"/>
    <row r="8616" ht="30" customHeight="1"/>
    <row r="8617" ht="30" customHeight="1"/>
    <row r="8618" ht="30" customHeight="1"/>
    <row r="8619" ht="30" customHeight="1"/>
    <row r="8620" ht="30" customHeight="1"/>
    <row r="8621" ht="30" customHeight="1"/>
    <row r="8622" ht="30" customHeight="1"/>
    <row r="8623" ht="30" customHeight="1"/>
    <row r="8624" ht="30" customHeight="1"/>
    <row r="8625" ht="30" customHeight="1"/>
    <row r="8626" ht="30" customHeight="1"/>
    <row r="8627" ht="30" customHeight="1"/>
    <row r="8628" ht="30" customHeight="1"/>
    <row r="8629" ht="30" customHeight="1"/>
    <row r="8630" ht="30" customHeight="1"/>
    <row r="8631" ht="30" customHeight="1"/>
    <row r="8632" ht="30" customHeight="1"/>
    <row r="8633" ht="30" customHeight="1"/>
    <row r="8634" ht="30" customHeight="1"/>
    <row r="8635" ht="30" customHeight="1"/>
    <row r="8636" ht="30" customHeight="1"/>
    <row r="8637" ht="30" customHeight="1"/>
    <row r="8638" ht="30" customHeight="1"/>
    <row r="8639" ht="30" customHeight="1"/>
    <row r="8640" ht="30" customHeight="1"/>
    <row r="8641" ht="30" customHeight="1"/>
    <row r="8642" ht="30" customHeight="1"/>
    <row r="8643" ht="30" customHeight="1"/>
    <row r="8644" ht="30" customHeight="1"/>
    <row r="8645" ht="30" customHeight="1"/>
    <row r="8646" ht="30" customHeight="1"/>
    <row r="8647" ht="30" customHeight="1"/>
    <row r="8648" ht="30" customHeight="1"/>
    <row r="8649" ht="30" customHeight="1"/>
    <row r="8650" ht="30" customHeight="1"/>
    <row r="8651" ht="30" customHeight="1"/>
    <row r="8652" ht="30" customHeight="1"/>
    <row r="8653" ht="30" customHeight="1"/>
    <row r="8654" ht="30" customHeight="1"/>
    <row r="8655" ht="30" customHeight="1"/>
    <row r="8656" ht="30" customHeight="1"/>
    <row r="8657" ht="30" customHeight="1"/>
    <row r="8658" ht="30" customHeight="1"/>
    <row r="8659" ht="30" customHeight="1"/>
    <row r="8660" ht="30" customHeight="1"/>
    <row r="8661" ht="30" customHeight="1"/>
    <row r="8662" ht="30" customHeight="1"/>
    <row r="8663" ht="30" customHeight="1"/>
    <row r="8664" ht="30" customHeight="1"/>
    <row r="8665" ht="30" customHeight="1"/>
    <row r="8666" ht="30" customHeight="1"/>
    <row r="8667" ht="30" customHeight="1"/>
    <row r="8668" ht="30" customHeight="1"/>
    <row r="8669" ht="30" customHeight="1"/>
    <row r="8670" ht="30" customHeight="1"/>
    <row r="8671" ht="30" customHeight="1"/>
    <row r="8672" ht="30" customHeight="1"/>
    <row r="8673" ht="30" customHeight="1"/>
    <row r="8674" ht="30" customHeight="1"/>
    <row r="8675" ht="30" customHeight="1"/>
    <row r="8676" ht="30" customHeight="1"/>
    <row r="8677" ht="30" customHeight="1"/>
    <row r="8678" ht="30" customHeight="1"/>
    <row r="8679" ht="30" customHeight="1"/>
    <row r="8680" ht="30" customHeight="1"/>
    <row r="8681" ht="30" customHeight="1"/>
    <row r="8682" ht="30" customHeight="1"/>
    <row r="8683" ht="30" customHeight="1"/>
    <row r="8684" ht="30" customHeight="1"/>
    <row r="8685" ht="30" customHeight="1"/>
    <row r="8686" ht="30" customHeight="1"/>
    <row r="8687" ht="30" customHeight="1"/>
    <row r="8688" ht="30" customHeight="1"/>
    <row r="8689" ht="30" customHeight="1"/>
    <row r="8690" ht="30" customHeight="1"/>
    <row r="8691" ht="30" customHeight="1"/>
    <row r="8692" ht="30" customHeight="1"/>
    <row r="8693" ht="30" customHeight="1"/>
    <row r="8694" ht="30" customHeight="1"/>
    <row r="8695" ht="30" customHeight="1"/>
    <row r="8696" ht="30" customHeight="1"/>
    <row r="8697" ht="30" customHeight="1"/>
    <row r="8698" ht="30" customHeight="1"/>
    <row r="8699" ht="30" customHeight="1"/>
    <row r="8700" ht="30" customHeight="1"/>
    <row r="8701" ht="30" customHeight="1"/>
    <row r="8702" ht="30" customHeight="1"/>
    <row r="8703" ht="30" customHeight="1"/>
    <row r="8704" ht="30" customHeight="1"/>
    <row r="8705" ht="30" customHeight="1"/>
    <row r="8706" ht="30" customHeight="1"/>
    <row r="8707" ht="30" customHeight="1"/>
    <row r="8708" ht="30" customHeight="1"/>
    <row r="8709" ht="30" customHeight="1"/>
    <row r="8710" ht="30" customHeight="1"/>
    <row r="8711" ht="30" customHeight="1"/>
    <row r="8712" ht="30" customHeight="1"/>
    <row r="8713" ht="30" customHeight="1"/>
    <row r="8714" ht="30" customHeight="1"/>
    <row r="8715" ht="30" customHeight="1"/>
    <row r="8716" ht="30" customHeight="1"/>
    <row r="8717" ht="30" customHeight="1"/>
    <row r="8718" ht="30" customHeight="1"/>
    <row r="8719" ht="30" customHeight="1"/>
    <row r="8720" ht="30" customHeight="1"/>
    <row r="8721" ht="30" customHeight="1"/>
    <row r="8722" ht="30" customHeight="1"/>
    <row r="8723" ht="30" customHeight="1"/>
    <row r="8724" ht="30" customHeight="1"/>
    <row r="8725" ht="30" customHeight="1"/>
    <row r="8726" ht="30" customHeight="1"/>
    <row r="8727" ht="30" customHeight="1"/>
    <row r="8728" ht="30" customHeight="1"/>
    <row r="8729" ht="30" customHeight="1"/>
    <row r="8730" ht="30" customHeight="1"/>
    <row r="8731" ht="30" customHeight="1"/>
    <row r="8732" ht="30" customHeight="1"/>
    <row r="8733" ht="30" customHeight="1"/>
    <row r="8734" ht="30" customHeight="1"/>
    <row r="8735" ht="30" customHeight="1"/>
    <row r="8736" ht="30" customHeight="1"/>
    <row r="8737" ht="30" customHeight="1"/>
    <row r="8738" ht="30" customHeight="1"/>
    <row r="8739" ht="30" customHeight="1"/>
    <row r="8740" ht="30" customHeight="1"/>
    <row r="8741" ht="30" customHeight="1"/>
    <row r="8742" ht="30" customHeight="1"/>
    <row r="8743" ht="30" customHeight="1"/>
    <row r="8744" ht="30" customHeight="1"/>
    <row r="8745" ht="30" customHeight="1"/>
    <row r="8746" ht="30" customHeight="1"/>
    <row r="8747" ht="30" customHeight="1"/>
    <row r="8748" ht="30" customHeight="1"/>
    <row r="8749" ht="30" customHeight="1"/>
    <row r="8750" ht="30" customHeight="1"/>
    <row r="8751" ht="30" customHeight="1"/>
    <row r="8752" ht="30" customHeight="1"/>
    <row r="8753" ht="30" customHeight="1"/>
    <row r="8754" ht="30" customHeight="1"/>
    <row r="8755" ht="30" customHeight="1"/>
    <row r="8756" ht="30" customHeight="1"/>
    <row r="8757" ht="30" customHeight="1"/>
    <row r="8758" ht="30" customHeight="1"/>
    <row r="8759" ht="30" customHeight="1"/>
    <row r="8760" ht="30" customHeight="1"/>
    <row r="8761" ht="30" customHeight="1"/>
    <row r="8762" ht="30" customHeight="1"/>
    <row r="8763" ht="30" customHeight="1"/>
    <row r="8764" ht="30" customHeight="1"/>
    <row r="8765" ht="30" customHeight="1"/>
    <row r="8766" ht="30" customHeight="1"/>
    <row r="8767" ht="30" customHeight="1"/>
    <row r="8768" ht="30" customHeight="1"/>
    <row r="8769" ht="30" customHeight="1"/>
    <row r="8770" ht="30" customHeight="1"/>
    <row r="8771" ht="30" customHeight="1"/>
    <row r="8772" ht="30" customHeight="1"/>
    <row r="8773" ht="30" customHeight="1"/>
    <row r="8774" ht="30" customHeight="1"/>
    <row r="8775" ht="30" customHeight="1"/>
    <row r="8776" ht="30" customHeight="1"/>
    <row r="8777" ht="30" customHeight="1"/>
    <row r="8778" ht="30" customHeight="1"/>
    <row r="8779" ht="30" customHeight="1"/>
    <row r="8780" ht="30" customHeight="1"/>
    <row r="8781" ht="30" customHeight="1"/>
    <row r="8782" ht="30" customHeight="1"/>
    <row r="8783" ht="30" customHeight="1"/>
    <row r="8784" ht="30" customHeight="1"/>
    <row r="8785" ht="30" customHeight="1"/>
    <row r="8786" ht="30" customHeight="1"/>
    <row r="8787" ht="30" customHeight="1"/>
    <row r="8788" ht="30" customHeight="1"/>
    <row r="8789" ht="30" customHeight="1"/>
    <row r="8790" ht="30" customHeight="1"/>
    <row r="8791" ht="30" customHeight="1"/>
    <row r="8792" ht="30" customHeight="1"/>
    <row r="8793" ht="30" customHeight="1"/>
    <row r="8794" ht="30" customHeight="1"/>
    <row r="8795" ht="30" customHeight="1"/>
    <row r="8796" ht="30" customHeight="1"/>
    <row r="8797" ht="30" customHeight="1"/>
    <row r="8798" ht="30" customHeight="1"/>
    <row r="8799" ht="30" customHeight="1"/>
    <row r="8800" ht="30" customHeight="1"/>
    <row r="8801" ht="30" customHeight="1"/>
    <row r="8802" ht="30" customHeight="1"/>
    <row r="8803" ht="30" customHeight="1"/>
    <row r="8804" ht="30" customHeight="1"/>
    <row r="8805" ht="30" customHeight="1"/>
    <row r="8806" ht="30" customHeight="1"/>
    <row r="8807" ht="30" customHeight="1"/>
    <row r="8808" ht="30" customHeight="1"/>
    <row r="8809" ht="30" customHeight="1"/>
    <row r="8810" ht="30" customHeight="1"/>
    <row r="8811" ht="30" customHeight="1"/>
    <row r="8812" ht="30" customHeight="1"/>
    <row r="8813" ht="30" customHeight="1"/>
    <row r="8814" ht="30" customHeight="1"/>
    <row r="8815" ht="30" customHeight="1"/>
    <row r="8816" ht="30" customHeight="1"/>
    <row r="8817" ht="30" customHeight="1"/>
    <row r="8818" ht="30" customHeight="1"/>
    <row r="8819" ht="30" customHeight="1"/>
    <row r="8820" ht="30" customHeight="1"/>
    <row r="8821" ht="30" customHeight="1"/>
    <row r="8822" ht="30" customHeight="1"/>
    <row r="8823" ht="30" customHeight="1"/>
    <row r="8824" ht="30" customHeight="1"/>
    <row r="8825" ht="30" customHeight="1"/>
    <row r="8826" ht="30" customHeight="1"/>
    <row r="8827" ht="30" customHeight="1"/>
    <row r="8828" ht="30" customHeight="1"/>
    <row r="8829" ht="30" customHeight="1"/>
    <row r="8830" ht="30" customHeight="1"/>
    <row r="8831" ht="30" customHeight="1"/>
    <row r="8832" ht="30" customHeight="1"/>
    <row r="8833" ht="30" customHeight="1"/>
    <row r="8834" ht="30" customHeight="1"/>
    <row r="8835" ht="30" customHeight="1"/>
    <row r="8836" ht="30" customHeight="1"/>
    <row r="8837" ht="30" customHeight="1"/>
    <row r="8838" ht="30" customHeight="1"/>
    <row r="8839" ht="30" customHeight="1"/>
    <row r="8840" ht="30" customHeight="1"/>
    <row r="8841" ht="30" customHeight="1"/>
    <row r="8842" ht="30" customHeight="1"/>
    <row r="8843" ht="30" customHeight="1"/>
    <row r="8844" ht="30" customHeight="1"/>
    <row r="8845" ht="30" customHeight="1"/>
    <row r="8846" ht="30" customHeight="1"/>
    <row r="8847" ht="30" customHeight="1"/>
    <row r="8848" ht="30" customHeight="1"/>
    <row r="8849" ht="30" customHeight="1"/>
    <row r="8850" ht="30" customHeight="1"/>
    <row r="8851" ht="30" customHeight="1"/>
    <row r="8852" ht="30" customHeight="1"/>
    <row r="8853" ht="30" customHeight="1"/>
    <row r="8854" ht="30" customHeight="1"/>
    <row r="8855" ht="30" customHeight="1"/>
    <row r="8856" ht="30" customHeight="1"/>
    <row r="8857" ht="30" customHeight="1"/>
    <row r="8858" ht="30" customHeight="1"/>
    <row r="8859" ht="30" customHeight="1"/>
    <row r="8860" ht="30" customHeight="1"/>
    <row r="8861" ht="30" customHeight="1"/>
    <row r="8862" ht="30" customHeight="1"/>
    <row r="8863" ht="30" customHeight="1"/>
    <row r="8864" ht="30" customHeight="1"/>
    <row r="8865" ht="30" customHeight="1"/>
    <row r="8866" ht="30" customHeight="1"/>
    <row r="8867" ht="30" customHeight="1"/>
    <row r="8868" ht="30" customHeight="1"/>
    <row r="8869" ht="30" customHeight="1"/>
    <row r="8870" ht="30" customHeight="1"/>
    <row r="8871" ht="30" customHeight="1"/>
    <row r="8872" ht="30" customHeight="1"/>
    <row r="8873" ht="30" customHeight="1"/>
    <row r="8874" ht="30" customHeight="1"/>
    <row r="8875" ht="30" customHeight="1"/>
    <row r="8876" ht="30" customHeight="1"/>
    <row r="8877" ht="30" customHeight="1"/>
    <row r="8878" ht="30" customHeight="1"/>
    <row r="8879" ht="30" customHeight="1"/>
    <row r="8880" ht="30" customHeight="1"/>
    <row r="8881" ht="30" customHeight="1"/>
    <row r="8882" ht="30" customHeight="1"/>
    <row r="8883" ht="30" customHeight="1"/>
    <row r="8884" ht="30" customHeight="1"/>
    <row r="8885" ht="30" customHeight="1"/>
    <row r="8886" ht="30" customHeight="1"/>
    <row r="8887" ht="30" customHeight="1"/>
    <row r="8888" ht="30" customHeight="1"/>
    <row r="8889" ht="30" customHeight="1"/>
    <row r="8890" ht="30" customHeight="1"/>
    <row r="8891" ht="30" customHeight="1"/>
    <row r="8892" ht="30" customHeight="1"/>
    <row r="8893" ht="30" customHeight="1"/>
    <row r="8894" ht="30" customHeight="1"/>
    <row r="8895" ht="30" customHeight="1"/>
    <row r="8896" ht="30" customHeight="1"/>
    <row r="8897" ht="30" customHeight="1"/>
    <row r="8898" ht="30" customHeight="1"/>
    <row r="8899" ht="30" customHeight="1"/>
    <row r="8900" ht="30" customHeight="1"/>
    <row r="8901" ht="30" customHeight="1"/>
    <row r="8902" ht="30" customHeight="1"/>
    <row r="8903" ht="30" customHeight="1"/>
    <row r="8904" ht="30" customHeight="1"/>
    <row r="8905" ht="30" customHeight="1"/>
    <row r="8906" ht="30" customHeight="1"/>
    <row r="8907" ht="30" customHeight="1"/>
    <row r="8908" ht="30" customHeight="1"/>
    <row r="8909" ht="30" customHeight="1"/>
    <row r="8910" ht="30" customHeight="1"/>
    <row r="8911" ht="30" customHeight="1"/>
    <row r="8912" ht="30" customHeight="1"/>
    <row r="8913" ht="30" customHeight="1"/>
    <row r="8914" ht="30" customHeight="1"/>
    <row r="8915" ht="30" customHeight="1"/>
    <row r="8916" ht="30" customHeight="1"/>
    <row r="8917" ht="30" customHeight="1"/>
    <row r="8918" ht="30" customHeight="1"/>
    <row r="8919" ht="30" customHeight="1"/>
    <row r="8920" ht="30" customHeight="1"/>
    <row r="8921" ht="30" customHeight="1"/>
    <row r="8922" ht="30" customHeight="1"/>
    <row r="8923" ht="30" customHeight="1"/>
    <row r="8924" ht="30" customHeight="1"/>
    <row r="8925" ht="30" customHeight="1"/>
    <row r="8926" ht="30" customHeight="1"/>
    <row r="8927" ht="30" customHeight="1"/>
    <row r="8928" ht="30" customHeight="1"/>
    <row r="8929" ht="30" customHeight="1"/>
    <row r="8930" ht="30" customHeight="1"/>
    <row r="8931" ht="30" customHeight="1"/>
    <row r="8932" ht="30" customHeight="1"/>
    <row r="8933" ht="30" customHeight="1"/>
    <row r="8934" ht="30" customHeight="1"/>
    <row r="8935" ht="30" customHeight="1"/>
    <row r="8936" ht="30" customHeight="1"/>
    <row r="8937" ht="30" customHeight="1"/>
    <row r="8938" ht="30" customHeight="1"/>
    <row r="8939" ht="30" customHeight="1"/>
    <row r="8940" ht="30" customHeight="1"/>
    <row r="8941" ht="30" customHeight="1"/>
    <row r="8942" ht="30" customHeight="1"/>
    <row r="8943" ht="30" customHeight="1"/>
    <row r="8944" ht="30" customHeight="1"/>
    <row r="8945" ht="30" customHeight="1"/>
    <row r="8946" ht="30" customHeight="1"/>
    <row r="8947" ht="30" customHeight="1"/>
    <row r="8948" ht="30" customHeight="1"/>
    <row r="8949" ht="30" customHeight="1"/>
    <row r="8950" ht="30" customHeight="1"/>
    <row r="8951" ht="30" customHeight="1"/>
    <row r="8952" ht="30" customHeight="1"/>
    <row r="8953" ht="30" customHeight="1"/>
    <row r="8954" ht="30" customHeight="1"/>
    <row r="8955" ht="30" customHeight="1"/>
    <row r="8956" ht="30" customHeight="1"/>
    <row r="8957" ht="30" customHeight="1"/>
    <row r="8958" ht="30" customHeight="1"/>
    <row r="8959" ht="30" customHeight="1"/>
    <row r="8960" ht="30" customHeight="1"/>
    <row r="8961" ht="30" customHeight="1"/>
    <row r="8962" ht="30" customHeight="1"/>
    <row r="8963" ht="30" customHeight="1"/>
    <row r="8964" ht="30" customHeight="1"/>
    <row r="8965" ht="30" customHeight="1"/>
    <row r="8966" ht="30" customHeight="1"/>
    <row r="8967" ht="30" customHeight="1"/>
    <row r="8968" ht="30" customHeight="1"/>
    <row r="8969" ht="30" customHeight="1"/>
    <row r="8970" ht="30" customHeight="1"/>
    <row r="8971" ht="30" customHeight="1"/>
    <row r="8972" ht="30" customHeight="1"/>
    <row r="8973" ht="30" customHeight="1"/>
    <row r="8974" ht="30" customHeight="1"/>
    <row r="8975" ht="30" customHeight="1"/>
    <row r="8976" ht="30" customHeight="1"/>
    <row r="8977" ht="30" customHeight="1"/>
    <row r="8978" ht="30" customHeight="1"/>
    <row r="8979" ht="30" customHeight="1"/>
    <row r="8980" ht="30" customHeight="1"/>
    <row r="8981" ht="30" customHeight="1"/>
    <row r="8982" ht="30" customHeight="1"/>
    <row r="8983" ht="30" customHeight="1"/>
    <row r="8984" ht="30" customHeight="1"/>
    <row r="8985" ht="30" customHeight="1"/>
    <row r="8986" ht="30" customHeight="1"/>
    <row r="8987" ht="30" customHeight="1"/>
    <row r="8988" ht="30" customHeight="1"/>
    <row r="8989" ht="30" customHeight="1"/>
    <row r="8990" ht="30" customHeight="1"/>
    <row r="8991" ht="30" customHeight="1"/>
    <row r="8992" ht="30" customHeight="1"/>
    <row r="8993" ht="30" customHeight="1"/>
    <row r="8994" ht="30" customHeight="1"/>
    <row r="8995" ht="30" customHeight="1"/>
    <row r="8996" ht="30" customHeight="1"/>
    <row r="8997" ht="30" customHeight="1"/>
    <row r="8998" ht="30" customHeight="1"/>
    <row r="8999" ht="30" customHeight="1"/>
    <row r="9000" ht="30" customHeight="1"/>
    <row r="9001" ht="30" customHeight="1"/>
    <row r="9002" ht="30" customHeight="1"/>
    <row r="9003" ht="30" customHeight="1"/>
    <row r="9004" ht="30" customHeight="1"/>
    <row r="9005" ht="30" customHeight="1"/>
    <row r="9006" ht="30" customHeight="1"/>
    <row r="9007" ht="30" customHeight="1"/>
    <row r="9008" ht="30" customHeight="1"/>
    <row r="9009" ht="30" customHeight="1"/>
    <row r="9010" ht="30" customHeight="1"/>
    <row r="9011" ht="30" customHeight="1"/>
    <row r="9012" ht="30" customHeight="1"/>
    <row r="9013" ht="30" customHeight="1"/>
    <row r="9014" ht="30" customHeight="1"/>
    <row r="9015" ht="30" customHeight="1"/>
    <row r="9016" ht="30" customHeight="1"/>
    <row r="9017" ht="30" customHeight="1"/>
    <row r="9018" ht="30" customHeight="1"/>
    <row r="9019" ht="30" customHeight="1"/>
    <row r="9020" ht="30" customHeight="1"/>
    <row r="9021" ht="30" customHeight="1"/>
    <row r="9022" ht="30" customHeight="1"/>
    <row r="9023" ht="30" customHeight="1"/>
    <row r="9024" ht="30" customHeight="1"/>
    <row r="9025" ht="30" customHeight="1"/>
    <row r="9026" ht="30" customHeight="1"/>
    <row r="9027" ht="30" customHeight="1"/>
    <row r="9028" ht="30" customHeight="1"/>
    <row r="9029" ht="30" customHeight="1"/>
    <row r="9030" ht="30" customHeight="1"/>
    <row r="9031" ht="30" customHeight="1"/>
    <row r="9032" ht="30" customHeight="1"/>
    <row r="9033" ht="30" customHeight="1"/>
    <row r="9034" ht="30" customHeight="1"/>
    <row r="9035" ht="30" customHeight="1"/>
    <row r="9036" ht="30" customHeight="1"/>
    <row r="9037" ht="30" customHeight="1"/>
    <row r="9038" ht="30" customHeight="1"/>
    <row r="9039" ht="30" customHeight="1"/>
    <row r="9040" ht="30" customHeight="1"/>
    <row r="9041" ht="30" customHeight="1"/>
    <row r="9042" ht="30" customHeight="1"/>
    <row r="9043" ht="30" customHeight="1"/>
    <row r="9044" ht="30" customHeight="1"/>
    <row r="9045" ht="30" customHeight="1"/>
    <row r="9046" ht="30" customHeight="1"/>
    <row r="9047" ht="30" customHeight="1"/>
    <row r="9048" ht="30" customHeight="1"/>
    <row r="9049" ht="30" customHeight="1"/>
    <row r="9050" ht="30" customHeight="1"/>
    <row r="9051" ht="30" customHeight="1"/>
    <row r="9052" ht="30" customHeight="1"/>
    <row r="9053" ht="30" customHeight="1"/>
    <row r="9054" ht="30" customHeight="1"/>
    <row r="9055" ht="30" customHeight="1"/>
    <row r="9056" ht="30" customHeight="1"/>
    <row r="9057" ht="30" customHeight="1"/>
    <row r="9058" ht="30" customHeight="1"/>
    <row r="9059" ht="30" customHeight="1"/>
    <row r="9060" ht="30" customHeight="1"/>
    <row r="9061" ht="30" customHeight="1"/>
    <row r="9062" ht="30" customHeight="1"/>
    <row r="9063" ht="30" customHeight="1"/>
    <row r="9064" ht="30" customHeight="1"/>
    <row r="9065" ht="30" customHeight="1"/>
    <row r="9066" ht="30" customHeight="1"/>
    <row r="9067" ht="30" customHeight="1"/>
    <row r="9068" ht="30" customHeight="1"/>
    <row r="9069" ht="30" customHeight="1"/>
    <row r="9070" ht="30" customHeight="1"/>
    <row r="9071" ht="30" customHeight="1"/>
    <row r="9072" ht="30" customHeight="1"/>
    <row r="9073" ht="30" customHeight="1"/>
    <row r="9074" ht="30" customHeight="1"/>
    <row r="9075" ht="30" customHeight="1"/>
    <row r="9076" ht="30" customHeight="1"/>
    <row r="9077" ht="30" customHeight="1"/>
    <row r="9078" ht="30" customHeight="1"/>
    <row r="9079" ht="30" customHeight="1"/>
    <row r="9080" ht="30" customHeight="1"/>
    <row r="9081" ht="30" customHeight="1"/>
    <row r="9082" ht="30" customHeight="1"/>
    <row r="9083" ht="30" customHeight="1"/>
    <row r="9084" ht="30" customHeight="1"/>
    <row r="9085" ht="30" customHeight="1"/>
    <row r="9086" ht="30" customHeight="1"/>
    <row r="9087" ht="30" customHeight="1"/>
    <row r="9088" ht="30" customHeight="1"/>
    <row r="9089" ht="30" customHeight="1"/>
    <row r="9090" ht="30" customHeight="1"/>
    <row r="9091" ht="30" customHeight="1"/>
    <row r="9092" ht="30" customHeight="1"/>
    <row r="9093" ht="30" customHeight="1"/>
    <row r="9094" ht="30" customHeight="1"/>
    <row r="9095" ht="30" customHeight="1"/>
    <row r="9096" ht="30" customHeight="1"/>
    <row r="9097" ht="30" customHeight="1"/>
    <row r="9098" ht="30" customHeight="1"/>
    <row r="9099" ht="30" customHeight="1"/>
    <row r="9100" ht="30" customHeight="1"/>
    <row r="9101" ht="30" customHeight="1"/>
    <row r="9102" ht="30" customHeight="1"/>
    <row r="9103" ht="30" customHeight="1"/>
    <row r="9104" ht="30" customHeight="1"/>
    <row r="9105" ht="30" customHeight="1"/>
    <row r="9106" ht="30" customHeight="1"/>
    <row r="9107" ht="30" customHeight="1"/>
    <row r="9108" ht="30" customHeight="1"/>
    <row r="9109" ht="30" customHeight="1"/>
    <row r="9110" ht="30" customHeight="1"/>
    <row r="9111" ht="30" customHeight="1"/>
    <row r="9112" ht="30" customHeight="1"/>
    <row r="9113" ht="30" customHeight="1"/>
    <row r="9114" ht="30" customHeight="1"/>
    <row r="9115" ht="30" customHeight="1"/>
    <row r="9116" ht="30" customHeight="1"/>
    <row r="9117" ht="30" customHeight="1"/>
    <row r="9118" ht="30" customHeight="1"/>
    <row r="9119" ht="30" customHeight="1"/>
    <row r="9120" ht="30" customHeight="1"/>
    <row r="9121" ht="30" customHeight="1"/>
    <row r="9122" ht="30" customHeight="1"/>
    <row r="9123" ht="30" customHeight="1"/>
    <row r="9124" ht="30" customHeight="1"/>
    <row r="9125" ht="30" customHeight="1"/>
    <row r="9126" ht="30" customHeight="1"/>
    <row r="9127" ht="30" customHeight="1"/>
    <row r="9128" ht="30" customHeight="1"/>
    <row r="9129" ht="30" customHeight="1"/>
    <row r="9130" ht="30" customHeight="1"/>
    <row r="9131" ht="30" customHeight="1"/>
    <row r="9132" ht="30" customHeight="1"/>
    <row r="9133" ht="30" customHeight="1"/>
    <row r="9134" ht="30" customHeight="1"/>
    <row r="9135" ht="30" customHeight="1"/>
    <row r="9136" ht="30" customHeight="1"/>
    <row r="9137" ht="30" customHeight="1"/>
    <row r="9138" ht="30" customHeight="1"/>
    <row r="9139" ht="30" customHeight="1"/>
    <row r="9140" ht="30" customHeight="1"/>
    <row r="9141" ht="30" customHeight="1"/>
    <row r="9142" ht="30" customHeight="1"/>
    <row r="9143" ht="30" customHeight="1"/>
    <row r="9144" ht="30" customHeight="1"/>
    <row r="9145" ht="30" customHeight="1"/>
    <row r="9146" ht="30" customHeight="1"/>
    <row r="9147" ht="30" customHeight="1"/>
    <row r="9148" ht="30" customHeight="1"/>
    <row r="9149" ht="30" customHeight="1"/>
    <row r="9150" ht="30" customHeight="1"/>
    <row r="9151" ht="30" customHeight="1"/>
    <row r="9152" ht="30" customHeight="1"/>
    <row r="9153" ht="30" customHeight="1"/>
    <row r="9154" ht="30" customHeight="1"/>
    <row r="9155" ht="30" customHeight="1"/>
    <row r="9156" ht="30" customHeight="1"/>
    <row r="9157" ht="30" customHeight="1"/>
    <row r="9158" ht="30" customHeight="1"/>
    <row r="9159" ht="30" customHeight="1"/>
    <row r="9160" ht="30" customHeight="1"/>
    <row r="9161" ht="30" customHeight="1"/>
    <row r="9162" ht="30" customHeight="1"/>
    <row r="9163" ht="30" customHeight="1"/>
    <row r="9164" ht="30" customHeight="1"/>
    <row r="9165" ht="30" customHeight="1"/>
    <row r="9166" ht="30" customHeight="1"/>
    <row r="9167" ht="30" customHeight="1"/>
    <row r="9168" ht="30" customHeight="1"/>
    <row r="9169" ht="30" customHeight="1"/>
    <row r="9170" ht="30" customHeight="1"/>
    <row r="9171" ht="30" customHeight="1"/>
    <row r="9172" ht="30" customHeight="1"/>
    <row r="9173" ht="30" customHeight="1"/>
    <row r="9174" ht="30" customHeight="1"/>
    <row r="9175" ht="30" customHeight="1"/>
    <row r="9176" ht="30" customHeight="1"/>
    <row r="9177" ht="30" customHeight="1"/>
    <row r="9178" ht="30" customHeight="1"/>
    <row r="9179" ht="30" customHeight="1"/>
    <row r="9180" ht="30" customHeight="1"/>
    <row r="9181" ht="30" customHeight="1"/>
    <row r="9182" ht="30" customHeight="1"/>
    <row r="9183" ht="30" customHeight="1"/>
    <row r="9184" ht="30" customHeight="1"/>
    <row r="9185" ht="30" customHeight="1"/>
    <row r="9186" ht="30" customHeight="1"/>
    <row r="9187" ht="30" customHeight="1"/>
    <row r="9188" ht="30" customHeight="1"/>
    <row r="9189" ht="30" customHeight="1"/>
    <row r="9190" ht="30" customHeight="1"/>
    <row r="9191" ht="30" customHeight="1"/>
    <row r="9192" ht="30" customHeight="1"/>
    <row r="9193" ht="30" customHeight="1"/>
    <row r="9194" ht="30" customHeight="1"/>
    <row r="9195" ht="30" customHeight="1"/>
    <row r="9196" ht="30" customHeight="1"/>
    <row r="9197" ht="30" customHeight="1"/>
    <row r="9198" ht="30" customHeight="1"/>
    <row r="9199" ht="30" customHeight="1"/>
    <row r="9200" ht="30" customHeight="1"/>
    <row r="9201" ht="30" customHeight="1"/>
    <row r="9202" ht="30" customHeight="1"/>
    <row r="9203" ht="30" customHeight="1"/>
    <row r="9204" ht="30" customHeight="1"/>
    <row r="9205" ht="30" customHeight="1"/>
    <row r="9206" ht="30" customHeight="1"/>
    <row r="9207" ht="30" customHeight="1"/>
    <row r="9208" ht="30" customHeight="1"/>
    <row r="9209" ht="30" customHeight="1"/>
    <row r="9210" ht="30" customHeight="1"/>
    <row r="9211" ht="30" customHeight="1"/>
    <row r="9212" ht="30" customHeight="1"/>
    <row r="9213" ht="30" customHeight="1"/>
    <row r="9214" ht="30" customHeight="1"/>
    <row r="9215" ht="30" customHeight="1"/>
    <row r="9216" ht="30" customHeight="1"/>
    <row r="9217" ht="30" customHeight="1"/>
    <row r="9218" ht="30" customHeight="1"/>
    <row r="9219" ht="30" customHeight="1"/>
    <row r="9220" ht="30" customHeight="1"/>
    <row r="9221" ht="30" customHeight="1"/>
    <row r="9222" ht="30" customHeight="1"/>
    <row r="9223" ht="30" customHeight="1"/>
    <row r="9224" ht="30" customHeight="1"/>
    <row r="9225" ht="30" customHeight="1"/>
    <row r="9226" ht="30" customHeight="1"/>
    <row r="9227" ht="30" customHeight="1"/>
    <row r="9228" ht="30" customHeight="1"/>
    <row r="9229" ht="30" customHeight="1"/>
    <row r="9230" ht="30" customHeight="1"/>
    <row r="9231" ht="30" customHeight="1"/>
    <row r="9232" ht="30" customHeight="1"/>
    <row r="9233" ht="30" customHeight="1"/>
    <row r="9234" ht="30" customHeight="1"/>
    <row r="9235" ht="30" customHeight="1"/>
    <row r="9236" ht="30" customHeight="1"/>
    <row r="9237" ht="30" customHeight="1"/>
    <row r="9238" ht="30" customHeight="1"/>
    <row r="9239" ht="30" customHeight="1"/>
    <row r="9240" ht="30" customHeight="1"/>
    <row r="9241" ht="30" customHeight="1"/>
    <row r="9242" ht="30" customHeight="1"/>
    <row r="9243" ht="30" customHeight="1"/>
    <row r="9244" ht="30" customHeight="1"/>
    <row r="9245" ht="30" customHeight="1"/>
    <row r="9246" ht="30" customHeight="1"/>
    <row r="9247" ht="30" customHeight="1"/>
    <row r="9248" ht="30" customHeight="1"/>
    <row r="9249" ht="30" customHeight="1"/>
    <row r="9250" ht="30" customHeight="1"/>
    <row r="9251" ht="30" customHeight="1"/>
    <row r="9252" ht="30" customHeight="1"/>
    <row r="9253" ht="30" customHeight="1"/>
    <row r="9254" ht="30" customHeight="1"/>
    <row r="9255" ht="30" customHeight="1"/>
    <row r="9256" ht="30" customHeight="1"/>
    <row r="9257" ht="30" customHeight="1"/>
    <row r="9258" ht="30" customHeight="1"/>
    <row r="9259" ht="30" customHeight="1"/>
    <row r="9260" ht="30" customHeight="1"/>
    <row r="9261" ht="30" customHeight="1"/>
    <row r="9262" ht="30" customHeight="1"/>
    <row r="9263" ht="30" customHeight="1"/>
    <row r="9264" ht="30" customHeight="1"/>
    <row r="9265" ht="30" customHeight="1"/>
    <row r="9266" ht="30" customHeight="1"/>
    <row r="9267" ht="30" customHeight="1"/>
    <row r="9268" ht="30" customHeight="1"/>
    <row r="9269" ht="30" customHeight="1"/>
    <row r="9270" ht="30" customHeight="1"/>
    <row r="9271" ht="30" customHeight="1"/>
    <row r="9272" ht="30" customHeight="1"/>
    <row r="9273" ht="30" customHeight="1"/>
    <row r="9274" ht="30" customHeight="1"/>
    <row r="9275" ht="30" customHeight="1"/>
    <row r="9276" ht="30" customHeight="1"/>
    <row r="9277" ht="30" customHeight="1"/>
    <row r="9278" ht="30" customHeight="1"/>
    <row r="9279" ht="30" customHeight="1"/>
    <row r="9280" ht="30" customHeight="1"/>
    <row r="9281" ht="30" customHeight="1"/>
    <row r="9282" ht="30" customHeight="1"/>
    <row r="9283" ht="30" customHeight="1"/>
    <row r="9284" ht="30" customHeight="1"/>
    <row r="9285" ht="30" customHeight="1"/>
    <row r="9286" ht="30" customHeight="1"/>
    <row r="9287" ht="30" customHeight="1"/>
    <row r="9288" ht="30" customHeight="1"/>
    <row r="9289" ht="30" customHeight="1"/>
    <row r="9290" ht="30" customHeight="1"/>
    <row r="9291" ht="30" customHeight="1"/>
    <row r="9292" ht="30" customHeight="1"/>
    <row r="9293" ht="30" customHeight="1"/>
    <row r="9294" ht="30" customHeight="1"/>
    <row r="9295" ht="30" customHeight="1"/>
    <row r="9296" ht="30" customHeight="1"/>
    <row r="9297" ht="30" customHeight="1"/>
    <row r="9298" ht="30" customHeight="1"/>
    <row r="9299" ht="30" customHeight="1"/>
    <row r="9300" ht="30" customHeight="1"/>
    <row r="9301" ht="30" customHeight="1"/>
    <row r="9302" ht="30" customHeight="1"/>
    <row r="9303" ht="30" customHeight="1"/>
    <row r="9304" ht="30" customHeight="1"/>
    <row r="9305" ht="30" customHeight="1"/>
    <row r="9306" ht="30" customHeight="1"/>
    <row r="9307" ht="30" customHeight="1"/>
    <row r="9308" ht="30" customHeight="1"/>
    <row r="9309" ht="30" customHeight="1"/>
    <row r="9310" ht="30" customHeight="1"/>
    <row r="9311" ht="30" customHeight="1"/>
    <row r="9312" ht="30" customHeight="1"/>
    <row r="9313" ht="30" customHeight="1"/>
    <row r="9314" ht="30" customHeight="1"/>
    <row r="9315" ht="30" customHeight="1"/>
    <row r="9316" ht="30" customHeight="1"/>
    <row r="9317" ht="30" customHeight="1"/>
    <row r="9318" ht="30" customHeight="1"/>
    <row r="9319" ht="30" customHeight="1"/>
    <row r="9320" ht="30" customHeight="1"/>
    <row r="9321" ht="30" customHeight="1"/>
    <row r="9322" ht="30" customHeight="1"/>
    <row r="9323" ht="30" customHeight="1"/>
    <row r="9324" ht="30" customHeight="1"/>
    <row r="9325" ht="30" customHeight="1"/>
    <row r="9326" ht="30" customHeight="1"/>
    <row r="9327" ht="30" customHeight="1"/>
    <row r="9328" ht="30" customHeight="1"/>
    <row r="9329" ht="30" customHeight="1"/>
    <row r="9330" ht="30" customHeight="1"/>
    <row r="9331" ht="30" customHeight="1"/>
    <row r="9332" ht="30" customHeight="1"/>
    <row r="9333" ht="30" customHeight="1"/>
    <row r="9334" ht="30" customHeight="1"/>
    <row r="9335" ht="30" customHeight="1"/>
    <row r="9336" ht="30" customHeight="1"/>
    <row r="9337" ht="30" customHeight="1"/>
    <row r="9338" ht="30" customHeight="1"/>
    <row r="9339" ht="30" customHeight="1"/>
    <row r="9340" ht="30" customHeight="1"/>
    <row r="9341" ht="30" customHeight="1"/>
    <row r="9342" ht="30" customHeight="1"/>
    <row r="9343" ht="30" customHeight="1"/>
    <row r="9344" ht="30" customHeight="1"/>
    <row r="9345" ht="30" customHeight="1"/>
    <row r="9346" ht="30" customHeight="1"/>
    <row r="9347" ht="30" customHeight="1"/>
    <row r="9348" ht="30" customHeight="1"/>
    <row r="9349" ht="30" customHeight="1"/>
    <row r="9350" ht="30" customHeight="1"/>
    <row r="9351" ht="30" customHeight="1"/>
    <row r="9352" ht="30" customHeight="1"/>
    <row r="9353" ht="30" customHeight="1"/>
    <row r="9354" ht="30" customHeight="1"/>
    <row r="9355" ht="30" customHeight="1"/>
    <row r="9356" ht="30" customHeight="1"/>
    <row r="9357" ht="30" customHeight="1"/>
    <row r="9358" ht="30" customHeight="1"/>
    <row r="9359" ht="30" customHeight="1"/>
    <row r="9360" ht="30" customHeight="1"/>
    <row r="9361" ht="30" customHeight="1"/>
    <row r="9362" ht="30" customHeight="1"/>
    <row r="9363" ht="30" customHeight="1"/>
    <row r="9364" ht="30" customHeight="1"/>
    <row r="9365" ht="30" customHeight="1"/>
    <row r="9366" ht="30" customHeight="1"/>
    <row r="9367" ht="30" customHeight="1"/>
    <row r="9368" ht="30" customHeight="1"/>
    <row r="9369" ht="30" customHeight="1"/>
    <row r="9370" ht="30" customHeight="1"/>
    <row r="9371" ht="30" customHeight="1"/>
    <row r="9372" ht="30" customHeight="1"/>
    <row r="9373" ht="30" customHeight="1"/>
    <row r="9374" ht="30" customHeight="1"/>
    <row r="9375" ht="30" customHeight="1"/>
    <row r="9376" ht="30" customHeight="1"/>
    <row r="9377" ht="30" customHeight="1"/>
    <row r="9378" ht="30" customHeight="1"/>
    <row r="9379" ht="30" customHeight="1"/>
    <row r="9380" ht="30" customHeight="1"/>
    <row r="9381" ht="30" customHeight="1"/>
    <row r="9382" ht="30" customHeight="1"/>
    <row r="9383" ht="30" customHeight="1"/>
    <row r="9384" ht="30" customHeight="1"/>
    <row r="9385" ht="30" customHeight="1"/>
    <row r="9386" ht="30" customHeight="1"/>
    <row r="9387" ht="30" customHeight="1"/>
    <row r="9388" ht="30" customHeight="1"/>
    <row r="9389" ht="30" customHeight="1"/>
    <row r="9390" ht="30" customHeight="1"/>
    <row r="9391" ht="30" customHeight="1"/>
    <row r="9392" ht="30" customHeight="1"/>
    <row r="9393" ht="30" customHeight="1"/>
    <row r="9394" ht="30" customHeight="1"/>
    <row r="9395" ht="30" customHeight="1"/>
    <row r="9396" ht="30" customHeight="1"/>
    <row r="9397" ht="30" customHeight="1"/>
    <row r="9398" ht="30" customHeight="1"/>
    <row r="9399" ht="30" customHeight="1"/>
    <row r="9400" ht="30" customHeight="1"/>
    <row r="9401" ht="30" customHeight="1"/>
    <row r="9402" ht="30" customHeight="1"/>
    <row r="9403" ht="30" customHeight="1"/>
    <row r="9404" ht="30" customHeight="1"/>
    <row r="9405" ht="30" customHeight="1"/>
    <row r="9406" ht="30" customHeight="1"/>
    <row r="9407" ht="30" customHeight="1"/>
    <row r="9408" ht="30" customHeight="1"/>
    <row r="9409" ht="30" customHeight="1"/>
    <row r="9410" ht="30" customHeight="1"/>
    <row r="9411" ht="30" customHeight="1"/>
    <row r="9412" ht="30" customHeight="1"/>
    <row r="9413" ht="30" customHeight="1"/>
    <row r="9414" ht="30" customHeight="1"/>
    <row r="9415" ht="30" customHeight="1"/>
    <row r="9416" ht="30" customHeight="1"/>
    <row r="9417" ht="30" customHeight="1"/>
    <row r="9418" ht="30" customHeight="1"/>
    <row r="9419" ht="30" customHeight="1"/>
    <row r="9420" ht="30" customHeight="1"/>
    <row r="9421" ht="30" customHeight="1"/>
    <row r="9422" ht="30" customHeight="1"/>
    <row r="9423" ht="30" customHeight="1"/>
    <row r="9424" ht="30" customHeight="1"/>
    <row r="9425" ht="30" customHeight="1"/>
    <row r="9426" ht="30" customHeight="1"/>
    <row r="9427" ht="30" customHeight="1"/>
    <row r="9428" ht="30" customHeight="1"/>
    <row r="9429" ht="30" customHeight="1"/>
    <row r="9430" ht="30" customHeight="1"/>
    <row r="9431" ht="30" customHeight="1"/>
    <row r="9432" ht="30" customHeight="1"/>
    <row r="9433" ht="30" customHeight="1"/>
    <row r="9434" ht="30" customHeight="1"/>
    <row r="9435" ht="30" customHeight="1"/>
    <row r="9436" ht="30" customHeight="1"/>
    <row r="9437" ht="30" customHeight="1"/>
    <row r="9438" ht="30" customHeight="1"/>
    <row r="9439" ht="30" customHeight="1"/>
    <row r="9440" ht="30" customHeight="1"/>
    <row r="9441" ht="30" customHeight="1"/>
    <row r="9442" ht="30" customHeight="1"/>
    <row r="9443" ht="30" customHeight="1"/>
    <row r="9444" ht="30" customHeight="1"/>
    <row r="9445" ht="30" customHeight="1"/>
    <row r="9446" ht="30" customHeight="1"/>
    <row r="9447" ht="30" customHeight="1"/>
    <row r="9448" ht="30" customHeight="1"/>
    <row r="9449" ht="30" customHeight="1"/>
    <row r="9450" ht="30" customHeight="1"/>
    <row r="9451" ht="30" customHeight="1"/>
    <row r="9452" ht="30" customHeight="1"/>
    <row r="9453" ht="30" customHeight="1"/>
    <row r="9454" ht="30" customHeight="1"/>
    <row r="9455" ht="30" customHeight="1"/>
    <row r="9456" ht="30" customHeight="1"/>
    <row r="9457" ht="30" customHeight="1"/>
    <row r="9458" ht="30" customHeight="1"/>
    <row r="9459" ht="30" customHeight="1"/>
    <row r="9460" ht="30" customHeight="1"/>
    <row r="9461" ht="30" customHeight="1"/>
    <row r="9462" ht="30" customHeight="1"/>
    <row r="9463" ht="30" customHeight="1"/>
    <row r="9464" ht="30" customHeight="1"/>
    <row r="9465" ht="30" customHeight="1"/>
    <row r="9466" ht="30" customHeight="1"/>
    <row r="9467" ht="30" customHeight="1"/>
    <row r="9468" ht="30" customHeight="1"/>
    <row r="9469" ht="30" customHeight="1"/>
    <row r="9470" ht="30" customHeight="1"/>
    <row r="9471" ht="30" customHeight="1"/>
    <row r="9472" ht="30" customHeight="1"/>
    <row r="9473" ht="30" customHeight="1"/>
    <row r="9474" ht="30" customHeight="1"/>
    <row r="9475" ht="30" customHeight="1"/>
    <row r="9476" ht="30" customHeight="1"/>
    <row r="9477" ht="30" customHeight="1"/>
    <row r="9478" ht="30" customHeight="1"/>
    <row r="9479" ht="30" customHeight="1"/>
    <row r="9480" ht="30" customHeight="1"/>
    <row r="9481" ht="30" customHeight="1"/>
    <row r="9482" ht="30" customHeight="1"/>
    <row r="9483" ht="30" customHeight="1"/>
    <row r="9484" ht="30" customHeight="1"/>
    <row r="9485" ht="30" customHeight="1"/>
    <row r="9486" ht="30" customHeight="1"/>
    <row r="9487" ht="30" customHeight="1"/>
    <row r="9488" ht="30" customHeight="1"/>
    <row r="9489" ht="30" customHeight="1"/>
    <row r="9490" ht="30" customHeight="1"/>
    <row r="9491" ht="30" customHeight="1"/>
    <row r="9492" ht="30" customHeight="1"/>
    <row r="9493" ht="30" customHeight="1"/>
    <row r="9494" ht="30" customHeight="1"/>
    <row r="9495" ht="30" customHeight="1"/>
    <row r="9496" ht="30" customHeight="1"/>
    <row r="9497" ht="30" customHeight="1"/>
    <row r="9498" ht="30" customHeight="1"/>
    <row r="9499" ht="30" customHeight="1"/>
    <row r="9500" ht="30" customHeight="1"/>
    <row r="9501" ht="30" customHeight="1"/>
    <row r="9502" ht="30" customHeight="1"/>
    <row r="9503" ht="30" customHeight="1"/>
    <row r="9504" ht="30" customHeight="1"/>
    <row r="9505" ht="30" customHeight="1"/>
    <row r="9506" ht="30" customHeight="1"/>
    <row r="9507" ht="30" customHeight="1"/>
    <row r="9508" ht="30" customHeight="1"/>
    <row r="9509" ht="30" customHeight="1"/>
    <row r="9510" ht="30" customHeight="1"/>
    <row r="9511" ht="30" customHeight="1"/>
    <row r="9512" ht="30" customHeight="1"/>
    <row r="9513" ht="30" customHeight="1"/>
    <row r="9514" ht="30" customHeight="1"/>
    <row r="9515" ht="30" customHeight="1"/>
    <row r="9516" ht="30" customHeight="1"/>
    <row r="9517" ht="30" customHeight="1"/>
    <row r="9518" ht="30" customHeight="1"/>
    <row r="9519" ht="30" customHeight="1"/>
    <row r="9520" ht="30" customHeight="1"/>
    <row r="9521" ht="30" customHeight="1"/>
    <row r="9522" ht="30" customHeight="1"/>
    <row r="9523" ht="30" customHeight="1"/>
    <row r="9524" ht="30" customHeight="1"/>
    <row r="9525" ht="30" customHeight="1"/>
    <row r="9526" ht="30" customHeight="1"/>
    <row r="9527" ht="30" customHeight="1"/>
    <row r="9528" ht="30" customHeight="1"/>
    <row r="9529" ht="30" customHeight="1"/>
    <row r="9530" ht="30" customHeight="1"/>
    <row r="9531" ht="30" customHeight="1"/>
    <row r="9532" ht="30" customHeight="1"/>
    <row r="9533" ht="30" customHeight="1"/>
    <row r="9534" ht="30" customHeight="1"/>
    <row r="9535" ht="30" customHeight="1"/>
    <row r="9536" ht="30" customHeight="1"/>
    <row r="9537" ht="30" customHeight="1"/>
    <row r="9538" ht="30" customHeight="1"/>
    <row r="9539" ht="30" customHeight="1"/>
    <row r="9540" ht="30" customHeight="1"/>
    <row r="9541" ht="30" customHeight="1"/>
    <row r="9542" ht="30" customHeight="1"/>
    <row r="9543" ht="30" customHeight="1"/>
    <row r="9544" ht="30" customHeight="1"/>
    <row r="9545" ht="30" customHeight="1"/>
    <row r="9546" ht="30" customHeight="1"/>
    <row r="9547" ht="30" customHeight="1"/>
    <row r="9548" ht="30" customHeight="1"/>
    <row r="9549" ht="30" customHeight="1"/>
    <row r="9550" ht="30" customHeight="1"/>
    <row r="9551" ht="30" customHeight="1"/>
    <row r="9552" ht="30" customHeight="1"/>
    <row r="9553" ht="30" customHeight="1"/>
    <row r="9554" ht="30" customHeight="1"/>
    <row r="9555" ht="30" customHeight="1"/>
    <row r="9556" ht="30" customHeight="1"/>
    <row r="9557" ht="30" customHeight="1"/>
    <row r="9558" ht="30" customHeight="1"/>
    <row r="9559" ht="30" customHeight="1"/>
    <row r="9560" ht="30" customHeight="1"/>
    <row r="9561" ht="30" customHeight="1"/>
    <row r="9562" ht="30" customHeight="1"/>
    <row r="9563" ht="30" customHeight="1"/>
    <row r="9564" ht="30" customHeight="1"/>
    <row r="9565" ht="30" customHeight="1"/>
    <row r="9566" ht="30" customHeight="1"/>
    <row r="9567" ht="30" customHeight="1"/>
    <row r="9568" ht="30" customHeight="1"/>
    <row r="9569" ht="30" customHeight="1"/>
    <row r="9570" ht="30" customHeight="1"/>
    <row r="9571" ht="30" customHeight="1"/>
    <row r="9572" ht="30" customHeight="1"/>
    <row r="9573" ht="30" customHeight="1"/>
    <row r="9574" ht="30" customHeight="1"/>
    <row r="9575" ht="30" customHeight="1"/>
    <row r="9576" ht="30" customHeight="1"/>
    <row r="9577" ht="30" customHeight="1"/>
    <row r="9578" ht="30" customHeight="1"/>
    <row r="9579" ht="30" customHeight="1"/>
    <row r="9580" ht="30" customHeight="1"/>
    <row r="9581" ht="30" customHeight="1"/>
    <row r="9582" ht="30" customHeight="1"/>
    <row r="9583" ht="30" customHeight="1"/>
    <row r="9584" ht="30" customHeight="1"/>
    <row r="9585" ht="30" customHeight="1"/>
    <row r="9586" ht="30" customHeight="1"/>
    <row r="9587" ht="30" customHeight="1"/>
    <row r="9588" ht="30" customHeight="1"/>
    <row r="9589" ht="30" customHeight="1"/>
    <row r="9590" ht="30" customHeight="1"/>
    <row r="9591" ht="30" customHeight="1"/>
    <row r="9592" ht="30" customHeight="1"/>
    <row r="9593" ht="30" customHeight="1"/>
    <row r="9594" ht="30" customHeight="1"/>
    <row r="9595" ht="30" customHeight="1"/>
    <row r="9596" ht="30" customHeight="1"/>
    <row r="9597" ht="30" customHeight="1"/>
    <row r="9598" ht="30" customHeight="1"/>
    <row r="9599" ht="30" customHeight="1"/>
    <row r="9600" ht="30" customHeight="1"/>
    <row r="9601" ht="30" customHeight="1"/>
    <row r="9602" ht="30" customHeight="1"/>
    <row r="9603" ht="30" customHeight="1"/>
    <row r="9604" ht="30" customHeight="1"/>
    <row r="9605" ht="30" customHeight="1"/>
    <row r="9606" ht="30" customHeight="1"/>
    <row r="9607" ht="30" customHeight="1"/>
    <row r="9608" ht="30" customHeight="1"/>
    <row r="9609" ht="30" customHeight="1"/>
    <row r="9610" ht="30" customHeight="1"/>
    <row r="9611" ht="30" customHeight="1"/>
    <row r="9612" ht="30" customHeight="1"/>
    <row r="9613" ht="30" customHeight="1"/>
    <row r="9614" ht="30" customHeight="1"/>
    <row r="9615" ht="30" customHeight="1"/>
    <row r="9616" ht="30" customHeight="1"/>
    <row r="9617" ht="30" customHeight="1"/>
    <row r="9618" ht="30" customHeight="1"/>
    <row r="9619" ht="30" customHeight="1"/>
    <row r="9620" ht="30" customHeight="1"/>
    <row r="9621" ht="30" customHeight="1"/>
    <row r="9622" ht="30" customHeight="1"/>
    <row r="9623" ht="30" customHeight="1"/>
    <row r="9624" ht="30" customHeight="1"/>
    <row r="9625" ht="30" customHeight="1"/>
    <row r="9626" ht="30" customHeight="1"/>
    <row r="9627" ht="30" customHeight="1"/>
    <row r="9628" ht="30" customHeight="1"/>
    <row r="9629" ht="30" customHeight="1"/>
    <row r="9630" ht="30" customHeight="1"/>
    <row r="9631" ht="30" customHeight="1"/>
    <row r="9632" ht="30" customHeight="1"/>
    <row r="9633" ht="30" customHeight="1"/>
    <row r="9634" ht="30" customHeight="1"/>
    <row r="9635" ht="30" customHeight="1"/>
    <row r="9636" ht="30" customHeight="1"/>
    <row r="9637" ht="30" customHeight="1"/>
    <row r="9638" ht="30" customHeight="1"/>
    <row r="9639" ht="30" customHeight="1"/>
    <row r="9640" ht="30" customHeight="1"/>
    <row r="9641" ht="30" customHeight="1"/>
    <row r="9642" ht="30" customHeight="1"/>
    <row r="9643" ht="30" customHeight="1"/>
    <row r="9644" ht="30" customHeight="1"/>
    <row r="9645" ht="30" customHeight="1"/>
    <row r="9646" ht="30" customHeight="1"/>
    <row r="9647" ht="30" customHeight="1"/>
    <row r="9648" ht="30" customHeight="1"/>
    <row r="9649" ht="30" customHeight="1"/>
    <row r="9650" ht="30" customHeight="1"/>
    <row r="9651" ht="30" customHeight="1"/>
    <row r="9652" ht="30" customHeight="1"/>
    <row r="9653" ht="30" customHeight="1"/>
    <row r="9654" ht="30" customHeight="1"/>
    <row r="9655" ht="30" customHeight="1"/>
    <row r="9656" ht="30" customHeight="1"/>
    <row r="9657" ht="30" customHeight="1"/>
    <row r="9658" ht="30" customHeight="1"/>
    <row r="9659" ht="30" customHeight="1"/>
    <row r="9660" ht="30" customHeight="1"/>
    <row r="9661" ht="30" customHeight="1"/>
    <row r="9662" ht="30" customHeight="1"/>
    <row r="9663" ht="30" customHeight="1"/>
    <row r="9664" ht="30" customHeight="1"/>
    <row r="9665" ht="30" customHeight="1"/>
    <row r="9666" ht="30" customHeight="1"/>
    <row r="9667" ht="30" customHeight="1"/>
    <row r="9668" ht="30" customHeight="1"/>
    <row r="9669" ht="30" customHeight="1"/>
    <row r="9670" ht="30" customHeight="1"/>
    <row r="9671" ht="30" customHeight="1"/>
    <row r="9672" ht="30" customHeight="1"/>
    <row r="9673" ht="30" customHeight="1"/>
    <row r="9674" ht="30" customHeight="1"/>
    <row r="9675" ht="30" customHeight="1"/>
    <row r="9676" ht="30" customHeight="1"/>
    <row r="9677" ht="30" customHeight="1"/>
    <row r="9678" ht="30" customHeight="1"/>
    <row r="9679" ht="30" customHeight="1"/>
    <row r="9680" ht="30" customHeight="1"/>
    <row r="9681" ht="30" customHeight="1"/>
    <row r="9682" ht="30" customHeight="1"/>
    <row r="9683" ht="30" customHeight="1"/>
    <row r="9684" ht="30" customHeight="1"/>
    <row r="9685" ht="30" customHeight="1"/>
    <row r="9686" ht="30" customHeight="1"/>
    <row r="9687" ht="30" customHeight="1"/>
    <row r="9688" ht="30" customHeight="1"/>
    <row r="9689" ht="30" customHeight="1"/>
    <row r="9690" ht="30" customHeight="1"/>
    <row r="9691" ht="30" customHeight="1"/>
    <row r="9692" ht="30" customHeight="1"/>
    <row r="9693" ht="30" customHeight="1"/>
    <row r="9694" ht="30" customHeight="1"/>
    <row r="9695" ht="30" customHeight="1"/>
    <row r="9696" ht="30" customHeight="1"/>
    <row r="9697" ht="30" customHeight="1"/>
    <row r="9698" ht="30" customHeight="1"/>
    <row r="9699" ht="30" customHeight="1"/>
    <row r="9700" ht="30" customHeight="1"/>
    <row r="9701" ht="30" customHeight="1"/>
    <row r="9702" ht="30" customHeight="1"/>
    <row r="9703" ht="30" customHeight="1"/>
    <row r="9704" ht="30" customHeight="1"/>
    <row r="9705" ht="30" customHeight="1"/>
    <row r="9706" ht="30" customHeight="1"/>
    <row r="9707" ht="30" customHeight="1"/>
    <row r="9708" ht="30" customHeight="1"/>
    <row r="9709" ht="30" customHeight="1"/>
    <row r="9710" ht="30" customHeight="1"/>
    <row r="9711" ht="30" customHeight="1"/>
    <row r="9712" ht="30" customHeight="1"/>
    <row r="9713" ht="30" customHeight="1"/>
    <row r="9714" ht="30" customHeight="1"/>
    <row r="9715" ht="30" customHeight="1"/>
    <row r="9716" ht="30" customHeight="1"/>
    <row r="9717" ht="30" customHeight="1"/>
    <row r="9718" ht="30" customHeight="1"/>
    <row r="9719" ht="30" customHeight="1"/>
    <row r="9720" ht="30" customHeight="1"/>
    <row r="9721" ht="30" customHeight="1"/>
    <row r="9722" ht="30" customHeight="1"/>
    <row r="9723" ht="30" customHeight="1"/>
    <row r="9724" ht="30" customHeight="1"/>
    <row r="9725" ht="30" customHeight="1"/>
    <row r="9726" ht="30" customHeight="1"/>
    <row r="9727" ht="30" customHeight="1"/>
    <row r="9728" ht="30" customHeight="1"/>
    <row r="9729" ht="30" customHeight="1"/>
    <row r="9730" ht="30" customHeight="1"/>
    <row r="9731" ht="30" customHeight="1"/>
    <row r="9732" ht="30" customHeight="1"/>
    <row r="9733" ht="30" customHeight="1"/>
    <row r="9734" ht="30" customHeight="1"/>
    <row r="9735" ht="30" customHeight="1"/>
    <row r="9736" ht="30" customHeight="1"/>
    <row r="9737" ht="30" customHeight="1"/>
    <row r="9738" ht="30" customHeight="1"/>
    <row r="9739" ht="30" customHeight="1"/>
    <row r="9740" ht="30" customHeight="1"/>
    <row r="9741" ht="30" customHeight="1"/>
    <row r="9742" ht="30" customHeight="1"/>
    <row r="9743" ht="30" customHeight="1"/>
    <row r="9744" ht="30" customHeight="1"/>
    <row r="9745" ht="30" customHeight="1"/>
    <row r="9746" ht="30" customHeight="1"/>
    <row r="9747" ht="30" customHeight="1"/>
    <row r="9748" ht="30" customHeight="1"/>
    <row r="9749" ht="30" customHeight="1"/>
    <row r="9750" ht="30" customHeight="1"/>
    <row r="9751" ht="30" customHeight="1"/>
    <row r="9752" ht="30" customHeight="1"/>
    <row r="9753" ht="30" customHeight="1"/>
    <row r="9754" ht="30" customHeight="1"/>
    <row r="9755" ht="30" customHeight="1"/>
    <row r="9756" ht="30" customHeight="1"/>
    <row r="9757" ht="30" customHeight="1"/>
    <row r="9758" ht="30" customHeight="1"/>
    <row r="9759" ht="30" customHeight="1"/>
    <row r="9760" ht="30" customHeight="1"/>
    <row r="9761" ht="30" customHeight="1"/>
    <row r="9762" ht="30" customHeight="1"/>
    <row r="9763" ht="30" customHeight="1"/>
    <row r="9764" ht="30" customHeight="1"/>
    <row r="9765" ht="30" customHeight="1"/>
    <row r="9766" ht="30" customHeight="1"/>
    <row r="9767" ht="30" customHeight="1"/>
    <row r="9768" ht="30" customHeight="1"/>
    <row r="9769" ht="30" customHeight="1"/>
    <row r="9770" ht="30" customHeight="1"/>
    <row r="9771" ht="30" customHeight="1"/>
    <row r="9772" ht="30" customHeight="1"/>
    <row r="9773" ht="30" customHeight="1"/>
    <row r="9774" ht="30" customHeight="1"/>
    <row r="9775" ht="30" customHeight="1"/>
    <row r="9776" ht="30" customHeight="1"/>
    <row r="9777" ht="30" customHeight="1"/>
    <row r="9778" ht="30" customHeight="1"/>
    <row r="9779" ht="30" customHeight="1"/>
    <row r="9780" ht="30" customHeight="1"/>
    <row r="9781" ht="30" customHeight="1"/>
    <row r="9782" ht="30" customHeight="1"/>
    <row r="9783" ht="30" customHeight="1"/>
    <row r="9784" ht="30" customHeight="1"/>
    <row r="9785" ht="30" customHeight="1"/>
    <row r="9786" ht="30" customHeight="1"/>
    <row r="9787" ht="30" customHeight="1"/>
    <row r="9788" ht="30" customHeight="1"/>
    <row r="9789" ht="30" customHeight="1"/>
    <row r="9790" ht="30" customHeight="1"/>
    <row r="9791" ht="30" customHeight="1"/>
    <row r="9792" ht="30" customHeight="1"/>
    <row r="9793" ht="30" customHeight="1"/>
    <row r="9794" ht="30" customHeight="1"/>
    <row r="9795" ht="30" customHeight="1"/>
    <row r="9796" ht="30" customHeight="1"/>
    <row r="9797" ht="30" customHeight="1"/>
    <row r="9798" ht="30" customHeight="1"/>
    <row r="9799" ht="30" customHeight="1"/>
    <row r="9800" ht="30" customHeight="1"/>
    <row r="9801" ht="30" customHeight="1"/>
    <row r="9802" ht="30" customHeight="1"/>
    <row r="9803" ht="30" customHeight="1"/>
    <row r="9804" ht="30" customHeight="1"/>
    <row r="9805" ht="30" customHeight="1"/>
    <row r="9806" ht="30" customHeight="1"/>
    <row r="9807" ht="30" customHeight="1"/>
    <row r="9808" ht="30" customHeight="1"/>
    <row r="9809" ht="30" customHeight="1"/>
    <row r="9810" ht="30" customHeight="1"/>
    <row r="9811" ht="30" customHeight="1"/>
    <row r="9812" ht="30" customHeight="1"/>
    <row r="9813" ht="30" customHeight="1"/>
    <row r="9814" ht="30" customHeight="1"/>
    <row r="9815" ht="30" customHeight="1"/>
    <row r="9816" ht="30" customHeight="1"/>
    <row r="9817" ht="30" customHeight="1"/>
    <row r="9818" ht="30" customHeight="1"/>
    <row r="9819" ht="30" customHeight="1"/>
    <row r="9820" ht="30" customHeight="1"/>
    <row r="9821" ht="30" customHeight="1"/>
    <row r="9822" ht="30" customHeight="1"/>
    <row r="9823" ht="30" customHeight="1"/>
    <row r="9824" ht="30" customHeight="1"/>
    <row r="9825" ht="30" customHeight="1"/>
    <row r="9826" ht="30" customHeight="1"/>
    <row r="9827" ht="30" customHeight="1"/>
    <row r="9828" ht="30" customHeight="1"/>
    <row r="9829" ht="30" customHeight="1"/>
    <row r="9830" ht="30" customHeight="1"/>
    <row r="9831" ht="30" customHeight="1"/>
    <row r="9832" ht="30" customHeight="1"/>
    <row r="9833" ht="30" customHeight="1"/>
    <row r="9834" ht="30" customHeight="1"/>
    <row r="9835" ht="30" customHeight="1"/>
    <row r="9836" ht="30" customHeight="1"/>
    <row r="9837" ht="30" customHeight="1"/>
    <row r="9838" ht="30" customHeight="1"/>
    <row r="9839" ht="30" customHeight="1"/>
    <row r="9840" ht="30" customHeight="1"/>
    <row r="9841" ht="30" customHeight="1"/>
    <row r="9842" ht="30" customHeight="1"/>
    <row r="9843" ht="30" customHeight="1"/>
    <row r="9844" ht="30" customHeight="1"/>
    <row r="9845" ht="30" customHeight="1"/>
    <row r="9846" ht="30" customHeight="1"/>
    <row r="9847" ht="30" customHeight="1"/>
    <row r="9848" ht="30" customHeight="1"/>
    <row r="9849" ht="30" customHeight="1"/>
    <row r="9850" ht="30" customHeight="1"/>
    <row r="9851" ht="30" customHeight="1"/>
    <row r="9852" ht="30" customHeight="1"/>
    <row r="9853" ht="30" customHeight="1"/>
    <row r="9854" ht="30" customHeight="1"/>
    <row r="9855" ht="30" customHeight="1"/>
    <row r="9856" ht="30" customHeight="1"/>
    <row r="9857" ht="30" customHeight="1"/>
    <row r="9858" ht="30" customHeight="1"/>
    <row r="9859" ht="30" customHeight="1"/>
    <row r="9860" ht="30" customHeight="1"/>
    <row r="9861" ht="30" customHeight="1"/>
    <row r="9862" ht="30" customHeight="1"/>
    <row r="9863" ht="30" customHeight="1"/>
    <row r="9864" ht="30" customHeight="1"/>
    <row r="9865" ht="30" customHeight="1"/>
    <row r="9866" ht="30" customHeight="1"/>
    <row r="9867" ht="30" customHeight="1"/>
    <row r="9868" ht="30" customHeight="1"/>
    <row r="9869" ht="30" customHeight="1"/>
    <row r="9870" ht="30" customHeight="1"/>
    <row r="9871" ht="30" customHeight="1"/>
    <row r="9872" ht="30" customHeight="1"/>
    <row r="9873" ht="30" customHeight="1"/>
    <row r="9874" ht="30" customHeight="1"/>
    <row r="9875" ht="30" customHeight="1"/>
    <row r="9876" ht="30" customHeight="1"/>
    <row r="9877" ht="30" customHeight="1"/>
    <row r="9878" ht="30" customHeight="1"/>
    <row r="9879" ht="30" customHeight="1"/>
    <row r="9880" ht="30" customHeight="1"/>
    <row r="9881" ht="30" customHeight="1"/>
    <row r="9882" ht="30" customHeight="1"/>
    <row r="9883" ht="30" customHeight="1"/>
    <row r="9884" ht="30" customHeight="1"/>
    <row r="9885" ht="30" customHeight="1"/>
    <row r="9886" ht="30" customHeight="1"/>
    <row r="9887" ht="30" customHeight="1"/>
    <row r="9888" ht="30" customHeight="1"/>
    <row r="9889" ht="30" customHeight="1"/>
    <row r="9890" ht="30" customHeight="1"/>
    <row r="9891" ht="30" customHeight="1"/>
    <row r="9892" ht="30" customHeight="1"/>
    <row r="9893" ht="30" customHeight="1"/>
    <row r="9894" ht="30" customHeight="1"/>
    <row r="9895" ht="30" customHeight="1"/>
    <row r="9896" ht="30" customHeight="1"/>
    <row r="9897" ht="30" customHeight="1"/>
    <row r="9898" ht="30" customHeight="1"/>
    <row r="9899" ht="30" customHeight="1"/>
    <row r="9900" ht="30" customHeight="1"/>
    <row r="9901" ht="30" customHeight="1"/>
    <row r="9902" ht="30" customHeight="1"/>
    <row r="9903" ht="30" customHeight="1"/>
    <row r="9904" ht="30" customHeight="1"/>
    <row r="9905" ht="30" customHeight="1"/>
    <row r="9906" ht="30" customHeight="1"/>
    <row r="9907" ht="30" customHeight="1"/>
    <row r="9908" ht="30" customHeight="1"/>
    <row r="9909" ht="30" customHeight="1"/>
    <row r="9910" ht="30" customHeight="1"/>
    <row r="9911" ht="30" customHeight="1"/>
    <row r="9912" ht="30" customHeight="1"/>
    <row r="9913" ht="30" customHeight="1"/>
    <row r="9914" ht="30" customHeight="1"/>
    <row r="9915" ht="30" customHeight="1"/>
    <row r="9916" ht="30" customHeight="1"/>
    <row r="9917" ht="30" customHeight="1"/>
    <row r="9918" ht="30" customHeight="1"/>
    <row r="9919" ht="30" customHeight="1"/>
    <row r="9920" ht="30" customHeight="1"/>
    <row r="9921" ht="30" customHeight="1"/>
    <row r="9922" ht="30" customHeight="1"/>
    <row r="9923" ht="30" customHeight="1"/>
    <row r="9924" ht="30" customHeight="1"/>
    <row r="9925" ht="30" customHeight="1"/>
    <row r="9926" ht="30" customHeight="1"/>
    <row r="9927" ht="30" customHeight="1"/>
    <row r="9928" ht="30" customHeight="1"/>
    <row r="9929" ht="30" customHeight="1"/>
    <row r="9930" ht="30" customHeight="1"/>
    <row r="9931" ht="30" customHeight="1"/>
    <row r="9932" ht="30" customHeight="1"/>
    <row r="9933" ht="30" customHeight="1"/>
    <row r="9934" ht="30" customHeight="1"/>
    <row r="9935" ht="30" customHeight="1"/>
    <row r="9936" ht="30" customHeight="1"/>
    <row r="9937" ht="30" customHeight="1"/>
    <row r="9938" ht="30" customHeight="1"/>
    <row r="9939" ht="30" customHeight="1"/>
    <row r="9940" ht="30" customHeight="1"/>
    <row r="9941" ht="30" customHeight="1"/>
    <row r="9942" ht="30" customHeight="1"/>
    <row r="9943" ht="30" customHeight="1"/>
    <row r="9944" ht="30" customHeight="1"/>
    <row r="9945" ht="30" customHeight="1"/>
    <row r="9946" ht="30" customHeight="1"/>
    <row r="9947" ht="30" customHeight="1"/>
    <row r="9948" ht="30" customHeight="1"/>
    <row r="9949" ht="30" customHeight="1"/>
    <row r="9950" ht="30" customHeight="1"/>
    <row r="9951" ht="30" customHeight="1"/>
    <row r="9952" ht="30" customHeight="1"/>
    <row r="9953" ht="30" customHeight="1"/>
    <row r="9954" ht="30" customHeight="1"/>
    <row r="9955" ht="30" customHeight="1"/>
    <row r="9956" ht="30" customHeight="1"/>
    <row r="9957" ht="30" customHeight="1"/>
    <row r="9958" ht="30" customHeight="1"/>
    <row r="9959" ht="30" customHeight="1"/>
    <row r="9960" ht="30" customHeight="1"/>
    <row r="9961" ht="30" customHeight="1"/>
    <row r="9962" ht="30" customHeight="1"/>
    <row r="9963" ht="30" customHeight="1"/>
    <row r="9964" ht="30" customHeight="1"/>
    <row r="9965" ht="30" customHeight="1"/>
    <row r="9966" ht="30" customHeight="1"/>
    <row r="9967" ht="30" customHeight="1"/>
    <row r="9968" ht="30" customHeight="1"/>
    <row r="9969" ht="30" customHeight="1"/>
    <row r="9970" ht="30" customHeight="1"/>
    <row r="9971" ht="30" customHeight="1"/>
    <row r="9972" ht="30" customHeight="1"/>
    <row r="9973" ht="30" customHeight="1"/>
    <row r="9974" ht="30" customHeight="1"/>
    <row r="9975" ht="30" customHeight="1"/>
    <row r="9976" ht="30" customHeight="1"/>
    <row r="9977" ht="30" customHeight="1"/>
    <row r="9978" ht="30" customHeight="1"/>
    <row r="9979" ht="30" customHeight="1"/>
    <row r="9980" ht="30" customHeight="1"/>
    <row r="9981" ht="30" customHeight="1"/>
    <row r="9982" ht="30" customHeight="1"/>
    <row r="9983" ht="30" customHeight="1"/>
    <row r="9984" ht="30" customHeight="1"/>
    <row r="9985" ht="30" customHeight="1"/>
    <row r="9986" ht="30" customHeight="1"/>
    <row r="9987" ht="30" customHeight="1"/>
    <row r="9988" ht="30" customHeight="1"/>
    <row r="9989" ht="30" customHeight="1"/>
    <row r="9990" ht="30" customHeight="1"/>
    <row r="9991" ht="30" customHeight="1"/>
    <row r="9992" ht="30" customHeight="1"/>
    <row r="9993" ht="30" customHeight="1"/>
    <row r="9994" ht="30" customHeight="1"/>
    <row r="9995" ht="30" customHeight="1"/>
    <row r="9996" ht="30" customHeight="1"/>
    <row r="9997" ht="30" customHeight="1"/>
    <row r="9998" ht="30" customHeight="1"/>
    <row r="9999" ht="30" customHeight="1"/>
    <row r="10000" ht="30" customHeight="1"/>
    <row r="10001" ht="30" customHeight="1"/>
    <row r="10002" ht="30" customHeight="1"/>
    <row r="10003" ht="30" customHeight="1"/>
    <row r="10004" ht="30" customHeight="1"/>
    <row r="10005" ht="30" customHeight="1"/>
    <row r="10006" ht="30" customHeight="1"/>
    <row r="10007" ht="30" customHeight="1"/>
    <row r="10008" ht="30" customHeight="1"/>
    <row r="10009" ht="30" customHeight="1"/>
    <row r="10010" ht="30" customHeight="1"/>
    <row r="10011" ht="30" customHeight="1"/>
    <row r="10012" ht="30" customHeight="1"/>
    <row r="10013" ht="30" customHeight="1"/>
    <row r="10014" ht="30" customHeight="1"/>
    <row r="10015" ht="30" customHeight="1"/>
    <row r="10016" ht="30" customHeight="1"/>
    <row r="10017" ht="30" customHeight="1"/>
    <row r="10018" ht="30" customHeight="1"/>
    <row r="10019" ht="30" customHeight="1"/>
    <row r="10020" ht="30" customHeight="1"/>
    <row r="10021" ht="30" customHeight="1"/>
    <row r="10022" ht="30" customHeight="1"/>
    <row r="10023" ht="30" customHeight="1"/>
    <row r="10024" ht="30" customHeight="1"/>
    <row r="10025" ht="30" customHeight="1"/>
    <row r="10026" ht="30" customHeight="1"/>
    <row r="10027" ht="30" customHeight="1"/>
    <row r="10028" ht="30" customHeight="1"/>
    <row r="10029" ht="30" customHeight="1"/>
    <row r="10030" ht="30" customHeight="1"/>
    <row r="10031" ht="30" customHeight="1"/>
    <row r="10032" ht="30" customHeight="1"/>
    <row r="10033" ht="30" customHeight="1"/>
    <row r="10034" ht="30" customHeight="1"/>
    <row r="10035" ht="30" customHeight="1"/>
    <row r="10036" ht="30" customHeight="1"/>
    <row r="10037" ht="30" customHeight="1"/>
    <row r="10038" ht="30" customHeight="1"/>
    <row r="10039" ht="30" customHeight="1"/>
    <row r="10040" ht="30" customHeight="1"/>
    <row r="10041" ht="30" customHeight="1"/>
    <row r="10042" ht="30" customHeight="1"/>
    <row r="10043" ht="30" customHeight="1"/>
    <row r="10044" ht="30" customHeight="1"/>
    <row r="10045" ht="30" customHeight="1"/>
    <row r="10046" ht="30" customHeight="1"/>
    <row r="10047" ht="30" customHeight="1"/>
    <row r="10048" ht="30" customHeight="1"/>
    <row r="10049" ht="30" customHeight="1"/>
    <row r="10050" ht="30" customHeight="1"/>
    <row r="10051" ht="30" customHeight="1"/>
    <row r="10052" ht="30" customHeight="1"/>
    <row r="10053" ht="30" customHeight="1"/>
    <row r="10054" ht="30" customHeight="1"/>
    <row r="10055" ht="30" customHeight="1"/>
    <row r="10056" ht="30" customHeight="1"/>
    <row r="10057" ht="30" customHeight="1"/>
    <row r="10058" ht="30" customHeight="1"/>
    <row r="10059" ht="30" customHeight="1"/>
    <row r="10060" ht="30" customHeight="1"/>
    <row r="10061" ht="30" customHeight="1"/>
    <row r="10062" ht="30" customHeight="1"/>
    <row r="10063" ht="30" customHeight="1"/>
    <row r="10064" ht="30" customHeight="1"/>
    <row r="10065" ht="30" customHeight="1"/>
    <row r="10066" ht="30" customHeight="1"/>
    <row r="10067" ht="30" customHeight="1"/>
    <row r="10068" ht="30" customHeight="1"/>
    <row r="10069" ht="30" customHeight="1"/>
    <row r="10070" ht="30" customHeight="1"/>
    <row r="10071" ht="30" customHeight="1"/>
    <row r="10072" ht="30" customHeight="1"/>
    <row r="10073" ht="30" customHeight="1"/>
    <row r="10074" ht="30" customHeight="1"/>
    <row r="10075" ht="30" customHeight="1"/>
    <row r="10076" ht="30" customHeight="1"/>
    <row r="10077" ht="30" customHeight="1"/>
    <row r="10078" ht="30" customHeight="1"/>
    <row r="10079" ht="30" customHeight="1"/>
    <row r="10080" ht="30" customHeight="1"/>
    <row r="10081" ht="30" customHeight="1"/>
    <row r="10082" ht="30" customHeight="1"/>
    <row r="10083" ht="30" customHeight="1"/>
    <row r="10084" ht="30" customHeight="1"/>
    <row r="10085" ht="30" customHeight="1"/>
    <row r="10086" ht="30" customHeight="1"/>
    <row r="10087" ht="30" customHeight="1"/>
    <row r="10088" ht="30" customHeight="1"/>
    <row r="10089" ht="30" customHeight="1"/>
    <row r="10090" ht="30" customHeight="1"/>
    <row r="10091" ht="30" customHeight="1"/>
    <row r="10092" ht="30" customHeight="1"/>
    <row r="10093" ht="30" customHeight="1"/>
    <row r="10094" ht="30" customHeight="1"/>
    <row r="10095" ht="30" customHeight="1"/>
    <row r="10096" ht="30" customHeight="1"/>
    <row r="10097" ht="30" customHeight="1"/>
    <row r="10098" ht="30" customHeight="1"/>
    <row r="10099" ht="30" customHeight="1"/>
    <row r="10100" ht="30" customHeight="1"/>
    <row r="10101" ht="30" customHeight="1"/>
    <row r="10102" ht="30" customHeight="1"/>
    <row r="10103" ht="30" customHeight="1"/>
    <row r="10104" ht="30" customHeight="1"/>
    <row r="10105" ht="30" customHeight="1"/>
    <row r="10106" ht="30" customHeight="1"/>
    <row r="10107" ht="30" customHeight="1"/>
    <row r="10108" ht="30" customHeight="1"/>
    <row r="10109" ht="30" customHeight="1"/>
    <row r="10110" ht="30" customHeight="1"/>
    <row r="10111" ht="30" customHeight="1"/>
    <row r="10112" ht="30" customHeight="1"/>
    <row r="10113" ht="30" customHeight="1"/>
    <row r="10114" ht="30" customHeight="1"/>
    <row r="10115" ht="30" customHeight="1"/>
    <row r="10116" ht="30" customHeight="1"/>
    <row r="10117" ht="30" customHeight="1"/>
    <row r="10118" ht="30" customHeight="1"/>
    <row r="10119" ht="30" customHeight="1"/>
    <row r="10120" ht="30" customHeight="1"/>
    <row r="10121" ht="30" customHeight="1"/>
    <row r="10122" ht="30" customHeight="1"/>
    <row r="10123" ht="30" customHeight="1"/>
    <row r="10124" ht="30" customHeight="1"/>
    <row r="10125" ht="30" customHeight="1"/>
    <row r="10126" ht="30" customHeight="1"/>
    <row r="10127" ht="30" customHeight="1"/>
    <row r="10128" ht="30" customHeight="1"/>
    <row r="10129" ht="30" customHeight="1"/>
    <row r="10130" ht="30" customHeight="1"/>
    <row r="10131" ht="30" customHeight="1"/>
    <row r="10132" ht="30" customHeight="1"/>
    <row r="10133" ht="30" customHeight="1"/>
    <row r="10134" ht="30" customHeight="1"/>
    <row r="10135" ht="30" customHeight="1"/>
    <row r="10136" ht="30" customHeight="1"/>
    <row r="10137" ht="30" customHeight="1"/>
    <row r="10138" ht="30" customHeight="1"/>
    <row r="10139" ht="30" customHeight="1"/>
    <row r="10140" ht="30" customHeight="1"/>
    <row r="10141" ht="30" customHeight="1"/>
    <row r="10142" ht="30" customHeight="1"/>
    <row r="10143" ht="30" customHeight="1"/>
    <row r="10144" ht="30" customHeight="1"/>
    <row r="10145" ht="30" customHeight="1"/>
    <row r="10146" ht="30" customHeight="1"/>
    <row r="10147" ht="30" customHeight="1"/>
    <row r="10148" ht="30" customHeight="1"/>
    <row r="10149" ht="30" customHeight="1"/>
    <row r="10150" ht="30" customHeight="1"/>
    <row r="10151" ht="30" customHeight="1"/>
    <row r="10152" ht="30" customHeight="1"/>
    <row r="10153" ht="30" customHeight="1"/>
    <row r="10154" ht="30" customHeight="1"/>
    <row r="10155" ht="30" customHeight="1"/>
    <row r="10156" ht="30" customHeight="1"/>
    <row r="10157" ht="30" customHeight="1"/>
    <row r="10158" ht="30" customHeight="1"/>
    <row r="10159" ht="30" customHeight="1"/>
    <row r="10160" ht="30" customHeight="1"/>
    <row r="10161" ht="30" customHeight="1"/>
    <row r="10162" ht="30" customHeight="1"/>
    <row r="10163" ht="30" customHeight="1"/>
    <row r="10164" ht="30" customHeight="1"/>
    <row r="10165" ht="30" customHeight="1"/>
    <row r="10166" ht="30" customHeight="1"/>
    <row r="10167" ht="30" customHeight="1"/>
    <row r="10168" ht="30" customHeight="1"/>
    <row r="10169" ht="30" customHeight="1"/>
    <row r="10170" ht="30" customHeight="1"/>
    <row r="10171" ht="30" customHeight="1"/>
    <row r="10172" ht="30" customHeight="1"/>
    <row r="10173" ht="30" customHeight="1"/>
    <row r="10174" ht="30" customHeight="1"/>
    <row r="10175" ht="30" customHeight="1"/>
    <row r="10176" ht="30" customHeight="1"/>
    <row r="10177" ht="30" customHeight="1"/>
    <row r="10178" ht="30" customHeight="1"/>
    <row r="10179" ht="30" customHeight="1"/>
    <row r="10180" ht="30" customHeight="1"/>
    <row r="10181" ht="30" customHeight="1"/>
    <row r="10182" ht="30" customHeight="1"/>
    <row r="10183" ht="30" customHeight="1"/>
    <row r="10184" ht="30" customHeight="1"/>
    <row r="10185" ht="30" customHeight="1"/>
    <row r="10186" ht="30" customHeight="1"/>
    <row r="10187" ht="30" customHeight="1"/>
    <row r="10188" ht="30" customHeight="1"/>
    <row r="10189" ht="30" customHeight="1"/>
    <row r="10190" ht="30" customHeight="1"/>
    <row r="10191" ht="30" customHeight="1"/>
    <row r="10192" ht="30" customHeight="1"/>
    <row r="10193" ht="30" customHeight="1"/>
    <row r="10194" ht="30" customHeight="1"/>
    <row r="10195" ht="30" customHeight="1"/>
    <row r="10196" ht="30" customHeight="1"/>
    <row r="10197" ht="30" customHeight="1"/>
    <row r="10198" ht="30" customHeight="1"/>
    <row r="10199" ht="30" customHeight="1"/>
    <row r="10200" ht="30" customHeight="1"/>
    <row r="10201" ht="30" customHeight="1"/>
    <row r="10202" ht="30" customHeight="1"/>
    <row r="10203" ht="30" customHeight="1"/>
    <row r="10204" ht="30" customHeight="1"/>
    <row r="10205" ht="30" customHeight="1"/>
    <row r="10206" ht="30" customHeight="1"/>
    <row r="10207" ht="30" customHeight="1"/>
    <row r="10208" ht="30" customHeight="1"/>
    <row r="10209" ht="30" customHeight="1"/>
    <row r="10210" ht="30" customHeight="1"/>
    <row r="10211" ht="30" customHeight="1"/>
    <row r="10212" ht="30" customHeight="1"/>
    <row r="10213" ht="30" customHeight="1"/>
    <row r="10214" ht="30" customHeight="1"/>
    <row r="10215" ht="30" customHeight="1"/>
    <row r="10216" ht="30" customHeight="1"/>
    <row r="10217" ht="30" customHeight="1"/>
    <row r="10218" ht="30" customHeight="1"/>
    <row r="10219" ht="30" customHeight="1"/>
    <row r="10220" ht="30" customHeight="1"/>
    <row r="10221" ht="30" customHeight="1"/>
    <row r="10222" ht="30" customHeight="1"/>
    <row r="10223" ht="30" customHeight="1"/>
    <row r="10224" ht="30" customHeight="1"/>
    <row r="10225" ht="30" customHeight="1"/>
    <row r="10226" ht="30" customHeight="1"/>
    <row r="10227" ht="30" customHeight="1"/>
    <row r="10228" ht="30" customHeight="1"/>
    <row r="10229" ht="30" customHeight="1"/>
    <row r="10230" ht="30" customHeight="1"/>
    <row r="10231" ht="30" customHeight="1"/>
    <row r="10232" ht="30" customHeight="1"/>
    <row r="10233" ht="30" customHeight="1"/>
    <row r="10234" ht="30" customHeight="1"/>
    <row r="10235" ht="30" customHeight="1"/>
    <row r="10236" ht="30" customHeight="1"/>
    <row r="10237" ht="30" customHeight="1"/>
    <row r="10238" ht="30" customHeight="1"/>
    <row r="10239" ht="30" customHeight="1"/>
    <row r="10240" ht="30" customHeight="1"/>
    <row r="10241" ht="30" customHeight="1"/>
    <row r="10242" ht="30" customHeight="1"/>
    <row r="10243" ht="30" customHeight="1"/>
    <row r="10244" ht="30" customHeight="1"/>
    <row r="10245" ht="30" customHeight="1"/>
    <row r="10246" ht="30" customHeight="1"/>
    <row r="10247" ht="30" customHeight="1"/>
    <row r="10248" ht="30" customHeight="1"/>
    <row r="10249" ht="30" customHeight="1"/>
    <row r="10250" ht="30" customHeight="1"/>
    <row r="10251" ht="30" customHeight="1"/>
    <row r="10252" ht="30" customHeight="1"/>
    <row r="10253" ht="30" customHeight="1"/>
    <row r="10254" ht="30" customHeight="1"/>
    <row r="10255" ht="30" customHeight="1"/>
    <row r="10256" ht="30" customHeight="1"/>
    <row r="10257" ht="30" customHeight="1"/>
    <row r="10258" ht="30" customHeight="1"/>
    <row r="10259" ht="30" customHeight="1"/>
    <row r="10260" ht="30" customHeight="1"/>
    <row r="10261" ht="30" customHeight="1"/>
    <row r="10262" ht="30" customHeight="1"/>
    <row r="10263" ht="30" customHeight="1"/>
    <row r="10264" ht="30" customHeight="1"/>
    <row r="10265" ht="30" customHeight="1"/>
    <row r="10266" ht="30" customHeight="1"/>
    <row r="10267" ht="30" customHeight="1"/>
    <row r="10268" ht="30" customHeight="1"/>
    <row r="10269" ht="30" customHeight="1"/>
    <row r="10270" ht="30" customHeight="1"/>
    <row r="10271" ht="30" customHeight="1"/>
    <row r="10272" ht="30" customHeight="1"/>
    <row r="10273" ht="30" customHeight="1"/>
    <row r="10274" ht="30" customHeight="1"/>
    <row r="10275" ht="30" customHeight="1"/>
    <row r="10276" ht="30" customHeight="1"/>
    <row r="10277" ht="30" customHeight="1"/>
    <row r="10278" ht="30" customHeight="1"/>
    <row r="10279" ht="30" customHeight="1"/>
    <row r="10280" ht="30" customHeight="1"/>
    <row r="10281" ht="30" customHeight="1"/>
    <row r="10282" ht="30" customHeight="1"/>
    <row r="10283" ht="30" customHeight="1"/>
    <row r="10284" ht="30" customHeight="1"/>
    <row r="10285" ht="30" customHeight="1"/>
    <row r="10286" ht="30" customHeight="1"/>
    <row r="10287" ht="30" customHeight="1"/>
    <row r="10288" ht="30" customHeight="1"/>
    <row r="10289" ht="30" customHeight="1"/>
    <row r="10290" ht="30" customHeight="1"/>
    <row r="10291" ht="30" customHeight="1"/>
    <row r="10292" ht="30" customHeight="1"/>
    <row r="10293" ht="30" customHeight="1"/>
    <row r="10294" ht="30" customHeight="1"/>
    <row r="10295" ht="30" customHeight="1"/>
    <row r="10296" ht="30" customHeight="1"/>
    <row r="10297" ht="30" customHeight="1"/>
    <row r="10298" ht="30" customHeight="1"/>
    <row r="10299" ht="30" customHeight="1"/>
    <row r="10300" ht="30" customHeight="1"/>
    <row r="10301" ht="30" customHeight="1"/>
    <row r="10302" ht="30" customHeight="1"/>
    <row r="10303" ht="30" customHeight="1"/>
    <row r="10304" ht="30" customHeight="1"/>
    <row r="10305" ht="30" customHeight="1"/>
    <row r="10306" ht="30" customHeight="1"/>
    <row r="10307" ht="30" customHeight="1"/>
    <row r="10308" ht="30" customHeight="1"/>
    <row r="10309" ht="30" customHeight="1"/>
    <row r="10310" ht="30" customHeight="1"/>
    <row r="10311" ht="30" customHeight="1"/>
    <row r="10312" ht="30" customHeight="1"/>
    <row r="10313" ht="30" customHeight="1"/>
    <row r="10314" ht="30" customHeight="1"/>
    <row r="10315" ht="30" customHeight="1"/>
    <row r="10316" ht="30" customHeight="1"/>
    <row r="10317" ht="30" customHeight="1"/>
    <row r="10318" ht="30" customHeight="1"/>
    <row r="10319" ht="30" customHeight="1"/>
    <row r="10320" ht="30" customHeight="1"/>
    <row r="10321" ht="30" customHeight="1"/>
    <row r="10322" ht="30" customHeight="1"/>
    <row r="10323" ht="30" customHeight="1"/>
    <row r="10324" ht="30" customHeight="1"/>
    <row r="10325" ht="30" customHeight="1"/>
    <row r="10326" ht="30" customHeight="1"/>
    <row r="10327" ht="30" customHeight="1"/>
    <row r="10328" ht="30" customHeight="1"/>
    <row r="10329" ht="30" customHeight="1"/>
    <row r="10330" ht="30" customHeight="1"/>
    <row r="10331" ht="30" customHeight="1"/>
    <row r="10332" ht="30" customHeight="1"/>
    <row r="10333" ht="30" customHeight="1"/>
    <row r="10334" ht="30" customHeight="1"/>
    <row r="10335" ht="30" customHeight="1"/>
    <row r="10336" ht="30" customHeight="1"/>
    <row r="10337" ht="30" customHeight="1"/>
    <row r="10338" ht="30" customHeight="1"/>
    <row r="10339" ht="30" customHeight="1"/>
    <row r="10340" ht="30" customHeight="1"/>
    <row r="10341" ht="30" customHeight="1"/>
    <row r="10342" ht="30" customHeight="1"/>
    <row r="10343" ht="30" customHeight="1"/>
    <row r="10344" ht="30" customHeight="1"/>
    <row r="10345" ht="30" customHeight="1"/>
    <row r="10346" ht="30" customHeight="1"/>
    <row r="10347" ht="30" customHeight="1"/>
    <row r="10348" ht="30" customHeight="1"/>
    <row r="10349" ht="30" customHeight="1"/>
    <row r="10350" ht="30" customHeight="1"/>
    <row r="10351" ht="30" customHeight="1"/>
    <row r="10352" ht="30" customHeight="1"/>
    <row r="10353" ht="30" customHeight="1"/>
    <row r="10354" ht="30" customHeight="1"/>
    <row r="10355" ht="30" customHeight="1"/>
    <row r="10356" ht="30" customHeight="1"/>
    <row r="10357" ht="30" customHeight="1"/>
    <row r="10358" ht="30" customHeight="1"/>
    <row r="10359" ht="30" customHeight="1"/>
    <row r="10360" ht="30" customHeight="1"/>
    <row r="10361" ht="30" customHeight="1"/>
    <row r="10362" ht="30" customHeight="1"/>
    <row r="10363" ht="30" customHeight="1"/>
    <row r="10364" ht="30" customHeight="1"/>
    <row r="10365" ht="30" customHeight="1"/>
    <row r="10366" ht="30" customHeight="1"/>
    <row r="10367" ht="30" customHeight="1"/>
    <row r="10368" ht="30" customHeight="1"/>
    <row r="10369" ht="30" customHeight="1"/>
    <row r="10370" ht="30" customHeight="1"/>
    <row r="10371" ht="30" customHeight="1"/>
    <row r="10372" ht="30" customHeight="1"/>
    <row r="10373" ht="30" customHeight="1"/>
    <row r="10374" ht="30" customHeight="1"/>
    <row r="10375" ht="30" customHeight="1"/>
    <row r="10376" ht="30" customHeight="1"/>
    <row r="10377" ht="30" customHeight="1"/>
    <row r="10378" ht="30" customHeight="1"/>
    <row r="10379" ht="30" customHeight="1"/>
    <row r="10380" ht="30" customHeight="1"/>
    <row r="10381" ht="30" customHeight="1"/>
    <row r="10382" ht="30" customHeight="1"/>
    <row r="10383" ht="30" customHeight="1"/>
    <row r="10384" ht="30" customHeight="1"/>
    <row r="10385" ht="30" customHeight="1"/>
    <row r="10386" ht="30" customHeight="1"/>
    <row r="10387" ht="30" customHeight="1"/>
    <row r="10388" ht="30" customHeight="1"/>
    <row r="10389" ht="30" customHeight="1"/>
    <row r="10390" ht="30" customHeight="1"/>
    <row r="10391" ht="30" customHeight="1"/>
    <row r="10392" ht="30" customHeight="1"/>
    <row r="10393" ht="30" customHeight="1"/>
    <row r="10394" ht="30" customHeight="1"/>
    <row r="10395" ht="30" customHeight="1"/>
    <row r="10396" ht="30" customHeight="1"/>
    <row r="10397" ht="30" customHeight="1"/>
    <row r="10398" ht="30" customHeight="1"/>
    <row r="10399" ht="30" customHeight="1"/>
    <row r="10400" ht="30" customHeight="1"/>
    <row r="10401" ht="30" customHeight="1"/>
    <row r="10402" ht="30" customHeight="1"/>
    <row r="10403" ht="30" customHeight="1"/>
    <row r="10404" ht="30" customHeight="1"/>
    <row r="10405" ht="30" customHeight="1"/>
    <row r="10406" ht="30" customHeight="1"/>
    <row r="10407" ht="30" customHeight="1"/>
    <row r="10408" ht="30" customHeight="1"/>
    <row r="10409" ht="30" customHeight="1"/>
    <row r="10410" ht="30" customHeight="1"/>
    <row r="10411" ht="30" customHeight="1"/>
    <row r="10412" ht="30" customHeight="1"/>
    <row r="10413" ht="30" customHeight="1"/>
    <row r="10414" ht="30" customHeight="1"/>
    <row r="10415" ht="30" customHeight="1"/>
    <row r="10416" ht="30" customHeight="1"/>
    <row r="10417" ht="30" customHeight="1"/>
    <row r="10418" ht="30" customHeight="1"/>
    <row r="10419" ht="30" customHeight="1"/>
    <row r="10420" ht="30" customHeight="1"/>
    <row r="10421" ht="30" customHeight="1"/>
    <row r="10422" ht="30" customHeight="1"/>
    <row r="10423" ht="30" customHeight="1"/>
    <row r="10424" ht="30" customHeight="1"/>
    <row r="10425" ht="30" customHeight="1"/>
    <row r="10426" ht="30" customHeight="1"/>
    <row r="10427" ht="30" customHeight="1"/>
    <row r="10428" ht="30" customHeight="1"/>
    <row r="10429" ht="30" customHeight="1"/>
    <row r="10430" ht="30" customHeight="1"/>
    <row r="10431" ht="30" customHeight="1"/>
    <row r="10432" ht="30" customHeight="1"/>
    <row r="10433" ht="30" customHeight="1"/>
    <row r="10434" ht="30" customHeight="1"/>
    <row r="10435" ht="30" customHeight="1"/>
    <row r="10436" ht="30" customHeight="1"/>
    <row r="10437" ht="30" customHeight="1"/>
    <row r="10438" ht="30" customHeight="1"/>
    <row r="10439" ht="30" customHeight="1"/>
    <row r="10440" ht="30" customHeight="1"/>
    <row r="10441" ht="30" customHeight="1"/>
    <row r="10442" ht="30" customHeight="1"/>
    <row r="10443" ht="30" customHeight="1"/>
    <row r="10444" ht="30" customHeight="1"/>
    <row r="10445" ht="30" customHeight="1"/>
    <row r="10446" ht="30" customHeight="1"/>
    <row r="10447" ht="30" customHeight="1"/>
    <row r="10448" ht="30" customHeight="1"/>
    <row r="10449" ht="30" customHeight="1"/>
    <row r="10450" ht="30" customHeight="1"/>
    <row r="10451" ht="30" customHeight="1"/>
    <row r="10452" ht="30" customHeight="1"/>
    <row r="10453" ht="30" customHeight="1"/>
    <row r="10454" ht="30" customHeight="1"/>
    <row r="10455" ht="30" customHeight="1"/>
    <row r="10456" ht="30" customHeight="1"/>
    <row r="10457" ht="30" customHeight="1"/>
    <row r="10458" ht="30" customHeight="1"/>
    <row r="10459" ht="30" customHeight="1"/>
    <row r="10460" ht="30" customHeight="1"/>
    <row r="10461" ht="30" customHeight="1"/>
    <row r="10462" ht="30" customHeight="1"/>
    <row r="10463" ht="30" customHeight="1"/>
    <row r="10464" ht="30" customHeight="1"/>
    <row r="10465" ht="30" customHeight="1"/>
    <row r="10466" ht="30" customHeight="1"/>
    <row r="10467" ht="30" customHeight="1"/>
    <row r="10468" ht="30" customHeight="1"/>
    <row r="10469" ht="30" customHeight="1"/>
    <row r="10470" ht="30" customHeight="1"/>
    <row r="10471" ht="30" customHeight="1"/>
    <row r="10472" ht="30" customHeight="1"/>
    <row r="10473" ht="30" customHeight="1"/>
    <row r="10474" ht="30" customHeight="1"/>
    <row r="10475" ht="30" customHeight="1"/>
    <row r="10476" ht="30" customHeight="1"/>
    <row r="10477" ht="30" customHeight="1"/>
    <row r="10478" ht="30" customHeight="1"/>
    <row r="10479" ht="30" customHeight="1"/>
    <row r="10480" ht="30" customHeight="1"/>
    <row r="10481" ht="30" customHeight="1"/>
    <row r="10482" ht="30" customHeight="1"/>
    <row r="10483" ht="30" customHeight="1"/>
    <row r="10484" ht="30" customHeight="1"/>
    <row r="10485" ht="30" customHeight="1"/>
    <row r="10486" ht="30" customHeight="1"/>
    <row r="10487" ht="30" customHeight="1"/>
    <row r="10488" ht="30" customHeight="1"/>
    <row r="10489" ht="30" customHeight="1"/>
    <row r="10490" ht="30" customHeight="1"/>
    <row r="10491" ht="30" customHeight="1"/>
    <row r="10492" ht="30" customHeight="1"/>
    <row r="10493" ht="30" customHeight="1"/>
    <row r="10494" ht="30" customHeight="1"/>
    <row r="10495" ht="30" customHeight="1"/>
    <row r="10496" ht="30" customHeight="1"/>
    <row r="10497" ht="30" customHeight="1"/>
    <row r="10498" ht="30" customHeight="1"/>
    <row r="10499" ht="30" customHeight="1"/>
    <row r="10500" ht="30" customHeight="1"/>
    <row r="10501" ht="30" customHeight="1"/>
    <row r="10502" ht="30" customHeight="1"/>
    <row r="10503" ht="30" customHeight="1"/>
    <row r="10504" ht="30" customHeight="1"/>
    <row r="10505" ht="30" customHeight="1"/>
    <row r="10506" ht="30" customHeight="1"/>
    <row r="10507" ht="30" customHeight="1"/>
    <row r="10508" ht="30" customHeight="1"/>
    <row r="10509" ht="30" customHeight="1"/>
    <row r="10510" ht="30" customHeight="1"/>
    <row r="10511" ht="30" customHeight="1"/>
    <row r="10512" ht="30" customHeight="1"/>
    <row r="10513" ht="30" customHeight="1"/>
    <row r="10514" ht="30" customHeight="1"/>
    <row r="10515" ht="30" customHeight="1"/>
    <row r="10516" ht="30" customHeight="1"/>
    <row r="10517" ht="30" customHeight="1"/>
    <row r="10518" ht="30" customHeight="1"/>
    <row r="10519" ht="30" customHeight="1"/>
    <row r="10520" ht="30" customHeight="1"/>
    <row r="10521" ht="30" customHeight="1"/>
    <row r="10522" ht="30" customHeight="1"/>
    <row r="10523" ht="30" customHeight="1"/>
    <row r="10524" ht="30" customHeight="1"/>
    <row r="10525" ht="30" customHeight="1"/>
    <row r="10526" ht="30" customHeight="1"/>
    <row r="10527" ht="30" customHeight="1"/>
    <row r="10528" ht="30" customHeight="1"/>
    <row r="10529" ht="30" customHeight="1"/>
    <row r="10530" ht="30" customHeight="1"/>
    <row r="10531" ht="30" customHeight="1"/>
    <row r="10532" ht="30" customHeight="1"/>
    <row r="10533" ht="30" customHeight="1"/>
    <row r="10534" ht="30" customHeight="1"/>
    <row r="10535" ht="30" customHeight="1"/>
    <row r="10536" ht="30" customHeight="1"/>
    <row r="10537" ht="30" customHeight="1"/>
    <row r="10538" ht="30" customHeight="1"/>
    <row r="10539" ht="30" customHeight="1"/>
    <row r="10540" ht="30" customHeight="1"/>
    <row r="10541" ht="30" customHeight="1"/>
    <row r="10542" ht="30" customHeight="1"/>
    <row r="10543" ht="30" customHeight="1"/>
    <row r="10544" ht="30" customHeight="1"/>
    <row r="10545" ht="30" customHeight="1"/>
    <row r="10546" ht="30" customHeight="1"/>
    <row r="10547" ht="30" customHeight="1"/>
    <row r="10548" ht="30" customHeight="1"/>
    <row r="10549" ht="30" customHeight="1"/>
    <row r="10550" ht="30" customHeight="1"/>
    <row r="10551" ht="30" customHeight="1"/>
    <row r="10552" ht="30" customHeight="1"/>
    <row r="10553" ht="30" customHeight="1"/>
    <row r="10554" ht="30" customHeight="1"/>
    <row r="10555" ht="30" customHeight="1"/>
    <row r="10556" ht="30" customHeight="1"/>
    <row r="10557" ht="30" customHeight="1"/>
    <row r="10558" ht="30" customHeight="1"/>
    <row r="10559" ht="30" customHeight="1"/>
    <row r="10560" ht="30" customHeight="1"/>
    <row r="10561" ht="30" customHeight="1"/>
    <row r="10562" ht="30" customHeight="1"/>
    <row r="10563" ht="30" customHeight="1"/>
    <row r="10564" ht="30" customHeight="1"/>
    <row r="10565" ht="30" customHeight="1"/>
    <row r="10566" ht="30" customHeight="1"/>
    <row r="10567" ht="30" customHeight="1"/>
    <row r="10568" ht="30" customHeight="1"/>
    <row r="10569" ht="30" customHeight="1"/>
    <row r="10570" ht="30" customHeight="1"/>
    <row r="10571" ht="30" customHeight="1"/>
    <row r="10572" ht="30" customHeight="1"/>
    <row r="10573" ht="30" customHeight="1"/>
    <row r="10574" ht="30" customHeight="1"/>
    <row r="10575" ht="30" customHeight="1"/>
    <row r="10576" ht="30" customHeight="1"/>
    <row r="10577" ht="30" customHeight="1"/>
    <row r="10578" ht="30" customHeight="1"/>
    <row r="10579" ht="30" customHeight="1"/>
    <row r="10580" ht="30" customHeight="1"/>
    <row r="10581" ht="30" customHeight="1"/>
    <row r="10582" ht="30" customHeight="1"/>
    <row r="10583" ht="30" customHeight="1"/>
    <row r="10584" ht="30" customHeight="1"/>
    <row r="10585" ht="30" customHeight="1"/>
    <row r="10586" ht="30" customHeight="1"/>
    <row r="10587" ht="30" customHeight="1"/>
    <row r="10588" ht="30" customHeight="1"/>
    <row r="10589" ht="30" customHeight="1"/>
    <row r="10590" ht="30" customHeight="1"/>
    <row r="10591" ht="30" customHeight="1"/>
    <row r="10592" ht="30" customHeight="1"/>
    <row r="10593" ht="30" customHeight="1"/>
    <row r="10594" ht="30" customHeight="1"/>
    <row r="10595" ht="30" customHeight="1"/>
    <row r="10596" ht="30" customHeight="1"/>
    <row r="10597" ht="30" customHeight="1"/>
    <row r="10598" ht="30" customHeight="1"/>
    <row r="10599" ht="30" customHeight="1"/>
    <row r="10600" ht="30" customHeight="1"/>
    <row r="10601" ht="30" customHeight="1"/>
    <row r="10602" ht="30" customHeight="1"/>
    <row r="10603" ht="30" customHeight="1"/>
    <row r="10604" ht="30" customHeight="1"/>
    <row r="10605" ht="30" customHeight="1"/>
    <row r="10606" ht="30" customHeight="1"/>
    <row r="10607" ht="30" customHeight="1"/>
    <row r="10608" ht="30" customHeight="1"/>
    <row r="10609" ht="30" customHeight="1"/>
    <row r="10610" ht="30" customHeight="1"/>
    <row r="10611" ht="30" customHeight="1"/>
    <row r="10612" ht="30" customHeight="1"/>
    <row r="10613" ht="30" customHeight="1"/>
    <row r="10614" ht="30" customHeight="1"/>
    <row r="10615" ht="30" customHeight="1"/>
    <row r="10616" ht="30" customHeight="1"/>
    <row r="10617" ht="30" customHeight="1"/>
    <row r="10618" ht="30" customHeight="1"/>
    <row r="10619" ht="30" customHeight="1"/>
    <row r="10620" ht="30" customHeight="1"/>
    <row r="10621" ht="30" customHeight="1"/>
    <row r="10622" ht="30" customHeight="1"/>
    <row r="10623" ht="30" customHeight="1"/>
    <row r="10624" ht="30" customHeight="1"/>
    <row r="10625" ht="30" customHeight="1"/>
    <row r="10626" ht="30" customHeight="1"/>
    <row r="10627" ht="30" customHeight="1"/>
    <row r="10628" ht="30" customHeight="1"/>
    <row r="10629" ht="30" customHeight="1"/>
    <row r="10630" ht="30" customHeight="1"/>
    <row r="10631" ht="30" customHeight="1"/>
    <row r="10632" ht="30" customHeight="1"/>
    <row r="10633" ht="30" customHeight="1"/>
    <row r="10634" ht="30" customHeight="1"/>
    <row r="10635" ht="30" customHeight="1"/>
    <row r="10636" ht="30" customHeight="1"/>
    <row r="10637" ht="30" customHeight="1"/>
    <row r="10638" ht="30" customHeight="1"/>
    <row r="10639" ht="30" customHeight="1"/>
    <row r="10640" ht="30" customHeight="1"/>
    <row r="10641" ht="30" customHeight="1"/>
    <row r="10642" ht="30" customHeight="1"/>
    <row r="10643" ht="30" customHeight="1"/>
    <row r="10644" ht="30" customHeight="1"/>
    <row r="10645" ht="30" customHeight="1"/>
    <row r="10646" ht="30" customHeight="1"/>
    <row r="10647" ht="30" customHeight="1"/>
    <row r="10648" ht="30" customHeight="1"/>
    <row r="10649" ht="30" customHeight="1"/>
    <row r="10650" ht="30" customHeight="1"/>
    <row r="10651" ht="30" customHeight="1"/>
    <row r="10652" ht="30" customHeight="1"/>
    <row r="10653" ht="30" customHeight="1"/>
    <row r="10654" ht="30" customHeight="1"/>
    <row r="10655" ht="30" customHeight="1"/>
    <row r="10656" ht="30" customHeight="1"/>
    <row r="10657" ht="30" customHeight="1"/>
    <row r="10658" ht="30" customHeight="1"/>
    <row r="10659" ht="30" customHeight="1"/>
    <row r="10660" ht="30" customHeight="1"/>
    <row r="10661" ht="30" customHeight="1"/>
    <row r="10662" ht="30" customHeight="1"/>
    <row r="10663" ht="30" customHeight="1"/>
    <row r="10664" ht="30" customHeight="1"/>
    <row r="10665" ht="30" customHeight="1"/>
    <row r="10666" ht="30" customHeight="1"/>
    <row r="10667" ht="30" customHeight="1"/>
    <row r="10668" ht="30" customHeight="1"/>
    <row r="10669" ht="30" customHeight="1"/>
    <row r="10670" ht="30" customHeight="1"/>
    <row r="10671" ht="30" customHeight="1"/>
    <row r="10672" ht="30" customHeight="1"/>
    <row r="10673" ht="30" customHeight="1"/>
    <row r="10674" ht="30" customHeight="1"/>
    <row r="10675" ht="30" customHeight="1"/>
    <row r="10676" ht="30" customHeight="1"/>
    <row r="10677" ht="30" customHeight="1"/>
    <row r="10678" ht="30" customHeight="1"/>
    <row r="10679" ht="30" customHeight="1"/>
    <row r="10680" ht="30" customHeight="1"/>
    <row r="10681" ht="30" customHeight="1"/>
    <row r="10682" ht="30" customHeight="1"/>
    <row r="10683" ht="30" customHeight="1"/>
    <row r="10684" ht="30" customHeight="1"/>
    <row r="10685" ht="30" customHeight="1"/>
    <row r="10686" ht="30" customHeight="1"/>
    <row r="10687" ht="30" customHeight="1"/>
    <row r="10688" ht="30" customHeight="1"/>
    <row r="10689" ht="30" customHeight="1"/>
    <row r="10690" ht="30" customHeight="1"/>
    <row r="10691" ht="30" customHeight="1"/>
    <row r="10692" ht="30" customHeight="1"/>
    <row r="10693" ht="30" customHeight="1"/>
    <row r="10694" ht="30" customHeight="1"/>
    <row r="10695" ht="30" customHeight="1"/>
    <row r="10696" ht="30" customHeight="1"/>
    <row r="10697" ht="30" customHeight="1"/>
    <row r="10698" ht="30" customHeight="1"/>
    <row r="10699" ht="30" customHeight="1"/>
    <row r="10700" ht="30" customHeight="1"/>
    <row r="10701" ht="30" customHeight="1"/>
    <row r="10702" ht="30" customHeight="1"/>
    <row r="10703" ht="30" customHeight="1"/>
    <row r="10704" ht="30" customHeight="1"/>
    <row r="10705" ht="30" customHeight="1"/>
    <row r="10706" ht="30" customHeight="1"/>
    <row r="10707" ht="30" customHeight="1"/>
    <row r="10708" ht="30" customHeight="1"/>
    <row r="10709" ht="30" customHeight="1"/>
    <row r="10710" ht="30" customHeight="1"/>
    <row r="10711" ht="30" customHeight="1"/>
    <row r="10712" ht="30" customHeight="1"/>
    <row r="10713" ht="30" customHeight="1"/>
    <row r="10714" ht="30" customHeight="1"/>
    <row r="10715" ht="30" customHeight="1"/>
    <row r="10716" ht="30" customHeight="1"/>
    <row r="10717" ht="30" customHeight="1"/>
    <row r="10718" ht="30" customHeight="1"/>
    <row r="10719" ht="30" customHeight="1"/>
    <row r="10720" ht="30" customHeight="1"/>
    <row r="10721" ht="30" customHeight="1"/>
    <row r="10722" ht="30" customHeight="1"/>
    <row r="10723" ht="30" customHeight="1"/>
    <row r="10724" ht="30" customHeight="1"/>
    <row r="10725" ht="30" customHeight="1"/>
    <row r="10726" ht="30" customHeight="1"/>
    <row r="10727" ht="30" customHeight="1"/>
    <row r="10728" ht="30" customHeight="1"/>
    <row r="10729" ht="30" customHeight="1"/>
    <row r="10730" ht="30" customHeight="1"/>
    <row r="10731" ht="30" customHeight="1"/>
    <row r="10732" ht="30" customHeight="1"/>
    <row r="10733" ht="30" customHeight="1"/>
    <row r="10734" ht="30" customHeight="1"/>
    <row r="10735" ht="30" customHeight="1"/>
    <row r="10736" ht="30" customHeight="1"/>
    <row r="10737" ht="30" customHeight="1"/>
    <row r="10738" ht="30" customHeight="1"/>
    <row r="10739" ht="30" customHeight="1"/>
    <row r="10740" ht="30" customHeight="1"/>
    <row r="10741" ht="30" customHeight="1"/>
    <row r="10742" ht="30" customHeight="1"/>
    <row r="10743" ht="30" customHeight="1"/>
    <row r="10744" ht="30" customHeight="1"/>
    <row r="10745" ht="30" customHeight="1"/>
    <row r="10746" ht="30" customHeight="1"/>
    <row r="10747" ht="30" customHeight="1"/>
    <row r="10748" ht="30" customHeight="1"/>
    <row r="10749" ht="30" customHeight="1"/>
    <row r="10750" ht="30" customHeight="1"/>
    <row r="10751" ht="30" customHeight="1"/>
    <row r="10752" ht="30" customHeight="1"/>
    <row r="10753" ht="30" customHeight="1"/>
    <row r="10754" ht="30" customHeight="1"/>
    <row r="10755" ht="30" customHeight="1"/>
    <row r="10756" ht="30" customHeight="1"/>
    <row r="10757" ht="30" customHeight="1"/>
    <row r="10758" ht="30" customHeight="1"/>
    <row r="10759" ht="30" customHeight="1"/>
    <row r="10760" ht="30" customHeight="1"/>
    <row r="10761" ht="30" customHeight="1"/>
    <row r="10762" ht="30" customHeight="1"/>
    <row r="10763" ht="30" customHeight="1"/>
    <row r="10764" ht="30" customHeight="1"/>
    <row r="10765" ht="30" customHeight="1"/>
    <row r="10766" ht="30" customHeight="1"/>
    <row r="10767" ht="30" customHeight="1"/>
    <row r="10768" ht="30" customHeight="1"/>
    <row r="10769" ht="30" customHeight="1"/>
    <row r="10770" ht="30" customHeight="1"/>
    <row r="10771" ht="30" customHeight="1"/>
    <row r="10772" ht="30" customHeight="1"/>
    <row r="10773" ht="30" customHeight="1"/>
    <row r="10774" ht="30" customHeight="1"/>
    <row r="10775" ht="30" customHeight="1"/>
    <row r="10776" ht="30" customHeight="1"/>
    <row r="10777" ht="30" customHeight="1"/>
    <row r="10778" ht="30" customHeight="1"/>
    <row r="10779" ht="30" customHeight="1"/>
    <row r="10780" ht="30" customHeight="1"/>
    <row r="10781" ht="30" customHeight="1"/>
    <row r="10782" ht="30" customHeight="1"/>
    <row r="10783" ht="30" customHeight="1"/>
    <row r="10784" ht="30" customHeight="1"/>
    <row r="10785" ht="30" customHeight="1"/>
    <row r="10786" ht="30" customHeight="1"/>
    <row r="10787" ht="30" customHeight="1"/>
    <row r="10788" ht="30" customHeight="1"/>
    <row r="10789" ht="30" customHeight="1"/>
    <row r="10790" ht="30" customHeight="1"/>
    <row r="10791" ht="30" customHeight="1"/>
    <row r="10792" ht="30" customHeight="1"/>
    <row r="10793" ht="30" customHeight="1"/>
    <row r="10794" ht="30" customHeight="1"/>
    <row r="10795" ht="30" customHeight="1"/>
    <row r="10796" ht="30" customHeight="1"/>
    <row r="10797" ht="30" customHeight="1"/>
    <row r="10798" ht="30" customHeight="1"/>
    <row r="10799" ht="30" customHeight="1"/>
    <row r="10800" ht="30" customHeight="1"/>
    <row r="10801" ht="30" customHeight="1"/>
    <row r="10802" ht="30" customHeight="1"/>
    <row r="10803" ht="30" customHeight="1"/>
    <row r="10804" ht="30" customHeight="1"/>
    <row r="10805" ht="30" customHeight="1"/>
    <row r="10806" ht="30" customHeight="1"/>
    <row r="10807" ht="30" customHeight="1"/>
    <row r="10808" ht="30" customHeight="1"/>
    <row r="10809" ht="30" customHeight="1"/>
    <row r="10810" ht="30" customHeight="1"/>
    <row r="10811" ht="30" customHeight="1"/>
    <row r="10812" ht="30" customHeight="1"/>
    <row r="10813" ht="30" customHeight="1"/>
    <row r="10814" ht="30" customHeight="1"/>
    <row r="10815" ht="30" customHeight="1"/>
    <row r="10816" ht="30" customHeight="1"/>
    <row r="10817" ht="30" customHeight="1"/>
    <row r="10818" ht="30" customHeight="1"/>
    <row r="10819" ht="30" customHeight="1"/>
    <row r="10820" ht="30" customHeight="1"/>
    <row r="10821" ht="30" customHeight="1"/>
    <row r="10822" ht="30" customHeight="1"/>
    <row r="10823" ht="30" customHeight="1"/>
    <row r="10824" ht="30" customHeight="1"/>
    <row r="10825" ht="30" customHeight="1"/>
    <row r="10826" ht="30" customHeight="1"/>
    <row r="10827" ht="30" customHeight="1"/>
    <row r="10828" ht="30" customHeight="1"/>
    <row r="10829" ht="30" customHeight="1"/>
    <row r="10830" ht="30" customHeight="1"/>
    <row r="10831" ht="30" customHeight="1"/>
    <row r="10832" ht="30" customHeight="1"/>
    <row r="10833" ht="30" customHeight="1"/>
    <row r="10834" ht="30" customHeight="1"/>
    <row r="10835" ht="30" customHeight="1"/>
    <row r="10836" ht="30" customHeight="1"/>
    <row r="10837" ht="30" customHeight="1"/>
    <row r="10838" ht="30" customHeight="1"/>
    <row r="10839" ht="30" customHeight="1"/>
    <row r="10840" ht="30" customHeight="1"/>
    <row r="10841" ht="30" customHeight="1"/>
    <row r="10842" ht="30" customHeight="1"/>
    <row r="10843" ht="30" customHeight="1"/>
    <row r="10844" ht="30" customHeight="1"/>
    <row r="10845" ht="30" customHeight="1"/>
    <row r="10846" ht="30" customHeight="1"/>
    <row r="10847" ht="30" customHeight="1"/>
    <row r="10848" ht="30" customHeight="1"/>
    <row r="10849" ht="30" customHeight="1"/>
    <row r="10850" ht="30" customHeight="1"/>
    <row r="10851" ht="30" customHeight="1"/>
    <row r="10852" ht="30" customHeight="1"/>
    <row r="10853" ht="30" customHeight="1"/>
    <row r="10854" ht="30" customHeight="1"/>
    <row r="10855" ht="30" customHeight="1"/>
    <row r="10856" ht="30" customHeight="1"/>
    <row r="10857" ht="30" customHeight="1"/>
    <row r="10858" ht="30" customHeight="1"/>
    <row r="10859" ht="30" customHeight="1"/>
    <row r="10860" ht="30" customHeight="1"/>
    <row r="10861" ht="30" customHeight="1"/>
    <row r="10862" ht="30" customHeight="1"/>
    <row r="10863" ht="30" customHeight="1"/>
    <row r="10864" ht="30" customHeight="1"/>
    <row r="10865" ht="30" customHeight="1"/>
    <row r="10866" ht="30" customHeight="1"/>
    <row r="10867" ht="30" customHeight="1"/>
    <row r="10868" ht="30" customHeight="1"/>
    <row r="10869" ht="30" customHeight="1"/>
    <row r="10870" ht="30" customHeight="1"/>
    <row r="10871" ht="30" customHeight="1"/>
    <row r="10872" ht="30" customHeight="1"/>
    <row r="10873" ht="30" customHeight="1"/>
    <row r="10874" ht="30" customHeight="1"/>
    <row r="10875" ht="30" customHeight="1"/>
    <row r="10876" ht="30" customHeight="1"/>
    <row r="10877" ht="30" customHeight="1"/>
    <row r="10878" ht="30" customHeight="1"/>
    <row r="10879" ht="30" customHeight="1"/>
    <row r="10880" ht="30" customHeight="1"/>
    <row r="10881" ht="30" customHeight="1"/>
    <row r="10882" ht="30" customHeight="1"/>
    <row r="10883" ht="30" customHeight="1"/>
    <row r="10884" ht="30" customHeight="1"/>
    <row r="10885" ht="30" customHeight="1"/>
    <row r="10886" ht="30" customHeight="1"/>
    <row r="10887" ht="30" customHeight="1"/>
    <row r="10888" ht="30" customHeight="1"/>
    <row r="10889" ht="30" customHeight="1"/>
    <row r="10890" ht="30" customHeight="1"/>
    <row r="10891" ht="30" customHeight="1"/>
    <row r="10892" ht="30" customHeight="1"/>
    <row r="10893" ht="30" customHeight="1"/>
    <row r="10894" ht="30" customHeight="1"/>
    <row r="10895" ht="30" customHeight="1"/>
    <row r="10896" ht="30" customHeight="1"/>
    <row r="10897" ht="30" customHeight="1"/>
    <row r="10898" ht="30" customHeight="1"/>
    <row r="10899" ht="30" customHeight="1"/>
    <row r="10900" ht="30" customHeight="1"/>
    <row r="10901" ht="30" customHeight="1"/>
    <row r="10902" ht="30" customHeight="1"/>
    <row r="10903" ht="30" customHeight="1"/>
    <row r="10904" ht="30" customHeight="1"/>
    <row r="10905" ht="30" customHeight="1"/>
    <row r="10906" ht="30" customHeight="1"/>
    <row r="10907" ht="30" customHeight="1"/>
    <row r="10908" ht="30" customHeight="1"/>
    <row r="10909" ht="30" customHeight="1"/>
    <row r="10910" ht="30" customHeight="1"/>
    <row r="10911" ht="30" customHeight="1"/>
    <row r="10912" ht="30" customHeight="1"/>
    <row r="10913" ht="30" customHeight="1"/>
    <row r="10914" ht="30" customHeight="1"/>
    <row r="10915" ht="30" customHeight="1"/>
    <row r="10916" ht="30" customHeight="1"/>
    <row r="10917" ht="30" customHeight="1"/>
    <row r="10918" ht="30" customHeight="1"/>
    <row r="10919" ht="30" customHeight="1"/>
    <row r="10920" ht="30" customHeight="1"/>
    <row r="10921" ht="30" customHeight="1"/>
    <row r="10922" ht="30" customHeight="1"/>
    <row r="10923" ht="30" customHeight="1"/>
    <row r="10924" ht="30" customHeight="1"/>
    <row r="10925" ht="30" customHeight="1"/>
    <row r="10926" ht="30" customHeight="1"/>
    <row r="10927" ht="30" customHeight="1"/>
    <row r="10928" ht="30" customHeight="1"/>
    <row r="10929" ht="30" customHeight="1"/>
    <row r="10930" ht="30" customHeight="1"/>
    <row r="10931" ht="30" customHeight="1"/>
    <row r="10932" ht="30" customHeight="1"/>
    <row r="10933" ht="30" customHeight="1"/>
    <row r="10934" ht="30" customHeight="1"/>
    <row r="10935" ht="30" customHeight="1"/>
    <row r="10936" ht="30" customHeight="1"/>
    <row r="10937" ht="30" customHeight="1"/>
    <row r="10938" ht="30" customHeight="1"/>
    <row r="10939" ht="30" customHeight="1"/>
    <row r="10940" ht="30" customHeight="1"/>
    <row r="10941" ht="30" customHeight="1"/>
    <row r="10942" ht="30" customHeight="1"/>
    <row r="10943" ht="30" customHeight="1"/>
    <row r="10944" ht="30" customHeight="1"/>
    <row r="10945" ht="30" customHeight="1"/>
    <row r="10946" ht="30" customHeight="1"/>
    <row r="10947" ht="30" customHeight="1"/>
    <row r="10948" ht="30" customHeight="1"/>
    <row r="10949" ht="30" customHeight="1"/>
    <row r="10950" ht="30" customHeight="1"/>
    <row r="10951" ht="30" customHeight="1"/>
    <row r="10952" ht="30" customHeight="1"/>
    <row r="10953" ht="30" customHeight="1"/>
    <row r="10954" ht="30" customHeight="1"/>
    <row r="10955" ht="30" customHeight="1"/>
    <row r="10956" ht="30" customHeight="1"/>
    <row r="10957" ht="30" customHeight="1"/>
    <row r="10958" ht="30" customHeight="1"/>
    <row r="10959" ht="30" customHeight="1"/>
    <row r="10960" ht="30" customHeight="1"/>
    <row r="10961" ht="30" customHeight="1"/>
    <row r="10962" ht="30" customHeight="1"/>
    <row r="10963" ht="30" customHeight="1"/>
    <row r="10964" ht="30" customHeight="1"/>
    <row r="10965" ht="30" customHeight="1"/>
    <row r="10966" ht="30" customHeight="1"/>
    <row r="10967" ht="30" customHeight="1"/>
    <row r="10968" ht="30" customHeight="1"/>
    <row r="10969" ht="30" customHeight="1"/>
    <row r="10970" ht="30" customHeight="1"/>
    <row r="10971" ht="30" customHeight="1"/>
    <row r="10972" ht="30" customHeight="1"/>
    <row r="10973" ht="30" customHeight="1"/>
    <row r="10974" ht="30" customHeight="1"/>
    <row r="10975" ht="30" customHeight="1"/>
    <row r="10976" ht="30" customHeight="1"/>
    <row r="10977" ht="30" customHeight="1"/>
    <row r="10978" ht="30" customHeight="1"/>
    <row r="10979" ht="30" customHeight="1"/>
    <row r="10980" ht="30" customHeight="1"/>
    <row r="10981" ht="30" customHeight="1"/>
    <row r="10982" ht="30" customHeight="1"/>
    <row r="10983" ht="30" customHeight="1"/>
    <row r="10984" ht="30" customHeight="1"/>
    <row r="10985" ht="30" customHeight="1"/>
    <row r="10986" ht="30" customHeight="1"/>
    <row r="10987" ht="30" customHeight="1"/>
    <row r="10988" ht="30" customHeight="1"/>
    <row r="10989" ht="30" customHeight="1"/>
    <row r="10990" ht="30" customHeight="1"/>
    <row r="10991" ht="30" customHeight="1"/>
    <row r="10992" ht="30" customHeight="1"/>
    <row r="10993" ht="30" customHeight="1"/>
    <row r="10994" ht="30" customHeight="1"/>
    <row r="10995" ht="30" customHeight="1"/>
    <row r="10996" ht="30" customHeight="1"/>
    <row r="10997" ht="30" customHeight="1"/>
    <row r="10998" ht="30" customHeight="1"/>
    <row r="10999" ht="30" customHeight="1"/>
    <row r="11000" ht="30" customHeight="1"/>
    <row r="11001" ht="30" customHeight="1"/>
    <row r="11002" ht="30" customHeight="1"/>
    <row r="11003" ht="30" customHeight="1"/>
    <row r="11004" ht="30" customHeight="1"/>
    <row r="11005" ht="30" customHeight="1"/>
    <row r="11006" ht="30" customHeight="1"/>
    <row r="11007" ht="30" customHeight="1"/>
    <row r="11008" ht="30" customHeight="1"/>
    <row r="11009" ht="30" customHeight="1"/>
    <row r="11010" ht="30" customHeight="1"/>
    <row r="11011" ht="30" customHeight="1"/>
    <row r="11012" ht="30" customHeight="1"/>
    <row r="11013" ht="30" customHeight="1"/>
    <row r="11014" ht="30" customHeight="1"/>
    <row r="11015" ht="30" customHeight="1"/>
    <row r="11016" ht="30" customHeight="1"/>
    <row r="11017" ht="30" customHeight="1"/>
    <row r="11018" ht="30" customHeight="1"/>
    <row r="11019" ht="30" customHeight="1"/>
    <row r="11020" ht="30" customHeight="1"/>
    <row r="11021" ht="30" customHeight="1"/>
    <row r="11022" ht="30" customHeight="1"/>
    <row r="11023" ht="30" customHeight="1"/>
    <row r="11024" ht="30" customHeight="1"/>
    <row r="11025" ht="30" customHeight="1"/>
    <row r="11026" ht="30" customHeight="1"/>
    <row r="11027" ht="30" customHeight="1"/>
    <row r="11028" ht="30" customHeight="1"/>
    <row r="11029" ht="30" customHeight="1"/>
    <row r="11030" ht="30" customHeight="1"/>
    <row r="11031" ht="30" customHeight="1"/>
    <row r="11032" ht="30" customHeight="1"/>
    <row r="11033" ht="30" customHeight="1"/>
    <row r="11034" ht="30" customHeight="1"/>
    <row r="11035" ht="30" customHeight="1"/>
    <row r="11036" ht="30" customHeight="1"/>
    <row r="11037" ht="30" customHeight="1"/>
    <row r="11038" ht="30" customHeight="1"/>
    <row r="11039" ht="30" customHeight="1"/>
    <row r="11040" ht="30" customHeight="1"/>
    <row r="11041" ht="30" customHeight="1"/>
    <row r="11042" ht="30" customHeight="1"/>
    <row r="11043" ht="30" customHeight="1"/>
    <row r="11044" ht="30" customHeight="1"/>
    <row r="11045" ht="30" customHeight="1"/>
    <row r="11046" ht="30" customHeight="1"/>
    <row r="11047" ht="30" customHeight="1"/>
    <row r="11048" ht="30" customHeight="1"/>
    <row r="11049" ht="30" customHeight="1"/>
    <row r="11050" ht="30" customHeight="1"/>
    <row r="11051" ht="30" customHeight="1"/>
    <row r="11052" ht="30" customHeight="1"/>
    <row r="11053" ht="30" customHeight="1"/>
    <row r="11054" ht="30" customHeight="1"/>
    <row r="11055" ht="30" customHeight="1"/>
    <row r="11056" ht="30" customHeight="1"/>
    <row r="11057" ht="30" customHeight="1"/>
    <row r="11058" ht="30" customHeight="1"/>
    <row r="11059" ht="30" customHeight="1"/>
    <row r="11060" ht="30" customHeight="1"/>
    <row r="11061" ht="30" customHeight="1"/>
    <row r="11062" ht="30" customHeight="1"/>
    <row r="11063" ht="30" customHeight="1"/>
    <row r="11064" ht="30" customHeight="1"/>
    <row r="11065" ht="30" customHeight="1"/>
    <row r="11066" ht="30" customHeight="1"/>
    <row r="11067" ht="30" customHeight="1"/>
    <row r="11068" ht="30" customHeight="1"/>
    <row r="11069" ht="30" customHeight="1"/>
    <row r="11070" ht="30" customHeight="1"/>
    <row r="11071" ht="30" customHeight="1"/>
    <row r="11072" ht="30" customHeight="1"/>
    <row r="11073" ht="30" customHeight="1"/>
    <row r="11074" ht="30" customHeight="1"/>
    <row r="11075" ht="30" customHeight="1"/>
    <row r="11076" ht="30" customHeight="1"/>
    <row r="11077" ht="30" customHeight="1"/>
    <row r="11078" ht="30" customHeight="1"/>
    <row r="11079" ht="30" customHeight="1"/>
    <row r="11080" ht="30" customHeight="1"/>
    <row r="11081" ht="30" customHeight="1"/>
    <row r="11082" ht="30" customHeight="1"/>
    <row r="11083" ht="30" customHeight="1"/>
    <row r="11084" ht="30" customHeight="1"/>
    <row r="11085" ht="30" customHeight="1"/>
    <row r="11086" ht="30" customHeight="1"/>
    <row r="11087" ht="30" customHeight="1"/>
    <row r="11088" ht="30" customHeight="1"/>
    <row r="11089" ht="30" customHeight="1"/>
    <row r="11090" ht="30" customHeight="1"/>
    <row r="11091" ht="30" customHeight="1"/>
    <row r="11092" ht="30" customHeight="1"/>
    <row r="11093" ht="30" customHeight="1"/>
    <row r="11094" ht="30" customHeight="1"/>
    <row r="11095" ht="30" customHeight="1"/>
    <row r="11096" ht="30" customHeight="1"/>
    <row r="11097" ht="30" customHeight="1"/>
    <row r="11098" ht="30" customHeight="1"/>
    <row r="11099" ht="30" customHeight="1"/>
    <row r="11100" ht="30" customHeight="1"/>
    <row r="11101" ht="30" customHeight="1"/>
    <row r="11102" ht="30" customHeight="1"/>
    <row r="11103" ht="30" customHeight="1"/>
    <row r="11104" ht="30" customHeight="1"/>
    <row r="11105" ht="30" customHeight="1"/>
    <row r="11106" ht="30" customHeight="1"/>
    <row r="11107" ht="30" customHeight="1"/>
    <row r="11108" ht="30" customHeight="1"/>
    <row r="11109" ht="30" customHeight="1"/>
    <row r="11110" ht="30" customHeight="1"/>
    <row r="11111" ht="30" customHeight="1"/>
    <row r="11112" ht="30" customHeight="1"/>
    <row r="11113" ht="30" customHeight="1"/>
    <row r="11114" ht="30" customHeight="1"/>
    <row r="11115" ht="30" customHeight="1"/>
    <row r="11116" ht="30" customHeight="1"/>
    <row r="11117" ht="30" customHeight="1"/>
    <row r="11118" ht="30" customHeight="1"/>
    <row r="11119" ht="30" customHeight="1"/>
    <row r="11120" ht="30" customHeight="1"/>
    <row r="11121" ht="30" customHeight="1"/>
    <row r="11122" ht="30" customHeight="1"/>
    <row r="11123" ht="30" customHeight="1"/>
    <row r="11124" ht="30" customHeight="1"/>
    <row r="11125" ht="30" customHeight="1"/>
    <row r="11126" ht="30" customHeight="1"/>
    <row r="11127" ht="30" customHeight="1"/>
    <row r="11128" ht="30" customHeight="1"/>
    <row r="11129" ht="30" customHeight="1"/>
    <row r="11130" ht="30" customHeight="1"/>
    <row r="11131" ht="30" customHeight="1"/>
    <row r="11132" ht="30" customHeight="1"/>
    <row r="11133" ht="30" customHeight="1"/>
    <row r="11134" ht="30" customHeight="1"/>
    <row r="11135" ht="30" customHeight="1"/>
    <row r="11136" ht="30" customHeight="1"/>
    <row r="11137" ht="30" customHeight="1"/>
    <row r="11138" ht="30" customHeight="1"/>
    <row r="11139" ht="30" customHeight="1"/>
    <row r="11140" ht="30" customHeight="1"/>
    <row r="11141" ht="30" customHeight="1"/>
    <row r="11142" ht="30" customHeight="1"/>
    <row r="11143" ht="30" customHeight="1"/>
    <row r="11144" ht="30" customHeight="1"/>
    <row r="11145" ht="30" customHeight="1"/>
    <row r="11146" ht="30" customHeight="1"/>
    <row r="11147" ht="30" customHeight="1"/>
    <row r="11148" ht="30" customHeight="1"/>
    <row r="11149" ht="30" customHeight="1"/>
    <row r="11150" ht="30" customHeight="1"/>
    <row r="11151" ht="30" customHeight="1"/>
    <row r="11152" ht="30" customHeight="1"/>
    <row r="11153" ht="30" customHeight="1"/>
    <row r="11154" ht="30" customHeight="1"/>
    <row r="11155" ht="30" customHeight="1"/>
    <row r="11156" ht="30" customHeight="1"/>
    <row r="11157" ht="30" customHeight="1"/>
    <row r="11158" ht="30" customHeight="1"/>
    <row r="11159" ht="30" customHeight="1"/>
    <row r="11160" ht="30" customHeight="1"/>
    <row r="11161" ht="30" customHeight="1"/>
    <row r="11162" ht="30" customHeight="1"/>
    <row r="11163" ht="30" customHeight="1"/>
    <row r="11164" ht="30" customHeight="1"/>
    <row r="11165" ht="30" customHeight="1"/>
    <row r="11166" ht="30" customHeight="1"/>
    <row r="11167" ht="30" customHeight="1"/>
    <row r="11168" ht="30" customHeight="1"/>
    <row r="11169" ht="30" customHeight="1"/>
    <row r="11170" ht="30" customHeight="1"/>
    <row r="11171" ht="30" customHeight="1"/>
    <row r="11172" ht="30" customHeight="1"/>
    <row r="11173" ht="30" customHeight="1"/>
    <row r="11174" ht="30" customHeight="1"/>
    <row r="11175" ht="30" customHeight="1"/>
    <row r="11176" ht="30" customHeight="1"/>
    <row r="11177" ht="30" customHeight="1"/>
    <row r="11178" ht="30" customHeight="1"/>
    <row r="11179" ht="30" customHeight="1"/>
    <row r="11180" ht="30" customHeight="1"/>
    <row r="11181" ht="30" customHeight="1"/>
    <row r="11182" ht="30" customHeight="1"/>
    <row r="11183" ht="30" customHeight="1"/>
    <row r="11184" ht="30" customHeight="1"/>
    <row r="11185" ht="30" customHeight="1"/>
    <row r="11186" ht="30" customHeight="1"/>
    <row r="11187" ht="30" customHeight="1"/>
    <row r="11188" ht="30" customHeight="1"/>
    <row r="11189" ht="30" customHeight="1"/>
    <row r="11190" ht="30" customHeight="1"/>
    <row r="11191" ht="30" customHeight="1"/>
    <row r="11192" ht="30" customHeight="1"/>
    <row r="11193" ht="30" customHeight="1"/>
    <row r="11194" ht="30" customHeight="1"/>
    <row r="11195" ht="30" customHeight="1"/>
    <row r="11196" ht="30" customHeight="1"/>
    <row r="11197" ht="30" customHeight="1"/>
    <row r="11198" ht="30" customHeight="1"/>
    <row r="11199" ht="30" customHeight="1"/>
    <row r="11200" ht="30" customHeight="1"/>
    <row r="11201" ht="30" customHeight="1"/>
    <row r="11202" ht="30" customHeight="1"/>
    <row r="11203" ht="30" customHeight="1"/>
    <row r="11204" ht="30" customHeight="1"/>
    <row r="11205" ht="30" customHeight="1"/>
    <row r="11206" ht="30" customHeight="1"/>
    <row r="11207" ht="30" customHeight="1"/>
    <row r="11208" ht="30" customHeight="1"/>
    <row r="11209" ht="30" customHeight="1"/>
    <row r="11210" ht="30" customHeight="1"/>
    <row r="11211" ht="30" customHeight="1"/>
    <row r="11212" ht="30" customHeight="1"/>
    <row r="11213" ht="30" customHeight="1"/>
    <row r="11214" ht="30" customHeight="1"/>
    <row r="11215" ht="30" customHeight="1"/>
    <row r="11216" ht="30" customHeight="1"/>
    <row r="11217" ht="30" customHeight="1"/>
    <row r="11218" ht="30" customHeight="1"/>
    <row r="11219" ht="30" customHeight="1"/>
    <row r="11220" ht="30" customHeight="1"/>
    <row r="11221" ht="30" customHeight="1"/>
    <row r="11222" ht="30" customHeight="1"/>
    <row r="11223" ht="30" customHeight="1"/>
    <row r="11224" ht="30" customHeight="1"/>
    <row r="11225" ht="30" customHeight="1"/>
    <row r="11226" ht="30" customHeight="1"/>
    <row r="11227" ht="30" customHeight="1"/>
    <row r="11228" ht="30" customHeight="1"/>
    <row r="11229" ht="30" customHeight="1"/>
    <row r="11230" ht="30" customHeight="1"/>
    <row r="11231" ht="30" customHeight="1"/>
    <row r="11232" ht="30" customHeight="1"/>
    <row r="11233" ht="30" customHeight="1"/>
    <row r="11234" ht="30" customHeight="1"/>
    <row r="11235" ht="30" customHeight="1"/>
    <row r="11236" ht="30" customHeight="1"/>
    <row r="11237" ht="30" customHeight="1"/>
    <row r="11238" ht="30" customHeight="1"/>
    <row r="11239" ht="30" customHeight="1"/>
    <row r="11240" ht="30" customHeight="1"/>
    <row r="11241" ht="30" customHeight="1"/>
    <row r="11242" ht="30" customHeight="1"/>
    <row r="11243" ht="30" customHeight="1"/>
    <row r="11244" ht="30" customHeight="1"/>
    <row r="11245" ht="30" customHeight="1"/>
    <row r="11246" ht="30" customHeight="1"/>
    <row r="11247" ht="30" customHeight="1"/>
    <row r="11248" ht="30" customHeight="1"/>
    <row r="11249" ht="30" customHeight="1"/>
    <row r="11250" ht="30" customHeight="1"/>
    <row r="11251" ht="30" customHeight="1"/>
    <row r="11252" ht="30" customHeight="1"/>
    <row r="11253" ht="30" customHeight="1"/>
    <row r="11254" ht="30" customHeight="1"/>
    <row r="11255" ht="30" customHeight="1"/>
    <row r="11256" ht="30" customHeight="1"/>
    <row r="11257" ht="30" customHeight="1"/>
    <row r="11258" ht="30" customHeight="1"/>
    <row r="11259" ht="30" customHeight="1"/>
    <row r="11260" ht="30" customHeight="1"/>
    <row r="11261" ht="30" customHeight="1"/>
    <row r="11262" ht="30" customHeight="1"/>
    <row r="11263" ht="30" customHeight="1"/>
    <row r="11264" ht="30" customHeight="1"/>
    <row r="11265" ht="30" customHeight="1"/>
    <row r="11266" ht="30" customHeight="1"/>
    <row r="11267" ht="30" customHeight="1"/>
    <row r="11268" ht="30" customHeight="1"/>
    <row r="11269" ht="30" customHeight="1"/>
    <row r="11270" ht="30" customHeight="1"/>
    <row r="11271" ht="30" customHeight="1"/>
    <row r="11272" ht="30" customHeight="1"/>
    <row r="11273" ht="30" customHeight="1"/>
    <row r="11274" ht="30" customHeight="1"/>
    <row r="11275" ht="30" customHeight="1"/>
    <row r="11276" ht="30" customHeight="1"/>
    <row r="11277" ht="30" customHeight="1"/>
    <row r="11278" ht="30" customHeight="1"/>
    <row r="11279" ht="30" customHeight="1"/>
    <row r="11280" ht="30" customHeight="1"/>
    <row r="11281" ht="30" customHeight="1"/>
    <row r="11282" ht="30" customHeight="1"/>
    <row r="11283" ht="30" customHeight="1"/>
    <row r="11284" ht="30" customHeight="1"/>
    <row r="11285" ht="30" customHeight="1"/>
    <row r="11286" ht="30" customHeight="1"/>
    <row r="11287" ht="30" customHeight="1"/>
    <row r="11288" ht="30" customHeight="1"/>
    <row r="11289" ht="30" customHeight="1"/>
    <row r="11290" ht="30" customHeight="1"/>
    <row r="11291" ht="30" customHeight="1"/>
    <row r="11292" ht="30" customHeight="1"/>
    <row r="11293" ht="30" customHeight="1"/>
    <row r="11294" ht="30" customHeight="1"/>
    <row r="11295" ht="30" customHeight="1"/>
    <row r="11296" ht="30" customHeight="1"/>
    <row r="11297" ht="30" customHeight="1"/>
    <row r="11298" ht="30" customHeight="1"/>
    <row r="11299" ht="30" customHeight="1"/>
    <row r="11300" ht="30" customHeight="1"/>
    <row r="11301" ht="30" customHeight="1"/>
    <row r="11302" ht="30" customHeight="1"/>
    <row r="11303" ht="30" customHeight="1"/>
    <row r="11304" ht="30" customHeight="1"/>
    <row r="11305" ht="30" customHeight="1"/>
    <row r="11306" ht="30" customHeight="1"/>
    <row r="11307" ht="30" customHeight="1"/>
    <row r="11308" ht="30" customHeight="1"/>
    <row r="11309" ht="30" customHeight="1"/>
    <row r="11310" ht="30" customHeight="1"/>
    <row r="11311" ht="30" customHeight="1"/>
    <row r="11312" ht="30" customHeight="1"/>
    <row r="11313" ht="30" customHeight="1"/>
    <row r="11314" ht="30" customHeight="1"/>
    <row r="11315" ht="30" customHeight="1"/>
    <row r="11316" ht="30" customHeight="1"/>
    <row r="11317" ht="30" customHeight="1"/>
    <row r="11318" ht="30" customHeight="1"/>
    <row r="11319" ht="30" customHeight="1"/>
    <row r="11320" ht="30" customHeight="1"/>
    <row r="11321" ht="30" customHeight="1"/>
    <row r="11322" ht="30" customHeight="1"/>
    <row r="11323" ht="30" customHeight="1"/>
    <row r="11324" ht="30" customHeight="1"/>
    <row r="11325" ht="30" customHeight="1"/>
    <row r="11326" ht="30" customHeight="1"/>
    <row r="11327" ht="30" customHeight="1"/>
    <row r="11328" ht="30" customHeight="1"/>
    <row r="11329" ht="30" customHeight="1"/>
    <row r="11330" ht="30" customHeight="1"/>
    <row r="11331" ht="30" customHeight="1"/>
    <row r="11332" ht="30" customHeight="1"/>
    <row r="11333" ht="30" customHeight="1"/>
    <row r="11334" ht="30" customHeight="1"/>
    <row r="11335" ht="30" customHeight="1"/>
    <row r="11336" ht="30" customHeight="1"/>
    <row r="11337" ht="30" customHeight="1"/>
    <row r="11338" ht="30" customHeight="1"/>
    <row r="11339" ht="30" customHeight="1"/>
    <row r="11340" ht="30" customHeight="1"/>
    <row r="11341" ht="30" customHeight="1"/>
    <row r="11342" ht="30" customHeight="1"/>
    <row r="11343" ht="30" customHeight="1"/>
    <row r="11344" ht="30" customHeight="1"/>
    <row r="11345" ht="30" customHeight="1"/>
    <row r="11346" ht="30" customHeight="1"/>
    <row r="11347" ht="30" customHeight="1"/>
    <row r="11348" ht="30" customHeight="1"/>
    <row r="11349" ht="30" customHeight="1"/>
    <row r="11350" ht="30" customHeight="1"/>
    <row r="11351" ht="30" customHeight="1"/>
    <row r="11352" ht="30" customHeight="1"/>
    <row r="11353" ht="30" customHeight="1"/>
    <row r="11354" ht="30" customHeight="1"/>
    <row r="11355" ht="30" customHeight="1"/>
    <row r="11356" ht="30" customHeight="1"/>
    <row r="11357" ht="30" customHeight="1"/>
    <row r="11358" ht="30" customHeight="1"/>
    <row r="11359" ht="30" customHeight="1"/>
    <row r="11360" ht="30" customHeight="1"/>
    <row r="11361" ht="30" customHeight="1"/>
    <row r="11362" ht="30" customHeight="1"/>
    <row r="11363" ht="30" customHeight="1"/>
    <row r="11364" ht="30" customHeight="1"/>
    <row r="11365" ht="30" customHeight="1"/>
    <row r="11366" ht="30" customHeight="1"/>
    <row r="11367" ht="30" customHeight="1"/>
    <row r="11368" ht="30" customHeight="1"/>
    <row r="11369" ht="30" customHeight="1"/>
    <row r="11370" ht="30" customHeight="1"/>
    <row r="11371" ht="30" customHeight="1"/>
    <row r="11372" ht="30" customHeight="1"/>
    <row r="11373" ht="30" customHeight="1"/>
    <row r="11374" ht="30" customHeight="1"/>
    <row r="11375" ht="30" customHeight="1"/>
    <row r="11376" ht="30" customHeight="1"/>
    <row r="11377" ht="30" customHeight="1"/>
    <row r="11378" ht="30" customHeight="1"/>
    <row r="11379" ht="30" customHeight="1"/>
    <row r="11380" ht="30" customHeight="1"/>
    <row r="11381" ht="30" customHeight="1"/>
    <row r="11382" ht="30" customHeight="1"/>
    <row r="11383" ht="30" customHeight="1"/>
    <row r="11384" ht="30" customHeight="1"/>
    <row r="11385" ht="30" customHeight="1"/>
    <row r="11386" ht="30" customHeight="1"/>
    <row r="11387" ht="30" customHeight="1"/>
    <row r="11388" ht="30" customHeight="1"/>
    <row r="11389" ht="30" customHeight="1"/>
    <row r="11390" ht="30" customHeight="1"/>
    <row r="11391" ht="30" customHeight="1"/>
    <row r="11392" ht="30" customHeight="1"/>
    <row r="11393" ht="30" customHeight="1"/>
    <row r="11394" ht="30" customHeight="1"/>
    <row r="11395" ht="30" customHeight="1"/>
    <row r="11396" ht="30" customHeight="1"/>
    <row r="11397" ht="30" customHeight="1"/>
    <row r="11398" ht="30" customHeight="1"/>
    <row r="11399" ht="30" customHeight="1"/>
    <row r="11400" ht="30" customHeight="1"/>
    <row r="11401" ht="30" customHeight="1"/>
    <row r="11402" ht="30" customHeight="1"/>
    <row r="11403" ht="30" customHeight="1"/>
    <row r="11404" ht="30" customHeight="1"/>
    <row r="11405" ht="30" customHeight="1"/>
    <row r="11406" ht="30" customHeight="1"/>
    <row r="11407" ht="30" customHeight="1"/>
    <row r="11408" ht="30" customHeight="1"/>
    <row r="11409" ht="30" customHeight="1"/>
    <row r="11410" ht="30" customHeight="1"/>
    <row r="11411" ht="30" customHeight="1"/>
    <row r="11412" ht="30" customHeight="1"/>
    <row r="11413" ht="30" customHeight="1"/>
    <row r="11414" ht="30" customHeight="1"/>
    <row r="11415" ht="30" customHeight="1"/>
    <row r="11416" ht="30" customHeight="1"/>
    <row r="11417" ht="30" customHeight="1"/>
    <row r="11418" ht="30" customHeight="1"/>
    <row r="11419" ht="30" customHeight="1"/>
    <row r="11420" ht="30" customHeight="1"/>
    <row r="11421" ht="30" customHeight="1"/>
    <row r="11422" ht="30" customHeight="1"/>
    <row r="11423" ht="30" customHeight="1"/>
    <row r="11424" ht="30" customHeight="1"/>
    <row r="11425" ht="30" customHeight="1"/>
    <row r="11426" ht="30" customHeight="1"/>
    <row r="11427" ht="30" customHeight="1"/>
    <row r="11428" ht="30" customHeight="1"/>
    <row r="11429" ht="30" customHeight="1"/>
    <row r="11430" ht="30" customHeight="1"/>
    <row r="11431" ht="30" customHeight="1"/>
    <row r="11432" ht="30" customHeight="1"/>
    <row r="11433" ht="30" customHeight="1"/>
    <row r="11434" ht="30" customHeight="1"/>
    <row r="11435" ht="30" customHeight="1"/>
    <row r="11436" ht="30" customHeight="1"/>
    <row r="11437" ht="30" customHeight="1"/>
    <row r="11438" ht="30" customHeight="1"/>
    <row r="11439" ht="30" customHeight="1"/>
    <row r="11440" ht="30" customHeight="1"/>
    <row r="11441" ht="30" customHeight="1"/>
    <row r="11442" ht="30" customHeight="1"/>
    <row r="11443" ht="30" customHeight="1"/>
    <row r="11444" ht="30" customHeight="1"/>
    <row r="11445" ht="30" customHeight="1"/>
    <row r="11446" ht="30" customHeight="1"/>
    <row r="11447" ht="30" customHeight="1"/>
    <row r="11448" ht="30" customHeight="1"/>
    <row r="11449" ht="30" customHeight="1"/>
    <row r="11450" ht="30" customHeight="1"/>
    <row r="11451" ht="30" customHeight="1"/>
    <row r="11452" ht="30" customHeight="1"/>
    <row r="11453" ht="30" customHeight="1"/>
    <row r="11454" ht="30" customHeight="1"/>
    <row r="11455" ht="30" customHeight="1"/>
    <row r="11456" ht="30" customHeight="1"/>
    <row r="11457" ht="30" customHeight="1"/>
    <row r="11458" ht="30" customHeight="1"/>
    <row r="11459" ht="30" customHeight="1"/>
    <row r="11460" ht="30" customHeight="1"/>
    <row r="11461" ht="30" customHeight="1"/>
    <row r="11462" ht="30" customHeight="1"/>
    <row r="11463" ht="30" customHeight="1"/>
    <row r="11464" ht="30" customHeight="1"/>
    <row r="11465" ht="30" customHeight="1"/>
    <row r="11466" ht="30" customHeight="1"/>
    <row r="11467" ht="30" customHeight="1"/>
    <row r="11468" ht="30" customHeight="1"/>
    <row r="11469" ht="30" customHeight="1"/>
    <row r="11470" ht="30" customHeight="1"/>
    <row r="11471" ht="30" customHeight="1"/>
    <row r="11472" ht="30" customHeight="1"/>
    <row r="11473" ht="30" customHeight="1"/>
    <row r="11474" ht="30" customHeight="1"/>
    <row r="11475" ht="30" customHeight="1"/>
    <row r="11476" ht="30" customHeight="1"/>
    <row r="11477" ht="30" customHeight="1"/>
    <row r="11478" ht="30" customHeight="1"/>
    <row r="11479" ht="30" customHeight="1"/>
    <row r="11480" ht="30" customHeight="1"/>
    <row r="11481" ht="30" customHeight="1"/>
    <row r="11482" ht="30" customHeight="1"/>
    <row r="11483" ht="30" customHeight="1"/>
    <row r="11484" ht="30" customHeight="1"/>
    <row r="11485" ht="30" customHeight="1"/>
    <row r="11486" ht="30" customHeight="1"/>
    <row r="11487" ht="30" customHeight="1"/>
    <row r="11488" ht="30" customHeight="1"/>
    <row r="11489" ht="30" customHeight="1"/>
    <row r="11490" ht="30" customHeight="1"/>
    <row r="11491" ht="30" customHeight="1"/>
    <row r="11492" ht="30" customHeight="1"/>
    <row r="11493" ht="30" customHeight="1"/>
    <row r="11494" ht="30" customHeight="1"/>
    <row r="11495" ht="30" customHeight="1"/>
    <row r="11496" ht="30" customHeight="1"/>
    <row r="11497" ht="30" customHeight="1"/>
    <row r="11498" ht="30" customHeight="1"/>
    <row r="11499" ht="30" customHeight="1"/>
    <row r="11500" ht="30" customHeight="1"/>
    <row r="11501" ht="30" customHeight="1"/>
    <row r="11502" ht="30" customHeight="1"/>
    <row r="11503" ht="30" customHeight="1"/>
    <row r="11504" ht="30" customHeight="1"/>
    <row r="11505" ht="30" customHeight="1"/>
    <row r="11506" ht="30" customHeight="1"/>
    <row r="11507" ht="30" customHeight="1"/>
    <row r="11508" ht="30" customHeight="1"/>
    <row r="11509" ht="30" customHeight="1"/>
    <row r="11510" ht="30" customHeight="1"/>
    <row r="11511" ht="30" customHeight="1"/>
    <row r="11512" ht="30" customHeight="1"/>
    <row r="11513" ht="30" customHeight="1"/>
    <row r="11514" ht="30" customHeight="1"/>
    <row r="11515" ht="30" customHeight="1"/>
    <row r="11516" ht="30" customHeight="1"/>
    <row r="11517" ht="30" customHeight="1"/>
    <row r="11518" ht="30" customHeight="1"/>
    <row r="11519" ht="30" customHeight="1"/>
    <row r="11520" ht="30" customHeight="1"/>
    <row r="11521" ht="30" customHeight="1"/>
    <row r="11522" ht="30" customHeight="1"/>
    <row r="11523" ht="30" customHeight="1"/>
    <row r="11524" ht="30" customHeight="1"/>
    <row r="11525" ht="30" customHeight="1"/>
    <row r="11526" ht="30" customHeight="1"/>
    <row r="11527" ht="30" customHeight="1"/>
    <row r="11528" ht="30" customHeight="1"/>
    <row r="11529" ht="30" customHeight="1"/>
    <row r="11530" ht="30" customHeight="1"/>
    <row r="11531" ht="30" customHeight="1"/>
    <row r="11532" ht="30" customHeight="1"/>
    <row r="11533" ht="30" customHeight="1"/>
    <row r="11534" ht="30" customHeight="1"/>
    <row r="11535" ht="30" customHeight="1"/>
    <row r="11536" ht="30" customHeight="1"/>
    <row r="11537" ht="30" customHeight="1"/>
    <row r="11538" ht="30" customHeight="1"/>
    <row r="11539" ht="30" customHeight="1"/>
    <row r="11540" ht="30" customHeight="1"/>
    <row r="11541" ht="30" customHeight="1"/>
    <row r="11542" ht="30" customHeight="1"/>
    <row r="11543" ht="30" customHeight="1"/>
    <row r="11544" ht="30" customHeight="1"/>
    <row r="11545" ht="30" customHeight="1"/>
    <row r="11546" ht="30" customHeight="1"/>
    <row r="11547" ht="30" customHeight="1"/>
    <row r="11548" ht="30" customHeight="1"/>
    <row r="11549" ht="30" customHeight="1"/>
    <row r="11550" ht="30" customHeight="1"/>
    <row r="11551" ht="30" customHeight="1"/>
    <row r="11552" ht="30" customHeight="1"/>
    <row r="11553" ht="30" customHeight="1"/>
    <row r="11554" ht="30" customHeight="1"/>
    <row r="11555" ht="30" customHeight="1"/>
    <row r="11556" ht="30" customHeight="1"/>
    <row r="11557" ht="30" customHeight="1"/>
    <row r="11558" ht="30" customHeight="1"/>
    <row r="11559" ht="30" customHeight="1"/>
    <row r="11560" ht="30" customHeight="1"/>
    <row r="11561" ht="30" customHeight="1"/>
    <row r="11562" ht="30" customHeight="1"/>
    <row r="11563" ht="30" customHeight="1"/>
    <row r="11564" ht="30" customHeight="1"/>
    <row r="11565" ht="30" customHeight="1"/>
    <row r="11566" ht="30" customHeight="1"/>
    <row r="11567" ht="30" customHeight="1"/>
    <row r="11568" ht="30" customHeight="1"/>
    <row r="11569" ht="30" customHeight="1"/>
    <row r="11570" ht="30" customHeight="1"/>
    <row r="11571" ht="30" customHeight="1"/>
    <row r="11572" ht="30" customHeight="1"/>
    <row r="11573" ht="30" customHeight="1"/>
    <row r="11574" ht="30" customHeight="1"/>
    <row r="11575" ht="30" customHeight="1"/>
    <row r="11576" ht="30" customHeight="1"/>
    <row r="11577" ht="30" customHeight="1"/>
    <row r="11578" ht="30" customHeight="1"/>
    <row r="11579" ht="30" customHeight="1"/>
    <row r="11580" ht="30" customHeight="1"/>
    <row r="11581" ht="30" customHeight="1"/>
    <row r="11582" ht="30" customHeight="1"/>
    <row r="11583" ht="30" customHeight="1"/>
    <row r="11584" ht="30" customHeight="1"/>
    <row r="11585" ht="30" customHeight="1"/>
    <row r="11586" ht="30" customHeight="1"/>
    <row r="11587" ht="30" customHeight="1"/>
    <row r="11588" ht="30" customHeight="1"/>
    <row r="11589" ht="30" customHeight="1"/>
    <row r="11590" ht="30" customHeight="1"/>
    <row r="11591" ht="30" customHeight="1"/>
    <row r="11592" ht="30" customHeight="1"/>
    <row r="11593" ht="30" customHeight="1"/>
    <row r="11594" ht="30" customHeight="1"/>
    <row r="11595" ht="30" customHeight="1"/>
    <row r="11596" ht="30" customHeight="1"/>
    <row r="11597" ht="30" customHeight="1"/>
    <row r="11598" ht="30" customHeight="1"/>
    <row r="11599" ht="30" customHeight="1"/>
    <row r="11600" ht="30" customHeight="1"/>
    <row r="11601" ht="30" customHeight="1"/>
    <row r="11602" ht="30" customHeight="1"/>
    <row r="11603" ht="30" customHeight="1"/>
    <row r="11604" ht="30" customHeight="1"/>
    <row r="11605" ht="30" customHeight="1"/>
    <row r="11606" ht="30" customHeight="1"/>
    <row r="11607" ht="30" customHeight="1"/>
    <row r="11608" ht="30" customHeight="1"/>
    <row r="11609" ht="30" customHeight="1"/>
    <row r="11610" ht="30" customHeight="1"/>
    <row r="11611" ht="30" customHeight="1"/>
    <row r="11612" ht="30" customHeight="1"/>
    <row r="11613" ht="30" customHeight="1"/>
    <row r="11614" ht="30" customHeight="1"/>
    <row r="11615" ht="30" customHeight="1"/>
    <row r="11616" ht="30" customHeight="1"/>
    <row r="11617" ht="30" customHeight="1"/>
    <row r="11618" ht="30" customHeight="1"/>
    <row r="11619" ht="30" customHeight="1"/>
    <row r="11620" ht="30" customHeight="1"/>
    <row r="11621" ht="30" customHeight="1"/>
    <row r="11622" ht="30" customHeight="1"/>
    <row r="11623" ht="30" customHeight="1"/>
    <row r="11624" ht="30" customHeight="1"/>
    <row r="11625" ht="30" customHeight="1"/>
    <row r="11626" ht="30" customHeight="1"/>
    <row r="11627" ht="30" customHeight="1"/>
    <row r="11628" ht="30" customHeight="1"/>
    <row r="11629" ht="30" customHeight="1"/>
    <row r="11630" ht="30" customHeight="1"/>
    <row r="11631" ht="30" customHeight="1"/>
    <row r="11632" ht="30" customHeight="1"/>
    <row r="11633" ht="30" customHeight="1"/>
    <row r="11634" ht="30" customHeight="1"/>
    <row r="11635" ht="30" customHeight="1"/>
    <row r="11636" ht="30" customHeight="1"/>
    <row r="11637" ht="30" customHeight="1"/>
    <row r="11638" ht="30" customHeight="1"/>
    <row r="11639" ht="30" customHeight="1"/>
    <row r="11640" ht="30" customHeight="1"/>
    <row r="11641" ht="30" customHeight="1"/>
    <row r="11642" ht="30" customHeight="1"/>
    <row r="11643" ht="30" customHeight="1"/>
    <row r="11644" ht="30" customHeight="1"/>
    <row r="11645" ht="30" customHeight="1"/>
    <row r="11646" ht="30" customHeight="1"/>
    <row r="11647" ht="30" customHeight="1"/>
    <row r="11648" ht="30" customHeight="1"/>
    <row r="11649" ht="30" customHeight="1"/>
    <row r="11650" ht="30" customHeight="1"/>
    <row r="11651" ht="30" customHeight="1"/>
    <row r="11652" ht="30" customHeight="1"/>
    <row r="11653" ht="30" customHeight="1"/>
    <row r="11654" ht="30" customHeight="1"/>
    <row r="11655" ht="30" customHeight="1"/>
    <row r="11656" ht="30" customHeight="1"/>
    <row r="11657" ht="30" customHeight="1"/>
    <row r="11658" ht="30" customHeight="1"/>
    <row r="11659" ht="30" customHeight="1"/>
    <row r="11660" ht="30" customHeight="1"/>
    <row r="11661" ht="30" customHeight="1"/>
    <row r="11662" ht="30" customHeight="1"/>
    <row r="11663" ht="30" customHeight="1"/>
    <row r="11664" ht="30" customHeight="1"/>
    <row r="11665" ht="30" customHeight="1"/>
    <row r="11666" ht="30" customHeight="1"/>
    <row r="11667" ht="30" customHeight="1"/>
    <row r="11668" ht="30" customHeight="1"/>
    <row r="11669" ht="30" customHeight="1"/>
    <row r="11670" ht="30" customHeight="1"/>
    <row r="11671" ht="30" customHeight="1"/>
    <row r="11672" ht="30" customHeight="1"/>
    <row r="11673" ht="30" customHeight="1"/>
    <row r="11674" ht="30" customHeight="1"/>
    <row r="11675" ht="30" customHeight="1"/>
    <row r="11676" ht="30" customHeight="1"/>
    <row r="11677" ht="30" customHeight="1"/>
    <row r="11678" ht="30" customHeight="1"/>
    <row r="11679" ht="30" customHeight="1"/>
    <row r="11680" ht="30" customHeight="1"/>
    <row r="11681" ht="30" customHeight="1"/>
    <row r="11682" ht="30" customHeight="1"/>
    <row r="11683" ht="30" customHeight="1"/>
    <row r="11684" ht="30" customHeight="1"/>
    <row r="11685" ht="30" customHeight="1"/>
    <row r="11686" ht="30" customHeight="1"/>
    <row r="11687" ht="30" customHeight="1"/>
    <row r="11688" ht="30" customHeight="1"/>
    <row r="11689" ht="30" customHeight="1"/>
    <row r="11690" ht="30" customHeight="1"/>
    <row r="11691" ht="30" customHeight="1"/>
    <row r="11692" ht="30" customHeight="1"/>
    <row r="11693" ht="30" customHeight="1"/>
    <row r="11694" ht="30" customHeight="1"/>
    <row r="11695" ht="30" customHeight="1"/>
    <row r="11696" ht="30" customHeight="1"/>
    <row r="11697" ht="30" customHeight="1"/>
    <row r="11698" ht="30" customHeight="1"/>
    <row r="11699" ht="30" customHeight="1"/>
    <row r="11700" ht="30" customHeight="1"/>
    <row r="11701" ht="30" customHeight="1"/>
    <row r="11702" ht="30" customHeight="1"/>
    <row r="11703" ht="30" customHeight="1"/>
    <row r="11704" ht="30" customHeight="1"/>
    <row r="11705" ht="30" customHeight="1"/>
    <row r="11706" ht="30" customHeight="1"/>
    <row r="11707" ht="30" customHeight="1"/>
    <row r="11708" ht="30" customHeight="1"/>
    <row r="11709" ht="30" customHeight="1"/>
    <row r="11710" ht="30" customHeight="1"/>
    <row r="11711" ht="30" customHeight="1"/>
    <row r="11712" ht="30" customHeight="1"/>
    <row r="11713" ht="30" customHeight="1"/>
    <row r="11714" ht="30" customHeight="1"/>
    <row r="11715" ht="30" customHeight="1"/>
    <row r="11716" ht="30" customHeight="1"/>
    <row r="11717" ht="30" customHeight="1"/>
    <row r="11718" ht="30" customHeight="1"/>
    <row r="11719" ht="30" customHeight="1"/>
    <row r="11720" ht="30" customHeight="1"/>
    <row r="11721" ht="30" customHeight="1"/>
    <row r="11722" ht="30" customHeight="1"/>
    <row r="11723" ht="30" customHeight="1"/>
    <row r="11724" ht="30" customHeight="1"/>
    <row r="11725" ht="30" customHeight="1"/>
    <row r="11726" ht="30" customHeight="1"/>
    <row r="11727" ht="30" customHeight="1"/>
    <row r="11728" ht="30" customHeight="1"/>
    <row r="11729" ht="30" customHeight="1"/>
    <row r="11730" ht="30" customHeight="1"/>
    <row r="11731" ht="30" customHeight="1"/>
    <row r="11732" ht="30" customHeight="1"/>
    <row r="11733" ht="30" customHeight="1"/>
    <row r="11734" ht="30" customHeight="1"/>
    <row r="11735" ht="30" customHeight="1"/>
    <row r="11736" ht="30" customHeight="1"/>
    <row r="11737" ht="30" customHeight="1"/>
    <row r="11738" ht="30" customHeight="1"/>
    <row r="11739" ht="30" customHeight="1"/>
    <row r="11740" ht="30" customHeight="1"/>
    <row r="11741" ht="30" customHeight="1"/>
    <row r="11742" ht="30" customHeight="1"/>
    <row r="11743" ht="30" customHeight="1"/>
    <row r="11744" ht="30" customHeight="1"/>
    <row r="11745" ht="30" customHeight="1"/>
    <row r="11746" ht="30" customHeight="1"/>
    <row r="11747" ht="30" customHeight="1"/>
    <row r="11748" ht="30" customHeight="1"/>
    <row r="11749" ht="30" customHeight="1"/>
    <row r="11750" ht="30" customHeight="1"/>
    <row r="11751" ht="30" customHeight="1"/>
    <row r="11752" ht="30" customHeight="1"/>
    <row r="11753" ht="30" customHeight="1"/>
    <row r="11754" ht="30" customHeight="1"/>
    <row r="11755" ht="30" customHeight="1"/>
    <row r="11756" ht="30" customHeight="1"/>
    <row r="11757" ht="30" customHeight="1"/>
    <row r="11758" ht="30" customHeight="1"/>
    <row r="11759" ht="30" customHeight="1"/>
    <row r="11760" ht="30" customHeight="1"/>
    <row r="11761" ht="30" customHeight="1"/>
    <row r="11762" ht="30" customHeight="1"/>
    <row r="11763" ht="30" customHeight="1"/>
    <row r="11764" ht="30" customHeight="1"/>
    <row r="11765" ht="30" customHeight="1"/>
    <row r="11766" ht="30" customHeight="1"/>
    <row r="11767" ht="30" customHeight="1"/>
    <row r="11768" ht="30" customHeight="1"/>
    <row r="11769" ht="30" customHeight="1"/>
    <row r="11770" ht="30" customHeight="1"/>
    <row r="11771" ht="30" customHeight="1"/>
    <row r="11772" ht="30" customHeight="1"/>
    <row r="11773" ht="30" customHeight="1"/>
    <row r="11774" ht="30" customHeight="1"/>
    <row r="11775" ht="30" customHeight="1"/>
    <row r="11776" ht="30" customHeight="1"/>
    <row r="11777" ht="30" customHeight="1"/>
    <row r="11778" ht="30" customHeight="1"/>
    <row r="11779" ht="30" customHeight="1"/>
    <row r="11780" ht="30" customHeight="1"/>
    <row r="11781" ht="30" customHeight="1"/>
    <row r="11782" ht="30" customHeight="1"/>
    <row r="11783" ht="30" customHeight="1"/>
    <row r="11784" ht="30" customHeight="1"/>
    <row r="11785" ht="30" customHeight="1"/>
    <row r="11786" ht="30" customHeight="1"/>
    <row r="11787" ht="30" customHeight="1"/>
    <row r="11788" ht="30" customHeight="1"/>
    <row r="11789" ht="30" customHeight="1"/>
    <row r="11790" ht="30" customHeight="1"/>
    <row r="11791" ht="30" customHeight="1"/>
    <row r="11792" ht="30" customHeight="1"/>
    <row r="11793" ht="30" customHeight="1"/>
    <row r="11794" ht="30" customHeight="1"/>
    <row r="11795" ht="30" customHeight="1"/>
    <row r="11796" ht="30" customHeight="1"/>
    <row r="11797" ht="30" customHeight="1"/>
    <row r="11798" ht="30" customHeight="1"/>
    <row r="11799" ht="30" customHeight="1"/>
    <row r="11800" ht="30" customHeight="1"/>
    <row r="11801" ht="30" customHeight="1"/>
    <row r="11802" ht="30" customHeight="1"/>
    <row r="11803" ht="30" customHeight="1"/>
    <row r="11804" ht="30" customHeight="1"/>
    <row r="11805" ht="30" customHeight="1"/>
    <row r="11806" ht="30" customHeight="1"/>
    <row r="11807" ht="30" customHeight="1"/>
    <row r="11808" ht="30" customHeight="1"/>
    <row r="11809" ht="30" customHeight="1"/>
    <row r="11810" ht="30" customHeight="1"/>
    <row r="11811" ht="30" customHeight="1"/>
    <row r="11812" ht="30" customHeight="1"/>
    <row r="11813" ht="30" customHeight="1"/>
    <row r="11814" ht="30" customHeight="1"/>
    <row r="11815" ht="30" customHeight="1"/>
    <row r="11816" ht="30" customHeight="1"/>
    <row r="11817" ht="30" customHeight="1"/>
    <row r="11818" ht="30" customHeight="1"/>
    <row r="11819" ht="30" customHeight="1"/>
    <row r="11820" ht="30" customHeight="1"/>
    <row r="11821" ht="30" customHeight="1"/>
    <row r="11822" ht="30" customHeight="1"/>
    <row r="11823" ht="30" customHeight="1"/>
    <row r="11824" ht="30" customHeight="1"/>
    <row r="11825" ht="30" customHeight="1"/>
    <row r="11826" ht="30" customHeight="1"/>
    <row r="11827" ht="30" customHeight="1"/>
    <row r="11828" ht="30" customHeight="1"/>
    <row r="11829" ht="30" customHeight="1"/>
    <row r="11830" ht="30" customHeight="1"/>
    <row r="11831" ht="30" customHeight="1"/>
    <row r="11832" ht="30" customHeight="1"/>
    <row r="11833" ht="30" customHeight="1"/>
    <row r="11834" ht="30" customHeight="1"/>
    <row r="11835" ht="30" customHeight="1"/>
    <row r="11836" ht="30" customHeight="1"/>
    <row r="11837" ht="30" customHeight="1"/>
    <row r="11838" ht="30" customHeight="1"/>
    <row r="11839" ht="30" customHeight="1"/>
    <row r="11840" ht="30" customHeight="1"/>
    <row r="11841" ht="30" customHeight="1"/>
    <row r="11842" ht="30" customHeight="1"/>
    <row r="11843" ht="30" customHeight="1"/>
    <row r="11844" ht="30" customHeight="1"/>
    <row r="11845" ht="30" customHeight="1"/>
    <row r="11846" ht="30" customHeight="1"/>
    <row r="11847" ht="30" customHeight="1"/>
    <row r="11848" ht="30" customHeight="1"/>
    <row r="11849" ht="30" customHeight="1"/>
    <row r="11850" ht="30" customHeight="1"/>
    <row r="11851" ht="30" customHeight="1"/>
    <row r="11852" ht="30" customHeight="1"/>
    <row r="11853" ht="30" customHeight="1"/>
    <row r="11854" ht="30" customHeight="1"/>
    <row r="11855" ht="30" customHeight="1"/>
    <row r="11856" ht="30" customHeight="1"/>
    <row r="11857" ht="30" customHeight="1"/>
    <row r="11858" ht="30" customHeight="1"/>
    <row r="11859" ht="30" customHeight="1"/>
    <row r="11860" ht="30" customHeight="1"/>
    <row r="11861" ht="30" customHeight="1"/>
    <row r="11862" ht="30" customHeight="1"/>
    <row r="11863" ht="30" customHeight="1"/>
    <row r="11864" ht="30" customHeight="1"/>
    <row r="11865" ht="30" customHeight="1"/>
    <row r="11866" ht="30" customHeight="1"/>
    <row r="11867" ht="30" customHeight="1"/>
    <row r="11868" ht="30" customHeight="1"/>
    <row r="11869" ht="30" customHeight="1"/>
    <row r="11870" ht="30" customHeight="1"/>
    <row r="11871" ht="30" customHeight="1"/>
    <row r="11872" ht="30" customHeight="1"/>
    <row r="11873" ht="30" customHeight="1"/>
    <row r="11874" ht="30" customHeight="1"/>
    <row r="11875" ht="30" customHeight="1"/>
    <row r="11876" ht="30" customHeight="1"/>
    <row r="11877" ht="30" customHeight="1"/>
    <row r="11878" ht="30" customHeight="1"/>
    <row r="11879" ht="30" customHeight="1"/>
    <row r="11880" ht="30" customHeight="1"/>
    <row r="11881" ht="30" customHeight="1"/>
    <row r="11882" ht="30" customHeight="1"/>
    <row r="11883" ht="30" customHeight="1"/>
    <row r="11884" ht="30" customHeight="1"/>
    <row r="11885" ht="30" customHeight="1"/>
    <row r="11886" ht="30" customHeight="1"/>
    <row r="11887" ht="30" customHeight="1"/>
    <row r="11888" ht="30" customHeight="1"/>
    <row r="11889" ht="30" customHeight="1"/>
    <row r="11890" ht="30" customHeight="1"/>
    <row r="11891" ht="30" customHeight="1"/>
    <row r="11892" ht="30" customHeight="1"/>
    <row r="11893" ht="30" customHeight="1"/>
    <row r="11894" ht="30" customHeight="1"/>
    <row r="11895" ht="30" customHeight="1"/>
    <row r="11896" ht="30" customHeight="1"/>
    <row r="11897" ht="30" customHeight="1"/>
    <row r="11898" ht="30" customHeight="1"/>
    <row r="11899" ht="30" customHeight="1"/>
    <row r="11900" ht="30" customHeight="1"/>
    <row r="11901" ht="30" customHeight="1"/>
    <row r="11902" ht="30" customHeight="1"/>
    <row r="11903" ht="30" customHeight="1"/>
    <row r="11904" ht="30" customHeight="1"/>
    <row r="11905" ht="30" customHeight="1"/>
    <row r="11906" ht="30" customHeight="1"/>
    <row r="11907" ht="30" customHeight="1"/>
    <row r="11908" ht="30" customHeight="1"/>
    <row r="11909" ht="30" customHeight="1"/>
    <row r="11910" ht="30" customHeight="1"/>
    <row r="11911" ht="30" customHeight="1"/>
    <row r="11912" ht="30" customHeight="1"/>
    <row r="11913" ht="30" customHeight="1"/>
    <row r="11914" ht="30" customHeight="1"/>
    <row r="11915" ht="30" customHeight="1"/>
    <row r="11916" ht="30" customHeight="1"/>
    <row r="11917" ht="30" customHeight="1"/>
    <row r="11918" ht="30" customHeight="1"/>
    <row r="11919" ht="30" customHeight="1"/>
    <row r="11920" ht="30" customHeight="1"/>
    <row r="11921" ht="30" customHeight="1"/>
    <row r="11922" ht="30" customHeight="1"/>
    <row r="11923" ht="30" customHeight="1"/>
    <row r="11924" ht="30" customHeight="1"/>
    <row r="11925" ht="30" customHeight="1"/>
    <row r="11926" ht="30" customHeight="1"/>
    <row r="11927" ht="30" customHeight="1"/>
    <row r="11928" ht="30" customHeight="1"/>
    <row r="11929" ht="30" customHeight="1"/>
    <row r="11930" ht="30" customHeight="1"/>
    <row r="11931" ht="30" customHeight="1"/>
    <row r="11932" ht="30" customHeight="1"/>
    <row r="11933" ht="30" customHeight="1"/>
    <row r="11934" ht="30" customHeight="1"/>
    <row r="11935" ht="30" customHeight="1"/>
    <row r="11936" ht="30" customHeight="1"/>
    <row r="11937" ht="30" customHeight="1"/>
    <row r="11938" ht="30" customHeight="1"/>
    <row r="11939" ht="30" customHeight="1"/>
    <row r="11940" ht="30" customHeight="1"/>
    <row r="11941" ht="30" customHeight="1"/>
    <row r="11942" ht="30" customHeight="1"/>
    <row r="11943" ht="30" customHeight="1"/>
    <row r="11944" ht="30" customHeight="1"/>
    <row r="11945" ht="30" customHeight="1"/>
    <row r="11946" ht="30" customHeight="1"/>
    <row r="11947" ht="30" customHeight="1"/>
    <row r="11948" ht="30" customHeight="1"/>
    <row r="11949" ht="30" customHeight="1"/>
    <row r="11950" ht="30" customHeight="1"/>
    <row r="11951" ht="30" customHeight="1"/>
    <row r="11952" ht="30" customHeight="1"/>
    <row r="11953" ht="30" customHeight="1"/>
    <row r="11954" ht="30" customHeight="1"/>
    <row r="11955" ht="30" customHeight="1"/>
    <row r="11956" ht="30" customHeight="1"/>
    <row r="11957" ht="30" customHeight="1"/>
    <row r="11958" ht="30" customHeight="1"/>
    <row r="11959" ht="30" customHeight="1"/>
    <row r="11960" ht="30" customHeight="1"/>
    <row r="11961" ht="30" customHeight="1"/>
    <row r="11962" ht="30" customHeight="1"/>
    <row r="11963" ht="30" customHeight="1"/>
    <row r="11964" ht="30" customHeight="1"/>
    <row r="11965" ht="30" customHeight="1"/>
    <row r="11966" ht="30" customHeight="1"/>
    <row r="11967" ht="30" customHeight="1"/>
    <row r="11968" ht="30" customHeight="1"/>
    <row r="11969" ht="30" customHeight="1"/>
    <row r="11970" ht="30" customHeight="1"/>
    <row r="11971" ht="30" customHeight="1"/>
    <row r="11972" ht="30" customHeight="1"/>
    <row r="11973" ht="30" customHeight="1"/>
    <row r="11974" ht="30" customHeight="1"/>
    <row r="11975" ht="30" customHeight="1"/>
    <row r="11976" ht="30" customHeight="1"/>
    <row r="11977" ht="30" customHeight="1"/>
    <row r="11978" ht="30" customHeight="1"/>
    <row r="11979" ht="30" customHeight="1"/>
    <row r="11980" ht="30" customHeight="1"/>
    <row r="11981" ht="30" customHeight="1"/>
    <row r="11982" ht="30" customHeight="1"/>
    <row r="11983" ht="30" customHeight="1"/>
    <row r="11984" ht="30" customHeight="1"/>
    <row r="11985" ht="30" customHeight="1"/>
    <row r="11986" ht="30" customHeight="1"/>
    <row r="11987" ht="30" customHeight="1"/>
    <row r="11988" ht="30" customHeight="1"/>
    <row r="11989" ht="30" customHeight="1"/>
    <row r="11990" ht="30" customHeight="1"/>
    <row r="11991" ht="30" customHeight="1"/>
    <row r="11992" ht="30" customHeight="1"/>
    <row r="11993" ht="30" customHeight="1"/>
    <row r="11994" ht="30" customHeight="1"/>
    <row r="11995" ht="30" customHeight="1"/>
    <row r="11996" ht="30" customHeight="1"/>
    <row r="11997" ht="30" customHeight="1"/>
    <row r="11998" ht="30" customHeight="1"/>
    <row r="11999" ht="30" customHeight="1"/>
    <row r="12000" ht="30" customHeight="1"/>
    <row r="12001" ht="30" customHeight="1"/>
    <row r="12002" ht="30" customHeight="1"/>
    <row r="12003" ht="30" customHeight="1"/>
    <row r="12004" ht="30" customHeight="1"/>
    <row r="12005" ht="30" customHeight="1"/>
    <row r="12006" ht="30" customHeight="1"/>
    <row r="12007" ht="30" customHeight="1"/>
    <row r="12008" ht="30" customHeight="1"/>
    <row r="12009" ht="30" customHeight="1"/>
    <row r="12010" ht="30" customHeight="1"/>
    <row r="12011" ht="30" customHeight="1"/>
    <row r="12012" ht="30" customHeight="1"/>
    <row r="12013" ht="30" customHeight="1"/>
    <row r="12014" ht="30" customHeight="1"/>
    <row r="12015" ht="30" customHeight="1"/>
    <row r="12016" ht="30" customHeight="1"/>
    <row r="12017" ht="30" customHeight="1"/>
    <row r="12018" ht="30" customHeight="1"/>
    <row r="12019" ht="30" customHeight="1"/>
    <row r="12020" ht="30" customHeight="1"/>
    <row r="12021" ht="30" customHeight="1"/>
    <row r="12022" ht="30" customHeight="1"/>
    <row r="12023" ht="30" customHeight="1"/>
    <row r="12024" ht="30" customHeight="1"/>
    <row r="12025" ht="30" customHeight="1"/>
    <row r="12026" ht="30" customHeight="1"/>
    <row r="12027" ht="30" customHeight="1"/>
    <row r="12028" ht="30" customHeight="1"/>
    <row r="12029" ht="30" customHeight="1"/>
    <row r="12030" ht="30" customHeight="1"/>
    <row r="12031" ht="30" customHeight="1"/>
    <row r="12032" ht="30" customHeight="1"/>
    <row r="12033" ht="30" customHeight="1"/>
    <row r="12034" ht="30" customHeight="1"/>
    <row r="12035" ht="30" customHeight="1"/>
    <row r="12036" ht="30" customHeight="1"/>
    <row r="12037" ht="30" customHeight="1"/>
    <row r="12038" ht="30" customHeight="1"/>
    <row r="12039" ht="30" customHeight="1"/>
    <row r="12040" ht="30" customHeight="1"/>
    <row r="12041" ht="30" customHeight="1"/>
    <row r="12042" ht="30" customHeight="1"/>
    <row r="12043" ht="30" customHeight="1"/>
    <row r="12044" ht="30" customHeight="1"/>
    <row r="12045" ht="30" customHeight="1"/>
    <row r="12046" ht="30" customHeight="1"/>
    <row r="12047" ht="30" customHeight="1"/>
    <row r="12048" ht="30" customHeight="1"/>
    <row r="12049" ht="30" customHeight="1"/>
    <row r="12050" ht="30" customHeight="1"/>
    <row r="12051" ht="30" customHeight="1"/>
    <row r="12052" ht="30" customHeight="1"/>
    <row r="12053" ht="30" customHeight="1"/>
    <row r="12054" ht="30" customHeight="1"/>
    <row r="12055" ht="30" customHeight="1"/>
    <row r="12056" ht="30" customHeight="1"/>
    <row r="12057" ht="30" customHeight="1"/>
    <row r="12058" ht="30" customHeight="1"/>
    <row r="12059" ht="30" customHeight="1"/>
    <row r="12060" ht="30" customHeight="1"/>
    <row r="12061" ht="30" customHeight="1"/>
    <row r="12062" ht="30" customHeight="1"/>
    <row r="12063" ht="30" customHeight="1"/>
    <row r="12064" ht="30" customHeight="1"/>
    <row r="12065" ht="30" customHeight="1"/>
    <row r="12066" ht="30" customHeight="1"/>
    <row r="12067" ht="30" customHeight="1"/>
    <row r="12068" ht="30" customHeight="1"/>
    <row r="12069" ht="30" customHeight="1"/>
    <row r="12070" ht="30" customHeight="1"/>
    <row r="12071" ht="30" customHeight="1"/>
    <row r="12072" ht="30" customHeight="1"/>
    <row r="12073" ht="30" customHeight="1"/>
    <row r="12074" ht="30" customHeight="1"/>
    <row r="12075" ht="30" customHeight="1"/>
    <row r="12076" ht="30" customHeight="1"/>
    <row r="12077" ht="30" customHeight="1"/>
    <row r="12078" ht="30" customHeight="1"/>
    <row r="12079" ht="30" customHeight="1"/>
    <row r="12080" ht="30" customHeight="1"/>
    <row r="12081" ht="30" customHeight="1"/>
    <row r="12082" ht="30" customHeight="1"/>
    <row r="12083" ht="30" customHeight="1"/>
    <row r="12084" ht="30" customHeight="1"/>
    <row r="12085" ht="30" customHeight="1"/>
    <row r="12086" ht="30" customHeight="1"/>
    <row r="12087" ht="30" customHeight="1"/>
    <row r="12088" ht="30" customHeight="1"/>
    <row r="12089" ht="30" customHeight="1"/>
    <row r="12090" ht="30" customHeight="1"/>
    <row r="12091" ht="30" customHeight="1"/>
    <row r="12092" ht="30" customHeight="1"/>
    <row r="12093" ht="30" customHeight="1"/>
    <row r="12094" ht="30" customHeight="1"/>
    <row r="12095" ht="30" customHeight="1"/>
    <row r="12096" ht="30" customHeight="1"/>
    <row r="12097" ht="30" customHeight="1"/>
    <row r="12098" ht="30" customHeight="1"/>
    <row r="12099" ht="30" customHeight="1"/>
    <row r="12100" ht="30" customHeight="1"/>
    <row r="12101" ht="30" customHeight="1"/>
    <row r="12102" ht="30" customHeight="1"/>
    <row r="12103" ht="30" customHeight="1"/>
    <row r="12104" ht="30" customHeight="1"/>
    <row r="12105" ht="30" customHeight="1"/>
    <row r="12106" ht="30" customHeight="1"/>
    <row r="12107" ht="30" customHeight="1"/>
    <row r="12108" ht="30" customHeight="1"/>
    <row r="12109" ht="30" customHeight="1"/>
    <row r="12110" ht="30" customHeight="1"/>
    <row r="12111" ht="30" customHeight="1"/>
    <row r="12112" ht="30" customHeight="1"/>
    <row r="12113" ht="30" customHeight="1"/>
    <row r="12114" ht="30" customHeight="1"/>
    <row r="12115" ht="30" customHeight="1"/>
    <row r="12116" ht="30" customHeight="1"/>
    <row r="12117" ht="30" customHeight="1"/>
    <row r="12118" ht="30" customHeight="1"/>
    <row r="12119" ht="30" customHeight="1"/>
    <row r="12120" ht="30" customHeight="1"/>
    <row r="12121" ht="30" customHeight="1"/>
    <row r="12122" ht="30" customHeight="1"/>
    <row r="12123" ht="30" customHeight="1"/>
    <row r="12124" ht="30" customHeight="1"/>
    <row r="12125" ht="30" customHeight="1"/>
    <row r="12126" ht="30" customHeight="1"/>
    <row r="12127" ht="30" customHeight="1"/>
    <row r="12128" ht="30" customHeight="1"/>
    <row r="12129" ht="30" customHeight="1"/>
    <row r="12130" ht="30" customHeight="1"/>
    <row r="12131" ht="30" customHeight="1"/>
    <row r="12132" ht="30" customHeight="1"/>
    <row r="12133" ht="30" customHeight="1"/>
    <row r="12134" ht="30" customHeight="1"/>
    <row r="12135" ht="30" customHeight="1"/>
    <row r="12136" ht="30" customHeight="1"/>
    <row r="12137" ht="30" customHeight="1"/>
    <row r="12138" ht="30" customHeight="1"/>
    <row r="12139" ht="30" customHeight="1"/>
    <row r="12140" ht="30" customHeight="1"/>
    <row r="12141" ht="30" customHeight="1"/>
    <row r="12142" ht="30" customHeight="1"/>
    <row r="12143" ht="30" customHeight="1"/>
    <row r="12144" ht="30" customHeight="1"/>
    <row r="12145" ht="30" customHeight="1"/>
    <row r="12146" ht="30" customHeight="1"/>
    <row r="12147" ht="30" customHeight="1"/>
    <row r="12148" ht="30" customHeight="1"/>
    <row r="12149" ht="30" customHeight="1"/>
    <row r="12150" ht="30" customHeight="1"/>
    <row r="12151" ht="30" customHeight="1"/>
    <row r="12152" ht="30" customHeight="1"/>
    <row r="12153" ht="30" customHeight="1"/>
    <row r="12154" ht="30" customHeight="1"/>
    <row r="12155" ht="30" customHeight="1"/>
    <row r="12156" ht="30" customHeight="1"/>
    <row r="12157" ht="30" customHeight="1"/>
    <row r="12158" ht="30" customHeight="1"/>
    <row r="12159" ht="30" customHeight="1"/>
    <row r="12160" ht="30" customHeight="1"/>
    <row r="12161" ht="30" customHeight="1"/>
    <row r="12162" ht="30" customHeight="1"/>
    <row r="12163" ht="30" customHeight="1"/>
    <row r="12164" ht="30" customHeight="1"/>
    <row r="12165" ht="30" customHeight="1"/>
    <row r="12166" ht="30" customHeight="1"/>
    <row r="12167" ht="30" customHeight="1"/>
    <row r="12168" ht="30" customHeight="1"/>
    <row r="12169" ht="30" customHeight="1"/>
    <row r="12170" ht="30" customHeight="1"/>
    <row r="12171" ht="30" customHeight="1"/>
    <row r="12172" ht="30" customHeight="1"/>
    <row r="12173" ht="30" customHeight="1"/>
    <row r="12174" ht="30" customHeight="1"/>
    <row r="12175" ht="30" customHeight="1"/>
    <row r="12176" ht="30" customHeight="1"/>
    <row r="12177" ht="30" customHeight="1"/>
    <row r="12178" ht="30" customHeight="1"/>
    <row r="12179" ht="30" customHeight="1"/>
    <row r="12180" ht="30" customHeight="1"/>
    <row r="12181" ht="30" customHeight="1"/>
    <row r="12182" ht="30" customHeight="1"/>
    <row r="12183" ht="30" customHeight="1"/>
    <row r="12184" ht="30" customHeight="1"/>
    <row r="12185" ht="30" customHeight="1"/>
    <row r="12186" ht="30" customHeight="1"/>
    <row r="12187" ht="30" customHeight="1"/>
    <row r="12188" ht="30" customHeight="1"/>
    <row r="12189" ht="30" customHeight="1"/>
    <row r="12190" ht="30" customHeight="1"/>
    <row r="12191" ht="30" customHeight="1"/>
    <row r="12192" ht="30" customHeight="1"/>
    <row r="12193" ht="30" customHeight="1"/>
    <row r="12194" ht="30" customHeight="1"/>
    <row r="12195" ht="30" customHeight="1"/>
    <row r="12196" ht="30" customHeight="1"/>
    <row r="12197" ht="30" customHeight="1"/>
    <row r="12198" ht="30" customHeight="1"/>
    <row r="12199" ht="30" customHeight="1"/>
    <row r="12200" ht="30" customHeight="1"/>
    <row r="12201" ht="30" customHeight="1"/>
    <row r="12202" ht="30" customHeight="1"/>
    <row r="12203" ht="30" customHeight="1"/>
    <row r="12204" ht="30" customHeight="1"/>
    <row r="12205" ht="30" customHeight="1"/>
    <row r="12206" ht="30" customHeight="1"/>
    <row r="12207" ht="30" customHeight="1"/>
    <row r="12208" ht="30" customHeight="1"/>
    <row r="12209" ht="30" customHeight="1"/>
    <row r="12210" ht="30" customHeight="1"/>
    <row r="12211" ht="30" customHeight="1"/>
    <row r="12212" ht="30" customHeight="1"/>
    <row r="12213" ht="30" customHeight="1"/>
    <row r="12214" ht="30" customHeight="1"/>
    <row r="12215" ht="30" customHeight="1"/>
    <row r="12216" ht="30" customHeight="1"/>
    <row r="12217" ht="30" customHeight="1"/>
    <row r="12218" ht="30" customHeight="1"/>
    <row r="12219" ht="30" customHeight="1"/>
    <row r="12220" ht="30" customHeight="1"/>
    <row r="12221" ht="30" customHeight="1"/>
    <row r="12222" ht="30" customHeight="1"/>
    <row r="12223" ht="30" customHeight="1"/>
    <row r="12224" ht="30" customHeight="1"/>
    <row r="12225" ht="30" customHeight="1"/>
    <row r="12226" ht="30" customHeight="1"/>
    <row r="12227" ht="30" customHeight="1"/>
    <row r="12228" ht="30" customHeight="1"/>
    <row r="12229" ht="30" customHeight="1"/>
    <row r="12230" ht="30" customHeight="1"/>
    <row r="12231" ht="30" customHeight="1"/>
    <row r="12232" ht="30" customHeight="1"/>
    <row r="12233" ht="30" customHeight="1"/>
    <row r="12234" ht="30" customHeight="1"/>
    <row r="12235" ht="30" customHeight="1"/>
    <row r="12236" ht="30" customHeight="1"/>
    <row r="12237" ht="30" customHeight="1"/>
    <row r="12238" ht="30" customHeight="1"/>
    <row r="12239" ht="30" customHeight="1"/>
    <row r="12240" ht="30" customHeight="1"/>
    <row r="12241" ht="30" customHeight="1"/>
    <row r="12242" ht="30" customHeight="1"/>
    <row r="12243" ht="30" customHeight="1"/>
    <row r="12244" ht="30" customHeight="1"/>
    <row r="12245" ht="30" customHeight="1"/>
    <row r="12246" ht="30" customHeight="1"/>
    <row r="12247" ht="30" customHeight="1"/>
    <row r="12248" ht="30" customHeight="1"/>
    <row r="12249" ht="30" customHeight="1"/>
    <row r="12250" ht="30" customHeight="1"/>
    <row r="12251" ht="30" customHeight="1"/>
    <row r="12252" ht="30" customHeight="1"/>
    <row r="12253" ht="30" customHeight="1"/>
    <row r="12254" ht="30" customHeight="1"/>
    <row r="12255" ht="30" customHeight="1"/>
    <row r="12256" ht="30" customHeight="1"/>
    <row r="12257" ht="30" customHeight="1"/>
    <row r="12258" ht="30" customHeight="1"/>
    <row r="12259" ht="30" customHeight="1"/>
    <row r="12260" ht="30" customHeight="1"/>
    <row r="12261" ht="30" customHeight="1"/>
    <row r="12262" ht="30" customHeight="1"/>
    <row r="12263" ht="30" customHeight="1"/>
    <row r="12264" ht="30" customHeight="1"/>
    <row r="12265" ht="30" customHeight="1"/>
    <row r="12266" ht="30" customHeight="1"/>
    <row r="12267" ht="30" customHeight="1"/>
    <row r="12268" ht="30" customHeight="1"/>
    <row r="12269" ht="30" customHeight="1"/>
    <row r="12270" ht="30" customHeight="1"/>
    <row r="12271" ht="30" customHeight="1"/>
    <row r="12272" ht="30" customHeight="1"/>
    <row r="12273" ht="30" customHeight="1"/>
    <row r="12274" ht="30" customHeight="1"/>
    <row r="12275" ht="30" customHeight="1"/>
    <row r="12276" ht="30" customHeight="1"/>
    <row r="12277" ht="30" customHeight="1"/>
    <row r="12278" ht="30" customHeight="1"/>
    <row r="12279" ht="30" customHeight="1"/>
    <row r="12280" ht="30" customHeight="1"/>
    <row r="12281" ht="30" customHeight="1"/>
    <row r="12282" ht="30" customHeight="1"/>
    <row r="12283" ht="30" customHeight="1"/>
    <row r="12284" ht="30" customHeight="1"/>
    <row r="12285" ht="30" customHeight="1"/>
    <row r="12286" ht="30" customHeight="1"/>
    <row r="12287" ht="30" customHeight="1"/>
    <row r="12288" ht="30" customHeight="1"/>
    <row r="12289" ht="30" customHeight="1"/>
    <row r="12290" ht="30" customHeight="1"/>
    <row r="12291" ht="30" customHeight="1"/>
    <row r="12292" ht="30" customHeight="1"/>
    <row r="12293" ht="30" customHeight="1"/>
    <row r="12294" ht="30" customHeight="1"/>
    <row r="12295" ht="30" customHeight="1"/>
    <row r="12296" ht="30" customHeight="1"/>
    <row r="12297" ht="30" customHeight="1"/>
    <row r="12298" ht="30" customHeight="1"/>
    <row r="12299" ht="30" customHeight="1"/>
    <row r="12300" ht="30" customHeight="1"/>
    <row r="12301" ht="30" customHeight="1"/>
    <row r="12302" ht="30" customHeight="1"/>
    <row r="12303" ht="30" customHeight="1"/>
    <row r="12304" ht="30" customHeight="1"/>
    <row r="12305" ht="30" customHeight="1"/>
    <row r="12306" ht="30" customHeight="1"/>
    <row r="12307" ht="30" customHeight="1"/>
    <row r="12308" ht="30" customHeight="1"/>
    <row r="12309" ht="30" customHeight="1"/>
    <row r="12310" ht="30" customHeight="1"/>
    <row r="12311" ht="30" customHeight="1"/>
    <row r="12312" ht="30" customHeight="1"/>
    <row r="12313" ht="30" customHeight="1"/>
    <row r="12314" ht="30" customHeight="1"/>
    <row r="12315" ht="30" customHeight="1"/>
    <row r="12316" ht="30" customHeight="1"/>
    <row r="12317" ht="30" customHeight="1"/>
    <row r="12318" ht="30" customHeight="1"/>
    <row r="12319" ht="30" customHeight="1"/>
    <row r="12320" ht="30" customHeight="1"/>
    <row r="12321" ht="30" customHeight="1"/>
    <row r="12322" ht="30" customHeight="1"/>
    <row r="12323" ht="30" customHeight="1"/>
    <row r="12324" ht="30" customHeight="1"/>
    <row r="12325" ht="30" customHeight="1"/>
    <row r="12326" ht="30" customHeight="1"/>
    <row r="12327" ht="30" customHeight="1"/>
    <row r="12328" ht="30" customHeight="1"/>
    <row r="12329" ht="30" customHeight="1"/>
    <row r="12330" ht="30" customHeight="1"/>
    <row r="12331" ht="30" customHeight="1"/>
    <row r="12332" ht="30" customHeight="1"/>
    <row r="12333" ht="30" customHeight="1"/>
    <row r="12334" ht="30" customHeight="1"/>
    <row r="12335" ht="30" customHeight="1"/>
    <row r="12336" ht="30" customHeight="1"/>
    <row r="12337" ht="30" customHeight="1"/>
    <row r="12338" ht="30" customHeight="1"/>
    <row r="12339" ht="30" customHeight="1"/>
    <row r="12340" ht="30" customHeight="1"/>
    <row r="12341" ht="30" customHeight="1"/>
    <row r="12342" ht="30" customHeight="1"/>
    <row r="12343" ht="30" customHeight="1"/>
    <row r="12344" ht="30" customHeight="1"/>
    <row r="12345" ht="30" customHeight="1"/>
    <row r="12346" ht="30" customHeight="1"/>
    <row r="12347" ht="30" customHeight="1"/>
    <row r="12348" ht="30" customHeight="1"/>
    <row r="12349" ht="30" customHeight="1"/>
    <row r="12350" ht="30" customHeight="1"/>
    <row r="12351" ht="30" customHeight="1"/>
    <row r="12352" ht="30" customHeight="1"/>
    <row r="12353" ht="30" customHeight="1"/>
    <row r="12354" ht="30" customHeight="1"/>
    <row r="12355" ht="30" customHeight="1"/>
    <row r="12356" ht="30" customHeight="1"/>
    <row r="12357" ht="30" customHeight="1"/>
    <row r="12358" ht="30" customHeight="1"/>
    <row r="12359" ht="30" customHeight="1"/>
    <row r="12360" ht="30" customHeight="1"/>
    <row r="12361" ht="30" customHeight="1"/>
    <row r="12362" ht="30" customHeight="1"/>
    <row r="12363" ht="30" customHeight="1"/>
    <row r="12364" ht="30" customHeight="1"/>
    <row r="12365" ht="30" customHeight="1"/>
    <row r="12366" ht="30" customHeight="1"/>
    <row r="12367" ht="30" customHeight="1"/>
    <row r="12368" ht="30" customHeight="1"/>
    <row r="12369" ht="30" customHeight="1"/>
    <row r="12370" ht="30" customHeight="1"/>
    <row r="12371" ht="30" customHeight="1"/>
    <row r="12372" ht="30" customHeight="1"/>
    <row r="12373" ht="30" customHeight="1"/>
    <row r="12374" ht="30" customHeight="1"/>
    <row r="12375" ht="30" customHeight="1"/>
    <row r="12376" ht="30" customHeight="1"/>
    <row r="12377" ht="30" customHeight="1"/>
    <row r="12378" ht="30" customHeight="1"/>
    <row r="12379" ht="30" customHeight="1"/>
    <row r="12380" ht="30" customHeight="1"/>
    <row r="12381" ht="30" customHeight="1"/>
    <row r="12382" ht="30" customHeight="1"/>
    <row r="12383" ht="30" customHeight="1"/>
    <row r="12384" ht="30" customHeight="1"/>
    <row r="12385" ht="30" customHeight="1"/>
    <row r="12386" ht="30" customHeight="1"/>
    <row r="12387" ht="30" customHeight="1"/>
    <row r="12388" ht="30" customHeight="1"/>
    <row r="12389" ht="30" customHeight="1"/>
    <row r="12390" ht="30" customHeight="1"/>
    <row r="12391" ht="30" customHeight="1"/>
    <row r="12392" ht="30" customHeight="1"/>
    <row r="12393" ht="30" customHeight="1"/>
    <row r="12394" ht="30" customHeight="1"/>
    <row r="12395" ht="30" customHeight="1"/>
    <row r="12396" ht="30" customHeight="1"/>
    <row r="12397" ht="30" customHeight="1"/>
    <row r="12398" ht="30" customHeight="1"/>
    <row r="12399" ht="30" customHeight="1"/>
    <row r="12400" ht="30" customHeight="1"/>
    <row r="12401" ht="30" customHeight="1"/>
    <row r="12402" ht="30" customHeight="1"/>
    <row r="12403" ht="30" customHeight="1"/>
    <row r="12404" ht="30" customHeight="1"/>
    <row r="12405" ht="30" customHeight="1"/>
    <row r="12406" ht="30" customHeight="1"/>
    <row r="12407" ht="30" customHeight="1"/>
    <row r="12408" ht="30" customHeight="1"/>
    <row r="12409" ht="30" customHeight="1"/>
    <row r="12410" ht="30" customHeight="1"/>
    <row r="12411" ht="30" customHeight="1"/>
    <row r="12412" ht="30" customHeight="1"/>
    <row r="12413" ht="30" customHeight="1"/>
    <row r="12414" ht="30" customHeight="1"/>
    <row r="12415" ht="30" customHeight="1"/>
    <row r="12416" ht="30" customHeight="1"/>
    <row r="12417" ht="30" customHeight="1"/>
    <row r="12418" ht="30" customHeight="1"/>
    <row r="12419" ht="30" customHeight="1"/>
    <row r="12420" ht="30" customHeight="1"/>
    <row r="12421" ht="30" customHeight="1"/>
    <row r="12422" ht="30" customHeight="1"/>
    <row r="12423" ht="30" customHeight="1"/>
    <row r="12424" ht="30" customHeight="1"/>
    <row r="12425" ht="30" customHeight="1"/>
    <row r="12426" ht="30" customHeight="1"/>
    <row r="12427" ht="30" customHeight="1"/>
    <row r="12428" ht="30" customHeight="1"/>
    <row r="12429" ht="30" customHeight="1"/>
    <row r="12430" ht="30" customHeight="1"/>
    <row r="12431" ht="30" customHeight="1"/>
    <row r="12432" ht="30" customHeight="1"/>
    <row r="12433" ht="30" customHeight="1"/>
    <row r="12434" ht="30" customHeight="1"/>
    <row r="12435" ht="30" customHeight="1"/>
    <row r="12436" ht="30" customHeight="1"/>
    <row r="12437" ht="30" customHeight="1"/>
    <row r="12438" ht="30" customHeight="1"/>
    <row r="12439" ht="30" customHeight="1"/>
    <row r="12440" ht="30" customHeight="1"/>
    <row r="12441" ht="30" customHeight="1"/>
    <row r="12442" ht="30" customHeight="1"/>
    <row r="12443" ht="30" customHeight="1"/>
    <row r="12444" ht="30" customHeight="1"/>
    <row r="12445" ht="30" customHeight="1"/>
    <row r="12446" ht="30" customHeight="1"/>
    <row r="12447" ht="30" customHeight="1"/>
    <row r="12448" ht="30" customHeight="1"/>
    <row r="12449" ht="30" customHeight="1"/>
    <row r="12450" ht="30" customHeight="1"/>
    <row r="12451" ht="30" customHeight="1"/>
    <row r="12452" ht="30" customHeight="1"/>
    <row r="12453" ht="30" customHeight="1"/>
    <row r="12454" ht="30" customHeight="1"/>
    <row r="12455" ht="30" customHeight="1"/>
    <row r="12456" ht="30" customHeight="1"/>
    <row r="12457" ht="30" customHeight="1"/>
    <row r="12458" ht="30" customHeight="1"/>
    <row r="12459" ht="30" customHeight="1"/>
    <row r="12460" ht="30" customHeight="1"/>
    <row r="12461" ht="30" customHeight="1"/>
    <row r="12462" ht="30" customHeight="1"/>
    <row r="12463" ht="30" customHeight="1"/>
    <row r="12464" ht="30" customHeight="1"/>
    <row r="12465" ht="30" customHeight="1"/>
    <row r="12466" ht="30" customHeight="1"/>
    <row r="12467" ht="30" customHeight="1"/>
    <row r="12468" ht="30" customHeight="1"/>
    <row r="12469" ht="30" customHeight="1"/>
    <row r="12470" ht="30" customHeight="1"/>
    <row r="12471" ht="30" customHeight="1"/>
    <row r="12472" ht="30" customHeight="1"/>
    <row r="12473" ht="30" customHeight="1"/>
    <row r="12474" ht="30" customHeight="1"/>
    <row r="12475" ht="30" customHeight="1"/>
    <row r="12476" ht="30" customHeight="1"/>
    <row r="12477" ht="30" customHeight="1"/>
    <row r="12478" ht="30" customHeight="1"/>
    <row r="12479" ht="30" customHeight="1"/>
    <row r="12480" ht="30" customHeight="1"/>
    <row r="12481" ht="30" customHeight="1"/>
    <row r="12482" ht="30" customHeight="1"/>
    <row r="12483" ht="30" customHeight="1"/>
    <row r="12484" ht="30" customHeight="1"/>
    <row r="12485" ht="30" customHeight="1"/>
    <row r="12486" ht="30" customHeight="1"/>
    <row r="12487" ht="30" customHeight="1"/>
    <row r="12488" ht="30" customHeight="1"/>
    <row r="12489" ht="30" customHeight="1"/>
    <row r="12490" ht="30" customHeight="1"/>
    <row r="12491" ht="30" customHeight="1"/>
    <row r="12492" ht="30" customHeight="1"/>
    <row r="12493" ht="30" customHeight="1"/>
    <row r="12494" ht="30" customHeight="1"/>
    <row r="12495" ht="30" customHeight="1"/>
    <row r="12496" ht="30" customHeight="1"/>
    <row r="12497" ht="30" customHeight="1"/>
    <row r="12498" ht="30" customHeight="1"/>
    <row r="12499" ht="30" customHeight="1"/>
    <row r="12500" ht="30" customHeight="1"/>
    <row r="12501" ht="30" customHeight="1"/>
    <row r="12502" ht="30" customHeight="1"/>
    <row r="12503" ht="30" customHeight="1"/>
    <row r="12504" ht="30" customHeight="1"/>
    <row r="12505" ht="30" customHeight="1"/>
    <row r="12506" ht="30" customHeight="1"/>
    <row r="12507" ht="30" customHeight="1"/>
    <row r="12508" ht="30" customHeight="1"/>
    <row r="12509" ht="30" customHeight="1"/>
    <row r="12510" ht="30" customHeight="1"/>
    <row r="12511" ht="30" customHeight="1"/>
    <row r="12512" ht="30" customHeight="1"/>
    <row r="12513" ht="30" customHeight="1"/>
    <row r="12514" ht="30" customHeight="1"/>
    <row r="12515" ht="30" customHeight="1"/>
    <row r="12516" ht="30" customHeight="1"/>
    <row r="12517" ht="30" customHeight="1"/>
    <row r="12518" ht="30" customHeight="1"/>
    <row r="12519" ht="30" customHeight="1"/>
    <row r="12520" ht="30" customHeight="1"/>
    <row r="12521" ht="30" customHeight="1"/>
    <row r="12522" ht="30" customHeight="1"/>
    <row r="12523" ht="30" customHeight="1"/>
    <row r="12524" ht="30" customHeight="1"/>
    <row r="12525" ht="30" customHeight="1"/>
    <row r="12526" ht="30" customHeight="1"/>
    <row r="12527" ht="30" customHeight="1"/>
    <row r="12528" ht="30" customHeight="1"/>
    <row r="12529" ht="30" customHeight="1"/>
    <row r="12530" ht="30" customHeight="1"/>
    <row r="12531" ht="30" customHeight="1"/>
    <row r="12532" ht="30" customHeight="1"/>
    <row r="12533" ht="30" customHeight="1"/>
    <row r="12534" ht="30" customHeight="1"/>
    <row r="12535" ht="30" customHeight="1"/>
    <row r="12536" ht="30" customHeight="1"/>
    <row r="12537" ht="30" customHeight="1"/>
    <row r="12538" ht="30" customHeight="1"/>
    <row r="12539" ht="30" customHeight="1"/>
    <row r="12540" ht="30" customHeight="1"/>
    <row r="12541" ht="30" customHeight="1"/>
    <row r="12542" ht="30" customHeight="1"/>
    <row r="12543" ht="30" customHeight="1"/>
    <row r="12544" ht="30" customHeight="1"/>
    <row r="12545" ht="30" customHeight="1"/>
    <row r="12546" ht="30" customHeight="1"/>
    <row r="12547" ht="30" customHeight="1"/>
    <row r="12548" ht="30" customHeight="1"/>
    <row r="12549" ht="30" customHeight="1"/>
    <row r="12550" ht="30" customHeight="1"/>
    <row r="12551" ht="30" customHeight="1"/>
    <row r="12552" ht="30" customHeight="1"/>
    <row r="12553" ht="30" customHeight="1"/>
    <row r="12554" ht="30" customHeight="1"/>
    <row r="12555" ht="30" customHeight="1"/>
    <row r="12556" ht="30" customHeight="1"/>
    <row r="12557" ht="30" customHeight="1"/>
    <row r="12558" ht="30" customHeight="1"/>
    <row r="12559" ht="30" customHeight="1"/>
    <row r="12560" ht="30" customHeight="1"/>
    <row r="12561" ht="30" customHeight="1"/>
    <row r="12562" ht="30" customHeight="1"/>
    <row r="12563" ht="30" customHeight="1"/>
    <row r="12564" ht="30" customHeight="1"/>
    <row r="12565" ht="30" customHeight="1"/>
    <row r="12566" ht="30" customHeight="1"/>
    <row r="12567" ht="30" customHeight="1"/>
    <row r="12568" ht="30" customHeight="1"/>
    <row r="12569" ht="30" customHeight="1"/>
    <row r="12570" ht="30" customHeight="1"/>
    <row r="12571" ht="30" customHeight="1"/>
    <row r="12572" ht="30" customHeight="1"/>
    <row r="12573" ht="30" customHeight="1"/>
    <row r="12574" ht="30" customHeight="1"/>
    <row r="12575" ht="30" customHeight="1"/>
    <row r="12576" ht="30" customHeight="1"/>
    <row r="12577" ht="30" customHeight="1"/>
    <row r="12578" ht="30" customHeight="1"/>
    <row r="12579" ht="30" customHeight="1"/>
    <row r="12580" ht="30" customHeight="1"/>
    <row r="12581" ht="30" customHeight="1"/>
    <row r="12582" ht="30" customHeight="1"/>
    <row r="12583" ht="30" customHeight="1"/>
    <row r="12584" ht="30" customHeight="1"/>
    <row r="12585" ht="30" customHeight="1"/>
    <row r="12586" ht="30" customHeight="1"/>
    <row r="12587" ht="30" customHeight="1"/>
    <row r="12588" ht="30" customHeight="1"/>
    <row r="12589" ht="30" customHeight="1"/>
    <row r="12590" ht="30" customHeight="1"/>
    <row r="12591" ht="30" customHeight="1"/>
    <row r="12592" ht="30" customHeight="1"/>
    <row r="12593" ht="30" customHeight="1"/>
    <row r="12594" ht="30" customHeight="1"/>
    <row r="12595" ht="30" customHeight="1"/>
    <row r="12596" ht="30" customHeight="1"/>
    <row r="12597" ht="30" customHeight="1"/>
    <row r="12598" ht="30" customHeight="1"/>
    <row r="12599" ht="30" customHeight="1"/>
    <row r="12600" ht="30" customHeight="1"/>
    <row r="12601" ht="30" customHeight="1"/>
    <row r="12602" ht="30" customHeight="1"/>
    <row r="12603" ht="30" customHeight="1"/>
    <row r="12604" ht="30" customHeight="1"/>
    <row r="12605" ht="30" customHeight="1"/>
    <row r="12606" ht="30" customHeight="1"/>
    <row r="12607" ht="30" customHeight="1"/>
    <row r="12608" ht="30" customHeight="1"/>
    <row r="12609" ht="30" customHeight="1"/>
    <row r="12610" ht="30" customHeight="1"/>
    <row r="12611" ht="30" customHeight="1"/>
    <row r="12612" ht="30" customHeight="1"/>
    <row r="12613" ht="30" customHeight="1"/>
    <row r="12614" ht="30" customHeight="1"/>
    <row r="12615" ht="30" customHeight="1"/>
    <row r="12616" ht="30" customHeight="1"/>
    <row r="12617" ht="30" customHeight="1"/>
    <row r="12618" ht="30" customHeight="1"/>
    <row r="12619" ht="30" customHeight="1"/>
    <row r="12620" ht="30" customHeight="1"/>
    <row r="12621" ht="30" customHeight="1"/>
    <row r="12622" ht="30" customHeight="1"/>
    <row r="12623" ht="30" customHeight="1"/>
    <row r="12624" ht="30" customHeight="1"/>
    <row r="12625" ht="30" customHeight="1"/>
    <row r="12626" ht="30" customHeight="1"/>
    <row r="12627" ht="30" customHeight="1"/>
    <row r="12628" ht="30" customHeight="1"/>
    <row r="12629" ht="30" customHeight="1"/>
    <row r="12630" ht="30" customHeight="1"/>
    <row r="12631" ht="30" customHeight="1"/>
    <row r="12632" ht="30" customHeight="1"/>
    <row r="12633" ht="30" customHeight="1"/>
    <row r="12634" ht="30" customHeight="1"/>
    <row r="12635" ht="30" customHeight="1"/>
    <row r="12636" ht="30" customHeight="1"/>
    <row r="12637" ht="30" customHeight="1"/>
    <row r="12638" ht="30" customHeight="1"/>
    <row r="12639" ht="30" customHeight="1"/>
    <row r="12640" ht="30" customHeight="1"/>
    <row r="12641" ht="30" customHeight="1"/>
    <row r="12642" ht="30" customHeight="1"/>
    <row r="12643" ht="30" customHeight="1"/>
    <row r="12644" ht="30" customHeight="1"/>
    <row r="12645" ht="30" customHeight="1"/>
    <row r="12646" ht="30" customHeight="1"/>
    <row r="12647" ht="30" customHeight="1"/>
    <row r="12648" ht="30" customHeight="1"/>
    <row r="12649" ht="30" customHeight="1"/>
    <row r="12650" ht="30" customHeight="1"/>
    <row r="12651" ht="30" customHeight="1"/>
    <row r="12652" ht="30" customHeight="1"/>
    <row r="12653" ht="30" customHeight="1"/>
    <row r="12654" ht="30" customHeight="1"/>
    <row r="12655" ht="30" customHeight="1"/>
    <row r="12656" ht="30" customHeight="1"/>
    <row r="12657" ht="30" customHeight="1"/>
    <row r="12658" ht="30" customHeight="1"/>
    <row r="12659" ht="30" customHeight="1"/>
    <row r="12660" ht="30" customHeight="1"/>
    <row r="12661" ht="30" customHeight="1"/>
    <row r="12662" ht="30" customHeight="1"/>
    <row r="12663" ht="30" customHeight="1"/>
    <row r="12664" ht="30" customHeight="1"/>
    <row r="12665" ht="30" customHeight="1"/>
    <row r="12666" ht="30" customHeight="1"/>
    <row r="12667" ht="30" customHeight="1"/>
    <row r="12668" ht="30" customHeight="1"/>
    <row r="12669" ht="30" customHeight="1"/>
    <row r="12670" ht="30" customHeight="1"/>
    <row r="12671" ht="30" customHeight="1"/>
    <row r="12672" ht="30" customHeight="1"/>
    <row r="12673" ht="30" customHeight="1"/>
    <row r="12674" ht="30" customHeight="1"/>
    <row r="12675" ht="30" customHeight="1"/>
    <row r="12676" ht="30" customHeight="1"/>
    <row r="12677" ht="30" customHeight="1"/>
    <row r="12678" ht="30" customHeight="1"/>
    <row r="12679" ht="30" customHeight="1"/>
    <row r="12680" ht="30" customHeight="1"/>
    <row r="12681" ht="30" customHeight="1"/>
    <row r="12682" ht="30" customHeight="1"/>
    <row r="12683" ht="30" customHeight="1"/>
    <row r="12684" ht="30" customHeight="1"/>
    <row r="12685" ht="30" customHeight="1"/>
    <row r="12686" ht="30" customHeight="1"/>
    <row r="12687" ht="30" customHeight="1"/>
    <row r="12688" ht="30" customHeight="1"/>
    <row r="12689" ht="30" customHeight="1"/>
    <row r="12690" ht="30" customHeight="1"/>
    <row r="12691" ht="30" customHeight="1"/>
    <row r="12692" ht="30" customHeight="1"/>
    <row r="12693" ht="30" customHeight="1"/>
    <row r="12694" ht="30" customHeight="1"/>
    <row r="12695" ht="30" customHeight="1"/>
    <row r="12696" ht="30" customHeight="1"/>
    <row r="12697" ht="30" customHeight="1"/>
    <row r="12698" ht="30" customHeight="1"/>
    <row r="12699" ht="30" customHeight="1"/>
    <row r="12700" ht="30" customHeight="1"/>
    <row r="12701" ht="30" customHeight="1"/>
    <row r="12702" ht="30" customHeight="1"/>
    <row r="12703" ht="30" customHeight="1"/>
    <row r="12704" ht="30" customHeight="1"/>
    <row r="12705" ht="30" customHeight="1"/>
    <row r="12706" ht="30" customHeight="1"/>
    <row r="12707" ht="30" customHeight="1"/>
    <row r="12708" ht="30" customHeight="1"/>
    <row r="12709" ht="30" customHeight="1"/>
    <row r="12710" ht="30" customHeight="1"/>
    <row r="12711" ht="30" customHeight="1"/>
    <row r="12712" ht="30" customHeight="1"/>
    <row r="12713" ht="30" customHeight="1"/>
    <row r="12714" ht="30" customHeight="1"/>
    <row r="12715" ht="30" customHeight="1"/>
    <row r="12716" ht="30" customHeight="1"/>
    <row r="12717" ht="30" customHeight="1"/>
    <row r="12718" ht="30" customHeight="1"/>
    <row r="12719" ht="30" customHeight="1"/>
    <row r="12720" ht="30" customHeight="1"/>
    <row r="12721" ht="30" customHeight="1"/>
    <row r="12722" ht="30" customHeight="1"/>
    <row r="12723" ht="30" customHeight="1"/>
    <row r="12724" ht="30" customHeight="1"/>
    <row r="12725" ht="30" customHeight="1"/>
    <row r="12726" ht="30" customHeight="1"/>
    <row r="12727" ht="30" customHeight="1"/>
    <row r="12728" ht="30" customHeight="1"/>
    <row r="12729" ht="30" customHeight="1"/>
    <row r="12730" ht="30" customHeight="1"/>
    <row r="12731" ht="30" customHeight="1"/>
    <row r="12732" ht="30" customHeight="1"/>
    <row r="12733" ht="30" customHeight="1"/>
    <row r="12734" ht="30" customHeight="1"/>
    <row r="12735" ht="30" customHeight="1"/>
    <row r="12736" ht="30" customHeight="1"/>
    <row r="12737" ht="30" customHeight="1"/>
    <row r="12738" ht="30" customHeight="1"/>
    <row r="12739" ht="30" customHeight="1"/>
    <row r="12740" ht="30" customHeight="1"/>
    <row r="12741" ht="30" customHeight="1"/>
    <row r="12742" ht="30" customHeight="1"/>
    <row r="12743" ht="30" customHeight="1"/>
    <row r="12744" ht="30" customHeight="1"/>
    <row r="12745" ht="30" customHeight="1"/>
    <row r="12746" ht="30" customHeight="1"/>
    <row r="12747" ht="30" customHeight="1"/>
    <row r="12748" ht="30" customHeight="1"/>
    <row r="12749" ht="30" customHeight="1"/>
    <row r="12750" ht="30" customHeight="1"/>
    <row r="12751" ht="30" customHeight="1"/>
    <row r="12752" ht="30" customHeight="1"/>
    <row r="12753" ht="30" customHeight="1"/>
    <row r="12754" ht="30" customHeight="1"/>
    <row r="12755" ht="30" customHeight="1"/>
    <row r="12756" ht="30" customHeight="1"/>
    <row r="12757" ht="30" customHeight="1"/>
    <row r="12758" ht="30" customHeight="1"/>
    <row r="12759" ht="30" customHeight="1"/>
    <row r="12760" ht="30" customHeight="1"/>
    <row r="12761" ht="30" customHeight="1"/>
    <row r="12762" ht="30" customHeight="1"/>
    <row r="12763" ht="30" customHeight="1"/>
    <row r="12764" ht="30" customHeight="1"/>
    <row r="12765" ht="30" customHeight="1"/>
    <row r="12766" ht="30" customHeight="1"/>
    <row r="12767" ht="30" customHeight="1"/>
    <row r="12768" ht="30" customHeight="1"/>
    <row r="12769" ht="30" customHeight="1"/>
    <row r="12770" ht="30" customHeight="1"/>
    <row r="12771" ht="30" customHeight="1"/>
    <row r="12772" ht="30" customHeight="1"/>
    <row r="12773" ht="30" customHeight="1"/>
    <row r="12774" ht="30" customHeight="1"/>
    <row r="12775" ht="30" customHeight="1"/>
    <row r="12776" ht="30" customHeight="1"/>
    <row r="12777" ht="30" customHeight="1"/>
    <row r="12778" ht="30" customHeight="1"/>
    <row r="12779" ht="30" customHeight="1"/>
    <row r="12780" ht="30" customHeight="1"/>
    <row r="12781" ht="30" customHeight="1"/>
    <row r="12782" ht="30" customHeight="1"/>
    <row r="12783" ht="30" customHeight="1"/>
    <row r="12784" ht="30" customHeight="1"/>
    <row r="12785" ht="30" customHeight="1"/>
    <row r="12786" ht="30" customHeight="1"/>
    <row r="12787" ht="30" customHeight="1"/>
    <row r="12788" ht="30" customHeight="1"/>
    <row r="12789" ht="30" customHeight="1"/>
    <row r="12790" ht="30" customHeight="1"/>
    <row r="12791" ht="30" customHeight="1"/>
    <row r="12792" ht="30" customHeight="1"/>
    <row r="12793" ht="30" customHeight="1"/>
    <row r="12794" ht="30" customHeight="1"/>
    <row r="12795" ht="30" customHeight="1"/>
    <row r="12796" ht="30" customHeight="1"/>
    <row r="12797" ht="30" customHeight="1"/>
    <row r="12798" ht="30" customHeight="1"/>
    <row r="12799" ht="30" customHeight="1"/>
    <row r="12800" ht="30" customHeight="1"/>
    <row r="12801" ht="30" customHeight="1"/>
    <row r="12802" ht="30" customHeight="1"/>
    <row r="12803" ht="30" customHeight="1"/>
    <row r="12804" ht="30" customHeight="1"/>
    <row r="12805" ht="30" customHeight="1"/>
    <row r="12806" ht="30" customHeight="1"/>
    <row r="12807" ht="30" customHeight="1"/>
    <row r="12808" ht="30" customHeight="1"/>
    <row r="12809" ht="30" customHeight="1"/>
    <row r="12810" ht="30" customHeight="1"/>
    <row r="12811" ht="30" customHeight="1"/>
    <row r="12812" ht="30" customHeight="1"/>
    <row r="12813" ht="30" customHeight="1"/>
    <row r="12814" ht="30" customHeight="1"/>
    <row r="12815" ht="30" customHeight="1"/>
    <row r="12816" ht="30" customHeight="1"/>
    <row r="12817" ht="30" customHeight="1"/>
    <row r="12818" ht="30" customHeight="1"/>
    <row r="12819" ht="30" customHeight="1"/>
    <row r="12820" ht="30" customHeight="1"/>
    <row r="12821" ht="30" customHeight="1"/>
    <row r="12822" ht="30" customHeight="1"/>
    <row r="12823" ht="30" customHeight="1"/>
    <row r="12824" ht="30" customHeight="1"/>
    <row r="12825" ht="30" customHeight="1"/>
    <row r="12826" ht="30" customHeight="1"/>
    <row r="12827" ht="30" customHeight="1"/>
    <row r="12828" ht="30" customHeight="1"/>
    <row r="12829" ht="30" customHeight="1"/>
    <row r="12830" ht="30" customHeight="1"/>
    <row r="12831" ht="30" customHeight="1"/>
    <row r="12832" ht="30" customHeight="1"/>
    <row r="12833" ht="30" customHeight="1"/>
    <row r="12834" ht="30" customHeight="1"/>
    <row r="12835" ht="30" customHeight="1"/>
    <row r="12836" ht="30" customHeight="1"/>
    <row r="12837" ht="30" customHeight="1"/>
    <row r="12838" ht="30" customHeight="1"/>
    <row r="12839" ht="30" customHeight="1"/>
    <row r="12840" ht="30" customHeight="1"/>
    <row r="12841" ht="30" customHeight="1"/>
    <row r="12842" ht="30" customHeight="1"/>
    <row r="12843" ht="30" customHeight="1"/>
    <row r="12844" ht="30" customHeight="1"/>
    <row r="12845" ht="30" customHeight="1"/>
    <row r="12846" ht="30" customHeight="1"/>
    <row r="12847" ht="30" customHeight="1"/>
    <row r="12848" ht="30" customHeight="1"/>
    <row r="12849" ht="30" customHeight="1"/>
    <row r="12850" ht="30" customHeight="1"/>
    <row r="12851" ht="30" customHeight="1"/>
    <row r="12852" ht="30" customHeight="1"/>
    <row r="12853" ht="30" customHeight="1"/>
    <row r="12854" ht="30" customHeight="1"/>
    <row r="12855" ht="30" customHeight="1"/>
    <row r="12856" ht="30" customHeight="1"/>
    <row r="12857" ht="30" customHeight="1"/>
    <row r="12858" ht="30" customHeight="1"/>
    <row r="12859" ht="30" customHeight="1"/>
    <row r="12860" ht="30" customHeight="1"/>
    <row r="12861" ht="30" customHeight="1"/>
    <row r="12862" ht="30" customHeight="1"/>
    <row r="12863" ht="30" customHeight="1"/>
    <row r="12864" ht="30" customHeight="1"/>
    <row r="12865" ht="30" customHeight="1"/>
    <row r="12866" ht="30" customHeight="1"/>
    <row r="12867" ht="30" customHeight="1"/>
    <row r="12868" ht="30" customHeight="1"/>
    <row r="12869" ht="30" customHeight="1"/>
    <row r="12870" ht="30" customHeight="1"/>
    <row r="12871" ht="30" customHeight="1"/>
    <row r="12872" ht="30" customHeight="1"/>
    <row r="12873" ht="30" customHeight="1"/>
    <row r="12874" ht="30" customHeight="1"/>
    <row r="12875" ht="30" customHeight="1"/>
    <row r="12876" ht="30" customHeight="1"/>
    <row r="12877" ht="30" customHeight="1"/>
    <row r="12878" ht="30" customHeight="1"/>
    <row r="12879" ht="30" customHeight="1"/>
    <row r="12880" ht="30" customHeight="1"/>
    <row r="12881" ht="30" customHeight="1"/>
    <row r="12882" ht="30" customHeight="1"/>
    <row r="12883" ht="30" customHeight="1"/>
    <row r="12884" ht="30" customHeight="1"/>
    <row r="12885" ht="30" customHeight="1"/>
    <row r="12886" ht="30" customHeight="1"/>
    <row r="12887" ht="30" customHeight="1"/>
    <row r="12888" ht="30" customHeight="1"/>
    <row r="12889" ht="30" customHeight="1"/>
    <row r="12890" ht="30" customHeight="1"/>
    <row r="12891" ht="30" customHeight="1"/>
    <row r="12892" ht="30" customHeight="1"/>
    <row r="12893" ht="30" customHeight="1"/>
    <row r="12894" ht="30" customHeight="1"/>
    <row r="12895" ht="30" customHeight="1"/>
    <row r="12896" ht="30" customHeight="1"/>
    <row r="12897" ht="30" customHeight="1"/>
    <row r="12898" ht="30" customHeight="1"/>
    <row r="12899" ht="30" customHeight="1"/>
    <row r="12900" ht="30" customHeight="1"/>
    <row r="12901" ht="30" customHeight="1"/>
    <row r="12902" ht="30" customHeight="1"/>
    <row r="12903" ht="30" customHeight="1"/>
    <row r="12904" ht="30" customHeight="1"/>
    <row r="12905" ht="30" customHeight="1"/>
    <row r="12906" ht="30" customHeight="1"/>
    <row r="12907" ht="30" customHeight="1"/>
    <row r="12908" ht="30" customHeight="1"/>
    <row r="12909" ht="30" customHeight="1"/>
    <row r="12910" ht="30" customHeight="1"/>
    <row r="12911" ht="30" customHeight="1"/>
    <row r="12912" ht="30" customHeight="1"/>
    <row r="12913" ht="30" customHeight="1"/>
    <row r="12914" ht="30" customHeight="1"/>
    <row r="12915" ht="30" customHeight="1"/>
    <row r="12916" ht="30" customHeight="1"/>
    <row r="12917" ht="30" customHeight="1"/>
    <row r="12918" ht="30" customHeight="1"/>
    <row r="12919" ht="30" customHeight="1"/>
    <row r="12920" ht="30" customHeight="1"/>
    <row r="12921" ht="30" customHeight="1"/>
    <row r="12922" ht="30" customHeight="1"/>
    <row r="12923" ht="30" customHeight="1"/>
    <row r="12924" ht="30" customHeight="1"/>
    <row r="12925" ht="30" customHeight="1"/>
    <row r="12926" ht="30" customHeight="1"/>
    <row r="12927" ht="30" customHeight="1"/>
    <row r="12928" ht="30" customHeight="1"/>
    <row r="12929" ht="30" customHeight="1"/>
    <row r="12930" ht="30" customHeight="1"/>
    <row r="12931" ht="30" customHeight="1"/>
    <row r="12932" ht="30" customHeight="1"/>
    <row r="12933" ht="30" customHeight="1"/>
    <row r="12934" ht="30" customHeight="1"/>
    <row r="12935" ht="30" customHeight="1"/>
    <row r="12936" ht="30" customHeight="1"/>
    <row r="12937" ht="30" customHeight="1"/>
    <row r="12938" ht="30" customHeight="1"/>
    <row r="12939" ht="30" customHeight="1"/>
    <row r="12940" ht="30" customHeight="1"/>
    <row r="12941" ht="30" customHeight="1"/>
    <row r="12942" ht="30" customHeight="1"/>
    <row r="12943" ht="30" customHeight="1"/>
    <row r="12944" ht="30" customHeight="1"/>
    <row r="12945" ht="30" customHeight="1"/>
    <row r="12946" ht="30" customHeight="1"/>
    <row r="12947" ht="30" customHeight="1"/>
    <row r="12948" ht="30" customHeight="1"/>
    <row r="12949" ht="30" customHeight="1"/>
    <row r="12950" ht="30" customHeight="1"/>
    <row r="12951" ht="30" customHeight="1"/>
    <row r="12952" ht="30" customHeight="1"/>
    <row r="12953" ht="30" customHeight="1"/>
    <row r="12954" ht="30" customHeight="1"/>
    <row r="12955" ht="30" customHeight="1"/>
    <row r="12956" ht="30" customHeight="1"/>
    <row r="12957" ht="30" customHeight="1"/>
    <row r="12958" ht="30" customHeight="1"/>
    <row r="12959" ht="30" customHeight="1"/>
    <row r="12960" ht="30" customHeight="1"/>
    <row r="12961" ht="30" customHeight="1"/>
    <row r="12962" ht="30" customHeight="1"/>
    <row r="12963" ht="30" customHeight="1"/>
    <row r="12964" ht="30" customHeight="1"/>
    <row r="12965" ht="30" customHeight="1"/>
    <row r="12966" ht="30" customHeight="1"/>
    <row r="12967" ht="30" customHeight="1"/>
    <row r="12968" ht="30" customHeight="1"/>
    <row r="12969" ht="30" customHeight="1"/>
    <row r="12970" ht="30" customHeight="1"/>
    <row r="12971" ht="30" customHeight="1"/>
    <row r="12972" ht="30" customHeight="1"/>
    <row r="12973" ht="30" customHeight="1"/>
    <row r="12974" ht="30" customHeight="1"/>
    <row r="12975" ht="30" customHeight="1"/>
    <row r="12976" ht="30" customHeight="1"/>
    <row r="12977" ht="30" customHeight="1"/>
    <row r="12978" ht="30" customHeight="1"/>
    <row r="12979" ht="30" customHeight="1"/>
    <row r="12980" ht="30" customHeight="1"/>
    <row r="12981" ht="30" customHeight="1"/>
    <row r="12982" ht="30" customHeight="1"/>
    <row r="12983" ht="30" customHeight="1"/>
    <row r="12984" ht="30" customHeight="1"/>
    <row r="12985" ht="30" customHeight="1"/>
    <row r="12986" ht="30" customHeight="1"/>
    <row r="12987" ht="30" customHeight="1"/>
    <row r="12988" ht="30" customHeight="1"/>
    <row r="12989" ht="30" customHeight="1"/>
    <row r="12990" ht="30" customHeight="1"/>
    <row r="12991" ht="30" customHeight="1"/>
    <row r="12992" ht="30" customHeight="1"/>
    <row r="12993" ht="30" customHeight="1"/>
    <row r="12994" ht="30" customHeight="1"/>
    <row r="12995" ht="30" customHeight="1"/>
    <row r="12996" ht="30" customHeight="1"/>
    <row r="12997" ht="30" customHeight="1"/>
    <row r="12998" ht="30" customHeight="1"/>
    <row r="12999" ht="30" customHeight="1"/>
    <row r="13000" ht="30" customHeight="1"/>
    <row r="13001" ht="30" customHeight="1"/>
    <row r="13002" ht="30" customHeight="1"/>
    <row r="13003" ht="30" customHeight="1"/>
    <row r="13004" ht="30" customHeight="1"/>
    <row r="13005" ht="30" customHeight="1"/>
    <row r="13006" ht="30" customHeight="1"/>
    <row r="13007" ht="30" customHeight="1"/>
    <row r="13008" ht="30" customHeight="1"/>
    <row r="13009" ht="30" customHeight="1"/>
    <row r="13010" ht="30" customHeight="1"/>
    <row r="13011" ht="30" customHeight="1"/>
    <row r="13012" ht="30" customHeight="1"/>
    <row r="13013" ht="30" customHeight="1"/>
    <row r="13014" ht="30" customHeight="1"/>
    <row r="13015" ht="30" customHeight="1"/>
    <row r="13016" ht="30" customHeight="1"/>
    <row r="13017" ht="30" customHeight="1"/>
    <row r="13018" ht="30" customHeight="1"/>
    <row r="13019" ht="30" customHeight="1"/>
    <row r="13020" ht="30" customHeight="1"/>
    <row r="13021" ht="30" customHeight="1"/>
    <row r="13022" ht="30" customHeight="1"/>
    <row r="13023" ht="30" customHeight="1"/>
    <row r="13024" ht="30" customHeight="1"/>
    <row r="13025" ht="30" customHeight="1"/>
    <row r="13026" ht="30" customHeight="1"/>
    <row r="13027" ht="30" customHeight="1"/>
    <row r="13028" ht="30" customHeight="1"/>
    <row r="13029" ht="30" customHeight="1"/>
    <row r="13030" ht="30" customHeight="1"/>
    <row r="13031" ht="30" customHeight="1"/>
    <row r="13032" ht="30" customHeight="1"/>
    <row r="13033" ht="30" customHeight="1"/>
    <row r="13034" ht="30" customHeight="1"/>
    <row r="13035" ht="30" customHeight="1"/>
    <row r="13036" ht="30" customHeight="1"/>
    <row r="13037" ht="30" customHeight="1"/>
    <row r="13038" ht="30" customHeight="1"/>
    <row r="13039" ht="30" customHeight="1"/>
    <row r="13040" ht="30" customHeight="1"/>
    <row r="13041" ht="30" customHeight="1"/>
    <row r="13042" ht="30" customHeight="1"/>
    <row r="13043" ht="30" customHeight="1"/>
    <row r="13044" ht="30" customHeight="1"/>
    <row r="13045" ht="30" customHeight="1"/>
    <row r="13046" ht="30" customHeight="1"/>
    <row r="13047" ht="30" customHeight="1"/>
    <row r="13048" ht="30" customHeight="1"/>
    <row r="13049" ht="30" customHeight="1"/>
    <row r="13050" ht="30" customHeight="1"/>
    <row r="13051" ht="30" customHeight="1"/>
    <row r="13052" ht="30" customHeight="1"/>
    <row r="13053" ht="30" customHeight="1"/>
    <row r="13054" ht="30" customHeight="1"/>
    <row r="13055" ht="30" customHeight="1"/>
    <row r="13056" ht="30" customHeight="1"/>
    <row r="13057" ht="30" customHeight="1"/>
    <row r="13058" ht="30" customHeight="1"/>
    <row r="13059" ht="30" customHeight="1"/>
    <row r="13060" ht="30" customHeight="1"/>
    <row r="13061" ht="30" customHeight="1"/>
    <row r="13062" ht="30" customHeight="1"/>
    <row r="13063" ht="30" customHeight="1"/>
    <row r="13064" ht="30" customHeight="1"/>
    <row r="13065" ht="30" customHeight="1"/>
    <row r="13066" ht="30" customHeight="1"/>
    <row r="13067" ht="30" customHeight="1"/>
    <row r="13068" ht="30" customHeight="1"/>
    <row r="13069" ht="30" customHeight="1"/>
    <row r="13070" ht="30" customHeight="1"/>
    <row r="13071" ht="30" customHeight="1"/>
    <row r="13072" ht="30" customHeight="1"/>
    <row r="13073" ht="30" customHeight="1"/>
    <row r="13074" ht="30" customHeight="1"/>
    <row r="13075" ht="30" customHeight="1"/>
    <row r="13076" ht="30" customHeight="1"/>
    <row r="13077" ht="30" customHeight="1"/>
    <row r="13078" ht="30" customHeight="1"/>
    <row r="13079" ht="30" customHeight="1"/>
    <row r="13080" ht="30" customHeight="1"/>
    <row r="13081" ht="30" customHeight="1"/>
    <row r="13082" ht="30" customHeight="1"/>
    <row r="13083" ht="30" customHeight="1"/>
    <row r="13084" ht="30" customHeight="1"/>
    <row r="13085" ht="30" customHeight="1"/>
    <row r="13086" ht="30" customHeight="1"/>
    <row r="13087" ht="30" customHeight="1"/>
    <row r="13088" ht="30" customHeight="1"/>
    <row r="13089" ht="30" customHeight="1"/>
    <row r="13090" ht="30" customHeight="1"/>
    <row r="13091" ht="30" customHeight="1"/>
    <row r="13092" ht="30" customHeight="1"/>
    <row r="13093" ht="30" customHeight="1"/>
    <row r="13094" ht="30" customHeight="1"/>
    <row r="13095" ht="30" customHeight="1"/>
    <row r="13096" ht="30" customHeight="1"/>
    <row r="13097" ht="30" customHeight="1"/>
    <row r="13098" ht="30" customHeight="1"/>
    <row r="13099" ht="30" customHeight="1"/>
    <row r="13100" ht="30" customHeight="1"/>
    <row r="13101" ht="30" customHeight="1"/>
    <row r="13102" ht="30" customHeight="1"/>
    <row r="13103" ht="30" customHeight="1"/>
    <row r="13104" ht="30" customHeight="1"/>
    <row r="13105" ht="30" customHeight="1"/>
    <row r="13106" ht="30" customHeight="1"/>
    <row r="13107" ht="30" customHeight="1"/>
    <row r="13108" ht="30" customHeight="1"/>
    <row r="13109" ht="30" customHeight="1"/>
    <row r="13110" ht="30" customHeight="1"/>
    <row r="13111" ht="30" customHeight="1"/>
    <row r="13112" ht="30" customHeight="1"/>
    <row r="13113" ht="30" customHeight="1"/>
    <row r="13114" ht="30" customHeight="1"/>
    <row r="13115" ht="30" customHeight="1"/>
    <row r="13116" ht="30" customHeight="1"/>
    <row r="13117" ht="30" customHeight="1"/>
    <row r="13118" ht="30" customHeight="1"/>
    <row r="13119" ht="30" customHeight="1"/>
    <row r="13120" ht="30" customHeight="1"/>
    <row r="13121" ht="30" customHeight="1"/>
    <row r="13122" ht="30" customHeight="1"/>
    <row r="13123" ht="30" customHeight="1"/>
    <row r="13124" ht="30" customHeight="1"/>
    <row r="13125" ht="30" customHeight="1"/>
    <row r="13126" ht="30" customHeight="1"/>
    <row r="13127" ht="30" customHeight="1"/>
    <row r="13128" ht="30" customHeight="1"/>
    <row r="13129" ht="30" customHeight="1"/>
    <row r="13130" ht="30" customHeight="1"/>
    <row r="13131" ht="30" customHeight="1"/>
    <row r="13132" ht="30" customHeight="1"/>
    <row r="13133" ht="30" customHeight="1"/>
    <row r="13134" ht="30" customHeight="1"/>
    <row r="13135" ht="30" customHeight="1"/>
    <row r="13136" ht="30" customHeight="1"/>
    <row r="13137" ht="30" customHeight="1"/>
    <row r="13138" ht="30" customHeight="1"/>
    <row r="13139" ht="30" customHeight="1"/>
    <row r="13140" ht="30" customHeight="1"/>
    <row r="13141" ht="30" customHeight="1"/>
    <row r="13142" ht="30" customHeight="1"/>
    <row r="13143" ht="30" customHeight="1"/>
    <row r="13144" ht="30" customHeight="1"/>
    <row r="13145" ht="30" customHeight="1"/>
    <row r="13146" ht="30" customHeight="1"/>
    <row r="13147" ht="30" customHeight="1"/>
    <row r="13148" ht="30" customHeight="1"/>
    <row r="13149" ht="30" customHeight="1"/>
    <row r="13150" ht="30" customHeight="1"/>
    <row r="13151" ht="30" customHeight="1"/>
    <row r="13152" ht="30" customHeight="1"/>
    <row r="13153" ht="30" customHeight="1"/>
    <row r="13154" ht="30" customHeight="1"/>
    <row r="13155" ht="30" customHeight="1"/>
    <row r="13156" ht="30" customHeight="1"/>
    <row r="13157" ht="30" customHeight="1"/>
    <row r="13158" ht="30" customHeight="1"/>
    <row r="13159" ht="30" customHeight="1"/>
    <row r="13160" ht="30" customHeight="1"/>
    <row r="13161" ht="30" customHeight="1"/>
    <row r="13162" ht="30" customHeight="1"/>
    <row r="13163" ht="30" customHeight="1"/>
    <row r="13164" ht="30" customHeight="1"/>
    <row r="13165" ht="30" customHeight="1"/>
    <row r="13166" ht="30" customHeight="1"/>
    <row r="13167" ht="30" customHeight="1"/>
    <row r="13168" ht="30" customHeight="1"/>
    <row r="13169" ht="30" customHeight="1"/>
    <row r="13170" ht="30" customHeight="1"/>
    <row r="13171" ht="30" customHeight="1"/>
    <row r="13172" ht="30" customHeight="1"/>
    <row r="13173" ht="30" customHeight="1"/>
    <row r="13174" ht="30" customHeight="1"/>
    <row r="13175" ht="30" customHeight="1"/>
    <row r="13176" ht="30" customHeight="1"/>
    <row r="13177" ht="30" customHeight="1"/>
    <row r="13178" ht="30" customHeight="1"/>
    <row r="13179" ht="30" customHeight="1"/>
    <row r="13180" ht="30" customHeight="1"/>
    <row r="13181" ht="30" customHeight="1"/>
    <row r="13182" ht="30" customHeight="1"/>
    <row r="13183" ht="30" customHeight="1"/>
    <row r="13184" ht="30" customHeight="1"/>
    <row r="13185" ht="30" customHeight="1"/>
    <row r="13186" ht="30" customHeight="1"/>
    <row r="13187" ht="30" customHeight="1"/>
    <row r="13188" ht="30" customHeight="1"/>
    <row r="13189" ht="30" customHeight="1"/>
    <row r="13190" ht="30" customHeight="1"/>
    <row r="13191" ht="30" customHeight="1"/>
    <row r="13192" ht="30" customHeight="1"/>
    <row r="13193" ht="30" customHeight="1"/>
    <row r="13194" ht="30" customHeight="1"/>
    <row r="13195" ht="30" customHeight="1"/>
    <row r="13196" ht="30" customHeight="1"/>
    <row r="13197" ht="30" customHeight="1"/>
    <row r="13198" ht="30" customHeight="1"/>
    <row r="13199" ht="30" customHeight="1"/>
    <row r="13200" ht="30" customHeight="1"/>
    <row r="13201" ht="30" customHeight="1"/>
    <row r="13202" ht="30" customHeight="1"/>
    <row r="13203" ht="30" customHeight="1"/>
    <row r="13204" ht="30" customHeight="1"/>
    <row r="13205" ht="30" customHeight="1"/>
    <row r="13206" ht="30" customHeight="1"/>
    <row r="13207" ht="30" customHeight="1"/>
    <row r="13208" ht="30" customHeight="1"/>
    <row r="13209" ht="30" customHeight="1"/>
    <row r="13210" ht="30" customHeight="1"/>
    <row r="13211" ht="30" customHeight="1"/>
    <row r="13212" ht="30" customHeight="1"/>
    <row r="13213" ht="30" customHeight="1"/>
    <row r="13214" ht="30" customHeight="1"/>
    <row r="13215" ht="30" customHeight="1"/>
    <row r="13216" ht="30" customHeight="1"/>
    <row r="13217" ht="30" customHeight="1"/>
    <row r="13218" ht="30" customHeight="1"/>
    <row r="13219" ht="30" customHeight="1"/>
    <row r="13220" ht="30" customHeight="1"/>
    <row r="13221" ht="30" customHeight="1"/>
    <row r="13222" ht="30" customHeight="1"/>
    <row r="13223" ht="30" customHeight="1"/>
    <row r="13224" ht="30" customHeight="1"/>
    <row r="13225" ht="30" customHeight="1"/>
    <row r="13226" ht="30" customHeight="1"/>
    <row r="13227" ht="30" customHeight="1"/>
    <row r="13228" ht="30" customHeight="1"/>
    <row r="13229" ht="30" customHeight="1"/>
    <row r="13230" ht="30" customHeight="1"/>
    <row r="13231" ht="30" customHeight="1"/>
    <row r="13232" ht="30" customHeight="1"/>
    <row r="13233" ht="30" customHeight="1"/>
    <row r="13234" ht="30" customHeight="1"/>
    <row r="13235" ht="30" customHeight="1"/>
    <row r="13236" ht="30" customHeight="1"/>
    <row r="13237" ht="30" customHeight="1"/>
    <row r="13238" ht="30" customHeight="1"/>
    <row r="13239" ht="30" customHeight="1"/>
    <row r="13240" ht="30" customHeight="1"/>
    <row r="13241" ht="30" customHeight="1"/>
    <row r="13242" ht="30" customHeight="1"/>
    <row r="13243" ht="30" customHeight="1"/>
    <row r="13244" ht="30" customHeight="1"/>
    <row r="13245" ht="30" customHeight="1"/>
    <row r="13246" ht="30" customHeight="1"/>
    <row r="13247" ht="30" customHeight="1"/>
    <row r="13248" ht="30" customHeight="1"/>
    <row r="13249" ht="30" customHeight="1"/>
    <row r="13250" ht="30" customHeight="1"/>
    <row r="13251" ht="30" customHeight="1"/>
    <row r="13252" ht="30" customHeight="1"/>
    <row r="13253" ht="30" customHeight="1"/>
    <row r="13254" ht="30" customHeight="1"/>
    <row r="13255" ht="30" customHeight="1"/>
    <row r="13256" ht="30" customHeight="1"/>
    <row r="13257" ht="30" customHeight="1"/>
    <row r="13258" ht="30" customHeight="1"/>
    <row r="13259" ht="30" customHeight="1"/>
    <row r="13260" ht="30" customHeight="1"/>
    <row r="13261" ht="30" customHeight="1"/>
    <row r="13262" ht="30" customHeight="1"/>
    <row r="13263" ht="30" customHeight="1"/>
    <row r="13264" ht="30" customHeight="1"/>
    <row r="13265" ht="30" customHeight="1"/>
    <row r="13266" ht="30" customHeight="1"/>
    <row r="13267" ht="30" customHeight="1"/>
    <row r="13268" ht="30" customHeight="1"/>
    <row r="13269" ht="30" customHeight="1"/>
    <row r="13270" ht="30" customHeight="1"/>
    <row r="13271" ht="30" customHeight="1"/>
    <row r="13272" ht="30" customHeight="1"/>
    <row r="13273" ht="30" customHeight="1"/>
    <row r="13274" ht="30" customHeight="1"/>
    <row r="13275" ht="30" customHeight="1"/>
    <row r="13276" ht="30" customHeight="1"/>
    <row r="13277" ht="30" customHeight="1"/>
    <row r="13278" ht="30" customHeight="1"/>
    <row r="13279" ht="30" customHeight="1"/>
    <row r="13280" ht="30" customHeight="1"/>
    <row r="13281" ht="30" customHeight="1"/>
    <row r="13282" ht="30" customHeight="1"/>
    <row r="13283" ht="30" customHeight="1"/>
    <row r="13284" ht="30" customHeight="1"/>
    <row r="13285" ht="30" customHeight="1"/>
    <row r="13286" ht="30" customHeight="1"/>
    <row r="13287" ht="30" customHeight="1"/>
    <row r="13288" ht="30" customHeight="1"/>
    <row r="13289" ht="30" customHeight="1"/>
    <row r="13290" ht="30" customHeight="1"/>
    <row r="13291" ht="30" customHeight="1"/>
    <row r="13292" ht="30" customHeight="1"/>
    <row r="13293" ht="30" customHeight="1"/>
    <row r="13294" ht="30" customHeight="1"/>
    <row r="13295" ht="30" customHeight="1"/>
    <row r="13296" ht="30" customHeight="1"/>
    <row r="13297" ht="30" customHeight="1"/>
    <row r="13298" ht="30" customHeight="1"/>
    <row r="13299" ht="30" customHeight="1"/>
    <row r="13300" ht="30" customHeight="1"/>
    <row r="13301" ht="30" customHeight="1"/>
    <row r="13302" ht="30" customHeight="1"/>
    <row r="13303" ht="30" customHeight="1"/>
    <row r="13304" ht="30" customHeight="1"/>
    <row r="13305" ht="30" customHeight="1"/>
    <row r="13306" ht="30" customHeight="1"/>
    <row r="13307" ht="30" customHeight="1"/>
    <row r="13308" ht="30" customHeight="1"/>
    <row r="13309" ht="30" customHeight="1"/>
    <row r="13310" ht="30" customHeight="1"/>
    <row r="13311" ht="30" customHeight="1"/>
    <row r="13312" ht="30" customHeight="1"/>
    <row r="13313" ht="30" customHeight="1"/>
    <row r="13314" ht="30" customHeight="1"/>
    <row r="13315" ht="30" customHeight="1"/>
    <row r="13316" ht="30" customHeight="1"/>
    <row r="13317" ht="30" customHeight="1"/>
    <row r="13318" ht="30" customHeight="1"/>
    <row r="13319" ht="30" customHeight="1"/>
    <row r="13320" ht="30" customHeight="1"/>
    <row r="13321" ht="30" customHeight="1"/>
    <row r="13322" ht="30" customHeight="1"/>
    <row r="13323" ht="30" customHeight="1"/>
    <row r="13324" ht="30" customHeight="1"/>
    <row r="13325" ht="30" customHeight="1"/>
    <row r="13326" ht="30" customHeight="1"/>
    <row r="13327" ht="30" customHeight="1"/>
    <row r="13328" ht="30" customHeight="1"/>
    <row r="13329" ht="30" customHeight="1"/>
    <row r="13330" ht="30" customHeight="1"/>
    <row r="13331" ht="30" customHeight="1"/>
    <row r="13332" ht="30" customHeight="1"/>
    <row r="13333" ht="30" customHeight="1"/>
    <row r="13334" ht="30" customHeight="1"/>
    <row r="13335" ht="30" customHeight="1"/>
    <row r="13336" ht="30" customHeight="1"/>
    <row r="13337" ht="30" customHeight="1"/>
    <row r="13338" ht="30" customHeight="1"/>
    <row r="13339" ht="30" customHeight="1"/>
    <row r="13340" ht="30" customHeight="1"/>
    <row r="13341" ht="30" customHeight="1"/>
    <row r="13342" ht="30" customHeight="1"/>
    <row r="13343" ht="30" customHeight="1"/>
    <row r="13344" ht="30" customHeight="1"/>
    <row r="13345" ht="30" customHeight="1"/>
    <row r="13346" ht="30" customHeight="1"/>
    <row r="13347" ht="30" customHeight="1"/>
    <row r="13348" ht="30" customHeight="1"/>
    <row r="13349" ht="30" customHeight="1"/>
    <row r="13350" ht="30" customHeight="1"/>
    <row r="13351" ht="30" customHeight="1"/>
    <row r="13352" ht="30" customHeight="1"/>
    <row r="13353" ht="30" customHeight="1"/>
    <row r="13354" ht="30" customHeight="1"/>
    <row r="13355" ht="30" customHeight="1"/>
    <row r="13356" ht="30" customHeight="1"/>
    <row r="13357" ht="30" customHeight="1"/>
    <row r="13358" ht="30" customHeight="1"/>
    <row r="13359" ht="30" customHeight="1"/>
    <row r="13360" ht="30" customHeight="1"/>
    <row r="13361" ht="30" customHeight="1"/>
    <row r="13362" ht="30" customHeight="1"/>
    <row r="13363" ht="30" customHeight="1"/>
    <row r="13364" ht="30" customHeight="1"/>
    <row r="13365" ht="30" customHeight="1"/>
    <row r="13366" ht="30" customHeight="1"/>
    <row r="13367" ht="30" customHeight="1"/>
    <row r="13368" ht="30" customHeight="1"/>
    <row r="13369" ht="30" customHeight="1"/>
    <row r="13370" ht="30" customHeight="1"/>
    <row r="13371" ht="30" customHeight="1"/>
    <row r="13372" ht="30" customHeight="1"/>
    <row r="13373" ht="30" customHeight="1"/>
    <row r="13374" ht="30" customHeight="1"/>
    <row r="13375" ht="30" customHeight="1"/>
    <row r="13376" ht="30" customHeight="1"/>
    <row r="13377" ht="30" customHeight="1"/>
    <row r="13378" ht="30" customHeight="1"/>
    <row r="13379" ht="30" customHeight="1"/>
    <row r="13380" ht="30" customHeight="1"/>
    <row r="13381" ht="30" customHeight="1"/>
    <row r="13382" ht="30" customHeight="1"/>
    <row r="13383" ht="30" customHeight="1"/>
    <row r="13384" ht="30" customHeight="1"/>
    <row r="13385" ht="30" customHeight="1"/>
    <row r="13386" ht="30" customHeight="1"/>
    <row r="13387" ht="30" customHeight="1"/>
    <row r="13388" ht="30" customHeight="1"/>
    <row r="13389" ht="30" customHeight="1"/>
    <row r="13390" ht="30" customHeight="1"/>
    <row r="13391" ht="30" customHeight="1"/>
    <row r="13392" ht="30" customHeight="1"/>
    <row r="13393" ht="30" customHeight="1"/>
    <row r="13394" ht="30" customHeight="1"/>
    <row r="13395" ht="30" customHeight="1"/>
    <row r="13396" ht="30" customHeight="1"/>
    <row r="13397" ht="30" customHeight="1"/>
    <row r="13398" ht="30" customHeight="1"/>
    <row r="13399" ht="30" customHeight="1"/>
    <row r="13400" ht="30" customHeight="1"/>
    <row r="13401" ht="30" customHeight="1"/>
    <row r="13402" ht="30" customHeight="1"/>
    <row r="13403" ht="30" customHeight="1"/>
    <row r="13404" ht="30" customHeight="1"/>
    <row r="13405" ht="30" customHeight="1"/>
    <row r="13406" ht="30" customHeight="1"/>
    <row r="13407" ht="30" customHeight="1"/>
    <row r="13408" ht="30" customHeight="1"/>
    <row r="13409" ht="30" customHeight="1"/>
    <row r="13410" ht="30" customHeight="1"/>
    <row r="13411" ht="30" customHeight="1"/>
    <row r="13412" ht="30" customHeight="1"/>
    <row r="13413" ht="30" customHeight="1"/>
    <row r="13414" ht="30" customHeight="1"/>
    <row r="13415" ht="30" customHeight="1"/>
    <row r="13416" ht="30" customHeight="1"/>
    <row r="13417" ht="30" customHeight="1"/>
    <row r="13418" ht="30" customHeight="1"/>
    <row r="13419" ht="30" customHeight="1"/>
    <row r="13420" ht="30" customHeight="1"/>
    <row r="13421" ht="30" customHeight="1"/>
    <row r="13422" ht="30" customHeight="1"/>
    <row r="13423" ht="30" customHeight="1"/>
    <row r="13424" ht="30" customHeight="1"/>
    <row r="13425" ht="30" customHeight="1"/>
    <row r="13426" ht="30" customHeight="1"/>
    <row r="13427" ht="30" customHeight="1"/>
    <row r="13428" ht="30" customHeight="1"/>
    <row r="13429" ht="30" customHeight="1"/>
    <row r="13430" ht="30" customHeight="1"/>
    <row r="13431" ht="30" customHeight="1"/>
    <row r="13432" ht="30" customHeight="1"/>
    <row r="13433" ht="30" customHeight="1"/>
    <row r="13434" ht="30" customHeight="1"/>
    <row r="13435" ht="30" customHeight="1"/>
    <row r="13436" ht="30" customHeight="1"/>
    <row r="13437" ht="30" customHeight="1"/>
    <row r="13438" ht="30" customHeight="1"/>
    <row r="13439" ht="30" customHeight="1"/>
    <row r="13440" ht="30" customHeight="1"/>
    <row r="13441" ht="30" customHeight="1"/>
    <row r="13442" ht="30" customHeight="1"/>
    <row r="13443" ht="30" customHeight="1"/>
    <row r="13444" ht="30" customHeight="1"/>
    <row r="13445" ht="30" customHeight="1"/>
    <row r="13446" ht="30" customHeight="1"/>
    <row r="13447" ht="30" customHeight="1"/>
    <row r="13448" ht="30" customHeight="1"/>
    <row r="13449" ht="30" customHeight="1"/>
    <row r="13450" ht="30" customHeight="1"/>
    <row r="13451" ht="30" customHeight="1"/>
    <row r="13452" ht="30" customHeight="1"/>
    <row r="13453" ht="30" customHeight="1"/>
    <row r="13454" ht="30" customHeight="1"/>
    <row r="13455" ht="30" customHeight="1"/>
    <row r="13456" ht="30" customHeight="1"/>
    <row r="13457" ht="30" customHeight="1"/>
    <row r="13458" ht="30" customHeight="1"/>
    <row r="13459" ht="30" customHeight="1"/>
    <row r="13460" ht="30" customHeight="1"/>
    <row r="13461" ht="30" customHeight="1"/>
    <row r="13462" ht="30" customHeight="1"/>
    <row r="13463" ht="30" customHeight="1"/>
    <row r="13464" ht="30" customHeight="1"/>
    <row r="13465" ht="30" customHeight="1"/>
    <row r="13466" ht="30" customHeight="1"/>
    <row r="13467" ht="30" customHeight="1"/>
    <row r="13468" ht="30" customHeight="1"/>
    <row r="13469" ht="30" customHeight="1"/>
    <row r="13470" ht="30" customHeight="1"/>
    <row r="13471" ht="30" customHeight="1"/>
    <row r="13472" ht="30" customHeight="1"/>
    <row r="13473" ht="30" customHeight="1"/>
    <row r="13474" ht="30" customHeight="1"/>
    <row r="13475" ht="30" customHeight="1"/>
    <row r="13476" ht="30" customHeight="1"/>
    <row r="13477" ht="30" customHeight="1"/>
    <row r="13478" ht="30" customHeight="1"/>
    <row r="13479" ht="30" customHeight="1"/>
    <row r="13480" ht="30" customHeight="1"/>
    <row r="13481" ht="30" customHeight="1"/>
    <row r="13482" ht="30" customHeight="1"/>
    <row r="13483" ht="30" customHeight="1"/>
    <row r="13484" ht="30" customHeight="1"/>
    <row r="13485" ht="30" customHeight="1"/>
    <row r="13486" ht="30" customHeight="1"/>
    <row r="13487" ht="30" customHeight="1"/>
    <row r="13488" ht="30" customHeight="1"/>
    <row r="13489" ht="30" customHeight="1"/>
    <row r="13490" ht="30" customHeight="1"/>
    <row r="13491" ht="30" customHeight="1"/>
    <row r="13492" ht="30" customHeight="1"/>
    <row r="13493" ht="30" customHeight="1"/>
    <row r="13494" ht="30" customHeight="1"/>
    <row r="13495" ht="30" customHeight="1"/>
    <row r="13496" ht="30" customHeight="1"/>
    <row r="13497" ht="30" customHeight="1"/>
    <row r="13498" ht="30" customHeight="1"/>
    <row r="13499" ht="30" customHeight="1"/>
    <row r="13500" ht="30" customHeight="1"/>
    <row r="13501" ht="30" customHeight="1"/>
    <row r="13502" ht="30" customHeight="1"/>
    <row r="13503" ht="30" customHeight="1"/>
    <row r="13504" ht="30" customHeight="1"/>
    <row r="13505" ht="30" customHeight="1"/>
    <row r="13506" ht="30" customHeight="1"/>
    <row r="13507" ht="30" customHeight="1"/>
    <row r="13508" ht="30" customHeight="1"/>
    <row r="13509" ht="30" customHeight="1"/>
    <row r="13510" ht="30" customHeight="1"/>
    <row r="13511" ht="30" customHeight="1"/>
    <row r="13512" ht="30" customHeight="1"/>
    <row r="13513" ht="30" customHeight="1"/>
    <row r="13514" ht="30" customHeight="1"/>
    <row r="13515" ht="30" customHeight="1"/>
    <row r="13516" ht="30" customHeight="1"/>
    <row r="13517" ht="30" customHeight="1"/>
    <row r="13518" ht="30" customHeight="1"/>
    <row r="13519" ht="30" customHeight="1"/>
    <row r="13520" ht="30" customHeight="1"/>
    <row r="13521" ht="30" customHeight="1"/>
    <row r="13522" ht="30" customHeight="1"/>
    <row r="13523" ht="30" customHeight="1"/>
    <row r="13524" ht="30" customHeight="1"/>
    <row r="13525" ht="30" customHeight="1"/>
    <row r="13526" ht="30" customHeight="1"/>
    <row r="13527" ht="30" customHeight="1"/>
    <row r="13528" ht="30" customHeight="1"/>
    <row r="13529" ht="30" customHeight="1"/>
    <row r="13530" ht="30" customHeight="1"/>
    <row r="13531" ht="30" customHeight="1"/>
    <row r="13532" ht="30" customHeight="1"/>
    <row r="13533" ht="30" customHeight="1"/>
    <row r="13534" ht="30" customHeight="1"/>
    <row r="13535" ht="30" customHeight="1"/>
    <row r="13536" ht="30" customHeight="1"/>
    <row r="13537" ht="30" customHeight="1"/>
    <row r="13538" ht="30" customHeight="1"/>
    <row r="13539" ht="30" customHeight="1"/>
    <row r="13540" ht="30" customHeight="1"/>
    <row r="13541" ht="30" customHeight="1"/>
    <row r="13542" ht="30" customHeight="1"/>
    <row r="13543" ht="30" customHeight="1"/>
    <row r="13544" ht="30" customHeight="1"/>
    <row r="13545" ht="30" customHeight="1"/>
    <row r="13546" ht="30" customHeight="1"/>
    <row r="13547" ht="30" customHeight="1"/>
    <row r="13548" ht="30" customHeight="1"/>
    <row r="13549" ht="30" customHeight="1"/>
    <row r="13550" ht="30" customHeight="1"/>
    <row r="13551" ht="30" customHeight="1"/>
    <row r="13552" ht="30" customHeight="1"/>
    <row r="13553" ht="30" customHeight="1"/>
    <row r="13554" ht="30" customHeight="1"/>
    <row r="13555" ht="30" customHeight="1"/>
    <row r="13556" ht="30" customHeight="1"/>
    <row r="13557" ht="30" customHeight="1"/>
    <row r="13558" ht="30" customHeight="1"/>
    <row r="13559" ht="30" customHeight="1"/>
    <row r="13560" ht="30" customHeight="1"/>
    <row r="13561" ht="30" customHeight="1"/>
    <row r="13562" ht="30" customHeight="1"/>
    <row r="13563" ht="30" customHeight="1"/>
    <row r="13564" ht="30" customHeight="1"/>
    <row r="13565" ht="30" customHeight="1"/>
    <row r="13566" ht="30" customHeight="1"/>
    <row r="13567" ht="30" customHeight="1"/>
    <row r="13568" ht="30" customHeight="1"/>
    <row r="13569" ht="30" customHeight="1"/>
    <row r="13570" ht="30" customHeight="1"/>
    <row r="13571" ht="30" customHeight="1"/>
    <row r="13572" ht="30" customHeight="1"/>
    <row r="13573" ht="30" customHeight="1"/>
    <row r="13574" ht="30" customHeight="1"/>
    <row r="13575" ht="30" customHeight="1"/>
    <row r="13576" ht="30" customHeight="1"/>
    <row r="13577" ht="30" customHeight="1"/>
    <row r="13578" ht="30" customHeight="1"/>
    <row r="13579" ht="30" customHeight="1"/>
    <row r="13580" ht="30" customHeight="1"/>
    <row r="13581" ht="30" customHeight="1"/>
    <row r="13582" ht="30" customHeight="1"/>
    <row r="13583" ht="30" customHeight="1"/>
    <row r="13584" ht="30" customHeight="1"/>
    <row r="13585" ht="30" customHeight="1"/>
    <row r="13586" ht="30" customHeight="1"/>
    <row r="13587" ht="30" customHeight="1"/>
    <row r="13588" ht="30" customHeight="1"/>
    <row r="13589" ht="30" customHeight="1"/>
    <row r="13590" ht="30" customHeight="1"/>
    <row r="13591" ht="30" customHeight="1"/>
    <row r="13592" ht="30" customHeight="1"/>
    <row r="13593" ht="30" customHeight="1"/>
    <row r="13594" ht="30" customHeight="1"/>
    <row r="13595" ht="30" customHeight="1"/>
    <row r="13596" ht="30" customHeight="1"/>
    <row r="13597" ht="30" customHeight="1"/>
    <row r="13598" ht="30" customHeight="1"/>
    <row r="13599" ht="30" customHeight="1"/>
    <row r="13600" ht="30" customHeight="1"/>
    <row r="13601" ht="30" customHeight="1"/>
    <row r="13602" ht="30" customHeight="1"/>
    <row r="13603" ht="30" customHeight="1"/>
    <row r="13604" ht="30" customHeight="1"/>
    <row r="13605" ht="30" customHeight="1"/>
    <row r="13606" ht="30" customHeight="1"/>
    <row r="13607" ht="30" customHeight="1"/>
    <row r="13608" ht="30" customHeight="1"/>
    <row r="13609" ht="30" customHeight="1"/>
    <row r="13610" ht="30" customHeight="1"/>
    <row r="13611" ht="30" customHeight="1"/>
    <row r="13612" ht="30" customHeight="1"/>
    <row r="13613" ht="30" customHeight="1"/>
    <row r="13614" ht="30" customHeight="1"/>
    <row r="13615" ht="30" customHeight="1"/>
    <row r="13616" ht="30" customHeight="1"/>
    <row r="13617" ht="30" customHeight="1"/>
    <row r="13618" ht="30" customHeight="1"/>
    <row r="13619" ht="30" customHeight="1"/>
    <row r="13620" ht="30" customHeight="1"/>
    <row r="13621" ht="30" customHeight="1"/>
    <row r="13622" ht="30" customHeight="1"/>
    <row r="13623" ht="30" customHeight="1"/>
    <row r="13624" ht="30" customHeight="1"/>
    <row r="13625" ht="30" customHeight="1"/>
    <row r="13626" ht="30" customHeight="1"/>
    <row r="13627" ht="30" customHeight="1"/>
    <row r="13628" ht="30" customHeight="1"/>
    <row r="13629" ht="30" customHeight="1"/>
    <row r="13630" ht="30" customHeight="1"/>
    <row r="13631" ht="30" customHeight="1"/>
    <row r="13632" ht="30" customHeight="1"/>
    <row r="13633" ht="30" customHeight="1"/>
    <row r="13634" ht="30" customHeight="1"/>
    <row r="13635" ht="30" customHeight="1"/>
    <row r="13636" ht="30" customHeight="1"/>
    <row r="13637" ht="30" customHeight="1"/>
    <row r="13638" ht="30" customHeight="1"/>
    <row r="13639" ht="30" customHeight="1"/>
    <row r="13640" ht="30" customHeight="1"/>
    <row r="13641" ht="30" customHeight="1"/>
    <row r="13642" ht="30" customHeight="1"/>
    <row r="13643" ht="30" customHeight="1"/>
    <row r="13644" ht="30" customHeight="1"/>
    <row r="13645" ht="30" customHeight="1"/>
    <row r="13646" ht="30" customHeight="1"/>
    <row r="13647" ht="30" customHeight="1"/>
    <row r="13648" ht="30" customHeight="1"/>
    <row r="13649" ht="30" customHeight="1"/>
    <row r="13650" ht="30" customHeight="1"/>
    <row r="13651" ht="30" customHeight="1"/>
    <row r="13652" ht="30" customHeight="1"/>
    <row r="13653" ht="30" customHeight="1"/>
    <row r="13654" ht="30" customHeight="1"/>
    <row r="13655" ht="30" customHeight="1"/>
    <row r="13656" ht="30" customHeight="1"/>
    <row r="13657" ht="30" customHeight="1"/>
    <row r="13658" ht="30" customHeight="1"/>
    <row r="13659" ht="30" customHeight="1"/>
    <row r="13660" ht="30" customHeight="1"/>
    <row r="13661" ht="30" customHeight="1"/>
    <row r="13662" ht="30" customHeight="1"/>
    <row r="13663" ht="30" customHeight="1"/>
    <row r="13664" ht="30" customHeight="1"/>
    <row r="13665" ht="30" customHeight="1"/>
    <row r="13666" ht="30" customHeight="1"/>
    <row r="13667" ht="30" customHeight="1"/>
    <row r="13668" ht="30" customHeight="1"/>
    <row r="13669" ht="30" customHeight="1"/>
    <row r="13670" ht="30" customHeight="1"/>
    <row r="13671" ht="30" customHeight="1"/>
    <row r="13672" ht="30" customHeight="1"/>
    <row r="13673" ht="30" customHeight="1"/>
    <row r="13674" ht="30" customHeight="1"/>
    <row r="13675" ht="30" customHeight="1"/>
    <row r="13676" ht="30" customHeight="1"/>
    <row r="13677" ht="30" customHeight="1"/>
    <row r="13678" ht="30" customHeight="1"/>
    <row r="13679" ht="30" customHeight="1"/>
    <row r="13680" ht="30" customHeight="1"/>
    <row r="13681" ht="30" customHeight="1"/>
    <row r="13682" ht="30" customHeight="1"/>
    <row r="13683" ht="30" customHeight="1"/>
    <row r="13684" ht="30" customHeight="1"/>
    <row r="13685" ht="30" customHeight="1"/>
    <row r="13686" ht="30" customHeight="1"/>
    <row r="13687" ht="30" customHeight="1"/>
    <row r="13688" ht="30" customHeight="1"/>
    <row r="13689" ht="30" customHeight="1"/>
    <row r="13690" ht="30" customHeight="1"/>
    <row r="13691" ht="30" customHeight="1"/>
    <row r="13692" ht="30" customHeight="1"/>
    <row r="13693" ht="30" customHeight="1"/>
    <row r="13694" ht="30" customHeight="1"/>
    <row r="13695" ht="30" customHeight="1"/>
    <row r="13696" ht="30" customHeight="1"/>
    <row r="13697" ht="30" customHeight="1"/>
    <row r="13698" ht="30" customHeight="1"/>
    <row r="13699" ht="30" customHeight="1"/>
    <row r="13700" ht="30" customHeight="1"/>
    <row r="13701" ht="30" customHeight="1"/>
    <row r="13702" ht="30" customHeight="1"/>
    <row r="13703" ht="30" customHeight="1"/>
    <row r="13704" ht="30" customHeight="1"/>
    <row r="13705" ht="30" customHeight="1"/>
    <row r="13706" ht="30" customHeight="1"/>
    <row r="13707" ht="30" customHeight="1"/>
    <row r="13708" ht="30" customHeight="1"/>
    <row r="13709" ht="30" customHeight="1"/>
    <row r="13710" ht="30" customHeight="1"/>
    <row r="13711" ht="30" customHeight="1"/>
    <row r="13712" ht="30" customHeight="1"/>
    <row r="13713" ht="30" customHeight="1"/>
    <row r="13714" ht="30" customHeight="1"/>
    <row r="13715" ht="30" customHeight="1"/>
    <row r="13716" ht="30" customHeight="1"/>
    <row r="13717" ht="30" customHeight="1"/>
    <row r="13718" ht="30" customHeight="1"/>
    <row r="13719" ht="30" customHeight="1"/>
    <row r="13720" ht="30" customHeight="1"/>
    <row r="13721" ht="30" customHeight="1"/>
    <row r="13722" ht="30" customHeight="1"/>
    <row r="13723" ht="30" customHeight="1"/>
    <row r="13724" ht="30" customHeight="1"/>
    <row r="13725" ht="30" customHeight="1"/>
    <row r="13726" ht="30" customHeight="1"/>
    <row r="13727" ht="30" customHeight="1"/>
    <row r="13728" ht="30" customHeight="1"/>
    <row r="13729" ht="30" customHeight="1"/>
    <row r="13730" ht="30" customHeight="1"/>
    <row r="13731" ht="30" customHeight="1"/>
    <row r="13732" ht="30" customHeight="1"/>
    <row r="13733" ht="30" customHeight="1"/>
    <row r="13734" ht="30" customHeight="1"/>
    <row r="13735" ht="30" customHeight="1"/>
    <row r="13736" ht="30" customHeight="1"/>
    <row r="13737" ht="30" customHeight="1"/>
    <row r="13738" ht="30" customHeight="1"/>
    <row r="13739" ht="30" customHeight="1"/>
    <row r="13740" ht="30" customHeight="1"/>
    <row r="13741" ht="30" customHeight="1"/>
    <row r="13742" ht="30" customHeight="1"/>
    <row r="13743" ht="30" customHeight="1"/>
    <row r="13744" ht="30" customHeight="1"/>
    <row r="13745" ht="30" customHeight="1"/>
    <row r="13746" ht="30" customHeight="1"/>
    <row r="13747" ht="30" customHeight="1"/>
    <row r="13748" ht="30" customHeight="1"/>
    <row r="13749" ht="30" customHeight="1"/>
    <row r="13750" ht="30" customHeight="1"/>
    <row r="13751" ht="30" customHeight="1"/>
    <row r="13752" ht="30" customHeight="1"/>
    <row r="13753" ht="30" customHeight="1"/>
    <row r="13754" ht="30" customHeight="1"/>
    <row r="13755" ht="30" customHeight="1"/>
    <row r="13756" ht="30" customHeight="1"/>
    <row r="13757" ht="30" customHeight="1"/>
    <row r="13758" ht="30" customHeight="1"/>
    <row r="13759" ht="30" customHeight="1"/>
    <row r="13760" ht="30" customHeight="1"/>
    <row r="13761" ht="30" customHeight="1"/>
    <row r="13762" ht="30" customHeight="1"/>
    <row r="13763" ht="30" customHeight="1"/>
    <row r="13764" ht="30" customHeight="1"/>
    <row r="13765" ht="30" customHeight="1"/>
    <row r="13766" ht="30" customHeight="1"/>
    <row r="13767" ht="30" customHeight="1"/>
    <row r="13768" ht="30" customHeight="1"/>
    <row r="13769" ht="30" customHeight="1"/>
    <row r="13770" ht="30" customHeight="1"/>
    <row r="13771" ht="30" customHeight="1"/>
    <row r="13772" ht="30" customHeight="1"/>
    <row r="13773" ht="30" customHeight="1"/>
    <row r="13774" ht="30" customHeight="1"/>
    <row r="13775" ht="30" customHeight="1"/>
    <row r="13776" ht="30" customHeight="1"/>
    <row r="13777" ht="30" customHeight="1"/>
    <row r="13778" ht="30" customHeight="1"/>
    <row r="13779" ht="30" customHeight="1"/>
    <row r="13780" ht="30" customHeight="1"/>
    <row r="13781" ht="30" customHeight="1"/>
    <row r="13782" ht="30" customHeight="1"/>
    <row r="13783" ht="30" customHeight="1"/>
    <row r="13784" ht="30" customHeight="1"/>
    <row r="13785" ht="30" customHeight="1"/>
    <row r="13786" ht="30" customHeight="1"/>
    <row r="13787" ht="30" customHeight="1"/>
    <row r="13788" ht="30" customHeight="1"/>
    <row r="13789" ht="30" customHeight="1"/>
    <row r="13790" ht="30" customHeight="1"/>
    <row r="13791" ht="30" customHeight="1"/>
    <row r="13792" ht="30" customHeight="1"/>
    <row r="13793" ht="30" customHeight="1"/>
    <row r="13794" ht="30" customHeight="1"/>
    <row r="13795" ht="30" customHeight="1"/>
    <row r="13796" ht="30" customHeight="1"/>
    <row r="13797" ht="30" customHeight="1"/>
    <row r="13798" ht="30" customHeight="1"/>
    <row r="13799" ht="30" customHeight="1"/>
    <row r="13800" ht="30" customHeight="1"/>
    <row r="13801" ht="30" customHeight="1"/>
    <row r="13802" ht="30" customHeight="1"/>
    <row r="13803" ht="30" customHeight="1"/>
    <row r="13804" ht="30" customHeight="1"/>
    <row r="13805" ht="30" customHeight="1"/>
    <row r="13806" ht="30" customHeight="1"/>
    <row r="13807" ht="30" customHeight="1"/>
    <row r="13808" ht="30" customHeight="1"/>
    <row r="13809" ht="30" customHeight="1"/>
    <row r="13810" ht="30" customHeight="1"/>
    <row r="13811" ht="30" customHeight="1"/>
    <row r="13812" ht="30" customHeight="1"/>
    <row r="13813" ht="30" customHeight="1"/>
    <row r="13814" ht="30" customHeight="1"/>
    <row r="13815" ht="30" customHeight="1"/>
    <row r="13816" ht="30" customHeight="1"/>
    <row r="13817" ht="30" customHeight="1"/>
    <row r="13818" ht="30" customHeight="1"/>
    <row r="13819" ht="30" customHeight="1"/>
    <row r="13820" ht="30" customHeight="1"/>
    <row r="13821" ht="30" customHeight="1"/>
    <row r="13822" ht="30" customHeight="1"/>
    <row r="13823" ht="30" customHeight="1"/>
    <row r="13824" ht="30" customHeight="1"/>
    <row r="13825" ht="30" customHeight="1"/>
    <row r="13826" ht="30" customHeight="1"/>
    <row r="13827" ht="30" customHeight="1"/>
    <row r="13828" ht="30" customHeight="1"/>
    <row r="13829" ht="30" customHeight="1"/>
    <row r="13830" ht="30" customHeight="1"/>
    <row r="13831" ht="30" customHeight="1"/>
    <row r="13832" ht="30" customHeight="1"/>
    <row r="13833" ht="30" customHeight="1"/>
    <row r="13834" ht="30" customHeight="1"/>
    <row r="13835" ht="30" customHeight="1"/>
    <row r="13836" ht="30" customHeight="1"/>
    <row r="13837" ht="30" customHeight="1"/>
    <row r="13838" ht="30" customHeight="1"/>
    <row r="13839" ht="30" customHeight="1"/>
    <row r="13840" ht="30" customHeight="1"/>
    <row r="13841" ht="30" customHeight="1"/>
    <row r="13842" ht="30" customHeight="1"/>
    <row r="13843" ht="30" customHeight="1"/>
    <row r="13844" ht="30" customHeight="1"/>
    <row r="13845" ht="30" customHeight="1"/>
    <row r="13846" ht="30" customHeight="1"/>
    <row r="13847" ht="30" customHeight="1"/>
    <row r="13848" ht="30" customHeight="1"/>
    <row r="13849" ht="30" customHeight="1"/>
    <row r="13850" ht="30" customHeight="1"/>
    <row r="13851" ht="30" customHeight="1"/>
    <row r="13852" ht="30" customHeight="1"/>
    <row r="13853" ht="30" customHeight="1"/>
    <row r="13854" ht="30" customHeight="1"/>
    <row r="13855" ht="30" customHeight="1"/>
    <row r="13856" ht="30" customHeight="1"/>
    <row r="13857" ht="30" customHeight="1"/>
    <row r="13858" ht="30" customHeight="1"/>
    <row r="13859" ht="30" customHeight="1"/>
    <row r="13860" ht="30" customHeight="1"/>
    <row r="13861" ht="30" customHeight="1"/>
    <row r="13862" ht="30" customHeight="1"/>
    <row r="13863" ht="30" customHeight="1"/>
    <row r="13864" ht="30" customHeight="1"/>
    <row r="13865" ht="30" customHeight="1"/>
    <row r="13866" ht="30" customHeight="1"/>
    <row r="13867" ht="30" customHeight="1"/>
    <row r="13868" ht="30" customHeight="1"/>
    <row r="13869" ht="30" customHeight="1"/>
    <row r="13870" ht="30" customHeight="1"/>
    <row r="13871" ht="30" customHeight="1"/>
    <row r="13872" ht="30" customHeight="1"/>
    <row r="13873" ht="30" customHeight="1"/>
    <row r="13874" ht="30" customHeight="1"/>
    <row r="13875" ht="30" customHeight="1"/>
    <row r="13876" ht="30" customHeight="1"/>
    <row r="13877" ht="30" customHeight="1"/>
    <row r="13878" ht="30" customHeight="1"/>
    <row r="13879" ht="30" customHeight="1"/>
    <row r="13880" ht="30" customHeight="1"/>
    <row r="13881" ht="30" customHeight="1"/>
    <row r="13882" ht="30" customHeight="1"/>
    <row r="13883" ht="30" customHeight="1"/>
    <row r="13884" ht="30" customHeight="1"/>
    <row r="13885" ht="30" customHeight="1"/>
    <row r="13886" ht="30" customHeight="1"/>
    <row r="13887" ht="30" customHeight="1"/>
    <row r="13888" ht="30" customHeight="1"/>
    <row r="13889" ht="30" customHeight="1"/>
    <row r="13890" ht="30" customHeight="1"/>
    <row r="13891" ht="30" customHeight="1"/>
    <row r="13892" ht="30" customHeight="1"/>
    <row r="13893" ht="30" customHeight="1"/>
    <row r="13894" ht="30" customHeight="1"/>
    <row r="13895" ht="30" customHeight="1"/>
    <row r="13896" ht="30" customHeight="1"/>
    <row r="13897" ht="30" customHeight="1"/>
    <row r="13898" ht="30" customHeight="1"/>
    <row r="13899" ht="30" customHeight="1"/>
    <row r="13900" ht="30" customHeight="1"/>
    <row r="13901" ht="30" customHeight="1"/>
    <row r="13902" ht="30" customHeight="1"/>
    <row r="13903" ht="30" customHeight="1"/>
    <row r="13904" ht="30" customHeight="1"/>
    <row r="13905" ht="30" customHeight="1"/>
    <row r="13906" ht="30" customHeight="1"/>
    <row r="13907" ht="30" customHeight="1"/>
    <row r="13908" ht="30" customHeight="1"/>
    <row r="13909" ht="30" customHeight="1"/>
    <row r="13910" ht="30" customHeight="1"/>
    <row r="13911" ht="30" customHeight="1"/>
    <row r="13912" ht="30" customHeight="1"/>
    <row r="13913" ht="30" customHeight="1"/>
    <row r="13914" ht="30" customHeight="1"/>
    <row r="13915" ht="30" customHeight="1"/>
    <row r="13916" ht="30" customHeight="1"/>
    <row r="13917" ht="30" customHeight="1"/>
    <row r="13918" ht="30" customHeight="1"/>
    <row r="13919" ht="30" customHeight="1"/>
    <row r="13920" ht="30" customHeight="1"/>
    <row r="13921" ht="30" customHeight="1"/>
    <row r="13922" ht="30" customHeight="1"/>
    <row r="13923" ht="30" customHeight="1"/>
    <row r="13924" ht="30" customHeight="1"/>
    <row r="13925" ht="30" customHeight="1"/>
    <row r="13926" ht="30" customHeight="1"/>
    <row r="13927" ht="30" customHeight="1"/>
    <row r="13928" ht="30" customHeight="1"/>
    <row r="13929" ht="30" customHeight="1"/>
    <row r="13930" ht="30" customHeight="1"/>
    <row r="13931" ht="30" customHeight="1"/>
    <row r="13932" ht="30" customHeight="1"/>
    <row r="13933" ht="30" customHeight="1"/>
    <row r="13934" ht="30" customHeight="1"/>
    <row r="13935" ht="30" customHeight="1"/>
    <row r="13936" ht="30" customHeight="1"/>
    <row r="13937" ht="30" customHeight="1"/>
    <row r="13938" ht="30" customHeight="1"/>
    <row r="13939" ht="30" customHeight="1"/>
    <row r="13940" ht="30" customHeight="1"/>
    <row r="13941" ht="30" customHeight="1"/>
    <row r="13942" ht="30" customHeight="1"/>
    <row r="13943" ht="30" customHeight="1"/>
    <row r="13944" ht="30" customHeight="1"/>
    <row r="13945" ht="30" customHeight="1"/>
    <row r="13946" ht="30" customHeight="1"/>
    <row r="13947" ht="30" customHeight="1"/>
    <row r="13948" ht="30" customHeight="1"/>
    <row r="13949" ht="30" customHeight="1"/>
    <row r="13950" ht="30" customHeight="1"/>
    <row r="13951" ht="30" customHeight="1"/>
    <row r="13952" ht="30" customHeight="1"/>
    <row r="13953" ht="30" customHeight="1"/>
    <row r="13954" ht="30" customHeight="1"/>
    <row r="13955" ht="30" customHeight="1"/>
    <row r="13956" ht="30" customHeight="1"/>
    <row r="13957" ht="30" customHeight="1"/>
    <row r="13958" ht="30" customHeight="1"/>
    <row r="13959" ht="30" customHeight="1"/>
    <row r="13960" ht="30" customHeight="1"/>
    <row r="13961" ht="30" customHeight="1"/>
    <row r="13962" ht="30" customHeight="1"/>
    <row r="13963" ht="30" customHeight="1"/>
    <row r="13964" ht="30" customHeight="1"/>
    <row r="13965" ht="30" customHeight="1"/>
    <row r="13966" ht="30" customHeight="1"/>
    <row r="13967" ht="30" customHeight="1"/>
    <row r="13968" ht="30" customHeight="1"/>
    <row r="13969" ht="30" customHeight="1"/>
    <row r="13970" ht="30" customHeight="1"/>
    <row r="13971" ht="30" customHeight="1"/>
    <row r="13972" ht="30" customHeight="1"/>
    <row r="13973" ht="30" customHeight="1"/>
    <row r="13974" ht="30" customHeight="1"/>
    <row r="13975" ht="30" customHeight="1"/>
    <row r="13976" ht="30" customHeight="1"/>
    <row r="13977" ht="30" customHeight="1"/>
    <row r="13978" ht="30" customHeight="1"/>
    <row r="13979" ht="30" customHeight="1"/>
    <row r="13980" ht="30" customHeight="1"/>
    <row r="13981" ht="30" customHeight="1"/>
    <row r="13982" ht="30" customHeight="1"/>
    <row r="13983" ht="30" customHeight="1"/>
    <row r="13984" ht="30" customHeight="1"/>
    <row r="13985" ht="30" customHeight="1"/>
    <row r="13986" ht="30" customHeight="1"/>
    <row r="13987" ht="30" customHeight="1"/>
    <row r="13988" ht="30" customHeight="1"/>
    <row r="13989" ht="30" customHeight="1"/>
    <row r="13990" ht="30" customHeight="1"/>
    <row r="13991" ht="30" customHeight="1"/>
    <row r="13992" ht="30" customHeight="1"/>
    <row r="13993" ht="30" customHeight="1"/>
    <row r="13994" ht="30" customHeight="1"/>
    <row r="13995" ht="30" customHeight="1"/>
    <row r="13996" ht="30" customHeight="1"/>
    <row r="13997" ht="30" customHeight="1"/>
    <row r="13998" ht="30" customHeight="1"/>
    <row r="13999" ht="30" customHeight="1"/>
    <row r="14000" ht="30" customHeight="1"/>
    <row r="14001" ht="30" customHeight="1"/>
    <row r="14002" ht="30" customHeight="1"/>
    <row r="14003" ht="30" customHeight="1"/>
    <row r="14004" ht="30" customHeight="1"/>
    <row r="14005" ht="30" customHeight="1"/>
    <row r="14006" ht="30" customHeight="1"/>
    <row r="14007" ht="30" customHeight="1"/>
    <row r="14008" ht="30" customHeight="1"/>
    <row r="14009" ht="30" customHeight="1"/>
    <row r="14010" ht="30" customHeight="1"/>
    <row r="14011" ht="30" customHeight="1"/>
    <row r="14012" ht="30" customHeight="1"/>
    <row r="14013" ht="30" customHeight="1"/>
    <row r="14014" ht="30" customHeight="1"/>
    <row r="14015" ht="30" customHeight="1"/>
    <row r="14016" ht="30" customHeight="1"/>
    <row r="14017" ht="30" customHeight="1"/>
    <row r="14018" ht="30" customHeight="1"/>
    <row r="14019" ht="30" customHeight="1"/>
    <row r="14020" ht="30" customHeight="1"/>
    <row r="14021" ht="30" customHeight="1"/>
    <row r="14022" ht="30" customHeight="1"/>
    <row r="14023" ht="30" customHeight="1"/>
    <row r="14024" ht="30" customHeight="1"/>
    <row r="14025" ht="30" customHeight="1"/>
    <row r="14026" ht="30" customHeight="1"/>
    <row r="14027" ht="30" customHeight="1"/>
    <row r="14028" ht="30" customHeight="1"/>
    <row r="14029" ht="30" customHeight="1"/>
    <row r="14030" ht="30" customHeight="1"/>
    <row r="14031" ht="30" customHeight="1"/>
    <row r="14032" ht="30" customHeight="1"/>
    <row r="14033" ht="30" customHeight="1"/>
    <row r="14034" ht="30" customHeight="1"/>
    <row r="14035" ht="30" customHeight="1"/>
    <row r="14036" ht="30" customHeight="1"/>
    <row r="14037" ht="30" customHeight="1"/>
    <row r="14038" ht="30" customHeight="1"/>
    <row r="14039" ht="30" customHeight="1"/>
    <row r="14040" ht="30" customHeight="1"/>
    <row r="14041" ht="30" customHeight="1"/>
    <row r="14042" ht="30" customHeight="1"/>
    <row r="14043" ht="30" customHeight="1"/>
    <row r="14044" ht="30" customHeight="1"/>
    <row r="14045" ht="30" customHeight="1"/>
    <row r="14046" ht="30" customHeight="1"/>
    <row r="14047" ht="30" customHeight="1"/>
    <row r="14048" ht="30" customHeight="1"/>
    <row r="14049" ht="30" customHeight="1"/>
    <row r="14050" ht="30" customHeight="1"/>
    <row r="14051" ht="30" customHeight="1"/>
    <row r="14052" ht="30" customHeight="1"/>
    <row r="14053" ht="30" customHeight="1"/>
    <row r="14054" ht="30" customHeight="1"/>
    <row r="14055" ht="30" customHeight="1"/>
    <row r="14056" ht="30" customHeight="1"/>
    <row r="14057" ht="30" customHeight="1"/>
    <row r="14058" ht="30" customHeight="1"/>
    <row r="14059" ht="30" customHeight="1"/>
    <row r="14060" ht="30" customHeight="1"/>
    <row r="14061" ht="30" customHeight="1"/>
    <row r="14062" ht="30" customHeight="1"/>
    <row r="14063" ht="30" customHeight="1"/>
    <row r="14064" ht="30" customHeight="1"/>
    <row r="14065" ht="30" customHeight="1"/>
    <row r="14066" ht="30" customHeight="1"/>
    <row r="14067" ht="30" customHeight="1"/>
    <row r="14068" ht="30" customHeight="1"/>
    <row r="14069" ht="30" customHeight="1"/>
    <row r="14070" ht="30" customHeight="1"/>
    <row r="14071" ht="30" customHeight="1"/>
    <row r="14072" ht="30" customHeight="1"/>
    <row r="14073" ht="30" customHeight="1"/>
    <row r="14074" ht="30" customHeight="1"/>
    <row r="14075" ht="30" customHeight="1"/>
    <row r="14076" ht="30" customHeight="1"/>
    <row r="14077" ht="30" customHeight="1"/>
    <row r="14078" ht="30" customHeight="1"/>
    <row r="14079" ht="30" customHeight="1"/>
    <row r="14080" ht="30" customHeight="1"/>
    <row r="14081" ht="30" customHeight="1"/>
    <row r="14082" ht="30" customHeight="1"/>
    <row r="14083" ht="30" customHeight="1"/>
    <row r="14084" ht="30" customHeight="1"/>
    <row r="14085" ht="30" customHeight="1"/>
    <row r="14086" ht="30" customHeight="1"/>
    <row r="14087" ht="30" customHeight="1"/>
    <row r="14088" ht="30" customHeight="1"/>
    <row r="14089" ht="30" customHeight="1"/>
    <row r="14090" ht="30" customHeight="1"/>
    <row r="14091" ht="30" customHeight="1"/>
    <row r="14092" ht="30" customHeight="1"/>
    <row r="14093" ht="30" customHeight="1"/>
    <row r="14094" ht="30" customHeight="1"/>
    <row r="14095" ht="30" customHeight="1"/>
    <row r="14096" ht="30" customHeight="1"/>
    <row r="14097" ht="30" customHeight="1"/>
    <row r="14098" ht="30" customHeight="1"/>
    <row r="14099" ht="30" customHeight="1"/>
    <row r="14100" ht="30" customHeight="1"/>
    <row r="14101" ht="30" customHeight="1"/>
    <row r="14102" ht="30" customHeight="1"/>
    <row r="14103" ht="30" customHeight="1"/>
    <row r="14104" ht="30" customHeight="1"/>
    <row r="14105" ht="30" customHeight="1"/>
    <row r="14106" ht="30" customHeight="1"/>
    <row r="14107" ht="30" customHeight="1"/>
    <row r="14108" ht="30" customHeight="1"/>
    <row r="14109" ht="30" customHeight="1"/>
    <row r="14110" ht="30" customHeight="1"/>
    <row r="14111" ht="30" customHeight="1"/>
    <row r="14112" ht="30" customHeight="1"/>
    <row r="14113" ht="30" customHeight="1"/>
    <row r="14114" ht="30" customHeight="1"/>
    <row r="14115" ht="30" customHeight="1"/>
    <row r="14116" ht="30" customHeight="1"/>
    <row r="14117" ht="30" customHeight="1"/>
    <row r="14118" ht="30" customHeight="1"/>
    <row r="14119" ht="30" customHeight="1"/>
    <row r="14120" ht="30" customHeight="1"/>
    <row r="14121" ht="30" customHeight="1"/>
    <row r="14122" ht="30" customHeight="1"/>
    <row r="14123" ht="30" customHeight="1"/>
    <row r="14124" ht="30" customHeight="1"/>
    <row r="14125" ht="30" customHeight="1"/>
    <row r="14126" ht="30" customHeight="1"/>
    <row r="14127" ht="30" customHeight="1"/>
    <row r="14128" ht="30" customHeight="1"/>
    <row r="14129" ht="30" customHeight="1"/>
    <row r="14130" ht="30" customHeight="1"/>
    <row r="14131" ht="30" customHeight="1"/>
    <row r="14132" ht="30" customHeight="1"/>
    <row r="14133" ht="30" customHeight="1"/>
    <row r="14134" ht="30" customHeight="1"/>
    <row r="14135" ht="30" customHeight="1"/>
    <row r="14136" ht="30" customHeight="1"/>
    <row r="14137" ht="30" customHeight="1"/>
    <row r="14138" ht="30" customHeight="1"/>
    <row r="14139" ht="30" customHeight="1"/>
    <row r="14140" ht="30" customHeight="1"/>
    <row r="14141" ht="30" customHeight="1"/>
    <row r="14142" ht="30" customHeight="1"/>
    <row r="14143" ht="30" customHeight="1"/>
    <row r="14144" ht="30" customHeight="1"/>
    <row r="14145" ht="30" customHeight="1"/>
    <row r="14146" ht="30" customHeight="1"/>
    <row r="14147" ht="30" customHeight="1"/>
    <row r="14148" ht="30" customHeight="1"/>
    <row r="14149" ht="30" customHeight="1"/>
    <row r="14150" ht="30" customHeight="1"/>
    <row r="14151" ht="30" customHeight="1"/>
    <row r="14152" ht="30" customHeight="1"/>
    <row r="14153" ht="30" customHeight="1"/>
    <row r="14154" ht="30" customHeight="1"/>
    <row r="14155" ht="30" customHeight="1"/>
    <row r="14156" ht="30" customHeight="1"/>
    <row r="14157" ht="30" customHeight="1"/>
    <row r="14158" ht="30" customHeight="1"/>
    <row r="14159" ht="30" customHeight="1"/>
    <row r="14160" ht="30" customHeight="1"/>
    <row r="14161" ht="30" customHeight="1"/>
    <row r="14162" ht="30" customHeight="1"/>
    <row r="14163" ht="30" customHeight="1"/>
    <row r="14164" ht="30" customHeight="1"/>
    <row r="14165" ht="30" customHeight="1"/>
    <row r="14166" ht="30" customHeight="1"/>
    <row r="14167" ht="30" customHeight="1"/>
    <row r="14168" ht="30" customHeight="1"/>
    <row r="14169" ht="30" customHeight="1"/>
    <row r="14170" ht="30" customHeight="1"/>
    <row r="14171" ht="30" customHeight="1"/>
    <row r="14172" ht="30" customHeight="1"/>
    <row r="14173" ht="30" customHeight="1"/>
    <row r="14174" ht="30" customHeight="1"/>
    <row r="14175" ht="30" customHeight="1"/>
    <row r="14176" ht="30" customHeight="1"/>
    <row r="14177" ht="30" customHeight="1"/>
    <row r="14178" ht="30" customHeight="1"/>
    <row r="14179" ht="30" customHeight="1"/>
    <row r="14180" ht="30" customHeight="1"/>
    <row r="14181" ht="30" customHeight="1"/>
    <row r="14182" ht="30" customHeight="1"/>
    <row r="14183" ht="30" customHeight="1"/>
    <row r="14184" ht="30" customHeight="1"/>
    <row r="14185" ht="30" customHeight="1"/>
    <row r="14186" ht="30" customHeight="1"/>
    <row r="14187" ht="30" customHeight="1"/>
    <row r="14188" ht="30" customHeight="1"/>
    <row r="14189" ht="30" customHeight="1"/>
    <row r="14190" ht="30" customHeight="1"/>
    <row r="14191" ht="30" customHeight="1"/>
    <row r="14192" ht="30" customHeight="1"/>
    <row r="14193" ht="30" customHeight="1"/>
    <row r="14194" ht="30" customHeight="1"/>
    <row r="14195" ht="30" customHeight="1"/>
    <row r="14196" ht="30" customHeight="1"/>
    <row r="14197" ht="30" customHeight="1"/>
    <row r="14198" ht="30" customHeight="1"/>
    <row r="14199" ht="30" customHeight="1"/>
    <row r="14200" ht="30" customHeight="1"/>
    <row r="14201" ht="30" customHeight="1"/>
    <row r="14202" ht="30" customHeight="1"/>
    <row r="14203" ht="30" customHeight="1"/>
    <row r="14204" ht="30" customHeight="1"/>
    <row r="14205" ht="30" customHeight="1"/>
    <row r="14206" ht="30" customHeight="1"/>
    <row r="14207" ht="30" customHeight="1"/>
    <row r="14208" ht="30" customHeight="1"/>
    <row r="14209" ht="30" customHeight="1"/>
    <row r="14210" ht="30" customHeight="1"/>
    <row r="14211" ht="30" customHeight="1"/>
    <row r="14212" ht="30" customHeight="1"/>
    <row r="14213" ht="30" customHeight="1"/>
    <row r="14214" ht="30" customHeight="1"/>
    <row r="14215" ht="30" customHeight="1"/>
    <row r="14216" ht="30" customHeight="1"/>
    <row r="14217" ht="30" customHeight="1"/>
    <row r="14218" ht="30" customHeight="1"/>
    <row r="14219" ht="30" customHeight="1"/>
    <row r="14220" ht="30" customHeight="1"/>
    <row r="14221" ht="30" customHeight="1"/>
    <row r="14222" ht="30" customHeight="1"/>
    <row r="14223" ht="30" customHeight="1"/>
    <row r="14224" ht="30" customHeight="1"/>
    <row r="14225" ht="30" customHeight="1"/>
    <row r="14226" ht="30" customHeight="1"/>
    <row r="14227" ht="30" customHeight="1"/>
    <row r="14228" ht="30" customHeight="1"/>
    <row r="14229" ht="30" customHeight="1"/>
    <row r="14230" ht="30" customHeight="1"/>
    <row r="14231" ht="30" customHeight="1"/>
    <row r="14232" ht="30" customHeight="1"/>
    <row r="14233" ht="30" customHeight="1"/>
    <row r="14234" ht="30" customHeight="1"/>
    <row r="14235" ht="30" customHeight="1"/>
    <row r="14236" ht="30" customHeight="1"/>
    <row r="14237" ht="30" customHeight="1"/>
    <row r="14238" ht="30" customHeight="1"/>
    <row r="14239" ht="30" customHeight="1"/>
    <row r="14240" ht="30" customHeight="1"/>
    <row r="14241" ht="30" customHeight="1"/>
    <row r="14242" ht="30" customHeight="1"/>
    <row r="14243" ht="30" customHeight="1"/>
    <row r="14244" ht="30" customHeight="1"/>
    <row r="14245" ht="30" customHeight="1"/>
    <row r="14246" ht="30" customHeight="1"/>
    <row r="14247" ht="30" customHeight="1"/>
    <row r="14248" ht="30" customHeight="1"/>
    <row r="14249" ht="30" customHeight="1"/>
    <row r="14250" ht="30" customHeight="1"/>
    <row r="14251" ht="30" customHeight="1"/>
    <row r="14252" ht="30" customHeight="1"/>
    <row r="14253" ht="30" customHeight="1"/>
    <row r="14254" ht="30" customHeight="1"/>
    <row r="14255" ht="30" customHeight="1"/>
    <row r="14256" ht="30" customHeight="1"/>
    <row r="14257" ht="30" customHeight="1"/>
    <row r="14258" ht="30" customHeight="1"/>
    <row r="14259" ht="30" customHeight="1"/>
    <row r="14260" ht="30" customHeight="1"/>
    <row r="14261" ht="30" customHeight="1"/>
    <row r="14262" ht="30" customHeight="1"/>
    <row r="14263" ht="30" customHeight="1"/>
    <row r="14264" ht="30" customHeight="1"/>
    <row r="14265" ht="30" customHeight="1"/>
    <row r="14266" ht="30" customHeight="1"/>
    <row r="14267" ht="30" customHeight="1"/>
    <row r="14268" ht="30" customHeight="1"/>
    <row r="14269" ht="30" customHeight="1"/>
    <row r="14270" ht="30" customHeight="1"/>
    <row r="14271" ht="30" customHeight="1"/>
    <row r="14272" ht="30" customHeight="1"/>
    <row r="14273" ht="30" customHeight="1"/>
    <row r="14274" ht="30" customHeight="1"/>
    <row r="14275" ht="30" customHeight="1"/>
    <row r="14276" ht="30" customHeight="1"/>
    <row r="14277" ht="30" customHeight="1"/>
    <row r="14278" ht="30" customHeight="1"/>
    <row r="14279" ht="30" customHeight="1"/>
    <row r="14280" ht="30" customHeight="1"/>
    <row r="14281" ht="30" customHeight="1"/>
    <row r="14282" ht="30" customHeight="1"/>
    <row r="14283" ht="30" customHeight="1"/>
    <row r="14284" ht="30" customHeight="1"/>
    <row r="14285" ht="30" customHeight="1"/>
    <row r="14286" ht="30" customHeight="1"/>
    <row r="14287" ht="30" customHeight="1"/>
    <row r="14288" ht="30" customHeight="1"/>
    <row r="14289" ht="30" customHeight="1"/>
    <row r="14290" ht="30" customHeight="1"/>
    <row r="14291" ht="30" customHeight="1"/>
    <row r="14292" ht="30" customHeight="1"/>
    <row r="14293" ht="30" customHeight="1"/>
    <row r="14294" ht="30" customHeight="1"/>
    <row r="14295" ht="30" customHeight="1"/>
    <row r="14296" ht="30" customHeight="1"/>
    <row r="14297" ht="30" customHeight="1"/>
    <row r="14298" ht="30" customHeight="1"/>
    <row r="14299" ht="30" customHeight="1"/>
    <row r="14300" ht="30" customHeight="1"/>
    <row r="14301" ht="30" customHeight="1"/>
    <row r="14302" ht="30" customHeight="1"/>
    <row r="14303" ht="30" customHeight="1"/>
    <row r="14304" ht="30" customHeight="1"/>
    <row r="14305" ht="30" customHeight="1"/>
    <row r="14306" ht="30" customHeight="1"/>
    <row r="14307" ht="30" customHeight="1"/>
    <row r="14308" ht="30" customHeight="1"/>
    <row r="14309" ht="30" customHeight="1"/>
    <row r="14310" ht="30" customHeight="1"/>
    <row r="14311" ht="30" customHeight="1"/>
    <row r="14312" ht="30" customHeight="1"/>
    <row r="14313" ht="30" customHeight="1"/>
    <row r="14314" ht="30" customHeight="1"/>
    <row r="14315" ht="30" customHeight="1"/>
    <row r="14316" ht="30" customHeight="1"/>
    <row r="14317" ht="30" customHeight="1"/>
    <row r="14318" ht="30" customHeight="1"/>
    <row r="14319" ht="30" customHeight="1"/>
    <row r="14320" ht="30" customHeight="1"/>
    <row r="14321" ht="30" customHeight="1"/>
    <row r="14322" ht="30" customHeight="1"/>
    <row r="14323" ht="30" customHeight="1"/>
    <row r="14324" ht="30" customHeight="1"/>
    <row r="14325" ht="30" customHeight="1"/>
    <row r="14326" ht="30" customHeight="1"/>
    <row r="14327" ht="30" customHeight="1"/>
    <row r="14328" ht="30" customHeight="1"/>
    <row r="14329" ht="30" customHeight="1"/>
    <row r="14330" ht="30" customHeight="1"/>
    <row r="14331" ht="30" customHeight="1"/>
    <row r="14332" ht="30" customHeight="1"/>
    <row r="14333" ht="30" customHeight="1"/>
    <row r="14334" ht="30" customHeight="1"/>
    <row r="14335" ht="30" customHeight="1"/>
    <row r="14336" ht="30" customHeight="1"/>
    <row r="14337" ht="30" customHeight="1"/>
    <row r="14338" ht="30" customHeight="1"/>
    <row r="14339" ht="30" customHeight="1"/>
    <row r="14340" ht="30" customHeight="1"/>
    <row r="14341" ht="30" customHeight="1"/>
    <row r="14342" ht="30" customHeight="1"/>
    <row r="14343" ht="30" customHeight="1"/>
    <row r="14344" ht="30" customHeight="1"/>
    <row r="14345" ht="30" customHeight="1"/>
    <row r="14346" ht="30" customHeight="1"/>
    <row r="14347" ht="30" customHeight="1"/>
    <row r="14348" ht="30" customHeight="1"/>
    <row r="14349" ht="30" customHeight="1"/>
    <row r="14350" ht="30" customHeight="1"/>
    <row r="14351" ht="30" customHeight="1"/>
    <row r="14352" ht="30" customHeight="1"/>
    <row r="14353" ht="30" customHeight="1"/>
    <row r="14354" ht="30" customHeight="1"/>
    <row r="14355" ht="30" customHeight="1"/>
    <row r="14356" ht="30" customHeight="1"/>
    <row r="14357" ht="30" customHeight="1"/>
    <row r="14358" ht="30" customHeight="1"/>
    <row r="14359" ht="30" customHeight="1"/>
    <row r="14360" ht="30" customHeight="1"/>
    <row r="14361" ht="30" customHeight="1"/>
    <row r="14362" ht="30" customHeight="1"/>
    <row r="14363" ht="30" customHeight="1"/>
    <row r="14364" ht="30" customHeight="1"/>
    <row r="14365" ht="30" customHeight="1"/>
    <row r="14366" ht="30" customHeight="1"/>
    <row r="14367" ht="30" customHeight="1"/>
    <row r="14368" ht="30" customHeight="1"/>
    <row r="14369" ht="30" customHeight="1"/>
    <row r="14370" ht="30" customHeight="1"/>
    <row r="14371" ht="30" customHeight="1"/>
    <row r="14372" ht="30" customHeight="1"/>
    <row r="14373" ht="30" customHeight="1"/>
    <row r="14374" ht="30" customHeight="1"/>
    <row r="14375" ht="30" customHeight="1"/>
    <row r="14376" ht="30" customHeight="1"/>
    <row r="14377" ht="30" customHeight="1"/>
    <row r="14378" ht="30" customHeight="1"/>
    <row r="14379" ht="30" customHeight="1"/>
    <row r="14380" ht="30" customHeight="1"/>
    <row r="14381" ht="30" customHeight="1"/>
    <row r="14382" ht="30" customHeight="1"/>
    <row r="14383" ht="30" customHeight="1"/>
    <row r="14384" ht="30" customHeight="1"/>
    <row r="14385" ht="30" customHeight="1"/>
    <row r="14386" ht="30" customHeight="1"/>
    <row r="14387" ht="30" customHeight="1"/>
    <row r="14388" ht="30" customHeight="1"/>
    <row r="14389" ht="30" customHeight="1"/>
    <row r="14390" ht="30" customHeight="1"/>
    <row r="14391" ht="30" customHeight="1"/>
    <row r="14392" ht="30" customHeight="1"/>
    <row r="14393" ht="30" customHeight="1"/>
    <row r="14394" ht="30" customHeight="1"/>
    <row r="14395" ht="30" customHeight="1"/>
    <row r="14396" ht="30" customHeight="1"/>
    <row r="14397" ht="30" customHeight="1"/>
    <row r="14398" ht="30" customHeight="1"/>
    <row r="14399" ht="30" customHeight="1"/>
    <row r="14400" ht="30" customHeight="1"/>
    <row r="14401" ht="30" customHeight="1"/>
    <row r="14402" ht="30" customHeight="1"/>
    <row r="14403" ht="30" customHeight="1"/>
    <row r="14404" ht="30" customHeight="1"/>
    <row r="14405" ht="30" customHeight="1"/>
    <row r="14406" ht="30" customHeight="1"/>
    <row r="14407" ht="30" customHeight="1"/>
    <row r="14408" ht="30" customHeight="1"/>
    <row r="14409" ht="30" customHeight="1"/>
    <row r="14410" ht="30" customHeight="1"/>
    <row r="14411" ht="30" customHeight="1"/>
    <row r="14412" ht="30" customHeight="1"/>
    <row r="14413" ht="30" customHeight="1"/>
    <row r="14414" ht="30" customHeight="1"/>
    <row r="14415" ht="30" customHeight="1"/>
    <row r="14416" ht="30" customHeight="1"/>
    <row r="14417" ht="30" customHeight="1"/>
    <row r="14418" ht="30" customHeight="1"/>
    <row r="14419" ht="30" customHeight="1"/>
    <row r="14420" ht="30" customHeight="1"/>
    <row r="14421" ht="30" customHeight="1"/>
    <row r="14422" ht="30" customHeight="1"/>
    <row r="14423" ht="30" customHeight="1"/>
    <row r="14424" ht="30" customHeight="1"/>
    <row r="14425" ht="30" customHeight="1"/>
    <row r="14426" ht="30" customHeight="1"/>
    <row r="14427" ht="30" customHeight="1"/>
    <row r="14428" ht="30" customHeight="1"/>
    <row r="14429" ht="30" customHeight="1"/>
    <row r="14430" ht="30" customHeight="1"/>
    <row r="14431" ht="30" customHeight="1"/>
    <row r="14432" ht="30" customHeight="1"/>
    <row r="14433" ht="30" customHeight="1"/>
    <row r="14434" ht="30" customHeight="1"/>
    <row r="14435" ht="30" customHeight="1"/>
    <row r="14436" ht="30" customHeight="1"/>
    <row r="14437" ht="30" customHeight="1"/>
    <row r="14438" ht="30" customHeight="1"/>
    <row r="14439" ht="30" customHeight="1"/>
    <row r="14440" ht="30" customHeight="1"/>
    <row r="14441" ht="30" customHeight="1"/>
    <row r="14442" ht="30" customHeight="1"/>
    <row r="14443" ht="30" customHeight="1"/>
    <row r="14444" ht="30" customHeight="1"/>
    <row r="14445" ht="30" customHeight="1"/>
    <row r="14446" ht="30" customHeight="1"/>
    <row r="14447" ht="30" customHeight="1"/>
    <row r="14448" ht="30" customHeight="1"/>
    <row r="14449" ht="30" customHeight="1"/>
    <row r="14450" ht="30" customHeight="1"/>
    <row r="14451" ht="30" customHeight="1"/>
    <row r="14452" ht="30" customHeight="1"/>
    <row r="14453" ht="30" customHeight="1"/>
    <row r="14454" ht="30" customHeight="1"/>
    <row r="14455" ht="30" customHeight="1"/>
    <row r="14456" ht="30" customHeight="1"/>
    <row r="14457" ht="30" customHeight="1"/>
    <row r="14458" ht="30" customHeight="1"/>
    <row r="14459" ht="30" customHeight="1"/>
    <row r="14460" ht="30" customHeight="1"/>
    <row r="14461" ht="30" customHeight="1"/>
    <row r="14462" ht="30" customHeight="1"/>
    <row r="14463" ht="30" customHeight="1"/>
    <row r="14464" ht="30" customHeight="1"/>
    <row r="14465" ht="30" customHeight="1"/>
    <row r="14466" ht="30" customHeight="1"/>
    <row r="14467" ht="30" customHeight="1"/>
    <row r="14468" ht="30" customHeight="1"/>
    <row r="14469" ht="30" customHeight="1"/>
    <row r="14470" ht="30" customHeight="1"/>
    <row r="14471" ht="30" customHeight="1"/>
    <row r="14472" ht="30" customHeight="1"/>
    <row r="14473" ht="30" customHeight="1"/>
    <row r="14474" ht="30" customHeight="1"/>
    <row r="14475" ht="30" customHeight="1"/>
    <row r="14476" ht="30" customHeight="1"/>
    <row r="14477" ht="30" customHeight="1"/>
    <row r="14478" ht="30" customHeight="1"/>
    <row r="14479" ht="30" customHeight="1"/>
    <row r="14480" ht="30" customHeight="1"/>
    <row r="14481" ht="30" customHeight="1"/>
    <row r="14482" ht="30" customHeight="1"/>
    <row r="14483" ht="30" customHeight="1"/>
    <row r="14484" ht="30" customHeight="1"/>
    <row r="14485" ht="30" customHeight="1"/>
    <row r="14486" ht="30" customHeight="1"/>
    <row r="14487" ht="30" customHeight="1"/>
    <row r="14488" ht="30" customHeight="1"/>
    <row r="14489" ht="30" customHeight="1"/>
    <row r="14490" ht="30" customHeight="1"/>
    <row r="14491" ht="30" customHeight="1"/>
    <row r="14492" ht="30" customHeight="1"/>
    <row r="14493" ht="30" customHeight="1"/>
    <row r="14494" ht="30" customHeight="1"/>
    <row r="14495" ht="30" customHeight="1"/>
    <row r="14496" ht="30" customHeight="1"/>
    <row r="14497" ht="30" customHeight="1"/>
    <row r="14498" ht="30" customHeight="1"/>
    <row r="14499" ht="30" customHeight="1"/>
    <row r="14500" ht="30" customHeight="1"/>
    <row r="14501" ht="30" customHeight="1"/>
    <row r="14502" ht="30" customHeight="1"/>
    <row r="14503" ht="30" customHeight="1"/>
    <row r="14504" ht="30" customHeight="1"/>
    <row r="14505" ht="30" customHeight="1"/>
    <row r="14506" ht="30" customHeight="1"/>
    <row r="14507" ht="30" customHeight="1"/>
    <row r="14508" ht="30" customHeight="1"/>
    <row r="14509" ht="30" customHeight="1"/>
    <row r="14510" ht="30" customHeight="1"/>
    <row r="14511" ht="30" customHeight="1"/>
    <row r="14512" ht="30" customHeight="1"/>
    <row r="14513" ht="30" customHeight="1"/>
    <row r="14514" ht="30" customHeight="1"/>
    <row r="14515" ht="30" customHeight="1"/>
    <row r="14516" ht="30" customHeight="1"/>
    <row r="14517" ht="30" customHeight="1"/>
    <row r="14518" ht="30" customHeight="1"/>
    <row r="14519" ht="30" customHeight="1"/>
    <row r="14520" ht="30" customHeight="1"/>
    <row r="14521" ht="30" customHeight="1"/>
    <row r="14522" ht="30" customHeight="1"/>
    <row r="14523" ht="30" customHeight="1"/>
    <row r="14524" ht="30" customHeight="1"/>
    <row r="14525" ht="30" customHeight="1"/>
    <row r="14526" ht="30" customHeight="1"/>
    <row r="14527" ht="30" customHeight="1"/>
    <row r="14528" ht="30" customHeight="1"/>
    <row r="14529" ht="30" customHeight="1"/>
    <row r="14530" ht="30" customHeight="1"/>
    <row r="14531" ht="30" customHeight="1"/>
    <row r="14532" ht="30" customHeight="1"/>
    <row r="14533" ht="30" customHeight="1"/>
    <row r="14534" ht="30" customHeight="1"/>
    <row r="14535" ht="30" customHeight="1"/>
    <row r="14536" ht="30" customHeight="1"/>
    <row r="14537" ht="30" customHeight="1"/>
    <row r="14538" ht="30" customHeight="1"/>
    <row r="14539" ht="30" customHeight="1"/>
    <row r="14540" ht="30" customHeight="1"/>
    <row r="14541" ht="30" customHeight="1"/>
    <row r="14542" ht="30" customHeight="1"/>
    <row r="14543" ht="30" customHeight="1"/>
    <row r="14544" ht="30" customHeight="1"/>
    <row r="14545" ht="30" customHeight="1"/>
    <row r="14546" ht="30" customHeight="1"/>
    <row r="14547" ht="30" customHeight="1"/>
    <row r="14548" ht="30" customHeight="1"/>
    <row r="14549" ht="30" customHeight="1"/>
    <row r="14550" ht="30" customHeight="1"/>
    <row r="14551" ht="30" customHeight="1"/>
    <row r="14552" ht="30" customHeight="1"/>
    <row r="14553" ht="30" customHeight="1"/>
    <row r="14554" ht="30" customHeight="1"/>
    <row r="14555" ht="30" customHeight="1"/>
    <row r="14556" ht="30" customHeight="1"/>
    <row r="14557" ht="30" customHeight="1"/>
    <row r="14558" ht="30" customHeight="1"/>
    <row r="14559" ht="30" customHeight="1"/>
    <row r="14560" ht="30" customHeight="1"/>
    <row r="14561" ht="30" customHeight="1"/>
    <row r="14562" ht="30" customHeight="1"/>
    <row r="14563" ht="30" customHeight="1"/>
    <row r="14564" ht="30" customHeight="1"/>
    <row r="14565" ht="30" customHeight="1"/>
    <row r="14566" ht="30" customHeight="1"/>
    <row r="14567" ht="30" customHeight="1"/>
    <row r="14568" ht="30" customHeight="1"/>
    <row r="14569" ht="30" customHeight="1"/>
    <row r="14570" ht="30" customHeight="1"/>
    <row r="14571" ht="30" customHeight="1"/>
    <row r="14572" ht="30" customHeight="1"/>
    <row r="14573" ht="30" customHeight="1"/>
    <row r="14574" ht="30" customHeight="1"/>
    <row r="14575" ht="30" customHeight="1"/>
    <row r="14576" ht="30" customHeight="1"/>
    <row r="14577" ht="30" customHeight="1"/>
    <row r="14578" ht="30" customHeight="1"/>
    <row r="14579" ht="30" customHeight="1"/>
    <row r="14580" ht="30" customHeight="1"/>
    <row r="14581" ht="30" customHeight="1"/>
    <row r="14582" ht="30" customHeight="1"/>
    <row r="14583" ht="30" customHeight="1"/>
    <row r="14584" ht="30" customHeight="1"/>
    <row r="14585" ht="30" customHeight="1"/>
    <row r="14586" ht="30" customHeight="1"/>
    <row r="14587" ht="30" customHeight="1"/>
    <row r="14588" ht="30" customHeight="1"/>
    <row r="14589" ht="30" customHeight="1"/>
    <row r="14590" ht="30" customHeight="1"/>
    <row r="14591" ht="30" customHeight="1"/>
    <row r="14592" ht="30" customHeight="1"/>
    <row r="14593" ht="30" customHeight="1"/>
    <row r="14594" ht="30" customHeight="1"/>
    <row r="14595" ht="30" customHeight="1"/>
    <row r="14596" ht="30" customHeight="1"/>
    <row r="14597" ht="30" customHeight="1"/>
    <row r="14598" ht="30" customHeight="1"/>
    <row r="14599" ht="30" customHeight="1"/>
    <row r="14600" ht="30" customHeight="1"/>
    <row r="14601" ht="30" customHeight="1"/>
    <row r="14602" ht="30" customHeight="1"/>
    <row r="14603" ht="30" customHeight="1"/>
    <row r="14604" ht="30" customHeight="1"/>
    <row r="14605" ht="30" customHeight="1"/>
    <row r="14606" ht="30" customHeight="1"/>
    <row r="14607" ht="30" customHeight="1"/>
    <row r="14608" ht="30" customHeight="1"/>
    <row r="14609" ht="30" customHeight="1"/>
    <row r="14610" ht="30" customHeight="1"/>
    <row r="14611" ht="30" customHeight="1"/>
    <row r="14612" ht="30" customHeight="1"/>
    <row r="14613" ht="30" customHeight="1"/>
    <row r="14614" ht="30" customHeight="1"/>
    <row r="14615" ht="30" customHeight="1"/>
    <row r="14616" ht="30" customHeight="1"/>
    <row r="14617" ht="30" customHeight="1"/>
    <row r="14618" ht="30" customHeight="1"/>
    <row r="14619" ht="30" customHeight="1"/>
    <row r="14620" ht="30" customHeight="1"/>
    <row r="14621" ht="30" customHeight="1"/>
    <row r="14622" ht="30" customHeight="1"/>
    <row r="14623" ht="30" customHeight="1"/>
    <row r="14624" ht="30" customHeight="1"/>
    <row r="14625" ht="30" customHeight="1"/>
    <row r="14626" ht="30" customHeight="1"/>
    <row r="14627" ht="30" customHeight="1"/>
    <row r="14628" ht="30" customHeight="1"/>
    <row r="14629" ht="30" customHeight="1"/>
    <row r="14630" ht="30" customHeight="1"/>
    <row r="14631" ht="30" customHeight="1"/>
    <row r="14632" ht="30" customHeight="1"/>
    <row r="14633" ht="30" customHeight="1"/>
    <row r="14634" ht="30" customHeight="1"/>
    <row r="14635" ht="30" customHeight="1"/>
    <row r="14636" ht="30" customHeight="1"/>
    <row r="14637" ht="30" customHeight="1"/>
    <row r="14638" ht="30" customHeight="1"/>
    <row r="14639" ht="30" customHeight="1"/>
    <row r="14640" ht="30" customHeight="1"/>
    <row r="14641" ht="30" customHeight="1"/>
    <row r="14642" ht="30" customHeight="1"/>
    <row r="14643" ht="30" customHeight="1"/>
    <row r="14644" ht="30" customHeight="1"/>
    <row r="14645" ht="30" customHeight="1"/>
    <row r="14646" ht="30" customHeight="1"/>
    <row r="14647" ht="30" customHeight="1"/>
    <row r="14648" ht="30" customHeight="1"/>
    <row r="14649" ht="30" customHeight="1"/>
    <row r="14650" ht="30" customHeight="1"/>
    <row r="14651" ht="30" customHeight="1"/>
    <row r="14652" ht="30" customHeight="1"/>
    <row r="14653" ht="30" customHeight="1"/>
    <row r="14654" ht="30" customHeight="1"/>
    <row r="14655" ht="30" customHeight="1"/>
    <row r="14656" ht="30" customHeight="1"/>
    <row r="14657" ht="30" customHeight="1"/>
    <row r="14658" ht="30" customHeight="1"/>
    <row r="14659" ht="30" customHeight="1"/>
    <row r="14660" ht="30" customHeight="1"/>
    <row r="14661" ht="30" customHeight="1"/>
    <row r="14662" ht="30" customHeight="1"/>
    <row r="14663" ht="30" customHeight="1"/>
    <row r="14664" ht="30" customHeight="1"/>
    <row r="14665" ht="30" customHeight="1"/>
    <row r="14666" ht="30" customHeight="1"/>
    <row r="14667" ht="30" customHeight="1"/>
    <row r="14668" ht="30" customHeight="1"/>
    <row r="14669" ht="30" customHeight="1"/>
    <row r="14670" ht="30" customHeight="1"/>
    <row r="14671" ht="30" customHeight="1"/>
    <row r="14672" ht="30" customHeight="1"/>
    <row r="14673" ht="30" customHeight="1"/>
    <row r="14674" ht="30" customHeight="1"/>
    <row r="14675" ht="30" customHeight="1"/>
    <row r="14676" ht="30" customHeight="1"/>
    <row r="14677" ht="30" customHeight="1"/>
    <row r="14678" ht="30" customHeight="1"/>
    <row r="14679" ht="30" customHeight="1"/>
    <row r="14680" ht="30" customHeight="1"/>
    <row r="14681" ht="30" customHeight="1"/>
    <row r="14682" ht="30" customHeight="1"/>
    <row r="14683" ht="30" customHeight="1"/>
    <row r="14684" ht="30" customHeight="1"/>
    <row r="14685" ht="30" customHeight="1"/>
    <row r="14686" ht="30" customHeight="1"/>
    <row r="14687" ht="30" customHeight="1"/>
    <row r="14688" ht="30" customHeight="1"/>
    <row r="14689" ht="30" customHeight="1"/>
    <row r="14690" ht="30" customHeight="1"/>
    <row r="14691" ht="30" customHeight="1"/>
    <row r="14692" ht="30" customHeight="1"/>
    <row r="14693" ht="30" customHeight="1"/>
    <row r="14694" ht="30" customHeight="1"/>
    <row r="14695" ht="30" customHeight="1"/>
    <row r="14696" ht="30" customHeight="1"/>
    <row r="14697" ht="30" customHeight="1"/>
    <row r="14698" ht="30" customHeight="1"/>
    <row r="14699" ht="30" customHeight="1"/>
    <row r="14700" ht="30" customHeight="1"/>
    <row r="14701" ht="30" customHeight="1"/>
    <row r="14702" ht="30" customHeight="1"/>
    <row r="14703" ht="30" customHeight="1"/>
    <row r="14704" ht="30" customHeight="1"/>
    <row r="14705" ht="30" customHeight="1"/>
    <row r="14706" ht="30" customHeight="1"/>
    <row r="14707" ht="30" customHeight="1"/>
    <row r="14708" ht="30" customHeight="1"/>
    <row r="14709" ht="30" customHeight="1"/>
    <row r="14710" ht="30" customHeight="1"/>
    <row r="14711" ht="30" customHeight="1"/>
    <row r="14712" ht="30" customHeight="1"/>
    <row r="14713" ht="30" customHeight="1"/>
    <row r="14714" ht="30" customHeight="1"/>
    <row r="14715" ht="30" customHeight="1"/>
    <row r="14716" ht="30" customHeight="1"/>
    <row r="14717" ht="30" customHeight="1"/>
    <row r="14718" ht="30" customHeight="1"/>
    <row r="14719" ht="30" customHeight="1"/>
    <row r="14720" ht="30" customHeight="1"/>
    <row r="14721" ht="30" customHeight="1"/>
    <row r="14722" ht="30" customHeight="1"/>
    <row r="14723" ht="30" customHeight="1"/>
    <row r="14724" ht="30" customHeight="1"/>
    <row r="14725" ht="30" customHeight="1"/>
    <row r="14726" ht="30" customHeight="1"/>
    <row r="14727" ht="30" customHeight="1"/>
    <row r="14728" ht="30" customHeight="1"/>
    <row r="14729" ht="30" customHeight="1"/>
    <row r="14730" ht="30" customHeight="1"/>
    <row r="14731" ht="30" customHeight="1"/>
    <row r="14732" ht="30" customHeight="1"/>
    <row r="14733" ht="30" customHeight="1"/>
    <row r="14734" ht="30" customHeight="1"/>
    <row r="14735" ht="30" customHeight="1"/>
    <row r="14736" ht="30" customHeight="1"/>
    <row r="14737" ht="30" customHeight="1"/>
    <row r="14738" ht="30" customHeight="1"/>
    <row r="14739" ht="30" customHeight="1"/>
    <row r="14740" ht="30" customHeight="1"/>
    <row r="14741" ht="30" customHeight="1"/>
    <row r="14742" ht="30" customHeight="1"/>
    <row r="14743" ht="30" customHeight="1"/>
    <row r="14744" ht="30" customHeight="1"/>
    <row r="14745" ht="30" customHeight="1"/>
    <row r="14746" ht="30" customHeight="1"/>
    <row r="14747" ht="30" customHeight="1"/>
    <row r="14748" ht="30" customHeight="1"/>
    <row r="14749" ht="30" customHeight="1"/>
    <row r="14750" ht="30" customHeight="1"/>
    <row r="14751" ht="30" customHeight="1"/>
    <row r="14752" ht="30" customHeight="1"/>
    <row r="14753" ht="30" customHeight="1"/>
    <row r="14754" ht="30" customHeight="1"/>
    <row r="14755" ht="30" customHeight="1"/>
    <row r="14756" ht="30" customHeight="1"/>
    <row r="14757" ht="30" customHeight="1"/>
    <row r="14758" ht="30" customHeight="1"/>
    <row r="14759" ht="30" customHeight="1"/>
    <row r="14760" ht="30" customHeight="1"/>
    <row r="14761" ht="30" customHeight="1"/>
    <row r="14762" ht="30" customHeight="1"/>
    <row r="14763" ht="30" customHeight="1"/>
    <row r="14764" ht="30" customHeight="1"/>
    <row r="14765" ht="30" customHeight="1"/>
    <row r="14766" ht="30" customHeight="1"/>
    <row r="14767" ht="30" customHeight="1"/>
    <row r="14768" ht="30" customHeight="1"/>
    <row r="14769" ht="30" customHeight="1"/>
    <row r="14770" ht="30" customHeight="1"/>
    <row r="14771" ht="30" customHeight="1"/>
    <row r="14772" ht="30" customHeight="1"/>
    <row r="14773" ht="30" customHeight="1"/>
    <row r="14774" ht="30" customHeight="1"/>
    <row r="14775" ht="30" customHeight="1"/>
    <row r="14776" ht="30" customHeight="1"/>
    <row r="14777" ht="30" customHeight="1"/>
    <row r="14778" ht="30" customHeight="1"/>
    <row r="14779" ht="30" customHeight="1"/>
    <row r="14780" ht="30" customHeight="1"/>
    <row r="14781" ht="30" customHeight="1"/>
    <row r="14782" ht="30" customHeight="1"/>
    <row r="14783" ht="30" customHeight="1"/>
    <row r="14784" ht="30" customHeight="1"/>
    <row r="14785" ht="30" customHeight="1"/>
    <row r="14786" ht="30" customHeight="1"/>
    <row r="14787" ht="30" customHeight="1"/>
    <row r="14788" ht="30" customHeight="1"/>
    <row r="14789" ht="30" customHeight="1"/>
    <row r="14790" ht="30" customHeight="1"/>
    <row r="14791" ht="30" customHeight="1"/>
    <row r="14792" ht="30" customHeight="1"/>
    <row r="14793" ht="30" customHeight="1"/>
    <row r="14794" ht="30" customHeight="1"/>
    <row r="14795" ht="30" customHeight="1"/>
    <row r="14796" ht="30" customHeight="1"/>
    <row r="14797" ht="30" customHeight="1"/>
    <row r="14798" ht="30" customHeight="1"/>
    <row r="14799" ht="30" customHeight="1"/>
    <row r="14800" ht="30" customHeight="1"/>
    <row r="14801" ht="30" customHeight="1"/>
    <row r="14802" ht="30" customHeight="1"/>
    <row r="14803" ht="30" customHeight="1"/>
    <row r="14804" ht="30" customHeight="1"/>
    <row r="14805" ht="30" customHeight="1"/>
    <row r="14806" ht="30" customHeight="1"/>
    <row r="14807" ht="30" customHeight="1"/>
    <row r="14808" ht="30" customHeight="1"/>
    <row r="14809" ht="30" customHeight="1"/>
    <row r="14810" ht="30" customHeight="1"/>
    <row r="14811" ht="30" customHeight="1"/>
    <row r="14812" ht="30" customHeight="1"/>
    <row r="14813" ht="30" customHeight="1"/>
    <row r="14814" ht="30" customHeight="1"/>
    <row r="14815" ht="30" customHeight="1"/>
    <row r="14816" ht="30" customHeight="1"/>
    <row r="14817" ht="30" customHeight="1"/>
    <row r="14818" ht="30" customHeight="1"/>
    <row r="14819" ht="30" customHeight="1"/>
    <row r="14820" ht="30" customHeight="1"/>
    <row r="14821" ht="30" customHeight="1"/>
    <row r="14822" ht="30" customHeight="1"/>
    <row r="14823" ht="30" customHeight="1"/>
    <row r="14824" ht="30" customHeight="1"/>
    <row r="14825" ht="30" customHeight="1"/>
    <row r="14826" ht="30" customHeight="1"/>
    <row r="14827" ht="30" customHeight="1"/>
    <row r="14828" ht="30" customHeight="1"/>
    <row r="14829" ht="30" customHeight="1"/>
    <row r="14830" ht="30" customHeight="1"/>
    <row r="14831" ht="30" customHeight="1"/>
    <row r="14832" ht="30" customHeight="1"/>
    <row r="14833" ht="30" customHeight="1"/>
    <row r="14834" ht="30" customHeight="1"/>
    <row r="14835" ht="30" customHeight="1"/>
    <row r="14836" ht="30" customHeight="1"/>
    <row r="14837" ht="30" customHeight="1"/>
    <row r="14838" ht="30" customHeight="1"/>
    <row r="14839" ht="30" customHeight="1"/>
    <row r="14840" ht="30" customHeight="1"/>
    <row r="14841" ht="30" customHeight="1"/>
    <row r="14842" ht="30" customHeight="1"/>
    <row r="14843" ht="30" customHeight="1"/>
    <row r="14844" ht="30" customHeight="1"/>
    <row r="14845" ht="30" customHeight="1"/>
    <row r="14846" ht="30" customHeight="1"/>
    <row r="14847" ht="30" customHeight="1"/>
    <row r="14848" ht="30" customHeight="1"/>
    <row r="14849" ht="30" customHeight="1"/>
    <row r="14850" ht="30" customHeight="1"/>
    <row r="14851" ht="30" customHeight="1"/>
    <row r="14852" ht="30" customHeight="1"/>
    <row r="14853" ht="30" customHeight="1"/>
    <row r="14854" ht="30" customHeight="1"/>
    <row r="14855" ht="30" customHeight="1"/>
    <row r="14856" ht="30" customHeight="1"/>
    <row r="14857" ht="30" customHeight="1"/>
    <row r="14858" ht="30" customHeight="1"/>
    <row r="14859" ht="30" customHeight="1"/>
    <row r="14860" ht="30" customHeight="1"/>
    <row r="14861" ht="30" customHeight="1"/>
    <row r="14862" ht="30" customHeight="1"/>
    <row r="14863" ht="30" customHeight="1"/>
    <row r="14864" ht="30" customHeight="1"/>
    <row r="14865" ht="30" customHeight="1"/>
    <row r="14866" ht="30" customHeight="1"/>
    <row r="14867" ht="30" customHeight="1"/>
    <row r="14868" ht="30" customHeight="1"/>
    <row r="14869" ht="30" customHeight="1"/>
    <row r="14870" ht="30" customHeight="1"/>
    <row r="14871" ht="30" customHeight="1"/>
    <row r="14872" ht="30" customHeight="1"/>
    <row r="14873" ht="30" customHeight="1"/>
    <row r="14874" ht="30" customHeight="1"/>
    <row r="14875" ht="30" customHeight="1"/>
    <row r="14876" ht="30" customHeight="1"/>
    <row r="14877" ht="30" customHeight="1"/>
    <row r="14878" ht="30" customHeight="1"/>
    <row r="14879" ht="30" customHeight="1"/>
    <row r="14880" ht="30" customHeight="1"/>
    <row r="14881" ht="30" customHeight="1"/>
    <row r="14882" ht="30" customHeight="1"/>
    <row r="14883" ht="30" customHeight="1"/>
    <row r="14884" ht="30" customHeight="1"/>
    <row r="14885" ht="30" customHeight="1"/>
    <row r="14886" ht="30" customHeight="1"/>
    <row r="14887" ht="30" customHeight="1"/>
    <row r="14888" ht="30" customHeight="1"/>
    <row r="14889" ht="30" customHeight="1"/>
    <row r="14890" ht="30" customHeight="1"/>
    <row r="14891" ht="30" customHeight="1"/>
    <row r="14892" ht="30" customHeight="1"/>
    <row r="14893" ht="30" customHeight="1"/>
    <row r="14894" ht="30" customHeight="1"/>
    <row r="14895" ht="30" customHeight="1"/>
    <row r="14896" ht="30" customHeight="1"/>
    <row r="14897" ht="30" customHeight="1"/>
    <row r="14898" ht="30" customHeight="1"/>
    <row r="14899" ht="30" customHeight="1"/>
    <row r="14900" ht="30" customHeight="1"/>
    <row r="14901" ht="30" customHeight="1"/>
    <row r="14902" ht="30" customHeight="1"/>
    <row r="14903" ht="30" customHeight="1"/>
    <row r="14904" ht="30" customHeight="1"/>
    <row r="14905" ht="30" customHeight="1"/>
    <row r="14906" ht="30" customHeight="1"/>
    <row r="14907" ht="30" customHeight="1"/>
    <row r="14908" ht="30" customHeight="1"/>
    <row r="14909" ht="30" customHeight="1"/>
    <row r="14910" ht="30" customHeight="1"/>
    <row r="14911" ht="30" customHeight="1"/>
    <row r="14912" ht="30" customHeight="1"/>
    <row r="14913" ht="30" customHeight="1"/>
    <row r="14914" ht="30" customHeight="1"/>
    <row r="14915" ht="30" customHeight="1"/>
    <row r="14916" ht="30" customHeight="1"/>
    <row r="14917" ht="30" customHeight="1"/>
    <row r="14918" ht="30" customHeight="1"/>
    <row r="14919" ht="30" customHeight="1"/>
    <row r="14920" ht="30" customHeight="1"/>
    <row r="14921" ht="30" customHeight="1"/>
    <row r="14922" ht="30" customHeight="1"/>
    <row r="14923" ht="30" customHeight="1"/>
    <row r="14924" ht="30" customHeight="1"/>
    <row r="14925" ht="30" customHeight="1"/>
    <row r="14926" ht="30" customHeight="1"/>
    <row r="14927" ht="30" customHeight="1"/>
    <row r="14928" ht="30" customHeight="1"/>
    <row r="14929" ht="30" customHeight="1"/>
    <row r="14930" ht="30" customHeight="1"/>
    <row r="14931" ht="30" customHeight="1"/>
    <row r="14932" ht="30" customHeight="1"/>
    <row r="14933" ht="30" customHeight="1"/>
    <row r="14934" ht="30" customHeight="1"/>
    <row r="14935" ht="30" customHeight="1"/>
    <row r="14936" ht="30" customHeight="1"/>
    <row r="14937" ht="30" customHeight="1"/>
    <row r="14938" ht="30" customHeight="1"/>
    <row r="14939" ht="30" customHeight="1"/>
    <row r="14940" ht="30" customHeight="1"/>
    <row r="14941" ht="30" customHeight="1"/>
    <row r="14942" ht="30" customHeight="1"/>
    <row r="14943" ht="30" customHeight="1"/>
    <row r="14944" ht="30" customHeight="1"/>
    <row r="14945" ht="30" customHeight="1"/>
    <row r="14946" ht="30" customHeight="1"/>
    <row r="14947" ht="30" customHeight="1"/>
    <row r="14948" ht="30" customHeight="1"/>
    <row r="14949" ht="30" customHeight="1"/>
    <row r="14950" ht="30" customHeight="1"/>
    <row r="14951" ht="30" customHeight="1"/>
    <row r="14952" ht="30" customHeight="1"/>
    <row r="14953" ht="30" customHeight="1"/>
    <row r="14954" ht="30" customHeight="1"/>
    <row r="14955" ht="30" customHeight="1"/>
    <row r="14956" ht="30" customHeight="1"/>
    <row r="14957" ht="30" customHeight="1"/>
    <row r="14958" ht="30" customHeight="1"/>
    <row r="14959" ht="30" customHeight="1"/>
    <row r="14960" ht="30" customHeight="1"/>
    <row r="14961" ht="30" customHeight="1"/>
    <row r="14962" ht="30" customHeight="1"/>
    <row r="14963" ht="30" customHeight="1"/>
    <row r="14964" ht="30" customHeight="1"/>
    <row r="14965" ht="30" customHeight="1"/>
    <row r="14966" ht="30" customHeight="1"/>
    <row r="14967" ht="30" customHeight="1"/>
    <row r="14968" ht="30" customHeight="1"/>
    <row r="14969" ht="30" customHeight="1"/>
    <row r="14970" ht="30" customHeight="1"/>
    <row r="14971" ht="30" customHeight="1"/>
    <row r="14972" ht="30" customHeight="1"/>
    <row r="14973" ht="30" customHeight="1"/>
    <row r="14974" ht="30" customHeight="1"/>
    <row r="14975" ht="30" customHeight="1"/>
    <row r="14976" ht="30" customHeight="1"/>
    <row r="14977" ht="30" customHeight="1"/>
    <row r="14978" ht="30" customHeight="1"/>
    <row r="14979" ht="30" customHeight="1"/>
    <row r="14980" ht="30" customHeight="1"/>
    <row r="14981" ht="30" customHeight="1"/>
    <row r="14982" ht="30" customHeight="1"/>
    <row r="14983" ht="30" customHeight="1"/>
    <row r="14984" ht="30" customHeight="1"/>
    <row r="14985" ht="30" customHeight="1"/>
    <row r="14986" ht="30" customHeight="1"/>
    <row r="14987" ht="30" customHeight="1"/>
    <row r="14988" ht="30" customHeight="1"/>
    <row r="14989" ht="30" customHeight="1"/>
    <row r="14990" ht="30" customHeight="1"/>
    <row r="14991" ht="30" customHeight="1"/>
    <row r="14992" ht="30" customHeight="1"/>
    <row r="14993" ht="30" customHeight="1"/>
    <row r="14994" ht="30" customHeight="1"/>
    <row r="14995" ht="30" customHeight="1"/>
    <row r="14996" ht="30" customHeight="1"/>
    <row r="14997" ht="30" customHeight="1"/>
    <row r="14998" ht="30" customHeight="1"/>
    <row r="14999" ht="30" customHeight="1"/>
    <row r="15000" ht="30" customHeight="1"/>
    <row r="15001" ht="30" customHeight="1"/>
    <row r="15002" ht="30" customHeight="1"/>
    <row r="15003" ht="30" customHeight="1"/>
    <row r="15004" ht="30" customHeight="1"/>
    <row r="15005" ht="30" customHeight="1"/>
    <row r="15006" ht="30" customHeight="1"/>
    <row r="15007" ht="30" customHeight="1"/>
    <row r="15008" ht="30" customHeight="1"/>
    <row r="15009" ht="30" customHeight="1"/>
    <row r="15010" ht="30" customHeight="1"/>
    <row r="15011" ht="30" customHeight="1"/>
    <row r="15012" ht="30" customHeight="1"/>
    <row r="15013" ht="30" customHeight="1"/>
    <row r="15014" ht="30" customHeight="1"/>
    <row r="15015" ht="30" customHeight="1"/>
    <row r="15016" ht="30" customHeight="1"/>
    <row r="15017" ht="30" customHeight="1"/>
    <row r="15018" ht="30" customHeight="1"/>
    <row r="15019" ht="30" customHeight="1"/>
    <row r="15020" ht="30" customHeight="1"/>
    <row r="15021" ht="30" customHeight="1"/>
    <row r="15022" ht="30" customHeight="1"/>
    <row r="15023" ht="30" customHeight="1"/>
    <row r="15024" ht="30" customHeight="1"/>
    <row r="15025" ht="30" customHeight="1"/>
    <row r="15026" ht="30" customHeight="1"/>
    <row r="15027" ht="30" customHeight="1"/>
    <row r="15028" ht="30" customHeight="1"/>
    <row r="15029" ht="30" customHeight="1"/>
    <row r="15030" ht="30" customHeight="1"/>
    <row r="15031" ht="30" customHeight="1"/>
    <row r="15032" ht="30" customHeight="1"/>
    <row r="15033" ht="30" customHeight="1"/>
    <row r="15034" ht="30" customHeight="1"/>
    <row r="15035" ht="30" customHeight="1"/>
    <row r="15036" ht="30" customHeight="1"/>
    <row r="15037" ht="30" customHeight="1"/>
    <row r="15038" ht="30" customHeight="1"/>
    <row r="15039" ht="30" customHeight="1"/>
    <row r="15040" ht="30" customHeight="1"/>
    <row r="15041" ht="30" customHeight="1"/>
    <row r="15042" ht="30" customHeight="1"/>
    <row r="15043" ht="30" customHeight="1"/>
    <row r="15044" ht="30" customHeight="1"/>
    <row r="15045" ht="30" customHeight="1"/>
    <row r="15046" ht="30" customHeight="1"/>
    <row r="15047" ht="30" customHeight="1"/>
    <row r="15048" ht="30" customHeight="1"/>
    <row r="15049" ht="30" customHeight="1"/>
    <row r="15050" ht="30" customHeight="1"/>
    <row r="15051" ht="30" customHeight="1"/>
    <row r="15052" ht="30" customHeight="1"/>
    <row r="15053" ht="30" customHeight="1"/>
    <row r="15054" ht="30" customHeight="1"/>
    <row r="15055" ht="30" customHeight="1"/>
    <row r="15056" ht="30" customHeight="1"/>
    <row r="15057" ht="30" customHeight="1"/>
    <row r="15058" ht="30" customHeight="1"/>
    <row r="15059" ht="30" customHeight="1"/>
    <row r="15060" ht="30" customHeight="1"/>
    <row r="15061" ht="30" customHeight="1"/>
    <row r="15062" ht="30" customHeight="1"/>
    <row r="15063" ht="30" customHeight="1"/>
    <row r="15064" ht="30" customHeight="1"/>
    <row r="15065" ht="30" customHeight="1"/>
    <row r="15066" ht="30" customHeight="1"/>
    <row r="15067" ht="30" customHeight="1"/>
    <row r="15068" ht="30" customHeight="1"/>
    <row r="15069" ht="30" customHeight="1"/>
    <row r="15070" ht="30" customHeight="1"/>
    <row r="15071" ht="30" customHeight="1"/>
    <row r="15072" ht="30" customHeight="1"/>
    <row r="15073" ht="30" customHeight="1"/>
    <row r="15074" ht="30" customHeight="1"/>
    <row r="15075" ht="30" customHeight="1"/>
    <row r="15076" ht="30" customHeight="1"/>
    <row r="15077" ht="30" customHeight="1"/>
    <row r="15078" ht="30" customHeight="1"/>
    <row r="15079" ht="30" customHeight="1"/>
    <row r="15080" ht="30" customHeight="1"/>
    <row r="15081" ht="30" customHeight="1"/>
    <row r="15082" ht="30" customHeight="1"/>
    <row r="15083" ht="30" customHeight="1"/>
    <row r="15084" ht="30" customHeight="1"/>
    <row r="15085" ht="30" customHeight="1"/>
    <row r="15086" ht="30" customHeight="1"/>
    <row r="15087" ht="30" customHeight="1"/>
    <row r="15088" ht="30" customHeight="1"/>
    <row r="15089" ht="30" customHeight="1"/>
    <row r="15090" ht="30" customHeight="1"/>
    <row r="15091" ht="30" customHeight="1"/>
    <row r="15092" ht="30" customHeight="1"/>
    <row r="15093" ht="30" customHeight="1"/>
    <row r="15094" ht="30" customHeight="1"/>
    <row r="15095" ht="30" customHeight="1"/>
    <row r="15096" ht="30" customHeight="1"/>
    <row r="15097" ht="30" customHeight="1"/>
    <row r="15098" ht="30" customHeight="1"/>
    <row r="15099" ht="30" customHeight="1"/>
    <row r="15100" ht="30" customHeight="1"/>
    <row r="15101" ht="30" customHeight="1"/>
    <row r="15102" ht="30" customHeight="1"/>
    <row r="15103" ht="30" customHeight="1"/>
    <row r="15104" ht="30" customHeight="1"/>
    <row r="15105" ht="30" customHeight="1"/>
    <row r="15106" ht="30" customHeight="1"/>
    <row r="15107" ht="30" customHeight="1"/>
    <row r="15108" ht="30" customHeight="1"/>
    <row r="15109" ht="30" customHeight="1"/>
    <row r="15110" ht="30" customHeight="1"/>
    <row r="15111" ht="30" customHeight="1"/>
    <row r="15112" ht="30" customHeight="1"/>
    <row r="15113" ht="30" customHeight="1"/>
    <row r="15114" ht="30" customHeight="1"/>
    <row r="15115" ht="30" customHeight="1"/>
    <row r="15116" ht="30" customHeight="1"/>
    <row r="15117" ht="30" customHeight="1"/>
    <row r="15118" ht="30" customHeight="1"/>
    <row r="15119" ht="30" customHeight="1"/>
    <row r="15120" ht="30" customHeight="1"/>
    <row r="15121" ht="30" customHeight="1"/>
    <row r="15122" ht="30" customHeight="1"/>
    <row r="15123" ht="30" customHeight="1"/>
    <row r="15124" ht="30" customHeight="1"/>
    <row r="15125" ht="30" customHeight="1"/>
    <row r="15126" ht="30" customHeight="1"/>
    <row r="15127" ht="30" customHeight="1"/>
    <row r="15128" ht="30" customHeight="1"/>
    <row r="15129" ht="30" customHeight="1"/>
    <row r="15130" ht="30" customHeight="1"/>
    <row r="15131" ht="30" customHeight="1"/>
    <row r="15132" ht="30" customHeight="1"/>
    <row r="15133" ht="30" customHeight="1"/>
    <row r="15134" ht="30" customHeight="1"/>
    <row r="15135" ht="30" customHeight="1"/>
    <row r="15136" ht="30" customHeight="1"/>
    <row r="15137" ht="30" customHeight="1"/>
    <row r="15138" ht="30" customHeight="1"/>
    <row r="15139" ht="30" customHeight="1"/>
    <row r="15140" ht="30" customHeight="1"/>
    <row r="15141" ht="30" customHeight="1"/>
    <row r="15142" ht="30" customHeight="1"/>
    <row r="15143" ht="30" customHeight="1"/>
    <row r="15144" ht="30" customHeight="1"/>
    <row r="15145" ht="30" customHeight="1"/>
    <row r="15146" ht="30" customHeight="1"/>
    <row r="15147" ht="30" customHeight="1"/>
    <row r="15148" ht="30" customHeight="1"/>
    <row r="15149" ht="30" customHeight="1"/>
    <row r="15150" ht="30" customHeight="1"/>
    <row r="15151" ht="30" customHeight="1"/>
    <row r="15152" ht="30" customHeight="1"/>
    <row r="15153" ht="30" customHeight="1"/>
    <row r="15154" ht="30" customHeight="1"/>
    <row r="15155" ht="30" customHeight="1"/>
    <row r="15156" ht="30" customHeight="1"/>
    <row r="15157" ht="30" customHeight="1"/>
    <row r="15158" ht="30" customHeight="1"/>
    <row r="15159" ht="30" customHeight="1"/>
    <row r="15160" ht="30" customHeight="1"/>
    <row r="15161" ht="30" customHeight="1"/>
    <row r="15162" ht="30" customHeight="1"/>
    <row r="15163" ht="30" customHeight="1"/>
    <row r="15164" ht="30" customHeight="1"/>
    <row r="15165" ht="30" customHeight="1"/>
    <row r="15166" ht="30" customHeight="1"/>
    <row r="15167" ht="30" customHeight="1"/>
    <row r="15168" ht="30" customHeight="1"/>
    <row r="15169" ht="30" customHeight="1"/>
    <row r="15170" ht="30" customHeight="1"/>
    <row r="15171" ht="30" customHeight="1"/>
    <row r="15172" ht="30" customHeight="1"/>
    <row r="15173" ht="30" customHeight="1"/>
    <row r="15174" ht="30" customHeight="1"/>
    <row r="15175" ht="30" customHeight="1"/>
    <row r="15176" ht="30" customHeight="1"/>
    <row r="15177" ht="30" customHeight="1"/>
    <row r="15178" ht="30" customHeight="1"/>
    <row r="15179" ht="30" customHeight="1"/>
    <row r="15180" ht="30" customHeight="1"/>
    <row r="15181" ht="30" customHeight="1"/>
    <row r="15182" ht="30" customHeight="1"/>
    <row r="15183" ht="30" customHeight="1"/>
    <row r="15184" ht="30" customHeight="1"/>
    <row r="15185" ht="30" customHeight="1"/>
    <row r="15186" ht="30" customHeight="1"/>
    <row r="15187" ht="30" customHeight="1"/>
    <row r="15188" ht="30" customHeight="1"/>
    <row r="15189" ht="30" customHeight="1"/>
    <row r="15190" ht="30" customHeight="1"/>
    <row r="15191" ht="30" customHeight="1"/>
    <row r="15192" ht="30" customHeight="1"/>
    <row r="15193" ht="30" customHeight="1"/>
    <row r="15194" ht="30" customHeight="1"/>
    <row r="15195" ht="30" customHeight="1"/>
    <row r="15196" ht="30" customHeight="1"/>
    <row r="15197" ht="30" customHeight="1"/>
    <row r="15198" ht="30" customHeight="1"/>
    <row r="15199" ht="30" customHeight="1"/>
    <row r="15200" ht="30" customHeight="1"/>
    <row r="15201" ht="30" customHeight="1"/>
    <row r="15202" ht="30" customHeight="1"/>
    <row r="15203" ht="30" customHeight="1"/>
    <row r="15204" ht="30" customHeight="1"/>
    <row r="15205" ht="30" customHeight="1"/>
    <row r="15206" ht="30" customHeight="1"/>
    <row r="15207" ht="30" customHeight="1"/>
    <row r="15208" ht="30" customHeight="1"/>
    <row r="15209" ht="30" customHeight="1"/>
    <row r="15210" ht="30" customHeight="1"/>
    <row r="15211" ht="30" customHeight="1"/>
    <row r="15212" ht="30" customHeight="1"/>
    <row r="15213" ht="30" customHeight="1"/>
    <row r="15214" ht="30" customHeight="1"/>
    <row r="15215" ht="30" customHeight="1"/>
    <row r="15216" ht="30" customHeight="1"/>
    <row r="15217" ht="30" customHeight="1"/>
    <row r="15218" ht="30" customHeight="1"/>
    <row r="15219" ht="30" customHeight="1"/>
    <row r="15220" ht="30" customHeight="1"/>
    <row r="15221" ht="30" customHeight="1"/>
    <row r="15222" ht="30" customHeight="1"/>
    <row r="15223" ht="30" customHeight="1"/>
    <row r="15224" ht="30" customHeight="1"/>
    <row r="15225" ht="30" customHeight="1"/>
    <row r="15226" ht="30" customHeight="1"/>
    <row r="15227" ht="30" customHeight="1"/>
    <row r="15228" ht="30" customHeight="1"/>
    <row r="15229" ht="30" customHeight="1"/>
    <row r="15230" ht="30" customHeight="1"/>
    <row r="15231" ht="30" customHeight="1"/>
    <row r="15232" ht="30" customHeight="1"/>
    <row r="15233" ht="30" customHeight="1"/>
    <row r="15234" ht="30" customHeight="1"/>
    <row r="15235" ht="30" customHeight="1"/>
    <row r="15236" ht="30" customHeight="1"/>
    <row r="15237" ht="30" customHeight="1"/>
    <row r="15238" ht="30" customHeight="1"/>
    <row r="15239" ht="30" customHeight="1"/>
    <row r="15240" ht="30" customHeight="1"/>
    <row r="15241" ht="30" customHeight="1"/>
    <row r="15242" ht="30" customHeight="1"/>
    <row r="15243" ht="30" customHeight="1"/>
    <row r="15244" ht="30" customHeight="1"/>
    <row r="15245" ht="30" customHeight="1"/>
    <row r="15246" ht="30" customHeight="1"/>
    <row r="15247" ht="30" customHeight="1"/>
    <row r="15248" ht="30" customHeight="1"/>
    <row r="15249" ht="30" customHeight="1"/>
    <row r="15250" ht="30" customHeight="1"/>
    <row r="15251" ht="30" customHeight="1"/>
    <row r="15252" ht="30" customHeight="1"/>
    <row r="15253" ht="30" customHeight="1"/>
    <row r="15254" ht="30" customHeight="1"/>
    <row r="15255" ht="30" customHeight="1"/>
    <row r="15256" ht="30" customHeight="1"/>
    <row r="15257" ht="30" customHeight="1"/>
    <row r="15258" ht="30" customHeight="1"/>
    <row r="15259" ht="30" customHeight="1"/>
    <row r="15260" ht="30" customHeight="1"/>
    <row r="15261" ht="30" customHeight="1"/>
    <row r="15262" ht="30" customHeight="1"/>
    <row r="15263" ht="30" customHeight="1"/>
    <row r="15264" ht="30" customHeight="1"/>
    <row r="15265" ht="30" customHeight="1"/>
    <row r="15266" ht="30" customHeight="1"/>
    <row r="15267" ht="30" customHeight="1"/>
    <row r="15268" ht="30" customHeight="1"/>
    <row r="15269" ht="30" customHeight="1"/>
    <row r="15270" ht="30" customHeight="1"/>
    <row r="15271" ht="30" customHeight="1"/>
    <row r="15272" ht="30" customHeight="1"/>
    <row r="15273" ht="30" customHeight="1"/>
    <row r="15274" ht="30" customHeight="1"/>
    <row r="15275" ht="30" customHeight="1"/>
    <row r="15276" ht="30" customHeight="1"/>
    <row r="15277" ht="30" customHeight="1"/>
    <row r="15278" ht="30" customHeight="1"/>
    <row r="15279" ht="30" customHeight="1"/>
    <row r="15280" ht="30" customHeight="1"/>
    <row r="15281" ht="30" customHeight="1"/>
    <row r="15282" ht="30" customHeight="1"/>
    <row r="15283" ht="30" customHeight="1"/>
    <row r="15284" ht="30" customHeight="1"/>
    <row r="15285" ht="30" customHeight="1"/>
    <row r="15286" ht="30" customHeight="1"/>
    <row r="15287" ht="30" customHeight="1"/>
    <row r="15288" ht="30" customHeight="1"/>
    <row r="15289" ht="30" customHeight="1"/>
    <row r="15290" ht="30" customHeight="1"/>
    <row r="15291" ht="30" customHeight="1"/>
    <row r="15292" ht="30" customHeight="1"/>
    <row r="15293" ht="30" customHeight="1"/>
    <row r="15294" ht="30" customHeight="1"/>
    <row r="15295" ht="30" customHeight="1"/>
    <row r="15296" ht="30" customHeight="1"/>
    <row r="15297" ht="30" customHeight="1"/>
    <row r="15298" ht="30" customHeight="1"/>
    <row r="15299" ht="30" customHeight="1"/>
    <row r="15300" ht="30" customHeight="1"/>
    <row r="15301" ht="30" customHeight="1"/>
    <row r="15302" ht="30" customHeight="1"/>
    <row r="15303" ht="30" customHeight="1"/>
    <row r="15304" ht="30" customHeight="1"/>
    <row r="15305" ht="30" customHeight="1"/>
    <row r="15306" ht="30" customHeight="1"/>
    <row r="15307" ht="30" customHeight="1"/>
    <row r="15308" ht="30" customHeight="1"/>
    <row r="15309" ht="30" customHeight="1"/>
    <row r="15310" ht="30" customHeight="1"/>
    <row r="15311" ht="30" customHeight="1"/>
    <row r="15312" ht="30" customHeight="1"/>
    <row r="15313" ht="30" customHeight="1"/>
    <row r="15314" ht="30" customHeight="1"/>
    <row r="15315" ht="30" customHeight="1"/>
    <row r="15316" ht="30" customHeight="1"/>
    <row r="15317" ht="30" customHeight="1"/>
    <row r="15318" ht="30" customHeight="1"/>
    <row r="15319" ht="30" customHeight="1"/>
    <row r="15320" ht="30" customHeight="1"/>
    <row r="15321" ht="30" customHeight="1"/>
    <row r="15322" ht="30" customHeight="1"/>
    <row r="15323" ht="30" customHeight="1"/>
    <row r="15324" ht="30" customHeight="1"/>
    <row r="15325" ht="30" customHeight="1"/>
    <row r="15326" ht="30" customHeight="1"/>
    <row r="15327" ht="30" customHeight="1"/>
    <row r="15328" ht="30" customHeight="1"/>
    <row r="15329" ht="30" customHeight="1"/>
    <row r="15330" ht="30" customHeight="1"/>
    <row r="15331" ht="30" customHeight="1"/>
    <row r="15332" ht="30" customHeight="1"/>
    <row r="15333" ht="30" customHeight="1"/>
    <row r="15334" ht="30" customHeight="1"/>
    <row r="15335" ht="30" customHeight="1"/>
    <row r="15336" ht="30" customHeight="1"/>
    <row r="15337" ht="30" customHeight="1"/>
    <row r="15338" ht="30" customHeight="1"/>
    <row r="15339" ht="30" customHeight="1"/>
    <row r="15340" ht="30" customHeight="1"/>
    <row r="15341" ht="30" customHeight="1"/>
    <row r="15342" ht="30" customHeight="1"/>
    <row r="15343" ht="30" customHeight="1"/>
    <row r="15344" ht="30" customHeight="1"/>
    <row r="15345" ht="30" customHeight="1"/>
    <row r="15346" ht="30" customHeight="1"/>
    <row r="15347" ht="30" customHeight="1"/>
    <row r="15348" ht="30" customHeight="1"/>
    <row r="15349" ht="30" customHeight="1"/>
    <row r="15350" ht="30" customHeight="1"/>
    <row r="15351" ht="30" customHeight="1"/>
    <row r="15352" ht="30" customHeight="1"/>
    <row r="15353" ht="30" customHeight="1"/>
    <row r="15354" ht="30" customHeight="1"/>
    <row r="15355" ht="30" customHeight="1"/>
    <row r="15356" ht="30" customHeight="1"/>
    <row r="15357" ht="30" customHeight="1"/>
    <row r="15358" ht="30" customHeight="1"/>
    <row r="15359" ht="30" customHeight="1"/>
    <row r="15360" ht="30" customHeight="1"/>
    <row r="15361" ht="30" customHeight="1"/>
    <row r="15362" ht="30" customHeight="1"/>
    <row r="15363" ht="30" customHeight="1"/>
    <row r="15364" ht="30" customHeight="1"/>
    <row r="15365" ht="30" customHeight="1"/>
    <row r="15366" ht="30" customHeight="1"/>
    <row r="15367" ht="30" customHeight="1"/>
    <row r="15368" ht="30" customHeight="1"/>
    <row r="15369" ht="30" customHeight="1"/>
    <row r="15370" ht="30" customHeight="1"/>
    <row r="15371" ht="30" customHeight="1"/>
    <row r="15372" ht="30" customHeight="1"/>
    <row r="15373" ht="30" customHeight="1"/>
    <row r="15374" ht="30" customHeight="1"/>
    <row r="15375" ht="30" customHeight="1"/>
    <row r="15376" ht="30" customHeight="1"/>
    <row r="15377" ht="30" customHeight="1"/>
    <row r="15378" ht="30" customHeight="1"/>
    <row r="15379" ht="30" customHeight="1"/>
    <row r="15380" ht="30" customHeight="1"/>
    <row r="15381" ht="30" customHeight="1"/>
    <row r="15382" ht="30" customHeight="1"/>
    <row r="15383" ht="30" customHeight="1"/>
    <row r="15384" ht="30" customHeight="1"/>
    <row r="15385" ht="30" customHeight="1"/>
    <row r="15386" ht="30" customHeight="1"/>
    <row r="15387" ht="30" customHeight="1"/>
    <row r="15388" ht="30" customHeight="1"/>
    <row r="15389" ht="30" customHeight="1"/>
    <row r="15390" ht="30" customHeight="1"/>
    <row r="15391" ht="30" customHeight="1"/>
    <row r="15392" ht="30" customHeight="1"/>
    <row r="15393" ht="30" customHeight="1"/>
    <row r="15394" ht="30" customHeight="1"/>
    <row r="15395" ht="30" customHeight="1"/>
    <row r="15396" ht="30" customHeight="1"/>
    <row r="15397" ht="30" customHeight="1"/>
    <row r="15398" ht="30" customHeight="1"/>
    <row r="15399" ht="30" customHeight="1"/>
    <row r="15400" ht="30" customHeight="1"/>
    <row r="15401" ht="30" customHeight="1"/>
    <row r="15402" ht="30" customHeight="1"/>
    <row r="15403" ht="30" customHeight="1"/>
    <row r="15404" ht="30" customHeight="1"/>
    <row r="15405" ht="30" customHeight="1"/>
    <row r="15406" ht="30" customHeight="1"/>
    <row r="15407" ht="30" customHeight="1"/>
    <row r="15408" ht="30" customHeight="1"/>
    <row r="15409" ht="30" customHeight="1"/>
    <row r="15410" ht="30" customHeight="1"/>
    <row r="15411" ht="30" customHeight="1"/>
    <row r="15412" ht="30" customHeight="1"/>
    <row r="15413" ht="30" customHeight="1"/>
    <row r="15414" ht="30" customHeight="1"/>
    <row r="15415" ht="30" customHeight="1"/>
    <row r="15416" ht="30" customHeight="1"/>
    <row r="15417" ht="30" customHeight="1"/>
    <row r="15418" ht="30" customHeight="1"/>
    <row r="15419" ht="30" customHeight="1"/>
    <row r="15420" ht="30" customHeight="1"/>
    <row r="15421" ht="30" customHeight="1"/>
    <row r="15422" ht="30" customHeight="1"/>
    <row r="15423" ht="30" customHeight="1"/>
    <row r="15424" ht="30" customHeight="1"/>
    <row r="15425" ht="30" customHeight="1"/>
    <row r="15426" ht="30" customHeight="1"/>
    <row r="15427" ht="30" customHeight="1"/>
    <row r="15428" ht="30" customHeight="1"/>
    <row r="15429" ht="30" customHeight="1"/>
    <row r="15430" ht="30" customHeight="1"/>
    <row r="15431" ht="30" customHeight="1"/>
    <row r="15432" ht="30" customHeight="1"/>
    <row r="15433" ht="30" customHeight="1"/>
    <row r="15434" ht="30" customHeight="1"/>
    <row r="15435" ht="30" customHeight="1"/>
    <row r="15436" ht="30" customHeight="1"/>
    <row r="15437" ht="30" customHeight="1"/>
    <row r="15438" ht="30" customHeight="1"/>
    <row r="15439" ht="30" customHeight="1"/>
    <row r="15440" ht="30" customHeight="1"/>
    <row r="15441" ht="30" customHeight="1"/>
    <row r="15442" ht="30" customHeight="1"/>
    <row r="15443" ht="30" customHeight="1"/>
    <row r="15444" ht="30" customHeight="1"/>
    <row r="15445" ht="30" customHeight="1"/>
    <row r="15446" ht="30" customHeight="1"/>
    <row r="15447" ht="30" customHeight="1"/>
    <row r="15448" ht="30" customHeight="1"/>
    <row r="15449" ht="30" customHeight="1"/>
    <row r="15450" ht="30" customHeight="1"/>
    <row r="15451" ht="30" customHeight="1"/>
    <row r="15452" ht="30" customHeight="1"/>
    <row r="15453" ht="30" customHeight="1"/>
    <row r="15454" ht="30" customHeight="1"/>
    <row r="15455" ht="30" customHeight="1"/>
    <row r="15456" ht="30" customHeight="1"/>
    <row r="15457" ht="30" customHeight="1"/>
    <row r="15458" ht="30" customHeight="1"/>
    <row r="15459" ht="30" customHeight="1"/>
    <row r="15460" ht="30" customHeight="1"/>
    <row r="15461" ht="30" customHeight="1"/>
    <row r="15462" ht="30" customHeight="1"/>
    <row r="15463" ht="30" customHeight="1"/>
    <row r="15464" ht="30" customHeight="1"/>
    <row r="15465" ht="30" customHeight="1"/>
    <row r="15466" ht="30" customHeight="1"/>
    <row r="15467" ht="30" customHeight="1"/>
    <row r="15468" ht="30" customHeight="1"/>
    <row r="15469" ht="30" customHeight="1"/>
    <row r="15470" ht="30" customHeight="1"/>
    <row r="15471" ht="30" customHeight="1"/>
    <row r="15472" ht="30" customHeight="1"/>
    <row r="15473" ht="30" customHeight="1"/>
    <row r="15474" ht="30" customHeight="1"/>
    <row r="15475" ht="30" customHeight="1"/>
    <row r="15476" ht="30" customHeight="1"/>
    <row r="15477" ht="30" customHeight="1"/>
    <row r="15478" ht="30" customHeight="1"/>
    <row r="15479" ht="30" customHeight="1"/>
    <row r="15480" ht="30" customHeight="1"/>
    <row r="15481" ht="30" customHeight="1"/>
    <row r="15482" ht="30" customHeight="1"/>
    <row r="15483" ht="30" customHeight="1"/>
    <row r="15484" ht="30" customHeight="1"/>
    <row r="15485" ht="30" customHeight="1"/>
    <row r="15486" ht="30" customHeight="1"/>
    <row r="15487" ht="30" customHeight="1"/>
    <row r="15488" ht="30" customHeight="1"/>
    <row r="15489" ht="30" customHeight="1"/>
    <row r="15490" ht="30" customHeight="1"/>
    <row r="15491" ht="30" customHeight="1"/>
    <row r="15492" ht="30" customHeight="1"/>
    <row r="15493" ht="30" customHeight="1"/>
    <row r="15494" ht="30" customHeight="1"/>
    <row r="15495" ht="30" customHeight="1"/>
    <row r="15496" ht="30" customHeight="1"/>
    <row r="15497" ht="30" customHeight="1"/>
    <row r="15498" ht="30" customHeight="1"/>
    <row r="15499" ht="30" customHeight="1"/>
    <row r="15500" ht="30" customHeight="1"/>
    <row r="15501" ht="30" customHeight="1"/>
    <row r="15502" ht="30" customHeight="1"/>
    <row r="15503" ht="30" customHeight="1"/>
    <row r="15504" ht="30" customHeight="1"/>
    <row r="15505" ht="30" customHeight="1"/>
    <row r="15506" ht="30" customHeight="1"/>
    <row r="15507" ht="30" customHeight="1"/>
    <row r="15508" ht="30" customHeight="1"/>
    <row r="15509" ht="30" customHeight="1"/>
    <row r="15510" ht="30" customHeight="1"/>
    <row r="15511" ht="30" customHeight="1"/>
    <row r="15512" ht="30" customHeight="1"/>
    <row r="15513" ht="30" customHeight="1"/>
    <row r="15514" ht="30" customHeight="1"/>
    <row r="15515" ht="30" customHeight="1"/>
    <row r="15516" ht="30" customHeight="1"/>
    <row r="15517" ht="30" customHeight="1"/>
    <row r="15518" ht="30" customHeight="1"/>
    <row r="15519" ht="30" customHeight="1"/>
    <row r="15520" ht="30" customHeight="1"/>
    <row r="15521" ht="30" customHeight="1"/>
    <row r="15522" ht="30" customHeight="1"/>
    <row r="15523" ht="30" customHeight="1"/>
    <row r="15524" ht="30" customHeight="1"/>
    <row r="15525" ht="30" customHeight="1"/>
    <row r="15526" ht="30" customHeight="1"/>
    <row r="15527" ht="30" customHeight="1"/>
    <row r="15528" ht="30" customHeight="1"/>
    <row r="15529" ht="30" customHeight="1"/>
    <row r="15530" ht="30" customHeight="1"/>
    <row r="15531" ht="30" customHeight="1"/>
    <row r="15532" ht="30" customHeight="1"/>
    <row r="15533" ht="30" customHeight="1"/>
    <row r="15534" ht="30" customHeight="1"/>
    <row r="15535" ht="30" customHeight="1"/>
    <row r="15536" ht="30" customHeight="1"/>
    <row r="15537" ht="30" customHeight="1"/>
    <row r="15538" ht="30" customHeight="1"/>
    <row r="15539" ht="30" customHeight="1"/>
    <row r="15540" ht="30" customHeight="1"/>
    <row r="15541" ht="30" customHeight="1"/>
    <row r="15542" ht="30" customHeight="1"/>
    <row r="15543" ht="30" customHeight="1"/>
    <row r="15544" ht="30" customHeight="1"/>
    <row r="15545" ht="30" customHeight="1"/>
    <row r="15546" ht="30" customHeight="1"/>
    <row r="15547" ht="30" customHeight="1"/>
    <row r="15548" ht="30" customHeight="1"/>
    <row r="15549" ht="30" customHeight="1"/>
    <row r="15550" ht="30" customHeight="1"/>
    <row r="15551" ht="30" customHeight="1"/>
    <row r="15552" ht="30" customHeight="1"/>
    <row r="15553" ht="30" customHeight="1"/>
    <row r="15554" ht="30" customHeight="1"/>
    <row r="15555" ht="30" customHeight="1"/>
    <row r="15556" ht="30" customHeight="1"/>
    <row r="15557" ht="30" customHeight="1"/>
    <row r="15558" ht="30" customHeight="1"/>
    <row r="15559" ht="30" customHeight="1"/>
    <row r="15560" ht="30" customHeight="1"/>
    <row r="15561" ht="30" customHeight="1"/>
    <row r="15562" ht="30" customHeight="1"/>
    <row r="15563" ht="30" customHeight="1"/>
    <row r="15564" ht="30" customHeight="1"/>
    <row r="15565" ht="30" customHeight="1"/>
    <row r="15566" ht="30" customHeight="1"/>
    <row r="15567" ht="30" customHeight="1"/>
    <row r="15568" ht="30" customHeight="1"/>
    <row r="15569" ht="30" customHeight="1"/>
    <row r="15570" ht="30" customHeight="1"/>
    <row r="15571" ht="30" customHeight="1"/>
    <row r="15572" ht="30" customHeight="1"/>
    <row r="15573" ht="30" customHeight="1"/>
    <row r="15574" ht="30" customHeight="1"/>
    <row r="15575" ht="30" customHeight="1"/>
    <row r="15576" ht="30" customHeight="1"/>
    <row r="15577" ht="30" customHeight="1"/>
    <row r="15578" ht="30" customHeight="1"/>
    <row r="15579" ht="30" customHeight="1"/>
    <row r="15580" ht="30" customHeight="1"/>
    <row r="15581" ht="30" customHeight="1"/>
    <row r="15582" ht="30" customHeight="1"/>
    <row r="15583" ht="30" customHeight="1"/>
    <row r="15584" ht="30" customHeight="1"/>
    <row r="15585" ht="30" customHeight="1"/>
    <row r="15586" ht="30" customHeight="1"/>
    <row r="15587" ht="30" customHeight="1"/>
    <row r="15588" ht="30" customHeight="1"/>
    <row r="15589" ht="30" customHeight="1"/>
    <row r="15590" ht="30" customHeight="1"/>
    <row r="15591" ht="30" customHeight="1"/>
    <row r="15592" ht="30" customHeight="1"/>
    <row r="15593" ht="30" customHeight="1"/>
    <row r="15594" ht="30" customHeight="1"/>
    <row r="15595" ht="30" customHeight="1"/>
    <row r="15596" ht="30" customHeight="1"/>
    <row r="15597" ht="30" customHeight="1"/>
    <row r="15598" ht="30" customHeight="1"/>
    <row r="15599" ht="30" customHeight="1"/>
    <row r="15600" ht="30" customHeight="1"/>
    <row r="15601" ht="30" customHeight="1"/>
    <row r="15602" ht="30" customHeight="1"/>
    <row r="15603" ht="30" customHeight="1"/>
    <row r="15604" ht="30" customHeight="1"/>
    <row r="15605" ht="30" customHeight="1"/>
    <row r="15606" ht="30" customHeight="1"/>
    <row r="15607" ht="30" customHeight="1"/>
    <row r="15608" ht="30" customHeight="1"/>
    <row r="15609" ht="30" customHeight="1"/>
    <row r="15610" ht="30" customHeight="1"/>
    <row r="15611" ht="30" customHeight="1"/>
    <row r="15612" ht="30" customHeight="1"/>
    <row r="15613" ht="30" customHeight="1"/>
    <row r="15614" ht="30" customHeight="1"/>
    <row r="15615" ht="30" customHeight="1"/>
    <row r="15616" ht="30" customHeight="1"/>
    <row r="15617" ht="30" customHeight="1"/>
    <row r="15618" ht="30" customHeight="1"/>
    <row r="15619" ht="30" customHeight="1"/>
    <row r="15620" ht="30" customHeight="1"/>
    <row r="15621" ht="30" customHeight="1"/>
    <row r="15622" ht="30" customHeight="1"/>
    <row r="15623" ht="30" customHeight="1"/>
    <row r="15624" ht="30" customHeight="1"/>
    <row r="15625" ht="30" customHeight="1"/>
    <row r="15626" ht="30" customHeight="1"/>
    <row r="15627" ht="30" customHeight="1"/>
    <row r="15628" ht="30" customHeight="1"/>
    <row r="15629" ht="30" customHeight="1"/>
    <row r="15630" ht="30" customHeight="1"/>
    <row r="15631" ht="30" customHeight="1"/>
    <row r="15632" ht="30" customHeight="1"/>
    <row r="15633" ht="30" customHeight="1"/>
    <row r="15634" ht="30" customHeight="1"/>
    <row r="15635" ht="30" customHeight="1"/>
    <row r="15636" ht="30" customHeight="1"/>
    <row r="15637" ht="30" customHeight="1"/>
    <row r="15638" ht="30" customHeight="1"/>
    <row r="15639" ht="30" customHeight="1"/>
    <row r="15640" ht="30" customHeight="1"/>
    <row r="15641" ht="30" customHeight="1"/>
    <row r="15642" ht="30" customHeight="1"/>
    <row r="15643" ht="30" customHeight="1"/>
    <row r="15644" ht="30" customHeight="1"/>
    <row r="15645" ht="30" customHeight="1"/>
    <row r="15646" ht="30" customHeight="1"/>
    <row r="15647" ht="30" customHeight="1"/>
    <row r="15648" ht="30" customHeight="1"/>
    <row r="15649" ht="30" customHeight="1"/>
    <row r="15650" ht="30" customHeight="1"/>
    <row r="15651" ht="30" customHeight="1"/>
    <row r="15652" ht="30" customHeight="1"/>
    <row r="15653" ht="30" customHeight="1"/>
    <row r="15654" ht="30" customHeight="1"/>
    <row r="15655" ht="30" customHeight="1"/>
    <row r="15656" ht="30" customHeight="1"/>
    <row r="15657" ht="30" customHeight="1"/>
    <row r="15658" ht="30" customHeight="1"/>
    <row r="15659" ht="30" customHeight="1"/>
    <row r="15660" ht="30" customHeight="1"/>
    <row r="15661" ht="30" customHeight="1"/>
    <row r="15662" ht="30" customHeight="1"/>
    <row r="15663" ht="30" customHeight="1"/>
    <row r="15664" ht="30" customHeight="1"/>
    <row r="15665" ht="30" customHeight="1"/>
    <row r="15666" ht="30" customHeight="1"/>
    <row r="15667" ht="30" customHeight="1"/>
    <row r="15668" ht="30" customHeight="1"/>
    <row r="15669" ht="30" customHeight="1"/>
    <row r="15670" ht="30" customHeight="1"/>
    <row r="15671" ht="30" customHeight="1"/>
    <row r="15672" ht="30" customHeight="1"/>
    <row r="15673" ht="30" customHeight="1"/>
    <row r="15674" ht="30" customHeight="1"/>
    <row r="15675" ht="30" customHeight="1"/>
    <row r="15676" ht="30" customHeight="1"/>
    <row r="15677" ht="30" customHeight="1"/>
    <row r="15678" ht="30" customHeight="1"/>
    <row r="15679" ht="30" customHeight="1"/>
    <row r="15680" ht="30" customHeight="1"/>
    <row r="15681" ht="30" customHeight="1"/>
    <row r="15682" ht="30" customHeight="1"/>
    <row r="15683" ht="30" customHeight="1"/>
    <row r="15684" ht="30" customHeight="1"/>
    <row r="15685" ht="30" customHeight="1"/>
    <row r="15686" ht="30" customHeight="1"/>
    <row r="15687" ht="30" customHeight="1"/>
    <row r="15688" ht="30" customHeight="1"/>
    <row r="15689" ht="30" customHeight="1"/>
    <row r="15690" ht="30" customHeight="1"/>
    <row r="15691" ht="30" customHeight="1"/>
    <row r="15692" ht="30" customHeight="1"/>
    <row r="15693" ht="30" customHeight="1"/>
    <row r="15694" ht="30" customHeight="1"/>
    <row r="15695" ht="30" customHeight="1"/>
    <row r="15696" ht="30" customHeight="1"/>
    <row r="15697" ht="30" customHeight="1"/>
    <row r="15698" ht="30" customHeight="1"/>
    <row r="15699" ht="30" customHeight="1"/>
    <row r="15700" ht="30" customHeight="1"/>
    <row r="15701" ht="30" customHeight="1"/>
    <row r="15702" ht="30" customHeight="1"/>
    <row r="15703" ht="30" customHeight="1"/>
    <row r="15704" ht="30" customHeight="1"/>
    <row r="15705" ht="30" customHeight="1"/>
    <row r="15706" ht="30" customHeight="1"/>
    <row r="15707" ht="30" customHeight="1"/>
    <row r="15708" ht="30" customHeight="1"/>
    <row r="15709" ht="30" customHeight="1"/>
    <row r="15710" ht="30" customHeight="1"/>
    <row r="15711" ht="30" customHeight="1"/>
    <row r="15712" ht="30" customHeight="1"/>
    <row r="15713" ht="30" customHeight="1"/>
    <row r="15714" ht="30" customHeight="1"/>
    <row r="15715" ht="30" customHeight="1"/>
    <row r="15716" ht="30" customHeight="1"/>
    <row r="15717" ht="30" customHeight="1"/>
    <row r="15718" ht="30" customHeight="1"/>
    <row r="15719" ht="30" customHeight="1"/>
    <row r="15720" ht="30" customHeight="1"/>
    <row r="15721" ht="30" customHeight="1"/>
    <row r="15722" ht="30" customHeight="1"/>
    <row r="15723" ht="30" customHeight="1"/>
    <row r="15724" ht="30" customHeight="1"/>
    <row r="15725" ht="30" customHeight="1"/>
    <row r="15726" ht="30" customHeight="1"/>
    <row r="15727" ht="30" customHeight="1"/>
    <row r="15728" ht="30" customHeight="1"/>
    <row r="15729" ht="30" customHeight="1"/>
    <row r="15730" ht="30" customHeight="1"/>
    <row r="15731" ht="30" customHeight="1"/>
    <row r="15732" ht="30" customHeight="1"/>
    <row r="15733" ht="30" customHeight="1"/>
    <row r="15734" ht="30" customHeight="1"/>
    <row r="15735" ht="30" customHeight="1"/>
    <row r="15736" ht="30" customHeight="1"/>
    <row r="15737" ht="30" customHeight="1"/>
    <row r="15738" ht="30" customHeight="1"/>
    <row r="15739" ht="30" customHeight="1"/>
    <row r="15740" ht="30" customHeight="1"/>
    <row r="15741" ht="30" customHeight="1"/>
    <row r="15742" ht="30" customHeight="1"/>
    <row r="15743" ht="30" customHeight="1"/>
    <row r="15744" ht="30" customHeight="1"/>
    <row r="15745" ht="30" customHeight="1"/>
    <row r="15746" ht="30" customHeight="1"/>
    <row r="15747" ht="30" customHeight="1"/>
    <row r="15748" ht="30" customHeight="1"/>
    <row r="15749" ht="30" customHeight="1"/>
    <row r="15750" ht="30" customHeight="1"/>
    <row r="15751" ht="30" customHeight="1"/>
    <row r="15752" ht="30" customHeight="1"/>
    <row r="15753" ht="30" customHeight="1"/>
    <row r="15754" ht="30" customHeight="1"/>
    <row r="15755" ht="30" customHeight="1"/>
    <row r="15756" ht="30" customHeight="1"/>
    <row r="15757" ht="30" customHeight="1"/>
    <row r="15758" ht="30" customHeight="1"/>
    <row r="15759" ht="30" customHeight="1"/>
    <row r="15760" ht="30" customHeight="1"/>
    <row r="15761" ht="30" customHeight="1"/>
    <row r="15762" ht="30" customHeight="1"/>
    <row r="15763" ht="30" customHeight="1"/>
    <row r="15764" ht="30" customHeight="1"/>
    <row r="15765" ht="30" customHeight="1"/>
    <row r="15766" ht="30" customHeight="1"/>
    <row r="15767" ht="30" customHeight="1"/>
    <row r="15768" ht="30" customHeight="1"/>
    <row r="15769" ht="30" customHeight="1"/>
    <row r="15770" ht="30" customHeight="1"/>
    <row r="15771" ht="30" customHeight="1"/>
    <row r="15772" ht="30" customHeight="1"/>
    <row r="15773" ht="30" customHeight="1"/>
    <row r="15774" ht="30" customHeight="1"/>
    <row r="15775" ht="30" customHeight="1"/>
    <row r="15776" ht="30" customHeight="1"/>
    <row r="15777" ht="30" customHeight="1"/>
    <row r="15778" ht="30" customHeight="1"/>
    <row r="15779" ht="30" customHeight="1"/>
    <row r="15780" ht="30" customHeight="1"/>
    <row r="15781" ht="30" customHeight="1"/>
    <row r="15782" ht="30" customHeight="1"/>
    <row r="15783" ht="30" customHeight="1"/>
    <row r="15784" ht="30" customHeight="1"/>
    <row r="15785" ht="30" customHeight="1"/>
    <row r="15786" ht="30" customHeight="1"/>
    <row r="15787" ht="30" customHeight="1"/>
    <row r="15788" ht="30" customHeight="1"/>
    <row r="15789" ht="30" customHeight="1"/>
    <row r="15790" ht="30" customHeight="1"/>
    <row r="15791" ht="30" customHeight="1"/>
    <row r="15792" ht="30" customHeight="1"/>
    <row r="15793" ht="30" customHeight="1"/>
    <row r="15794" ht="30" customHeight="1"/>
    <row r="15795" ht="30" customHeight="1"/>
    <row r="15796" ht="30" customHeight="1"/>
    <row r="15797" ht="30" customHeight="1"/>
    <row r="15798" ht="30" customHeight="1"/>
    <row r="15799" ht="30" customHeight="1"/>
    <row r="15800" ht="30" customHeight="1"/>
    <row r="15801" ht="30" customHeight="1"/>
    <row r="15802" ht="30" customHeight="1"/>
    <row r="15803" ht="30" customHeight="1"/>
    <row r="15804" ht="30" customHeight="1"/>
    <row r="15805" ht="30" customHeight="1"/>
    <row r="15806" ht="30" customHeight="1"/>
    <row r="15807" ht="30" customHeight="1"/>
    <row r="15808" ht="30" customHeight="1"/>
    <row r="15809" ht="30" customHeight="1"/>
    <row r="15810" ht="30" customHeight="1"/>
    <row r="15811" ht="30" customHeight="1"/>
    <row r="15812" ht="30" customHeight="1"/>
    <row r="15813" ht="30" customHeight="1"/>
    <row r="15814" ht="30" customHeight="1"/>
    <row r="15815" ht="30" customHeight="1"/>
    <row r="15816" ht="30" customHeight="1"/>
    <row r="15817" ht="30" customHeight="1"/>
    <row r="15818" ht="30" customHeight="1"/>
    <row r="15819" ht="30" customHeight="1"/>
    <row r="15820" ht="30" customHeight="1"/>
    <row r="15821" ht="30" customHeight="1"/>
    <row r="15822" ht="30" customHeight="1"/>
    <row r="15823" ht="30" customHeight="1"/>
    <row r="15824" ht="30" customHeight="1"/>
    <row r="15825" ht="30" customHeight="1"/>
    <row r="15826" ht="30" customHeight="1"/>
    <row r="15827" ht="30" customHeight="1"/>
    <row r="15828" ht="30" customHeight="1"/>
    <row r="15829" ht="30" customHeight="1"/>
    <row r="15830" ht="30" customHeight="1"/>
    <row r="15831" ht="30" customHeight="1"/>
    <row r="15832" ht="30" customHeight="1"/>
    <row r="15833" ht="30" customHeight="1"/>
    <row r="15834" ht="30" customHeight="1"/>
    <row r="15835" ht="30" customHeight="1"/>
    <row r="15836" ht="30" customHeight="1"/>
    <row r="15837" ht="30" customHeight="1"/>
    <row r="15838" ht="30" customHeight="1"/>
    <row r="15839" ht="30" customHeight="1"/>
    <row r="15840" ht="30" customHeight="1"/>
    <row r="15841" ht="30" customHeight="1"/>
    <row r="15842" ht="30" customHeight="1"/>
    <row r="15843" ht="30" customHeight="1"/>
    <row r="15844" ht="30" customHeight="1"/>
    <row r="15845" ht="30" customHeight="1"/>
    <row r="15846" ht="30" customHeight="1"/>
    <row r="15847" ht="30" customHeight="1"/>
    <row r="15848" ht="30" customHeight="1"/>
    <row r="15849" ht="30" customHeight="1"/>
    <row r="15850" ht="30" customHeight="1"/>
    <row r="15851" ht="30" customHeight="1"/>
    <row r="15852" ht="30" customHeight="1"/>
    <row r="15853" ht="30" customHeight="1"/>
    <row r="15854" ht="30" customHeight="1"/>
    <row r="15855" ht="30" customHeight="1"/>
    <row r="15856" ht="30" customHeight="1"/>
    <row r="15857" ht="30" customHeight="1"/>
    <row r="15858" ht="30" customHeight="1"/>
    <row r="15859" ht="30" customHeight="1"/>
    <row r="15860" ht="30" customHeight="1"/>
    <row r="15861" ht="30" customHeight="1"/>
    <row r="15862" ht="30" customHeight="1"/>
    <row r="15863" ht="30" customHeight="1"/>
    <row r="15864" ht="30" customHeight="1"/>
    <row r="15865" ht="30" customHeight="1"/>
    <row r="15866" ht="30" customHeight="1"/>
    <row r="15867" ht="30" customHeight="1"/>
    <row r="15868" ht="30" customHeight="1"/>
    <row r="15869" ht="30" customHeight="1"/>
    <row r="15870" ht="30" customHeight="1"/>
    <row r="15871" ht="30" customHeight="1"/>
    <row r="15872" ht="30" customHeight="1"/>
    <row r="15873" ht="30" customHeight="1"/>
    <row r="15874" ht="30" customHeight="1"/>
    <row r="15875" ht="30" customHeight="1"/>
    <row r="15876" ht="30" customHeight="1"/>
    <row r="15877" ht="30" customHeight="1"/>
    <row r="15878" ht="30" customHeight="1"/>
    <row r="15879" ht="30" customHeight="1"/>
    <row r="15880" ht="30" customHeight="1"/>
    <row r="15881" ht="30" customHeight="1"/>
    <row r="15882" ht="30" customHeight="1"/>
    <row r="15883" ht="30" customHeight="1"/>
    <row r="15884" ht="30" customHeight="1"/>
    <row r="15885" ht="30" customHeight="1"/>
    <row r="15886" ht="30" customHeight="1"/>
    <row r="15887" ht="30" customHeight="1"/>
    <row r="15888" ht="30" customHeight="1"/>
    <row r="15889" ht="30" customHeight="1"/>
    <row r="15890" ht="30" customHeight="1"/>
    <row r="15891" ht="30" customHeight="1"/>
    <row r="15892" ht="30" customHeight="1"/>
    <row r="15893" ht="30" customHeight="1"/>
    <row r="15894" ht="30" customHeight="1"/>
    <row r="15895" ht="30" customHeight="1"/>
    <row r="15896" ht="30" customHeight="1"/>
    <row r="15897" ht="30" customHeight="1"/>
    <row r="15898" ht="30" customHeight="1"/>
    <row r="15899" ht="30" customHeight="1"/>
    <row r="15900" ht="30" customHeight="1"/>
    <row r="15901" ht="30" customHeight="1"/>
    <row r="15902" ht="30" customHeight="1"/>
    <row r="15903" ht="30" customHeight="1"/>
    <row r="15904" ht="30" customHeight="1"/>
    <row r="15905" ht="30" customHeight="1"/>
    <row r="15906" ht="30" customHeight="1"/>
    <row r="15907" ht="30" customHeight="1"/>
    <row r="15908" ht="30" customHeight="1"/>
    <row r="15909" ht="30" customHeight="1"/>
    <row r="15910" ht="30" customHeight="1"/>
    <row r="15911" ht="30" customHeight="1"/>
    <row r="15912" ht="30" customHeight="1"/>
    <row r="15913" ht="30" customHeight="1"/>
    <row r="15914" ht="30" customHeight="1"/>
    <row r="15915" ht="30" customHeight="1"/>
    <row r="15916" ht="30" customHeight="1"/>
    <row r="15917" ht="30" customHeight="1"/>
    <row r="15918" ht="30" customHeight="1"/>
    <row r="15919" ht="30" customHeight="1"/>
    <row r="15920" ht="30" customHeight="1"/>
    <row r="15921" ht="30" customHeight="1"/>
    <row r="15922" ht="30" customHeight="1"/>
    <row r="15923" ht="30" customHeight="1"/>
    <row r="15924" ht="30" customHeight="1"/>
    <row r="15925" ht="30" customHeight="1"/>
    <row r="15926" ht="30" customHeight="1"/>
    <row r="15927" ht="30" customHeight="1"/>
    <row r="15928" ht="30" customHeight="1"/>
    <row r="15929" ht="30" customHeight="1"/>
    <row r="15930" ht="30" customHeight="1"/>
    <row r="15931" ht="30" customHeight="1"/>
    <row r="15932" ht="30" customHeight="1"/>
    <row r="15933" ht="30" customHeight="1"/>
    <row r="15934" ht="30" customHeight="1"/>
    <row r="15935" ht="30" customHeight="1"/>
    <row r="15936" ht="30" customHeight="1"/>
    <row r="15937" ht="30" customHeight="1"/>
    <row r="15938" ht="30" customHeight="1"/>
    <row r="15939" ht="30" customHeight="1"/>
    <row r="15940" ht="30" customHeight="1"/>
    <row r="15941" ht="30" customHeight="1"/>
    <row r="15942" ht="30" customHeight="1"/>
    <row r="15943" ht="30" customHeight="1"/>
    <row r="15944" ht="30" customHeight="1"/>
    <row r="15945" ht="30" customHeight="1"/>
    <row r="15946" ht="30" customHeight="1"/>
    <row r="15947" ht="30" customHeight="1"/>
    <row r="15948" ht="30" customHeight="1"/>
    <row r="15949" ht="30" customHeight="1"/>
    <row r="15950" ht="30" customHeight="1"/>
    <row r="15951" ht="30" customHeight="1"/>
    <row r="15952" ht="30" customHeight="1"/>
    <row r="15953" ht="30" customHeight="1"/>
    <row r="15954" ht="30" customHeight="1"/>
    <row r="15955" ht="30" customHeight="1"/>
    <row r="15956" ht="30" customHeight="1"/>
    <row r="15957" ht="30" customHeight="1"/>
    <row r="15958" ht="30" customHeight="1"/>
    <row r="15959" ht="30" customHeight="1"/>
    <row r="15960" ht="30" customHeight="1"/>
    <row r="15961" ht="30" customHeight="1"/>
    <row r="15962" ht="30" customHeight="1"/>
    <row r="15963" ht="30" customHeight="1"/>
    <row r="15964" ht="30" customHeight="1"/>
    <row r="15965" ht="30" customHeight="1"/>
    <row r="15966" ht="30" customHeight="1"/>
    <row r="15967" ht="30" customHeight="1"/>
    <row r="15968" ht="30" customHeight="1"/>
    <row r="15969" ht="30" customHeight="1"/>
    <row r="15970" ht="30" customHeight="1"/>
    <row r="15971" ht="30" customHeight="1"/>
    <row r="15972" ht="30" customHeight="1"/>
    <row r="15973" ht="30" customHeight="1"/>
    <row r="15974" ht="30" customHeight="1"/>
    <row r="15975" ht="30" customHeight="1"/>
    <row r="15976" ht="30" customHeight="1"/>
    <row r="15977" ht="30" customHeight="1"/>
    <row r="15978" ht="30" customHeight="1"/>
    <row r="15979" ht="30" customHeight="1"/>
    <row r="15980" ht="30" customHeight="1"/>
    <row r="15981" ht="30" customHeight="1"/>
    <row r="15982" ht="30" customHeight="1"/>
    <row r="15983" ht="30" customHeight="1"/>
    <row r="15984" ht="30" customHeight="1"/>
    <row r="15985" ht="30" customHeight="1"/>
    <row r="15986" ht="30" customHeight="1"/>
    <row r="15987" ht="30" customHeight="1"/>
    <row r="15988" ht="30" customHeight="1"/>
    <row r="15989" ht="30" customHeight="1"/>
    <row r="15990" ht="30" customHeight="1"/>
    <row r="15991" ht="30" customHeight="1"/>
    <row r="15992" ht="30" customHeight="1"/>
    <row r="15993" ht="30" customHeight="1"/>
    <row r="15994" ht="30" customHeight="1"/>
    <row r="15995" ht="30" customHeight="1"/>
    <row r="15996" ht="30" customHeight="1"/>
    <row r="15997" ht="30" customHeight="1"/>
    <row r="15998" ht="30" customHeight="1"/>
    <row r="15999" ht="30" customHeight="1"/>
    <row r="16000" ht="30" customHeight="1"/>
    <row r="16001" ht="30" customHeight="1"/>
    <row r="16002" ht="30" customHeight="1"/>
    <row r="16003" ht="30" customHeight="1"/>
    <row r="16004" ht="30" customHeight="1"/>
    <row r="16005" ht="30" customHeight="1"/>
    <row r="16006" ht="30" customHeight="1"/>
    <row r="16007" ht="30" customHeight="1"/>
    <row r="16008" ht="30" customHeight="1"/>
    <row r="16009" ht="30" customHeight="1"/>
    <row r="16010" ht="30" customHeight="1"/>
    <row r="16011" ht="30" customHeight="1"/>
    <row r="16012" ht="30" customHeight="1"/>
    <row r="16013" ht="30" customHeight="1"/>
    <row r="16014" ht="30" customHeight="1"/>
    <row r="16015" ht="30" customHeight="1"/>
    <row r="16016" ht="30" customHeight="1"/>
    <row r="16017" ht="30" customHeight="1"/>
    <row r="16018" ht="30" customHeight="1"/>
    <row r="16019" ht="30" customHeight="1"/>
    <row r="16020" ht="30" customHeight="1"/>
    <row r="16021" ht="30" customHeight="1"/>
    <row r="16022" ht="30" customHeight="1"/>
    <row r="16023" ht="30" customHeight="1"/>
    <row r="16024" ht="30" customHeight="1"/>
    <row r="16025" ht="30" customHeight="1"/>
    <row r="16026" ht="30" customHeight="1"/>
    <row r="16027" ht="30" customHeight="1"/>
    <row r="16028" ht="30" customHeight="1"/>
    <row r="16029" ht="30" customHeight="1"/>
    <row r="16030" ht="30" customHeight="1"/>
    <row r="16031" ht="30" customHeight="1"/>
    <row r="16032" ht="30" customHeight="1"/>
    <row r="16033" ht="30" customHeight="1"/>
    <row r="16034" ht="30" customHeight="1"/>
    <row r="16035" ht="30" customHeight="1"/>
    <row r="16036" ht="30" customHeight="1"/>
    <row r="16037" ht="30" customHeight="1"/>
    <row r="16038" ht="30" customHeight="1"/>
    <row r="16039" ht="30" customHeight="1"/>
    <row r="16040" ht="30" customHeight="1"/>
    <row r="16041" ht="30" customHeight="1"/>
    <row r="16042" ht="30" customHeight="1"/>
    <row r="16043" ht="30" customHeight="1"/>
    <row r="16044" ht="30" customHeight="1"/>
    <row r="16045" ht="30" customHeight="1"/>
    <row r="16046" ht="30" customHeight="1"/>
    <row r="16047" ht="30" customHeight="1"/>
    <row r="16048" ht="30" customHeight="1"/>
    <row r="16049" ht="30" customHeight="1"/>
    <row r="16050" ht="30" customHeight="1"/>
    <row r="16051" ht="30" customHeight="1"/>
    <row r="16052" ht="30" customHeight="1"/>
    <row r="16053" ht="30" customHeight="1"/>
    <row r="16054" ht="30" customHeight="1"/>
    <row r="16055" ht="30" customHeight="1"/>
    <row r="16056" ht="30" customHeight="1"/>
    <row r="16057" ht="30" customHeight="1"/>
    <row r="16058" ht="30" customHeight="1"/>
    <row r="16059" ht="30" customHeight="1"/>
    <row r="16060" ht="30" customHeight="1"/>
    <row r="16061" ht="30" customHeight="1"/>
    <row r="16062" ht="30" customHeight="1"/>
    <row r="16063" ht="30" customHeight="1"/>
    <row r="16064" ht="30" customHeight="1"/>
    <row r="16065" ht="30" customHeight="1"/>
    <row r="16066" ht="30" customHeight="1"/>
    <row r="16067" ht="30" customHeight="1"/>
    <row r="16068" ht="30" customHeight="1"/>
    <row r="16069" ht="30" customHeight="1"/>
    <row r="16070" ht="30" customHeight="1"/>
    <row r="16071" ht="30" customHeight="1"/>
    <row r="16072" ht="30" customHeight="1"/>
    <row r="16073" ht="30" customHeight="1"/>
    <row r="16074" ht="30" customHeight="1"/>
    <row r="16075" ht="30" customHeight="1"/>
    <row r="16076" ht="30" customHeight="1"/>
    <row r="16077" ht="30" customHeight="1"/>
    <row r="16078" ht="30" customHeight="1"/>
    <row r="16079" ht="30" customHeight="1"/>
    <row r="16080" ht="30" customHeight="1"/>
    <row r="16081" ht="30" customHeight="1"/>
    <row r="16082" ht="30" customHeight="1"/>
    <row r="16083" ht="30" customHeight="1"/>
    <row r="16084" ht="30" customHeight="1"/>
    <row r="16085" ht="30" customHeight="1"/>
    <row r="16086" ht="30" customHeight="1"/>
    <row r="16087" ht="30" customHeight="1"/>
    <row r="16088" ht="30" customHeight="1"/>
    <row r="16089" ht="30" customHeight="1"/>
    <row r="16090" ht="30" customHeight="1"/>
    <row r="16091" ht="30" customHeight="1"/>
    <row r="16092" ht="30" customHeight="1"/>
    <row r="16093" ht="30" customHeight="1"/>
    <row r="16094" ht="30" customHeight="1"/>
    <row r="16095" ht="30" customHeight="1"/>
    <row r="16096" ht="30" customHeight="1"/>
    <row r="16097" ht="30" customHeight="1"/>
    <row r="16098" ht="30" customHeight="1"/>
    <row r="16099" ht="30" customHeight="1"/>
    <row r="16100" ht="30" customHeight="1"/>
    <row r="16101" ht="30" customHeight="1"/>
    <row r="16102" ht="30" customHeight="1"/>
    <row r="16103" ht="30" customHeight="1"/>
    <row r="16104" ht="30" customHeight="1"/>
    <row r="16105" ht="30" customHeight="1"/>
    <row r="16106" ht="30" customHeight="1"/>
    <row r="16107" ht="30" customHeight="1"/>
    <row r="16108" ht="30" customHeight="1"/>
    <row r="16109" ht="30" customHeight="1"/>
    <row r="16110" ht="30" customHeight="1"/>
    <row r="16111" ht="30" customHeight="1"/>
    <row r="16112" ht="30" customHeight="1"/>
    <row r="16113" ht="30" customHeight="1"/>
    <row r="16114" ht="30" customHeight="1"/>
    <row r="16115" ht="30" customHeight="1"/>
    <row r="16116" ht="30" customHeight="1"/>
    <row r="16117" ht="30" customHeight="1"/>
    <row r="16118" ht="30" customHeight="1"/>
    <row r="16119" ht="30" customHeight="1"/>
    <row r="16120" ht="30" customHeight="1"/>
    <row r="16121" ht="30" customHeight="1"/>
    <row r="16122" ht="30" customHeight="1"/>
    <row r="16123" ht="30" customHeight="1"/>
    <row r="16124" ht="30" customHeight="1"/>
    <row r="16125" ht="30" customHeight="1"/>
    <row r="16126" ht="30" customHeight="1"/>
    <row r="16127" ht="30" customHeight="1"/>
    <row r="16128" ht="30" customHeight="1"/>
    <row r="16129" ht="30" customHeight="1"/>
    <row r="16130" ht="30" customHeight="1"/>
    <row r="16131" ht="30" customHeight="1"/>
    <row r="16132" ht="30" customHeight="1"/>
    <row r="16133" ht="30" customHeight="1"/>
    <row r="16134" ht="30" customHeight="1"/>
    <row r="16135" ht="30" customHeight="1"/>
    <row r="16136" ht="30" customHeight="1"/>
    <row r="16137" ht="30" customHeight="1"/>
    <row r="16138" ht="30" customHeight="1"/>
    <row r="16139" ht="30" customHeight="1"/>
    <row r="16140" ht="30" customHeight="1"/>
    <row r="16141" ht="30" customHeight="1"/>
    <row r="16142" ht="30" customHeight="1"/>
    <row r="16143" ht="30" customHeight="1"/>
    <row r="16144" ht="30" customHeight="1"/>
    <row r="16145" ht="30" customHeight="1"/>
    <row r="16146" ht="30" customHeight="1"/>
    <row r="16147" ht="30" customHeight="1"/>
    <row r="16148" ht="30" customHeight="1"/>
    <row r="16149" ht="30" customHeight="1"/>
    <row r="16150" ht="30" customHeight="1"/>
    <row r="16151" ht="30" customHeight="1"/>
    <row r="16152" ht="30" customHeight="1"/>
    <row r="16153" ht="30" customHeight="1"/>
    <row r="16154" ht="30" customHeight="1"/>
    <row r="16155" ht="30" customHeight="1"/>
    <row r="16156" ht="30" customHeight="1"/>
    <row r="16157" ht="30" customHeight="1"/>
    <row r="16158" ht="30" customHeight="1"/>
    <row r="16159" ht="30" customHeight="1"/>
    <row r="16160" ht="30" customHeight="1"/>
    <row r="16161" ht="30" customHeight="1"/>
    <row r="16162" ht="30" customHeight="1"/>
    <row r="16163" ht="30" customHeight="1"/>
    <row r="16164" ht="30" customHeight="1"/>
    <row r="16165" ht="30" customHeight="1"/>
    <row r="16166" ht="30" customHeight="1"/>
    <row r="16167" ht="30" customHeight="1"/>
    <row r="16168" ht="30" customHeight="1"/>
    <row r="16169" ht="30" customHeight="1"/>
    <row r="16170" ht="30" customHeight="1"/>
    <row r="16171" ht="30" customHeight="1"/>
    <row r="16172" ht="30" customHeight="1"/>
    <row r="16173" ht="30" customHeight="1"/>
    <row r="16174" ht="30" customHeight="1"/>
    <row r="16175" ht="30" customHeight="1"/>
    <row r="16176" ht="30" customHeight="1"/>
    <row r="16177" ht="30" customHeight="1"/>
    <row r="16178" ht="30" customHeight="1"/>
    <row r="16179" ht="30" customHeight="1"/>
    <row r="16180" ht="30" customHeight="1"/>
    <row r="16181" ht="30" customHeight="1"/>
    <row r="16182" ht="30" customHeight="1"/>
    <row r="16183" ht="30" customHeight="1"/>
    <row r="16184" ht="30" customHeight="1"/>
    <row r="16185" ht="30" customHeight="1"/>
    <row r="16186" ht="30" customHeight="1"/>
    <row r="16187" ht="30" customHeight="1"/>
    <row r="16188" ht="30" customHeight="1"/>
    <row r="16189" ht="30" customHeight="1"/>
    <row r="16190" ht="30" customHeight="1"/>
    <row r="16191" ht="30" customHeight="1"/>
    <row r="16192" ht="30" customHeight="1"/>
    <row r="16193" ht="30" customHeight="1"/>
    <row r="16194" ht="30" customHeight="1"/>
    <row r="16195" ht="30" customHeight="1"/>
    <row r="16196" ht="30" customHeight="1"/>
    <row r="16197" ht="30" customHeight="1"/>
    <row r="16198" ht="30" customHeight="1"/>
    <row r="16199" ht="30" customHeight="1"/>
    <row r="16200" ht="30" customHeight="1"/>
    <row r="16201" ht="30" customHeight="1"/>
    <row r="16202" ht="30" customHeight="1"/>
    <row r="16203" ht="30" customHeight="1"/>
    <row r="16204" ht="30" customHeight="1"/>
    <row r="16205" ht="30" customHeight="1"/>
    <row r="16206" ht="30" customHeight="1"/>
    <row r="16207" ht="30" customHeight="1"/>
    <row r="16208" ht="30" customHeight="1"/>
    <row r="16209" ht="30" customHeight="1"/>
    <row r="16210" ht="30" customHeight="1"/>
    <row r="16211" ht="30" customHeight="1"/>
    <row r="16212" ht="30" customHeight="1"/>
    <row r="16213" ht="30" customHeight="1"/>
    <row r="16214" ht="30" customHeight="1"/>
    <row r="16215" ht="30" customHeight="1"/>
    <row r="16216" ht="30" customHeight="1"/>
    <row r="16217" ht="30" customHeight="1"/>
    <row r="16218" ht="30" customHeight="1"/>
    <row r="16219" ht="30" customHeight="1"/>
    <row r="16220" ht="30" customHeight="1"/>
    <row r="16221" ht="30" customHeight="1"/>
    <row r="16222" ht="30" customHeight="1"/>
    <row r="16223" ht="30" customHeight="1"/>
    <row r="16224" ht="30" customHeight="1"/>
    <row r="16225" ht="30" customHeight="1"/>
    <row r="16226" ht="30" customHeight="1"/>
    <row r="16227" ht="30" customHeight="1"/>
    <row r="16228" ht="30" customHeight="1"/>
    <row r="16229" ht="30" customHeight="1"/>
    <row r="16230" ht="30" customHeight="1"/>
    <row r="16231" ht="30" customHeight="1"/>
    <row r="16232" ht="30" customHeight="1"/>
    <row r="16233" ht="30" customHeight="1"/>
    <row r="16234" ht="30" customHeight="1"/>
    <row r="16235" ht="30" customHeight="1"/>
    <row r="16236" ht="30" customHeight="1"/>
    <row r="16237" ht="30" customHeight="1"/>
    <row r="16238" ht="30" customHeight="1"/>
    <row r="16239" ht="30" customHeight="1"/>
    <row r="16240" ht="30" customHeight="1"/>
    <row r="16241" ht="30" customHeight="1"/>
    <row r="16242" ht="30" customHeight="1"/>
    <row r="16243" ht="30" customHeight="1"/>
    <row r="16244" ht="30" customHeight="1"/>
    <row r="16245" ht="30" customHeight="1"/>
    <row r="16246" ht="30" customHeight="1"/>
    <row r="16247" ht="30" customHeight="1"/>
    <row r="16248" ht="30" customHeight="1"/>
    <row r="16249" ht="30" customHeight="1"/>
    <row r="16250" ht="30" customHeight="1"/>
    <row r="16251" ht="30" customHeight="1"/>
    <row r="16252" ht="30" customHeight="1"/>
    <row r="16253" ht="30" customHeight="1"/>
    <row r="16254" ht="30" customHeight="1"/>
    <row r="16255" ht="30" customHeight="1"/>
    <row r="16256" ht="30" customHeight="1"/>
    <row r="16257" ht="30" customHeight="1"/>
    <row r="16258" ht="30" customHeight="1"/>
    <row r="16259" ht="30" customHeight="1"/>
    <row r="16260" ht="30" customHeight="1"/>
    <row r="16261" ht="30" customHeight="1"/>
    <row r="16262" ht="30" customHeight="1"/>
    <row r="16263" ht="30" customHeight="1"/>
    <row r="16264" ht="30" customHeight="1"/>
    <row r="16265" ht="30" customHeight="1"/>
    <row r="16266" ht="30" customHeight="1"/>
    <row r="16267" ht="30" customHeight="1"/>
    <row r="16268" ht="30" customHeight="1"/>
    <row r="16269" ht="30" customHeight="1"/>
    <row r="16270" ht="30" customHeight="1"/>
    <row r="16271" ht="30" customHeight="1"/>
    <row r="16272" ht="30" customHeight="1"/>
    <row r="16273" ht="30" customHeight="1"/>
    <row r="16274" ht="30" customHeight="1"/>
    <row r="16275" ht="30" customHeight="1"/>
    <row r="16276" ht="30" customHeight="1"/>
    <row r="16277" ht="30" customHeight="1"/>
    <row r="16278" ht="30" customHeight="1"/>
    <row r="16279" ht="30" customHeight="1"/>
    <row r="16280" ht="30" customHeight="1"/>
    <row r="16281" ht="30" customHeight="1"/>
    <row r="16282" ht="30" customHeight="1"/>
    <row r="16283" ht="30" customHeight="1"/>
    <row r="16284" ht="30" customHeight="1"/>
    <row r="16285" ht="30" customHeight="1"/>
    <row r="16286" ht="30" customHeight="1"/>
    <row r="16287" ht="30" customHeight="1"/>
    <row r="16288" ht="30" customHeight="1"/>
    <row r="16289" ht="30" customHeight="1"/>
    <row r="16290" ht="30" customHeight="1"/>
    <row r="16291" ht="30" customHeight="1"/>
    <row r="16292" ht="30" customHeight="1"/>
    <row r="16293" ht="30" customHeight="1"/>
    <row r="16294" ht="30" customHeight="1"/>
    <row r="16295" ht="30" customHeight="1"/>
    <row r="16296" ht="30" customHeight="1"/>
    <row r="16297" ht="30" customHeight="1"/>
    <row r="16298" ht="30" customHeight="1"/>
    <row r="16299" ht="30" customHeight="1"/>
    <row r="16300" ht="30" customHeight="1"/>
    <row r="16301" ht="30" customHeight="1"/>
    <row r="16302" ht="30" customHeight="1"/>
    <row r="16303" ht="30" customHeight="1"/>
    <row r="16304" ht="30" customHeight="1"/>
    <row r="16305" ht="30" customHeight="1"/>
    <row r="16306" ht="30" customHeight="1"/>
    <row r="16307" ht="30" customHeight="1"/>
    <row r="16308" ht="30" customHeight="1"/>
    <row r="16309" ht="30" customHeight="1"/>
    <row r="16310" ht="30" customHeight="1"/>
    <row r="16311" ht="30" customHeight="1"/>
    <row r="16312" ht="30" customHeight="1"/>
    <row r="16313" ht="30" customHeight="1"/>
    <row r="16314" ht="30" customHeight="1"/>
    <row r="16315" ht="30" customHeight="1"/>
    <row r="16316" ht="30" customHeight="1"/>
    <row r="16317" ht="30" customHeight="1"/>
    <row r="16318" ht="30" customHeight="1"/>
    <row r="16319" ht="30" customHeight="1"/>
    <row r="16320" ht="30" customHeight="1"/>
    <row r="16321" ht="30" customHeight="1"/>
    <row r="16322" ht="30" customHeight="1"/>
    <row r="16323" ht="30" customHeight="1"/>
    <row r="16324" ht="30" customHeight="1"/>
    <row r="16325" ht="30" customHeight="1"/>
    <row r="16326" ht="30" customHeight="1"/>
    <row r="16327" ht="30" customHeight="1"/>
    <row r="16328" ht="30" customHeight="1"/>
    <row r="16329" ht="30" customHeight="1"/>
    <row r="16330" ht="30" customHeight="1"/>
    <row r="16331" ht="30" customHeight="1"/>
    <row r="16332" ht="30" customHeight="1"/>
    <row r="16333" ht="30" customHeight="1"/>
    <row r="16334" ht="30" customHeight="1"/>
    <row r="16335" ht="30" customHeight="1"/>
    <row r="16336" ht="30" customHeight="1"/>
    <row r="16337" ht="30" customHeight="1"/>
    <row r="16338" ht="30" customHeight="1"/>
    <row r="16339" ht="30" customHeight="1"/>
    <row r="16340" ht="30" customHeight="1"/>
    <row r="16341" ht="30" customHeight="1"/>
    <row r="16342" ht="30" customHeight="1"/>
    <row r="16343" ht="30" customHeight="1"/>
    <row r="16344" ht="30" customHeight="1"/>
    <row r="16345" ht="30" customHeight="1"/>
    <row r="16346" ht="30" customHeight="1"/>
    <row r="16347" ht="30" customHeight="1"/>
    <row r="16348" ht="30" customHeight="1"/>
    <row r="16349" ht="30" customHeight="1"/>
    <row r="16350" ht="30" customHeight="1"/>
    <row r="16351" ht="30" customHeight="1"/>
    <row r="16352" ht="30" customHeight="1"/>
    <row r="16353" ht="30" customHeight="1"/>
    <row r="16354" ht="30" customHeight="1"/>
    <row r="16355" ht="30" customHeight="1"/>
    <row r="16356" ht="30" customHeight="1"/>
    <row r="16357" ht="30" customHeight="1"/>
    <row r="16358" ht="30" customHeight="1"/>
    <row r="16359" ht="30" customHeight="1"/>
    <row r="16360" ht="30" customHeight="1"/>
    <row r="16361" ht="30" customHeight="1"/>
    <row r="16362" ht="30" customHeight="1"/>
    <row r="16363" ht="30" customHeight="1"/>
    <row r="16364" ht="30" customHeight="1"/>
    <row r="16365" ht="30" customHeight="1"/>
    <row r="16366" ht="30" customHeight="1"/>
    <row r="16367" ht="30" customHeight="1"/>
    <row r="16368" ht="30" customHeight="1"/>
    <row r="16369" ht="30" customHeight="1"/>
    <row r="16370" ht="30" customHeight="1"/>
    <row r="16371" ht="30" customHeight="1"/>
    <row r="16372" ht="30" customHeight="1"/>
    <row r="16373" ht="30" customHeight="1"/>
    <row r="16374" ht="30" customHeight="1"/>
    <row r="16375" ht="30" customHeight="1"/>
    <row r="16376" ht="30" customHeight="1"/>
    <row r="16377" ht="30" customHeight="1"/>
    <row r="16378" ht="30" customHeight="1"/>
    <row r="16379" ht="30" customHeight="1"/>
    <row r="16380" ht="30" customHeight="1"/>
    <row r="16381" ht="30" customHeight="1"/>
    <row r="16382" ht="30" customHeight="1"/>
    <row r="16383" ht="30" customHeight="1"/>
    <row r="16384" ht="30" customHeight="1"/>
    <row r="16385" ht="30" customHeight="1"/>
    <row r="16386" ht="30" customHeight="1"/>
    <row r="16387" ht="30" customHeight="1"/>
    <row r="16388" ht="30" customHeight="1"/>
    <row r="16389" ht="30" customHeight="1"/>
    <row r="16390" ht="30" customHeight="1"/>
    <row r="16391" ht="30" customHeight="1"/>
    <row r="16392" ht="30" customHeight="1"/>
    <row r="16393" ht="30" customHeight="1"/>
    <row r="16394" ht="30" customHeight="1"/>
    <row r="16395" ht="30" customHeight="1"/>
    <row r="16396" ht="30" customHeight="1"/>
    <row r="16397" ht="30" customHeight="1"/>
    <row r="16398" ht="30" customHeight="1"/>
    <row r="16399" ht="30" customHeight="1"/>
    <row r="16400" ht="30" customHeight="1"/>
    <row r="16401" ht="30" customHeight="1"/>
    <row r="16402" ht="30" customHeight="1"/>
    <row r="16403" ht="30" customHeight="1"/>
    <row r="16404" ht="30" customHeight="1"/>
    <row r="16405" ht="30" customHeight="1"/>
    <row r="16406" ht="30" customHeight="1"/>
    <row r="16407" ht="30" customHeight="1"/>
    <row r="16408" ht="30" customHeight="1"/>
    <row r="16409" ht="30" customHeight="1"/>
    <row r="16410" ht="30" customHeight="1"/>
    <row r="16411" ht="30" customHeight="1"/>
    <row r="16412" ht="30" customHeight="1"/>
    <row r="16413" ht="30" customHeight="1"/>
    <row r="16414" ht="30" customHeight="1"/>
    <row r="16415" ht="30" customHeight="1"/>
    <row r="16416" ht="30" customHeight="1"/>
    <row r="16417" ht="30" customHeight="1"/>
    <row r="16418" ht="30" customHeight="1"/>
    <row r="16419" ht="30" customHeight="1"/>
    <row r="16420" ht="30" customHeight="1"/>
    <row r="16421" ht="30" customHeight="1"/>
    <row r="16422" ht="30" customHeight="1"/>
    <row r="16423" ht="30" customHeight="1"/>
    <row r="16424" ht="30" customHeight="1"/>
    <row r="16425" ht="30" customHeight="1"/>
    <row r="16426" ht="30" customHeight="1"/>
    <row r="16427" ht="30" customHeight="1"/>
    <row r="16428" ht="30" customHeight="1"/>
    <row r="16429" ht="30" customHeight="1"/>
    <row r="16430" ht="30" customHeight="1"/>
    <row r="16431" ht="30" customHeight="1"/>
    <row r="16432" ht="30" customHeight="1"/>
    <row r="16433" ht="30" customHeight="1"/>
    <row r="16434" ht="30" customHeight="1"/>
    <row r="16435" ht="30" customHeight="1"/>
    <row r="16436" ht="30" customHeight="1"/>
    <row r="16437" ht="30" customHeight="1"/>
    <row r="16438" ht="30" customHeight="1"/>
    <row r="16439" ht="30" customHeight="1"/>
    <row r="16440" ht="30" customHeight="1"/>
    <row r="16441" ht="30" customHeight="1"/>
    <row r="16442" ht="30" customHeight="1"/>
    <row r="16443" ht="30" customHeight="1"/>
    <row r="16444" ht="30" customHeight="1"/>
    <row r="16445" ht="30" customHeight="1"/>
    <row r="16446" ht="30" customHeight="1"/>
    <row r="16447" ht="30" customHeight="1"/>
    <row r="16448" ht="30" customHeight="1"/>
    <row r="16449" ht="30" customHeight="1"/>
    <row r="16450" ht="30" customHeight="1"/>
    <row r="16451" ht="30" customHeight="1"/>
    <row r="16452" ht="30" customHeight="1"/>
    <row r="16453" ht="30" customHeight="1"/>
    <row r="16454" ht="30" customHeight="1"/>
    <row r="16455" ht="30" customHeight="1"/>
    <row r="16456" ht="30" customHeight="1"/>
    <row r="16457" ht="30" customHeight="1"/>
    <row r="16458" ht="30" customHeight="1"/>
    <row r="16459" ht="30" customHeight="1"/>
    <row r="16460" ht="30" customHeight="1"/>
    <row r="16461" ht="30" customHeight="1"/>
    <row r="16462" ht="30" customHeight="1"/>
    <row r="16463" ht="30" customHeight="1"/>
    <row r="16464" ht="30" customHeight="1"/>
    <row r="16465" ht="30" customHeight="1"/>
    <row r="16466" ht="30" customHeight="1"/>
    <row r="16467" ht="30" customHeight="1"/>
    <row r="16468" ht="30" customHeight="1"/>
    <row r="16469" ht="30" customHeight="1"/>
    <row r="16470" ht="30" customHeight="1"/>
    <row r="16471" ht="30" customHeight="1"/>
    <row r="16472" ht="30" customHeight="1"/>
    <row r="16473" ht="30" customHeight="1"/>
    <row r="16474" ht="30" customHeight="1"/>
    <row r="16475" ht="30" customHeight="1"/>
    <row r="16476" ht="30" customHeight="1"/>
    <row r="16477" ht="30" customHeight="1"/>
    <row r="16478" ht="30" customHeight="1"/>
    <row r="16479" ht="30" customHeight="1"/>
    <row r="16480" ht="30" customHeight="1"/>
    <row r="16481" ht="30" customHeight="1"/>
    <row r="16482" ht="30" customHeight="1"/>
    <row r="16483" ht="30" customHeight="1"/>
    <row r="16484" ht="30" customHeight="1"/>
    <row r="16485" ht="30" customHeight="1"/>
    <row r="16486" ht="30" customHeight="1"/>
    <row r="16487" ht="30" customHeight="1"/>
    <row r="16488" ht="30" customHeight="1"/>
    <row r="16489" ht="30" customHeight="1"/>
    <row r="16490" ht="30" customHeight="1"/>
    <row r="16491" ht="30" customHeight="1"/>
    <row r="16492" ht="30" customHeight="1"/>
    <row r="16493" ht="30" customHeight="1"/>
    <row r="16494" ht="30" customHeight="1"/>
    <row r="16495" ht="30" customHeight="1"/>
    <row r="16496" ht="30" customHeight="1"/>
    <row r="16497" ht="30" customHeight="1"/>
    <row r="16498" ht="30" customHeight="1"/>
    <row r="16499" ht="30" customHeight="1"/>
    <row r="16500" ht="30" customHeight="1"/>
    <row r="16501" ht="30" customHeight="1"/>
    <row r="16502" ht="30" customHeight="1"/>
    <row r="16503" ht="30" customHeight="1"/>
    <row r="16504" ht="30" customHeight="1"/>
    <row r="16505" ht="30" customHeight="1"/>
    <row r="16506" ht="30" customHeight="1"/>
    <row r="16507" ht="30" customHeight="1"/>
    <row r="16508" ht="30" customHeight="1"/>
    <row r="16509" ht="30" customHeight="1"/>
    <row r="16510" ht="30" customHeight="1"/>
    <row r="16511" ht="30" customHeight="1"/>
    <row r="16512" ht="30" customHeight="1"/>
    <row r="16513" ht="30" customHeight="1"/>
    <row r="16514" ht="30" customHeight="1"/>
    <row r="16515" ht="30" customHeight="1"/>
    <row r="16516" ht="30" customHeight="1"/>
    <row r="16517" ht="30" customHeight="1"/>
    <row r="16518" ht="30" customHeight="1"/>
    <row r="16519" ht="30" customHeight="1"/>
    <row r="16520" ht="30" customHeight="1"/>
    <row r="16521" ht="30" customHeight="1"/>
    <row r="16522" ht="30" customHeight="1"/>
    <row r="16523" ht="30" customHeight="1"/>
    <row r="16524" ht="30" customHeight="1"/>
    <row r="16525" ht="30" customHeight="1"/>
    <row r="16526" ht="30" customHeight="1"/>
    <row r="16527" ht="30" customHeight="1"/>
    <row r="16528" ht="30" customHeight="1"/>
    <row r="16529" ht="30" customHeight="1"/>
    <row r="16530" ht="30" customHeight="1"/>
    <row r="16531" ht="30" customHeight="1"/>
    <row r="16532" ht="30" customHeight="1"/>
    <row r="16533" ht="30" customHeight="1"/>
    <row r="16534" ht="30" customHeight="1"/>
    <row r="16535" ht="30" customHeight="1"/>
    <row r="16536" ht="30" customHeight="1"/>
    <row r="16537" ht="30" customHeight="1"/>
    <row r="16538" ht="30" customHeight="1"/>
    <row r="16539" ht="30" customHeight="1"/>
    <row r="16540" ht="30" customHeight="1"/>
    <row r="16541" ht="30" customHeight="1"/>
    <row r="16542" ht="30" customHeight="1"/>
    <row r="16543" ht="30" customHeight="1"/>
    <row r="16544" ht="30" customHeight="1"/>
    <row r="16545" ht="30" customHeight="1"/>
    <row r="16546" ht="30" customHeight="1"/>
    <row r="16547" ht="30" customHeight="1"/>
    <row r="16548" ht="30" customHeight="1"/>
    <row r="16549" ht="30" customHeight="1"/>
    <row r="16550" ht="30" customHeight="1"/>
    <row r="16551" ht="30" customHeight="1"/>
    <row r="16552" ht="30" customHeight="1"/>
    <row r="16553" ht="30" customHeight="1"/>
    <row r="16554" ht="30" customHeight="1"/>
    <row r="16555" ht="30" customHeight="1"/>
    <row r="16556" ht="30" customHeight="1"/>
    <row r="16557" ht="30" customHeight="1"/>
    <row r="16558" ht="30" customHeight="1"/>
    <row r="16559" ht="30" customHeight="1"/>
    <row r="16560" ht="30" customHeight="1"/>
    <row r="16561" ht="30" customHeight="1"/>
    <row r="16562" ht="30" customHeight="1"/>
    <row r="16563" ht="30" customHeight="1"/>
    <row r="16564" ht="30" customHeight="1"/>
    <row r="16565" ht="30" customHeight="1"/>
    <row r="16566" ht="30" customHeight="1"/>
    <row r="16567" ht="30" customHeight="1"/>
    <row r="16568" ht="30" customHeight="1"/>
    <row r="16569" ht="30" customHeight="1"/>
    <row r="16570" ht="30" customHeight="1"/>
    <row r="16571" ht="30" customHeight="1"/>
    <row r="16572" ht="30" customHeight="1"/>
    <row r="16573" ht="30" customHeight="1"/>
    <row r="16574" ht="30" customHeight="1"/>
    <row r="16575" ht="30" customHeight="1"/>
    <row r="16576" ht="30" customHeight="1"/>
    <row r="16577" ht="30" customHeight="1"/>
    <row r="16578" ht="30" customHeight="1"/>
    <row r="16579" ht="30" customHeight="1"/>
    <row r="16580" ht="30" customHeight="1"/>
    <row r="16581" ht="30" customHeight="1"/>
    <row r="16582" ht="30" customHeight="1"/>
    <row r="16583" ht="30" customHeight="1"/>
    <row r="16584" ht="30" customHeight="1"/>
    <row r="16585" ht="30" customHeight="1"/>
    <row r="16586" ht="30" customHeight="1"/>
    <row r="16587" ht="30" customHeight="1"/>
    <row r="16588" ht="30" customHeight="1"/>
    <row r="16589" ht="30" customHeight="1"/>
    <row r="16590" ht="30" customHeight="1"/>
    <row r="16591" ht="30" customHeight="1"/>
    <row r="16592" ht="30" customHeight="1"/>
    <row r="16593" ht="30" customHeight="1"/>
    <row r="16594" ht="30" customHeight="1"/>
    <row r="16595" ht="30" customHeight="1"/>
    <row r="16596" ht="30" customHeight="1"/>
    <row r="16597" ht="30" customHeight="1"/>
    <row r="16598" ht="30" customHeight="1"/>
    <row r="16599" ht="30" customHeight="1"/>
    <row r="16600" ht="30" customHeight="1"/>
    <row r="16601" ht="30" customHeight="1"/>
    <row r="16602" ht="30" customHeight="1"/>
    <row r="16603" ht="30" customHeight="1"/>
    <row r="16604" ht="30" customHeight="1"/>
    <row r="16605" ht="30" customHeight="1"/>
    <row r="16606" ht="30" customHeight="1"/>
    <row r="16607" ht="30" customHeight="1"/>
    <row r="16608" ht="30" customHeight="1"/>
    <row r="16609" ht="30" customHeight="1"/>
    <row r="16610" ht="30" customHeight="1"/>
    <row r="16611" ht="30" customHeight="1"/>
    <row r="16612" ht="30" customHeight="1"/>
    <row r="16613" ht="30" customHeight="1"/>
    <row r="16614" ht="30" customHeight="1"/>
    <row r="16615" ht="30" customHeight="1"/>
    <row r="16616" ht="30" customHeight="1"/>
    <row r="16617" ht="30" customHeight="1"/>
    <row r="16618" ht="30" customHeight="1"/>
    <row r="16619" ht="30" customHeight="1"/>
    <row r="16620" ht="30" customHeight="1"/>
    <row r="16621" ht="30" customHeight="1"/>
    <row r="16622" ht="30" customHeight="1"/>
    <row r="16623" ht="30" customHeight="1"/>
    <row r="16624" ht="30" customHeight="1"/>
    <row r="16625" ht="30" customHeight="1"/>
    <row r="16626" ht="30" customHeight="1"/>
    <row r="16627" ht="30" customHeight="1"/>
    <row r="16628" ht="30" customHeight="1"/>
    <row r="16629" ht="30" customHeight="1"/>
    <row r="16630" ht="30" customHeight="1"/>
    <row r="16631" ht="30" customHeight="1"/>
    <row r="16632" ht="30" customHeight="1"/>
    <row r="16633" ht="30" customHeight="1"/>
    <row r="16634" ht="30" customHeight="1"/>
    <row r="16635" ht="30" customHeight="1"/>
    <row r="16636" ht="30" customHeight="1"/>
    <row r="16637" ht="30" customHeight="1"/>
    <row r="16638" ht="30" customHeight="1"/>
    <row r="16639" ht="30" customHeight="1"/>
    <row r="16640" ht="30" customHeight="1"/>
    <row r="16641" ht="30" customHeight="1"/>
    <row r="16642" ht="30" customHeight="1"/>
    <row r="16643" ht="30" customHeight="1"/>
    <row r="16644" ht="30" customHeight="1"/>
    <row r="16645" ht="30" customHeight="1"/>
    <row r="16646" ht="30" customHeight="1"/>
    <row r="16647" ht="30" customHeight="1"/>
    <row r="16648" ht="30" customHeight="1"/>
    <row r="16649" ht="30" customHeight="1"/>
    <row r="16650" ht="30" customHeight="1"/>
    <row r="16651" ht="30" customHeight="1"/>
    <row r="16652" ht="30" customHeight="1"/>
    <row r="16653" ht="30" customHeight="1"/>
    <row r="16654" ht="30" customHeight="1"/>
    <row r="16655" ht="30" customHeight="1"/>
    <row r="16656" ht="30" customHeight="1"/>
    <row r="16657" ht="30" customHeight="1"/>
    <row r="16658" ht="30" customHeight="1"/>
    <row r="16659" ht="30" customHeight="1"/>
    <row r="16660" ht="30" customHeight="1"/>
    <row r="16661" ht="30" customHeight="1"/>
    <row r="16662" ht="30" customHeight="1"/>
    <row r="16663" ht="30" customHeight="1"/>
    <row r="16664" ht="30" customHeight="1"/>
    <row r="16665" ht="30" customHeight="1"/>
    <row r="16666" ht="30" customHeight="1"/>
    <row r="16667" ht="30" customHeight="1"/>
    <row r="16668" ht="30" customHeight="1"/>
    <row r="16669" ht="30" customHeight="1"/>
    <row r="16670" ht="30" customHeight="1"/>
    <row r="16671" ht="30" customHeight="1"/>
    <row r="16672" ht="30" customHeight="1"/>
    <row r="16673" ht="30" customHeight="1"/>
    <row r="16674" ht="30" customHeight="1"/>
    <row r="16675" ht="30" customHeight="1"/>
    <row r="16676" ht="30" customHeight="1"/>
    <row r="16677" ht="30" customHeight="1"/>
    <row r="16678" ht="30" customHeight="1"/>
    <row r="16679" ht="30" customHeight="1"/>
    <row r="16680" ht="30" customHeight="1"/>
    <row r="16681" ht="30" customHeight="1"/>
    <row r="16682" ht="30" customHeight="1"/>
    <row r="16683" ht="30" customHeight="1"/>
    <row r="16684" ht="30" customHeight="1"/>
    <row r="16685" ht="30" customHeight="1"/>
    <row r="16686" ht="30" customHeight="1"/>
    <row r="16687" ht="30" customHeight="1"/>
    <row r="16688" ht="30" customHeight="1"/>
    <row r="16689" ht="30" customHeight="1"/>
    <row r="16690" ht="30" customHeight="1"/>
    <row r="16691" ht="30" customHeight="1"/>
    <row r="16692" ht="30" customHeight="1"/>
    <row r="16693" ht="30" customHeight="1"/>
    <row r="16694" ht="30" customHeight="1"/>
    <row r="16695" ht="30" customHeight="1"/>
    <row r="16696" ht="30" customHeight="1"/>
    <row r="16697" ht="30" customHeight="1"/>
    <row r="16698" ht="30" customHeight="1"/>
    <row r="16699" ht="30" customHeight="1"/>
    <row r="16700" ht="30" customHeight="1"/>
    <row r="16701" ht="30" customHeight="1"/>
    <row r="16702" ht="30" customHeight="1"/>
    <row r="16703" ht="30" customHeight="1"/>
    <row r="16704" ht="30" customHeight="1"/>
    <row r="16705" ht="30" customHeight="1"/>
    <row r="16706" ht="30" customHeight="1"/>
    <row r="16707" ht="30" customHeight="1"/>
    <row r="16708" ht="30" customHeight="1"/>
    <row r="16709" ht="30" customHeight="1"/>
    <row r="16710" ht="30" customHeight="1"/>
    <row r="16711" ht="30" customHeight="1"/>
    <row r="16712" ht="30" customHeight="1"/>
    <row r="16713" ht="30" customHeight="1"/>
    <row r="16714" ht="30" customHeight="1"/>
    <row r="16715" ht="30" customHeight="1"/>
    <row r="16716" ht="30" customHeight="1"/>
    <row r="16717" ht="30" customHeight="1"/>
    <row r="16718" ht="30" customHeight="1"/>
    <row r="16719" ht="30" customHeight="1"/>
    <row r="16720" ht="30" customHeight="1"/>
    <row r="16721" ht="30" customHeight="1"/>
    <row r="16722" ht="30" customHeight="1"/>
    <row r="16723" ht="30" customHeight="1"/>
    <row r="16724" ht="30" customHeight="1"/>
    <row r="16725" ht="30" customHeight="1"/>
    <row r="16726" ht="30" customHeight="1"/>
    <row r="16727" ht="30" customHeight="1"/>
    <row r="16728" ht="30" customHeight="1"/>
    <row r="16729" ht="30" customHeight="1"/>
    <row r="16730" ht="30" customHeight="1"/>
    <row r="16731" ht="30" customHeight="1"/>
    <row r="16732" ht="30" customHeight="1"/>
    <row r="16733" ht="30" customHeight="1"/>
    <row r="16734" ht="30" customHeight="1"/>
    <row r="16735" ht="30" customHeight="1"/>
    <row r="16736" ht="30" customHeight="1"/>
    <row r="16737" ht="30" customHeight="1"/>
    <row r="16738" ht="30" customHeight="1"/>
    <row r="16739" ht="30" customHeight="1"/>
    <row r="16740" ht="30" customHeight="1"/>
    <row r="16741" ht="30" customHeight="1"/>
    <row r="16742" ht="30" customHeight="1"/>
    <row r="16743" ht="30" customHeight="1"/>
    <row r="16744" ht="30" customHeight="1"/>
    <row r="16745" ht="30" customHeight="1"/>
    <row r="16746" ht="30" customHeight="1"/>
    <row r="16747" ht="30" customHeight="1"/>
    <row r="16748" ht="30" customHeight="1"/>
    <row r="16749" ht="30" customHeight="1"/>
    <row r="16750" ht="30" customHeight="1"/>
    <row r="16751" ht="30" customHeight="1"/>
    <row r="16752" ht="30" customHeight="1"/>
    <row r="16753" ht="30" customHeight="1"/>
    <row r="16754" ht="30" customHeight="1"/>
    <row r="16755" ht="30" customHeight="1"/>
    <row r="16756" ht="30" customHeight="1"/>
    <row r="16757" ht="30" customHeight="1"/>
    <row r="16758" ht="30" customHeight="1"/>
    <row r="16759" ht="30" customHeight="1"/>
    <row r="16760" ht="30" customHeight="1"/>
    <row r="16761" ht="30" customHeight="1"/>
    <row r="16762" ht="30" customHeight="1"/>
    <row r="16763" ht="30" customHeight="1"/>
    <row r="16764" ht="30" customHeight="1"/>
    <row r="16765" ht="30" customHeight="1"/>
    <row r="16766" ht="30" customHeight="1"/>
    <row r="16767" ht="30" customHeight="1"/>
    <row r="16768" ht="30" customHeight="1"/>
    <row r="16769" ht="30" customHeight="1"/>
    <row r="16770" ht="30" customHeight="1"/>
    <row r="16771" ht="30" customHeight="1"/>
    <row r="16772" ht="30" customHeight="1"/>
    <row r="16773" ht="30" customHeight="1"/>
    <row r="16774" ht="30" customHeight="1"/>
    <row r="16775" ht="30" customHeight="1"/>
    <row r="16776" ht="30" customHeight="1"/>
    <row r="16777" ht="30" customHeight="1"/>
    <row r="16778" ht="30" customHeight="1"/>
    <row r="16779" ht="30" customHeight="1"/>
    <row r="16780" ht="30" customHeight="1"/>
    <row r="16781" ht="30" customHeight="1"/>
    <row r="16782" ht="30" customHeight="1"/>
    <row r="16783" ht="30" customHeight="1"/>
    <row r="16784" ht="30" customHeight="1"/>
    <row r="16785" ht="30" customHeight="1"/>
    <row r="16786" ht="30" customHeight="1"/>
    <row r="16787" ht="30" customHeight="1"/>
    <row r="16788" ht="30" customHeight="1"/>
    <row r="16789" ht="30" customHeight="1"/>
    <row r="16790" ht="30" customHeight="1"/>
    <row r="16791" ht="30" customHeight="1"/>
    <row r="16792" ht="30" customHeight="1"/>
    <row r="16793" ht="30" customHeight="1"/>
    <row r="16794" ht="30" customHeight="1"/>
    <row r="16795" ht="30" customHeight="1"/>
    <row r="16796" ht="30" customHeight="1"/>
    <row r="16797" ht="30" customHeight="1"/>
    <row r="16798" ht="30" customHeight="1"/>
    <row r="16799" ht="30" customHeight="1"/>
    <row r="16800" ht="30" customHeight="1"/>
    <row r="16801" ht="30" customHeight="1"/>
    <row r="16802" ht="30" customHeight="1"/>
    <row r="16803" ht="30" customHeight="1"/>
    <row r="16804" ht="30" customHeight="1"/>
    <row r="16805" ht="30" customHeight="1"/>
    <row r="16806" ht="30" customHeight="1"/>
    <row r="16807" ht="30" customHeight="1"/>
    <row r="16808" ht="30" customHeight="1"/>
    <row r="16809" ht="30" customHeight="1"/>
    <row r="16810" ht="30" customHeight="1"/>
    <row r="16811" ht="30" customHeight="1"/>
    <row r="16812" ht="30" customHeight="1"/>
    <row r="16813" ht="30" customHeight="1"/>
    <row r="16814" ht="30" customHeight="1"/>
    <row r="16815" ht="30" customHeight="1"/>
    <row r="16816" ht="30" customHeight="1"/>
    <row r="16817" ht="30" customHeight="1"/>
    <row r="16818" ht="30" customHeight="1"/>
    <row r="16819" ht="30" customHeight="1"/>
    <row r="16820" ht="30" customHeight="1"/>
    <row r="16821" ht="30" customHeight="1"/>
    <row r="16822" ht="30" customHeight="1"/>
    <row r="16823" ht="30" customHeight="1"/>
    <row r="16824" ht="30" customHeight="1"/>
    <row r="16825" ht="30" customHeight="1"/>
    <row r="16826" ht="30" customHeight="1"/>
    <row r="16827" ht="30" customHeight="1"/>
    <row r="16828" ht="30" customHeight="1"/>
    <row r="16829" ht="30" customHeight="1"/>
    <row r="16830" ht="30" customHeight="1"/>
    <row r="16831" ht="30" customHeight="1"/>
    <row r="16832" ht="30" customHeight="1"/>
    <row r="16833" ht="30" customHeight="1"/>
    <row r="16834" ht="30" customHeight="1"/>
    <row r="16835" ht="30" customHeight="1"/>
    <row r="16836" ht="30" customHeight="1"/>
    <row r="16837" ht="30" customHeight="1"/>
    <row r="16838" ht="30" customHeight="1"/>
    <row r="16839" ht="30" customHeight="1"/>
    <row r="16840" ht="30" customHeight="1"/>
    <row r="16841" ht="30" customHeight="1"/>
    <row r="16842" ht="30" customHeight="1"/>
    <row r="16843" ht="30" customHeight="1"/>
    <row r="16844" ht="30" customHeight="1"/>
    <row r="16845" ht="30" customHeight="1"/>
    <row r="16846" ht="30" customHeight="1"/>
    <row r="16847" ht="30" customHeight="1"/>
    <row r="16848" ht="30" customHeight="1"/>
    <row r="16849" ht="30" customHeight="1"/>
    <row r="16850" ht="30" customHeight="1"/>
    <row r="16851" ht="30" customHeight="1"/>
    <row r="16852" ht="30" customHeight="1"/>
    <row r="16853" ht="30" customHeight="1"/>
    <row r="16854" ht="30" customHeight="1"/>
    <row r="16855" ht="30" customHeight="1"/>
    <row r="16856" ht="30" customHeight="1"/>
    <row r="16857" ht="30" customHeight="1"/>
    <row r="16858" ht="30" customHeight="1"/>
    <row r="16859" ht="30" customHeight="1"/>
    <row r="16860" ht="30" customHeight="1"/>
    <row r="16861" ht="30" customHeight="1"/>
    <row r="16862" ht="30" customHeight="1"/>
    <row r="16863" ht="30" customHeight="1"/>
    <row r="16864" ht="30" customHeight="1"/>
    <row r="16865" ht="30" customHeight="1"/>
    <row r="16866" ht="30" customHeight="1"/>
    <row r="16867" ht="30" customHeight="1"/>
    <row r="16868" ht="30" customHeight="1"/>
    <row r="16869" ht="30" customHeight="1"/>
    <row r="16870" ht="30" customHeight="1"/>
    <row r="16871" ht="30" customHeight="1"/>
    <row r="16872" ht="30" customHeight="1"/>
    <row r="16873" ht="30" customHeight="1"/>
    <row r="16874" ht="30" customHeight="1"/>
    <row r="16875" ht="30" customHeight="1"/>
    <row r="16876" ht="30" customHeight="1"/>
    <row r="16877" ht="30" customHeight="1"/>
    <row r="16878" ht="30" customHeight="1"/>
    <row r="16879" ht="30" customHeight="1"/>
    <row r="16880" ht="30" customHeight="1"/>
    <row r="16881" ht="30" customHeight="1"/>
    <row r="16882" ht="30" customHeight="1"/>
    <row r="16883" ht="30" customHeight="1"/>
    <row r="16884" ht="30" customHeight="1"/>
    <row r="16885" ht="30" customHeight="1"/>
    <row r="16886" ht="30" customHeight="1"/>
    <row r="16887" ht="30" customHeight="1"/>
    <row r="16888" ht="30" customHeight="1"/>
    <row r="16889" ht="30" customHeight="1"/>
    <row r="16890" ht="30" customHeight="1"/>
    <row r="16891" ht="30" customHeight="1"/>
    <row r="16892" ht="30" customHeight="1"/>
    <row r="16893" ht="30" customHeight="1"/>
    <row r="16894" ht="30" customHeight="1"/>
    <row r="16895" ht="30" customHeight="1"/>
    <row r="16896" ht="30" customHeight="1"/>
    <row r="16897" ht="30" customHeight="1"/>
    <row r="16898" ht="30" customHeight="1"/>
    <row r="16899" ht="30" customHeight="1"/>
    <row r="16900" ht="30" customHeight="1"/>
    <row r="16901" ht="30" customHeight="1"/>
    <row r="16902" ht="30" customHeight="1"/>
    <row r="16903" ht="30" customHeight="1"/>
    <row r="16904" ht="30" customHeight="1"/>
    <row r="16905" ht="30" customHeight="1"/>
    <row r="16906" ht="30" customHeight="1"/>
    <row r="16907" ht="30" customHeight="1"/>
    <row r="16908" ht="30" customHeight="1"/>
    <row r="16909" ht="30" customHeight="1"/>
    <row r="16910" ht="30" customHeight="1"/>
    <row r="16911" ht="30" customHeight="1"/>
    <row r="16912" ht="30" customHeight="1"/>
    <row r="16913" ht="30" customHeight="1"/>
    <row r="16914" ht="30" customHeight="1"/>
    <row r="16915" ht="30" customHeight="1"/>
    <row r="16916" ht="30" customHeight="1"/>
    <row r="16917" ht="30" customHeight="1"/>
    <row r="16918" ht="30" customHeight="1"/>
    <row r="16919" ht="30" customHeight="1"/>
    <row r="16920" ht="30" customHeight="1"/>
    <row r="16921" ht="30" customHeight="1"/>
    <row r="16922" ht="30" customHeight="1"/>
    <row r="16923" ht="30" customHeight="1"/>
    <row r="16924" ht="30" customHeight="1"/>
    <row r="16925" ht="30" customHeight="1"/>
    <row r="16926" ht="30" customHeight="1"/>
    <row r="16927" ht="30" customHeight="1"/>
    <row r="16928" ht="30" customHeight="1"/>
    <row r="16929" ht="30" customHeight="1"/>
    <row r="16930" ht="30" customHeight="1"/>
    <row r="16931" ht="30" customHeight="1"/>
    <row r="16932" ht="30" customHeight="1"/>
    <row r="16933" ht="30" customHeight="1"/>
    <row r="16934" ht="30" customHeight="1"/>
    <row r="16935" ht="30" customHeight="1"/>
    <row r="16936" ht="30" customHeight="1"/>
    <row r="16937" ht="30" customHeight="1"/>
    <row r="16938" ht="30" customHeight="1"/>
    <row r="16939" ht="30" customHeight="1"/>
    <row r="16940" ht="30" customHeight="1"/>
    <row r="16941" ht="30" customHeight="1"/>
    <row r="16942" ht="30" customHeight="1"/>
    <row r="16943" ht="30" customHeight="1"/>
    <row r="16944" ht="30" customHeight="1"/>
    <row r="16945" ht="30" customHeight="1"/>
    <row r="16946" ht="30" customHeight="1"/>
    <row r="16947" ht="30" customHeight="1"/>
    <row r="16948" ht="30" customHeight="1"/>
    <row r="16949" ht="30" customHeight="1"/>
    <row r="16950" ht="30" customHeight="1"/>
    <row r="16951" ht="30" customHeight="1"/>
    <row r="16952" ht="30" customHeight="1"/>
    <row r="16953" ht="30" customHeight="1"/>
    <row r="16954" ht="30" customHeight="1"/>
    <row r="16955" ht="30" customHeight="1"/>
    <row r="16956" ht="30" customHeight="1"/>
    <row r="16957" ht="30" customHeight="1"/>
    <row r="16958" ht="30" customHeight="1"/>
    <row r="16959" ht="30" customHeight="1"/>
    <row r="16960" ht="30" customHeight="1"/>
    <row r="16961" ht="30" customHeight="1"/>
    <row r="16962" ht="30" customHeight="1"/>
    <row r="16963" ht="30" customHeight="1"/>
    <row r="16964" ht="30" customHeight="1"/>
    <row r="16965" ht="30" customHeight="1"/>
    <row r="16966" ht="30" customHeight="1"/>
    <row r="16967" ht="30" customHeight="1"/>
    <row r="16968" ht="30" customHeight="1"/>
    <row r="16969" ht="30" customHeight="1"/>
    <row r="16970" ht="30" customHeight="1"/>
    <row r="16971" ht="30" customHeight="1"/>
    <row r="16972" ht="30" customHeight="1"/>
    <row r="16973" ht="30" customHeight="1"/>
    <row r="16974" ht="30" customHeight="1"/>
    <row r="16975" ht="30" customHeight="1"/>
    <row r="16976" ht="30" customHeight="1"/>
    <row r="16977" ht="30" customHeight="1"/>
    <row r="16978" ht="30" customHeight="1"/>
    <row r="16979" ht="30" customHeight="1"/>
    <row r="16980" ht="30" customHeight="1"/>
    <row r="16981" ht="30" customHeight="1"/>
    <row r="16982" ht="30" customHeight="1"/>
    <row r="16983" ht="30" customHeight="1"/>
    <row r="16984" ht="30" customHeight="1"/>
    <row r="16985" ht="30" customHeight="1"/>
    <row r="16986" ht="30" customHeight="1"/>
    <row r="16987" ht="30" customHeight="1"/>
    <row r="16988" ht="30" customHeight="1"/>
    <row r="16989" ht="30" customHeight="1"/>
    <row r="16990" ht="30" customHeight="1"/>
    <row r="16991" ht="30" customHeight="1"/>
    <row r="16992" ht="30" customHeight="1"/>
    <row r="16993" ht="30" customHeight="1"/>
    <row r="16994" ht="30" customHeight="1"/>
    <row r="16995" ht="30" customHeight="1"/>
    <row r="16996" ht="30" customHeight="1"/>
    <row r="16997" ht="30" customHeight="1"/>
    <row r="16998" ht="30" customHeight="1"/>
    <row r="16999" ht="30" customHeight="1"/>
    <row r="17000" ht="30" customHeight="1"/>
    <row r="17001" ht="30" customHeight="1"/>
    <row r="17002" ht="30" customHeight="1"/>
    <row r="17003" ht="30" customHeight="1"/>
    <row r="17004" ht="30" customHeight="1"/>
    <row r="17005" ht="30" customHeight="1"/>
    <row r="17006" ht="30" customHeight="1"/>
    <row r="17007" ht="30" customHeight="1"/>
    <row r="17008" ht="30" customHeight="1"/>
    <row r="17009" ht="30" customHeight="1"/>
    <row r="17010" ht="30" customHeight="1"/>
    <row r="17011" ht="30" customHeight="1"/>
    <row r="17012" ht="30" customHeight="1"/>
    <row r="17013" ht="30" customHeight="1"/>
    <row r="17014" ht="30" customHeight="1"/>
    <row r="17015" ht="30" customHeight="1"/>
    <row r="17016" ht="30" customHeight="1"/>
    <row r="17017" ht="30" customHeight="1"/>
    <row r="17018" ht="30" customHeight="1"/>
    <row r="17019" ht="30" customHeight="1"/>
    <row r="17020" ht="30" customHeight="1"/>
    <row r="17021" ht="30" customHeight="1"/>
    <row r="17022" ht="30" customHeight="1"/>
    <row r="17023" ht="30" customHeight="1"/>
    <row r="17024" ht="30" customHeight="1"/>
    <row r="17025" ht="30" customHeight="1"/>
    <row r="17026" ht="30" customHeight="1"/>
    <row r="17027" ht="30" customHeight="1"/>
    <row r="17028" ht="30" customHeight="1"/>
    <row r="17029" ht="30" customHeight="1"/>
    <row r="17030" ht="30" customHeight="1"/>
    <row r="17031" ht="30" customHeight="1"/>
    <row r="17032" ht="30" customHeight="1"/>
    <row r="17033" ht="30" customHeight="1"/>
    <row r="17034" ht="30" customHeight="1"/>
    <row r="17035" ht="30" customHeight="1"/>
    <row r="17036" ht="30" customHeight="1"/>
    <row r="17037" ht="30" customHeight="1"/>
    <row r="17038" ht="30" customHeight="1"/>
    <row r="17039" ht="30" customHeight="1"/>
    <row r="17040" ht="30" customHeight="1"/>
    <row r="17041" ht="30" customHeight="1"/>
    <row r="17042" ht="30" customHeight="1"/>
    <row r="17043" ht="30" customHeight="1"/>
    <row r="17044" ht="30" customHeight="1"/>
    <row r="17045" ht="30" customHeight="1"/>
    <row r="17046" ht="30" customHeight="1"/>
    <row r="17047" ht="30" customHeight="1"/>
    <row r="17048" ht="30" customHeight="1"/>
    <row r="17049" ht="30" customHeight="1"/>
    <row r="17050" ht="30" customHeight="1"/>
    <row r="17051" ht="30" customHeight="1"/>
    <row r="17052" ht="30" customHeight="1"/>
    <row r="17053" ht="30" customHeight="1"/>
    <row r="17054" ht="30" customHeight="1"/>
    <row r="17055" ht="30" customHeight="1"/>
    <row r="17056" ht="30" customHeight="1"/>
    <row r="17057" ht="30" customHeight="1"/>
    <row r="17058" ht="30" customHeight="1"/>
    <row r="17059" ht="30" customHeight="1"/>
    <row r="17060" ht="30" customHeight="1"/>
    <row r="17061" ht="30" customHeight="1"/>
    <row r="17062" ht="30" customHeight="1"/>
    <row r="17063" ht="30" customHeight="1"/>
    <row r="17064" ht="30" customHeight="1"/>
    <row r="17065" ht="30" customHeight="1"/>
    <row r="17066" ht="30" customHeight="1"/>
    <row r="17067" ht="30" customHeight="1"/>
    <row r="17068" ht="30" customHeight="1"/>
    <row r="17069" ht="30" customHeight="1"/>
    <row r="17070" ht="30" customHeight="1"/>
    <row r="17071" ht="30" customHeight="1"/>
    <row r="17072" ht="30" customHeight="1"/>
    <row r="17073" ht="30" customHeight="1"/>
    <row r="17074" ht="30" customHeight="1"/>
    <row r="17075" ht="30" customHeight="1"/>
    <row r="17076" ht="30" customHeight="1"/>
    <row r="17077" ht="30" customHeight="1"/>
    <row r="17078" ht="30" customHeight="1"/>
    <row r="17079" ht="30" customHeight="1"/>
    <row r="17080" ht="30" customHeight="1"/>
    <row r="17081" ht="30" customHeight="1"/>
    <row r="17082" ht="30" customHeight="1"/>
    <row r="17083" ht="30" customHeight="1"/>
    <row r="17084" ht="30" customHeight="1"/>
    <row r="17085" ht="30" customHeight="1"/>
    <row r="17086" ht="30" customHeight="1"/>
    <row r="17087" ht="30" customHeight="1"/>
    <row r="17088" ht="30" customHeight="1"/>
    <row r="17089" ht="30" customHeight="1"/>
    <row r="17090" ht="30" customHeight="1"/>
    <row r="17091" ht="30" customHeight="1"/>
    <row r="17092" ht="30" customHeight="1"/>
    <row r="17093" ht="30" customHeight="1"/>
    <row r="17094" ht="30" customHeight="1"/>
    <row r="17095" ht="30" customHeight="1"/>
    <row r="17096" ht="30" customHeight="1"/>
    <row r="17097" ht="30" customHeight="1"/>
    <row r="17098" ht="30" customHeight="1"/>
    <row r="17099" ht="30" customHeight="1"/>
    <row r="17100" ht="30" customHeight="1"/>
    <row r="17101" ht="30" customHeight="1"/>
    <row r="17102" ht="30" customHeight="1"/>
    <row r="17103" ht="30" customHeight="1"/>
    <row r="17104" ht="30" customHeight="1"/>
    <row r="17105" ht="30" customHeight="1"/>
    <row r="17106" ht="30" customHeight="1"/>
    <row r="17107" ht="30" customHeight="1"/>
    <row r="17108" ht="30" customHeight="1"/>
    <row r="17109" ht="30" customHeight="1"/>
    <row r="17110" ht="30" customHeight="1"/>
    <row r="17111" ht="30" customHeight="1"/>
    <row r="17112" ht="30" customHeight="1"/>
    <row r="17113" ht="30" customHeight="1"/>
    <row r="17114" ht="30" customHeight="1"/>
    <row r="17115" ht="30" customHeight="1"/>
    <row r="17116" ht="30" customHeight="1"/>
    <row r="17117" ht="30" customHeight="1"/>
    <row r="17118" ht="30" customHeight="1"/>
    <row r="17119" ht="30" customHeight="1"/>
    <row r="17120" ht="30" customHeight="1"/>
    <row r="17121" ht="30" customHeight="1"/>
    <row r="17122" ht="30" customHeight="1"/>
    <row r="17123" ht="30" customHeight="1"/>
    <row r="17124" ht="30" customHeight="1"/>
    <row r="17125" ht="30" customHeight="1"/>
    <row r="17126" ht="30" customHeight="1"/>
    <row r="17127" ht="30" customHeight="1"/>
    <row r="17128" ht="30" customHeight="1"/>
    <row r="17129" ht="30" customHeight="1"/>
    <row r="17130" ht="30" customHeight="1"/>
    <row r="17131" ht="30" customHeight="1"/>
    <row r="17132" ht="30" customHeight="1"/>
    <row r="17133" ht="30" customHeight="1"/>
    <row r="17134" ht="30" customHeight="1"/>
    <row r="17135" ht="30" customHeight="1"/>
    <row r="17136" ht="30" customHeight="1"/>
    <row r="17137" ht="30" customHeight="1"/>
    <row r="17138" ht="30" customHeight="1"/>
    <row r="17139" ht="30" customHeight="1"/>
    <row r="17140" ht="30" customHeight="1"/>
    <row r="17141" ht="30" customHeight="1"/>
    <row r="17142" ht="30" customHeight="1"/>
    <row r="17143" ht="30" customHeight="1"/>
    <row r="17144" ht="30" customHeight="1"/>
    <row r="17145" ht="30" customHeight="1"/>
    <row r="17146" ht="30" customHeight="1"/>
    <row r="17147" ht="30" customHeight="1"/>
    <row r="17148" ht="30" customHeight="1"/>
    <row r="17149" ht="30" customHeight="1"/>
    <row r="17150" ht="30" customHeight="1"/>
    <row r="17151" ht="30" customHeight="1"/>
    <row r="17152" ht="30" customHeight="1"/>
    <row r="17153" ht="30" customHeight="1"/>
    <row r="17154" ht="30" customHeight="1"/>
    <row r="17155" ht="30" customHeight="1"/>
    <row r="17156" ht="30" customHeight="1"/>
    <row r="17157" ht="30" customHeight="1"/>
    <row r="17158" ht="30" customHeight="1"/>
    <row r="17159" ht="30" customHeight="1"/>
    <row r="17160" ht="30" customHeight="1"/>
    <row r="17161" ht="30" customHeight="1"/>
    <row r="17162" ht="30" customHeight="1"/>
    <row r="17163" ht="30" customHeight="1"/>
    <row r="17164" ht="30" customHeight="1"/>
    <row r="17165" ht="30" customHeight="1"/>
    <row r="17166" ht="30" customHeight="1"/>
    <row r="17167" ht="30" customHeight="1"/>
    <row r="17168" ht="30" customHeight="1"/>
    <row r="17169" ht="30" customHeight="1"/>
    <row r="17170" ht="30" customHeight="1"/>
    <row r="17171" ht="30" customHeight="1"/>
    <row r="17172" ht="30" customHeight="1"/>
    <row r="17173" ht="30" customHeight="1"/>
    <row r="17174" ht="30" customHeight="1"/>
    <row r="17175" ht="30" customHeight="1"/>
    <row r="17176" ht="30" customHeight="1"/>
    <row r="17177" ht="30" customHeight="1"/>
    <row r="17178" ht="30" customHeight="1"/>
    <row r="17179" ht="30" customHeight="1"/>
    <row r="17180" ht="30" customHeight="1"/>
    <row r="17181" ht="30" customHeight="1"/>
    <row r="17182" ht="30" customHeight="1"/>
    <row r="17183" ht="30" customHeight="1"/>
    <row r="17184" ht="30" customHeight="1"/>
    <row r="17185" ht="30" customHeight="1"/>
    <row r="17186" ht="30" customHeight="1"/>
    <row r="17187" ht="30" customHeight="1"/>
    <row r="17188" ht="30" customHeight="1"/>
    <row r="17189" ht="30" customHeight="1"/>
    <row r="17190" ht="30" customHeight="1"/>
    <row r="17191" ht="30" customHeight="1"/>
    <row r="17192" ht="30" customHeight="1"/>
    <row r="17193" ht="30" customHeight="1"/>
    <row r="17194" ht="30" customHeight="1"/>
    <row r="17195" ht="30" customHeight="1"/>
    <row r="17196" ht="30" customHeight="1"/>
    <row r="17197" ht="30" customHeight="1"/>
    <row r="17198" ht="30" customHeight="1"/>
    <row r="17199" ht="30" customHeight="1"/>
    <row r="17200" ht="30" customHeight="1"/>
    <row r="17201" ht="30" customHeight="1"/>
    <row r="17202" ht="30" customHeight="1"/>
    <row r="17203" ht="30" customHeight="1"/>
    <row r="17204" ht="30" customHeight="1"/>
    <row r="17205" ht="30" customHeight="1"/>
    <row r="17206" ht="30" customHeight="1"/>
    <row r="17207" ht="30" customHeight="1"/>
    <row r="17208" ht="30" customHeight="1"/>
    <row r="17209" ht="30" customHeight="1"/>
    <row r="17210" ht="30" customHeight="1"/>
    <row r="17211" ht="30" customHeight="1"/>
    <row r="17212" ht="30" customHeight="1"/>
    <row r="17213" ht="30" customHeight="1"/>
    <row r="17214" ht="30" customHeight="1"/>
    <row r="17215" ht="30" customHeight="1"/>
    <row r="17216" ht="30" customHeight="1"/>
    <row r="17217" ht="30" customHeight="1"/>
    <row r="17218" ht="30" customHeight="1"/>
    <row r="17219" ht="30" customHeight="1"/>
    <row r="17220" ht="30" customHeight="1"/>
    <row r="17221" ht="30" customHeight="1"/>
    <row r="17222" ht="30" customHeight="1"/>
    <row r="17223" ht="30" customHeight="1"/>
    <row r="17224" ht="30" customHeight="1"/>
    <row r="17225" ht="30" customHeight="1"/>
    <row r="17226" ht="30" customHeight="1"/>
    <row r="17227" ht="30" customHeight="1"/>
    <row r="17228" ht="30" customHeight="1"/>
    <row r="17229" ht="30" customHeight="1"/>
    <row r="17230" ht="30" customHeight="1"/>
    <row r="17231" ht="30" customHeight="1"/>
    <row r="17232" ht="30" customHeight="1"/>
    <row r="17233" ht="30" customHeight="1"/>
    <row r="17234" ht="30" customHeight="1"/>
    <row r="17235" ht="30" customHeight="1"/>
    <row r="17236" ht="30" customHeight="1"/>
    <row r="17237" ht="30" customHeight="1"/>
    <row r="17238" ht="30" customHeight="1"/>
    <row r="17239" ht="30" customHeight="1"/>
    <row r="17240" ht="30" customHeight="1"/>
    <row r="17241" ht="30" customHeight="1"/>
    <row r="17242" ht="30" customHeight="1"/>
    <row r="17243" ht="30" customHeight="1"/>
    <row r="17244" ht="30" customHeight="1"/>
    <row r="17245" ht="30" customHeight="1"/>
    <row r="17246" ht="30" customHeight="1"/>
    <row r="17247" ht="30" customHeight="1"/>
    <row r="17248" ht="30" customHeight="1"/>
    <row r="17249" ht="30" customHeight="1"/>
    <row r="17250" ht="30" customHeight="1"/>
    <row r="17251" ht="30" customHeight="1"/>
    <row r="17252" ht="30" customHeight="1"/>
    <row r="17253" ht="30" customHeight="1"/>
    <row r="17254" ht="30" customHeight="1"/>
    <row r="17255" ht="30" customHeight="1"/>
    <row r="17256" ht="30" customHeight="1"/>
    <row r="17257" ht="30" customHeight="1"/>
    <row r="17258" ht="30" customHeight="1"/>
    <row r="17259" ht="30" customHeight="1"/>
    <row r="17260" ht="30" customHeight="1"/>
    <row r="17261" ht="30" customHeight="1"/>
    <row r="17262" ht="30" customHeight="1"/>
    <row r="17263" ht="30" customHeight="1"/>
    <row r="17264" ht="30" customHeight="1"/>
    <row r="17265" ht="30" customHeight="1"/>
    <row r="17266" ht="30" customHeight="1"/>
    <row r="17267" ht="30" customHeight="1"/>
    <row r="17268" ht="30" customHeight="1"/>
    <row r="17269" ht="30" customHeight="1"/>
    <row r="17270" ht="30" customHeight="1"/>
    <row r="17271" ht="30" customHeight="1"/>
    <row r="17272" ht="30" customHeight="1"/>
    <row r="17273" ht="30" customHeight="1"/>
    <row r="17274" ht="30" customHeight="1"/>
    <row r="17275" ht="30" customHeight="1"/>
    <row r="17276" ht="30" customHeight="1"/>
    <row r="17277" ht="30" customHeight="1"/>
    <row r="17278" ht="30" customHeight="1"/>
    <row r="17279" ht="30" customHeight="1"/>
    <row r="17280" ht="30" customHeight="1"/>
    <row r="17281" ht="30" customHeight="1"/>
    <row r="17282" ht="30" customHeight="1"/>
    <row r="17283" ht="30" customHeight="1"/>
    <row r="17284" ht="30" customHeight="1"/>
    <row r="17285" ht="30" customHeight="1"/>
    <row r="17286" ht="30" customHeight="1"/>
    <row r="17287" ht="30" customHeight="1"/>
    <row r="17288" ht="30" customHeight="1"/>
    <row r="17289" ht="30" customHeight="1"/>
    <row r="17290" ht="30" customHeight="1"/>
    <row r="17291" ht="30" customHeight="1"/>
    <row r="17292" ht="30" customHeight="1"/>
    <row r="17293" ht="30" customHeight="1"/>
    <row r="17294" ht="30" customHeight="1"/>
    <row r="17295" ht="30" customHeight="1"/>
    <row r="17296" ht="30" customHeight="1"/>
    <row r="17297" ht="30" customHeight="1"/>
    <row r="17298" ht="30" customHeight="1"/>
    <row r="17299" ht="30" customHeight="1"/>
    <row r="17300" ht="30" customHeight="1"/>
    <row r="17301" ht="30" customHeight="1"/>
    <row r="17302" ht="30" customHeight="1"/>
    <row r="17303" ht="30" customHeight="1"/>
    <row r="17304" ht="30" customHeight="1"/>
    <row r="17305" ht="30" customHeight="1"/>
    <row r="17306" ht="30" customHeight="1"/>
    <row r="17307" ht="30" customHeight="1"/>
    <row r="17308" ht="30" customHeight="1"/>
    <row r="17309" ht="30" customHeight="1"/>
    <row r="17310" ht="30" customHeight="1"/>
    <row r="17311" ht="30" customHeight="1"/>
    <row r="17312" ht="30" customHeight="1"/>
    <row r="17313" ht="30" customHeight="1"/>
    <row r="17314" ht="30" customHeight="1"/>
    <row r="17315" ht="30" customHeight="1"/>
    <row r="17316" ht="30" customHeight="1"/>
    <row r="17317" ht="30" customHeight="1"/>
    <row r="17318" ht="30" customHeight="1"/>
    <row r="17319" ht="30" customHeight="1"/>
    <row r="17320" ht="30" customHeight="1"/>
    <row r="17321" ht="30" customHeight="1"/>
    <row r="17322" ht="30" customHeight="1"/>
    <row r="17323" ht="30" customHeight="1"/>
    <row r="17324" ht="30" customHeight="1"/>
    <row r="17325" ht="30" customHeight="1"/>
    <row r="17326" ht="30" customHeight="1"/>
    <row r="17327" ht="30" customHeight="1"/>
    <row r="17328" ht="30" customHeight="1"/>
    <row r="17329" ht="30" customHeight="1"/>
    <row r="17330" ht="30" customHeight="1"/>
    <row r="17331" ht="30" customHeight="1"/>
    <row r="17332" ht="30" customHeight="1"/>
    <row r="17333" ht="30" customHeight="1"/>
    <row r="17334" ht="30" customHeight="1"/>
    <row r="17335" ht="30" customHeight="1"/>
    <row r="17336" ht="30" customHeight="1"/>
    <row r="17337" ht="30" customHeight="1"/>
    <row r="17338" ht="30" customHeight="1"/>
    <row r="17339" ht="30" customHeight="1"/>
    <row r="17340" ht="30" customHeight="1"/>
    <row r="17341" ht="30" customHeight="1"/>
    <row r="17342" ht="30" customHeight="1"/>
    <row r="17343" ht="30" customHeight="1"/>
    <row r="17344" ht="30" customHeight="1"/>
    <row r="17345" ht="30" customHeight="1"/>
    <row r="17346" ht="30" customHeight="1"/>
    <row r="17347" ht="30" customHeight="1"/>
    <row r="17348" ht="30" customHeight="1"/>
    <row r="17349" ht="30" customHeight="1"/>
    <row r="17350" ht="30" customHeight="1"/>
    <row r="17351" ht="30" customHeight="1"/>
    <row r="17352" ht="30" customHeight="1"/>
    <row r="17353" ht="30" customHeight="1"/>
    <row r="17354" ht="30" customHeight="1"/>
    <row r="17355" ht="30" customHeight="1"/>
    <row r="17356" ht="30" customHeight="1"/>
    <row r="17357" ht="30" customHeight="1"/>
    <row r="17358" ht="30" customHeight="1"/>
    <row r="17359" ht="30" customHeight="1"/>
    <row r="17360" ht="30" customHeight="1"/>
    <row r="17361" ht="30" customHeight="1"/>
    <row r="17362" ht="30" customHeight="1"/>
    <row r="17363" ht="30" customHeight="1"/>
    <row r="17364" ht="30" customHeight="1"/>
    <row r="17365" ht="30" customHeight="1"/>
    <row r="17366" ht="30" customHeight="1"/>
    <row r="17367" ht="30" customHeight="1"/>
    <row r="17368" ht="30" customHeight="1"/>
    <row r="17369" ht="30" customHeight="1"/>
    <row r="17370" ht="30" customHeight="1"/>
    <row r="17371" ht="30" customHeight="1"/>
    <row r="17372" ht="30" customHeight="1"/>
    <row r="17373" ht="30" customHeight="1"/>
    <row r="17374" ht="30" customHeight="1"/>
    <row r="17375" ht="30" customHeight="1"/>
    <row r="17376" ht="30" customHeight="1"/>
    <row r="17377" ht="30" customHeight="1"/>
    <row r="17378" ht="30" customHeight="1"/>
    <row r="17379" ht="30" customHeight="1"/>
    <row r="17380" ht="30" customHeight="1"/>
    <row r="17381" ht="30" customHeight="1"/>
    <row r="17382" ht="30" customHeight="1"/>
    <row r="17383" ht="30" customHeight="1"/>
    <row r="17384" ht="30" customHeight="1"/>
    <row r="17385" ht="30" customHeight="1"/>
    <row r="17386" ht="30" customHeight="1"/>
    <row r="17387" ht="30" customHeight="1"/>
    <row r="17388" ht="30" customHeight="1"/>
    <row r="17389" ht="30" customHeight="1"/>
    <row r="17390" ht="30" customHeight="1"/>
    <row r="17391" ht="30" customHeight="1"/>
    <row r="17392" ht="30" customHeight="1"/>
    <row r="17393" ht="30" customHeight="1"/>
    <row r="17394" ht="30" customHeight="1"/>
    <row r="17395" ht="30" customHeight="1"/>
    <row r="17396" ht="30" customHeight="1"/>
    <row r="17397" ht="30" customHeight="1"/>
    <row r="17398" ht="30" customHeight="1"/>
    <row r="17399" ht="30" customHeight="1"/>
    <row r="17400" ht="30" customHeight="1"/>
    <row r="17401" ht="30" customHeight="1"/>
    <row r="17402" ht="30" customHeight="1"/>
    <row r="17403" ht="30" customHeight="1"/>
    <row r="17404" ht="30" customHeight="1"/>
    <row r="17405" ht="30" customHeight="1"/>
    <row r="17406" ht="30" customHeight="1"/>
    <row r="17407" ht="30" customHeight="1"/>
    <row r="17408" ht="30" customHeight="1"/>
    <row r="17409" ht="30" customHeight="1"/>
    <row r="17410" ht="30" customHeight="1"/>
    <row r="17411" ht="30" customHeight="1"/>
    <row r="17412" ht="30" customHeight="1"/>
    <row r="17413" ht="30" customHeight="1"/>
    <row r="17414" ht="30" customHeight="1"/>
    <row r="17415" ht="30" customHeight="1"/>
    <row r="17416" ht="30" customHeight="1"/>
    <row r="17417" ht="30" customHeight="1"/>
    <row r="17418" ht="30" customHeight="1"/>
    <row r="17419" ht="30" customHeight="1"/>
    <row r="17420" ht="30" customHeight="1"/>
    <row r="17421" ht="30" customHeight="1"/>
    <row r="17422" ht="30" customHeight="1"/>
    <row r="17423" ht="30" customHeight="1"/>
    <row r="17424" ht="30" customHeight="1"/>
    <row r="17425" ht="30" customHeight="1"/>
    <row r="17426" ht="30" customHeight="1"/>
    <row r="17427" ht="30" customHeight="1"/>
    <row r="17428" ht="30" customHeight="1"/>
    <row r="17429" ht="30" customHeight="1"/>
    <row r="17430" ht="30" customHeight="1"/>
    <row r="17431" ht="30" customHeight="1"/>
    <row r="17432" ht="30" customHeight="1"/>
    <row r="17433" ht="30" customHeight="1"/>
    <row r="17434" ht="30" customHeight="1"/>
    <row r="17435" ht="30" customHeight="1"/>
    <row r="17436" ht="30" customHeight="1"/>
    <row r="17437" ht="30" customHeight="1"/>
    <row r="17438" ht="30" customHeight="1"/>
    <row r="17439" ht="30" customHeight="1"/>
    <row r="17440" ht="30" customHeight="1"/>
    <row r="17441" ht="30" customHeight="1"/>
    <row r="17442" ht="30" customHeight="1"/>
    <row r="17443" ht="30" customHeight="1"/>
    <row r="17444" ht="30" customHeight="1"/>
    <row r="17445" ht="30" customHeight="1"/>
    <row r="17446" ht="30" customHeight="1"/>
    <row r="17447" ht="30" customHeight="1"/>
    <row r="17448" ht="30" customHeight="1"/>
    <row r="17449" ht="30" customHeight="1"/>
    <row r="17450" ht="30" customHeight="1"/>
    <row r="17451" ht="30" customHeight="1"/>
    <row r="17452" ht="30" customHeight="1"/>
    <row r="17453" ht="30" customHeight="1"/>
    <row r="17454" ht="30" customHeight="1"/>
    <row r="17455" ht="30" customHeight="1"/>
    <row r="17456" ht="30" customHeight="1"/>
    <row r="17457" ht="30" customHeight="1"/>
    <row r="17458" ht="30" customHeight="1"/>
    <row r="17459" ht="30" customHeight="1"/>
    <row r="17460" ht="30" customHeight="1"/>
    <row r="17461" ht="30" customHeight="1"/>
    <row r="17462" ht="30" customHeight="1"/>
    <row r="17463" ht="30" customHeight="1"/>
    <row r="17464" ht="30" customHeight="1"/>
    <row r="17465" ht="30" customHeight="1"/>
    <row r="17466" ht="30" customHeight="1"/>
    <row r="17467" ht="30" customHeight="1"/>
    <row r="17468" ht="30" customHeight="1"/>
    <row r="17469" ht="30" customHeight="1"/>
    <row r="17470" ht="30" customHeight="1"/>
    <row r="17471" ht="30" customHeight="1"/>
    <row r="17472" ht="30" customHeight="1"/>
    <row r="17473" ht="30" customHeight="1"/>
    <row r="17474" ht="30" customHeight="1"/>
    <row r="17475" ht="30" customHeight="1"/>
    <row r="17476" ht="30" customHeight="1"/>
    <row r="17477" ht="30" customHeight="1"/>
    <row r="17478" ht="30" customHeight="1"/>
    <row r="17479" ht="30" customHeight="1"/>
    <row r="17480" ht="30" customHeight="1"/>
    <row r="17481" ht="30" customHeight="1"/>
    <row r="17482" ht="30" customHeight="1"/>
    <row r="17483" ht="30" customHeight="1"/>
    <row r="17484" ht="30" customHeight="1"/>
    <row r="17485" ht="30" customHeight="1"/>
    <row r="17486" ht="30" customHeight="1"/>
    <row r="17487" ht="30" customHeight="1"/>
    <row r="17488" ht="30" customHeight="1"/>
    <row r="17489" ht="30" customHeight="1"/>
    <row r="17490" ht="30" customHeight="1"/>
    <row r="17491" ht="30" customHeight="1"/>
    <row r="17492" ht="30" customHeight="1"/>
    <row r="17493" ht="30" customHeight="1"/>
    <row r="17494" ht="30" customHeight="1"/>
    <row r="17495" ht="30" customHeight="1"/>
    <row r="17496" ht="30" customHeight="1"/>
    <row r="17497" ht="30" customHeight="1"/>
    <row r="17498" ht="30" customHeight="1"/>
    <row r="17499" ht="30" customHeight="1"/>
    <row r="17500" ht="30" customHeight="1"/>
    <row r="17501" ht="30" customHeight="1"/>
    <row r="17502" ht="30" customHeight="1"/>
    <row r="17503" ht="30" customHeight="1"/>
    <row r="17504" ht="30" customHeight="1"/>
    <row r="17505" ht="30" customHeight="1"/>
    <row r="17506" ht="30" customHeight="1"/>
    <row r="17507" ht="30" customHeight="1"/>
    <row r="17508" ht="30" customHeight="1"/>
    <row r="17509" ht="30" customHeight="1"/>
    <row r="17510" ht="30" customHeight="1"/>
    <row r="17511" ht="30" customHeight="1"/>
    <row r="17512" ht="30" customHeight="1"/>
    <row r="17513" ht="30" customHeight="1"/>
    <row r="17514" ht="30" customHeight="1"/>
    <row r="17515" ht="30" customHeight="1"/>
    <row r="17516" ht="30" customHeight="1"/>
    <row r="17517" ht="30" customHeight="1"/>
    <row r="17518" ht="30" customHeight="1"/>
    <row r="17519" ht="30" customHeight="1"/>
    <row r="17520" ht="30" customHeight="1"/>
    <row r="17521" ht="30" customHeight="1"/>
    <row r="17522" ht="30" customHeight="1"/>
    <row r="17523" ht="30" customHeight="1"/>
    <row r="17524" ht="30" customHeight="1"/>
    <row r="17525" ht="30" customHeight="1"/>
    <row r="17526" ht="30" customHeight="1"/>
    <row r="17527" ht="30" customHeight="1"/>
    <row r="17528" ht="30" customHeight="1"/>
    <row r="17529" ht="30" customHeight="1"/>
    <row r="17530" ht="30" customHeight="1"/>
    <row r="17531" ht="30" customHeight="1"/>
    <row r="17532" ht="30" customHeight="1"/>
    <row r="17533" ht="30" customHeight="1"/>
    <row r="17534" ht="30" customHeight="1"/>
    <row r="17535" ht="30" customHeight="1"/>
    <row r="17536" ht="30" customHeight="1"/>
    <row r="17537" ht="30" customHeight="1"/>
    <row r="17538" ht="30" customHeight="1"/>
    <row r="17539" ht="30" customHeight="1"/>
    <row r="17540" ht="30" customHeight="1"/>
    <row r="17541" ht="30" customHeight="1"/>
    <row r="17542" ht="30" customHeight="1"/>
    <row r="17543" ht="30" customHeight="1"/>
    <row r="17544" ht="30" customHeight="1"/>
    <row r="17545" ht="30" customHeight="1"/>
    <row r="17546" ht="30" customHeight="1"/>
    <row r="17547" ht="30" customHeight="1"/>
    <row r="17548" ht="30" customHeight="1"/>
    <row r="17549" ht="30" customHeight="1"/>
    <row r="17550" ht="30" customHeight="1"/>
    <row r="17551" ht="30" customHeight="1"/>
    <row r="17552" ht="30" customHeight="1"/>
    <row r="17553" ht="30" customHeight="1"/>
    <row r="17554" ht="30" customHeight="1"/>
    <row r="17555" ht="30" customHeight="1"/>
    <row r="17556" ht="30" customHeight="1"/>
    <row r="17557" ht="30" customHeight="1"/>
    <row r="17558" ht="30" customHeight="1"/>
    <row r="17559" ht="30" customHeight="1"/>
    <row r="17560" ht="30" customHeight="1"/>
    <row r="17561" ht="30" customHeight="1"/>
    <row r="17562" ht="30" customHeight="1"/>
    <row r="17563" ht="30" customHeight="1"/>
    <row r="17564" ht="30" customHeight="1"/>
    <row r="17565" ht="30" customHeight="1"/>
    <row r="17566" ht="30" customHeight="1"/>
    <row r="17567" ht="30" customHeight="1"/>
    <row r="17568" ht="30" customHeight="1"/>
    <row r="17569" ht="30" customHeight="1"/>
    <row r="17570" ht="30" customHeight="1"/>
    <row r="17571" ht="30" customHeight="1"/>
    <row r="17572" ht="30" customHeight="1"/>
    <row r="17573" ht="30" customHeight="1"/>
    <row r="17574" ht="30" customHeight="1"/>
    <row r="17575" ht="30" customHeight="1"/>
    <row r="17576" ht="30" customHeight="1"/>
    <row r="17577" ht="30" customHeight="1"/>
    <row r="17578" ht="30" customHeight="1"/>
    <row r="17579" ht="30" customHeight="1"/>
    <row r="17580" ht="30" customHeight="1"/>
    <row r="17581" ht="30" customHeight="1"/>
    <row r="17582" ht="30" customHeight="1"/>
    <row r="17583" ht="30" customHeight="1"/>
    <row r="17584" ht="30" customHeight="1"/>
    <row r="17585" ht="30" customHeight="1"/>
    <row r="17586" ht="30" customHeight="1"/>
    <row r="17587" ht="30" customHeight="1"/>
    <row r="17588" ht="30" customHeight="1"/>
    <row r="17589" ht="30" customHeight="1"/>
    <row r="17590" ht="30" customHeight="1"/>
    <row r="17591" ht="30" customHeight="1"/>
    <row r="17592" ht="30" customHeight="1"/>
    <row r="17593" ht="30" customHeight="1"/>
    <row r="17594" ht="30" customHeight="1"/>
    <row r="17595" ht="30" customHeight="1"/>
    <row r="17596" ht="30" customHeight="1"/>
    <row r="17597" ht="30" customHeight="1"/>
    <row r="17598" ht="30" customHeight="1"/>
    <row r="17599" ht="30" customHeight="1"/>
    <row r="17600" ht="30" customHeight="1"/>
    <row r="17601" ht="30" customHeight="1"/>
    <row r="17602" ht="30" customHeight="1"/>
    <row r="17603" ht="30" customHeight="1"/>
    <row r="17604" ht="30" customHeight="1"/>
    <row r="17605" ht="30" customHeight="1"/>
    <row r="17606" ht="30" customHeight="1"/>
    <row r="17607" ht="30" customHeight="1"/>
    <row r="17608" ht="30" customHeight="1"/>
    <row r="17609" ht="30" customHeight="1"/>
    <row r="17610" ht="30" customHeight="1"/>
    <row r="17611" ht="30" customHeight="1"/>
    <row r="17612" ht="30" customHeight="1"/>
    <row r="17613" ht="30" customHeight="1"/>
    <row r="17614" ht="30" customHeight="1"/>
    <row r="17615" ht="30" customHeight="1"/>
    <row r="17616" ht="30" customHeight="1"/>
    <row r="17617" ht="30" customHeight="1"/>
    <row r="17618" ht="30" customHeight="1"/>
    <row r="17619" ht="30" customHeight="1"/>
    <row r="17620" ht="30" customHeight="1"/>
    <row r="17621" ht="30" customHeight="1"/>
    <row r="17622" ht="30" customHeight="1"/>
    <row r="17623" ht="30" customHeight="1"/>
    <row r="17624" ht="30" customHeight="1"/>
    <row r="17625" ht="30" customHeight="1"/>
    <row r="17626" ht="30" customHeight="1"/>
    <row r="17627" ht="30" customHeight="1"/>
    <row r="17628" ht="30" customHeight="1"/>
    <row r="17629" ht="30" customHeight="1"/>
    <row r="17630" ht="30" customHeight="1"/>
    <row r="17631" ht="30" customHeight="1"/>
    <row r="17632" ht="30" customHeight="1"/>
    <row r="17633" ht="30" customHeight="1"/>
    <row r="17634" ht="30" customHeight="1"/>
    <row r="17635" ht="30" customHeight="1"/>
    <row r="17636" ht="30" customHeight="1"/>
    <row r="17637" ht="30" customHeight="1"/>
    <row r="17638" ht="30" customHeight="1"/>
    <row r="17639" ht="30" customHeight="1"/>
    <row r="17640" ht="30" customHeight="1"/>
    <row r="17641" ht="30" customHeight="1"/>
    <row r="17642" ht="30" customHeight="1"/>
    <row r="17643" ht="30" customHeight="1"/>
    <row r="17644" ht="30" customHeight="1"/>
    <row r="17645" ht="30" customHeight="1"/>
    <row r="17646" ht="30" customHeight="1"/>
    <row r="17647" ht="30" customHeight="1"/>
    <row r="17648" ht="30" customHeight="1"/>
    <row r="17649" ht="30" customHeight="1"/>
    <row r="17650" ht="30" customHeight="1"/>
    <row r="17651" ht="30" customHeight="1"/>
    <row r="17652" ht="30" customHeight="1"/>
    <row r="17653" ht="30" customHeight="1"/>
    <row r="17654" ht="30" customHeight="1"/>
    <row r="17655" ht="30" customHeight="1"/>
    <row r="17656" ht="30" customHeight="1"/>
    <row r="17657" ht="30" customHeight="1"/>
    <row r="17658" ht="30" customHeight="1"/>
    <row r="17659" ht="30" customHeight="1"/>
    <row r="17660" ht="30" customHeight="1"/>
    <row r="17661" ht="30" customHeight="1"/>
    <row r="17662" ht="30" customHeight="1"/>
    <row r="17663" ht="30" customHeight="1"/>
    <row r="17664" ht="30" customHeight="1"/>
    <row r="17665" ht="30" customHeight="1"/>
    <row r="17666" ht="30" customHeight="1"/>
    <row r="17667" ht="30" customHeight="1"/>
    <row r="17668" ht="30" customHeight="1"/>
    <row r="17669" ht="30" customHeight="1"/>
    <row r="17670" ht="30" customHeight="1"/>
    <row r="17671" ht="30" customHeight="1"/>
    <row r="17672" ht="30" customHeight="1"/>
    <row r="17673" ht="30" customHeight="1"/>
    <row r="17674" ht="30" customHeight="1"/>
    <row r="17675" ht="30" customHeight="1"/>
    <row r="17676" ht="30" customHeight="1"/>
    <row r="17677" ht="30" customHeight="1"/>
    <row r="17678" ht="30" customHeight="1"/>
    <row r="17679" ht="30" customHeight="1"/>
    <row r="17680" ht="30" customHeight="1"/>
    <row r="17681" ht="30" customHeight="1"/>
    <row r="17682" ht="30" customHeight="1"/>
    <row r="17683" ht="30" customHeight="1"/>
    <row r="17684" ht="30" customHeight="1"/>
    <row r="17685" ht="30" customHeight="1"/>
    <row r="17686" ht="30" customHeight="1"/>
    <row r="17687" ht="30" customHeight="1"/>
    <row r="17688" ht="30" customHeight="1"/>
    <row r="17689" ht="30" customHeight="1"/>
    <row r="17690" ht="30" customHeight="1"/>
    <row r="17691" ht="30" customHeight="1"/>
    <row r="17692" ht="30" customHeight="1"/>
    <row r="17693" ht="30" customHeight="1"/>
    <row r="17694" ht="30" customHeight="1"/>
    <row r="17695" ht="30" customHeight="1"/>
    <row r="17696" ht="30" customHeight="1"/>
    <row r="17697" ht="30" customHeight="1"/>
    <row r="17698" ht="30" customHeight="1"/>
    <row r="17699" ht="30" customHeight="1"/>
    <row r="17700" ht="30" customHeight="1"/>
    <row r="17701" ht="30" customHeight="1"/>
    <row r="17702" ht="30" customHeight="1"/>
    <row r="17703" ht="30" customHeight="1"/>
    <row r="17704" ht="30" customHeight="1"/>
    <row r="17705" ht="30" customHeight="1"/>
    <row r="17706" ht="30" customHeight="1"/>
    <row r="17707" ht="30" customHeight="1"/>
    <row r="17708" ht="30" customHeight="1"/>
    <row r="17709" ht="30" customHeight="1"/>
    <row r="17710" ht="30" customHeight="1"/>
    <row r="17711" ht="30" customHeight="1"/>
    <row r="17712" ht="30" customHeight="1"/>
    <row r="17713" ht="30" customHeight="1"/>
    <row r="17714" ht="30" customHeight="1"/>
    <row r="17715" ht="30" customHeight="1"/>
    <row r="17716" ht="30" customHeight="1"/>
    <row r="17717" ht="30" customHeight="1"/>
    <row r="17718" ht="30" customHeight="1"/>
    <row r="17719" ht="30" customHeight="1"/>
    <row r="17720" ht="30" customHeight="1"/>
    <row r="17721" ht="30" customHeight="1"/>
    <row r="17722" ht="30" customHeight="1"/>
    <row r="17723" ht="30" customHeight="1"/>
    <row r="17724" ht="30" customHeight="1"/>
    <row r="17725" ht="30" customHeight="1"/>
    <row r="17726" ht="30" customHeight="1"/>
    <row r="17727" ht="30" customHeight="1"/>
    <row r="17728" ht="30" customHeight="1"/>
    <row r="17729" ht="30" customHeight="1"/>
    <row r="17730" ht="30" customHeight="1"/>
    <row r="17731" ht="30" customHeight="1"/>
    <row r="17732" ht="30" customHeight="1"/>
    <row r="17733" ht="30" customHeight="1"/>
    <row r="17734" ht="30" customHeight="1"/>
    <row r="17735" ht="30" customHeight="1"/>
    <row r="17736" ht="30" customHeight="1"/>
    <row r="17737" ht="30" customHeight="1"/>
    <row r="17738" ht="30" customHeight="1"/>
    <row r="17739" ht="30" customHeight="1"/>
    <row r="17740" ht="30" customHeight="1"/>
    <row r="17741" ht="30" customHeight="1"/>
    <row r="17742" ht="30" customHeight="1"/>
    <row r="17743" ht="30" customHeight="1"/>
    <row r="17744" ht="30" customHeight="1"/>
    <row r="17745" ht="30" customHeight="1"/>
    <row r="17746" ht="30" customHeight="1"/>
    <row r="17747" ht="30" customHeight="1"/>
    <row r="17748" ht="30" customHeight="1"/>
    <row r="17749" ht="30" customHeight="1"/>
    <row r="17750" ht="30" customHeight="1"/>
    <row r="17751" ht="30" customHeight="1"/>
    <row r="17752" ht="30" customHeight="1"/>
    <row r="17753" ht="30" customHeight="1"/>
    <row r="17754" ht="30" customHeight="1"/>
    <row r="17755" ht="30" customHeight="1"/>
    <row r="17756" ht="30" customHeight="1"/>
    <row r="17757" ht="30" customHeight="1"/>
    <row r="17758" ht="30" customHeight="1"/>
    <row r="17759" ht="30" customHeight="1"/>
    <row r="17760" ht="30" customHeight="1"/>
    <row r="17761" ht="30" customHeight="1"/>
    <row r="17762" ht="30" customHeight="1"/>
    <row r="17763" ht="30" customHeight="1"/>
    <row r="17764" ht="30" customHeight="1"/>
    <row r="17765" ht="30" customHeight="1"/>
    <row r="17766" ht="30" customHeight="1"/>
    <row r="17767" ht="30" customHeight="1"/>
    <row r="17768" ht="30" customHeight="1"/>
    <row r="17769" ht="30" customHeight="1"/>
    <row r="17770" ht="30" customHeight="1"/>
    <row r="17771" ht="30" customHeight="1"/>
    <row r="17772" ht="30" customHeight="1"/>
    <row r="17773" ht="30" customHeight="1"/>
    <row r="17774" ht="30" customHeight="1"/>
    <row r="17775" ht="30" customHeight="1"/>
    <row r="17776" ht="30" customHeight="1"/>
    <row r="17777" ht="30" customHeight="1"/>
    <row r="17778" ht="30" customHeight="1"/>
    <row r="17779" ht="30" customHeight="1"/>
    <row r="17780" ht="30" customHeight="1"/>
    <row r="17781" ht="30" customHeight="1"/>
    <row r="17782" ht="30" customHeight="1"/>
    <row r="17783" ht="30" customHeight="1"/>
    <row r="17784" ht="30" customHeight="1"/>
    <row r="17785" ht="30" customHeight="1"/>
    <row r="17786" ht="30" customHeight="1"/>
    <row r="17787" ht="30" customHeight="1"/>
    <row r="17788" ht="30" customHeight="1"/>
    <row r="17789" ht="30" customHeight="1"/>
    <row r="17790" ht="30" customHeight="1"/>
    <row r="17791" ht="30" customHeight="1"/>
    <row r="17792" ht="30" customHeight="1"/>
    <row r="17793" ht="30" customHeight="1"/>
    <row r="17794" ht="30" customHeight="1"/>
    <row r="17795" ht="30" customHeight="1"/>
    <row r="17796" ht="30" customHeight="1"/>
    <row r="17797" ht="30" customHeight="1"/>
    <row r="17798" ht="30" customHeight="1"/>
    <row r="17799" ht="30" customHeight="1"/>
    <row r="17800" ht="30" customHeight="1"/>
    <row r="17801" ht="30" customHeight="1"/>
    <row r="17802" ht="30" customHeight="1"/>
    <row r="17803" ht="30" customHeight="1"/>
    <row r="17804" ht="30" customHeight="1"/>
    <row r="17805" ht="30" customHeight="1"/>
    <row r="17806" ht="30" customHeight="1"/>
    <row r="17807" ht="30" customHeight="1"/>
    <row r="17808" ht="30" customHeight="1"/>
    <row r="17809" ht="30" customHeight="1"/>
    <row r="17810" ht="30" customHeight="1"/>
    <row r="17811" ht="30" customHeight="1"/>
    <row r="17812" ht="30" customHeight="1"/>
    <row r="17813" ht="30" customHeight="1"/>
    <row r="17814" ht="30" customHeight="1"/>
    <row r="17815" ht="30" customHeight="1"/>
    <row r="17816" ht="30" customHeight="1"/>
    <row r="17817" ht="30" customHeight="1"/>
    <row r="17818" ht="30" customHeight="1"/>
    <row r="17819" ht="30" customHeight="1"/>
    <row r="17820" ht="30" customHeight="1"/>
    <row r="17821" ht="30" customHeight="1"/>
    <row r="17822" ht="30" customHeight="1"/>
    <row r="17823" ht="30" customHeight="1"/>
    <row r="17824" ht="30" customHeight="1"/>
    <row r="17825" ht="30" customHeight="1"/>
    <row r="17826" ht="30" customHeight="1"/>
    <row r="17827" ht="30" customHeight="1"/>
    <row r="17828" ht="30" customHeight="1"/>
    <row r="17829" ht="30" customHeight="1"/>
    <row r="17830" ht="30" customHeight="1"/>
    <row r="17831" ht="30" customHeight="1"/>
    <row r="17832" ht="30" customHeight="1"/>
    <row r="17833" ht="30" customHeight="1"/>
    <row r="17834" ht="30" customHeight="1"/>
    <row r="17835" ht="30" customHeight="1"/>
    <row r="17836" ht="30" customHeight="1"/>
    <row r="17837" ht="30" customHeight="1"/>
    <row r="17838" ht="30" customHeight="1"/>
    <row r="17839" ht="30" customHeight="1"/>
    <row r="17840" ht="30" customHeight="1"/>
    <row r="17841" ht="30" customHeight="1"/>
    <row r="17842" ht="30" customHeight="1"/>
    <row r="17843" ht="30" customHeight="1"/>
    <row r="17844" ht="30" customHeight="1"/>
    <row r="17845" ht="30" customHeight="1"/>
    <row r="17846" ht="30" customHeight="1"/>
    <row r="17847" ht="30" customHeight="1"/>
    <row r="17848" ht="30" customHeight="1"/>
    <row r="17849" ht="30" customHeight="1"/>
    <row r="17850" ht="30" customHeight="1"/>
    <row r="17851" ht="30" customHeight="1"/>
    <row r="17852" ht="30" customHeight="1"/>
    <row r="17853" ht="30" customHeight="1"/>
    <row r="17854" ht="30" customHeight="1"/>
    <row r="17855" ht="30" customHeight="1"/>
    <row r="17856" ht="30" customHeight="1"/>
    <row r="17857" ht="30" customHeight="1"/>
    <row r="17858" ht="30" customHeight="1"/>
    <row r="17859" ht="30" customHeight="1"/>
    <row r="17860" ht="30" customHeight="1"/>
    <row r="17861" ht="30" customHeight="1"/>
    <row r="17862" ht="30" customHeight="1"/>
    <row r="17863" ht="30" customHeight="1"/>
    <row r="17864" ht="30" customHeight="1"/>
    <row r="17865" ht="30" customHeight="1"/>
    <row r="17866" ht="30" customHeight="1"/>
    <row r="17867" ht="30" customHeight="1"/>
    <row r="17868" ht="30" customHeight="1"/>
    <row r="17869" ht="30" customHeight="1"/>
    <row r="17870" ht="30" customHeight="1"/>
    <row r="17871" ht="30" customHeight="1"/>
    <row r="17872" ht="30" customHeight="1"/>
    <row r="17873" ht="30" customHeight="1"/>
    <row r="17874" ht="30" customHeight="1"/>
    <row r="17875" ht="30" customHeight="1"/>
    <row r="17876" ht="30" customHeight="1"/>
    <row r="17877" ht="30" customHeight="1"/>
    <row r="17878" ht="30" customHeight="1"/>
    <row r="17879" ht="30" customHeight="1"/>
    <row r="17880" ht="30" customHeight="1"/>
    <row r="17881" ht="30" customHeight="1"/>
    <row r="17882" ht="30" customHeight="1"/>
    <row r="17883" ht="30" customHeight="1"/>
    <row r="17884" ht="30" customHeight="1"/>
    <row r="17885" ht="30" customHeight="1"/>
    <row r="17886" ht="30" customHeight="1"/>
    <row r="17887" ht="30" customHeight="1"/>
    <row r="17888" ht="30" customHeight="1"/>
    <row r="17889" ht="30" customHeight="1"/>
    <row r="17890" ht="30" customHeight="1"/>
    <row r="17891" ht="30" customHeight="1"/>
    <row r="17892" ht="30" customHeight="1"/>
    <row r="17893" ht="30" customHeight="1"/>
    <row r="17894" ht="30" customHeight="1"/>
    <row r="17895" ht="30" customHeight="1"/>
    <row r="17896" ht="30" customHeight="1"/>
    <row r="17897" ht="30" customHeight="1"/>
    <row r="17898" ht="30" customHeight="1"/>
    <row r="17899" ht="30" customHeight="1"/>
    <row r="17900" ht="30" customHeight="1"/>
    <row r="17901" ht="30" customHeight="1"/>
    <row r="17902" ht="30" customHeight="1"/>
    <row r="17903" ht="30" customHeight="1"/>
    <row r="17904" ht="30" customHeight="1"/>
    <row r="17905" ht="30" customHeight="1"/>
    <row r="17906" ht="30" customHeight="1"/>
    <row r="17907" ht="30" customHeight="1"/>
    <row r="17908" ht="30" customHeight="1"/>
    <row r="17909" ht="30" customHeight="1"/>
    <row r="17910" ht="30" customHeight="1"/>
    <row r="17911" ht="30" customHeight="1"/>
    <row r="17912" ht="30" customHeight="1"/>
    <row r="17913" ht="30" customHeight="1"/>
    <row r="17914" ht="30" customHeight="1"/>
    <row r="17915" ht="30" customHeight="1"/>
    <row r="17916" ht="30" customHeight="1"/>
    <row r="17917" ht="30" customHeight="1"/>
    <row r="17918" ht="30" customHeight="1"/>
    <row r="17919" ht="30" customHeight="1"/>
    <row r="17920" ht="30" customHeight="1"/>
    <row r="17921" ht="30" customHeight="1"/>
    <row r="17922" ht="30" customHeight="1"/>
    <row r="17923" ht="30" customHeight="1"/>
    <row r="17924" ht="30" customHeight="1"/>
    <row r="17925" ht="30" customHeight="1"/>
    <row r="17926" ht="30" customHeight="1"/>
    <row r="17927" ht="30" customHeight="1"/>
    <row r="17928" ht="30" customHeight="1"/>
    <row r="17929" ht="30" customHeight="1"/>
    <row r="17930" ht="30" customHeight="1"/>
    <row r="17931" ht="30" customHeight="1"/>
    <row r="17932" ht="30" customHeight="1"/>
    <row r="17933" ht="30" customHeight="1"/>
    <row r="17934" ht="30" customHeight="1"/>
    <row r="17935" ht="30" customHeight="1"/>
    <row r="17936" ht="30" customHeight="1"/>
    <row r="17937" ht="30" customHeight="1"/>
    <row r="17938" ht="30" customHeight="1"/>
    <row r="17939" ht="30" customHeight="1"/>
    <row r="17940" ht="30" customHeight="1"/>
    <row r="17941" ht="30" customHeight="1"/>
    <row r="17942" ht="30" customHeight="1"/>
    <row r="17943" ht="30" customHeight="1"/>
    <row r="17944" ht="30" customHeight="1"/>
    <row r="17945" ht="30" customHeight="1"/>
    <row r="17946" ht="30" customHeight="1"/>
    <row r="17947" ht="30" customHeight="1"/>
    <row r="17948" ht="30" customHeight="1"/>
    <row r="17949" ht="30" customHeight="1"/>
    <row r="17950" ht="30" customHeight="1"/>
    <row r="17951" ht="30" customHeight="1"/>
    <row r="17952" ht="30" customHeight="1"/>
    <row r="17953" ht="30" customHeight="1"/>
    <row r="17954" ht="30" customHeight="1"/>
    <row r="17955" ht="30" customHeight="1"/>
    <row r="17956" ht="30" customHeight="1"/>
    <row r="17957" ht="30" customHeight="1"/>
    <row r="17958" ht="30" customHeight="1"/>
    <row r="17959" ht="30" customHeight="1"/>
    <row r="17960" ht="30" customHeight="1"/>
    <row r="17961" ht="30" customHeight="1"/>
    <row r="17962" ht="30" customHeight="1"/>
    <row r="17963" ht="30" customHeight="1"/>
    <row r="17964" ht="30" customHeight="1"/>
    <row r="17965" ht="30" customHeight="1"/>
    <row r="17966" ht="30" customHeight="1"/>
    <row r="17967" ht="30" customHeight="1"/>
    <row r="17968" ht="30" customHeight="1"/>
    <row r="17969" ht="30" customHeight="1"/>
    <row r="17970" ht="30" customHeight="1"/>
    <row r="17971" ht="30" customHeight="1"/>
    <row r="17972" ht="30" customHeight="1"/>
    <row r="17973" ht="30" customHeight="1"/>
    <row r="17974" ht="30" customHeight="1"/>
    <row r="17975" ht="30" customHeight="1"/>
    <row r="17976" ht="30" customHeight="1"/>
    <row r="17977" ht="30" customHeight="1"/>
    <row r="17978" ht="30" customHeight="1"/>
    <row r="17979" ht="30" customHeight="1"/>
    <row r="17980" ht="30" customHeight="1"/>
    <row r="17981" ht="30" customHeight="1"/>
    <row r="17982" ht="30" customHeight="1"/>
    <row r="17983" ht="30" customHeight="1"/>
    <row r="17984" ht="30" customHeight="1"/>
    <row r="17985" ht="30" customHeight="1"/>
    <row r="17986" ht="30" customHeight="1"/>
    <row r="17987" ht="30" customHeight="1"/>
    <row r="17988" ht="30" customHeight="1"/>
    <row r="17989" ht="30" customHeight="1"/>
    <row r="17990" ht="30" customHeight="1"/>
    <row r="17991" ht="30" customHeight="1"/>
    <row r="17992" ht="30" customHeight="1"/>
    <row r="17993" ht="30" customHeight="1"/>
    <row r="17994" ht="30" customHeight="1"/>
    <row r="17995" ht="30" customHeight="1"/>
    <row r="17996" ht="30" customHeight="1"/>
    <row r="17997" ht="30" customHeight="1"/>
    <row r="17998" ht="30" customHeight="1"/>
    <row r="17999" ht="30" customHeight="1"/>
    <row r="18000" ht="30" customHeight="1"/>
    <row r="18001" ht="30" customHeight="1"/>
    <row r="18002" ht="30" customHeight="1"/>
    <row r="18003" ht="30" customHeight="1"/>
    <row r="18004" ht="30" customHeight="1"/>
    <row r="18005" ht="30" customHeight="1"/>
    <row r="18006" ht="30" customHeight="1"/>
    <row r="18007" ht="30" customHeight="1"/>
    <row r="18008" ht="30" customHeight="1"/>
    <row r="18009" ht="30" customHeight="1"/>
    <row r="18010" ht="30" customHeight="1"/>
    <row r="18011" ht="30" customHeight="1"/>
    <row r="18012" ht="30" customHeight="1"/>
    <row r="18013" ht="30" customHeight="1"/>
    <row r="18014" ht="30" customHeight="1"/>
    <row r="18015" ht="30" customHeight="1"/>
    <row r="18016" ht="30" customHeight="1"/>
    <row r="18017" ht="30" customHeight="1"/>
    <row r="18018" ht="30" customHeight="1"/>
    <row r="18019" ht="30" customHeight="1"/>
    <row r="18020" ht="30" customHeight="1"/>
    <row r="18021" ht="30" customHeight="1"/>
    <row r="18022" ht="30" customHeight="1"/>
    <row r="18023" ht="30" customHeight="1"/>
    <row r="18024" ht="30" customHeight="1"/>
    <row r="18025" ht="30" customHeight="1"/>
    <row r="18026" ht="30" customHeight="1"/>
    <row r="18027" ht="30" customHeight="1"/>
    <row r="18028" ht="30" customHeight="1"/>
    <row r="18029" ht="30" customHeight="1"/>
    <row r="18030" ht="30" customHeight="1"/>
    <row r="18031" ht="30" customHeight="1"/>
    <row r="18032" ht="30" customHeight="1"/>
    <row r="18033" ht="30" customHeight="1"/>
    <row r="18034" ht="30" customHeight="1"/>
    <row r="18035" ht="30" customHeight="1"/>
    <row r="18036" ht="30" customHeight="1"/>
    <row r="18037" ht="30" customHeight="1"/>
    <row r="18038" ht="30" customHeight="1"/>
    <row r="18039" ht="30" customHeight="1"/>
    <row r="18040" ht="30" customHeight="1"/>
    <row r="18041" ht="30" customHeight="1"/>
    <row r="18042" ht="30" customHeight="1"/>
    <row r="18043" ht="30" customHeight="1"/>
    <row r="18044" ht="30" customHeight="1"/>
    <row r="18045" ht="30" customHeight="1"/>
    <row r="18046" ht="30" customHeight="1"/>
    <row r="18047" ht="30" customHeight="1"/>
    <row r="18048" ht="30" customHeight="1"/>
    <row r="18049" ht="30" customHeight="1"/>
    <row r="18050" ht="30" customHeight="1"/>
    <row r="18051" ht="30" customHeight="1"/>
    <row r="18052" ht="30" customHeight="1"/>
    <row r="18053" ht="30" customHeight="1"/>
    <row r="18054" ht="30" customHeight="1"/>
    <row r="18055" ht="30" customHeight="1"/>
    <row r="18056" ht="30" customHeight="1"/>
    <row r="18057" ht="30" customHeight="1"/>
    <row r="18058" ht="30" customHeight="1"/>
    <row r="18059" ht="30" customHeight="1"/>
    <row r="18060" ht="30" customHeight="1"/>
    <row r="18061" ht="30" customHeight="1"/>
    <row r="18062" ht="30" customHeight="1"/>
    <row r="18063" ht="30" customHeight="1"/>
    <row r="18064" ht="30" customHeight="1"/>
    <row r="18065" ht="30" customHeight="1"/>
    <row r="18066" ht="30" customHeight="1"/>
    <row r="18067" ht="30" customHeight="1"/>
    <row r="18068" ht="30" customHeight="1"/>
    <row r="18069" ht="30" customHeight="1"/>
    <row r="18070" ht="30" customHeight="1"/>
    <row r="18071" ht="30" customHeight="1"/>
    <row r="18072" ht="30" customHeight="1"/>
    <row r="18073" ht="30" customHeight="1"/>
    <row r="18074" ht="30" customHeight="1"/>
    <row r="18075" ht="30" customHeight="1"/>
    <row r="18076" ht="30" customHeight="1"/>
    <row r="18077" ht="30" customHeight="1"/>
    <row r="18078" ht="30" customHeight="1"/>
    <row r="18079" ht="30" customHeight="1"/>
    <row r="18080" ht="30" customHeight="1"/>
    <row r="18081" ht="30" customHeight="1"/>
    <row r="18082" ht="30" customHeight="1"/>
    <row r="18083" ht="30" customHeight="1"/>
    <row r="18084" ht="30" customHeight="1"/>
    <row r="18085" ht="30" customHeight="1"/>
    <row r="18086" ht="30" customHeight="1"/>
    <row r="18087" ht="30" customHeight="1"/>
    <row r="18088" ht="30" customHeight="1"/>
    <row r="18089" ht="30" customHeight="1"/>
    <row r="18090" ht="30" customHeight="1"/>
    <row r="18091" ht="30" customHeight="1"/>
    <row r="18092" ht="30" customHeight="1"/>
    <row r="18093" ht="30" customHeight="1"/>
    <row r="18094" ht="30" customHeight="1"/>
    <row r="18095" ht="30" customHeight="1"/>
    <row r="18096" ht="30" customHeight="1"/>
    <row r="18097" ht="30" customHeight="1"/>
    <row r="18098" ht="30" customHeight="1"/>
    <row r="18099" ht="30" customHeight="1"/>
    <row r="18100" ht="30" customHeight="1"/>
    <row r="18101" ht="30" customHeight="1"/>
    <row r="18102" ht="30" customHeight="1"/>
    <row r="18103" ht="30" customHeight="1"/>
    <row r="18104" ht="30" customHeight="1"/>
    <row r="18105" ht="30" customHeight="1"/>
    <row r="18106" ht="30" customHeight="1"/>
    <row r="18107" ht="30" customHeight="1"/>
    <row r="18108" ht="30" customHeight="1"/>
    <row r="18109" ht="30" customHeight="1"/>
    <row r="18110" ht="30" customHeight="1"/>
    <row r="18111" ht="30" customHeight="1"/>
    <row r="18112" ht="30" customHeight="1"/>
    <row r="18113" ht="30" customHeight="1"/>
    <row r="18114" ht="30" customHeight="1"/>
    <row r="18115" ht="30" customHeight="1"/>
    <row r="18116" ht="30" customHeight="1"/>
    <row r="18117" ht="30" customHeight="1"/>
    <row r="18118" ht="30" customHeight="1"/>
    <row r="18119" ht="30" customHeight="1"/>
    <row r="18120" ht="30" customHeight="1"/>
    <row r="18121" ht="30" customHeight="1"/>
    <row r="18122" ht="30" customHeight="1"/>
    <row r="18123" ht="30" customHeight="1"/>
    <row r="18124" ht="30" customHeight="1"/>
    <row r="18125" ht="30" customHeight="1"/>
    <row r="18126" ht="30" customHeight="1"/>
    <row r="18127" ht="30" customHeight="1"/>
    <row r="18128" ht="30" customHeight="1"/>
    <row r="18129" ht="30" customHeight="1"/>
    <row r="18130" ht="30" customHeight="1"/>
    <row r="18131" ht="30" customHeight="1"/>
    <row r="18132" ht="30" customHeight="1"/>
    <row r="18133" ht="30" customHeight="1"/>
    <row r="18134" ht="30" customHeight="1"/>
    <row r="18135" ht="30" customHeight="1"/>
    <row r="18136" ht="30" customHeight="1"/>
    <row r="18137" ht="30" customHeight="1"/>
    <row r="18138" ht="30" customHeight="1"/>
    <row r="18139" ht="30" customHeight="1"/>
    <row r="18140" ht="30" customHeight="1"/>
    <row r="18141" ht="30" customHeight="1"/>
    <row r="18142" ht="30" customHeight="1"/>
    <row r="18143" ht="30" customHeight="1"/>
    <row r="18144" ht="30" customHeight="1"/>
    <row r="18145" ht="30" customHeight="1"/>
    <row r="18146" ht="30" customHeight="1"/>
    <row r="18147" ht="30" customHeight="1"/>
    <row r="18148" ht="30" customHeight="1"/>
    <row r="18149" ht="30" customHeight="1"/>
    <row r="18150" ht="30" customHeight="1"/>
    <row r="18151" ht="30" customHeight="1"/>
    <row r="18152" ht="30" customHeight="1"/>
    <row r="18153" ht="30" customHeight="1"/>
    <row r="18154" ht="30" customHeight="1"/>
    <row r="18155" ht="30" customHeight="1"/>
    <row r="18156" ht="30" customHeight="1"/>
    <row r="18157" ht="30" customHeight="1"/>
    <row r="18158" ht="30" customHeight="1"/>
    <row r="18159" ht="30" customHeight="1"/>
    <row r="18160" ht="30" customHeight="1"/>
    <row r="18161" ht="30" customHeight="1"/>
    <row r="18162" ht="30" customHeight="1"/>
    <row r="18163" ht="30" customHeight="1"/>
    <row r="18164" ht="30" customHeight="1"/>
    <row r="18165" ht="30" customHeight="1"/>
    <row r="18166" ht="30" customHeight="1"/>
    <row r="18167" ht="30" customHeight="1"/>
    <row r="18168" ht="30" customHeight="1"/>
    <row r="18169" ht="30" customHeight="1"/>
    <row r="18170" ht="30" customHeight="1"/>
    <row r="18171" ht="30" customHeight="1"/>
    <row r="18172" ht="30" customHeight="1"/>
    <row r="18173" ht="30" customHeight="1"/>
    <row r="18174" ht="30" customHeight="1"/>
    <row r="18175" ht="30" customHeight="1"/>
    <row r="18176" ht="30" customHeight="1"/>
    <row r="18177" ht="30" customHeight="1"/>
    <row r="18178" ht="30" customHeight="1"/>
    <row r="18179" ht="30" customHeight="1"/>
    <row r="18180" ht="30" customHeight="1"/>
    <row r="18181" ht="30" customHeight="1"/>
    <row r="18182" ht="30" customHeight="1"/>
    <row r="18183" ht="30" customHeight="1"/>
    <row r="18184" ht="30" customHeight="1"/>
    <row r="18185" ht="30" customHeight="1"/>
    <row r="18186" ht="30" customHeight="1"/>
    <row r="18187" ht="30" customHeight="1"/>
    <row r="18188" ht="30" customHeight="1"/>
    <row r="18189" ht="30" customHeight="1"/>
    <row r="18190" ht="30" customHeight="1"/>
    <row r="18191" ht="30" customHeight="1"/>
    <row r="18192" ht="30" customHeight="1"/>
    <row r="18193" ht="30" customHeight="1"/>
    <row r="18194" ht="30" customHeight="1"/>
    <row r="18195" ht="30" customHeight="1"/>
    <row r="18196" ht="30" customHeight="1"/>
    <row r="18197" ht="30" customHeight="1"/>
    <row r="18198" ht="30" customHeight="1"/>
    <row r="18199" ht="30" customHeight="1"/>
    <row r="18200" ht="30" customHeight="1"/>
    <row r="18201" ht="30" customHeight="1"/>
    <row r="18202" ht="30" customHeight="1"/>
    <row r="18203" ht="30" customHeight="1"/>
    <row r="18204" ht="30" customHeight="1"/>
    <row r="18205" ht="30" customHeight="1"/>
    <row r="18206" ht="30" customHeight="1"/>
    <row r="18207" ht="30" customHeight="1"/>
    <row r="18208" ht="30" customHeight="1"/>
    <row r="18209" ht="30" customHeight="1"/>
    <row r="18210" ht="30" customHeight="1"/>
    <row r="18211" ht="30" customHeight="1"/>
    <row r="18212" ht="30" customHeight="1"/>
    <row r="18213" ht="30" customHeight="1"/>
    <row r="18214" ht="30" customHeight="1"/>
    <row r="18215" ht="30" customHeight="1"/>
    <row r="18216" ht="30" customHeight="1"/>
    <row r="18217" ht="30" customHeight="1"/>
    <row r="18218" ht="30" customHeight="1"/>
    <row r="18219" ht="30" customHeight="1"/>
    <row r="18220" ht="30" customHeight="1"/>
    <row r="18221" ht="30" customHeight="1"/>
    <row r="18222" ht="30" customHeight="1"/>
    <row r="18223" ht="30" customHeight="1"/>
    <row r="18224" ht="30" customHeight="1"/>
    <row r="18225" ht="30" customHeight="1"/>
    <row r="18226" ht="30" customHeight="1"/>
    <row r="18227" ht="30" customHeight="1"/>
    <row r="18228" ht="30" customHeight="1"/>
    <row r="18229" ht="30" customHeight="1"/>
    <row r="18230" ht="30" customHeight="1"/>
    <row r="18231" ht="30" customHeight="1"/>
    <row r="18232" ht="30" customHeight="1"/>
    <row r="18233" ht="30" customHeight="1"/>
    <row r="18234" ht="30" customHeight="1"/>
    <row r="18235" ht="30" customHeight="1"/>
    <row r="18236" ht="30" customHeight="1"/>
    <row r="18237" ht="30" customHeight="1"/>
    <row r="18238" ht="30" customHeight="1"/>
    <row r="18239" ht="30" customHeight="1"/>
    <row r="18240" ht="30" customHeight="1"/>
    <row r="18241" ht="30" customHeight="1"/>
    <row r="18242" ht="30" customHeight="1"/>
    <row r="18243" ht="30" customHeight="1"/>
    <row r="18244" ht="30" customHeight="1"/>
    <row r="18245" ht="30" customHeight="1"/>
    <row r="18246" ht="30" customHeight="1"/>
    <row r="18247" ht="30" customHeight="1"/>
    <row r="18248" ht="30" customHeight="1"/>
    <row r="18249" ht="30" customHeight="1"/>
    <row r="18250" ht="30" customHeight="1"/>
    <row r="18251" ht="30" customHeight="1"/>
    <row r="18252" ht="30" customHeight="1"/>
    <row r="18253" ht="30" customHeight="1"/>
    <row r="18254" ht="30" customHeight="1"/>
    <row r="18255" ht="30" customHeight="1"/>
    <row r="18256" ht="30" customHeight="1"/>
    <row r="18257" ht="30" customHeight="1"/>
    <row r="18258" ht="30" customHeight="1"/>
    <row r="18259" ht="30" customHeight="1"/>
    <row r="18260" ht="30" customHeight="1"/>
    <row r="18261" ht="30" customHeight="1"/>
    <row r="18262" ht="30" customHeight="1"/>
    <row r="18263" ht="30" customHeight="1"/>
    <row r="18264" ht="30" customHeight="1"/>
    <row r="18265" ht="30" customHeight="1"/>
    <row r="18266" ht="30" customHeight="1"/>
    <row r="18267" ht="30" customHeight="1"/>
    <row r="18268" ht="30" customHeight="1"/>
    <row r="18269" ht="30" customHeight="1"/>
    <row r="18270" ht="30" customHeight="1"/>
    <row r="18271" ht="30" customHeight="1"/>
    <row r="18272" ht="30" customHeight="1"/>
    <row r="18273" ht="30" customHeight="1"/>
    <row r="18274" ht="30" customHeight="1"/>
    <row r="18275" ht="30" customHeight="1"/>
    <row r="18276" ht="30" customHeight="1"/>
    <row r="18277" ht="30" customHeight="1"/>
    <row r="18278" ht="30" customHeight="1"/>
    <row r="18279" ht="30" customHeight="1"/>
    <row r="18280" ht="30" customHeight="1"/>
    <row r="18281" ht="30" customHeight="1"/>
    <row r="18282" ht="30" customHeight="1"/>
    <row r="18283" ht="30" customHeight="1"/>
    <row r="18284" ht="30" customHeight="1"/>
    <row r="18285" ht="30" customHeight="1"/>
    <row r="18286" ht="30" customHeight="1"/>
    <row r="18287" ht="30" customHeight="1"/>
    <row r="18288" ht="30" customHeight="1"/>
    <row r="18289" ht="30" customHeight="1"/>
    <row r="18290" ht="30" customHeight="1"/>
    <row r="18291" ht="30" customHeight="1"/>
    <row r="18292" ht="30" customHeight="1"/>
    <row r="18293" ht="30" customHeight="1"/>
    <row r="18294" ht="30" customHeight="1"/>
    <row r="18295" ht="30" customHeight="1"/>
    <row r="18296" ht="30" customHeight="1"/>
    <row r="18297" ht="30" customHeight="1"/>
    <row r="18298" ht="30" customHeight="1"/>
    <row r="18299" ht="30" customHeight="1"/>
    <row r="18300" ht="30" customHeight="1"/>
    <row r="18301" ht="30" customHeight="1"/>
    <row r="18302" ht="30" customHeight="1"/>
    <row r="18303" ht="30" customHeight="1"/>
    <row r="18304" ht="30" customHeight="1"/>
    <row r="18305" ht="30" customHeight="1"/>
    <row r="18306" ht="30" customHeight="1"/>
    <row r="18307" ht="30" customHeight="1"/>
    <row r="18308" ht="30" customHeight="1"/>
    <row r="18309" ht="30" customHeight="1"/>
    <row r="18310" ht="30" customHeight="1"/>
    <row r="18311" ht="30" customHeight="1"/>
    <row r="18312" ht="30" customHeight="1"/>
    <row r="18313" ht="30" customHeight="1"/>
    <row r="18314" ht="30" customHeight="1"/>
    <row r="18315" ht="30" customHeight="1"/>
    <row r="18316" ht="30" customHeight="1"/>
    <row r="18317" ht="30" customHeight="1"/>
    <row r="18318" ht="30" customHeight="1"/>
    <row r="18319" ht="30" customHeight="1"/>
    <row r="18320" ht="30" customHeight="1"/>
    <row r="18321" ht="30" customHeight="1"/>
    <row r="18322" ht="30" customHeight="1"/>
    <row r="18323" ht="30" customHeight="1"/>
    <row r="18324" ht="30" customHeight="1"/>
    <row r="18325" ht="30" customHeight="1"/>
    <row r="18326" ht="30" customHeight="1"/>
    <row r="18327" ht="30" customHeight="1"/>
    <row r="18328" ht="30" customHeight="1"/>
    <row r="18329" ht="30" customHeight="1"/>
    <row r="18330" ht="30" customHeight="1"/>
    <row r="18331" ht="30" customHeight="1"/>
    <row r="18332" ht="30" customHeight="1"/>
    <row r="18333" ht="30" customHeight="1"/>
    <row r="18334" ht="30" customHeight="1"/>
    <row r="18335" ht="30" customHeight="1"/>
    <row r="18336" ht="30" customHeight="1"/>
    <row r="18337" ht="30" customHeight="1"/>
    <row r="18338" ht="30" customHeight="1"/>
    <row r="18339" ht="30" customHeight="1"/>
    <row r="18340" ht="30" customHeight="1"/>
    <row r="18341" ht="30" customHeight="1"/>
    <row r="18342" ht="30" customHeight="1"/>
    <row r="18343" ht="30" customHeight="1"/>
    <row r="18344" ht="30" customHeight="1"/>
    <row r="18345" ht="30" customHeight="1"/>
    <row r="18346" ht="30" customHeight="1"/>
    <row r="18347" ht="30" customHeight="1"/>
    <row r="18348" ht="30" customHeight="1"/>
    <row r="18349" ht="30" customHeight="1"/>
    <row r="18350" ht="30" customHeight="1"/>
    <row r="18351" ht="30" customHeight="1"/>
    <row r="18352" ht="30" customHeight="1"/>
    <row r="18353" ht="30" customHeight="1"/>
    <row r="18354" ht="30" customHeight="1"/>
    <row r="18355" ht="30" customHeight="1"/>
    <row r="18356" ht="30" customHeight="1"/>
    <row r="18357" ht="30" customHeight="1"/>
    <row r="18358" ht="30" customHeight="1"/>
    <row r="18359" ht="30" customHeight="1"/>
    <row r="18360" ht="30" customHeight="1"/>
    <row r="18361" ht="30" customHeight="1"/>
    <row r="18362" ht="30" customHeight="1"/>
    <row r="18363" ht="30" customHeight="1"/>
    <row r="18364" ht="30" customHeight="1"/>
    <row r="18365" ht="30" customHeight="1"/>
    <row r="18366" ht="30" customHeight="1"/>
    <row r="18367" ht="30" customHeight="1"/>
    <row r="18368" ht="30" customHeight="1"/>
    <row r="18369" ht="30" customHeight="1"/>
    <row r="18370" ht="30" customHeight="1"/>
    <row r="18371" ht="30" customHeight="1"/>
    <row r="18372" ht="30" customHeight="1"/>
    <row r="18373" ht="30" customHeight="1"/>
    <row r="18374" ht="30" customHeight="1"/>
    <row r="18375" ht="30" customHeight="1"/>
    <row r="18376" ht="30" customHeight="1"/>
    <row r="18377" ht="30" customHeight="1"/>
    <row r="18378" ht="30" customHeight="1"/>
    <row r="18379" ht="30" customHeight="1"/>
    <row r="18380" ht="30" customHeight="1"/>
    <row r="18381" ht="30" customHeight="1"/>
    <row r="18382" ht="30" customHeight="1"/>
    <row r="18383" ht="30" customHeight="1"/>
    <row r="18384" ht="30" customHeight="1"/>
    <row r="18385" ht="30" customHeight="1"/>
    <row r="18386" ht="30" customHeight="1"/>
    <row r="18387" ht="30" customHeight="1"/>
    <row r="18388" ht="30" customHeight="1"/>
    <row r="18389" ht="30" customHeight="1"/>
    <row r="18390" ht="30" customHeight="1"/>
    <row r="18391" ht="30" customHeight="1"/>
    <row r="18392" ht="30" customHeight="1"/>
    <row r="18393" ht="30" customHeight="1"/>
    <row r="18394" ht="30" customHeight="1"/>
    <row r="18395" ht="30" customHeight="1"/>
    <row r="18396" ht="30" customHeight="1"/>
    <row r="18397" ht="30" customHeight="1"/>
    <row r="18398" ht="30" customHeight="1"/>
    <row r="18399" ht="30" customHeight="1"/>
    <row r="18400" ht="30" customHeight="1"/>
    <row r="18401" ht="30" customHeight="1"/>
    <row r="18402" ht="30" customHeight="1"/>
    <row r="18403" ht="30" customHeight="1"/>
    <row r="18404" ht="30" customHeight="1"/>
    <row r="18405" ht="30" customHeight="1"/>
    <row r="18406" ht="30" customHeight="1"/>
    <row r="18407" ht="30" customHeight="1"/>
    <row r="18408" ht="30" customHeight="1"/>
    <row r="18409" ht="30" customHeight="1"/>
    <row r="18410" ht="30" customHeight="1"/>
    <row r="18411" ht="30" customHeight="1"/>
    <row r="18412" ht="30" customHeight="1"/>
    <row r="18413" ht="30" customHeight="1"/>
    <row r="18414" ht="30" customHeight="1"/>
    <row r="18415" ht="30" customHeight="1"/>
    <row r="18416" ht="30" customHeight="1"/>
    <row r="18417" ht="30" customHeight="1"/>
    <row r="18418" ht="30" customHeight="1"/>
    <row r="18419" ht="30" customHeight="1"/>
    <row r="18420" ht="30" customHeight="1"/>
    <row r="18421" ht="30" customHeight="1"/>
    <row r="18422" ht="30" customHeight="1"/>
    <row r="18423" ht="30" customHeight="1"/>
    <row r="18424" ht="30" customHeight="1"/>
    <row r="18425" ht="30" customHeight="1"/>
    <row r="18426" ht="30" customHeight="1"/>
    <row r="18427" ht="30" customHeight="1"/>
    <row r="18428" ht="30" customHeight="1"/>
    <row r="18429" ht="30" customHeight="1"/>
    <row r="18430" ht="30" customHeight="1"/>
    <row r="18431" ht="30" customHeight="1"/>
    <row r="18432" ht="30" customHeight="1"/>
    <row r="18433" ht="30" customHeight="1"/>
    <row r="18434" ht="30" customHeight="1"/>
    <row r="18435" ht="30" customHeight="1"/>
    <row r="18436" ht="30" customHeight="1"/>
    <row r="18437" ht="30" customHeight="1"/>
    <row r="18438" ht="30" customHeight="1"/>
    <row r="18439" ht="30" customHeight="1"/>
    <row r="18440" ht="30" customHeight="1"/>
    <row r="18441" ht="30" customHeight="1"/>
    <row r="18442" ht="30" customHeight="1"/>
    <row r="18443" ht="30" customHeight="1"/>
    <row r="18444" ht="30" customHeight="1"/>
    <row r="18445" ht="30" customHeight="1"/>
    <row r="18446" ht="30" customHeight="1"/>
    <row r="18447" ht="30" customHeight="1"/>
    <row r="18448" ht="30" customHeight="1"/>
    <row r="18449" ht="30" customHeight="1"/>
    <row r="18450" ht="30" customHeight="1"/>
    <row r="18451" ht="30" customHeight="1"/>
    <row r="18452" ht="30" customHeight="1"/>
    <row r="18453" ht="30" customHeight="1"/>
    <row r="18454" ht="30" customHeight="1"/>
    <row r="18455" ht="30" customHeight="1"/>
    <row r="18456" ht="30" customHeight="1"/>
    <row r="18457" ht="30" customHeight="1"/>
    <row r="18458" ht="30" customHeight="1"/>
    <row r="18459" ht="30" customHeight="1"/>
    <row r="18460" ht="30" customHeight="1"/>
    <row r="18461" ht="30" customHeight="1"/>
    <row r="18462" ht="30" customHeight="1"/>
    <row r="18463" ht="30" customHeight="1"/>
    <row r="18464" ht="30" customHeight="1"/>
    <row r="18465" ht="30" customHeight="1"/>
    <row r="18466" ht="30" customHeight="1"/>
    <row r="18467" ht="30" customHeight="1"/>
    <row r="18468" ht="30" customHeight="1"/>
    <row r="18469" ht="30" customHeight="1"/>
    <row r="18470" ht="30" customHeight="1"/>
    <row r="18471" ht="30" customHeight="1"/>
    <row r="18472" ht="30" customHeight="1"/>
    <row r="18473" ht="30" customHeight="1"/>
    <row r="18474" ht="30" customHeight="1"/>
    <row r="18475" ht="30" customHeight="1"/>
    <row r="18476" ht="30" customHeight="1"/>
    <row r="18477" ht="30" customHeight="1"/>
    <row r="18478" ht="30" customHeight="1"/>
    <row r="18479" ht="30" customHeight="1"/>
    <row r="18480" ht="30" customHeight="1"/>
    <row r="18481" ht="30" customHeight="1"/>
    <row r="18482" ht="30" customHeight="1"/>
    <row r="18483" ht="30" customHeight="1"/>
    <row r="18484" ht="30" customHeight="1"/>
    <row r="18485" ht="30" customHeight="1"/>
    <row r="18486" ht="30" customHeight="1"/>
    <row r="18487" ht="30" customHeight="1"/>
    <row r="18488" ht="30" customHeight="1"/>
    <row r="18489" ht="30" customHeight="1"/>
    <row r="18490" ht="30" customHeight="1"/>
    <row r="18491" ht="30" customHeight="1"/>
    <row r="18492" ht="30" customHeight="1"/>
    <row r="18493" ht="30" customHeight="1"/>
    <row r="18494" ht="30" customHeight="1"/>
    <row r="18495" ht="30" customHeight="1"/>
    <row r="18496" ht="30" customHeight="1"/>
    <row r="18497" ht="30" customHeight="1"/>
    <row r="18498" ht="30" customHeight="1"/>
    <row r="18499" ht="30" customHeight="1"/>
    <row r="18500" ht="30" customHeight="1"/>
    <row r="18501" ht="30" customHeight="1"/>
    <row r="18502" ht="30" customHeight="1"/>
    <row r="18503" ht="30" customHeight="1"/>
    <row r="18504" ht="30" customHeight="1"/>
    <row r="18505" ht="30" customHeight="1"/>
    <row r="18506" ht="30" customHeight="1"/>
    <row r="18507" ht="30" customHeight="1"/>
    <row r="18508" ht="30" customHeight="1"/>
    <row r="18509" ht="30" customHeight="1"/>
    <row r="18510" ht="30" customHeight="1"/>
    <row r="18511" ht="30" customHeight="1"/>
    <row r="18512" ht="30" customHeight="1"/>
    <row r="18513" ht="30" customHeight="1"/>
    <row r="18514" ht="30" customHeight="1"/>
    <row r="18515" ht="30" customHeight="1"/>
    <row r="18516" ht="30" customHeight="1"/>
    <row r="18517" ht="30" customHeight="1"/>
    <row r="18518" ht="30" customHeight="1"/>
    <row r="18519" ht="30" customHeight="1"/>
    <row r="18520" ht="30" customHeight="1"/>
    <row r="18521" ht="30" customHeight="1"/>
    <row r="18522" ht="30" customHeight="1"/>
    <row r="18523" ht="30" customHeight="1"/>
    <row r="18524" ht="30" customHeight="1"/>
    <row r="18525" ht="30" customHeight="1"/>
    <row r="18526" ht="30" customHeight="1"/>
    <row r="18527" ht="30" customHeight="1"/>
    <row r="18528" ht="30" customHeight="1"/>
    <row r="18529" ht="30" customHeight="1"/>
    <row r="18530" ht="30" customHeight="1"/>
    <row r="18531" ht="30" customHeight="1"/>
    <row r="18532" ht="30" customHeight="1"/>
    <row r="18533" ht="30" customHeight="1"/>
    <row r="18534" ht="30" customHeight="1"/>
    <row r="18535" ht="30" customHeight="1"/>
    <row r="18536" ht="30" customHeight="1"/>
    <row r="18537" ht="30" customHeight="1"/>
    <row r="18538" ht="30" customHeight="1"/>
    <row r="18539" ht="30" customHeight="1"/>
    <row r="18540" ht="30" customHeight="1"/>
    <row r="18541" ht="30" customHeight="1"/>
    <row r="18542" ht="30" customHeight="1"/>
    <row r="18543" ht="30" customHeight="1"/>
    <row r="18544" ht="30" customHeight="1"/>
    <row r="18545" ht="30" customHeight="1"/>
    <row r="18546" ht="30" customHeight="1"/>
    <row r="18547" ht="30" customHeight="1"/>
    <row r="18548" ht="30" customHeight="1"/>
    <row r="18549" ht="30" customHeight="1"/>
    <row r="18550" ht="30" customHeight="1"/>
    <row r="18551" ht="30" customHeight="1"/>
    <row r="18552" ht="30" customHeight="1"/>
    <row r="18553" ht="30" customHeight="1"/>
    <row r="18554" ht="30" customHeight="1"/>
    <row r="18555" ht="30" customHeight="1"/>
    <row r="18556" ht="30" customHeight="1"/>
    <row r="18557" ht="30" customHeight="1"/>
    <row r="18558" ht="30" customHeight="1"/>
    <row r="18559" ht="30" customHeight="1"/>
    <row r="18560" ht="30" customHeight="1"/>
    <row r="18561" ht="30" customHeight="1"/>
    <row r="18562" ht="30" customHeight="1"/>
    <row r="18563" ht="30" customHeight="1"/>
    <row r="18564" ht="30" customHeight="1"/>
    <row r="18565" ht="30" customHeight="1"/>
    <row r="18566" ht="30" customHeight="1"/>
    <row r="18567" ht="30" customHeight="1"/>
    <row r="18568" ht="30" customHeight="1"/>
    <row r="18569" ht="30" customHeight="1"/>
    <row r="18570" ht="30" customHeight="1"/>
    <row r="18571" ht="30" customHeight="1"/>
    <row r="18572" ht="30" customHeight="1"/>
    <row r="18573" ht="30" customHeight="1"/>
    <row r="18574" ht="30" customHeight="1"/>
    <row r="18575" ht="30" customHeight="1"/>
    <row r="18576" ht="30" customHeight="1"/>
    <row r="18577" ht="30" customHeight="1"/>
    <row r="18578" ht="30" customHeight="1"/>
    <row r="18579" ht="30" customHeight="1"/>
    <row r="18580" ht="30" customHeight="1"/>
    <row r="18581" ht="30" customHeight="1"/>
    <row r="18582" ht="30" customHeight="1"/>
    <row r="18583" ht="30" customHeight="1"/>
    <row r="18584" ht="30" customHeight="1"/>
    <row r="18585" ht="30" customHeight="1"/>
    <row r="18586" ht="30" customHeight="1"/>
    <row r="18587" ht="30" customHeight="1"/>
    <row r="18588" ht="30" customHeight="1"/>
    <row r="18589" ht="30" customHeight="1"/>
    <row r="18590" ht="30" customHeight="1"/>
    <row r="18591" ht="30" customHeight="1"/>
    <row r="18592" ht="30" customHeight="1"/>
    <row r="18593" ht="30" customHeight="1"/>
    <row r="18594" ht="30" customHeight="1"/>
    <row r="18595" ht="30" customHeight="1"/>
    <row r="18596" ht="30" customHeight="1"/>
    <row r="18597" ht="30" customHeight="1"/>
    <row r="18598" ht="30" customHeight="1"/>
    <row r="18599" ht="30" customHeight="1"/>
    <row r="18600" ht="30" customHeight="1"/>
    <row r="18601" ht="30" customHeight="1"/>
    <row r="18602" ht="30" customHeight="1"/>
    <row r="18603" ht="30" customHeight="1"/>
    <row r="18604" ht="30" customHeight="1"/>
    <row r="18605" ht="30" customHeight="1"/>
    <row r="18606" ht="30" customHeight="1"/>
    <row r="18607" ht="30" customHeight="1"/>
    <row r="18608" ht="30" customHeight="1"/>
    <row r="18609" ht="30" customHeight="1"/>
    <row r="18610" ht="30" customHeight="1"/>
    <row r="18611" ht="30" customHeight="1"/>
    <row r="18612" ht="30" customHeight="1"/>
    <row r="18613" ht="30" customHeight="1"/>
    <row r="18614" ht="30" customHeight="1"/>
    <row r="18615" ht="30" customHeight="1"/>
    <row r="18616" ht="30" customHeight="1"/>
    <row r="18617" ht="30" customHeight="1"/>
    <row r="18618" ht="30" customHeight="1"/>
    <row r="18619" ht="30" customHeight="1"/>
    <row r="18620" ht="30" customHeight="1"/>
    <row r="18621" ht="30" customHeight="1"/>
    <row r="18622" ht="30" customHeight="1"/>
    <row r="18623" ht="30" customHeight="1"/>
    <row r="18624" ht="30" customHeight="1"/>
    <row r="18625" ht="30" customHeight="1"/>
    <row r="18626" ht="30" customHeight="1"/>
    <row r="18627" ht="30" customHeight="1"/>
    <row r="18628" ht="30" customHeight="1"/>
    <row r="18629" ht="30" customHeight="1"/>
    <row r="18630" ht="30" customHeight="1"/>
    <row r="18631" ht="30" customHeight="1"/>
    <row r="18632" ht="30" customHeight="1"/>
    <row r="18633" ht="30" customHeight="1"/>
    <row r="18634" ht="30" customHeight="1"/>
    <row r="18635" ht="30" customHeight="1"/>
    <row r="18636" ht="30" customHeight="1"/>
    <row r="18637" ht="30" customHeight="1"/>
    <row r="18638" ht="30" customHeight="1"/>
    <row r="18639" ht="30" customHeight="1"/>
    <row r="18640" ht="30" customHeight="1"/>
    <row r="18641" ht="30" customHeight="1"/>
    <row r="18642" ht="30" customHeight="1"/>
    <row r="18643" ht="30" customHeight="1"/>
    <row r="18644" ht="30" customHeight="1"/>
    <row r="18645" ht="30" customHeight="1"/>
    <row r="18646" ht="30" customHeight="1"/>
    <row r="18647" ht="30" customHeight="1"/>
    <row r="18648" ht="30" customHeight="1"/>
    <row r="18649" ht="30" customHeight="1"/>
    <row r="18650" ht="30" customHeight="1"/>
    <row r="18651" ht="30" customHeight="1"/>
    <row r="18652" ht="30" customHeight="1"/>
    <row r="18653" ht="30" customHeight="1"/>
    <row r="18654" ht="30" customHeight="1"/>
    <row r="18655" ht="30" customHeight="1"/>
    <row r="18656" ht="30" customHeight="1"/>
    <row r="18657" ht="30" customHeight="1"/>
    <row r="18658" ht="30" customHeight="1"/>
    <row r="18659" ht="30" customHeight="1"/>
    <row r="18660" ht="30" customHeight="1"/>
    <row r="18661" ht="30" customHeight="1"/>
    <row r="18662" ht="30" customHeight="1"/>
    <row r="18663" ht="30" customHeight="1"/>
    <row r="18664" ht="30" customHeight="1"/>
    <row r="18665" ht="30" customHeight="1"/>
    <row r="18666" ht="30" customHeight="1"/>
    <row r="18667" ht="30" customHeight="1"/>
    <row r="18668" ht="30" customHeight="1"/>
    <row r="18669" ht="30" customHeight="1"/>
    <row r="18670" ht="30" customHeight="1"/>
    <row r="18671" ht="30" customHeight="1"/>
    <row r="18672" ht="30" customHeight="1"/>
    <row r="18673" ht="30" customHeight="1"/>
    <row r="18674" ht="30" customHeight="1"/>
    <row r="18675" ht="30" customHeight="1"/>
    <row r="18676" ht="30" customHeight="1"/>
    <row r="18677" ht="30" customHeight="1"/>
    <row r="18678" ht="30" customHeight="1"/>
    <row r="18679" ht="30" customHeight="1"/>
    <row r="18680" ht="30" customHeight="1"/>
    <row r="18681" ht="30" customHeight="1"/>
    <row r="18682" ht="30" customHeight="1"/>
    <row r="18683" ht="30" customHeight="1"/>
    <row r="18684" ht="30" customHeight="1"/>
    <row r="18685" ht="30" customHeight="1"/>
    <row r="18686" ht="30" customHeight="1"/>
    <row r="18687" ht="30" customHeight="1"/>
    <row r="18688" ht="30" customHeight="1"/>
    <row r="18689" ht="30" customHeight="1"/>
    <row r="18690" ht="30" customHeight="1"/>
    <row r="18691" ht="30" customHeight="1"/>
    <row r="18692" ht="30" customHeight="1"/>
    <row r="18693" ht="30" customHeight="1"/>
    <row r="18694" ht="30" customHeight="1"/>
    <row r="18695" ht="30" customHeight="1"/>
    <row r="18696" ht="30" customHeight="1"/>
    <row r="18697" ht="30" customHeight="1"/>
    <row r="18698" ht="30" customHeight="1"/>
    <row r="18699" ht="30" customHeight="1"/>
    <row r="18700" ht="30" customHeight="1"/>
    <row r="18701" ht="30" customHeight="1"/>
    <row r="18702" ht="30" customHeight="1"/>
    <row r="18703" ht="30" customHeight="1"/>
    <row r="18704" ht="30" customHeight="1"/>
    <row r="18705" ht="30" customHeight="1"/>
    <row r="18706" ht="30" customHeight="1"/>
    <row r="18707" ht="30" customHeight="1"/>
    <row r="18708" ht="30" customHeight="1"/>
    <row r="18709" ht="30" customHeight="1"/>
    <row r="18710" ht="30" customHeight="1"/>
    <row r="18711" ht="30" customHeight="1"/>
    <row r="18712" ht="30" customHeight="1"/>
    <row r="18713" ht="30" customHeight="1"/>
    <row r="18714" ht="30" customHeight="1"/>
    <row r="18715" ht="30" customHeight="1"/>
    <row r="18716" ht="30" customHeight="1"/>
    <row r="18717" ht="30" customHeight="1"/>
    <row r="18718" ht="30" customHeight="1"/>
    <row r="18719" ht="30" customHeight="1"/>
    <row r="18720" ht="30" customHeight="1"/>
    <row r="18721" ht="30" customHeight="1"/>
    <row r="18722" ht="30" customHeight="1"/>
    <row r="18723" ht="30" customHeight="1"/>
    <row r="18724" ht="30" customHeight="1"/>
    <row r="18725" ht="30" customHeight="1"/>
    <row r="18726" ht="30" customHeight="1"/>
    <row r="18727" ht="30" customHeight="1"/>
    <row r="18728" ht="30" customHeight="1"/>
    <row r="18729" ht="30" customHeight="1"/>
    <row r="18730" ht="30" customHeight="1"/>
    <row r="18731" ht="30" customHeight="1"/>
    <row r="18732" ht="30" customHeight="1"/>
    <row r="18733" ht="30" customHeight="1"/>
    <row r="18734" ht="30" customHeight="1"/>
    <row r="18735" ht="30" customHeight="1"/>
    <row r="18736" ht="30" customHeight="1"/>
    <row r="18737" ht="30" customHeight="1"/>
    <row r="18738" ht="30" customHeight="1"/>
    <row r="18739" ht="30" customHeight="1"/>
    <row r="18740" ht="30" customHeight="1"/>
    <row r="18741" ht="30" customHeight="1"/>
    <row r="18742" ht="30" customHeight="1"/>
    <row r="18743" ht="30" customHeight="1"/>
    <row r="18744" ht="30" customHeight="1"/>
    <row r="18745" ht="30" customHeight="1"/>
    <row r="18746" ht="30" customHeight="1"/>
    <row r="18747" ht="30" customHeight="1"/>
    <row r="18748" ht="30" customHeight="1"/>
    <row r="18749" ht="30" customHeight="1"/>
    <row r="18750" ht="30" customHeight="1"/>
    <row r="18751" ht="30" customHeight="1"/>
    <row r="18752" ht="30" customHeight="1"/>
    <row r="18753" ht="30" customHeight="1"/>
    <row r="18754" ht="30" customHeight="1"/>
    <row r="18755" ht="30" customHeight="1"/>
    <row r="18756" ht="30" customHeight="1"/>
    <row r="18757" ht="30" customHeight="1"/>
    <row r="18758" ht="30" customHeight="1"/>
    <row r="18759" ht="30" customHeight="1"/>
    <row r="18760" ht="30" customHeight="1"/>
    <row r="18761" ht="30" customHeight="1"/>
    <row r="18762" ht="30" customHeight="1"/>
    <row r="18763" ht="30" customHeight="1"/>
    <row r="18764" ht="30" customHeight="1"/>
    <row r="18765" ht="30" customHeight="1"/>
    <row r="18766" ht="30" customHeight="1"/>
    <row r="18767" ht="30" customHeight="1"/>
    <row r="18768" ht="30" customHeight="1"/>
    <row r="18769" ht="30" customHeight="1"/>
    <row r="18770" ht="30" customHeight="1"/>
    <row r="18771" ht="30" customHeight="1"/>
    <row r="18772" ht="30" customHeight="1"/>
    <row r="18773" ht="30" customHeight="1"/>
    <row r="18774" ht="30" customHeight="1"/>
    <row r="18775" ht="30" customHeight="1"/>
    <row r="18776" ht="30" customHeight="1"/>
    <row r="18777" ht="30" customHeight="1"/>
    <row r="18778" ht="30" customHeight="1"/>
    <row r="18779" ht="30" customHeight="1"/>
    <row r="18780" ht="30" customHeight="1"/>
    <row r="18781" ht="30" customHeight="1"/>
    <row r="18782" ht="30" customHeight="1"/>
    <row r="18783" ht="30" customHeight="1"/>
    <row r="18784" ht="30" customHeight="1"/>
    <row r="18785" ht="30" customHeight="1"/>
    <row r="18786" ht="30" customHeight="1"/>
    <row r="18787" ht="30" customHeight="1"/>
    <row r="18788" ht="30" customHeight="1"/>
    <row r="18789" ht="30" customHeight="1"/>
    <row r="18790" ht="30" customHeight="1"/>
    <row r="18791" ht="30" customHeight="1"/>
    <row r="18792" ht="30" customHeight="1"/>
    <row r="18793" ht="30" customHeight="1"/>
    <row r="18794" ht="30" customHeight="1"/>
    <row r="18795" ht="30" customHeight="1"/>
    <row r="18796" ht="30" customHeight="1"/>
    <row r="18797" ht="30" customHeight="1"/>
    <row r="18798" ht="30" customHeight="1"/>
    <row r="18799" ht="30" customHeight="1"/>
    <row r="18800" ht="30" customHeight="1"/>
    <row r="18801" ht="30" customHeight="1"/>
    <row r="18802" ht="30" customHeight="1"/>
    <row r="18803" ht="30" customHeight="1"/>
    <row r="18804" ht="30" customHeight="1"/>
    <row r="18805" ht="30" customHeight="1"/>
    <row r="18806" ht="30" customHeight="1"/>
    <row r="18807" ht="30" customHeight="1"/>
    <row r="18808" ht="30" customHeight="1"/>
    <row r="18809" ht="30" customHeight="1"/>
    <row r="18810" ht="30" customHeight="1"/>
    <row r="18811" ht="30" customHeight="1"/>
    <row r="18812" ht="30" customHeight="1"/>
    <row r="18813" ht="30" customHeight="1"/>
    <row r="18814" ht="30" customHeight="1"/>
    <row r="18815" ht="30" customHeight="1"/>
    <row r="18816" ht="30" customHeight="1"/>
    <row r="18817" ht="30" customHeight="1"/>
    <row r="18818" ht="30" customHeight="1"/>
    <row r="18819" ht="30" customHeight="1"/>
    <row r="18820" ht="30" customHeight="1"/>
    <row r="18821" ht="30" customHeight="1"/>
    <row r="18822" ht="30" customHeight="1"/>
    <row r="18823" ht="30" customHeight="1"/>
    <row r="18824" ht="30" customHeight="1"/>
    <row r="18825" ht="30" customHeight="1"/>
    <row r="18826" ht="30" customHeight="1"/>
    <row r="18827" ht="30" customHeight="1"/>
    <row r="18828" ht="30" customHeight="1"/>
    <row r="18829" ht="30" customHeight="1"/>
    <row r="18830" ht="30" customHeight="1"/>
    <row r="18831" ht="30" customHeight="1"/>
    <row r="18832" ht="30" customHeight="1"/>
    <row r="18833" ht="30" customHeight="1"/>
    <row r="18834" ht="30" customHeight="1"/>
    <row r="18835" ht="30" customHeight="1"/>
    <row r="18836" ht="30" customHeight="1"/>
    <row r="18837" ht="30" customHeight="1"/>
    <row r="18838" ht="30" customHeight="1"/>
    <row r="18839" ht="30" customHeight="1"/>
    <row r="18840" ht="30" customHeight="1"/>
    <row r="18841" ht="30" customHeight="1"/>
    <row r="18842" ht="30" customHeight="1"/>
    <row r="18843" ht="30" customHeight="1"/>
    <row r="18844" ht="30" customHeight="1"/>
    <row r="18845" ht="30" customHeight="1"/>
    <row r="18846" ht="30" customHeight="1"/>
    <row r="18847" ht="30" customHeight="1"/>
    <row r="18848" ht="30" customHeight="1"/>
    <row r="18849" ht="30" customHeight="1"/>
    <row r="18850" ht="30" customHeight="1"/>
    <row r="18851" ht="30" customHeight="1"/>
    <row r="18852" ht="30" customHeight="1"/>
    <row r="18853" ht="30" customHeight="1"/>
    <row r="18854" ht="30" customHeight="1"/>
    <row r="18855" ht="30" customHeight="1"/>
    <row r="18856" ht="30" customHeight="1"/>
    <row r="18857" ht="30" customHeight="1"/>
    <row r="18858" ht="30" customHeight="1"/>
    <row r="18859" ht="30" customHeight="1"/>
    <row r="18860" ht="30" customHeight="1"/>
    <row r="18861" ht="30" customHeight="1"/>
    <row r="18862" ht="30" customHeight="1"/>
    <row r="18863" ht="30" customHeight="1"/>
    <row r="18864" ht="30" customHeight="1"/>
    <row r="18865" ht="30" customHeight="1"/>
    <row r="18866" ht="30" customHeight="1"/>
    <row r="18867" ht="30" customHeight="1"/>
    <row r="18868" ht="30" customHeight="1"/>
    <row r="18869" ht="30" customHeight="1"/>
    <row r="18870" ht="30" customHeight="1"/>
    <row r="18871" ht="30" customHeight="1"/>
    <row r="18872" ht="30" customHeight="1"/>
    <row r="18873" ht="30" customHeight="1"/>
    <row r="18874" ht="30" customHeight="1"/>
    <row r="18875" ht="30" customHeight="1"/>
    <row r="18876" ht="30" customHeight="1"/>
    <row r="18877" ht="30" customHeight="1"/>
    <row r="18878" ht="30" customHeight="1"/>
    <row r="18879" ht="30" customHeight="1"/>
    <row r="18880" ht="30" customHeight="1"/>
    <row r="18881" ht="30" customHeight="1"/>
    <row r="18882" ht="30" customHeight="1"/>
    <row r="18883" ht="30" customHeight="1"/>
    <row r="18884" ht="30" customHeight="1"/>
    <row r="18885" ht="30" customHeight="1"/>
    <row r="18886" ht="30" customHeight="1"/>
    <row r="18887" ht="30" customHeight="1"/>
    <row r="18888" ht="30" customHeight="1"/>
    <row r="18889" ht="30" customHeight="1"/>
    <row r="18890" ht="30" customHeight="1"/>
    <row r="18891" ht="30" customHeight="1"/>
    <row r="18892" ht="30" customHeight="1"/>
    <row r="18893" ht="30" customHeight="1"/>
    <row r="18894" ht="30" customHeight="1"/>
    <row r="18895" ht="30" customHeight="1"/>
    <row r="18896" ht="30" customHeight="1"/>
    <row r="18897" ht="30" customHeight="1"/>
    <row r="18898" ht="30" customHeight="1"/>
    <row r="18899" ht="30" customHeight="1"/>
    <row r="18900" ht="30" customHeight="1"/>
    <row r="18901" ht="30" customHeight="1"/>
    <row r="18902" ht="30" customHeight="1"/>
    <row r="18903" ht="30" customHeight="1"/>
    <row r="18904" ht="30" customHeight="1"/>
    <row r="18905" ht="30" customHeight="1"/>
    <row r="18906" ht="30" customHeight="1"/>
    <row r="18907" ht="30" customHeight="1"/>
    <row r="18908" ht="30" customHeight="1"/>
    <row r="18909" ht="30" customHeight="1"/>
    <row r="18910" ht="30" customHeight="1"/>
    <row r="18911" ht="30" customHeight="1"/>
    <row r="18912" ht="30" customHeight="1"/>
    <row r="18913" ht="30" customHeight="1"/>
    <row r="18914" ht="30" customHeight="1"/>
    <row r="18915" ht="30" customHeight="1"/>
    <row r="18916" ht="30" customHeight="1"/>
    <row r="18917" ht="30" customHeight="1"/>
    <row r="18918" ht="30" customHeight="1"/>
    <row r="18919" ht="30" customHeight="1"/>
    <row r="18920" ht="30" customHeight="1"/>
    <row r="18921" ht="30" customHeight="1"/>
    <row r="18922" ht="30" customHeight="1"/>
    <row r="18923" ht="30" customHeight="1"/>
    <row r="18924" ht="30" customHeight="1"/>
    <row r="18925" ht="30" customHeight="1"/>
    <row r="18926" ht="30" customHeight="1"/>
    <row r="18927" ht="30" customHeight="1"/>
    <row r="18928" ht="30" customHeight="1"/>
    <row r="18929" ht="30" customHeight="1"/>
    <row r="18930" ht="30" customHeight="1"/>
    <row r="18931" ht="30" customHeight="1"/>
    <row r="18932" ht="30" customHeight="1"/>
    <row r="18933" ht="30" customHeight="1"/>
    <row r="18934" ht="30" customHeight="1"/>
    <row r="18935" ht="30" customHeight="1"/>
    <row r="18936" ht="30" customHeight="1"/>
    <row r="18937" ht="30" customHeight="1"/>
    <row r="18938" ht="30" customHeight="1"/>
    <row r="18939" ht="30" customHeight="1"/>
    <row r="18940" ht="30" customHeight="1"/>
    <row r="18941" ht="30" customHeight="1"/>
    <row r="18942" ht="30" customHeight="1"/>
    <row r="18943" ht="30" customHeight="1"/>
    <row r="18944" ht="30" customHeight="1"/>
    <row r="18945" ht="30" customHeight="1"/>
    <row r="18946" ht="30" customHeight="1"/>
    <row r="18947" ht="30" customHeight="1"/>
    <row r="18948" ht="30" customHeight="1"/>
    <row r="18949" ht="30" customHeight="1"/>
    <row r="18950" ht="30" customHeight="1"/>
    <row r="18951" ht="30" customHeight="1"/>
    <row r="18952" ht="30" customHeight="1"/>
    <row r="18953" ht="30" customHeight="1"/>
    <row r="18954" ht="30" customHeight="1"/>
    <row r="18955" ht="30" customHeight="1"/>
    <row r="18956" ht="30" customHeight="1"/>
    <row r="18957" ht="30" customHeight="1"/>
    <row r="18958" ht="30" customHeight="1"/>
    <row r="18959" ht="30" customHeight="1"/>
    <row r="18960" ht="30" customHeight="1"/>
    <row r="18961" ht="30" customHeight="1"/>
    <row r="18962" ht="30" customHeight="1"/>
    <row r="18963" ht="30" customHeight="1"/>
    <row r="18964" ht="30" customHeight="1"/>
    <row r="18965" ht="30" customHeight="1"/>
    <row r="18966" ht="30" customHeight="1"/>
    <row r="18967" ht="30" customHeight="1"/>
    <row r="18968" ht="30" customHeight="1"/>
    <row r="18969" ht="30" customHeight="1"/>
    <row r="18970" ht="30" customHeight="1"/>
    <row r="18971" ht="30" customHeight="1"/>
    <row r="18972" ht="30" customHeight="1"/>
    <row r="18973" ht="30" customHeight="1"/>
    <row r="18974" ht="30" customHeight="1"/>
    <row r="18975" ht="30" customHeight="1"/>
    <row r="18976" ht="30" customHeight="1"/>
    <row r="18977" ht="30" customHeight="1"/>
    <row r="18978" ht="30" customHeight="1"/>
    <row r="18979" ht="30" customHeight="1"/>
    <row r="18980" ht="30" customHeight="1"/>
    <row r="18981" ht="30" customHeight="1"/>
    <row r="18982" ht="30" customHeight="1"/>
    <row r="18983" ht="30" customHeight="1"/>
    <row r="18984" ht="30" customHeight="1"/>
    <row r="18985" ht="30" customHeight="1"/>
    <row r="18986" ht="30" customHeight="1"/>
    <row r="18987" ht="30" customHeight="1"/>
    <row r="18988" ht="30" customHeight="1"/>
    <row r="18989" ht="30" customHeight="1"/>
    <row r="18990" ht="30" customHeight="1"/>
    <row r="18991" ht="30" customHeight="1"/>
    <row r="18992" ht="30" customHeight="1"/>
    <row r="18993" ht="30" customHeight="1"/>
    <row r="18994" ht="30" customHeight="1"/>
    <row r="18995" ht="30" customHeight="1"/>
    <row r="18996" ht="30" customHeight="1"/>
    <row r="18997" ht="30" customHeight="1"/>
    <row r="18998" ht="30" customHeight="1"/>
    <row r="18999" ht="30" customHeight="1"/>
    <row r="19000" ht="30" customHeight="1"/>
    <row r="19001" ht="30" customHeight="1"/>
    <row r="19002" ht="30" customHeight="1"/>
    <row r="19003" ht="30" customHeight="1"/>
    <row r="19004" ht="30" customHeight="1"/>
    <row r="19005" ht="30" customHeight="1"/>
    <row r="19006" ht="30" customHeight="1"/>
    <row r="19007" ht="30" customHeight="1"/>
    <row r="19008" ht="30" customHeight="1"/>
    <row r="19009" ht="30" customHeight="1"/>
    <row r="19010" ht="30" customHeight="1"/>
    <row r="19011" ht="30" customHeight="1"/>
    <row r="19012" ht="30" customHeight="1"/>
    <row r="19013" ht="30" customHeight="1"/>
    <row r="19014" ht="30" customHeight="1"/>
    <row r="19015" ht="30" customHeight="1"/>
    <row r="19016" ht="30" customHeight="1"/>
    <row r="19017" ht="30" customHeight="1"/>
    <row r="19018" ht="30" customHeight="1"/>
    <row r="19019" ht="30" customHeight="1"/>
    <row r="19020" ht="30" customHeight="1"/>
    <row r="19021" ht="30" customHeight="1"/>
    <row r="19022" ht="30" customHeight="1"/>
    <row r="19023" ht="30" customHeight="1"/>
    <row r="19024" ht="30" customHeight="1"/>
    <row r="19025" ht="30" customHeight="1"/>
    <row r="19026" ht="30" customHeight="1"/>
    <row r="19027" ht="30" customHeight="1"/>
    <row r="19028" ht="30" customHeight="1"/>
    <row r="19029" ht="30" customHeight="1"/>
    <row r="19030" ht="30" customHeight="1"/>
    <row r="19031" ht="30" customHeight="1"/>
    <row r="19032" ht="30" customHeight="1"/>
    <row r="19033" ht="30" customHeight="1"/>
    <row r="19034" ht="30" customHeight="1"/>
    <row r="19035" ht="30" customHeight="1"/>
    <row r="19036" ht="30" customHeight="1"/>
    <row r="19037" ht="30" customHeight="1"/>
    <row r="19038" ht="30" customHeight="1"/>
    <row r="19039" ht="30" customHeight="1"/>
    <row r="19040" ht="30" customHeight="1"/>
    <row r="19041" ht="30" customHeight="1"/>
    <row r="19042" ht="30" customHeight="1"/>
    <row r="19043" ht="30" customHeight="1"/>
    <row r="19044" ht="30" customHeight="1"/>
    <row r="19045" ht="30" customHeight="1"/>
    <row r="19046" ht="30" customHeight="1"/>
    <row r="19047" ht="30" customHeight="1"/>
    <row r="19048" ht="30" customHeight="1"/>
    <row r="19049" ht="30" customHeight="1"/>
    <row r="19050" ht="30" customHeight="1"/>
    <row r="19051" ht="30" customHeight="1"/>
    <row r="19052" ht="30" customHeight="1"/>
    <row r="19053" ht="30" customHeight="1"/>
    <row r="19054" ht="30" customHeight="1"/>
    <row r="19055" ht="30" customHeight="1"/>
    <row r="19056" ht="30" customHeight="1"/>
    <row r="19057" ht="30" customHeight="1"/>
    <row r="19058" ht="30" customHeight="1"/>
    <row r="19059" ht="30" customHeight="1"/>
    <row r="19060" ht="30" customHeight="1"/>
    <row r="19061" ht="30" customHeight="1"/>
    <row r="19062" ht="30" customHeight="1"/>
    <row r="19063" ht="30" customHeight="1"/>
    <row r="19064" ht="30" customHeight="1"/>
    <row r="19065" ht="30" customHeight="1"/>
    <row r="19066" ht="30" customHeight="1"/>
    <row r="19067" ht="30" customHeight="1"/>
    <row r="19068" ht="30" customHeight="1"/>
    <row r="19069" ht="30" customHeight="1"/>
    <row r="19070" ht="30" customHeight="1"/>
    <row r="19071" ht="30" customHeight="1"/>
    <row r="19072" ht="30" customHeight="1"/>
    <row r="19073" ht="30" customHeight="1"/>
    <row r="19074" ht="30" customHeight="1"/>
    <row r="19075" ht="30" customHeight="1"/>
    <row r="19076" ht="30" customHeight="1"/>
    <row r="19077" ht="30" customHeight="1"/>
    <row r="19078" ht="30" customHeight="1"/>
    <row r="19079" ht="30" customHeight="1"/>
    <row r="19080" ht="30" customHeight="1"/>
    <row r="19081" ht="30" customHeight="1"/>
    <row r="19082" ht="30" customHeight="1"/>
    <row r="19083" ht="30" customHeight="1"/>
    <row r="19084" ht="30" customHeight="1"/>
    <row r="19085" ht="30" customHeight="1"/>
    <row r="19086" ht="30" customHeight="1"/>
    <row r="19087" ht="30" customHeight="1"/>
    <row r="19088" ht="30" customHeight="1"/>
    <row r="19089" ht="30" customHeight="1"/>
    <row r="19090" ht="30" customHeight="1"/>
    <row r="19091" ht="30" customHeight="1"/>
    <row r="19092" ht="30" customHeight="1"/>
    <row r="19093" ht="30" customHeight="1"/>
    <row r="19094" ht="30" customHeight="1"/>
    <row r="19095" ht="30" customHeight="1"/>
    <row r="19096" ht="30" customHeight="1"/>
    <row r="19097" ht="30" customHeight="1"/>
    <row r="19098" ht="30" customHeight="1"/>
    <row r="19099" ht="30" customHeight="1"/>
    <row r="19100" ht="30" customHeight="1"/>
    <row r="19101" ht="30" customHeight="1"/>
    <row r="19102" ht="30" customHeight="1"/>
    <row r="19103" ht="30" customHeight="1"/>
    <row r="19104" ht="30" customHeight="1"/>
    <row r="19105" ht="30" customHeight="1"/>
    <row r="19106" ht="30" customHeight="1"/>
    <row r="19107" ht="30" customHeight="1"/>
    <row r="19108" ht="30" customHeight="1"/>
    <row r="19109" ht="30" customHeight="1"/>
    <row r="19110" ht="30" customHeight="1"/>
    <row r="19111" ht="30" customHeight="1"/>
    <row r="19112" ht="30" customHeight="1"/>
    <row r="19113" ht="30" customHeight="1"/>
    <row r="19114" ht="30" customHeight="1"/>
    <row r="19115" ht="30" customHeight="1"/>
    <row r="19116" ht="30" customHeight="1"/>
    <row r="19117" ht="30" customHeight="1"/>
    <row r="19118" ht="30" customHeight="1"/>
    <row r="19119" ht="30" customHeight="1"/>
    <row r="19120" ht="30" customHeight="1"/>
    <row r="19121" ht="30" customHeight="1"/>
    <row r="19122" ht="30" customHeight="1"/>
    <row r="19123" ht="30" customHeight="1"/>
    <row r="19124" ht="30" customHeight="1"/>
    <row r="19125" ht="30" customHeight="1"/>
    <row r="19126" ht="30" customHeight="1"/>
    <row r="19127" ht="30" customHeight="1"/>
    <row r="19128" ht="30" customHeight="1"/>
    <row r="19129" ht="30" customHeight="1"/>
    <row r="19130" ht="30" customHeight="1"/>
    <row r="19131" ht="30" customHeight="1"/>
    <row r="19132" ht="30" customHeight="1"/>
    <row r="19133" ht="30" customHeight="1"/>
    <row r="19134" ht="30" customHeight="1"/>
    <row r="19135" ht="30" customHeight="1"/>
    <row r="19136" ht="30" customHeight="1"/>
    <row r="19137" ht="30" customHeight="1"/>
    <row r="19138" ht="30" customHeight="1"/>
    <row r="19139" ht="30" customHeight="1"/>
    <row r="19140" ht="30" customHeight="1"/>
    <row r="19141" ht="30" customHeight="1"/>
    <row r="19142" ht="30" customHeight="1"/>
    <row r="19143" ht="30" customHeight="1"/>
    <row r="19144" ht="30" customHeight="1"/>
    <row r="19145" ht="30" customHeight="1"/>
    <row r="19146" ht="30" customHeight="1"/>
    <row r="19147" ht="30" customHeight="1"/>
    <row r="19148" ht="30" customHeight="1"/>
    <row r="19149" ht="30" customHeight="1"/>
    <row r="19150" ht="30" customHeight="1"/>
    <row r="19151" ht="30" customHeight="1"/>
    <row r="19152" ht="30" customHeight="1"/>
    <row r="19153" ht="30" customHeight="1"/>
    <row r="19154" ht="30" customHeight="1"/>
    <row r="19155" ht="30" customHeight="1"/>
    <row r="19156" ht="30" customHeight="1"/>
    <row r="19157" ht="30" customHeight="1"/>
    <row r="19158" ht="30" customHeight="1"/>
    <row r="19159" ht="30" customHeight="1"/>
    <row r="19160" ht="30" customHeight="1"/>
    <row r="19161" ht="30" customHeight="1"/>
    <row r="19162" ht="30" customHeight="1"/>
    <row r="19163" ht="30" customHeight="1"/>
    <row r="19164" ht="30" customHeight="1"/>
    <row r="19165" ht="30" customHeight="1"/>
    <row r="19166" ht="30" customHeight="1"/>
    <row r="19167" ht="30" customHeight="1"/>
    <row r="19168" ht="30" customHeight="1"/>
    <row r="19169" ht="30" customHeight="1"/>
    <row r="19170" ht="30" customHeight="1"/>
    <row r="19171" ht="30" customHeight="1"/>
    <row r="19172" ht="30" customHeight="1"/>
    <row r="19173" ht="30" customHeight="1"/>
    <row r="19174" ht="30" customHeight="1"/>
    <row r="19175" ht="30" customHeight="1"/>
    <row r="19176" ht="30" customHeight="1"/>
    <row r="19177" ht="30" customHeight="1"/>
    <row r="19178" ht="30" customHeight="1"/>
    <row r="19179" ht="30" customHeight="1"/>
    <row r="19180" ht="30" customHeight="1"/>
    <row r="19181" ht="30" customHeight="1"/>
    <row r="19182" ht="30" customHeight="1"/>
    <row r="19183" ht="30" customHeight="1"/>
    <row r="19184" ht="30" customHeight="1"/>
    <row r="19185" ht="30" customHeight="1"/>
    <row r="19186" ht="30" customHeight="1"/>
    <row r="19187" ht="30" customHeight="1"/>
    <row r="19188" ht="30" customHeight="1"/>
    <row r="19189" ht="30" customHeight="1"/>
    <row r="19190" ht="30" customHeight="1"/>
    <row r="19191" ht="30" customHeight="1"/>
    <row r="19192" ht="30" customHeight="1"/>
    <row r="19193" ht="30" customHeight="1"/>
    <row r="19194" ht="30" customHeight="1"/>
    <row r="19195" ht="30" customHeight="1"/>
    <row r="19196" ht="30" customHeight="1"/>
    <row r="19197" ht="30" customHeight="1"/>
    <row r="19198" ht="30" customHeight="1"/>
    <row r="19199" ht="30" customHeight="1"/>
    <row r="19200" ht="30" customHeight="1"/>
    <row r="19201" ht="30" customHeight="1"/>
    <row r="19202" ht="30" customHeight="1"/>
    <row r="19203" ht="30" customHeight="1"/>
    <row r="19204" ht="30" customHeight="1"/>
    <row r="19205" ht="30" customHeight="1"/>
    <row r="19206" ht="30" customHeight="1"/>
    <row r="19207" ht="30" customHeight="1"/>
    <row r="19208" ht="30" customHeight="1"/>
    <row r="19209" ht="30" customHeight="1"/>
    <row r="19210" ht="30" customHeight="1"/>
    <row r="19211" ht="30" customHeight="1"/>
    <row r="19212" ht="30" customHeight="1"/>
    <row r="19213" ht="30" customHeight="1"/>
    <row r="19214" ht="30" customHeight="1"/>
    <row r="19215" ht="30" customHeight="1"/>
    <row r="19216" ht="30" customHeight="1"/>
    <row r="19217" ht="30" customHeight="1"/>
    <row r="19218" ht="30" customHeight="1"/>
    <row r="19219" ht="30" customHeight="1"/>
    <row r="19220" ht="30" customHeight="1"/>
    <row r="19221" ht="30" customHeight="1"/>
    <row r="19222" ht="30" customHeight="1"/>
    <row r="19223" ht="30" customHeight="1"/>
    <row r="19224" ht="30" customHeight="1"/>
    <row r="19225" ht="30" customHeight="1"/>
    <row r="19226" ht="30" customHeight="1"/>
    <row r="19227" ht="30" customHeight="1"/>
    <row r="19228" ht="30" customHeight="1"/>
    <row r="19229" ht="30" customHeight="1"/>
    <row r="19230" ht="30" customHeight="1"/>
    <row r="19231" ht="30" customHeight="1"/>
    <row r="19232" ht="30" customHeight="1"/>
    <row r="19233" ht="30" customHeight="1"/>
    <row r="19234" ht="30" customHeight="1"/>
    <row r="19235" ht="30" customHeight="1"/>
    <row r="19236" ht="30" customHeight="1"/>
    <row r="19237" ht="30" customHeight="1"/>
    <row r="19238" ht="30" customHeight="1"/>
    <row r="19239" ht="30" customHeight="1"/>
    <row r="19240" ht="30" customHeight="1"/>
    <row r="19241" ht="30" customHeight="1"/>
    <row r="19242" ht="30" customHeight="1"/>
    <row r="19243" ht="30" customHeight="1"/>
    <row r="19244" ht="30" customHeight="1"/>
    <row r="19245" ht="30" customHeight="1"/>
    <row r="19246" ht="30" customHeight="1"/>
    <row r="19247" ht="30" customHeight="1"/>
    <row r="19248" ht="30" customHeight="1"/>
    <row r="19249" ht="30" customHeight="1"/>
    <row r="19250" ht="30" customHeight="1"/>
    <row r="19251" ht="30" customHeight="1"/>
    <row r="19252" ht="30" customHeight="1"/>
    <row r="19253" ht="30" customHeight="1"/>
    <row r="19254" ht="30" customHeight="1"/>
    <row r="19255" ht="30" customHeight="1"/>
    <row r="19256" ht="30" customHeight="1"/>
    <row r="19257" ht="30" customHeight="1"/>
    <row r="19258" ht="30" customHeight="1"/>
    <row r="19259" ht="30" customHeight="1"/>
    <row r="19260" ht="30" customHeight="1"/>
    <row r="19261" ht="30" customHeight="1"/>
    <row r="19262" ht="30" customHeight="1"/>
    <row r="19263" ht="30" customHeight="1"/>
    <row r="19264" ht="30" customHeight="1"/>
    <row r="19265" ht="30" customHeight="1"/>
    <row r="19266" ht="30" customHeight="1"/>
    <row r="19267" ht="30" customHeight="1"/>
    <row r="19268" ht="30" customHeight="1"/>
    <row r="19269" ht="30" customHeight="1"/>
    <row r="19270" ht="30" customHeight="1"/>
    <row r="19271" ht="30" customHeight="1"/>
    <row r="19272" ht="30" customHeight="1"/>
    <row r="19273" ht="30" customHeight="1"/>
    <row r="19274" ht="30" customHeight="1"/>
    <row r="19275" ht="30" customHeight="1"/>
    <row r="19276" ht="30" customHeight="1"/>
    <row r="19277" ht="30" customHeight="1"/>
    <row r="19278" ht="30" customHeight="1"/>
    <row r="19279" ht="30" customHeight="1"/>
    <row r="19280" ht="30" customHeight="1"/>
    <row r="19281" ht="30" customHeight="1"/>
    <row r="19282" ht="30" customHeight="1"/>
    <row r="19283" ht="30" customHeight="1"/>
    <row r="19284" ht="30" customHeight="1"/>
    <row r="19285" ht="30" customHeight="1"/>
    <row r="19286" ht="30" customHeight="1"/>
    <row r="19287" ht="30" customHeight="1"/>
    <row r="19288" ht="30" customHeight="1"/>
    <row r="19289" ht="30" customHeight="1"/>
    <row r="19290" ht="30" customHeight="1"/>
    <row r="19291" ht="30" customHeight="1"/>
    <row r="19292" ht="30" customHeight="1"/>
    <row r="19293" ht="30" customHeight="1"/>
    <row r="19294" ht="30" customHeight="1"/>
    <row r="19295" ht="30" customHeight="1"/>
    <row r="19296" ht="30" customHeight="1"/>
    <row r="19297" ht="30" customHeight="1"/>
    <row r="19298" ht="30" customHeight="1"/>
    <row r="19299" ht="30" customHeight="1"/>
    <row r="19300" ht="30" customHeight="1"/>
    <row r="19301" ht="30" customHeight="1"/>
    <row r="19302" ht="30" customHeight="1"/>
    <row r="19303" ht="30" customHeight="1"/>
    <row r="19304" ht="30" customHeight="1"/>
    <row r="19305" ht="30" customHeight="1"/>
    <row r="19306" ht="30" customHeight="1"/>
    <row r="19307" ht="30" customHeight="1"/>
    <row r="19308" ht="30" customHeight="1"/>
    <row r="19309" ht="30" customHeight="1"/>
    <row r="19310" ht="30" customHeight="1"/>
    <row r="19311" ht="30" customHeight="1"/>
    <row r="19312" ht="30" customHeight="1"/>
    <row r="19313" ht="30" customHeight="1"/>
    <row r="19314" ht="30" customHeight="1"/>
    <row r="19315" ht="30" customHeight="1"/>
    <row r="19316" ht="30" customHeight="1"/>
    <row r="19317" ht="30" customHeight="1"/>
    <row r="19318" ht="30" customHeight="1"/>
    <row r="19319" ht="30" customHeight="1"/>
    <row r="19320" ht="30" customHeight="1"/>
    <row r="19321" ht="30" customHeight="1"/>
    <row r="19322" ht="30" customHeight="1"/>
    <row r="19323" ht="30" customHeight="1"/>
    <row r="19324" ht="30" customHeight="1"/>
    <row r="19325" ht="30" customHeight="1"/>
    <row r="19326" ht="30" customHeight="1"/>
    <row r="19327" ht="30" customHeight="1"/>
    <row r="19328" ht="30" customHeight="1"/>
    <row r="19329" ht="30" customHeight="1"/>
    <row r="19330" ht="30" customHeight="1"/>
    <row r="19331" ht="30" customHeight="1"/>
    <row r="19332" ht="30" customHeight="1"/>
    <row r="19333" ht="30" customHeight="1"/>
    <row r="19334" ht="30" customHeight="1"/>
    <row r="19335" ht="30" customHeight="1"/>
    <row r="19336" ht="30" customHeight="1"/>
    <row r="19337" ht="30" customHeight="1"/>
    <row r="19338" ht="30" customHeight="1"/>
    <row r="19339" ht="30" customHeight="1"/>
    <row r="19340" ht="30" customHeight="1"/>
    <row r="19341" ht="30" customHeight="1"/>
    <row r="19342" ht="30" customHeight="1"/>
    <row r="19343" ht="30" customHeight="1"/>
    <row r="19344" ht="30" customHeight="1"/>
    <row r="19345" ht="30" customHeight="1"/>
    <row r="19346" ht="30" customHeight="1"/>
    <row r="19347" ht="30" customHeight="1"/>
    <row r="19348" ht="30" customHeight="1"/>
    <row r="19349" ht="30" customHeight="1"/>
    <row r="19350" ht="30" customHeight="1"/>
    <row r="19351" ht="30" customHeight="1"/>
    <row r="19352" ht="30" customHeight="1"/>
    <row r="19353" ht="30" customHeight="1"/>
    <row r="19354" ht="30" customHeight="1"/>
    <row r="19355" ht="30" customHeight="1"/>
    <row r="19356" ht="30" customHeight="1"/>
    <row r="19357" ht="30" customHeight="1"/>
    <row r="19358" ht="30" customHeight="1"/>
    <row r="19359" ht="30" customHeight="1"/>
    <row r="19360" ht="30" customHeight="1"/>
    <row r="19361" ht="30" customHeight="1"/>
    <row r="19362" ht="30" customHeight="1"/>
    <row r="19363" ht="30" customHeight="1"/>
    <row r="19364" ht="30" customHeight="1"/>
    <row r="19365" ht="30" customHeight="1"/>
    <row r="19366" ht="30" customHeight="1"/>
    <row r="19367" ht="30" customHeight="1"/>
    <row r="19368" ht="30" customHeight="1"/>
    <row r="19369" ht="30" customHeight="1"/>
    <row r="19370" ht="30" customHeight="1"/>
    <row r="19371" ht="30" customHeight="1"/>
    <row r="19372" ht="30" customHeight="1"/>
    <row r="19373" ht="30" customHeight="1"/>
    <row r="19374" ht="30" customHeight="1"/>
    <row r="19375" ht="30" customHeight="1"/>
    <row r="19376" ht="30" customHeight="1"/>
    <row r="19377" ht="30" customHeight="1"/>
    <row r="19378" ht="30" customHeight="1"/>
    <row r="19379" ht="30" customHeight="1"/>
    <row r="19380" ht="30" customHeight="1"/>
    <row r="19381" ht="30" customHeight="1"/>
    <row r="19382" ht="30" customHeight="1"/>
    <row r="19383" ht="30" customHeight="1"/>
    <row r="19384" ht="30" customHeight="1"/>
    <row r="19385" ht="30" customHeight="1"/>
    <row r="19386" ht="30" customHeight="1"/>
    <row r="19387" ht="30" customHeight="1"/>
    <row r="19388" ht="30" customHeight="1"/>
    <row r="19389" ht="30" customHeight="1"/>
    <row r="19390" ht="30" customHeight="1"/>
    <row r="19391" ht="30" customHeight="1"/>
    <row r="19392" ht="30" customHeight="1"/>
    <row r="19393" ht="30" customHeight="1"/>
    <row r="19394" ht="30" customHeight="1"/>
    <row r="19395" ht="30" customHeight="1"/>
    <row r="19396" ht="30" customHeight="1"/>
    <row r="19397" ht="30" customHeight="1"/>
    <row r="19398" ht="30" customHeight="1"/>
    <row r="19399" ht="30" customHeight="1"/>
    <row r="19400" ht="30" customHeight="1"/>
    <row r="19401" ht="30" customHeight="1"/>
    <row r="19402" ht="30" customHeight="1"/>
    <row r="19403" ht="30" customHeight="1"/>
    <row r="19404" ht="30" customHeight="1"/>
    <row r="19405" ht="30" customHeight="1"/>
    <row r="19406" ht="30" customHeight="1"/>
    <row r="19407" ht="30" customHeight="1"/>
    <row r="19408" ht="30" customHeight="1"/>
    <row r="19409" ht="30" customHeight="1"/>
    <row r="19410" ht="30" customHeight="1"/>
    <row r="19411" ht="30" customHeight="1"/>
    <row r="19412" ht="30" customHeight="1"/>
    <row r="19413" ht="30" customHeight="1"/>
    <row r="19414" ht="30" customHeight="1"/>
    <row r="19415" ht="30" customHeight="1"/>
    <row r="19416" ht="30" customHeight="1"/>
    <row r="19417" ht="30" customHeight="1"/>
    <row r="19418" ht="30" customHeight="1"/>
    <row r="19419" ht="30" customHeight="1"/>
    <row r="19420" ht="30" customHeight="1"/>
    <row r="19421" ht="30" customHeight="1"/>
    <row r="19422" ht="30" customHeight="1"/>
    <row r="19423" ht="30" customHeight="1"/>
    <row r="19424" ht="30" customHeight="1"/>
    <row r="19425" ht="30" customHeight="1"/>
    <row r="19426" ht="30" customHeight="1"/>
    <row r="19427" ht="30" customHeight="1"/>
    <row r="19428" ht="30" customHeight="1"/>
    <row r="19429" ht="30" customHeight="1"/>
    <row r="19430" ht="30" customHeight="1"/>
    <row r="19431" ht="30" customHeight="1"/>
    <row r="19432" ht="30" customHeight="1"/>
    <row r="19433" ht="30" customHeight="1"/>
    <row r="19434" ht="30" customHeight="1"/>
    <row r="19435" ht="30" customHeight="1"/>
    <row r="19436" ht="30" customHeight="1"/>
    <row r="19437" ht="30" customHeight="1"/>
    <row r="19438" ht="30" customHeight="1"/>
    <row r="19439" ht="30" customHeight="1"/>
    <row r="19440" ht="30" customHeight="1"/>
    <row r="19441" ht="30" customHeight="1"/>
    <row r="19442" ht="30" customHeight="1"/>
    <row r="19443" ht="30" customHeight="1"/>
    <row r="19444" ht="30" customHeight="1"/>
    <row r="19445" ht="30" customHeight="1"/>
    <row r="19446" ht="30" customHeight="1"/>
    <row r="19447" ht="30" customHeight="1"/>
    <row r="19448" ht="30" customHeight="1"/>
    <row r="19449" ht="30" customHeight="1"/>
    <row r="19450" ht="30" customHeight="1"/>
    <row r="19451" ht="30" customHeight="1"/>
    <row r="19452" ht="30" customHeight="1"/>
    <row r="19453" ht="30" customHeight="1"/>
    <row r="19454" ht="30" customHeight="1"/>
    <row r="19455" ht="30" customHeight="1"/>
    <row r="19456" ht="30" customHeight="1"/>
    <row r="19457" ht="30" customHeight="1"/>
    <row r="19458" ht="30" customHeight="1"/>
    <row r="19459" ht="30" customHeight="1"/>
    <row r="19460" ht="30" customHeight="1"/>
    <row r="19461" ht="30" customHeight="1"/>
    <row r="19462" ht="30" customHeight="1"/>
    <row r="19463" ht="30" customHeight="1"/>
    <row r="19464" ht="30" customHeight="1"/>
    <row r="19465" ht="30" customHeight="1"/>
    <row r="19466" ht="30" customHeight="1"/>
    <row r="19467" ht="30" customHeight="1"/>
    <row r="19468" ht="30" customHeight="1"/>
    <row r="19469" ht="30" customHeight="1"/>
    <row r="19470" ht="30" customHeight="1"/>
    <row r="19471" ht="30" customHeight="1"/>
    <row r="19472" ht="30" customHeight="1"/>
    <row r="19473" ht="30" customHeight="1"/>
    <row r="19474" ht="30" customHeight="1"/>
    <row r="19475" ht="30" customHeight="1"/>
    <row r="19476" ht="30" customHeight="1"/>
    <row r="19477" ht="30" customHeight="1"/>
    <row r="19478" ht="30" customHeight="1"/>
    <row r="19479" ht="30" customHeight="1"/>
    <row r="19480" ht="30" customHeight="1"/>
    <row r="19481" ht="30" customHeight="1"/>
    <row r="19482" ht="30" customHeight="1"/>
    <row r="19483" ht="30" customHeight="1"/>
    <row r="19484" ht="30" customHeight="1"/>
    <row r="19485" ht="30" customHeight="1"/>
    <row r="19486" ht="30" customHeight="1"/>
    <row r="19487" ht="30" customHeight="1"/>
    <row r="19488" ht="30" customHeight="1"/>
    <row r="19489" ht="30" customHeight="1"/>
    <row r="19490" ht="30" customHeight="1"/>
    <row r="19491" ht="30" customHeight="1"/>
    <row r="19492" ht="30" customHeight="1"/>
    <row r="19493" ht="30" customHeight="1"/>
    <row r="19494" ht="30" customHeight="1"/>
    <row r="19495" ht="30" customHeight="1"/>
    <row r="19496" ht="30" customHeight="1"/>
    <row r="19497" ht="30" customHeight="1"/>
    <row r="19498" ht="30" customHeight="1"/>
    <row r="19499" ht="30" customHeight="1"/>
    <row r="19500" ht="30" customHeight="1"/>
    <row r="19501" ht="30" customHeight="1"/>
    <row r="19502" ht="30" customHeight="1"/>
    <row r="19503" ht="30" customHeight="1"/>
    <row r="19504" ht="30" customHeight="1"/>
    <row r="19505" ht="30" customHeight="1"/>
    <row r="19506" ht="30" customHeight="1"/>
    <row r="19507" ht="30" customHeight="1"/>
    <row r="19508" ht="30" customHeight="1"/>
    <row r="19509" ht="30" customHeight="1"/>
    <row r="19510" ht="30" customHeight="1"/>
    <row r="19511" ht="30" customHeight="1"/>
    <row r="19512" ht="30" customHeight="1"/>
    <row r="19513" ht="30" customHeight="1"/>
    <row r="19514" ht="30" customHeight="1"/>
    <row r="19515" ht="30" customHeight="1"/>
    <row r="19516" ht="30" customHeight="1"/>
    <row r="19517" ht="30" customHeight="1"/>
    <row r="19518" ht="30" customHeight="1"/>
    <row r="19519" ht="30" customHeight="1"/>
    <row r="19520" ht="30" customHeight="1"/>
    <row r="19521" ht="30" customHeight="1"/>
    <row r="19522" ht="30" customHeight="1"/>
    <row r="19523" ht="30" customHeight="1"/>
    <row r="19524" ht="30" customHeight="1"/>
    <row r="19525" ht="30" customHeight="1"/>
    <row r="19526" ht="30" customHeight="1"/>
    <row r="19527" ht="30" customHeight="1"/>
    <row r="19528" ht="30" customHeight="1"/>
    <row r="19529" ht="30" customHeight="1"/>
    <row r="19530" ht="30" customHeight="1"/>
    <row r="19531" ht="30" customHeight="1"/>
    <row r="19532" ht="30" customHeight="1"/>
    <row r="19533" ht="30" customHeight="1"/>
    <row r="19534" ht="30" customHeight="1"/>
    <row r="19535" ht="30" customHeight="1"/>
    <row r="19536" ht="30" customHeight="1"/>
    <row r="19537" ht="30" customHeight="1"/>
    <row r="19538" ht="30" customHeight="1"/>
    <row r="19539" ht="30" customHeight="1"/>
    <row r="19540" ht="30" customHeight="1"/>
    <row r="19541" ht="30" customHeight="1"/>
    <row r="19542" ht="30" customHeight="1"/>
    <row r="19543" ht="30" customHeight="1"/>
    <row r="19544" ht="30" customHeight="1"/>
    <row r="19545" ht="30" customHeight="1"/>
    <row r="19546" ht="30" customHeight="1"/>
    <row r="19547" ht="30" customHeight="1"/>
    <row r="19548" ht="30" customHeight="1"/>
    <row r="19549" ht="30" customHeight="1"/>
    <row r="19550" ht="30" customHeight="1"/>
    <row r="19551" ht="30" customHeight="1"/>
    <row r="19552" ht="30" customHeight="1"/>
    <row r="19553" ht="30" customHeight="1"/>
    <row r="19554" ht="30" customHeight="1"/>
    <row r="19555" ht="30" customHeight="1"/>
    <row r="19556" ht="30" customHeight="1"/>
    <row r="19557" ht="30" customHeight="1"/>
    <row r="19558" ht="30" customHeight="1"/>
    <row r="19559" ht="30" customHeight="1"/>
    <row r="19560" ht="30" customHeight="1"/>
    <row r="19561" ht="30" customHeight="1"/>
    <row r="19562" ht="30" customHeight="1"/>
    <row r="19563" ht="30" customHeight="1"/>
    <row r="19564" ht="30" customHeight="1"/>
    <row r="19565" ht="30" customHeight="1"/>
    <row r="19566" ht="30" customHeight="1"/>
    <row r="19567" ht="30" customHeight="1"/>
    <row r="19568" ht="30" customHeight="1"/>
    <row r="19569" ht="30" customHeight="1"/>
    <row r="19570" ht="30" customHeight="1"/>
    <row r="19571" ht="30" customHeight="1"/>
    <row r="19572" ht="30" customHeight="1"/>
    <row r="19573" ht="30" customHeight="1"/>
    <row r="19574" ht="30" customHeight="1"/>
    <row r="19575" ht="30" customHeight="1"/>
    <row r="19576" ht="30" customHeight="1"/>
    <row r="19577" ht="30" customHeight="1"/>
    <row r="19578" ht="30" customHeight="1"/>
    <row r="19579" ht="30" customHeight="1"/>
    <row r="19580" ht="30" customHeight="1"/>
    <row r="19581" ht="30" customHeight="1"/>
    <row r="19582" ht="30" customHeight="1"/>
    <row r="19583" ht="30" customHeight="1"/>
    <row r="19584" ht="30" customHeight="1"/>
    <row r="19585" ht="30" customHeight="1"/>
    <row r="19586" ht="30" customHeight="1"/>
    <row r="19587" ht="30" customHeight="1"/>
    <row r="19588" ht="30" customHeight="1"/>
    <row r="19589" ht="30" customHeight="1"/>
    <row r="19590" ht="30" customHeight="1"/>
    <row r="19591" ht="30" customHeight="1"/>
    <row r="19592" ht="30" customHeight="1"/>
    <row r="19593" ht="30" customHeight="1"/>
    <row r="19594" ht="30" customHeight="1"/>
    <row r="19595" ht="30" customHeight="1"/>
    <row r="19596" ht="30" customHeight="1"/>
    <row r="19597" ht="30" customHeight="1"/>
    <row r="19598" ht="30" customHeight="1"/>
    <row r="19599" ht="30" customHeight="1"/>
    <row r="19600" ht="30" customHeight="1"/>
    <row r="19601" ht="30" customHeight="1"/>
    <row r="19602" ht="30" customHeight="1"/>
    <row r="19603" ht="30" customHeight="1"/>
    <row r="19604" ht="30" customHeight="1"/>
    <row r="19605" ht="30" customHeight="1"/>
    <row r="19606" ht="30" customHeight="1"/>
    <row r="19607" ht="30" customHeight="1"/>
    <row r="19608" ht="30" customHeight="1"/>
    <row r="19609" ht="30" customHeight="1"/>
    <row r="19610" ht="30" customHeight="1"/>
    <row r="19611" ht="30" customHeight="1"/>
    <row r="19612" ht="30" customHeight="1"/>
    <row r="19613" ht="30" customHeight="1"/>
    <row r="19614" ht="30" customHeight="1"/>
    <row r="19615" ht="30" customHeight="1"/>
    <row r="19616" ht="30" customHeight="1"/>
    <row r="19617" ht="30" customHeight="1"/>
    <row r="19618" ht="30" customHeight="1"/>
    <row r="19619" ht="30" customHeight="1"/>
    <row r="19620" ht="30" customHeight="1"/>
    <row r="19621" ht="30" customHeight="1"/>
    <row r="19622" ht="30" customHeight="1"/>
    <row r="19623" ht="30" customHeight="1"/>
    <row r="19624" ht="30" customHeight="1"/>
    <row r="19625" ht="30" customHeight="1"/>
    <row r="19626" ht="30" customHeight="1"/>
    <row r="19627" ht="30" customHeight="1"/>
    <row r="19628" ht="30" customHeight="1"/>
    <row r="19629" ht="30" customHeight="1"/>
    <row r="19630" ht="30" customHeight="1"/>
    <row r="19631" ht="30" customHeight="1"/>
    <row r="19632" ht="30" customHeight="1"/>
    <row r="19633" ht="30" customHeight="1"/>
    <row r="19634" ht="30" customHeight="1"/>
    <row r="19635" ht="30" customHeight="1"/>
    <row r="19636" ht="30" customHeight="1"/>
    <row r="19637" ht="30" customHeight="1"/>
    <row r="19638" ht="30" customHeight="1"/>
    <row r="19639" ht="30" customHeight="1"/>
    <row r="19640" ht="30" customHeight="1"/>
    <row r="19641" ht="30" customHeight="1"/>
    <row r="19642" ht="30" customHeight="1"/>
    <row r="19643" ht="30" customHeight="1"/>
    <row r="19644" ht="30" customHeight="1"/>
    <row r="19645" ht="30" customHeight="1"/>
    <row r="19646" ht="30" customHeight="1"/>
    <row r="19647" ht="30" customHeight="1"/>
    <row r="19648" ht="30" customHeight="1"/>
    <row r="19649" ht="30" customHeight="1"/>
    <row r="19650" ht="30" customHeight="1"/>
    <row r="19651" ht="30" customHeight="1"/>
    <row r="19652" ht="30" customHeight="1"/>
    <row r="19653" ht="30" customHeight="1"/>
    <row r="19654" ht="30" customHeight="1"/>
    <row r="19655" ht="30" customHeight="1"/>
    <row r="19656" ht="30" customHeight="1"/>
    <row r="19657" ht="30" customHeight="1"/>
    <row r="19658" ht="30" customHeight="1"/>
    <row r="19659" ht="30" customHeight="1"/>
    <row r="19660" ht="30" customHeight="1"/>
    <row r="19661" ht="30" customHeight="1"/>
    <row r="19662" ht="30" customHeight="1"/>
    <row r="19663" ht="30" customHeight="1"/>
    <row r="19664" ht="30" customHeight="1"/>
    <row r="19665" ht="30" customHeight="1"/>
    <row r="19666" ht="30" customHeight="1"/>
    <row r="19667" ht="30" customHeight="1"/>
    <row r="19668" ht="30" customHeight="1"/>
    <row r="19669" ht="30" customHeight="1"/>
    <row r="19670" ht="30" customHeight="1"/>
    <row r="19671" ht="30" customHeight="1"/>
    <row r="19672" ht="30" customHeight="1"/>
    <row r="19673" ht="30" customHeight="1"/>
    <row r="19674" ht="30" customHeight="1"/>
    <row r="19675" ht="30" customHeight="1"/>
    <row r="19676" ht="30" customHeight="1"/>
    <row r="19677" ht="30" customHeight="1"/>
    <row r="19678" ht="30" customHeight="1"/>
    <row r="19679" ht="30" customHeight="1"/>
    <row r="19680" ht="30" customHeight="1"/>
    <row r="19681" ht="30" customHeight="1"/>
    <row r="19682" ht="30" customHeight="1"/>
    <row r="19683" ht="30" customHeight="1"/>
    <row r="19684" ht="30" customHeight="1"/>
    <row r="19685" ht="30" customHeight="1"/>
    <row r="19686" ht="30" customHeight="1"/>
    <row r="19687" ht="30" customHeight="1"/>
    <row r="19688" ht="30" customHeight="1"/>
    <row r="19689" ht="30" customHeight="1"/>
    <row r="19690" ht="30" customHeight="1"/>
    <row r="19691" ht="30" customHeight="1"/>
    <row r="19692" ht="30" customHeight="1"/>
    <row r="19693" ht="30" customHeight="1"/>
    <row r="19694" ht="30" customHeight="1"/>
    <row r="19695" ht="30" customHeight="1"/>
    <row r="19696" ht="30" customHeight="1"/>
    <row r="19697" ht="30" customHeight="1"/>
    <row r="19698" ht="30" customHeight="1"/>
    <row r="19699" ht="30" customHeight="1"/>
    <row r="19700" ht="30" customHeight="1"/>
    <row r="19701" ht="30" customHeight="1"/>
    <row r="19702" ht="30" customHeight="1"/>
    <row r="19703" ht="30" customHeight="1"/>
    <row r="19704" ht="30" customHeight="1"/>
    <row r="19705" ht="30" customHeight="1"/>
    <row r="19706" ht="30" customHeight="1"/>
    <row r="19707" ht="30" customHeight="1"/>
    <row r="19708" ht="30" customHeight="1"/>
    <row r="19709" ht="30" customHeight="1"/>
    <row r="19710" ht="30" customHeight="1"/>
    <row r="19711" ht="30" customHeight="1"/>
    <row r="19712" ht="30" customHeight="1"/>
    <row r="19713" ht="30" customHeight="1"/>
    <row r="19714" ht="30" customHeight="1"/>
    <row r="19715" ht="30" customHeight="1"/>
    <row r="19716" ht="30" customHeight="1"/>
    <row r="19717" ht="30" customHeight="1"/>
    <row r="19718" ht="30" customHeight="1"/>
    <row r="19719" ht="30" customHeight="1"/>
    <row r="19720" ht="30" customHeight="1"/>
    <row r="19721" ht="30" customHeight="1"/>
    <row r="19722" ht="30" customHeight="1"/>
    <row r="19723" ht="30" customHeight="1"/>
    <row r="19724" ht="30" customHeight="1"/>
    <row r="19725" ht="30" customHeight="1"/>
    <row r="19726" ht="30" customHeight="1"/>
    <row r="19727" ht="30" customHeight="1"/>
    <row r="19728" ht="30" customHeight="1"/>
    <row r="19729" ht="30" customHeight="1"/>
    <row r="19730" ht="30" customHeight="1"/>
    <row r="19731" ht="30" customHeight="1"/>
    <row r="19732" ht="30" customHeight="1"/>
    <row r="19733" ht="30" customHeight="1"/>
    <row r="19734" ht="30" customHeight="1"/>
    <row r="19735" ht="30" customHeight="1"/>
    <row r="19736" ht="30" customHeight="1"/>
    <row r="19737" ht="30" customHeight="1"/>
    <row r="19738" ht="30" customHeight="1"/>
    <row r="19739" ht="30" customHeight="1"/>
    <row r="19740" ht="30" customHeight="1"/>
    <row r="19741" ht="30" customHeight="1"/>
    <row r="19742" ht="30" customHeight="1"/>
    <row r="19743" ht="30" customHeight="1"/>
    <row r="19744" ht="30" customHeight="1"/>
    <row r="19745" ht="30" customHeight="1"/>
    <row r="19746" ht="30" customHeight="1"/>
    <row r="19747" ht="30" customHeight="1"/>
    <row r="19748" ht="30" customHeight="1"/>
    <row r="19749" ht="30" customHeight="1"/>
    <row r="19750" ht="30" customHeight="1"/>
    <row r="19751" ht="30" customHeight="1"/>
    <row r="19752" ht="30" customHeight="1"/>
    <row r="19753" ht="30" customHeight="1"/>
    <row r="19754" ht="30" customHeight="1"/>
    <row r="19755" ht="30" customHeight="1"/>
    <row r="19756" ht="30" customHeight="1"/>
    <row r="19757" ht="30" customHeight="1"/>
    <row r="19758" ht="30" customHeight="1"/>
    <row r="19759" ht="30" customHeight="1"/>
    <row r="19760" ht="30" customHeight="1"/>
    <row r="19761" ht="30" customHeight="1"/>
    <row r="19762" ht="30" customHeight="1"/>
    <row r="19763" ht="30" customHeight="1"/>
    <row r="19764" ht="30" customHeight="1"/>
    <row r="19765" ht="30" customHeight="1"/>
    <row r="19766" ht="30" customHeight="1"/>
    <row r="19767" ht="30" customHeight="1"/>
    <row r="19768" ht="30" customHeight="1"/>
    <row r="19769" ht="30" customHeight="1"/>
    <row r="19770" ht="30" customHeight="1"/>
    <row r="19771" ht="30" customHeight="1"/>
    <row r="19772" ht="30" customHeight="1"/>
    <row r="19773" ht="30" customHeight="1"/>
    <row r="19774" ht="30" customHeight="1"/>
    <row r="19775" ht="30" customHeight="1"/>
    <row r="19776" ht="30" customHeight="1"/>
    <row r="19777" ht="30" customHeight="1"/>
    <row r="19778" ht="30" customHeight="1"/>
    <row r="19779" ht="30" customHeight="1"/>
    <row r="19780" ht="30" customHeight="1"/>
    <row r="19781" ht="30" customHeight="1"/>
    <row r="19782" ht="30" customHeight="1"/>
    <row r="19783" ht="30" customHeight="1"/>
    <row r="19784" ht="30" customHeight="1"/>
    <row r="19785" ht="30" customHeight="1"/>
    <row r="19786" ht="30" customHeight="1"/>
    <row r="19787" ht="30" customHeight="1"/>
    <row r="19788" ht="30" customHeight="1"/>
    <row r="19789" ht="30" customHeight="1"/>
    <row r="19790" ht="30" customHeight="1"/>
    <row r="19791" ht="30" customHeight="1"/>
    <row r="19792" ht="30" customHeight="1"/>
    <row r="19793" ht="30" customHeight="1"/>
    <row r="19794" ht="30" customHeight="1"/>
    <row r="19795" ht="30" customHeight="1"/>
    <row r="19796" ht="30" customHeight="1"/>
    <row r="19797" ht="30" customHeight="1"/>
    <row r="19798" ht="30" customHeight="1"/>
    <row r="19799" ht="30" customHeight="1"/>
    <row r="19800" ht="30" customHeight="1"/>
    <row r="19801" ht="30" customHeight="1"/>
    <row r="19802" ht="30" customHeight="1"/>
    <row r="19803" ht="30" customHeight="1"/>
    <row r="19804" ht="30" customHeight="1"/>
    <row r="19805" ht="30" customHeight="1"/>
    <row r="19806" ht="30" customHeight="1"/>
    <row r="19807" ht="30" customHeight="1"/>
    <row r="19808" ht="30" customHeight="1"/>
    <row r="19809" ht="30" customHeight="1"/>
    <row r="19810" ht="30" customHeight="1"/>
    <row r="19811" ht="30" customHeight="1"/>
    <row r="19812" ht="30" customHeight="1"/>
    <row r="19813" ht="30" customHeight="1"/>
    <row r="19814" ht="30" customHeight="1"/>
    <row r="19815" ht="30" customHeight="1"/>
    <row r="19816" ht="30" customHeight="1"/>
    <row r="19817" ht="30" customHeight="1"/>
    <row r="19818" ht="30" customHeight="1"/>
    <row r="19819" ht="30" customHeight="1"/>
    <row r="19820" ht="30" customHeight="1"/>
    <row r="19821" ht="30" customHeight="1"/>
    <row r="19822" ht="30" customHeight="1"/>
    <row r="19823" ht="30" customHeight="1"/>
    <row r="19824" ht="30" customHeight="1"/>
    <row r="19825" ht="30" customHeight="1"/>
    <row r="19826" ht="30" customHeight="1"/>
    <row r="19827" ht="30" customHeight="1"/>
    <row r="19828" ht="30" customHeight="1"/>
    <row r="19829" ht="30" customHeight="1"/>
    <row r="19830" ht="30" customHeight="1"/>
    <row r="19831" ht="30" customHeight="1"/>
    <row r="19832" ht="30" customHeight="1"/>
    <row r="19833" ht="30" customHeight="1"/>
    <row r="19834" ht="30" customHeight="1"/>
    <row r="19835" ht="30" customHeight="1"/>
    <row r="19836" ht="30" customHeight="1"/>
    <row r="19837" ht="30" customHeight="1"/>
    <row r="19838" ht="30" customHeight="1"/>
    <row r="19839" ht="30" customHeight="1"/>
    <row r="19840" ht="30" customHeight="1"/>
    <row r="19841" ht="30" customHeight="1"/>
    <row r="19842" ht="30" customHeight="1"/>
    <row r="19843" ht="30" customHeight="1"/>
    <row r="19844" ht="30" customHeight="1"/>
    <row r="19845" ht="30" customHeight="1"/>
    <row r="19846" ht="30" customHeight="1"/>
    <row r="19847" ht="30" customHeight="1"/>
    <row r="19848" ht="30" customHeight="1"/>
    <row r="19849" ht="30" customHeight="1"/>
    <row r="19850" ht="30" customHeight="1"/>
    <row r="19851" ht="30" customHeight="1"/>
    <row r="19852" ht="30" customHeight="1"/>
    <row r="19853" ht="30" customHeight="1"/>
    <row r="19854" ht="30" customHeight="1"/>
    <row r="19855" ht="30" customHeight="1"/>
    <row r="19856" ht="30" customHeight="1"/>
    <row r="19857" ht="30" customHeight="1"/>
    <row r="19858" ht="30" customHeight="1"/>
    <row r="19859" ht="30" customHeight="1"/>
    <row r="19860" ht="30" customHeight="1"/>
    <row r="19861" ht="30" customHeight="1"/>
    <row r="19862" ht="30" customHeight="1"/>
    <row r="19863" ht="30" customHeight="1"/>
    <row r="19864" ht="30" customHeight="1"/>
    <row r="19865" ht="30" customHeight="1"/>
    <row r="19866" ht="30" customHeight="1"/>
    <row r="19867" ht="30" customHeight="1"/>
    <row r="19868" ht="30" customHeight="1"/>
    <row r="19869" ht="30" customHeight="1"/>
    <row r="19870" ht="30" customHeight="1"/>
    <row r="19871" ht="30" customHeight="1"/>
    <row r="19872" ht="30" customHeight="1"/>
    <row r="19873" ht="30" customHeight="1"/>
    <row r="19874" ht="30" customHeight="1"/>
    <row r="19875" ht="30" customHeight="1"/>
    <row r="19876" ht="30" customHeight="1"/>
    <row r="19877" ht="30" customHeight="1"/>
    <row r="19878" ht="30" customHeight="1"/>
    <row r="19879" ht="30" customHeight="1"/>
    <row r="19880" ht="30" customHeight="1"/>
    <row r="19881" ht="30" customHeight="1"/>
    <row r="19882" ht="30" customHeight="1"/>
    <row r="19883" ht="30" customHeight="1"/>
    <row r="19884" ht="30" customHeight="1"/>
    <row r="19885" ht="30" customHeight="1"/>
    <row r="19886" ht="30" customHeight="1"/>
    <row r="19887" ht="30" customHeight="1"/>
    <row r="19888" ht="30" customHeight="1"/>
    <row r="19889" ht="30" customHeight="1"/>
    <row r="19890" ht="30" customHeight="1"/>
    <row r="19891" ht="30" customHeight="1"/>
    <row r="19892" ht="30" customHeight="1"/>
    <row r="19893" ht="30" customHeight="1"/>
    <row r="19894" ht="30" customHeight="1"/>
    <row r="19895" ht="30" customHeight="1"/>
    <row r="19896" ht="30" customHeight="1"/>
    <row r="19897" ht="30" customHeight="1"/>
    <row r="19898" ht="30" customHeight="1"/>
    <row r="19899" ht="30" customHeight="1"/>
    <row r="19900" ht="30" customHeight="1"/>
    <row r="19901" ht="30" customHeight="1"/>
    <row r="19902" ht="30" customHeight="1"/>
    <row r="19903" ht="30" customHeight="1"/>
    <row r="19904" ht="30" customHeight="1"/>
    <row r="19905" ht="30" customHeight="1"/>
    <row r="19906" ht="30" customHeight="1"/>
    <row r="19907" ht="30" customHeight="1"/>
    <row r="19908" ht="30" customHeight="1"/>
    <row r="19909" ht="30" customHeight="1"/>
    <row r="19910" ht="30" customHeight="1"/>
    <row r="19911" ht="30" customHeight="1"/>
    <row r="19912" ht="30" customHeight="1"/>
    <row r="19913" ht="30" customHeight="1"/>
    <row r="19914" ht="30" customHeight="1"/>
    <row r="19915" ht="30" customHeight="1"/>
    <row r="19916" ht="30" customHeight="1"/>
    <row r="19917" ht="30" customHeight="1"/>
    <row r="19918" ht="30" customHeight="1"/>
    <row r="19919" ht="30" customHeight="1"/>
    <row r="19920" ht="30" customHeight="1"/>
    <row r="19921" ht="30" customHeight="1"/>
    <row r="19922" ht="30" customHeight="1"/>
    <row r="19923" ht="30" customHeight="1"/>
    <row r="19924" ht="30" customHeight="1"/>
    <row r="19925" ht="30" customHeight="1"/>
    <row r="19926" ht="30" customHeight="1"/>
    <row r="19927" ht="30" customHeight="1"/>
    <row r="19928" ht="30" customHeight="1"/>
    <row r="19929" ht="30" customHeight="1"/>
    <row r="19930" ht="30" customHeight="1"/>
    <row r="19931" ht="30" customHeight="1"/>
    <row r="19932" ht="30" customHeight="1"/>
    <row r="19933" ht="30" customHeight="1"/>
    <row r="19934" ht="30" customHeight="1"/>
    <row r="19935" ht="30" customHeight="1"/>
    <row r="19936" ht="30" customHeight="1"/>
    <row r="19937" ht="30" customHeight="1"/>
    <row r="19938" ht="30" customHeight="1"/>
    <row r="19939" ht="30" customHeight="1"/>
    <row r="19940" ht="30" customHeight="1"/>
    <row r="19941" ht="30" customHeight="1"/>
    <row r="19942" ht="30" customHeight="1"/>
    <row r="19943" ht="30" customHeight="1"/>
    <row r="19944" ht="30" customHeight="1"/>
    <row r="19945" ht="30" customHeight="1"/>
    <row r="19946" ht="30" customHeight="1"/>
    <row r="19947" ht="30" customHeight="1"/>
    <row r="19948" ht="30" customHeight="1"/>
    <row r="19949" ht="30" customHeight="1"/>
    <row r="19950" ht="30" customHeight="1"/>
    <row r="19951" ht="30" customHeight="1"/>
    <row r="19952" ht="30" customHeight="1"/>
    <row r="19953" ht="30" customHeight="1"/>
    <row r="19954" ht="30" customHeight="1"/>
    <row r="19955" ht="30" customHeight="1"/>
    <row r="19956" ht="30" customHeight="1"/>
    <row r="19957" ht="30" customHeight="1"/>
    <row r="19958" ht="30" customHeight="1"/>
    <row r="19959" ht="30" customHeight="1"/>
    <row r="19960" ht="30" customHeight="1"/>
    <row r="19961" ht="30" customHeight="1"/>
    <row r="19962" ht="30" customHeight="1"/>
    <row r="19963" ht="30" customHeight="1"/>
    <row r="19964" ht="30" customHeight="1"/>
    <row r="19965" ht="30" customHeight="1"/>
    <row r="19966" ht="30" customHeight="1"/>
    <row r="19967" ht="30" customHeight="1"/>
    <row r="19968" ht="30" customHeight="1"/>
    <row r="19969" ht="30" customHeight="1"/>
    <row r="19970" ht="30" customHeight="1"/>
    <row r="19971" ht="30" customHeight="1"/>
    <row r="19972" ht="30" customHeight="1"/>
    <row r="19973" ht="30" customHeight="1"/>
    <row r="19974" ht="30" customHeight="1"/>
    <row r="19975" ht="30" customHeight="1"/>
    <row r="19976" ht="30" customHeight="1"/>
    <row r="19977" ht="30" customHeight="1"/>
    <row r="19978" ht="30" customHeight="1"/>
    <row r="19979" ht="30" customHeight="1"/>
    <row r="19980" ht="30" customHeight="1"/>
    <row r="19981" ht="30" customHeight="1"/>
    <row r="19982" ht="30" customHeight="1"/>
    <row r="19983" ht="30" customHeight="1"/>
    <row r="19984" ht="30" customHeight="1"/>
    <row r="19985" ht="30" customHeight="1"/>
    <row r="19986" ht="30" customHeight="1"/>
    <row r="19987" ht="30" customHeight="1"/>
    <row r="19988" ht="30" customHeight="1"/>
    <row r="19989" ht="30" customHeight="1"/>
    <row r="19990" ht="30" customHeight="1"/>
    <row r="19991" ht="30" customHeight="1"/>
    <row r="19992" ht="30" customHeight="1"/>
    <row r="19993" ht="30" customHeight="1"/>
    <row r="19994" ht="30" customHeight="1"/>
    <row r="19995" ht="30" customHeight="1"/>
    <row r="19996" ht="30" customHeight="1"/>
    <row r="19997" ht="30" customHeight="1"/>
    <row r="19998" ht="30" customHeight="1"/>
    <row r="19999" ht="30" customHeight="1"/>
    <row r="20000" ht="30" customHeight="1"/>
    <row r="20001" ht="30" customHeight="1"/>
    <row r="20002" ht="30" customHeight="1"/>
    <row r="20003" ht="30" customHeight="1"/>
    <row r="20004" ht="30" customHeight="1"/>
    <row r="20005" ht="30" customHeight="1"/>
    <row r="20006" ht="30" customHeight="1"/>
    <row r="20007" ht="30" customHeight="1"/>
    <row r="20008" ht="30" customHeight="1"/>
    <row r="20009" ht="30" customHeight="1"/>
    <row r="20010" ht="30" customHeight="1"/>
    <row r="20011" ht="30" customHeight="1"/>
    <row r="20012" ht="30" customHeight="1"/>
    <row r="20013" ht="30" customHeight="1"/>
    <row r="20014" ht="30" customHeight="1"/>
    <row r="20015" ht="30" customHeight="1"/>
    <row r="20016" ht="30" customHeight="1"/>
    <row r="20017" ht="30" customHeight="1"/>
    <row r="20018" ht="30" customHeight="1"/>
    <row r="20019" ht="30" customHeight="1"/>
    <row r="20020" ht="30" customHeight="1"/>
    <row r="20021" ht="30" customHeight="1"/>
    <row r="20022" ht="30" customHeight="1"/>
    <row r="20023" ht="30" customHeight="1"/>
    <row r="20024" ht="30" customHeight="1"/>
    <row r="20025" ht="30" customHeight="1"/>
    <row r="20026" ht="30" customHeight="1"/>
    <row r="20027" ht="30" customHeight="1"/>
    <row r="20028" ht="30" customHeight="1"/>
    <row r="20029" ht="30" customHeight="1"/>
    <row r="20030" ht="30" customHeight="1"/>
    <row r="20031" ht="30" customHeight="1"/>
    <row r="20032" ht="30" customHeight="1"/>
    <row r="20033" ht="30" customHeight="1"/>
    <row r="20034" ht="30" customHeight="1"/>
    <row r="20035" ht="30" customHeight="1"/>
    <row r="20036" ht="30" customHeight="1"/>
    <row r="20037" ht="30" customHeight="1"/>
    <row r="20038" ht="30" customHeight="1"/>
    <row r="20039" ht="30" customHeight="1"/>
    <row r="20040" ht="30" customHeight="1"/>
    <row r="20041" ht="30" customHeight="1"/>
    <row r="20042" ht="30" customHeight="1"/>
    <row r="20043" ht="30" customHeight="1"/>
    <row r="20044" ht="30" customHeight="1"/>
    <row r="20045" ht="30" customHeight="1"/>
    <row r="20046" ht="30" customHeight="1"/>
    <row r="20047" ht="30" customHeight="1"/>
    <row r="20048" ht="30" customHeight="1"/>
    <row r="20049" ht="30" customHeight="1"/>
    <row r="20050" ht="30" customHeight="1"/>
    <row r="20051" ht="30" customHeight="1"/>
    <row r="20052" ht="30" customHeight="1"/>
    <row r="20053" ht="30" customHeight="1"/>
    <row r="20054" ht="30" customHeight="1"/>
    <row r="20055" ht="30" customHeight="1"/>
    <row r="20056" ht="30" customHeight="1"/>
    <row r="20057" ht="30" customHeight="1"/>
    <row r="20058" ht="30" customHeight="1"/>
    <row r="20059" ht="30" customHeight="1"/>
    <row r="20060" ht="30" customHeight="1"/>
    <row r="20061" ht="30" customHeight="1"/>
    <row r="20062" ht="30" customHeight="1"/>
    <row r="20063" ht="30" customHeight="1"/>
    <row r="20064" ht="30" customHeight="1"/>
    <row r="20065" ht="30" customHeight="1"/>
    <row r="20066" ht="30" customHeight="1"/>
    <row r="20067" ht="30" customHeight="1"/>
    <row r="20068" ht="30" customHeight="1"/>
    <row r="20069" ht="30" customHeight="1"/>
    <row r="20070" ht="30" customHeight="1"/>
    <row r="20071" ht="30" customHeight="1"/>
    <row r="20072" ht="30" customHeight="1"/>
    <row r="20073" ht="30" customHeight="1"/>
    <row r="20074" ht="30" customHeight="1"/>
    <row r="20075" ht="30" customHeight="1"/>
    <row r="20076" ht="30" customHeight="1"/>
    <row r="20077" ht="30" customHeight="1"/>
    <row r="20078" ht="30" customHeight="1"/>
    <row r="20079" ht="30" customHeight="1"/>
    <row r="20080" ht="30" customHeight="1"/>
    <row r="20081" ht="30" customHeight="1"/>
    <row r="20082" ht="30" customHeight="1"/>
    <row r="20083" ht="30" customHeight="1"/>
    <row r="20084" ht="30" customHeight="1"/>
    <row r="20085" ht="30" customHeight="1"/>
    <row r="20086" ht="30" customHeight="1"/>
    <row r="20087" ht="30" customHeight="1"/>
    <row r="20088" ht="30" customHeight="1"/>
    <row r="20089" ht="30" customHeight="1"/>
    <row r="20090" ht="30" customHeight="1"/>
    <row r="20091" ht="30" customHeight="1"/>
    <row r="20092" ht="30" customHeight="1"/>
    <row r="20093" ht="30" customHeight="1"/>
    <row r="20094" ht="30" customHeight="1"/>
    <row r="20095" ht="30" customHeight="1"/>
    <row r="20096" ht="30" customHeight="1"/>
    <row r="20097" ht="30" customHeight="1"/>
    <row r="20098" ht="30" customHeight="1"/>
    <row r="20099" ht="30" customHeight="1"/>
    <row r="20100" ht="30" customHeight="1"/>
    <row r="20101" ht="30" customHeight="1"/>
    <row r="20102" ht="30" customHeight="1"/>
    <row r="20103" ht="30" customHeight="1"/>
    <row r="20104" ht="30" customHeight="1"/>
    <row r="20105" ht="30" customHeight="1"/>
    <row r="20106" ht="30" customHeight="1"/>
    <row r="20107" ht="30" customHeight="1"/>
    <row r="20108" ht="30" customHeight="1"/>
    <row r="20109" ht="30" customHeight="1"/>
    <row r="20110" ht="30" customHeight="1"/>
    <row r="20111" ht="30" customHeight="1"/>
    <row r="20112" ht="30" customHeight="1"/>
    <row r="20113" ht="30" customHeight="1"/>
    <row r="20114" ht="30" customHeight="1"/>
    <row r="20115" ht="30" customHeight="1"/>
    <row r="20116" ht="30" customHeight="1"/>
    <row r="20117" ht="30" customHeight="1"/>
    <row r="20118" ht="30" customHeight="1"/>
    <row r="20119" ht="30" customHeight="1"/>
    <row r="20120" ht="30" customHeight="1"/>
    <row r="20121" ht="30" customHeight="1"/>
    <row r="20122" ht="30" customHeight="1"/>
    <row r="20123" ht="30" customHeight="1"/>
    <row r="20124" ht="30" customHeight="1"/>
    <row r="20125" ht="30" customHeight="1"/>
    <row r="20126" ht="30" customHeight="1"/>
    <row r="20127" ht="30" customHeight="1"/>
    <row r="20128" ht="30" customHeight="1"/>
    <row r="20129" ht="30" customHeight="1"/>
    <row r="20130" ht="30" customHeight="1"/>
    <row r="20131" ht="30" customHeight="1"/>
    <row r="20132" ht="30" customHeight="1"/>
    <row r="20133" ht="30" customHeight="1"/>
    <row r="20134" ht="30" customHeight="1"/>
    <row r="20135" ht="30" customHeight="1"/>
    <row r="20136" ht="30" customHeight="1"/>
    <row r="20137" ht="30" customHeight="1"/>
    <row r="20138" ht="30" customHeight="1"/>
    <row r="20139" ht="30" customHeight="1"/>
    <row r="20140" ht="30" customHeight="1"/>
    <row r="20141" ht="30" customHeight="1"/>
    <row r="20142" ht="30" customHeight="1"/>
    <row r="20143" ht="30" customHeight="1"/>
    <row r="20144" ht="30" customHeight="1"/>
    <row r="20145" ht="30" customHeight="1"/>
    <row r="20146" ht="30" customHeight="1"/>
    <row r="20147" ht="30" customHeight="1"/>
    <row r="20148" ht="30" customHeight="1"/>
    <row r="20149" ht="30" customHeight="1"/>
    <row r="20150" ht="30" customHeight="1"/>
    <row r="20151" ht="30" customHeight="1"/>
    <row r="20152" ht="30" customHeight="1"/>
    <row r="20153" ht="30" customHeight="1"/>
    <row r="20154" ht="30" customHeight="1"/>
    <row r="20155" ht="30" customHeight="1"/>
    <row r="20156" ht="30" customHeight="1"/>
    <row r="20157" ht="30" customHeight="1"/>
    <row r="20158" ht="30" customHeight="1"/>
    <row r="20159" ht="30" customHeight="1"/>
    <row r="20160" ht="30" customHeight="1"/>
    <row r="20161" ht="30" customHeight="1"/>
    <row r="20162" ht="30" customHeight="1"/>
    <row r="20163" ht="30" customHeight="1"/>
    <row r="20164" ht="30" customHeight="1"/>
    <row r="20165" ht="30" customHeight="1"/>
    <row r="20166" ht="30" customHeight="1"/>
    <row r="20167" ht="30" customHeight="1"/>
    <row r="20168" ht="30" customHeight="1"/>
    <row r="20169" ht="30" customHeight="1"/>
    <row r="20170" ht="30" customHeight="1"/>
    <row r="20171" ht="30" customHeight="1"/>
    <row r="20172" ht="30" customHeight="1"/>
    <row r="20173" ht="30" customHeight="1"/>
    <row r="20174" ht="30" customHeight="1"/>
    <row r="20175" ht="30" customHeight="1"/>
    <row r="20176" ht="30" customHeight="1"/>
    <row r="20177" ht="30" customHeight="1"/>
    <row r="20178" ht="30" customHeight="1"/>
    <row r="20179" ht="30" customHeight="1"/>
    <row r="20180" ht="30" customHeight="1"/>
    <row r="20181" ht="30" customHeight="1"/>
    <row r="20182" ht="30" customHeight="1"/>
    <row r="20183" ht="30" customHeight="1"/>
    <row r="20184" ht="30" customHeight="1"/>
    <row r="20185" ht="30" customHeight="1"/>
    <row r="20186" ht="30" customHeight="1"/>
    <row r="20187" ht="30" customHeight="1"/>
    <row r="20188" ht="30" customHeight="1"/>
    <row r="20189" ht="30" customHeight="1"/>
    <row r="20190" ht="30" customHeight="1"/>
    <row r="20191" ht="30" customHeight="1"/>
    <row r="20192" ht="30" customHeight="1"/>
    <row r="20193" ht="30" customHeight="1"/>
    <row r="20194" ht="30" customHeight="1"/>
    <row r="20195" ht="30" customHeight="1"/>
    <row r="20196" ht="30" customHeight="1"/>
    <row r="20197" ht="30" customHeight="1"/>
    <row r="20198" ht="30" customHeight="1"/>
    <row r="20199" ht="30" customHeight="1"/>
    <row r="20200" ht="30" customHeight="1"/>
    <row r="20201" ht="30" customHeight="1"/>
    <row r="20202" ht="30" customHeight="1"/>
    <row r="20203" ht="30" customHeight="1"/>
    <row r="20204" ht="30" customHeight="1"/>
    <row r="20205" ht="30" customHeight="1"/>
    <row r="20206" ht="30" customHeight="1"/>
    <row r="20207" ht="30" customHeight="1"/>
    <row r="20208" ht="30" customHeight="1"/>
    <row r="20209" ht="30" customHeight="1"/>
    <row r="20210" ht="30" customHeight="1"/>
    <row r="20211" ht="30" customHeight="1"/>
    <row r="20212" ht="30" customHeight="1"/>
    <row r="20213" ht="30" customHeight="1"/>
    <row r="20214" ht="30" customHeight="1"/>
    <row r="20215" ht="30" customHeight="1"/>
    <row r="20216" ht="30" customHeight="1"/>
    <row r="20217" ht="30" customHeight="1"/>
    <row r="20218" ht="30" customHeight="1"/>
    <row r="20219" ht="30" customHeight="1"/>
    <row r="20220" ht="30" customHeight="1"/>
    <row r="20221" ht="30" customHeight="1"/>
    <row r="20222" ht="30" customHeight="1"/>
    <row r="20223" ht="30" customHeight="1"/>
    <row r="20224" ht="30" customHeight="1"/>
    <row r="20225" ht="30" customHeight="1"/>
    <row r="20226" ht="30" customHeight="1"/>
    <row r="20227" ht="30" customHeight="1"/>
    <row r="20228" ht="30" customHeight="1"/>
    <row r="20229" ht="30" customHeight="1"/>
    <row r="20230" ht="30" customHeight="1"/>
    <row r="20231" ht="30" customHeight="1"/>
    <row r="20232" ht="30" customHeight="1"/>
    <row r="20233" ht="30" customHeight="1"/>
    <row r="20234" ht="30" customHeight="1"/>
    <row r="20235" ht="30" customHeight="1"/>
    <row r="20236" ht="30" customHeight="1"/>
    <row r="20237" ht="30" customHeight="1"/>
    <row r="20238" ht="30" customHeight="1"/>
    <row r="20239" ht="30" customHeight="1"/>
    <row r="20240" ht="30" customHeight="1"/>
    <row r="20241" ht="30" customHeight="1"/>
    <row r="20242" ht="30" customHeight="1"/>
    <row r="20243" ht="30" customHeight="1"/>
    <row r="20244" ht="30" customHeight="1"/>
    <row r="20245" ht="30" customHeight="1"/>
    <row r="20246" ht="30" customHeight="1"/>
    <row r="20247" ht="30" customHeight="1"/>
    <row r="20248" ht="30" customHeight="1"/>
    <row r="20249" ht="30" customHeight="1"/>
    <row r="20250" ht="30" customHeight="1"/>
    <row r="20251" ht="30" customHeight="1"/>
    <row r="20252" ht="30" customHeight="1"/>
    <row r="20253" ht="30" customHeight="1"/>
    <row r="20254" ht="30" customHeight="1"/>
    <row r="20255" ht="30" customHeight="1"/>
    <row r="20256" ht="30" customHeight="1"/>
    <row r="20257" ht="30" customHeight="1"/>
    <row r="20258" ht="30" customHeight="1"/>
    <row r="20259" ht="30" customHeight="1"/>
    <row r="20260" ht="30" customHeight="1"/>
    <row r="20261" ht="30" customHeight="1"/>
    <row r="20262" ht="30" customHeight="1"/>
    <row r="20263" ht="30" customHeight="1"/>
    <row r="20264" ht="30" customHeight="1"/>
    <row r="20265" ht="30" customHeight="1"/>
    <row r="20266" ht="30" customHeight="1"/>
    <row r="20267" ht="30" customHeight="1"/>
    <row r="20268" ht="30" customHeight="1"/>
    <row r="20269" ht="30" customHeight="1"/>
    <row r="20270" ht="30" customHeight="1"/>
    <row r="20271" ht="30" customHeight="1"/>
    <row r="20272" ht="30" customHeight="1"/>
    <row r="20273" ht="30" customHeight="1"/>
    <row r="20274" ht="30" customHeight="1"/>
    <row r="20275" ht="30" customHeight="1"/>
    <row r="20276" ht="30" customHeight="1"/>
    <row r="20277" ht="30" customHeight="1"/>
    <row r="20278" ht="30" customHeight="1"/>
    <row r="20279" ht="30" customHeight="1"/>
    <row r="20280" ht="30" customHeight="1"/>
    <row r="20281" ht="30" customHeight="1"/>
    <row r="20282" ht="30" customHeight="1"/>
    <row r="20283" ht="30" customHeight="1"/>
    <row r="20284" ht="30" customHeight="1"/>
    <row r="20285" ht="30" customHeight="1"/>
    <row r="20286" ht="30" customHeight="1"/>
    <row r="20287" ht="30" customHeight="1"/>
    <row r="20288" ht="30" customHeight="1"/>
    <row r="20289" ht="30" customHeight="1"/>
    <row r="20290" ht="30" customHeight="1"/>
    <row r="20291" ht="30" customHeight="1"/>
    <row r="20292" ht="30" customHeight="1"/>
    <row r="20293" ht="30" customHeight="1"/>
    <row r="20294" ht="30" customHeight="1"/>
    <row r="20295" ht="30" customHeight="1"/>
    <row r="20296" ht="30" customHeight="1"/>
    <row r="20297" ht="30" customHeight="1"/>
    <row r="20298" ht="30" customHeight="1"/>
    <row r="20299" ht="30" customHeight="1"/>
    <row r="20300" ht="30" customHeight="1"/>
    <row r="20301" ht="30" customHeight="1"/>
    <row r="20302" ht="30" customHeight="1"/>
    <row r="20303" ht="30" customHeight="1"/>
    <row r="20304" ht="30" customHeight="1"/>
    <row r="20305" ht="30" customHeight="1"/>
    <row r="20306" ht="30" customHeight="1"/>
    <row r="20307" ht="30" customHeight="1"/>
    <row r="20308" ht="30" customHeight="1"/>
    <row r="20309" ht="30" customHeight="1"/>
    <row r="20310" ht="30" customHeight="1"/>
    <row r="20311" ht="30" customHeight="1"/>
    <row r="20312" ht="30" customHeight="1"/>
    <row r="20313" ht="30" customHeight="1"/>
    <row r="20314" ht="30" customHeight="1"/>
    <row r="20315" ht="30" customHeight="1"/>
    <row r="20316" ht="30" customHeight="1"/>
    <row r="20317" ht="30" customHeight="1"/>
    <row r="20318" ht="30" customHeight="1"/>
    <row r="20319" ht="30" customHeight="1"/>
    <row r="20320" ht="30" customHeight="1"/>
    <row r="20321" ht="30" customHeight="1"/>
    <row r="20322" ht="30" customHeight="1"/>
    <row r="20323" ht="30" customHeight="1"/>
    <row r="20324" ht="30" customHeight="1"/>
    <row r="20325" ht="30" customHeight="1"/>
    <row r="20326" ht="30" customHeight="1"/>
    <row r="20327" ht="30" customHeight="1"/>
    <row r="20328" ht="30" customHeight="1"/>
    <row r="20329" ht="30" customHeight="1"/>
    <row r="20330" ht="30" customHeight="1"/>
    <row r="20331" ht="30" customHeight="1"/>
    <row r="20332" ht="30" customHeight="1"/>
    <row r="20333" ht="30" customHeight="1"/>
    <row r="20334" ht="30" customHeight="1"/>
    <row r="20335" ht="30" customHeight="1"/>
    <row r="20336" ht="30" customHeight="1"/>
    <row r="20337" ht="30" customHeight="1"/>
    <row r="20338" ht="30" customHeight="1"/>
    <row r="20339" ht="30" customHeight="1"/>
    <row r="20340" ht="30" customHeight="1"/>
    <row r="20341" ht="30" customHeight="1"/>
    <row r="20342" ht="30" customHeight="1"/>
    <row r="20343" ht="30" customHeight="1"/>
    <row r="20344" ht="30" customHeight="1"/>
    <row r="20345" ht="30" customHeight="1"/>
    <row r="20346" ht="30" customHeight="1"/>
    <row r="20347" ht="30" customHeight="1"/>
    <row r="20348" ht="30" customHeight="1"/>
    <row r="20349" ht="30" customHeight="1"/>
    <row r="20350" ht="30" customHeight="1"/>
    <row r="20351" ht="30" customHeight="1"/>
    <row r="20352" ht="30" customHeight="1"/>
    <row r="20353" ht="30" customHeight="1"/>
    <row r="20354" ht="30" customHeight="1"/>
    <row r="20355" ht="30" customHeight="1"/>
    <row r="20356" ht="30" customHeight="1"/>
    <row r="20357" ht="30" customHeight="1"/>
    <row r="20358" ht="30" customHeight="1"/>
    <row r="20359" ht="30" customHeight="1"/>
    <row r="20360" ht="30" customHeight="1"/>
    <row r="20361" ht="30" customHeight="1"/>
    <row r="20362" ht="30" customHeight="1"/>
    <row r="20363" ht="30" customHeight="1"/>
    <row r="20364" ht="30" customHeight="1"/>
    <row r="20365" ht="30" customHeight="1"/>
    <row r="20366" ht="30" customHeight="1"/>
    <row r="20367" ht="30" customHeight="1"/>
    <row r="20368" ht="30" customHeight="1"/>
    <row r="20369" ht="30" customHeight="1"/>
    <row r="20370" ht="30" customHeight="1"/>
    <row r="20371" ht="30" customHeight="1"/>
    <row r="20372" ht="30" customHeight="1"/>
    <row r="20373" ht="30" customHeight="1"/>
    <row r="20374" ht="30" customHeight="1"/>
    <row r="20375" ht="30" customHeight="1"/>
    <row r="20376" ht="30" customHeight="1"/>
    <row r="20377" ht="30" customHeight="1"/>
    <row r="20378" ht="30" customHeight="1"/>
    <row r="20379" ht="30" customHeight="1"/>
    <row r="20380" ht="30" customHeight="1"/>
    <row r="20381" ht="30" customHeight="1"/>
    <row r="20382" ht="30" customHeight="1"/>
    <row r="20383" ht="30" customHeight="1"/>
    <row r="20384" ht="30" customHeight="1"/>
    <row r="20385" ht="30" customHeight="1"/>
    <row r="20386" ht="30" customHeight="1"/>
    <row r="20387" ht="30" customHeight="1"/>
    <row r="20388" ht="30" customHeight="1"/>
    <row r="20389" ht="30" customHeight="1"/>
    <row r="20390" ht="30" customHeight="1"/>
    <row r="20391" ht="30" customHeight="1"/>
    <row r="20392" ht="30" customHeight="1"/>
    <row r="20393" ht="30" customHeight="1"/>
    <row r="20394" ht="30" customHeight="1"/>
    <row r="20395" ht="30" customHeight="1"/>
    <row r="20396" ht="30" customHeight="1"/>
    <row r="20397" ht="30" customHeight="1"/>
    <row r="20398" ht="30" customHeight="1"/>
    <row r="20399" ht="30" customHeight="1"/>
    <row r="20400" ht="30" customHeight="1"/>
    <row r="20401" ht="30" customHeight="1"/>
    <row r="20402" ht="30" customHeight="1"/>
    <row r="20403" ht="30" customHeight="1"/>
    <row r="20404" ht="30" customHeight="1"/>
    <row r="20405" ht="30" customHeight="1"/>
    <row r="20406" ht="30" customHeight="1"/>
    <row r="20407" ht="30" customHeight="1"/>
    <row r="20408" ht="30" customHeight="1"/>
    <row r="20409" ht="30" customHeight="1"/>
    <row r="20410" ht="30" customHeight="1"/>
    <row r="20411" ht="30" customHeight="1"/>
    <row r="20412" ht="30" customHeight="1"/>
    <row r="20413" ht="30" customHeight="1"/>
    <row r="20414" ht="30" customHeight="1"/>
    <row r="20415" ht="30" customHeight="1"/>
    <row r="20416" ht="30" customHeight="1"/>
    <row r="20417" ht="30" customHeight="1"/>
    <row r="20418" ht="30" customHeight="1"/>
    <row r="20419" ht="30" customHeight="1"/>
    <row r="20420" ht="30" customHeight="1"/>
    <row r="20421" ht="30" customHeight="1"/>
    <row r="20422" ht="30" customHeight="1"/>
    <row r="20423" ht="30" customHeight="1"/>
    <row r="20424" ht="30" customHeight="1"/>
    <row r="20425" ht="30" customHeight="1"/>
    <row r="20426" ht="30" customHeight="1"/>
    <row r="20427" ht="30" customHeight="1"/>
    <row r="20428" ht="30" customHeight="1"/>
    <row r="20429" ht="30" customHeight="1"/>
    <row r="20430" ht="30" customHeight="1"/>
    <row r="20431" ht="30" customHeight="1"/>
    <row r="20432" ht="30" customHeight="1"/>
    <row r="20433" ht="30" customHeight="1"/>
    <row r="20434" ht="30" customHeight="1"/>
    <row r="20435" ht="30" customHeight="1"/>
    <row r="20436" ht="30" customHeight="1"/>
    <row r="20437" ht="30" customHeight="1"/>
    <row r="20438" ht="30" customHeight="1"/>
    <row r="20439" ht="30" customHeight="1"/>
    <row r="20440" ht="30" customHeight="1"/>
    <row r="20441" ht="30" customHeight="1"/>
    <row r="20442" ht="30" customHeight="1"/>
    <row r="20443" ht="30" customHeight="1"/>
    <row r="20444" ht="30" customHeight="1"/>
    <row r="20445" ht="30" customHeight="1"/>
    <row r="20446" ht="30" customHeight="1"/>
    <row r="20447" ht="30" customHeight="1"/>
    <row r="20448" ht="30" customHeight="1"/>
    <row r="20449" ht="30" customHeight="1"/>
    <row r="20450" ht="30" customHeight="1"/>
    <row r="20451" ht="30" customHeight="1"/>
    <row r="20452" ht="30" customHeight="1"/>
    <row r="20453" ht="30" customHeight="1"/>
    <row r="20454" ht="30" customHeight="1"/>
    <row r="20455" ht="30" customHeight="1"/>
    <row r="20456" ht="30" customHeight="1"/>
    <row r="20457" ht="30" customHeight="1"/>
    <row r="20458" ht="30" customHeight="1"/>
    <row r="20459" ht="30" customHeight="1"/>
    <row r="20460" ht="30" customHeight="1"/>
    <row r="20461" ht="30" customHeight="1"/>
    <row r="20462" ht="30" customHeight="1"/>
    <row r="20463" ht="30" customHeight="1"/>
    <row r="20464" ht="30" customHeight="1"/>
    <row r="20465" ht="30" customHeight="1"/>
    <row r="20466" ht="30" customHeight="1"/>
    <row r="20467" ht="30" customHeight="1"/>
    <row r="20468" ht="30" customHeight="1"/>
    <row r="20469" ht="30" customHeight="1"/>
    <row r="20470" ht="30" customHeight="1"/>
    <row r="20471" ht="30" customHeight="1"/>
    <row r="20472" ht="30" customHeight="1"/>
    <row r="20473" ht="30" customHeight="1"/>
    <row r="20474" ht="30" customHeight="1"/>
    <row r="20475" ht="30" customHeight="1"/>
    <row r="20476" ht="30" customHeight="1"/>
    <row r="20477" ht="30" customHeight="1"/>
    <row r="20478" ht="30" customHeight="1"/>
    <row r="20479" ht="30" customHeight="1"/>
    <row r="20480" ht="30" customHeight="1"/>
    <row r="20481" ht="30" customHeight="1"/>
    <row r="20482" ht="30" customHeight="1"/>
    <row r="20483" ht="30" customHeight="1"/>
    <row r="20484" ht="30" customHeight="1"/>
    <row r="20485" ht="30" customHeight="1"/>
    <row r="20486" ht="30" customHeight="1"/>
    <row r="20487" ht="30" customHeight="1"/>
    <row r="20488" ht="30" customHeight="1"/>
    <row r="20489" ht="30" customHeight="1"/>
    <row r="20490" ht="30" customHeight="1"/>
    <row r="20491" ht="30" customHeight="1"/>
    <row r="20492" ht="30" customHeight="1"/>
    <row r="20493" ht="30" customHeight="1"/>
    <row r="20494" ht="30" customHeight="1"/>
    <row r="20495" ht="30" customHeight="1"/>
    <row r="20496" ht="30" customHeight="1"/>
    <row r="20497" ht="30" customHeight="1"/>
    <row r="20498" ht="30" customHeight="1"/>
    <row r="20499" ht="30" customHeight="1"/>
    <row r="20500" ht="30" customHeight="1"/>
    <row r="20501" ht="30" customHeight="1"/>
    <row r="20502" ht="30" customHeight="1"/>
    <row r="20503" ht="30" customHeight="1"/>
    <row r="20504" ht="30" customHeight="1"/>
    <row r="20505" ht="30" customHeight="1"/>
    <row r="20506" ht="30" customHeight="1"/>
    <row r="20507" ht="30" customHeight="1"/>
    <row r="20508" ht="30" customHeight="1"/>
    <row r="20509" ht="30" customHeight="1"/>
    <row r="20510" ht="30" customHeight="1"/>
    <row r="20511" ht="30" customHeight="1"/>
    <row r="20512" ht="30" customHeight="1"/>
    <row r="20513" ht="30" customHeight="1"/>
    <row r="20514" ht="30" customHeight="1"/>
    <row r="20515" ht="30" customHeight="1"/>
    <row r="20516" ht="30" customHeight="1"/>
    <row r="20517" ht="30" customHeight="1"/>
    <row r="20518" ht="30" customHeight="1"/>
    <row r="20519" ht="30" customHeight="1"/>
    <row r="20520" ht="30" customHeight="1"/>
    <row r="20521" ht="30" customHeight="1"/>
    <row r="20522" ht="30" customHeight="1"/>
    <row r="20523" ht="30" customHeight="1"/>
    <row r="20524" ht="30" customHeight="1"/>
    <row r="20525" ht="30" customHeight="1"/>
    <row r="20526" ht="30" customHeight="1"/>
    <row r="20527" ht="30" customHeight="1"/>
    <row r="20528" ht="30" customHeight="1"/>
    <row r="20529" ht="30" customHeight="1"/>
    <row r="20530" ht="30" customHeight="1"/>
    <row r="20531" ht="30" customHeight="1"/>
    <row r="20532" ht="30" customHeight="1"/>
    <row r="20533" ht="30" customHeight="1"/>
    <row r="20534" ht="30" customHeight="1"/>
    <row r="20535" ht="30" customHeight="1"/>
    <row r="20536" ht="30" customHeight="1"/>
    <row r="20537" ht="30" customHeight="1"/>
    <row r="20538" ht="30" customHeight="1"/>
    <row r="20539" ht="30" customHeight="1"/>
    <row r="20540" ht="30" customHeight="1"/>
    <row r="20541" ht="30" customHeight="1"/>
    <row r="20542" ht="30" customHeight="1"/>
    <row r="20543" ht="30" customHeight="1"/>
    <row r="20544" ht="30" customHeight="1"/>
    <row r="20545" ht="30" customHeight="1"/>
    <row r="20546" ht="30" customHeight="1"/>
    <row r="20547" ht="30" customHeight="1"/>
    <row r="20548" ht="30" customHeight="1"/>
    <row r="20549" ht="30" customHeight="1"/>
    <row r="20550" ht="30" customHeight="1"/>
    <row r="20551" ht="30" customHeight="1"/>
    <row r="20552" ht="30" customHeight="1"/>
    <row r="20553" ht="30" customHeight="1"/>
    <row r="20554" ht="30" customHeight="1"/>
    <row r="20555" ht="30" customHeight="1"/>
    <row r="20556" ht="30" customHeight="1"/>
    <row r="20557" ht="30" customHeight="1"/>
    <row r="20558" ht="30" customHeight="1"/>
    <row r="20559" ht="30" customHeight="1"/>
    <row r="20560" ht="30" customHeight="1"/>
    <row r="20561" ht="30" customHeight="1"/>
    <row r="20562" ht="30" customHeight="1"/>
    <row r="20563" ht="30" customHeight="1"/>
    <row r="20564" ht="30" customHeight="1"/>
    <row r="20565" ht="30" customHeight="1"/>
    <row r="20566" ht="30" customHeight="1"/>
    <row r="20567" ht="30" customHeight="1"/>
    <row r="20568" ht="30" customHeight="1"/>
    <row r="20569" ht="30" customHeight="1"/>
    <row r="20570" ht="30" customHeight="1"/>
    <row r="20571" ht="30" customHeight="1"/>
    <row r="20572" ht="30" customHeight="1"/>
    <row r="20573" ht="30" customHeight="1"/>
    <row r="20574" ht="30" customHeight="1"/>
    <row r="20575" ht="30" customHeight="1"/>
    <row r="20576" ht="30" customHeight="1"/>
    <row r="20577" ht="30" customHeight="1"/>
    <row r="20578" ht="30" customHeight="1"/>
    <row r="20579" ht="30" customHeight="1"/>
    <row r="20580" ht="30" customHeight="1"/>
    <row r="20581" ht="30" customHeight="1"/>
    <row r="20582" ht="30" customHeight="1"/>
    <row r="20583" ht="30" customHeight="1"/>
    <row r="20584" ht="30" customHeight="1"/>
    <row r="20585" ht="30" customHeight="1"/>
    <row r="20586" ht="30" customHeight="1"/>
    <row r="20587" ht="30" customHeight="1"/>
    <row r="20588" ht="30" customHeight="1"/>
    <row r="20589" ht="30" customHeight="1"/>
    <row r="20590" ht="30" customHeight="1"/>
    <row r="20591" ht="30" customHeight="1"/>
    <row r="20592" ht="30" customHeight="1"/>
    <row r="20593" ht="30" customHeight="1"/>
    <row r="20594" ht="30" customHeight="1"/>
    <row r="20595" ht="30" customHeight="1"/>
    <row r="20596" ht="30" customHeight="1"/>
    <row r="20597" ht="30" customHeight="1"/>
    <row r="20598" ht="30" customHeight="1"/>
    <row r="20599" ht="30" customHeight="1"/>
    <row r="20600" ht="30" customHeight="1"/>
    <row r="20601" ht="30" customHeight="1"/>
    <row r="20602" ht="30" customHeight="1"/>
    <row r="20603" ht="30" customHeight="1"/>
    <row r="20604" ht="30" customHeight="1"/>
    <row r="20605" ht="30" customHeight="1"/>
    <row r="20606" ht="30" customHeight="1"/>
    <row r="20607" ht="30" customHeight="1"/>
    <row r="20608" ht="30" customHeight="1"/>
    <row r="20609" ht="30" customHeight="1"/>
    <row r="20610" ht="30" customHeight="1"/>
    <row r="20611" ht="30" customHeight="1"/>
    <row r="20612" ht="30" customHeight="1"/>
    <row r="20613" ht="30" customHeight="1"/>
    <row r="20614" ht="30" customHeight="1"/>
    <row r="20615" ht="30" customHeight="1"/>
    <row r="20616" ht="30" customHeight="1"/>
    <row r="20617" ht="30" customHeight="1"/>
    <row r="20618" ht="30" customHeight="1"/>
    <row r="20619" ht="30" customHeight="1"/>
    <row r="20620" ht="30" customHeight="1"/>
    <row r="20621" ht="30" customHeight="1"/>
    <row r="20622" ht="30" customHeight="1"/>
    <row r="20623" ht="30" customHeight="1"/>
    <row r="20624" ht="30" customHeight="1"/>
    <row r="20625" ht="30" customHeight="1"/>
    <row r="20626" ht="30" customHeight="1"/>
    <row r="20627" ht="30" customHeight="1"/>
    <row r="20628" ht="30" customHeight="1"/>
    <row r="20629" ht="30" customHeight="1"/>
    <row r="20630" ht="30" customHeight="1"/>
    <row r="20631" ht="30" customHeight="1"/>
    <row r="20632" ht="30" customHeight="1"/>
    <row r="20633" ht="30" customHeight="1"/>
    <row r="20634" ht="30" customHeight="1"/>
    <row r="20635" ht="30" customHeight="1"/>
    <row r="20636" ht="30" customHeight="1"/>
    <row r="20637" ht="30" customHeight="1"/>
    <row r="20638" ht="30" customHeight="1"/>
    <row r="20639" ht="30" customHeight="1"/>
    <row r="20640" ht="30" customHeight="1"/>
    <row r="20641" ht="30" customHeight="1"/>
    <row r="20642" ht="30" customHeight="1"/>
    <row r="20643" ht="30" customHeight="1"/>
    <row r="20644" ht="30" customHeight="1"/>
    <row r="20645" ht="30" customHeight="1"/>
    <row r="20646" ht="30" customHeight="1"/>
    <row r="20647" ht="30" customHeight="1"/>
    <row r="20648" ht="30" customHeight="1"/>
    <row r="20649" ht="30" customHeight="1"/>
    <row r="20650" ht="30" customHeight="1"/>
    <row r="20651" ht="30" customHeight="1"/>
    <row r="20652" ht="30" customHeight="1"/>
    <row r="20653" ht="30" customHeight="1"/>
    <row r="20654" ht="30" customHeight="1"/>
    <row r="20655" ht="30" customHeight="1"/>
    <row r="20656" ht="30" customHeight="1"/>
    <row r="20657" ht="30" customHeight="1"/>
    <row r="20658" ht="30" customHeight="1"/>
    <row r="20659" ht="30" customHeight="1"/>
    <row r="20660" ht="30" customHeight="1"/>
    <row r="20661" ht="30" customHeight="1"/>
    <row r="20662" ht="30" customHeight="1"/>
    <row r="20663" ht="30" customHeight="1"/>
    <row r="20664" ht="30" customHeight="1"/>
    <row r="20665" ht="30" customHeight="1"/>
    <row r="20666" ht="30" customHeight="1"/>
    <row r="20667" ht="30" customHeight="1"/>
    <row r="20668" ht="30" customHeight="1"/>
    <row r="20669" ht="30" customHeight="1"/>
    <row r="20670" ht="30" customHeight="1"/>
    <row r="20671" ht="30" customHeight="1"/>
    <row r="20672" ht="30" customHeight="1"/>
    <row r="20673" ht="30" customHeight="1"/>
    <row r="20674" ht="30" customHeight="1"/>
    <row r="20675" ht="30" customHeight="1"/>
    <row r="20676" ht="30" customHeight="1"/>
    <row r="20677" ht="30" customHeight="1"/>
    <row r="20678" ht="30" customHeight="1"/>
    <row r="20679" ht="30" customHeight="1"/>
    <row r="20680" ht="30" customHeight="1"/>
    <row r="20681" ht="30" customHeight="1"/>
    <row r="20682" ht="30" customHeight="1"/>
    <row r="20683" ht="30" customHeight="1"/>
    <row r="20684" ht="30" customHeight="1"/>
    <row r="20685" ht="30" customHeight="1"/>
    <row r="20686" ht="30" customHeight="1"/>
    <row r="20687" ht="30" customHeight="1"/>
    <row r="20688" ht="30" customHeight="1"/>
    <row r="20689" ht="30" customHeight="1"/>
    <row r="20690" ht="30" customHeight="1"/>
    <row r="20691" ht="30" customHeight="1"/>
    <row r="20692" ht="30" customHeight="1"/>
    <row r="20693" ht="30" customHeight="1"/>
    <row r="20694" ht="30" customHeight="1"/>
    <row r="20695" ht="30" customHeight="1"/>
    <row r="20696" ht="30" customHeight="1"/>
    <row r="20697" ht="30" customHeight="1"/>
    <row r="20698" ht="30" customHeight="1"/>
    <row r="20699" ht="30" customHeight="1"/>
    <row r="20700" ht="30" customHeight="1"/>
    <row r="20701" ht="30" customHeight="1"/>
    <row r="20702" ht="30" customHeight="1"/>
    <row r="20703" ht="30" customHeight="1"/>
    <row r="20704" ht="30" customHeight="1"/>
    <row r="20705" ht="30" customHeight="1"/>
    <row r="20706" ht="30" customHeight="1"/>
    <row r="20707" ht="30" customHeight="1"/>
    <row r="20708" ht="30" customHeight="1"/>
    <row r="20709" ht="30" customHeight="1"/>
    <row r="20710" ht="30" customHeight="1"/>
    <row r="20711" ht="30" customHeight="1"/>
    <row r="20712" ht="30" customHeight="1"/>
    <row r="20713" ht="30" customHeight="1"/>
    <row r="20714" ht="30" customHeight="1"/>
    <row r="20715" ht="30" customHeight="1"/>
    <row r="20716" ht="30" customHeight="1"/>
    <row r="20717" ht="30" customHeight="1"/>
    <row r="20718" ht="30" customHeight="1"/>
    <row r="20719" ht="30" customHeight="1"/>
    <row r="20720" ht="30" customHeight="1"/>
    <row r="20721" ht="30" customHeight="1"/>
    <row r="20722" ht="30" customHeight="1"/>
    <row r="20723" ht="30" customHeight="1"/>
    <row r="20724" ht="30" customHeight="1"/>
    <row r="20725" ht="30" customHeight="1"/>
    <row r="20726" ht="30" customHeight="1"/>
    <row r="20727" ht="30" customHeight="1"/>
    <row r="20728" ht="30" customHeight="1"/>
    <row r="20729" ht="30" customHeight="1"/>
    <row r="20730" ht="30" customHeight="1"/>
    <row r="20731" ht="30" customHeight="1"/>
    <row r="20732" ht="30" customHeight="1"/>
    <row r="20733" ht="30" customHeight="1"/>
    <row r="20734" ht="30" customHeight="1"/>
    <row r="20735" ht="30" customHeight="1"/>
    <row r="20736" ht="30" customHeight="1"/>
    <row r="20737" ht="30" customHeight="1"/>
    <row r="20738" ht="30" customHeight="1"/>
    <row r="20739" ht="30" customHeight="1"/>
    <row r="20740" ht="30" customHeight="1"/>
    <row r="20741" ht="30" customHeight="1"/>
    <row r="20742" ht="30" customHeight="1"/>
    <row r="20743" ht="30" customHeight="1"/>
    <row r="20744" ht="30" customHeight="1"/>
    <row r="20745" ht="30" customHeight="1"/>
    <row r="20746" ht="30" customHeight="1"/>
    <row r="20747" ht="30" customHeight="1"/>
    <row r="20748" ht="30" customHeight="1"/>
    <row r="20749" ht="30" customHeight="1"/>
    <row r="20750" ht="30" customHeight="1"/>
    <row r="20751" ht="30" customHeight="1"/>
    <row r="20752" ht="30" customHeight="1"/>
    <row r="20753" ht="30" customHeight="1"/>
    <row r="20754" ht="30" customHeight="1"/>
    <row r="20755" ht="30" customHeight="1"/>
    <row r="20756" ht="30" customHeight="1"/>
    <row r="20757" ht="30" customHeight="1"/>
    <row r="20758" ht="30" customHeight="1"/>
    <row r="20759" ht="30" customHeight="1"/>
    <row r="20760" ht="30" customHeight="1"/>
    <row r="20761" ht="30" customHeight="1"/>
    <row r="20762" ht="30" customHeight="1"/>
    <row r="20763" ht="30" customHeight="1"/>
    <row r="20764" ht="30" customHeight="1"/>
    <row r="20765" ht="30" customHeight="1"/>
    <row r="20766" ht="30" customHeight="1"/>
    <row r="20767" ht="30" customHeight="1"/>
    <row r="20768" ht="30" customHeight="1"/>
    <row r="20769" ht="30" customHeight="1"/>
    <row r="20770" ht="30" customHeight="1"/>
    <row r="20771" ht="30" customHeight="1"/>
    <row r="20772" ht="30" customHeight="1"/>
    <row r="20773" ht="30" customHeight="1"/>
    <row r="20774" ht="30" customHeight="1"/>
    <row r="20775" ht="30" customHeight="1"/>
    <row r="20776" ht="30" customHeight="1"/>
    <row r="20777" ht="30" customHeight="1"/>
    <row r="20778" ht="30" customHeight="1"/>
    <row r="20779" ht="30" customHeight="1"/>
    <row r="20780" ht="30" customHeight="1"/>
    <row r="20781" ht="30" customHeight="1"/>
    <row r="20782" ht="30" customHeight="1"/>
    <row r="20783" ht="30" customHeight="1"/>
    <row r="20784" ht="30" customHeight="1"/>
    <row r="20785" ht="30" customHeight="1"/>
    <row r="20786" ht="30" customHeight="1"/>
    <row r="20787" ht="30" customHeight="1"/>
    <row r="20788" ht="30" customHeight="1"/>
    <row r="20789" ht="30" customHeight="1"/>
    <row r="20790" ht="30" customHeight="1"/>
    <row r="20791" ht="30" customHeight="1"/>
    <row r="20792" ht="30" customHeight="1"/>
    <row r="20793" ht="30" customHeight="1"/>
    <row r="20794" ht="30" customHeight="1"/>
    <row r="20795" ht="30" customHeight="1"/>
    <row r="20796" ht="30" customHeight="1"/>
    <row r="20797" ht="30" customHeight="1"/>
    <row r="20798" ht="30" customHeight="1"/>
    <row r="20799" ht="30" customHeight="1"/>
    <row r="20800" ht="30" customHeight="1"/>
    <row r="20801" ht="30" customHeight="1"/>
    <row r="20802" ht="30" customHeight="1"/>
    <row r="20803" ht="30" customHeight="1"/>
    <row r="20804" ht="30" customHeight="1"/>
    <row r="20805" ht="30" customHeight="1"/>
    <row r="20806" ht="30" customHeight="1"/>
    <row r="20807" ht="30" customHeight="1"/>
    <row r="20808" ht="30" customHeight="1"/>
    <row r="20809" ht="30" customHeight="1"/>
    <row r="20810" ht="30" customHeight="1"/>
    <row r="20811" ht="30" customHeight="1"/>
    <row r="20812" ht="30" customHeight="1"/>
    <row r="20813" ht="30" customHeight="1"/>
    <row r="20814" ht="30" customHeight="1"/>
    <row r="20815" ht="30" customHeight="1"/>
    <row r="20816" ht="30" customHeight="1"/>
    <row r="20817" ht="30" customHeight="1"/>
    <row r="20818" ht="30" customHeight="1"/>
    <row r="20819" ht="30" customHeight="1"/>
    <row r="20820" ht="30" customHeight="1"/>
    <row r="20821" ht="30" customHeight="1"/>
    <row r="20822" ht="30" customHeight="1"/>
    <row r="20823" ht="30" customHeight="1"/>
    <row r="20824" ht="30" customHeight="1"/>
    <row r="20825" ht="30" customHeight="1"/>
    <row r="20826" ht="30" customHeight="1"/>
    <row r="20827" ht="30" customHeight="1"/>
    <row r="20828" ht="30" customHeight="1"/>
    <row r="20829" ht="30" customHeight="1"/>
    <row r="20830" ht="30" customHeight="1"/>
    <row r="20831" ht="30" customHeight="1"/>
    <row r="20832" ht="30" customHeight="1"/>
    <row r="20833" ht="30" customHeight="1"/>
    <row r="20834" ht="30" customHeight="1"/>
    <row r="20835" ht="30" customHeight="1"/>
    <row r="20836" ht="30" customHeight="1"/>
    <row r="20837" ht="30" customHeight="1"/>
    <row r="20838" ht="30" customHeight="1"/>
    <row r="20839" ht="30" customHeight="1"/>
    <row r="20840" ht="30" customHeight="1"/>
    <row r="20841" ht="30" customHeight="1"/>
    <row r="20842" ht="30" customHeight="1"/>
    <row r="20843" ht="30" customHeight="1"/>
    <row r="20844" ht="30" customHeight="1"/>
    <row r="20845" ht="30" customHeight="1"/>
    <row r="20846" ht="30" customHeight="1"/>
    <row r="20847" ht="30" customHeight="1"/>
    <row r="20848" ht="30" customHeight="1"/>
    <row r="20849" ht="30" customHeight="1"/>
    <row r="20850" ht="30" customHeight="1"/>
    <row r="20851" ht="30" customHeight="1"/>
    <row r="20852" ht="30" customHeight="1"/>
    <row r="20853" ht="30" customHeight="1"/>
    <row r="20854" ht="30" customHeight="1"/>
    <row r="20855" ht="30" customHeight="1"/>
    <row r="20856" ht="30" customHeight="1"/>
    <row r="20857" ht="30" customHeight="1"/>
    <row r="20858" ht="30" customHeight="1"/>
    <row r="20859" ht="30" customHeight="1"/>
    <row r="20860" ht="30" customHeight="1"/>
    <row r="20861" ht="30" customHeight="1"/>
    <row r="20862" ht="30" customHeight="1"/>
    <row r="20863" ht="30" customHeight="1"/>
    <row r="20864" ht="30" customHeight="1"/>
    <row r="20865" ht="30" customHeight="1"/>
    <row r="20866" ht="30" customHeight="1"/>
    <row r="20867" ht="30" customHeight="1"/>
    <row r="20868" ht="30" customHeight="1"/>
    <row r="20869" ht="30" customHeight="1"/>
    <row r="20870" ht="30" customHeight="1"/>
    <row r="20871" ht="30" customHeight="1"/>
    <row r="20872" ht="30" customHeight="1"/>
    <row r="20873" ht="30" customHeight="1"/>
    <row r="20874" ht="30" customHeight="1"/>
    <row r="20875" ht="30" customHeight="1"/>
    <row r="20876" ht="30" customHeight="1"/>
    <row r="20877" ht="30" customHeight="1"/>
    <row r="20878" ht="30" customHeight="1"/>
    <row r="20879" ht="30" customHeight="1"/>
    <row r="20880" ht="30" customHeight="1"/>
    <row r="20881" ht="30" customHeight="1"/>
    <row r="20882" ht="30" customHeight="1"/>
    <row r="20883" ht="30" customHeight="1"/>
    <row r="20884" ht="30" customHeight="1"/>
    <row r="20885" ht="30" customHeight="1"/>
    <row r="20886" ht="30" customHeight="1"/>
    <row r="20887" ht="30" customHeight="1"/>
    <row r="20888" ht="30" customHeight="1"/>
    <row r="20889" ht="30" customHeight="1"/>
    <row r="20890" ht="30" customHeight="1"/>
    <row r="20891" ht="30" customHeight="1"/>
    <row r="20892" ht="30" customHeight="1"/>
    <row r="20893" ht="30" customHeight="1"/>
    <row r="20894" ht="30" customHeight="1"/>
    <row r="20895" ht="30" customHeight="1"/>
    <row r="20896" ht="30" customHeight="1"/>
    <row r="20897" ht="30" customHeight="1"/>
    <row r="20898" ht="30" customHeight="1"/>
    <row r="20899" ht="30" customHeight="1"/>
    <row r="20900" ht="30" customHeight="1"/>
    <row r="20901" ht="30" customHeight="1"/>
    <row r="20902" ht="30" customHeight="1"/>
    <row r="20903" ht="30" customHeight="1"/>
    <row r="20904" ht="30" customHeight="1"/>
    <row r="20905" ht="30" customHeight="1"/>
    <row r="20906" ht="30" customHeight="1"/>
    <row r="20907" ht="30" customHeight="1"/>
    <row r="20908" ht="30" customHeight="1"/>
    <row r="20909" ht="30" customHeight="1"/>
    <row r="20910" ht="30" customHeight="1"/>
    <row r="20911" ht="30" customHeight="1"/>
    <row r="20912" ht="30" customHeight="1"/>
    <row r="20913" ht="30" customHeight="1"/>
    <row r="20914" ht="30" customHeight="1"/>
    <row r="20915" ht="30" customHeight="1"/>
    <row r="20916" ht="30" customHeight="1"/>
    <row r="20917" ht="30" customHeight="1"/>
    <row r="20918" ht="30" customHeight="1"/>
    <row r="20919" ht="30" customHeight="1"/>
    <row r="20920" ht="30" customHeight="1"/>
    <row r="20921" ht="30" customHeight="1"/>
    <row r="20922" ht="30" customHeight="1"/>
    <row r="20923" ht="30" customHeight="1"/>
    <row r="20924" ht="30" customHeight="1"/>
    <row r="20925" ht="30" customHeight="1"/>
    <row r="20926" ht="30" customHeight="1"/>
    <row r="20927" ht="30" customHeight="1"/>
    <row r="20928" ht="30" customHeight="1"/>
    <row r="20929" ht="30" customHeight="1"/>
    <row r="20930" ht="30" customHeight="1"/>
    <row r="20931" ht="30" customHeight="1"/>
    <row r="20932" ht="30" customHeight="1"/>
    <row r="20933" ht="30" customHeight="1"/>
    <row r="20934" ht="30" customHeight="1"/>
    <row r="20935" ht="30" customHeight="1"/>
    <row r="20936" ht="30" customHeight="1"/>
    <row r="20937" ht="30" customHeight="1"/>
    <row r="20938" ht="30" customHeight="1"/>
    <row r="20939" ht="30" customHeight="1"/>
    <row r="20940" ht="30" customHeight="1"/>
    <row r="20941" ht="30" customHeight="1"/>
    <row r="20942" ht="30" customHeight="1"/>
    <row r="20943" ht="30" customHeight="1"/>
    <row r="20944" ht="30" customHeight="1"/>
    <row r="20945" ht="30" customHeight="1"/>
    <row r="20946" ht="30" customHeight="1"/>
    <row r="20947" ht="30" customHeight="1"/>
    <row r="20948" ht="30" customHeight="1"/>
    <row r="20949" ht="30" customHeight="1"/>
    <row r="20950" ht="30" customHeight="1"/>
    <row r="20951" ht="30" customHeight="1"/>
    <row r="20952" ht="30" customHeight="1"/>
    <row r="20953" ht="30" customHeight="1"/>
    <row r="20954" ht="30" customHeight="1"/>
    <row r="20955" ht="30" customHeight="1"/>
    <row r="20956" ht="30" customHeight="1"/>
    <row r="20957" ht="30" customHeight="1"/>
    <row r="20958" ht="30" customHeight="1"/>
    <row r="20959" ht="30" customHeight="1"/>
    <row r="20960" ht="30" customHeight="1"/>
    <row r="20961" ht="30" customHeight="1"/>
    <row r="20962" ht="30" customHeight="1"/>
    <row r="20963" ht="30" customHeight="1"/>
    <row r="20964" ht="30" customHeight="1"/>
    <row r="20965" ht="30" customHeight="1"/>
    <row r="20966" ht="30" customHeight="1"/>
    <row r="20967" ht="30" customHeight="1"/>
    <row r="20968" ht="30" customHeight="1"/>
    <row r="20969" ht="30" customHeight="1"/>
    <row r="20970" ht="30" customHeight="1"/>
    <row r="20971" ht="30" customHeight="1"/>
    <row r="20972" ht="30" customHeight="1"/>
    <row r="20973" ht="30" customHeight="1"/>
    <row r="20974" ht="30" customHeight="1"/>
    <row r="20975" ht="30" customHeight="1"/>
    <row r="20976" ht="30" customHeight="1"/>
    <row r="20977" ht="30" customHeight="1"/>
    <row r="20978" ht="30" customHeight="1"/>
    <row r="20979" ht="30" customHeight="1"/>
    <row r="20980" ht="30" customHeight="1"/>
    <row r="20981" ht="30" customHeight="1"/>
    <row r="20982" ht="30" customHeight="1"/>
    <row r="20983" ht="30" customHeight="1"/>
    <row r="20984" ht="30" customHeight="1"/>
    <row r="20985" ht="30" customHeight="1"/>
    <row r="20986" ht="30" customHeight="1"/>
    <row r="20987" ht="30" customHeight="1"/>
    <row r="20988" ht="30" customHeight="1"/>
    <row r="20989" ht="30" customHeight="1"/>
    <row r="20990" ht="30" customHeight="1"/>
    <row r="20991" ht="30" customHeight="1"/>
    <row r="20992" ht="30" customHeight="1"/>
    <row r="20993" ht="30" customHeight="1"/>
    <row r="20994" ht="30" customHeight="1"/>
    <row r="20995" ht="30" customHeight="1"/>
    <row r="20996" ht="30" customHeight="1"/>
    <row r="20997" ht="30" customHeight="1"/>
    <row r="20998" ht="30" customHeight="1"/>
    <row r="20999" ht="30" customHeight="1"/>
    <row r="21000" ht="30" customHeight="1"/>
    <row r="21001" ht="30" customHeight="1"/>
    <row r="21002" ht="30" customHeight="1"/>
    <row r="21003" ht="30" customHeight="1"/>
    <row r="21004" ht="30" customHeight="1"/>
    <row r="21005" ht="30" customHeight="1"/>
    <row r="21006" ht="30" customHeight="1"/>
    <row r="21007" ht="30" customHeight="1"/>
    <row r="21008" ht="30" customHeight="1"/>
    <row r="21009" ht="30" customHeight="1"/>
    <row r="21010" ht="30" customHeight="1"/>
    <row r="21011" ht="30" customHeight="1"/>
    <row r="21012" ht="30" customHeight="1"/>
    <row r="21013" ht="30" customHeight="1"/>
    <row r="21014" ht="30" customHeight="1"/>
    <row r="21015" ht="30" customHeight="1"/>
    <row r="21016" ht="30" customHeight="1"/>
    <row r="21017" ht="30" customHeight="1"/>
    <row r="21018" ht="30" customHeight="1"/>
    <row r="21019" ht="30" customHeight="1"/>
    <row r="21020" ht="30" customHeight="1"/>
    <row r="21021" ht="30" customHeight="1"/>
    <row r="21022" ht="30" customHeight="1"/>
    <row r="21023" ht="30" customHeight="1"/>
    <row r="21024" ht="30" customHeight="1"/>
    <row r="21025" ht="30" customHeight="1"/>
    <row r="21026" ht="30" customHeight="1"/>
    <row r="21027" ht="30" customHeight="1"/>
    <row r="21028" ht="30" customHeight="1"/>
    <row r="21029" ht="30" customHeight="1"/>
    <row r="21030" ht="30" customHeight="1"/>
    <row r="21031" ht="30" customHeight="1"/>
    <row r="21032" ht="30" customHeight="1"/>
    <row r="21033" ht="30" customHeight="1"/>
    <row r="21034" ht="30" customHeight="1"/>
    <row r="21035" ht="30" customHeight="1"/>
    <row r="21036" ht="30" customHeight="1"/>
    <row r="21037" ht="30" customHeight="1"/>
    <row r="21038" ht="30" customHeight="1"/>
    <row r="21039" ht="30" customHeight="1"/>
    <row r="21040" ht="30" customHeight="1"/>
    <row r="21041" ht="30" customHeight="1"/>
    <row r="21042" ht="30" customHeight="1"/>
    <row r="21043" ht="30" customHeight="1"/>
    <row r="21044" ht="30" customHeight="1"/>
    <row r="21045" ht="30" customHeight="1"/>
    <row r="21046" ht="30" customHeight="1"/>
    <row r="21047" ht="30" customHeight="1"/>
    <row r="21048" ht="30" customHeight="1"/>
    <row r="21049" ht="30" customHeight="1"/>
    <row r="21050" ht="30" customHeight="1"/>
    <row r="21051" ht="30" customHeight="1"/>
    <row r="21052" ht="30" customHeight="1"/>
    <row r="21053" ht="30" customHeight="1"/>
    <row r="21054" ht="30" customHeight="1"/>
    <row r="21055" ht="30" customHeight="1"/>
    <row r="21056" ht="30" customHeight="1"/>
    <row r="21057" ht="30" customHeight="1"/>
    <row r="21058" ht="30" customHeight="1"/>
    <row r="21059" ht="30" customHeight="1"/>
    <row r="21060" ht="30" customHeight="1"/>
    <row r="21061" ht="30" customHeight="1"/>
    <row r="21062" ht="30" customHeight="1"/>
    <row r="21063" ht="30" customHeight="1"/>
    <row r="21064" ht="30" customHeight="1"/>
    <row r="21065" ht="30" customHeight="1"/>
    <row r="21066" ht="30" customHeight="1"/>
    <row r="21067" ht="30" customHeight="1"/>
    <row r="21068" ht="30" customHeight="1"/>
    <row r="21069" ht="30" customHeight="1"/>
    <row r="21070" ht="30" customHeight="1"/>
    <row r="21071" ht="30" customHeight="1"/>
    <row r="21072" ht="30" customHeight="1"/>
    <row r="21073" ht="30" customHeight="1"/>
    <row r="21074" ht="30" customHeight="1"/>
    <row r="21075" ht="30" customHeight="1"/>
    <row r="21076" ht="30" customHeight="1"/>
    <row r="21077" ht="30" customHeight="1"/>
    <row r="21078" ht="30" customHeight="1"/>
    <row r="21079" ht="30" customHeight="1"/>
    <row r="21080" ht="30" customHeight="1"/>
    <row r="21081" ht="30" customHeight="1"/>
    <row r="21082" ht="30" customHeight="1"/>
    <row r="21083" ht="30" customHeight="1"/>
    <row r="21084" ht="30" customHeight="1"/>
    <row r="21085" ht="30" customHeight="1"/>
    <row r="21086" ht="30" customHeight="1"/>
    <row r="21087" ht="30" customHeight="1"/>
    <row r="21088" ht="30" customHeight="1"/>
    <row r="21089" ht="30" customHeight="1"/>
    <row r="21090" ht="30" customHeight="1"/>
    <row r="21091" ht="30" customHeight="1"/>
    <row r="21092" ht="30" customHeight="1"/>
    <row r="21093" ht="30" customHeight="1"/>
    <row r="21094" ht="30" customHeight="1"/>
    <row r="21095" ht="30" customHeight="1"/>
    <row r="21096" ht="30" customHeight="1"/>
    <row r="21097" ht="30" customHeight="1"/>
    <row r="21098" ht="30" customHeight="1"/>
    <row r="21099" ht="30" customHeight="1"/>
    <row r="21100" ht="30" customHeight="1"/>
    <row r="21101" ht="30" customHeight="1"/>
    <row r="21102" ht="30" customHeight="1"/>
    <row r="21103" ht="30" customHeight="1"/>
    <row r="21104" ht="30" customHeight="1"/>
    <row r="21105" ht="30" customHeight="1"/>
    <row r="21106" ht="30" customHeight="1"/>
    <row r="21107" ht="30" customHeight="1"/>
    <row r="21108" ht="30" customHeight="1"/>
    <row r="21109" ht="30" customHeight="1"/>
    <row r="21110" ht="30" customHeight="1"/>
    <row r="21111" ht="30" customHeight="1"/>
    <row r="21112" ht="30" customHeight="1"/>
    <row r="21113" ht="30" customHeight="1"/>
    <row r="21114" ht="30" customHeight="1"/>
    <row r="21115" ht="30" customHeight="1"/>
    <row r="21116" ht="30" customHeight="1"/>
    <row r="21117" ht="30" customHeight="1"/>
    <row r="21118" ht="30" customHeight="1"/>
    <row r="21119" ht="30" customHeight="1"/>
    <row r="21120" ht="30" customHeight="1"/>
    <row r="21121" ht="30" customHeight="1"/>
    <row r="21122" ht="30" customHeight="1"/>
    <row r="21123" ht="30" customHeight="1"/>
    <row r="21124" ht="30" customHeight="1"/>
    <row r="21125" ht="30" customHeight="1"/>
    <row r="21126" ht="30" customHeight="1"/>
    <row r="21127" ht="30" customHeight="1"/>
    <row r="21128" ht="30" customHeight="1"/>
    <row r="21129" ht="30" customHeight="1"/>
    <row r="21130" ht="30" customHeight="1"/>
    <row r="21131" ht="30" customHeight="1"/>
    <row r="21132" ht="30" customHeight="1"/>
    <row r="21133" ht="30" customHeight="1"/>
    <row r="21134" ht="30" customHeight="1"/>
    <row r="21135" ht="30" customHeight="1"/>
    <row r="21136" ht="30" customHeight="1"/>
    <row r="21137" ht="30" customHeight="1"/>
    <row r="21138" ht="30" customHeight="1"/>
    <row r="21139" ht="30" customHeight="1"/>
    <row r="21140" ht="30" customHeight="1"/>
    <row r="21141" ht="30" customHeight="1"/>
    <row r="21142" ht="30" customHeight="1"/>
    <row r="21143" ht="30" customHeight="1"/>
    <row r="21144" ht="30" customHeight="1"/>
    <row r="21145" ht="30" customHeight="1"/>
    <row r="21146" ht="30" customHeight="1"/>
    <row r="21147" ht="30" customHeight="1"/>
    <row r="21148" ht="30" customHeight="1"/>
    <row r="21149" ht="30" customHeight="1"/>
    <row r="21150" ht="30" customHeight="1"/>
    <row r="21151" ht="30" customHeight="1"/>
    <row r="21152" ht="30" customHeight="1"/>
    <row r="21153" ht="30" customHeight="1"/>
    <row r="21154" ht="30" customHeight="1"/>
    <row r="21155" ht="30" customHeight="1"/>
    <row r="21156" ht="30" customHeight="1"/>
    <row r="21157" ht="30" customHeight="1"/>
    <row r="21158" ht="30" customHeight="1"/>
    <row r="21159" ht="30" customHeight="1"/>
    <row r="21160" ht="30" customHeight="1"/>
    <row r="21161" ht="30" customHeight="1"/>
    <row r="21162" ht="30" customHeight="1"/>
    <row r="21163" ht="30" customHeight="1"/>
    <row r="21164" ht="30" customHeight="1"/>
    <row r="21165" ht="30" customHeight="1"/>
    <row r="21166" ht="30" customHeight="1"/>
    <row r="21167" ht="30" customHeight="1"/>
    <row r="21168" ht="30" customHeight="1"/>
    <row r="21169" ht="30" customHeight="1"/>
    <row r="21170" ht="30" customHeight="1"/>
    <row r="21171" ht="30" customHeight="1"/>
    <row r="21172" ht="30" customHeight="1"/>
    <row r="21173" ht="30" customHeight="1"/>
    <row r="21174" ht="30" customHeight="1"/>
    <row r="21175" ht="30" customHeight="1"/>
    <row r="21176" ht="30" customHeight="1"/>
    <row r="21177" ht="30" customHeight="1"/>
    <row r="21178" ht="30" customHeight="1"/>
    <row r="21179" ht="30" customHeight="1"/>
    <row r="21180" ht="30" customHeight="1"/>
    <row r="21181" ht="30" customHeight="1"/>
    <row r="21182" ht="30" customHeight="1"/>
    <row r="21183" ht="30" customHeight="1"/>
    <row r="21184" ht="30" customHeight="1"/>
    <row r="21185" ht="30" customHeight="1"/>
    <row r="21186" ht="30" customHeight="1"/>
    <row r="21187" ht="30" customHeight="1"/>
    <row r="21188" ht="30" customHeight="1"/>
    <row r="21189" ht="30" customHeight="1"/>
    <row r="21190" ht="30" customHeight="1"/>
    <row r="21191" ht="30" customHeight="1"/>
    <row r="21192" ht="30" customHeight="1"/>
    <row r="21193" ht="30" customHeight="1"/>
    <row r="21194" ht="30" customHeight="1"/>
    <row r="21195" ht="30" customHeight="1"/>
    <row r="21196" ht="30" customHeight="1"/>
    <row r="21197" ht="30" customHeight="1"/>
    <row r="21198" ht="30" customHeight="1"/>
    <row r="21199" ht="30" customHeight="1"/>
    <row r="21200" ht="30" customHeight="1"/>
    <row r="21201" ht="30" customHeight="1"/>
    <row r="21202" ht="30" customHeight="1"/>
    <row r="21203" ht="30" customHeight="1"/>
    <row r="21204" ht="30" customHeight="1"/>
    <row r="21205" ht="30" customHeight="1"/>
    <row r="21206" ht="30" customHeight="1"/>
    <row r="21207" ht="30" customHeight="1"/>
    <row r="21208" ht="30" customHeight="1"/>
    <row r="21209" ht="30" customHeight="1"/>
    <row r="21210" ht="30" customHeight="1"/>
    <row r="21211" ht="30" customHeight="1"/>
    <row r="21212" ht="30" customHeight="1"/>
    <row r="21213" ht="30" customHeight="1"/>
    <row r="21214" ht="30" customHeight="1"/>
    <row r="21215" ht="30" customHeight="1"/>
    <row r="21216" ht="30" customHeight="1"/>
    <row r="21217" ht="30" customHeight="1"/>
    <row r="21218" ht="30" customHeight="1"/>
    <row r="21219" ht="30" customHeight="1"/>
    <row r="21220" ht="30" customHeight="1"/>
    <row r="21221" ht="30" customHeight="1"/>
    <row r="21222" ht="30" customHeight="1"/>
    <row r="21223" ht="30" customHeight="1"/>
    <row r="21224" ht="30" customHeight="1"/>
    <row r="21225" ht="30" customHeight="1"/>
    <row r="21226" ht="30" customHeight="1"/>
    <row r="21227" ht="30" customHeight="1"/>
    <row r="21228" ht="30" customHeight="1"/>
    <row r="21229" ht="30" customHeight="1"/>
    <row r="21230" ht="30" customHeight="1"/>
    <row r="21231" ht="30" customHeight="1"/>
    <row r="21232" ht="30" customHeight="1"/>
    <row r="21233" ht="30" customHeight="1"/>
    <row r="21234" ht="30" customHeight="1"/>
    <row r="21235" ht="30" customHeight="1"/>
    <row r="21236" ht="30" customHeight="1"/>
    <row r="21237" ht="30" customHeight="1"/>
    <row r="21238" ht="30" customHeight="1"/>
    <row r="21239" ht="30" customHeight="1"/>
    <row r="21240" ht="30" customHeight="1"/>
    <row r="21241" ht="30" customHeight="1"/>
    <row r="21242" ht="30" customHeight="1"/>
    <row r="21243" ht="30" customHeight="1"/>
    <row r="21244" ht="30" customHeight="1"/>
    <row r="21245" ht="30" customHeight="1"/>
    <row r="21246" ht="30" customHeight="1"/>
    <row r="21247" ht="30" customHeight="1"/>
    <row r="21248" ht="30" customHeight="1"/>
    <row r="21249" ht="30" customHeight="1"/>
    <row r="21250" ht="30" customHeight="1"/>
    <row r="21251" ht="30" customHeight="1"/>
    <row r="21252" ht="30" customHeight="1"/>
    <row r="21253" ht="30" customHeight="1"/>
    <row r="21254" ht="30" customHeight="1"/>
    <row r="21255" ht="30" customHeight="1"/>
    <row r="21256" ht="30" customHeight="1"/>
    <row r="21257" ht="30" customHeight="1"/>
    <row r="21258" ht="30" customHeight="1"/>
    <row r="21259" ht="30" customHeight="1"/>
    <row r="21260" ht="30" customHeight="1"/>
    <row r="21261" ht="30" customHeight="1"/>
    <row r="21262" ht="30" customHeight="1"/>
    <row r="21263" ht="30" customHeight="1"/>
    <row r="21264" ht="30" customHeight="1"/>
    <row r="21265" ht="30" customHeight="1"/>
    <row r="21266" ht="30" customHeight="1"/>
    <row r="21267" ht="30" customHeight="1"/>
    <row r="21268" ht="30" customHeight="1"/>
    <row r="21269" ht="30" customHeight="1"/>
    <row r="21270" ht="30" customHeight="1"/>
    <row r="21271" ht="30" customHeight="1"/>
    <row r="21272" ht="30" customHeight="1"/>
    <row r="21273" ht="30" customHeight="1"/>
    <row r="21274" ht="30" customHeight="1"/>
    <row r="21275" ht="30" customHeight="1"/>
    <row r="21276" ht="30" customHeight="1"/>
    <row r="21277" ht="30" customHeight="1"/>
    <row r="21278" ht="30" customHeight="1"/>
    <row r="21279" ht="30" customHeight="1"/>
    <row r="21280" ht="30" customHeight="1"/>
    <row r="21281" ht="30" customHeight="1"/>
    <row r="21282" ht="30" customHeight="1"/>
    <row r="21283" ht="30" customHeight="1"/>
    <row r="21284" ht="30" customHeight="1"/>
    <row r="21285" ht="30" customHeight="1"/>
    <row r="21286" ht="30" customHeight="1"/>
    <row r="21287" ht="30" customHeight="1"/>
    <row r="21288" ht="30" customHeight="1"/>
    <row r="21289" ht="30" customHeight="1"/>
    <row r="21290" ht="30" customHeight="1"/>
    <row r="21291" ht="30" customHeight="1"/>
    <row r="21292" ht="30" customHeight="1"/>
    <row r="21293" ht="30" customHeight="1"/>
    <row r="21294" ht="30" customHeight="1"/>
    <row r="21295" ht="30" customHeight="1"/>
    <row r="21296" ht="30" customHeight="1"/>
    <row r="21297" ht="30" customHeight="1"/>
    <row r="21298" ht="30" customHeight="1"/>
    <row r="21299" ht="30" customHeight="1"/>
    <row r="21300" ht="30" customHeight="1"/>
    <row r="21301" ht="30" customHeight="1"/>
    <row r="21302" ht="30" customHeight="1"/>
    <row r="21303" ht="30" customHeight="1"/>
    <row r="21304" ht="30" customHeight="1"/>
    <row r="21305" ht="30" customHeight="1"/>
    <row r="21306" ht="30" customHeight="1"/>
    <row r="21307" ht="30" customHeight="1"/>
    <row r="21308" ht="30" customHeight="1"/>
    <row r="21309" ht="30" customHeight="1"/>
    <row r="21310" ht="30" customHeight="1"/>
    <row r="21311" ht="30" customHeight="1"/>
    <row r="21312" ht="30" customHeight="1"/>
    <row r="21313" ht="30" customHeight="1"/>
    <row r="21314" ht="30" customHeight="1"/>
    <row r="21315" ht="30" customHeight="1"/>
    <row r="21316" ht="30" customHeight="1"/>
    <row r="21317" ht="30" customHeight="1"/>
    <row r="21318" ht="30" customHeight="1"/>
    <row r="21319" ht="30" customHeight="1"/>
    <row r="21320" ht="30" customHeight="1"/>
    <row r="21321" ht="30" customHeight="1"/>
    <row r="21322" ht="30" customHeight="1"/>
    <row r="21323" ht="30" customHeight="1"/>
    <row r="21324" ht="30" customHeight="1"/>
    <row r="21325" ht="30" customHeight="1"/>
    <row r="21326" ht="30" customHeight="1"/>
    <row r="21327" ht="30" customHeight="1"/>
    <row r="21328" ht="30" customHeight="1"/>
    <row r="21329" ht="30" customHeight="1"/>
    <row r="21330" ht="30" customHeight="1"/>
    <row r="21331" ht="30" customHeight="1"/>
    <row r="21332" ht="30" customHeight="1"/>
    <row r="21333" ht="30" customHeight="1"/>
    <row r="21334" ht="30" customHeight="1"/>
    <row r="21335" ht="30" customHeight="1"/>
    <row r="21336" ht="30" customHeight="1"/>
    <row r="21337" ht="30" customHeight="1"/>
    <row r="21338" ht="30" customHeight="1"/>
    <row r="21339" ht="30" customHeight="1"/>
    <row r="21340" ht="30" customHeight="1"/>
    <row r="21341" ht="30" customHeight="1"/>
    <row r="21342" ht="30" customHeight="1"/>
    <row r="21343" ht="30" customHeight="1"/>
    <row r="21344" ht="30" customHeight="1"/>
    <row r="21345" ht="30" customHeight="1"/>
    <row r="21346" ht="30" customHeight="1"/>
    <row r="21347" ht="30" customHeight="1"/>
    <row r="21348" ht="30" customHeight="1"/>
    <row r="21349" ht="30" customHeight="1"/>
    <row r="21350" ht="30" customHeight="1"/>
    <row r="21351" ht="30" customHeight="1"/>
    <row r="21352" ht="30" customHeight="1"/>
    <row r="21353" ht="30" customHeight="1"/>
    <row r="21354" ht="30" customHeight="1"/>
    <row r="21355" ht="30" customHeight="1"/>
    <row r="21356" ht="30" customHeight="1"/>
    <row r="21357" ht="30" customHeight="1"/>
    <row r="21358" ht="30" customHeight="1"/>
    <row r="21359" ht="30" customHeight="1"/>
    <row r="21360" ht="30" customHeight="1"/>
    <row r="21361" ht="30" customHeight="1"/>
    <row r="21362" ht="30" customHeight="1"/>
    <row r="21363" ht="30" customHeight="1"/>
    <row r="21364" ht="30" customHeight="1"/>
    <row r="21365" ht="30" customHeight="1"/>
    <row r="21366" ht="30" customHeight="1"/>
    <row r="21367" ht="30" customHeight="1"/>
    <row r="21368" ht="30" customHeight="1"/>
    <row r="21369" ht="30" customHeight="1"/>
    <row r="21370" ht="30" customHeight="1"/>
    <row r="21371" ht="30" customHeight="1"/>
    <row r="21372" ht="30" customHeight="1"/>
    <row r="21373" ht="30" customHeight="1"/>
    <row r="21374" ht="30" customHeight="1"/>
    <row r="21375" ht="30" customHeight="1"/>
    <row r="21376" ht="30" customHeight="1"/>
    <row r="21377" ht="30" customHeight="1"/>
    <row r="21378" ht="30" customHeight="1"/>
    <row r="21379" ht="30" customHeight="1"/>
    <row r="21380" ht="30" customHeight="1"/>
    <row r="21381" ht="30" customHeight="1"/>
    <row r="21382" ht="30" customHeight="1"/>
    <row r="21383" ht="30" customHeight="1"/>
    <row r="21384" ht="30" customHeight="1"/>
    <row r="21385" ht="30" customHeight="1"/>
    <row r="21386" ht="30" customHeight="1"/>
    <row r="21387" ht="30" customHeight="1"/>
    <row r="21388" ht="30" customHeight="1"/>
    <row r="21389" ht="30" customHeight="1"/>
    <row r="21390" ht="30" customHeight="1"/>
    <row r="21391" ht="30" customHeight="1"/>
    <row r="21392" ht="30" customHeight="1"/>
    <row r="21393" ht="30" customHeight="1"/>
    <row r="21394" ht="30" customHeight="1"/>
    <row r="21395" ht="30" customHeight="1"/>
    <row r="21396" ht="30" customHeight="1"/>
    <row r="21397" ht="30" customHeight="1"/>
    <row r="21398" ht="30" customHeight="1"/>
    <row r="21399" ht="30" customHeight="1"/>
    <row r="21400" ht="30" customHeight="1"/>
    <row r="21401" ht="30" customHeight="1"/>
    <row r="21402" ht="30" customHeight="1"/>
    <row r="21403" ht="30" customHeight="1"/>
    <row r="21404" ht="30" customHeight="1"/>
    <row r="21405" ht="30" customHeight="1"/>
    <row r="21406" ht="30" customHeight="1"/>
    <row r="21407" ht="30" customHeight="1"/>
    <row r="21408" ht="30" customHeight="1"/>
    <row r="21409" ht="30" customHeight="1"/>
    <row r="21410" ht="30" customHeight="1"/>
    <row r="21411" ht="30" customHeight="1"/>
    <row r="21412" ht="30" customHeight="1"/>
    <row r="21413" ht="30" customHeight="1"/>
    <row r="21414" ht="30" customHeight="1"/>
    <row r="21415" ht="30" customHeight="1"/>
    <row r="21416" ht="30" customHeight="1"/>
    <row r="21417" ht="30" customHeight="1"/>
    <row r="21418" ht="30" customHeight="1"/>
    <row r="21419" ht="30" customHeight="1"/>
    <row r="21420" ht="30" customHeight="1"/>
    <row r="21421" ht="30" customHeight="1"/>
    <row r="21422" ht="30" customHeight="1"/>
    <row r="21423" ht="30" customHeight="1"/>
    <row r="21424" ht="30" customHeight="1"/>
    <row r="21425" ht="30" customHeight="1"/>
    <row r="21426" ht="30" customHeight="1"/>
    <row r="21427" ht="30" customHeight="1"/>
    <row r="21428" ht="30" customHeight="1"/>
    <row r="21429" ht="30" customHeight="1"/>
    <row r="21430" ht="30" customHeight="1"/>
    <row r="21431" ht="30" customHeight="1"/>
    <row r="21432" ht="30" customHeight="1"/>
    <row r="21433" ht="30" customHeight="1"/>
    <row r="21434" ht="30" customHeight="1"/>
    <row r="21435" ht="30" customHeight="1"/>
    <row r="21436" ht="30" customHeight="1"/>
    <row r="21437" ht="30" customHeight="1"/>
    <row r="21438" ht="30" customHeight="1"/>
    <row r="21439" ht="30" customHeight="1"/>
    <row r="21440" ht="30" customHeight="1"/>
    <row r="21441" ht="30" customHeight="1"/>
    <row r="21442" ht="30" customHeight="1"/>
    <row r="21443" ht="30" customHeight="1"/>
    <row r="21444" ht="30" customHeight="1"/>
    <row r="21445" ht="30" customHeight="1"/>
    <row r="21446" ht="30" customHeight="1"/>
    <row r="21447" ht="30" customHeight="1"/>
    <row r="21448" ht="30" customHeight="1"/>
    <row r="21449" ht="30" customHeight="1"/>
    <row r="21450" ht="30" customHeight="1"/>
    <row r="21451" ht="30" customHeight="1"/>
    <row r="21452" ht="30" customHeight="1"/>
    <row r="21453" ht="30" customHeight="1"/>
    <row r="21454" ht="30" customHeight="1"/>
    <row r="21455" ht="30" customHeight="1"/>
    <row r="21456" ht="30" customHeight="1"/>
    <row r="21457" ht="30" customHeight="1"/>
    <row r="21458" ht="30" customHeight="1"/>
    <row r="21459" ht="30" customHeight="1"/>
    <row r="21460" ht="30" customHeight="1"/>
    <row r="21461" ht="30" customHeight="1"/>
    <row r="21462" ht="30" customHeight="1"/>
    <row r="21463" ht="30" customHeight="1"/>
    <row r="21464" ht="30" customHeight="1"/>
    <row r="21465" ht="30" customHeight="1"/>
    <row r="21466" ht="30" customHeight="1"/>
    <row r="21467" ht="30" customHeight="1"/>
    <row r="21468" ht="30" customHeight="1"/>
    <row r="21469" ht="30" customHeight="1"/>
    <row r="21470" ht="30" customHeight="1"/>
    <row r="21471" ht="30" customHeight="1"/>
    <row r="21472" ht="30" customHeight="1"/>
    <row r="21473" ht="30" customHeight="1"/>
    <row r="21474" ht="30" customHeight="1"/>
    <row r="21475" ht="30" customHeight="1"/>
    <row r="21476" ht="30" customHeight="1"/>
    <row r="21477" ht="30" customHeight="1"/>
    <row r="21478" ht="30" customHeight="1"/>
    <row r="21479" ht="30" customHeight="1"/>
    <row r="21480" ht="30" customHeight="1"/>
    <row r="21481" ht="30" customHeight="1"/>
    <row r="21482" ht="30" customHeight="1"/>
    <row r="21483" ht="30" customHeight="1"/>
    <row r="21484" ht="30" customHeight="1"/>
    <row r="21485" ht="30" customHeight="1"/>
    <row r="21486" ht="30" customHeight="1"/>
    <row r="21487" ht="30" customHeight="1"/>
    <row r="21488" ht="30" customHeight="1"/>
    <row r="21489" ht="30" customHeight="1"/>
    <row r="21490" ht="30" customHeight="1"/>
    <row r="21491" ht="30" customHeight="1"/>
    <row r="21492" ht="30" customHeight="1"/>
    <row r="21493" ht="30" customHeight="1"/>
    <row r="21494" ht="30" customHeight="1"/>
    <row r="21495" ht="30" customHeight="1"/>
    <row r="21496" ht="30" customHeight="1"/>
    <row r="21497" ht="30" customHeight="1"/>
    <row r="21498" ht="30" customHeight="1"/>
    <row r="21499" ht="30" customHeight="1"/>
    <row r="21500" ht="30" customHeight="1"/>
    <row r="21501" ht="30" customHeight="1"/>
    <row r="21502" ht="30" customHeight="1"/>
    <row r="21503" ht="30" customHeight="1"/>
    <row r="21504" ht="30" customHeight="1"/>
    <row r="21505" ht="30" customHeight="1"/>
    <row r="21506" ht="30" customHeight="1"/>
    <row r="21507" ht="30" customHeight="1"/>
    <row r="21508" ht="30" customHeight="1"/>
    <row r="21509" ht="30" customHeight="1"/>
    <row r="21510" ht="30" customHeight="1"/>
    <row r="21511" ht="30" customHeight="1"/>
    <row r="21512" ht="30" customHeight="1"/>
    <row r="21513" ht="30" customHeight="1"/>
    <row r="21514" ht="30" customHeight="1"/>
    <row r="21515" ht="30" customHeight="1"/>
    <row r="21516" ht="30" customHeight="1"/>
    <row r="21517" ht="30" customHeight="1"/>
    <row r="21518" ht="30" customHeight="1"/>
    <row r="21519" ht="30" customHeight="1"/>
    <row r="21520" ht="30" customHeight="1"/>
    <row r="21521" ht="30" customHeight="1"/>
    <row r="21522" ht="30" customHeight="1"/>
    <row r="21523" ht="30" customHeight="1"/>
    <row r="21524" ht="30" customHeight="1"/>
    <row r="21525" ht="30" customHeight="1"/>
    <row r="21526" ht="30" customHeight="1"/>
    <row r="21527" ht="30" customHeight="1"/>
    <row r="21528" ht="30" customHeight="1"/>
    <row r="21529" ht="30" customHeight="1"/>
    <row r="21530" ht="30" customHeight="1"/>
    <row r="21531" ht="30" customHeight="1"/>
    <row r="21532" ht="30" customHeight="1"/>
    <row r="21533" ht="30" customHeight="1"/>
    <row r="21534" ht="30" customHeight="1"/>
    <row r="21535" ht="30" customHeight="1"/>
    <row r="21536" ht="30" customHeight="1"/>
    <row r="21537" ht="30" customHeight="1"/>
    <row r="21538" ht="30" customHeight="1"/>
    <row r="21539" ht="30" customHeight="1"/>
    <row r="21540" ht="30" customHeight="1"/>
    <row r="21541" ht="30" customHeight="1"/>
    <row r="21542" ht="30" customHeight="1"/>
    <row r="21543" ht="30" customHeight="1"/>
    <row r="21544" ht="30" customHeight="1"/>
    <row r="21545" ht="30" customHeight="1"/>
    <row r="21546" ht="30" customHeight="1"/>
    <row r="21547" ht="30" customHeight="1"/>
    <row r="21548" ht="30" customHeight="1"/>
    <row r="21549" ht="30" customHeight="1"/>
    <row r="21550" ht="30" customHeight="1"/>
    <row r="21551" ht="30" customHeight="1"/>
    <row r="21552" ht="30" customHeight="1"/>
    <row r="21553" ht="30" customHeight="1"/>
    <row r="21554" ht="30" customHeight="1"/>
    <row r="21555" ht="30" customHeight="1"/>
    <row r="21556" ht="30" customHeight="1"/>
    <row r="21557" ht="30" customHeight="1"/>
    <row r="21558" ht="30" customHeight="1"/>
    <row r="21559" ht="30" customHeight="1"/>
    <row r="21560" ht="30" customHeight="1"/>
    <row r="21561" ht="30" customHeight="1"/>
    <row r="21562" ht="30" customHeight="1"/>
    <row r="21563" ht="30" customHeight="1"/>
    <row r="21564" ht="30" customHeight="1"/>
    <row r="21565" ht="30" customHeight="1"/>
    <row r="21566" ht="30" customHeight="1"/>
    <row r="21567" ht="30" customHeight="1"/>
    <row r="21568" ht="30" customHeight="1"/>
    <row r="21569" ht="30" customHeight="1"/>
    <row r="21570" ht="30" customHeight="1"/>
    <row r="21571" ht="30" customHeight="1"/>
    <row r="21572" ht="30" customHeight="1"/>
    <row r="21573" ht="30" customHeight="1"/>
    <row r="21574" ht="30" customHeight="1"/>
    <row r="21575" ht="30" customHeight="1"/>
    <row r="21576" ht="30" customHeight="1"/>
    <row r="21577" ht="30" customHeight="1"/>
    <row r="21578" ht="30" customHeight="1"/>
    <row r="21579" ht="30" customHeight="1"/>
    <row r="21580" ht="30" customHeight="1"/>
    <row r="21581" ht="30" customHeight="1"/>
    <row r="21582" ht="30" customHeight="1"/>
    <row r="21583" ht="30" customHeight="1"/>
    <row r="21584" ht="30" customHeight="1"/>
    <row r="21585" ht="30" customHeight="1"/>
    <row r="21586" ht="30" customHeight="1"/>
    <row r="21587" ht="30" customHeight="1"/>
    <row r="21588" ht="30" customHeight="1"/>
    <row r="21589" ht="30" customHeight="1"/>
    <row r="21590" ht="30" customHeight="1"/>
    <row r="21591" ht="30" customHeight="1"/>
    <row r="21592" ht="30" customHeight="1"/>
    <row r="21593" ht="30" customHeight="1"/>
    <row r="21594" ht="30" customHeight="1"/>
    <row r="21595" ht="30" customHeight="1"/>
    <row r="21596" ht="30" customHeight="1"/>
    <row r="21597" ht="30" customHeight="1"/>
    <row r="21598" ht="30" customHeight="1"/>
    <row r="21599" ht="30" customHeight="1"/>
    <row r="21600" ht="30" customHeight="1"/>
    <row r="21601" ht="30" customHeight="1"/>
    <row r="21602" ht="30" customHeight="1"/>
    <row r="21603" ht="30" customHeight="1"/>
    <row r="21604" ht="30" customHeight="1"/>
    <row r="21605" ht="30" customHeight="1"/>
    <row r="21606" ht="30" customHeight="1"/>
    <row r="21607" ht="30" customHeight="1"/>
    <row r="21608" ht="30" customHeight="1"/>
    <row r="21609" ht="30" customHeight="1"/>
    <row r="21610" ht="30" customHeight="1"/>
    <row r="21611" ht="30" customHeight="1"/>
    <row r="21612" ht="30" customHeight="1"/>
    <row r="21613" ht="30" customHeight="1"/>
    <row r="21614" ht="30" customHeight="1"/>
    <row r="21615" ht="30" customHeight="1"/>
    <row r="21616" ht="30" customHeight="1"/>
    <row r="21617" ht="30" customHeight="1"/>
    <row r="21618" ht="30" customHeight="1"/>
    <row r="21619" ht="30" customHeight="1"/>
    <row r="21620" ht="30" customHeight="1"/>
    <row r="21621" ht="30" customHeight="1"/>
    <row r="21622" ht="30" customHeight="1"/>
    <row r="21623" ht="30" customHeight="1"/>
    <row r="21624" ht="30" customHeight="1"/>
    <row r="21625" ht="30" customHeight="1"/>
    <row r="21626" ht="30" customHeight="1"/>
    <row r="21627" ht="30" customHeight="1"/>
    <row r="21628" ht="30" customHeight="1"/>
    <row r="21629" ht="30" customHeight="1"/>
    <row r="21630" ht="30" customHeight="1"/>
    <row r="21631" ht="30" customHeight="1"/>
    <row r="21632" ht="30" customHeight="1"/>
    <row r="21633" ht="30" customHeight="1"/>
    <row r="21634" ht="30" customHeight="1"/>
    <row r="21635" ht="30" customHeight="1"/>
    <row r="21636" ht="30" customHeight="1"/>
    <row r="21637" ht="30" customHeight="1"/>
    <row r="21638" ht="30" customHeight="1"/>
    <row r="21639" ht="30" customHeight="1"/>
    <row r="21640" ht="30" customHeight="1"/>
    <row r="21641" ht="30" customHeight="1"/>
    <row r="21642" ht="30" customHeight="1"/>
    <row r="21643" ht="30" customHeight="1"/>
    <row r="21644" ht="30" customHeight="1"/>
    <row r="21645" ht="30" customHeight="1"/>
    <row r="21646" ht="30" customHeight="1"/>
    <row r="21647" ht="30" customHeight="1"/>
    <row r="21648" ht="30" customHeight="1"/>
    <row r="21649" ht="30" customHeight="1"/>
    <row r="21650" ht="30" customHeight="1"/>
    <row r="21651" ht="30" customHeight="1"/>
    <row r="21652" ht="30" customHeight="1"/>
    <row r="21653" ht="30" customHeight="1"/>
    <row r="21654" ht="30" customHeight="1"/>
    <row r="21655" ht="30" customHeight="1"/>
    <row r="21656" ht="30" customHeight="1"/>
    <row r="21657" ht="30" customHeight="1"/>
    <row r="21658" ht="30" customHeight="1"/>
    <row r="21659" ht="30" customHeight="1"/>
    <row r="21660" ht="30" customHeight="1"/>
    <row r="21661" ht="30" customHeight="1"/>
    <row r="21662" ht="30" customHeight="1"/>
    <row r="21663" ht="30" customHeight="1"/>
    <row r="21664" ht="30" customHeight="1"/>
    <row r="21665" ht="30" customHeight="1"/>
    <row r="21666" ht="30" customHeight="1"/>
    <row r="21667" ht="30" customHeight="1"/>
    <row r="21668" ht="30" customHeight="1"/>
    <row r="21669" ht="30" customHeight="1"/>
    <row r="21670" ht="30" customHeight="1"/>
    <row r="21671" ht="30" customHeight="1"/>
    <row r="21672" ht="30" customHeight="1"/>
    <row r="21673" ht="30" customHeight="1"/>
    <row r="21674" ht="30" customHeight="1"/>
    <row r="21675" ht="30" customHeight="1"/>
    <row r="21676" ht="30" customHeight="1"/>
    <row r="21677" ht="30" customHeight="1"/>
    <row r="21678" ht="30" customHeight="1"/>
    <row r="21679" ht="30" customHeight="1"/>
    <row r="21680" ht="30" customHeight="1"/>
    <row r="21681" ht="30" customHeight="1"/>
    <row r="21682" ht="30" customHeight="1"/>
    <row r="21683" ht="30" customHeight="1"/>
    <row r="21684" ht="30" customHeight="1"/>
    <row r="21685" ht="30" customHeight="1"/>
    <row r="21686" ht="30" customHeight="1"/>
    <row r="21687" ht="30" customHeight="1"/>
    <row r="21688" ht="30" customHeight="1"/>
    <row r="21689" ht="30" customHeight="1"/>
    <row r="21690" ht="30" customHeight="1"/>
    <row r="21691" ht="30" customHeight="1"/>
    <row r="21692" ht="30" customHeight="1"/>
    <row r="21693" ht="30" customHeight="1"/>
    <row r="21694" ht="30" customHeight="1"/>
    <row r="21695" ht="30" customHeight="1"/>
    <row r="21696" ht="30" customHeight="1"/>
    <row r="21697" ht="30" customHeight="1"/>
    <row r="21698" ht="30" customHeight="1"/>
    <row r="21699" ht="30" customHeight="1"/>
    <row r="21700" ht="30" customHeight="1"/>
    <row r="21701" ht="30" customHeight="1"/>
    <row r="21702" ht="30" customHeight="1"/>
    <row r="21703" ht="30" customHeight="1"/>
    <row r="21704" ht="30" customHeight="1"/>
    <row r="21705" ht="30" customHeight="1"/>
    <row r="21706" ht="30" customHeight="1"/>
    <row r="21707" ht="30" customHeight="1"/>
    <row r="21708" ht="30" customHeight="1"/>
    <row r="21709" ht="30" customHeight="1"/>
    <row r="21710" ht="30" customHeight="1"/>
    <row r="21711" ht="30" customHeight="1"/>
    <row r="21712" ht="30" customHeight="1"/>
    <row r="21713" ht="30" customHeight="1"/>
    <row r="21714" ht="30" customHeight="1"/>
    <row r="21715" ht="30" customHeight="1"/>
    <row r="21716" ht="30" customHeight="1"/>
    <row r="21717" ht="30" customHeight="1"/>
    <row r="21718" ht="30" customHeight="1"/>
    <row r="21719" ht="30" customHeight="1"/>
    <row r="21720" ht="30" customHeight="1"/>
    <row r="21721" ht="30" customHeight="1"/>
    <row r="21722" ht="30" customHeight="1"/>
    <row r="21723" ht="30" customHeight="1"/>
    <row r="21724" ht="30" customHeight="1"/>
    <row r="21725" ht="30" customHeight="1"/>
    <row r="21726" ht="30" customHeight="1"/>
    <row r="21727" ht="30" customHeight="1"/>
    <row r="21728" ht="30" customHeight="1"/>
    <row r="21729" ht="30" customHeight="1"/>
    <row r="21730" ht="30" customHeight="1"/>
    <row r="21731" ht="30" customHeight="1"/>
    <row r="21732" ht="30" customHeight="1"/>
    <row r="21733" ht="30" customHeight="1"/>
    <row r="21734" ht="30" customHeight="1"/>
    <row r="21735" ht="30" customHeight="1"/>
    <row r="21736" ht="30" customHeight="1"/>
    <row r="21737" ht="30" customHeight="1"/>
    <row r="21738" ht="30" customHeight="1"/>
    <row r="21739" ht="30" customHeight="1"/>
    <row r="21740" ht="30" customHeight="1"/>
    <row r="21741" ht="30" customHeight="1"/>
    <row r="21742" ht="30" customHeight="1"/>
    <row r="21743" ht="30" customHeight="1"/>
    <row r="21744" ht="30" customHeight="1"/>
    <row r="21745" ht="30" customHeight="1"/>
    <row r="21746" ht="30" customHeight="1"/>
    <row r="21747" ht="30" customHeight="1"/>
    <row r="21748" ht="30" customHeight="1"/>
    <row r="21749" ht="30" customHeight="1"/>
    <row r="21750" ht="30" customHeight="1"/>
    <row r="21751" ht="30" customHeight="1"/>
    <row r="21752" ht="30" customHeight="1"/>
    <row r="21753" ht="30" customHeight="1"/>
    <row r="21754" ht="30" customHeight="1"/>
    <row r="21755" ht="30" customHeight="1"/>
    <row r="21756" ht="30" customHeight="1"/>
    <row r="21757" ht="30" customHeight="1"/>
    <row r="21758" ht="30" customHeight="1"/>
    <row r="21759" ht="30" customHeight="1"/>
    <row r="21760" ht="30" customHeight="1"/>
    <row r="21761" ht="30" customHeight="1"/>
    <row r="21762" ht="30" customHeight="1"/>
    <row r="21763" ht="30" customHeight="1"/>
    <row r="21764" ht="30" customHeight="1"/>
    <row r="21765" ht="30" customHeight="1"/>
    <row r="21766" ht="30" customHeight="1"/>
    <row r="21767" ht="30" customHeight="1"/>
    <row r="21768" ht="30" customHeight="1"/>
    <row r="21769" ht="30" customHeight="1"/>
    <row r="21770" ht="30" customHeight="1"/>
    <row r="21771" ht="30" customHeight="1"/>
    <row r="21772" ht="30" customHeight="1"/>
    <row r="21773" ht="30" customHeight="1"/>
    <row r="21774" ht="30" customHeight="1"/>
    <row r="21775" ht="30" customHeight="1"/>
    <row r="21776" ht="30" customHeight="1"/>
    <row r="21777" ht="30" customHeight="1"/>
    <row r="21778" ht="30" customHeight="1"/>
    <row r="21779" ht="30" customHeight="1"/>
    <row r="21780" ht="30" customHeight="1"/>
    <row r="21781" ht="30" customHeight="1"/>
    <row r="21782" ht="30" customHeight="1"/>
    <row r="21783" ht="30" customHeight="1"/>
    <row r="21784" ht="30" customHeight="1"/>
    <row r="21785" ht="30" customHeight="1"/>
    <row r="21786" ht="30" customHeight="1"/>
    <row r="21787" ht="30" customHeight="1"/>
    <row r="21788" ht="30" customHeight="1"/>
    <row r="21789" ht="30" customHeight="1"/>
    <row r="21790" ht="30" customHeight="1"/>
    <row r="21791" ht="30" customHeight="1"/>
    <row r="21792" ht="30" customHeight="1"/>
    <row r="21793" ht="30" customHeight="1"/>
    <row r="21794" ht="30" customHeight="1"/>
    <row r="21795" ht="30" customHeight="1"/>
    <row r="21796" ht="30" customHeight="1"/>
    <row r="21797" ht="30" customHeight="1"/>
    <row r="21798" ht="30" customHeight="1"/>
    <row r="21799" ht="30" customHeight="1"/>
    <row r="21800" ht="30" customHeight="1"/>
    <row r="21801" ht="30" customHeight="1"/>
    <row r="21802" ht="30" customHeight="1"/>
    <row r="21803" ht="30" customHeight="1"/>
    <row r="21804" ht="30" customHeight="1"/>
    <row r="21805" ht="30" customHeight="1"/>
    <row r="21806" ht="30" customHeight="1"/>
    <row r="21807" ht="30" customHeight="1"/>
    <row r="21808" ht="30" customHeight="1"/>
    <row r="21809" ht="30" customHeight="1"/>
    <row r="21810" ht="30" customHeight="1"/>
    <row r="21811" ht="30" customHeight="1"/>
    <row r="21812" ht="30" customHeight="1"/>
    <row r="21813" ht="30" customHeight="1"/>
    <row r="21814" ht="30" customHeight="1"/>
    <row r="21815" ht="30" customHeight="1"/>
    <row r="21816" ht="30" customHeight="1"/>
    <row r="21817" ht="30" customHeight="1"/>
    <row r="21818" ht="30" customHeight="1"/>
    <row r="21819" ht="30" customHeight="1"/>
    <row r="21820" ht="30" customHeight="1"/>
    <row r="21821" ht="30" customHeight="1"/>
    <row r="21822" ht="30" customHeight="1"/>
    <row r="21823" ht="30" customHeight="1"/>
    <row r="21824" ht="30" customHeight="1"/>
    <row r="21825" ht="30" customHeight="1"/>
    <row r="21826" ht="30" customHeight="1"/>
    <row r="21827" ht="30" customHeight="1"/>
    <row r="21828" ht="30" customHeight="1"/>
    <row r="21829" ht="30" customHeight="1"/>
    <row r="21830" ht="30" customHeight="1"/>
    <row r="21831" ht="30" customHeight="1"/>
    <row r="21832" ht="30" customHeight="1"/>
    <row r="21833" ht="30" customHeight="1"/>
    <row r="21834" ht="30" customHeight="1"/>
    <row r="21835" ht="30" customHeight="1"/>
    <row r="21836" ht="30" customHeight="1"/>
    <row r="21837" ht="30" customHeight="1"/>
    <row r="21838" ht="30" customHeight="1"/>
    <row r="21839" ht="30" customHeight="1"/>
    <row r="21840" ht="30" customHeight="1"/>
    <row r="21841" ht="30" customHeight="1"/>
    <row r="21842" ht="30" customHeight="1"/>
    <row r="21843" ht="30" customHeight="1"/>
    <row r="21844" ht="30" customHeight="1"/>
    <row r="21845" ht="30" customHeight="1"/>
    <row r="21846" ht="30" customHeight="1"/>
    <row r="21847" ht="30" customHeight="1"/>
    <row r="21848" ht="30" customHeight="1"/>
    <row r="21849" ht="30" customHeight="1"/>
    <row r="21850" ht="30" customHeight="1"/>
    <row r="21851" ht="30" customHeight="1"/>
    <row r="21852" ht="30" customHeight="1"/>
    <row r="21853" ht="30" customHeight="1"/>
    <row r="21854" ht="30" customHeight="1"/>
    <row r="21855" ht="30" customHeight="1"/>
    <row r="21856" ht="30" customHeight="1"/>
    <row r="21857" ht="30" customHeight="1"/>
    <row r="21858" ht="30" customHeight="1"/>
    <row r="21859" ht="30" customHeight="1"/>
    <row r="21860" ht="30" customHeight="1"/>
    <row r="21861" ht="30" customHeight="1"/>
    <row r="21862" ht="30" customHeight="1"/>
    <row r="21863" ht="30" customHeight="1"/>
    <row r="21864" ht="30" customHeight="1"/>
    <row r="21865" ht="30" customHeight="1"/>
    <row r="21866" ht="30" customHeight="1"/>
    <row r="21867" ht="30" customHeight="1"/>
    <row r="21868" ht="30" customHeight="1"/>
    <row r="21869" ht="30" customHeight="1"/>
    <row r="21870" ht="30" customHeight="1"/>
    <row r="21871" ht="30" customHeight="1"/>
    <row r="21872" ht="30" customHeight="1"/>
    <row r="21873" ht="30" customHeight="1"/>
    <row r="21874" ht="30" customHeight="1"/>
    <row r="21875" ht="30" customHeight="1"/>
    <row r="21876" ht="30" customHeight="1"/>
    <row r="21877" ht="30" customHeight="1"/>
    <row r="21878" ht="30" customHeight="1"/>
    <row r="21879" ht="30" customHeight="1"/>
    <row r="21880" ht="30" customHeight="1"/>
    <row r="21881" ht="30" customHeight="1"/>
    <row r="21882" ht="30" customHeight="1"/>
    <row r="21883" ht="30" customHeight="1"/>
    <row r="21884" ht="30" customHeight="1"/>
    <row r="21885" ht="30" customHeight="1"/>
    <row r="21886" ht="30" customHeight="1"/>
    <row r="21887" ht="30" customHeight="1"/>
    <row r="21888" ht="30" customHeight="1"/>
    <row r="21889" ht="30" customHeight="1"/>
    <row r="21890" ht="30" customHeight="1"/>
    <row r="21891" ht="30" customHeight="1"/>
    <row r="21892" ht="30" customHeight="1"/>
    <row r="21893" ht="30" customHeight="1"/>
    <row r="21894" ht="30" customHeight="1"/>
    <row r="21895" ht="30" customHeight="1"/>
    <row r="21896" ht="30" customHeight="1"/>
    <row r="21897" ht="30" customHeight="1"/>
    <row r="21898" ht="30" customHeight="1"/>
    <row r="21899" ht="30" customHeight="1"/>
    <row r="21900" ht="30" customHeight="1"/>
    <row r="21901" ht="30" customHeight="1"/>
    <row r="21902" ht="30" customHeight="1"/>
    <row r="21903" ht="30" customHeight="1"/>
    <row r="21904" ht="30" customHeight="1"/>
    <row r="21905" ht="30" customHeight="1"/>
    <row r="21906" ht="30" customHeight="1"/>
    <row r="21907" ht="30" customHeight="1"/>
    <row r="21908" ht="30" customHeight="1"/>
    <row r="21909" ht="30" customHeight="1"/>
    <row r="21910" ht="30" customHeight="1"/>
    <row r="21911" ht="30" customHeight="1"/>
    <row r="21912" ht="30" customHeight="1"/>
    <row r="21913" ht="30" customHeight="1"/>
    <row r="21914" ht="30" customHeight="1"/>
    <row r="21915" ht="30" customHeight="1"/>
    <row r="21916" ht="30" customHeight="1"/>
    <row r="21917" ht="30" customHeight="1"/>
    <row r="21918" ht="30" customHeight="1"/>
    <row r="21919" ht="30" customHeight="1"/>
    <row r="21920" ht="30" customHeight="1"/>
    <row r="21921" ht="30" customHeight="1"/>
    <row r="21922" ht="30" customHeight="1"/>
    <row r="21923" ht="30" customHeight="1"/>
    <row r="21924" ht="30" customHeight="1"/>
    <row r="21925" ht="30" customHeight="1"/>
    <row r="21926" ht="30" customHeight="1"/>
    <row r="21927" ht="30" customHeight="1"/>
    <row r="21928" ht="30" customHeight="1"/>
    <row r="21929" ht="30" customHeight="1"/>
    <row r="21930" ht="30" customHeight="1"/>
    <row r="21931" ht="30" customHeight="1"/>
    <row r="21932" ht="30" customHeight="1"/>
    <row r="21933" ht="30" customHeight="1"/>
    <row r="21934" ht="30" customHeight="1"/>
    <row r="21935" ht="30" customHeight="1"/>
    <row r="21936" ht="30" customHeight="1"/>
    <row r="21937" ht="30" customHeight="1"/>
    <row r="21938" ht="30" customHeight="1"/>
    <row r="21939" ht="30" customHeight="1"/>
    <row r="21940" ht="30" customHeight="1"/>
    <row r="21941" ht="30" customHeight="1"/>
    <row r="21942" ht="30" customHeight="1"/>
    <row r="21943" ht="30" customHeight="1"/>
    <row r="21944" ht="30" customHeight="1"/>
    <row r="21945" ht="30" customHeight="1"/>
    <row r="21946" ht="30" customHeight="1"/>
    <row r="21947" ht="30" customHeight="1"/>
    <row r="21948" ht="30" customHeight="1"/>
    <row r="21949" ht="30" customHeight="1"/>
    <row r="21950" ht="30" customHeight="1"/>
    <row r="21951" ht="30" customHeight="1"/>
    <row r="21952" ht="30" customHeight="1"/>
    <row r="21953" ht="30" customHeight="1"/>
    <row r="21954" ht="30" customHeight="1"/>
    <row r="21955" ht="30" customHeight="1"/>
    <row r="21956" ht="30" customHeight="1"/>
    <row r="21957" ht="30" customHeight="1"/>
    <row r="21958" ht="30" customHeight="1"/>
    <row r="21959" ht="30" customHeight="1"/>
    <row r="21960" ht="30" customHeight="1"/>
    <row r="21961" ht="30" customHeight="1"/>
    <row r="21962" ht="30" customHeight="1"/>
    <row r="21963" ht="30" customHeight="1"/>
    <row r="21964" ht="30" customHeight="1"/>
    <row r="21965" ht="30" customHeight="1"/>
    <row r="21966" ht="30" customHeight="1"/>
    <row r="21967" ht="30" customHeight="1"/>
    <row r="21968" ht="30" customHeight="1"/>
    <row r="21969" ht="30" customHeight="1"/>
    <row r="21970" ht="30" customHeight="1"/>
    <row r="21971" ht="30" customHeight="1"/>
    <row r="21972" ht="30" customHeight="1"/>
    <row r="21973" ht="30" customHeight="1"/>
    <row r="21974" ht="30" customHeight="1"/>
    <row r="21975" ht="30" customHeight="1"/>
    <row r="21976" ht="30" customHeight="1"/>
    <row r="21977" ht="30" customHeight="1"/>
    <row r="21978" ht="30" customHeight="1"/>
    <row r="21979" ht="30" customHeight="1"/>
    <row r="21980" ht="30" customHeight="1"/>
    <row r="21981" ht="30" customHeight="1"/>
    <row r="21982" ht="30" customHeight="1"/>
    <row r="21983" ht="30" customHeight="1"/>
    <row r="21984" ht="30" customHeight="1"/>
    <row r="21985" ht="30" customHeight="1"/>
    <row r="21986" ht="30" customHeight="1"/>
    <row r="21987" ht="30" customHeight="1"/>
    <row r="21988" ht="30" customHeight="1"/>
    <row r="21989" ht="30" customHeight="1"/>
    <row r="21990" ht="30" customHeight="1"/>
    <row r="21991" ht="30" customHeight="1"/>
    <row r="21992" ht="30" customHeight="1"/>
    <row r="21993" ht="30" customHeight="1"/>
    <row r="21994" ht="30" customHeight="1"/>
    <row r="21995" ht="30" customHeight="1"/>
    <row r="21996" ht="30" customHeight="1"/>
    <row r="21997" ht="30" customHeight="1"/>
    <row r="21998" ht="30" customHeight="1"/>
    <row r="21999" ht="30" customHeight="1"/>
    <row r="22000" ht="30" customHeight="1"/>
    <row r="22001" ht="30" customHeight="1"/>
    <row r="22002" ht="30" customHeight="1"/>
    <row r="22003" ht="30" customHeight="1"/>
    <row r="22004" ht="30" customHeight="1"/>
    <row r="22005" ht="30" customHeight="1"/>
    <row r="22006" ht="30" customHeight="1"/>
    <row r="22007" ht="30" customHeight="1"/>
    <row r="22008" ht="30" customHeight="1"/>
    <row r="22009" ht="30" customHeight="1"/>
    <row r="22010" ht="30" customHeight="1"/>
    <row r="22011" ht="30" customHeight="1"/>
    <row r="22012" ht="30" customHeight="1"/>
    <row r="22013" ht="30" customHeight="1"/>
    <row r="22014" ht="30" customHeight="1"/>
    <row r="22015" ht="30" customHeight="1"/>
    <row r="22016" ht="30" customHeight="1"/>
    <row r="22017" ht="30" customHeight="1"/>
    <row r="22018" ht="30" customHeight="1"/>
    <row r="22019" ht="30" customHeight="1"/>
    <row r="22020" ht="30" customHeight="1"/>
    <row r="22021" ht="30" customHeight="1"/>
    <row r="22022" ht="30" customHeight="1"/>
    <row r="22023" ht="30" customHeight="1"/>
    <row r="22024" ht="30" customHeight="1"/>
    <row r="22025" ht="30" customHeight="1"/>
    <row r="22026" ht="30" customHeight="1"/>
    <row r="22027" ht="30" customHeight="1"/>
    <row r="22028" ht="30" customHeight="1"/>
    <row r="22029" ht="30" customHeight="1"/>
    <row r="22030" ht="30" customHeight="1"/>
    <row r="22031" ht="30" customHeight="1"/>
    <row r="22032" ht="30" customHeight="1"/>
    <row r="22033" ht="30" customHeight="1"/>
    <row r="22034" ht="30" customHeight="1"/>
    <row r="22035" ht="30" customHeight="1"/>
    <row r="22036" ht="30" customHeight="1"/>
    <row r="22037" ht="30" customHeight="1"/>
    <row r="22038" ht="30" customHeight="1"/>
    <row r="22039" ht="30" customHeight="1"/>
    <row r="22040" ht="30" customHeight="1"/>
    <row r="22041" ht="30" customHeight="1"/>
    <row r="22042" ht="30" customHeight="1"/>
    <row r="22043" ht="30" customHeight="1"/>
    <row r="22044" ht="30" customHeight="1"/>
    <row r="22045" ht="30" customHeight="1"/>
    <row r="22046" ht="30" customHeight="1"/>
    <row r="22047" ht="30" customHeight="1"/>
    <row r="22048" ht="30" customHeight="1"/>
    <row r="22049" ht="30" customHeight="1"/>
    <row r="22050" ht="30" customHeight="1"/>
    <row r="22051" ht="30" customHeight="1"/>
    <row r="22052" ht="30" customHeight="1"/>
    <row r="22053" ht="30" customHeight="1"/>
    <row r="22054" ht="30" customHeight="1"/>
    <row r="22055" ht="30" customHeight="1"/>
    <row r="22056" ht="30" customHeight="1"/>
    <row r="22057" ht="30" customHeight="1"/>
    <row r="22058" ht="30" customHeight="1"/>
    <row r="22059" ht="30" customHeight="1"/>
    <row r="22060" ht="30" customHeight="1"/>
    <row r="22061" ht="30" customHeight="1"/>
    <row r="22062" ht="30" customHeight="1"/>
    <row r="22063" ht="30" customHeight="1"/>
    <row r="22064" ht="30" customHeight="1"/>
    <row r="22065" ht="30" customHeight="1"/>
    <row r="22066" ht="30" customHeight="1"/>
    <row r="22067" ht="30" customHeight="1"/>
    <row r="22068" ht="30" customHeight="1"/>
    <row r="22069" ht="30" customHeight="1"/>
    <row r="22070" ht="30" customHeight="1"/>
    <row r="22071" ht="30" customHeight="1"/>
    <row r="22072" ht="30" customHeight="1"/>
    <row r="22073" ht="30" customHeight="1"/>
    <row r="22074" ht="30" customHeight="1"/>
    <row r="22075" ht="30" customHeight="1"/>
    <row r="22076" ht="30" customHeight="1"/>
    <row r="22077" ht="30" customHeight="1"/>
    <row r="22078" ht="30" customHeight="1"/>
    <row r="22079" ht="30" customHeight="1"/>
    <row r="22080" ht="30" customHeight="1"/>
    <row r="22081" ht="30" customHeight="1"/>
    <row r="22082" ht="30" customHeight="1"/>
    <row r="22083" ht="30" customHeight="1"/>
    <row r="22084" ht="30" customHeight="1"/>
    <row r="22085" ht="30" customHeight="1"/>
    <row r="22086" ht="30" customHeight="1"/>
    <row r="22087" ht="30" customHeight="1"/>
    <row r="22088" ht="30" customHeight="1"/>
    <row r="22089" ht="30" customHeight="1"/>
    <row r="22090" ht="30" customHeight="1"/>
    <row r="22091" ht="30" customHeight="1"/>
    <row r="22092" ht="30" customHeight="1"/>
    <row r="22093" ht="30" customHeight="1"/>
    <row r="22094" ht="30" customHeight="1"/>
    <row r="22095" ht="30" customHeight="1"/>
    <row r="22096" ht="30" customHeight="1"/>
    <row r="22097" ht="30" customHeight="1"/>
    <row r="22098" ht="30" customHeight="1"/>
    <row r="22099" ht="30" customHeight="1"/>
    <row r="22100" ht="30" customHeight="1"/>
    <row r="22101" ht="30" customHeight="1"/>
    <row r="22102" ht="30" customHeight="1"/>
    <row r="22103" ht="30" customHeight="1"/>
    <row r="22104" ht="30" customHeight="1"/>
    <row r="22105" ht="30" customHeight="1"/>
    <row r="22106" ht="30" customHeight="1"/>
    <row r="22107" ht="30" customHeight="1"/>
    <row r="22108" ht="30" customHeight="1"/>
    <row r="22109" ht="30" customHeight="1"/>
    <row r="22110" ht="30" customHeight="1"/>
    <row r="22111" ht="30" customHeight="1"/>
    <row r="22112" ht="30" customHeight="1"/>
    <row r="22113" ht="30" customHeight="1"/>
    <row r="22114" ht="30" customHeight="1"/>
    <row r="22115" ht="30" customHeight="1"/>
    <row r="22116" ht="30" customHeight="1"/>
    <row r="22117" ht="30" customHeight="1"/>
    <row r="22118" ht="30" customHeight="1"/>
    <row r="22119" ht="30" customHeight="1"/>
    <row r="22120" ht="30" customHeight="1"/>
    <row r="22121" ht="30" customHeight="1"/>
    <row r="22122" ht="30" customHeight="1"/>
    <row r="22123" ht="30" customHeight="1"/>
    <row r="22124" ht="30" customHeight="1"/>
    <row r="22125" ht="30" customHeight="1"/>
    <row r="22126" ht="30" customHeight="1"/>
    <row r="22127" ht="30" customHeight="1"/>
    <row r="22128" ht="30" customHeight="1"/>
    <row r="22129" ht="30" customHeight="1"/>
    <row r="22130" ht="30" customHeight="1"/>
    <row r="22131" ht="30" customHeight="1"/>
    <row r="22132" ht="30" customHeight="1"/>
    <row r="22133" ht="30" customHeight="1"/>
    <row r="22134" ht="30" customHeight="1"/>
    <row r="22135" ht="30" customHeight="1"/>
    <row r="22136" ht="30" customHeight="1"/>
    <row r="22137" ht="30" customHeight="1"/>
    <row r="22138" ht="30" customHeight="1"/>
    <row r="22139" ht="30" customHeight="1"/>
    <row r="22140" ht="30" customHeight="1"/>
    <row r="22141" ht="30" customHeight="1"/>
    <row r="22142" ht="30" customHeight="1"/>
    <row r="22143" ht="30" customHeight="1"/>
    <row r="22144" ht="30" customHeight="1"/>
    <row r="22145" ht="30" customHeight="1"/>
    <row r="22146" ht="30" customHeight="1"/>
    <row r="22147" ht="30" customHeight="1"/>
    <row r="22148" ht="30" customHeight="1"/>
    <row r="22149" ht="30" customHeight="1"/>
    <row r="22150" ht="30" customHeight="1"/>
    <row r="22151" ht="30" customHeight="1"/>
    <row r="22152" ht="30" customHeight="1"/>
    <row r="22153" ht="30" customHeight="1"/>
    <row r="22154" ht="30" customHeight="1"/>
    <row r="22155" ht="30" customHeight="1"/>
    <row r="22156" ht="30" customHeight="1"/>
    <row r="22157" ht="30" customHeight="1"/>
    <row r="22158" ht="30" customHeight="1"/>
    <row r="22159" ht="30" customHeight="1"/>
    <row r="22160" ht="30" customHeight="1"/>
    <row r="22161" ht="30" customHeight="1"/>
    <row r="22162" ht="30" customHeight="1"/>
    <row r="22163" ht="30" customHeight="1"/>
    <row r="22164" ht="30" customHeight="1"/>
    <row r="22165" ht="30" customHeight="1"/>
    <row r="22166" ht="30" customHeight="1"/>
    <row r="22167" ht="30" customHeight="1"/>
    <row r="22168" ht="30" customHeight="1"/>
    <row r="22169" ht="30" customHeight="1"/>
    <row r="22170" ht="30" customHeight="1"/>
    <row r="22171" ht="30" customHeight="1"/>
    <row r="22172" ht="30" customHeight="1"/>
    <row r="22173" ht="30" customHeight="1"/>
    <row r="22174" ht="30" customHeight="1"/>
    <row r="22175" ht="30" customHeight="1"/>
    <row r="22176" ht="30" customHeight="1"/>
    <row r="22177" ht="30" customHeight="1"/>
    <row r="22178" ht="30" customHeight="1"/>
    <row r="22179" ht="30" customHeight="1"/>
    <row r="22180" ht="30" customHeight="1"/>
    <row r="22181" ht="30" customHeight="1"/>
    <row r="22182" ht="30" customHeight="1"/>
    <row r="22183" ht="30" customHeight="1"/>
    <row r="22184" ht="30" customHeight="1"/>
    <row r="22185" ht="30" customHeight="1"/>
    <row r="22186" ht="30" customHeight="1"/>
    <row r="22187" ht="30" customHeight="1"/>
    <row r="22188" ht="30" customHeight="1"/>
    <row r="22189" ht="30" customHeight="1"/>
    <row r="22190" ht="30" customHeight="1"/>
    <row r="22191" ht="30" customHeight="1"/>
    <row r="22192" ht="30" customHeight="1"/>
    <row r="22193" ht="30" customHeight="1"/>
    <row r="22194" ht="30" customHeight="1"/>
    <row r="22195" ht="30" customHeight="1"/>
    <row r="22196" ht="30" customHeight="1"/>
    <row r="22197" ht="30" customHeight="1"/>
    <row r="22198" ht="30" customHeight="1"/>
    <row r="22199" ht="30" customHeight="1"/>
    <row r="22200" ht="30" customHeight="1"/>
    <row r="22201" ht="30" customHeight="1"/>
    <row r="22202" ht="30" customHeight="1"/>
    <row r="22203" ht="30" customHeight="1"/>
    <row r="22204" ht="30" customHeight="1"/>
    <row r="22205" ht="30" customHeight="1"/>
    <row r="22206" ht="30" customHeight="1"/>
    <row r="22207" ht="30" customHeight="1"/>
    <row r="22208" ht="30" customHeight="1"/>
    <row r="22209" ht="30" customHeight="1"/>
    <row r="22210" ht="30" customHeight="1"/>
    <row r="22211" ht="30" customHeight="1"/>
    <row r="22212" ht="30" customHeight="1"/>
    <row r="22213" ht="30" customHeight="1"/>
    <row r="22214" ht="30" customHeight="1"/>
    <row r="22215" ht="30" customHeight="1"/>
    <row r="22216" ht="30" customHeight="1"/>
    <row r="22217" ht="30" customHeight="1"/>
    <row r="22218" ht="30" customHeight="1"/>
    <row r="22219" ht="30" customHeight="1"/>
    <row r="22220" ht="30" customHeight="1"/>
    <row r="22221" ht="30" customHeight="1"/>
    <row r="22222" ht="30" customHeight="1"/>
    <row r="22223" ht="30" customHeight="1"/>
    <row r="22224" ht="30" customHeight="1"/>
    <row r="22225" ht="30" customHeight="1"/>
    <row r="22226" ht="30" customHeight="1"/>
    <row r="22227" ht="30" customHeight="1"/>
    <row r="22228" ht="30" customHeight="1"/>
    <row r="22229" ht="30" customHeight="1"/>
    <row r="22230" ht="30" customHeight="1"/>
    <row r="22231" ht="30" customHeight="1"/>
    <row r="22232" ht="30" customHeight="1"/>
    <row r="22233" ht="30" customHeight="1"/>
    <row r="22234" ht="30" customHeight="1"/>
    <row r="22235" ht="30" customHeight="1"/>
    <row r="22236" ht="30" customHeight="1"/>
    <row r="22237" ht="30" customHeight="1"/>
    <row r="22238" ht="30" customHeight="1"/>
    <row r="22239" ht="30" customHeight="1"/>
    <row r="22240" ht="30" customHeight="1"/>
    <row r="22241" ht="30" customHeight="1"/>
    <row r="22242" ht="30" customHeight="1"/>
    <row r="22243" ht="30" customHeight="1"/>
    <row r="22244" ht="30" customHeight="1"/>
    <row r="22245" ht="30" customHeight="1"/>
    <row r="22246" ht="30" customHeight="1"/>
    <row r="22247" ht="30" customHeight="1"/>
    <row r="22248" ht="30" customHeight="1"/>
    <row r="22249" ht="30" customHeight="1"/>
    <row r="22250" ht="30" customHeight="1"/>
    <row r="22251" ht="30" customHeight="1"/>
    <row r="22252" ht="30" customHeight="1"/>
    <row r="22253" ht="30" customHeight="1"/>
    <row r="22254" ht="30" customHeight="1"/>
    <row r="22255" ht="30" customHeight="1"/>
    <row r="22256" ht="30" customHeight="1"/>
    <row r="22257" ht="30" customHeight="1"/>
    <row r="22258" ht="30" customHeight="1"/>
    <row r="22259" ht="30" customHeight="1"/>
    <row r="22260" ht="30" customHeight="1"/>
    <row r="22261" ht="30" customHeight="1"/>
    <row r="22262" ht="30" customHeight="1"/>
    <row r="22263" ht="30" customHeight="1"/>
    <row r="22264" ht="30" customHeight="1"/>
    <row r="22265" ht="30" customHeight="1"/>
    <row r="22266" ht="30" customHeight="1"/>
    <row r="22267" ht="30" customHeight="1"/>
    <row r="22268" ht="30" customHeight="1"/>
    <row r="22269" ht="30" customHeight="1"/>
    <row r="22270" ht="30" customHeight="1"/>
    <row r="22271" ht="30" customHeight="1"/>
    <row r="22272" ht="30" customHeight="1"/>
    <row r="22273" ht="30" customHeight="1"/>
    <row r="22274" ht="30" customHeight="1"/>
    <row r="22275" ht="30" customHeight="1"/>
    <row r="22276" ht="30" customHeight="1"/>
    <row r="22277" ht="30" customHeight="1"/>
    <row r="22278" ht="30" customHeight="1"/>
    <row r="22279" ht="30" customHeight="1"/>
    <row r="22280" ht="30" customHeight="1"/>
    <row r="22281" ht="30" customHeight="1"/>
    <row r="22282" ht="30" customHeight="1"/>
    <row r="22283" ht="30" customHeight="1"/>
    <row r="22284" ht="30" customHeight="1"/>
    <row r="22285" ht="30" customHeight="1"/>
    <row r="22286" ht="30" customHeight="1"/>
    <row r="22287" ht="30" customHeight="1"/>
    <row r="22288" ht="30" customHeight="1"/>
    <row r="22289" ht="30" customHeight="1"/>
    <row r="22290" ht="30" customHeight="1"/>
    <row r="22291" ht="30" customHeight="1"/>
    <row r="22292" ht="30" customHeight="1"/>
    <row r="22293" ht="30" customHeight="1"/>
    <row r="22294" ht="30" customHeight="1"/>
    <row r="22295" ht="30" customHeight="1"/>
    <row r="22296" ht="30" customHeight="1"/>
    <row r="22297" ht="30" customHeight="1"/>
    <row r="22298" ht="30" customHeight="1"/>
    <row r="22299" ht="30" customHeight="1"/>
    <row r="22300" ht="30" customHeight="1"/>
    <row r="22301" ht="30" customHeight="1"/>
    <row r="22302" ht="30" customHeight="1"/>
    <row r="22303" ht="30" customHeight="1"/>
    <row r="22304" ht="30" customHeight="1"/>
    <row r="22305" ht="30" customHeight="1"/>
    <row r="22306" ht="30" customHeight="1"/>
    <row r="22307" ht="30" customHeight="1"/>
    <row r="22308" ht="30" customHeight="1"/>
    <row r="22309" ht="30" customHeight="1"/>
    <row r="22310" ht="30" customHeight="1"/>
    <row r="22311" ht="30" customHeight="1"/>
    <row r="22312" ht="30" customHeight="1"/>
    <row r="22313" ht="30" customHeight="1"/>
    <row r="22314" ht="30" customHeight="1"/>
    <row r="22315" ht="30" customHeight="1"/>
    <row r="22316" ht="30" customHeight="1"/>
    <row r="22317" ht="30" customHeight="1"/>
    <row r="22318" ht="30" customHeight="1"/>
    <row r="22319" ht="30" customHeight="1"/>
    <row r="22320" ht="30" customHeight="1"/>
    <row r="22321" ht="30" customHeight="1"/>
    <row r="22322" ht="30" customHeight="1"/>
    <row r="22323" ht="30" customHeight="1"/>
    <row r="22324" ht="30" customHeight="1"/>
    <row r="22325" ht="30" customHeight="1"/>
    <row r="22326" ht="30" customHeight="1"/>
    <row r="22327" ht="30" customHeight="1"/>
    <row r="22328" ht="30" customHeight="1"/>
    <row r="22329" ht="30" customHeight="1"/>
    <row r="22330" ht="30" customHeight="1"/>
    <row r="22331" ht="30" customHeight="1"/>
    <row r="22332" ht="30" customHeight="1"/>
    <row r="22333" ht="30" customHeight="1"/>
    <row r="22334" ht="30" customHeight="1"/>
    <row r="22335" ht="30" customHeight="1"/>
    <row r="22336" ht="30" customHeight="1"/>
    <row r="22337" ht="30" customHeight="1"/>
    <row r="22338" ht="30" customHeight="1"/>
    <row r="22339" ht="30" customHeight="1"/>
    <row r="22340" ht="30" customHeight="1"/>
    <row r="22341" ht="30" customHeight="1"/>
    <row r="22342" ht="30" customHeight="1"/>
    <row r="22343" ht="30" customHeight="1"/>
    <row r="22344" ht="30" customHeight="1"/>
    <row r="22345" ht="30" customHeight="1"/>
    <row r="22346" ht="30" customHeight="1"/>
    <row r="22347" ht="30" customHeight="1"/>
    <row r="22348" ht="30" customHeight="1"/>
    <row r="22349" ht="30" customHeight="1"/>
    <row r="22350" ht="30" customHeight="1"/>
    <row r="22351" ht="30" customHeight="1"/>
    <row r="22352" ht="30" customHeight="1"/>
    <row r="22353" ht="30" customHeight="1"/>
    <row r="22354" ht="30" customHeight="1"/>
    <row r="22355" ht="30" customHeight="1"/>
    <row r="22356" ht="30" customHeight="1"/>
    <row r="22357" ht="30" customHeight="1"/>
    <row r="22358" ht="30" customHeight="1"/>
    <row r="22359" ht="30" customHeight="1"/>
    <row r="22360" ht="30" customHeight="1"/>
    <row r="22361" ht="30" customHeight="1"/>
    <row r="22362" ht="30" customHeight="1"/>
    <row r="22363" ht="30" customHeight="1"/>
    <row r="22364" ht="30" customHeight="1"/>
    <row r="22365" ht="30" customHeight="1"/>
    <row r="22366" ht="30" customHeight="1"/>
    <row r="22367" ht="30" customHeight="1"/>
    <row r="22368" ht="30" customHeight="1"/>
    <row r="22369" ht="30" customHeight="1"/>
    <row r="22370" ht="30" customHeight="1"/>
    <row r="22371" ht="30" customHeight="1"/>
    <row r="22372" ht="30" customHeight="1"/>
    <row r="22373" ht="30" customHeight="1"/>
    <row r="22374" ht="30" customHeight="1"/>
    <row r="22375" ht="30" customHeight="1"/>
    <row r="22376" ht="30" customHeight="1"/>
    <row r="22377" ht="30" customHeight="1"/>
    <row r="22378" ht="30" customHeight="1"/>
    <row r="22379" ht="30" customHeight="1"/>
    <row r="22380" ht="30" customHeight="1"/>
    <row r="22381" ht="30" customHeight="1"/>
    <row r="22382" ht="30" customHeight="1"/>
    <row r="22383" ht="30" customHeight="1"/>
    <row r="22384" ht="30" customHeight="1"/>
    <row r="22385" ht="30" customHeight="1"/>
    <row r="22386" ht="30" customHeight="1"/>
    <row r="22387" ht="30" customHeight="1"/>
    <row r="22388" ht="30" customHeight="1"/>
    <row r="22389" ht="30" customHeight="1"/>
    <row r="22390" ht="30" customHeight="1"/>
    <row r="22391" ht="30" customHeight="1"/>
    <row r="22392" ht="30" customHeight="1"/>
    <row r="22393" ht="30" customHeight="1"/>
    <row r="22394" ht="30" customHeight="1"/>
    <row r="22395" ht="30" customHeight="1"/>
    <row r="22396" ht="30" customHeight="1"/>
    <row r="22397" ht="30" customHeight="1"/>
    <row r="22398" ht="30" customHeight="1"/>
    <row r="22399" ht="30" customHeight="1"/>
    <row r="22400" ht="30" customHeight="1"/>
    <row r="22401" ht="30" customHeight="1"/>
    <row r="22402" ht="30" customHeight="1"/>
    <row r="22403" ht="30" customHeight="1"/>
    <row r="22404" ht="30" customHeight="1"/>
    <row r="22405" ht="30" customHeight="1"/>
    <row r="22406" ht="30" customHeight="1"/>
    <row r="22407" ht="30" customHeight="1"/>
    <row r="22408" ht="30" customHeight="1"/>
    <row r="22409" ht="30" customHeight="1"/>
    <row r="22410" ht="30" customHeight="1"/>
    <row r="22411" ht="30" customHeight="1"/>
    <row r="22412" ht="30" customHeight="1"/>
    <row r="22413" ht="30" customHeight="1"/>
    <row r="22414" ht="30" customHeight="1"/>
    <row r="22415" ht="30" customHeight="1"/>
    <row r="22416" ht="30" customHeight="1"/>
    <row r="22417" ht="30" customHeight="1"/>
    <row r="22418" ht="30" customHeight="1"/>
    <row r="22419" ht="30" customHeight="1"/>
    <row r="22420" ht="30" customHeight="1"/>
    <row r="22421" ht="30" customHeight="1"/>
    <row r="22422" ht="30" customHeight="1"/>
    <row r="22423" ht="30" customHeight="1"/>
    <row r="22424" ht="30" customHeight="1"/>
    <row r="22425" ht="30" customHeight="1"/>
    <row r="22426" ht="30" customHeight="1"/>
    <row r="22427" ht="30" customHeight="1"/>
    <row r="22428" ht="30" customHeight="1"/>
    <row r="22429" ht="30" customHeight="1"/>
    <row r="22430" ht="30" customHeight="1"/>
    <row r="22431" ht="30" customHeight="1"/>
    <row r="22432" ht="30" customHeight="1"/>
    <row r="22433" ht="30" customHeight="1"/>
    <row r="22434" ht="30" customHeight="1"/>
    <row r="22435" ht="30" customHeight="1"/>
    <row r="22436" ht="30" customHeight="1"/>
    <row r="22437" ht="30" customHeight="1"/>
    <row r="22438" ht="30" customHeight="1"/>
    <row r="22439" ht="30" customHeight="1"/>
    <row r="22440" ht="30" customHeight="1"/>
    <row r="22441" ht="30" customHeight="1"/>
    <row r="22442" ht="30" customHeight="1"/>
    <row r="22443" ht="30" customHeight="1"/>
    <row r="22444" ht="30" customHeight="1"/>
    <row r="22445" ht="30" customHeight="1"/>
    <row r="22446" ht="30" customHeight="1"/>
    <row r="22447" ht="30" customHeight="1"/>
    <row r="22448" ht="30" customHeight="1"/>
    <row r="22449" ht="30" customHeight="1"/>
    <row r="22450" ht="30" customHeight="1"/>
    <row r="22451" ht="30" customHeight="1"/>
    <row r="22452" ht="30" customHeight="1"/>
    <row r="22453" ht="30" customHeight="1"/>
    <row r="22454" ht="30" customHeight="1"/>
    <row r="22455" ht="30" customHeight="1"/>
    <row r="22456" ht="30" customHeight="1"/>
    <row r="22457" ht="30" customHeight="1"/>
    <row r="22458" ht="30" customHeight="1"/>
    <row r="22459" ht="30" customHeight="1"/>
    <row r="22460" ht="30" customHeight="1"/>
    <row r="22461" ht="30" customHeight="1"/>
    <row r="22462" ht="30" customHeight="1"/>
    <row r="22463" ht="30" customHeight="1"/>
    <row r="22464" ht="30" customHeight="1"/>
    <row r="22465" ht="30" customHeight="1"/>
    <row r="22466" ht="30" customHeight="1"/>
    <row r="22467" ht="30" customHeight="1"/>
    <row r="22468" ht="30" customHeight="1"/>
    <row r="22469" ht="30" customHeight="1"/>
    <row r="22470" ht="30" customHeight="1"/>
    <row r="22471" ht="30" customHeight="1"/>
    <row r="22472" ht="30" customHeight="1"/>
    <row r="22473" ht="30" customHeight="1"/>
    <row r="22474" ht="30" customHeight="1"/>
    <row r="22475" ht="30" customHeight="1"/>
    <row r="22476" ht="30" customHeight="1"/>
    <row r="22477" ht="30" customHeight="1"/>
    <row r="22478" ht="30" customHeight="1"/>
    <row r="22479" ht="30" customHeight="1"/>
    <row r="22480" ht="30" customHeight="1"/>
    <row r="22481" ht="30" customHeight="1"/>
    <row r="22482" ht="30" customHeight="1"/>
    <row r="22483" ht="30" customHeight="1"/>
    <row r="22484" ht="30" customHeight="1"/>
    <row r="22485" ht="30" customHeight="1"/>
    <row r="22486" ht="30" customHeight="1"/>
    <row r="22487" ht="30" customHeight="1"/>
    <row r="22488" ht="30" customHeight="1"/>
    <row r="22489" ht="30" customHeight="1"/>
    <row r="22490" ht="30" customHeight="1"/>
    <row r="22491" ht="30" customHeight="1"/>
    <row r="22492" ht="30" customHeight="1"/>
    <row r="22493" ht="30" customHeight="1"/>
    <row r="22494" ht="30" customHeight="1"/>
    <row r="22495" ht="30" customHeight="1"/>
    <row r="22496" ht="30" customHeight="1"/>
    <row r="22497" ht="30" customHeight="1"/>
    <row r="22498" ht="30" customHeight="1"/>
    <row r="22499" ht="30" customHeight="1"/>
    <row r="22500" ht="30" customHeight="1"/>
    <row r="22501" ht="30" customHeight="1"/>
    <row r="22502" ht="30" customHeight="1"/>
    <row r="22503" ht="30" customHeight="1"/>
    <row r="22504" ht="30" customHeight="1"/>
    <row r="22505" ht="30" customHeight="1"/>
    <row r="22506" ht="30" customHeight="1"/>
    <row r="22507" ht="30" customHeight="1"/>
    <row r="22508" ht="30" customHeight="1"/>
    <row r="22509" ht="30" customHeight="1"/>
    <row r="22510" ht="30" customHeight="1"/>
    <row r="22511" ht="30" customHeight="1"/>
    <row r="22512" ht="30" customHeight="1"/>
    <row r="22513" ht="30" customHeight="1"/>
    <row r="22514" ht="30" customHeight="1"/>
    <row r="22515" ht="30" customHeight="1"/>
    <row r="22516" ht="30" customHeight="1"/>
    <row r="22517" ht="30" customHeight="1"/>
    <row r="22518" ht="30" customHeight="1"/>
    <row r="22519" ht="30" customHeight="1"/>
    <row r="22520" ht="30" customHeight="1"/>
    <row r="22521" ht="30" customHeight="1"/>
    <row r="22522" ht="30" customHeight="1"/>
    <row r="22523" ht="30" customHeight="1"/>
    <row r="22524" ht="30" customHeight="1"/>
    <row r="22525" ht="30" customHeight="1"/>
    <row r="22526" ht="30" customHeight="1"/>
    <row r="22527" ht="30" customHeight="1"/>
    <row r="22528" ht="30" customHeight="1"/>
    <row r="22529" ht="30" customHeight="1"/>
    <row r="22530" ht="30" customHeight="1"/>
    <row r="22531" ht="30" customHeight="1"/>
    <row r="22532" ht="30" customHeight="1"/>
    <row r="22533" ht="30" customHeight="1"/>
    <row r="22534" ht="30" customHeight="1"/>
    <row r="22535" ht="30" customHeight="1"/>
    <row r="22536" ht="30" customHeight="1"/>
    <row r="22537" ht="30" customHeight="1"/>
    <row r="22538" ht="30" customHeight="1"/>
    <row r="22539" ht="30" customHeight="1"/>
    <row r="22540" ht="30" customHeight="1"/>
    <row r="22541" ht="30" customHeight="1"/>
    <row r="22542" ht="30" customHeight="1"/>
    <row r="22543" ht="30" customHeight="1"/>
    <row r="22544" ht="30" customHeight="1"/>
    <row r="22545" ht="30" customHeight="1"/>
    <row r="22546" ht="30" customHeight="1"/>
    <row r="22547" ht="30" customHeight="1"/>
    <row r="22548" ht="30" customHeight="1"/>
    <row r="22549" ht="30" customHeight="1"/>
    <row r="22550" ht="30" customHeight="1"/>
    <row r="22551" ht="30" customHeight="1"/>
    <row r="22552" ht="30" customHeight="1"/>
    <row r="22553" ht="30" customHeight="1"/>
    <row r="22554" ht="30" customHeight="1"/>
    <row r="22555" ht="30" customHeight="1"/>
    <row r="22556" ht="30" customHeight="1"/>
    <row r="22557" ht="30" customHeight="1"/>
    <row r="22558" ht="30" customHeight="1"/>
    <row r="22559" ht="30" customHeight="1"/>
    <row r="22560" ht="30" customHeight="1"/>
    <row r="22561" ht="30" customHeight="1"/>
    <row r="22562" ht="30" customHeight="1"/>
    <row r="22563" ht="30" customHeight="1"/>
    <row r="22564" ht="30" customHeight="1"/>
    <row r="22565" ht="30" customHeight="1"/>
    <row r="22566" ht="30" customHeight="1"/>
    <row r="22567" ht="30" customHeight="1"/>
    <row r="22568" ht="30" customHeight="1"/>
    <row r="22569" ht="30" customHeight="1"/>
    <row r="22570" ht="30" customHeight="1"/>
    <row r="22571" ht="30" customHeight="1"/>
    <row r="22572" ht="30" customHeight="1"/>
    <row r="22573" ht="30" customHeight="1"/>
    <row r="22574" ht="30" customHeight="1"/>
    <row r="22575" ht="30" customHeight="1"/>
    <row r="22576" ht="30" customHeight="1"/>
    <row r="22577" ht="30" customHeight="1"/>
    <row r="22578" ht="30" customHeight="1"/>
    <row r="22579" ht="30" customHeight="1"/>
    <row r="22580" ht="30" customHeight="1"/>
    <row r="22581" ht="30" customHeight="1"/>
    <row r="22582" ht="30" customHeight="1"/>
    <row r="22583" ht="30" customHeight="1"/>
    <row r="22584" ht="30" customHeight="1"/>
    <row r="22585" ht="30" customHeight="1"/>
    <row r="22586" ht="30" customHeight="1"/>
    <row r="22587" ht="30" customHeight="1"/>
    <row r="22588" ht="30" customHeight="1"/>
    <row r="22589" ht="30" customHeight="1"/>
    <row r="22590" ht="30" customHeight="1"/>
    <row r="22591" ht="30" customHeight="1"/>
    <row r="22592" ht="30" customHeight="1"/>
    <row r="22593" ht="30" customHeight="1"/>
    <row r="22594" ht="30" customHeight="1"/>
    <row r="22595" ht="30" customHeight="1"/>
    <row r="22596" ht="30" customHeight="1"/>
    <row r="22597" ht="30" customHeight="1"/>
    <row r="22598" ht="30" customHeight="1"/>
    <row r="22599" ht="30" customHeight="1"/>
    <row r="22600" ht="30" customHeight="1"/>
    <row r="22601" ht="30" customHeight="1"/>
    <row r="22602" ht="30" customHeight="1"/>
    <row r="22603" ht="30" customHeight="1"/>
    <row r="22604" ht="30" customHeight="1"/>
    <row r="22605" ht="30" customHeight="1"/>
    <row r="22606" ht="30" customHeight="1"/>
    <row r="22607" ht="30" customHeight="1"/>
    <row r="22608" ht="30" customHeight="1"/>
    <row r="22609" ht="30" customHeight="1"/>
    <row r="22610" ht="30" customHeight="1"/>
    <row r="22611" ht="30" customHeight="1"/>
    <row r="22612" ht="30" customHeight="1"/>
    <row r="22613" ht="30" customHeight="1"/>
    <row r="22614" ht="30" customHeight="1"/>
    <row r="22615" ht="30" customHeight="1"/>
    <row r="22616" ht="30" customHeight="1"/>
    <row r="22617" ht="30" customHeight="1"/>
    <row r="22618" ht="30" customHeight="1"/>
    <row r="22619" ht="30" customHeight="1"/>
    <row r="22620" ht="30" customHeight="1"/>
    <row r="22621" ht="30" customHeight="1"/>
    <row r="22622" ht="30" customHeight="1"/>
    <row r="22623" ht="30" customHeight="1"/>
    <row r="22624" ht="30" customHeight="1"/>
    <row r="22625" ht="30" customHeight="1"/>
    <row r="22626" ht="30" customHeight="1"/>
    <row r="22627" ht="30" customHeight="1"/>
    <row r="22628" ht="30" customHeight="1"/>
    <row r="22629" ht="30" customHeight="1"/>
    <row r="22630" ht="30" customHeight="1"/>
    <row r="22631" ht="30" customHeight="1"/>
    <row r="22632" ht="30" customHeight="1"/>
    <row r="22633" ht="30" customHeight="1"/>
    <row r="22634" ht="30" customHeight="1"/>
    <row r="22635" ht="30" customHeight="1"/>
    <row r="22636" ht="30" customHeight="1"/>
    <row r="22637" ht="30" customHeight="1"/>
    <row r="22638" ht="30" customHeight="1"/>
    <row r="22639" ht="30" customHeight="1"/>
    <row r="22640" ht="30" customHeight="1"/>
    <row r="22641" ht="30" customHeight="1"/>
    <row r="22642" ht="30" customHeight="1"/>
    <row r="22643" ht="30" customHeight="1"/>
    <row r="22644" ht="30" customHeight="1"/>
    <row r="22645" ht="30" customHeight="1"/>
    <row r="22646" ht="30" customHeight="1"/>
    <row r="22647" ht="30" customHeight="1"/>
    <row r="22648" ht="30" customHeight="1"/>
    <row r="22649" ht="30" customHeight="1"/>
    <row r="22650" ht="30" customHeight="1"/>
    <row r="22651" ht="30" customHeight="1"/>
    <row r="22652" ht="30" customHeight="1"/>
    <row r="22653" ht="30" customHeight="1"/>
    <row r="22654" ht="30" customHeight="1"/>
    <row r="22655" ht="30" customHeight="1"/>
    <row r="22656" ht="30" customHeight="1"/>
    <row r="22657" ht="30" customHeight="1"/>
    <row r="22658" ht="30" customHeight="1"/>
    <row r="22659" ht="30" customHeight="1"/>
    <row r="22660" ht="30" customHeight="1"/>
    <row r="22661" ht="30" customHeight="1"/>
    <row r="22662" ht="30" customHeight="1"/>
    <row r="22663" ht="30" customHeight="1"/>
    <row r="22664" ht="30" customHeight="1"/>
    <row r="22665" ht="30" customHeight="1"/>
    <row r="22666" ht="30" customHeight="1"/>
    <row r="22667" ht="30" customHeight="1"/>
    <row r="22668" ht="30" customHeight="1"/>
    <row r="22669" ht="30" customHeight="1"/>
    <row r="22670" ht="30" customHeight="1"/>
    <row r="22671" ht="30" customHeight="1"/>
    <row r="22672" ht="30" customHeight="1"/>
    <row r="22673" ht="30" customHeight="1"/>
    <row r="22674" ht="30" customHeight="1"/>
    <row r="22675" ht="30" customHeight="1"/>
    <row r="22676" ht="30" customHeight="1"/>
    <row r="22677" ht="30" customHeight="1"/>
    <row r="22678" ht="30" customHeight="1"/>
    <row r="22679" ht="30" customHeight="1"/>
    <row r="22680" ht="30" customHeight="1"/>
    <row r="22681" ht="30" customHeight="1"/>
    <row r="22682" ht="30" customHeight="1"/>
    <row r="22683" ht="30" customHeight="1"/>
    <row r="22684" ht="30" customHeight="1"/>
    <row r="22685" ht="30" customHeight="1"/>
    <row r="22686" ht="30" customHeight="1"/>
    <row r="22687" ht="30" customHeight="1"/>
    <row r="22688" ht="30" customHeight="1"/>
    <row r="22689" ht="30" customHeight="1"/>
    <row r="22690" ht="30" customHeight="1"/>
    <row r="22691" ht="30" customHeight="1"/>
    <row r="22692" ht="30" customHeight="1"/>
    <row r="22693" ht="30" customHeight="1"/>
    <row r="22694" ht="30" customHeight="1"/>
    <row r="22695" ht="30" customHeight="1"/>
    <row r="22696" ht="30" customHeight="1"/>
    <row r="22697" ht="30" customHeight="1"/>
    <row r="22698" ht="30" customHeight="1"/>
    <row r="22699" ht="30" customHeight="1"/>
    <row r="22700" ht="30" customHeight="1"/>
    <row r="22701" ht="30" customHeight="1"/>
    <row r="22702" ht="30" customHeight="1"/>
    <row r="22703" ht="30" customHeight="1"/>
    <row r="22704" ht="30" customHeight="1"/>
    <row r="22705" ht="30" customHeight="1"/>
    <row r="22706" ht="30" customHeight="1"/>
    <row r="22707" ht="30" customHeight="1"/>
    <row r="22708" ht="30" customHeight="1"/>
    <row r="22709" ht="30" customHeight="1"/>
    <row r="22710" ht="30" customHeight="1"/>
    <row r="22711" ht="30" customHeight="1"/>
    <row r="22712" ht="30" customHeight="1"/>
    <row r="22713" ht="30" customHeight="1"/>
    <row r="22714" ht="30" customHeight="1"/>
    <row r="22715" ht="30" customHeight="1"/>
    <row r="22716" ht="30" customHeight="1"/>
    <row r="22717" ht="30" customHeight="1"/>
    <row r="22718" ht="30" customHeight="1"/>
    <row r="22719" ht="30" customHeight="1"/>
    <row r="22720" ht="30" customHeight="1"/>
    <row r="22721" ht="30" customHeight="1"/>
    <row r="22722" ht="30" customHeight="1"/>
    <row r="22723" ht="30" customHeight="1"/>
    <row r="22724" ht="30" customHeight="1"/>
    <row r="22725" ht="30" customHeight="1"/>
    <row r="22726" ht="30" customHeight="1"/>
    <row r="22727" ht="30" customHeight="1"/>
    <row r="22728" ht="30" customHeight="1"/>
    <row r="22729" ht="30" customHeight="1"/>
    <row r="22730" ht="30" customHeight="1"/>
    <row r="22731" ht="30" customHeight="1"/>
    <row r="22732" ht="30" customHeight="1"/>
    <row r="22733" ht="30" customHeight="1"/>
    <row r="22734" ht="30" customHeight="1"/>
    <row r="22735" ht="30" customHeight="1"/>
    <row r="22736" ht="30" customHeight="1"/>
    <row r="22737" ht="30" customHeight="1"/>
    <row r="22738" ht="30" customHeight="1"/>
    <row r="22739" ht="30" customHeight="1"/>
    <row r="22740" ht="30" customHeight="1"/>
    <row r="22741" ht="30" customHeight="1"/>
    <row r="22742" ht="30" customHeight="1"/>
    <row r="22743" ht="30" customHeight="1"/>
    <row r="22744" ht="30" customHeight="1"/>
    <row r="22745" ht="30" customHeight="1"/>
    <row r="22746" ht="30" customHeight="1"/>
    <row r="22747" ht="30" customHeight="1"/>
    <row r="22748" ht="30" customHeight="1"/>
    <row r="22749" ht="30" customHeight="1"/>
    <row r="22750" ht="30" customHeight="1"/>
    <row r="22751" ht="30" customHeight="1"/>
    <row r="22752" ht="30" customHeight="1"/>
    <row r="22753" ht="30" customHeight="1"/>
    <row r="22754" ht="30" customHeight="1"/>
    <row r="22755" ht="30" customHeight="1"/>
    <row r="22756" ht="30" customHeight="1"/>
    <row r="22757" ht="30" customHeight="1"/>
    <row r="22758" ht="30" customHeight="1"/>
    <row r="22759" ht="30" customHeight="1"/>
    <row r="22760" ht="30" customHeight="1"/>
    <row r="22761" ht="30" customHeight="1"/>
    <row r="22762" ht="30" customHeight="1"/>
    <row r="22763" ht="30" customHeight="1"/>
    <row r="22764" ht="30" customHeight="1"/>
    <row r="22765" ht="30" customHeight="1"/>
    <row r="22766" ht="30" customHeight="1"/>
    <row r="22767" ht="30" customHeight="1"/>
    <row r="22768" ht="30" customHeight="1"/>
    <row r="22769" ht="30" customHeight="1"/>
    <row r="22770" ht="30" customHeight="1"/>
    <row r="22771" ht="30" customHeight="1"/>
    <row r="22772" ht="30" customHeight="1"/>
    <row r="22773" ht="30" customHeight="1"/>
    <row r="22774" ht="30" customHeight="1"/>
    <row r="22775" ht="30" customHeight="1"/>
    <row r="22776" ht="30" customHeight="1"/>
    <row r="22777" ht="30" customHeight="1"/>
    <row r="22778" ht="30" customHeight="1"/>
    <row r="22779" ht="30" customHeight="1"/>
    <row r="22780" ht="30" customHeight="1"/>
    <row r="22781" ht="30" customHeight="1"/>
    <row r="22782" ht="30" customHeight="1"/>
    <row r="22783" ht="30" customHeight="1"/>
    <row r="22784" ht="30" customHeight="1"/>
    <row r="22785" ht="30" customHeight="1"/>
    <row r="22786" ht="30" customHeight="1"/>
    <row r="22787" ht="30" customHeight="1"/>
    <row r="22788" ht="30" customHeight="1"/>
    <row r="22789" ht="30" customHeight="1"/>
    <row r="22790" ht="30" customHeight="1"/>
    <row r="22791" ht="30" customHeight="1"/>
    <row r="22792" ht="30" customHeight="1"/>
    <row r="22793" ht="30" customHeight="1"/>
    <row r="22794" ht="30" customHeight="1"/>
    <row r="22795" ht="30" customHeight="1"/>
    <row r="22796" ht="30" customHeight="1"/>
    <row r="22797" ht="30" customHeight="1"/>
    <row r="22798" ht="30" customHeight="1"/>
    <row r="22799" ht="30" customHeight="1"/>
    <row r="22800" ht="30" customHeight="1"/>
    <row r="22801" ht="30" customHeight="1"/>
    <row r="22802" ht="30" customHeight="1"/>
    <row r="22803" ht="30" customHeight="1"/>
    <row r="22804" ht="30" customHeight="1"/>
    <row r="22805" ht="30" customHeight="1"/>
    <row r="22806" ht="30" customHeight="1"/>
    <row r="22807" ht="30" customHeight="1"/>
    <row r="22808" ht="30" customHeight="1"/>
    <row r="22809" ht="30" customHeight="1"/>
    <row r="22810" ht="30" customHeight="1"/>
    <row r="22811" ht="30" customHeight="1"/>
    <row r="22812" ht="30" customHeight="1"/>
    <row r="22813" ht="30" customHeight="1"/>
    <row r="22814" ht="30" customHeight="1"/>
    <row r="22815" ht="30" customHeight="1"/>
    <row r="22816" ht="30" customHeight="1"/>
    <row r="22817" ht="30" customHeight="1"/>
    <row r="22818" ht="30" customHeight="1"/>
    <row r="22819" ht="30" customHeight="1"/>
    <row r="22820" ht="30" customHeight="1"/>
    <row r="22821" ht="30" customHeight="1"/>
    <row r="22822" ht="30" customHeight="1"/>
    <row r="22823" ht="30" customHeight="1"/>
    <row r="22824" ht="30" customHeight="1"/>
    <row r="22825" ht="30" customHeight="1"/>
    <row r="22826" ht="30" customHeight="1"/>
    <row r="22827" ht="30" customHeight="1"/>
    <row r="22828" ht="30" customHeight="1"/>
    <row r="22829" ht="30" customHeight="1"/>
    <row r="22830" ht="30" customHeight="1"/>
    <row r="22831" ht="30" customHeight="1"/>
    <row r="22832" ht="30" customHeight="1"/>
    <row r="22833" ht="30" customHeight="1"/>
    <row r="22834" ht="30" customHeight="1"/>
    <row r="22835" ht="30" customHeight="1"/>
    <row r="22836" ht="30" customHeight="1"/>
    <row r="22837" ht="30" customHeight="1"/>
    <row r="22838" ht="30" customHeight="1"/>
    <row r="22839" ht="30" customHeight="1"/>
    <row r="22840" ht="30" customHeight="1"/>
    <row r="22841" ht="30" customHeight="1"/>
    <row r="22842" ht="30" customHeight="1"/>
    <row r="22843" ht="30" customHeight="1"/>
    <row r="22844" ht="30" customHeight="1"/>
    <row r="22845" ht="30" customHeight="1"/>
    <row r="22846" ht="30" customHeight="1"/>
    <row r="22847" ht="30" customHeight="1"/>
    <row r="22848" ht="30" customHeight="1"/>
    <row r="22849" ht="30" customHeight="1"/>
    <row r="22850" ht="30" customHeight="1"/>
    <row r="22851" ht="30" customHeight="1"/>
    <row r="22852" ht="30" customHeight="1"/>
    <row r="22853" ht="30" customHeight="1"/>
    <row r="22854" ht="30" customHeight="1"/>
    <row r="22855" ht="30" customHeight="1"/>
    <row r="22856" ht="30" customHeight="1"/>
    <row r="22857" ht="30" customHeight="1"/>
    <row r="22858" ht="30" customHeight="1"/>
    <row r="22859" ht="30" customHeight="1"/>
    <row r="22860" ht="30" customHeight="1"/>
    <row r="22861" ht="30" customHeight="1"/>
    <row r="22862" ht="30" customHeight="1"/>
    <row r="22863" ht="30" customHeight="1"/>
    <row r="22864" ht="30" customHeight="1"/>
    <row r="22865" ht="30" customHeight="1"/>
    <row r="22866" ht="30" customHeight="1"/>
    <row r="22867" ht="30" customHeight="1"/>
    <row r="22868" ht="30" customHeight="1"/>
    <row r="22869" ht="30" customHeight="1"/>
    <row r="22870" ht="30" customHeight="1"/>
    <row r="22871" ht="30" customHeight="1"/>
    <row r="22872" ht="30" customHeight="1"/>
    <row r="22873" ht="30" customHeight="1"/>
    <row r="22874" ht="30" customHeight="1"/>
    <row r="22875" ht="30" customHeight="1"/>
    <row r="22876" ht="30" customHeight="1"/>
    <row r="22877" ht="30" customHeight="1"/>
    <row r="22878" ht="30" customHeight="1"/>
    <row r="22879" ht="30" customHeight="1"/>
    <row r="22880" ht="30" customHeight="1"/>
    <row r="22881" ht="30" customHeight="1"/>
    <row r="22882" ht="30" customHeight="1"/>
    <row r="22883" ht="30" customHeight="1"/>
    <row r="22884" ht="30" customHeight="1"/>
    <row r="22885" ht="30" customHeight="1"/>
    <row r="22886" ht="30" customHeight="1"/>
    <row r="22887" ht="30" customHeight="1"/>
    <row r="22888" ht="30" customHeight="1"/>
    <row r="22889" ht="30" customHeight="1"/>
    <row r="22890" ht="30" customHeight="1"/>
    <row r="22891" ht="30" customHeight="1"/>
    <row r="22892" ht="30" customHeight="1"/>
    <row r="22893" ht="30" customHeight="1"/>
    <row r="22894" ht="30" customHeight="1"/>
    <row r="22895" ht="30" customHeight="1"/>
    <row r="22896" ht="30" customHeight="1"/>
    <row r="22897" ht="30" customHeight="1"/>
    <row r="22898" ht="30" customHeight="1"/>
    <row r="22899" ht="30" customHeight="1"/>
    <row r="22900" ht="30" customHeight="1"/>
    <row r="22901" ht="30" customHeight="1"/>
    <row r="22902" ht="30" customHeight="1"/>
    <row r="22903" ht="30" customHeight="1"/>
    <row r="22904" ht="30" customHeight="1"/>
    <row r="22905" ht="30" customHeight="1"/>
    <row r="22906" ht="30" customHeight="1"/>
    <row r="22907" ht="30" customHeight="1"/>
    <row r="22908" ht="30" customHeight="1"/>
    <row r="22909" ht="30" customHeight="1"/>
    <row r="22910" ht="30" customHeight="1"/>
    <row r="22911" ht="30" customHeight="1"/>
    <row r="22912" ht="30" customHeight="1"/>
    <row r="22913" ht="30" customHeight="1"/>
    <row r="22914" ht="30" customHeight="1"/>
    <row r="22915" ht="30" customHeight="1"/>
    <row r="22916" ht="30" customHeight="1"/>
    <row r="22917" ht="30" customHeight="1"/>
    <row r="22918" ht="30" customHeight="1"/>
    <row r="22919" ht="30" customHeight="1"/>
    <row r="22920" ht="30" customHeight="1"/>
    <row r="22921" ht="30" customHeight="1"/>
    <row r="22922" ht="30" customHeight="1"/>
    <row r="22923" ht="30" customHeight="1"/>
    <row r="22924" ht="30" customHeight="1"/>
    <row r="22925" ht="30" customHeight="1"/>
    <row r="22926" ht="30" customHeight="1"/>
    <row r="22927" ht="30" customHeight="1"/>
    <row r="22928" ht="30" customHeight="1"/>
    <row r="22929" ht="30" customHeight="1"/>
    <row r="22930" ht="30" customHeight="1"/>
    <row r="22931" ht="30" customHeight="1"/>
    <row r="22932" ht="30" customHeight="1"/>
    <row r="22933" ht="30" customHeight="1"/>
    <row r="22934" ht="30" customHeight="1"/>
    <row r="22935" ht="30" customHeight="1"/>
    <row r="22936" ht="30" customHeight="1"/>
    <row r="22937" ht="30" customHeight="1"/>
    <row r="22938" ht="30" customHeight="1"/>
    <row r="22939" ht="30" customHeight="1"/>
    <row r="22940" ht="30" customHeight="1"/>
    <row r="22941" ht="30" customHeight="1"/>
    <row r="22942" ht="30" customHeight="1"/>
    <row r="22943" ht="30" customHeight="1"/>
    <row r="22944" ht="30" customHeight="1"/>
    <row r="22945" ht="30" customHeight="1"/>
    <row r="22946" ht="30" customHeight="1"/>
    <row r="22947" ht="30" customHeight="1"/>
    <row r="22948" ht="30" customHeight="1"/>
    <row r="22949" ht="30" customHeight="1"/>
    <row r="22950" ht="30" customHeight="1"/>
    <row r="22951" ht="30" customHeight="1"/>
    <row r="22952" ht="30" customHeight="1"/>
    <row r="22953" ht="30" customHeight="1"/>
    <row r="22954" ht="30" customHeight="1"/>
    <row r="22955" ht="30" customHeight="1"/>
    <row r="22956" ht="30" customHeight="1"/>
    <row r="22957" ht="30" customHeight="1"/>
    <row r="22958" ht="30" customHeight="1"/>
    <row r="22959" ht="30" customHeight="1"/>
    <row r="22960" ht="30" customHeight="1"/>
    <row r="22961" ht="30" customHeight="1"/>
    <row r="22962" ht="30" customHeight="1"/>
    <row r="22963" ht="30" customHeight="1"/>
    <row r="22964" ht="30" customHeight="1"/>
    <row r="22965" ht="30" customHeight="1"/>
    <row r="22966" ht="30" customHeight="1"/>
    <row r="22967" ht="30" customHeight="1"/>
    <row r="22968" ht="30" customHeight="1"/>
    <row r="22969" ht="30" customHeight="1"/>
    <row r="22970" ht="30" customHeight="1"/>
    <row r="22971" ht="30" customHeight="1"/>
    <row r="22972" ht="30" customHeight="1"/>
    <row r="22973" ht="30" customHeight="1"/>
    <row r="22974" ht="30" customHeight="1"/>
    <row r="22975" ht="30" customHeight="1"/>
    <row r="22976" ht="30" customHeight="1"/>
    <row r="22977" ht="30" customHeight="1"/>
    <row r="22978" ht="30" customHeight="1"/>
    <row r="22979" ht="30" customHeight="1"/>
    <row r="22980" ht="30" customHeight="1"/>
    <row r="22981" ht="30" customHeight="1"/>
    <row r="22982" ht="30" customHeight="1"/>
    <row r="22983" ht="30" customHeight="1"/>
    <row r="22984" ht="30" customHeight="1"/>
    <row r="22985" ht="30" customHeight="1"/>
    <row r="22986" ht="30" customHeight="1"/>
    <row r="22987" ht="30" customHeight="1"/>
    <row r="22988" ht="30" customHeight="1"/>
    <row r="22989" ht="30" customHeight="1"/>
    <row r="22990" ht="30" customHeight="1"/>
    <row r="22991" ht="30" customHeight="1"/>
    <row r="22992" ht="30" customHeight="1"/>
    <row r="22993" ht="30" customHeight="1"/>
    <row r="22994" ht="30" customHeight="1"/>
    <row r="22995" ht="30" customHeight="1"/>
    <row r="22996" ht="30" customHeight="1"/>
    <row r="22997" ht="30" customHeight="1"/>
    <row r="22998" ht="30" customHeight="1"/>
    <row r="22999" ht="30" customHeight="1"/>
    <row r="23000" ht="30" customHeight="1"/>
    <row r="23001" ht="30" customHeight="1"/>
    <row r="23002" ht="30" customHeight="1"/>
    <row r="23003" ht="30" customHeight="1"/>
    <row r="23004" ht="30" customHeight="1"/>
    <row r="23005" ht="30" customHeight="1"/>
    <row r="23006" ht="30" customHeight="1"/>
    <row r="23007" ht="30" customHeight="1"/>
    <row r="23008" ht="30" customHeight="1"/>
    <row r="23009" ht="30" customHeight="1"/>
    <row r="23010" ht="30" customHeight="1"/>
    <row r="23011" ht="30" customHeight="1"/>
    <row r="23012" ht="30" customHeight="1"/>
    <row r="23013" ht="30" customHeight="1"/>
    <row r="23014" ht="30" customHeight="1"/>
    <row r="23015" ht="30" customHeight="1"/>
    <row r="23016" ht="30" customHeight="1"/>
    <row r="23017" ht="30" customHeight="1"/>
    <row r="23018" ht="30" customHeight="1"/>
    <row r="23019" ht="30" customHeight="1"/>
    <row r="23020" ht="30" customHeight="1"/>
    <row r="23021" ht="30" customHeight="1"/>
    <row r="23022" ht="30" customHeight="1"/>
    <row r="23023" ht="30" customHeight="1"/>
    <row r="23024" ht="30" customHeight="1"/>
    <row r="23025" ht="30" customHeight="1"/>
    <row r="23026" ht="30" customHeight="1"/>
    <row r="23027" ht="30" customHeight="1"/>
    <row r="23028" ht="30" customHeight="1"/>
    <row r="23029" ht="30" customHeight="1"/>
    <row r="23030" ht="30" customHeight="1"/>
    <row r="23031" ht="30" customHeight="1"/>
    <row r="23032" ht="30" customHeight="1"/>
    <row r="23033" ht="30" customHeight="1"/>
    <row r="23034" ht="30" customHeight="1"/>
    <row r="23035" ht="30" customHeight="1"/>
    <row r="23036" ht="30" customHeight="1"/>
    <row r="23037" ht="30" customHeight="1"/>
    <row r="23038" ht="30" customHeight="1"/>
    <row r="23039" ht="30" customHeight="1"/>
    <row r="23040" ht="30" customHeight="1"/>
    <row r="23041" ht="30" customHeight="1"/>
    <row r="23042" ht="30" customHeight="1"/>
    <row r="23043" ht="30" customHeight="1"/>
    <row r="23044" ht="30" customHeight="1"/>
    <row r="23045" ht="30" customHeight="1"/>
    <row r="23046" ht="30" customHeight="1"/>
    <row r="23047" ht="30" customHeight="1"/>
    <row r="23048" ht="30" customHeight="1"/>
    <row r="23049" ht="30" customHeight="1"/>
    <row r="23050" ht="30" customHeight="1"/>
    <row r="23051" ht="30" customHeight="1"/>
    <row r="23052" ht="30" customHeight="1"/>
    <row r="23053" ht="30" customHeight="1"/>
    <row r="23054" ht="30" customHeight="1"/>
    <row r="23055" ht="30" customHeight="1"/>
    <row r="23056" ht="30" customHeight="1"/>
    <row r="23057" ht="30" customHeight="1"/>
    <row r="23058" ht="30" customHeight="1"/>
    <row r="23059" ht="30" customHeight="1"/>
    <row r="23060" ht="30" customHeight="1"/>
    <row r="23061" ht="30" customHeight="1"/>
    <row r="23062" ht="30" customHeight="1"/>
    <row r="23063" ht="30" customHeight="1"/>
    <row r="23064" ht="30" customHeight="1"/>
    <row r="23065" ht="30" customHeight="1"/>
    <row r="23066" ht="30" customHeight="1"/>
    <row r="23067" ht="30" customHeight="1"/>
    <row r="23068" ht="30" customHeight="1"/>
    <row r="23069" ht="30" customHeight="1"/>
    <row r="23070" ht="30" customHeight="1"/>
    <row r="23071" ht="30" customHeight="1"/>
    <row r="23072" ht="30" customHeight="1"/>
    <row r="23073" ht="30" customHeight="1"/>
    <row r="23074" ht="30" customHeight="1"/>
    <row r="23075" ht="30" customHeight="1"/>
    <row r="23076" ht="30" customHeight="1"/>
    <row r="23077" ht="30" customHeight="1"/>
    <row r="23078" ht="30" customHeight="1"/>
    <row r="23079" ht="30" customHeight="1"/>
    <row r="23080" ht="30" customHeight="1"/>
    <row r="23081" ht="30" customHeight="1"/>
    <row r="23082" ht="30" customHeight="1"/>
    <row r="23083" ht="30" customHeight="1"/>
    <row r="23084" ht="30" customHeight="1"/>
    <row r="23085" ht="30" customHeight="1"/>
    <row r="23086" ht="30" customHeight="1"/>
    <row r="23087" ht="30" customHeight="1"/>
    <row r="23088" ht="30" customHeight="1"/>
    <row r="23089" ht="30" customHeight="1"/>
    <row r="23090" ht="30" customHeight="1"/>
    <row r="23091" ht="30" customHeight="1"/>
    <row r="23092" ht="30" customHeight="1"/>
    <row r="23093" ht="30" customHeight="1"/>
    <row r="23094" ht="30" customHeight="1"/>
    <row r="23095" ht="30" customHeight="1"/>
    <row r="23096" ht="30" customHeight="1"/>
    <row r="23097" ht="30" customHeight="1"/>
    <row r="23098" ht="30" customHeight="1"/>
    <row r="23099" ht="30" customHeight="1"/>
    <row r="23100" ht="30" customHeight="1"/>
    <row r="23101" ht="30" customHeight="1"/>
    <row r="23102" ht="30" customHeight="1"/>
    <row r="23103" ht="30" customHeight="1"/>
    <row r="23104" ht="30" customHeight="1"/>
    <row r="23105" ht="30" customHeight="1"/>
    <row r="23106" ht="30" customHeight="1"/>
    <row r="23107" ht="30" customHeight="1"/>
    <row r="23108" ht="30" customHeight="1"/>
    <row r="23109" ht="30" customHeight="1"/>
    <row r="23110" ht="30" customHeight="1"/>
    <row r="23111" ht="30" customHeight="1"/>
    <row r="23112" ht="30" customHeight="1"/>
    <row r="23113" ht="30" customHeight="1"/>
    <row r="23114" ht="30" customHeight="1"/>
    <row r="23115" ht="30" customHeight="1"/>
    <row r="23116" ht="30" customHeight="1"/>
    <row r="23117" ht="30" customHeight="1"/>
    <row r="23118" ht="30" customHeight="1"/>
    <row r="23119" ht="30" customHeight="1"/>
    <row r="23120" ht="30" customHeight="1"/>
    <row r="23121" ht="30" customHeight="1"/>
    <row r="23122" ht="30" customHeight="1"/>
    <row r="23123" ht="30" customHeight="1"/>
    <row r="23124" ht="30" customHeight="1"/>
    <row r="23125" ht="30" customHeight="1"/>
    <row r="23126" ht="30" customHeight="1"/>
    <row r="23127" ht="30" customHeight="1"/>
    <row r="23128" ht="30" customHeight="1"/>
    <row r="23129" ht="30" customHeight="1"/>
    <row r="23130" ht="30" customHeight="1"/>
    <row r="23131" ht="30" customHeight="1"/>
    <row r="23132" ht="30" customHeight="1"/>
    <row r="23133" ht="30" customHeight="1"/>
    <row r="23134" ht="30" customHeight="1"/>
    <row r="23135" ht="30" customHeight="1"/>
    <row r="23136" ht="30" customHeight="1"/>
    <row r="23137" ht="30" customHeight="1"/>
    <row r="23138" ht="30" customHeight="1"/>
    <row r="23139" ht="30" customHeight="1"/>
    <row r="23140" ht="30" customHeight="1"/>
    <row r="23141" ht="30" customHeight="1"/>
    <row r="23142" ht="30" customHeight="1"/>
    <row r="23143" ht="30" customHeight="1"/>
    <row r="23144" ht="30" customHeight="1"/>
    <row r="23145" ht="30" customHeight="1"/>
    <row r="23146" ht="30" customHeight="1"/>
    <row r="23147" ht="30" customHeight="1"/>
    <row r="23148" ht="30" customHeight="1"/>
    <row r="23149" ht="30" customHeight="1"/>
    <row r="23150" ht="30" customHeight="1"/>
    <row r="23151" ht="30" customHeight="1"/>
    <row r="23152" ht="30" customHeight="1"/>
    <row r="23153" ht="30" customHeight="1"/>
    <row r="23154" ht="30" customHeight="1"/>
    <row r="23155" ht="30" customHeight="1"/>
    <row r="23156" ht="30" customHeight="1"/>
    <row r="23157" ht="30" customHeight="1"/>
    <row r="23158" ht="30" customHeight="1"/>
    <row r="23159" ht="30" customHeight="1"/>
    <row r="23160" ht="30" customHeight="1"/>
    <row r="23161" ht="30" customHeight="1"/>
    <row r="23162" ht="30" customHeight="1"/>
    <row r="23163" ht="30" customHeight="1"/>
    <row r="23164" ht="30" customHeight="1"/>
    <row r="23165" ht="30" customHeight="1"/>
    <row r="23166" ht="30" customHeight="1"/>
    <row r="23167" ht="30" customHeight="1"/>
    <row r="23168" ht="30" customHeight="1"/>
    <row r="23169" ht="30" customHeight="1"/>
    <row r="23170" ht="30" customHeight="1"/>
    <row r="23171" ht="30" customHeight="1"/>
    <row r="23172" ht="30" customHeight="1"/>
    <row r="23173" ht="30" customHeight="1"/>
    <row r="23174" ht="30" customHeight="1"/>
    <row r="23175" ht="30" customHeight="1"/>
    <row r="23176" ht="30" customHeight="1"/>
    <row r="23177" ht="30" customHeight="1"/>
    <row r="23178" ht="30" customHeight="1"/>
    <row r="23179" ht="30" customHeight="1"/>
    <row r="23180" ht="30" customHeight="1"/>
    <row r="23181" ht="30" customHeight="1"/>
    <row r="23182" ht="30" customHeight="1"/>
    <row r="23183" ht="30" customHeight="1"/>
    <row r="23184" ht="30" customHeight="1"/>
    <row r="23185" ht="30" customHeight="1"/>
    <row r="23186" ht="30" customHeight="1"/>
    <row r="23187" ht="30" customHeight="1"/>
    <row r="23188" ht="30" customHeight="1"/>
    <row r="23189" ht="30" customHeight="1"/>
    <row r="23190" ht="30" customHeight="1"/>
    <row r="23191" ht="30" customHeight="1"/>
    <row r="23192" ht="30" customHeight="1"/>
    <row r="23193" ht="30" customHeight="1"/>
    <row r="23194" ht="30" customHeight="1"/>
    <row r="23195" ht="30" customHeight="1"/>
    <row r="23196" ht="30" customHeight="1"/>
    <row r="23197" ht="30" customHeight="1"/>
    <row r="23198" ht="30" customHeight="1"/>
    <row r="23199" ht="30" customHeight="1"/>
    <row r="23200" ht="30" customHeight="1"/>
    <row r="23201" ht="30" customHeight="1"/>
    <row r="23202" ht="30" customHeight="1"/>
    <row r="23203" ht="30" customHeight="1"/>
    <row r="23204" ht="30" customHeight="1"/>
    <row r="23205" ht="30" customHeight="1"/>
    <row r="23206" ht="30" customHeight="1"/>
    <row r="23207" ht="30" customHeight="1"/>
    <row r="23208" ht="30" customHeight="1"/>
    <row r="23209" ht="30" customHeight="1"/>
    <row r="23210" ht="30" customHeight="1"/>
    <row r="23211" ht="30" customHeight="1"/>
    <row r="23212" ht="30" customHeight="1"/>
    <row r="23213" ht="30" customHeight="1"/>
    <row r="23214" ht="30" customHeight="1"/>
    <row r="23215" ht="30" customHeight="1"/>
    <row r="23216" ht="30" customHeight="1"/>
    <row r="23217" ht="30" customHeight="1"/>
    <row r="23218" ht="30" customHeight="1"/>
    <row r="23219" ht="30" customHeight="1"/>
    <row r="23220" ht="30" customHeight="1"/>
    <row r="23221" ht="30" customHeight="1"/>
    <row r="23222" ht="30" customHeight="1"/>
    <row r="23223" ht="30" customHeight="1"/>
    <row r="23224" ht="30" customHeight="1"/>
    <row r="23225" ht="30" customHeight="1"/>
    <row r="23226" ht="30" customHeight="1"/>
    <row r="23227" ht="30" customHeight="1"/>
    <row r="23228" ht="30" customHeight="1"/>
    <row r="23229" ht="30" customHeight="1"/>
    <row r="23230" ht="30" customHeight="1"/>
    <row r="23231" ht="30" customHeight="1"/>
    <row r="23232" ht="30" customHeight="1"/>
    <row r="23233" ht="30" customHeight="1"/>
    <row r="23234" ht="30" customHeight="1"/>
    <row r="23235" ht="30" customHeight="1"/>
    <row r="23236" ht="30" customHeight="1"/>
    <row r="23237" ht="30" customHeight="1"/>
    <row r="23238" ht="30" customHeight="1"/>
    <row r="23239" ht="30" customHeight="1"/>
    <row r="23240" ht="30" customHeight="1"/>
    <row r="23241" ht="30" customHeight="1"/>
    <row r="23242" ht="30" customHeight="1"/>
    <row r="23243" ht="30" customHeight="1"/>
    <row r="23244" ht="30" customHeight="1"/>
    <row r="23245" ht="30" customHeight="1"/>
    <row r="23246" ht="30" customHeight="1"/>
    <row r="23247" ht="30" customHeight="1"/>
    <row r="23248" ht="30" customHeight="1"/>
    <row r="23249" ht="30" customHeight="1"/>
    <row r="23250" ht="30" customHeight="1"/>
    <row r="23251" ht="30" customHeight="1"/>
    <row r="23252" ht="30" customHeight="1"/>
    <row r="23253" ht="30" customHeight="1"/>
    <row r="23254" ht="30" customHeight="1"/>
    <row r="23255" ht="30" customHeight="1"/>
    <row r="23256" ht="30" customHeight="1"/>
    <row r="23257" ht="30" customHeight="1"/>
    <row r="23258" ht="30" customHeight="1"/>
    <row r="23259" ht="30" customHeight="1"/>
    <row r="23260" ht="30" customHeight="1"/>
    <row r="23261" ht="30" customHeight="1"/>
    <row r="23262" ht="30" customHeight="1"/>
    <row r="23263" ht="30" customHeight="1"/>
    <row r="23264" ht="30" customHeight="1"/>
    <row r="23265" ht="30" customHeight="1"/>
    <row r="23266" ht="30" customHeight="1"/>
    <row r="23267" ht="30" customHeight="1"/>
    <row r="23268" ht="30" customHeight="1"/>
    <row r="23269" ht="30" customHeight="1"/>
    <row r="23270" ht="30" customHeight="1"/>
    <row r="23271" ht="30" customHeight="1"/>
    <row r="23272" ht="30" customHeight="1"/>
    <row r="23273" ht="30" customHeight="1"/>
    <row r="23274" ht="30" customHeight="1"/>
    <row r="23275" ht="30" customHeight="1"/>
    <row r="23276" ht="30" customHeight="1"/>
    <row r="23277" ht="30" customHeight="1"/>
    <row r="23278" ht="30" customHeight="1"/>
    <row r="23279" ht="30" customHeight="1"/>
    <row r="23280" ht="30" customHeight="1"/>
    <row r="23281" ht="30" customHeight="1"/>
    <row r="23282" ht="30" customHeight="1"/>
    <row r="23283" ht="30" customHeight="1"/>
    <row r="23284" ht="30" customHeight="1"/>
    <row r="23285" ht="30" customHeight="1"/>
    <row r="23286" ht="30" customHeight="1"/>
    <row r="23287" ht="30" customHeight="1"/>
    <row r="23288" ht="30" customHeight="1"/>
    <row r="23289" ht="30" customHeight="1"/>
    <row r="23290" ht="30" customHeight="1"/>
    <row r="23291" ht="30" customHeight="1"/>
    <row r="23292" ht="30" customHeight="1"/>
    <row r="23293" ht="30" customHeight="1"/>
    <row r="23294" ht="30" customHeight="1"/>
    <row r="23295" ht="30" customHeight="1"/>
    <row r="23296" ht="30" customHeight="1"/>
    <row r="23297" ht="30" customHeight="1"/>
    <row r="23298" ht="30" customHeight="1"/>
    <row r="23299" ht="30" customHeight="1"/>
    <row r="23300" ht="30" customHeight="1"/>
    <row r="23301" ht="30" customHeight="1"/>
    <row r="23302" ht="30" customHeight="1"/>
    <row r="23303" ht="30" customHeight="1"/>
    <row r="23304" ht="30" customHeight="1"/>
    <row r="23305" ht="30" customHeight="1"/>
    <row r="23306" ht="30" customHeight="1"/>
    <row r="23307" ht="30" customHeight="1"/>
    <row r="23308" ht="30" customHeight="1"/>
    <row r="23309" ht="30" customHeight="1"/>
    <row r="23310" ht="30" customHeight="1"/>
    <row r="23311" ht="30" customHeight="1"/>
    <row r="23312" ht="30" customHeight="1"/>
    <row r="23313" ht="30" customHeight="1"/>
    <row r="23314" ht="30" customHeight="1"/>
    <row r="23315" ht="30" customHeight="1"/>
    <row r="23316" ht="30" customHeight="1"/>
    <row r="23317" ht="30" customHeight="1"/>
    <row r="23318" ht="30" customHeight="1"/>
    <row r="23319" ht="30" customHeight="1"/>
    <row r="23320" ht="30" customHeight="1"/>
    <row r="23321" ht="30" customHeight="1"/>
    <row r="23322" ht="30" customHeight="1"/>
    <row r="23323" ht="30" customHeight="1"/>
    <row r="23324" ht="30" customHeight="1"/>
    <row r="23325" ht="30" customHeight="1"/>
    <row r="23326" ht="30" customHeight="1"/>
    <row r="23327" ht="30" customHeight="1"/>
    <row r="23328" ht="30" customHeight="1"/>
    <row r="23329" ht="30" customHeight="1"/>
    <row r="23330" ht="30" customHeight="1"/>
    <row r="23331" ht="30" customHeight="1"/>
    <row r="23332" ht="30" customHeight="1"/>
    <row r="23333" ht="30" customHeight="1"/>
    <row r="23334" ht="30" customHeight="1"/>
    <row r="23335" ht="30" customHeight="1"/>
    <row r="23336" ht="30" customHeight="1"/>
    <row r="23337" ht="30" customHeight="1"/>
    <row r="23338" ht="30" customHeight="1"/>
    <row r="23339" ht="30" customHeight="1"/>
    <row r="23340" ht="30" customHeight="1"/>
    <row r="23341" ht="30" customHeight="1"/>
    <row r="23342" ht="30" customHeight="1"/>
    <row r="23343" ht="30" customHeight="1"/>
    <row r="23344" ht="30" customHeight="1"/>
    <row r="23345" ht="30" customHeight="1"/>
    <row r="23346" ht="30" customHeight="1"/>
    <row r="23347" ht="30" customHeight="1"/>
    <row r="23348" ht="30" customHeight="1"/>
    <row r="23349" ht="30" customHeight="1"/>
    <row r="23350" ht="30" customHeight="1"/>
    <row r="23351" ht="30" customHeight="1"/>
    <row r="23352" ht="30" customHeight="1"/>
    <row r="23353" ht="30" customHeight="1"/>
    <row r="23354" ht="30" customHeight="1"/>
    <row r="23355" ht="30" customHeight="1"/>
    <row r="23356" ht="30" customHeight="1"/>
    <row r="23357" ht="30" customHeight="1"/>
    <row r="23358" ht="30" customHeight="1"/>
    <row r="23359" ht="30" customHeight="1"/>
    <row r="23360" ht="30" customHeight="1"/>
    <row r="23361" ht="30" customHeight="1"/>
    <row r="23362" ht="30" customHeight="1"/>
    <row r="23363" ht="30" customHeight="1"/>
    <row r="23364" ht="30" customHeight="1"/>
    <row r="23365" ht="30" customHeight="1"/>
    <row r="23366" ht="30" customHeight="1"/>
    <row r="23367" ht="30" customHeight="1"/>
    <row r="23368" ht="30" customHeight="1"/>
    <row r="23369" ht="30" customHeight="1"/>
    <row r="23370" ht="30" customHeight="1"/>
    <row r="23371" ht="30" customHeight="1"/>
    <row r="23372" ht="30" customHeight="1"/>
    <row r="23373" ht="30" customHeight="1"/>
    <row r="23374" ht="30" customHeight="1"/>
    <row r="23375" ht="30" customHeight="1"/>
    <row r="23376" ht="30" customHeight="1"/>
    <row r="23377" ht="30" customHeight="1"/>
    <row r="23378" ht="30" customHeight="1"/>
    <row r="23379" ht="30" customHeight="1"/>
    <row r="23380" ht="30" customHeight="1"/>
    <row r="23381" ht="30" customHeight="1"/>
    <row r="23382" ht="30" customHeight="1"/>
    <row r="23383" ht="30" customHeight="1"/>
    <row r="23384" ht="30" customHeight="1"/>
    <row r="23385" ht="30" customHeight="1"/>
    <row r="23386" ht="30" customHeight="1"/>
    <row r="23387" ht="30" customHeight="1"/>
    <row r="23388" ht="30" customHeight="1"/>
    <row r="23389" ht="30" customHeight="1"/>
    <row r="23390" ht="30" customHeight="1"/>
    <row r="23391" ht="30" customHeight="1"/>
    <row r="23392" ht="30" customHeight="1"/>
    <row r="23393" ht="30" customHeight="1"/>
    <row r="23394" ht="30" customHeight="1"/>
    <row r="23395" ht="30" customHeight="1"/>
    <row r="23396" ht="30" customHeight="1"/>
    <row r="23397" ht="30" customHeight="1"/>
    <row r="23398" ht="30" customHeight="1"/>
    <row r="23399" ht="30" customHeight="1"/>
    <row r="23400" ht="30" customHeight="1"/>
    <row r="23401" ht="30" customHeight="1"/>
    <row r="23402" ht="30" customHeight="1"/>
    <row r="23403" ht="30" customHeight="1"/>
    <row r="23404" ht="30" customHeight="1"/>
    <row r="23405" ht="30" customHeight="1"/>
    <row r="23406" ht="30" customHeight="1"/>
    <row r="23407" ht="30" customHeight="1"/>
    <row r="23408" ht="30" customHeight="1"/>
    <row r="23409" ht="30" customHeight="1"/>
    <row r="23410" ht="30" customHeight="1"/>
    <row r="23411" ht="30" customHeight="1"/>
    <row r="23412" ht="30" customHeight="1"/>
    <row r="23413" ht="30" customHeight="1"/>
    <row r="23414" ht="30" customHeight="1"/>
    <row r="23415" ht="30" customHeight="1"/>
    <row r="23416" ht="30" customHeight="1"/>
    <row r="23417" ht="30" customHeight="1"/>
    <row r="23418" ht="30" customHeight="1"/>
    <row r="23419" ht="30" customHeight="1"/>
    <row r="23420" ht="30" customHeight="1"/>
    <row r="23421" ht="30" customHeight="1"/>
    <row r="23422" ht="30" customHeight="1"/>
    <row r="23423" ht="30" customHeight="1"/>
    <row r="23424" ht="30" customHeight="1"/>
    <row r="23425" ht="30" customHeight="1"/>
    <row r="23426" ht="30" customHeight="1"/>
    <row r="23427" ht="30" customHeight="1"/>
    <row r="23428" ht="30" customHeight="1"/>
    <row r="23429" ht="30" customHeight="1"/>
    <row r="23430" ht="30" customHeight="1"/>
    <row r="23431" ht="30" customHeight="1"/>
    <row r="23432" ht="30" customHeight="1"/>
    <row r="23433" ht="30" customHeight="1"/>
    <row r="23434" ht="30" customHeight="1"/>
    <row r="23435" ht="30" customHeight="1"/>
    <row r="23436" ht="30" customHeight="1"/>
    <row r="23437" ht="30" customHeight="1"/>
    <row r="23438" ht="30" customHeight="1"/>
    <row r="23439" ht="30" customHeight="1"/>
    <row r="23440" ht="30" customHeight="1"/>
    <row r="23441" ht="30" customHeight="1"/>
    <row r="23442" ht="30" customHeight="1"/>
    <row r="23443" ht="30" customHeight="1"/>
    <row r="23444" ht="30" customHeight="1"/>
    <row r="23445" ht="30" customHeight="1"/>
    <row r="23446" ht="30" customHeight="1"/>
    <row r="23447" ht="30" customHeight="1"/>
    <row r="23448" ht="30" customHeight="1"/>
    <row r="23449" ht="30" customHeight="1"/>
    <row r="23450" ht="30" customHeight="1"/>
    <row r="23451" ht="30" customHeight="1"/>
    <row r="23452" ht="30" customHeight="1"/>
    <row r="23453" ht="30" customHeight="1"/>
    <row r="23454" ht="30" customHeight="1"/>
    <row r="23455" ht="30" customHeight="1"/>
    <row r="23456" ht="30" customHeight="1"/>
    <row r="23457" ht="30" customHeight="1"/>
    <row r="23458" ht="30" customHeight="1"/>
    <row r="23459" ht="30" customHeight="1"/>
    <row r="23460" ht="30" customHeight="1"/>
    <row r="23461" ht="30" customHeight="1"/>
    <row r="23462" ht="30" customHeight="1"/>
    <row r="23463" ht="30" customHeight="1"/>
    <row r="23464" ht="30" customHeight="1"/>
    <row r="23465" ht="30" customHeight="1"/>
    <row r="23466" ht="30" customHeight="1"/>
    <row r="23467" ht="30" customHeight="1"/>
    <row r="23468" ht="30" customHeight="1"/>
    <row r="23469" ht="30" customHeight="1"/>
    <row r="23470" ht="30" customHeight="1"/>
    <row r="23471" ht="30" customHeight="1"/>
    <row r="23472" ht="30" customHeight="1"/>
    <row r="23473" ht="30" customHeight="1"/>
    <row r="23474" ht="30" customHeight="1"/>
    <row r="23475" ht="30" customHeight="1"/>
    <row r="23476" ht="30" customHeight="1"/>
    <row r="23477" ht="30" customHeight="1"/>
    <row r="23478" ht="30" customHeight="1"/>
    <row r="23479" ht="30" customHeight="1"/>
    <row r="23480" ht="30" customHeight="1"/>
    <row r="23481" ht="30" customHeight="1"/>
    <row r="23482" ht="30" customHeight="1"/>
    <row r="23483" ht="30" customHeight="1"/>
    <row r="23484" ht="30" customHeight="1"/>
    <row r="23485" ht="30" customHeight="1"/>
    <row r="23486" ht="30" customHeight="1"/>
    <row r="23487" ht="30" customHeight="1"/>
    <row r="23488" ht="30" customHeight="1"/>
    <row r="23489" ht="30" customHeight="1"/>
    <row r="23490" ht="30" customHeight="1"/>
    <row r="23491" ht="30" customHeight="1"/>
    <row r="23492" ht="30" customHeight="1"/>
    <row r="23493" ht="30" customHeight="1"/>
    <row r="23494" ht="30" customHeight="1"/>
    <row r="23495" ht="30" customHeight="1"/>
    <row r="23496" ht="30" customHeight="1"/>
    <row r="23497" ht="30" customHeight="1"/>
    <row r="23498" ht="30" customHeight="1"/>
    <row r="23499" ht="30" customHeight="1"/>
    <row r="23500" ht="30" customHeight="1"/>
    <row r="23501" ht="30" customHeight="1"/>
    <row r="23502" ht="30" customHeight="1"/>
    <row r="23503" ht="30" customHeight="1"/>
    <row r="23504" ht="30" customHeight="1"/>
    <row r="23505" ht="30" customHeight="1"/>
    <row r="23506" ht="30" customHeight="1"/>
    <row r="23507" ht="30" customHeight="1"/>
    <row r="23508" ht="30" customHeight="1"/>
    <row r="23509" ht="30" customHeight="1"/>
    <row r="23510" ht="30" customHeight="1"/>
    <row r="23511" ht="30" customHeight="1"/>
    <row r="23512" ht="30" customHeight="1"/>
    <row r="23513" ht="30" customHeight="1"/>
    <row r="23514" ht="30" customHeight="1"/>
    <row r="23515" ht="30" customHeight="1"/>
    <row r="23516" ht="30" customHeight="1"/>
    <row r="23517" ht="30" customHeight="1"/>
    <row r="23518" ht="30" customHeight="1"/>
    <row r="23519" ht="30" customHeight="1"/>
    <row r="23520" ht="30" customHeight="1"/>
    <row r="23521" ht="30" customHeight="1"/>
    <row r="23522" ht="30" customHeight="1"/>
    <row r="23523" ht="30" customHeight="1"/>
    <row r="23524" ht="30" customHeight="1"/>
    <row r="23525" ht="30" customHeight="1"/>
    <row r="23526" ht="30" customHeight="1"/>
    <row r="23527" ht="30" customHeight="1"/>
    <row r="23528" ht="30" customHeight="1"/>
    <row r="23529" ht="30" customHeight="1"/>
    <row r="23530" ht="30" customHeight="1"/>
    <row r="23531" ht="30" customHeight="1"/>
    <row r="23532" ht="30" customHeight="1"/>
    <row r="23533" ht="30" customHeight="1"/>
    <row r="23534" ht="30" customHeight="1"/>
    <row r="23535" ht="30" customHeight="1"/>
    <row r="23536" ht="30" customHeight="1"/>
    <row r="23537" ht="30" customHeight="1"/>
    <row r="23538" ht="30" customHeight="1"/>
    <row r="23539" ht="30" customHeight="1"/>
    <row r="23540" ht="30" customHeight="1"/>
    <row r="23541" ht="30" customHeight="1"/>
    <row r="23542" ht="30" customHeight="1"/>
    <row r="23543" ht="30" customHeight="1"/>
    <row r="23544" ht="30" customHeight="1"/>
    <row r="23545" ht="30" customHeight="1"/>
    <row r="23546" ht="30" customHeight="1"/>
    <row r="23547" ht="30" customHeight="1"/>
    <row r="23548" ht="30" customHeight="1"/>
    <row r="23549" ht="30" customHeight="1"/>
    <row r="23550" ht="30" customHeight="1"/>
    <row r="23551" ht="30" customHeight="1"/>
    <row r="23552" ht="30" customHeight="1"/>
    <row r="23553" ht="30" customHeight="1"/>
    <row r="23554" ht="30" customHeight="1"/>
    <row r="23555" ht="30" customHeight="1"/>
    <row r="23556" ht="30" customHeight="1"/>
    <row r="23557" ht="30" customHeight="1"/>
    <row r="23558" ht="30" customHeight="1"/>
    <row r="23559" ht="30" customHeight="1"/>
    <row r="23560" ht="30" customHeight="1"/>
    <row r="23561" ht="30" customHeight="1"/>
    <row r="23562" ht="30" customHeight="1"/>
    <row r="23563" ht="30" customHeight="1"/>
    <row r="23564" ht="30" customHeight="1"/>
    <row r="23565" ht="30" customHeight="1"/>
    <row r="23566" ht="30" customHeight="1"/>
    <row r="23567" ht="30" customHeight="1"/>
    <row r="23568" ht="30" customHeight="1"/>
    <row r="23569" ht="30" customHeight="1"/>
    <row r="23570" ht="30" customHeight="1"/>
    <row r="23571" ht="30" customHeight="1"/>
    <row r="23572" ht="30" customHeight="1"/>
    <row r="23573" ht="30" customHeight="1"/>
    <row r="23574" ht="30" customHeight="1"/>
    <row r="23575" ht="30" customHeight="1"/>
    <row r="23576" ht="30" customHeight="1"/>
    <row r="23577" ht="30" customHeight="1"/>
    <row r="23578" ht="30" customHeight="1"/>
    <row r="23579" ht="30" customHeight="1"/>
    <row r="23580" ht="30" customHeight="1"/>
    <row r="23581" ht="30" customHeight="1"/>
    <row r="23582" ht="30" customHeight="1"/>
    <row r="23583" ht="30" customHeight="1"/>
    <row r="23584" ht="30" customHeight="1"/>
    <row r="23585" ht="30" customHeight="1"/>
    <row r="23586" ht="30" customHeight="1"/>
    <row r="23587" ht="30" customHeight="1"/>
    <row r="23588" ht="30" customHeight="1"/>
    <row r="23589" ht="30" customHeight="1"/>
    <row r="23590" ht="30" customHeight="1"/>
    <row r="23591" ht="30" customHeight="1"/>
    <row r="23592" ht="30" customHeight="1"/>
    <row r="23593" ht="30" customHeight="1"/>
    <row r="23594" ht="30" customHeight="1"/>
    <row r="23595" ht="30" customHeight="1"/>
    <row r="23596" ht="30" customHeight="1"/>
    <row r="23597" ht="30" customHeight="1"/>
    <row r="23598" ht="30" customHeight="1"/>
    <row r="23599" ht="30" customHeight="1"/>
    <row r="23600" ht="30" customHeight="1"/>
    <row r="23601" ht="30" customHeight="1"/>
    <row r="23602" ht="30" customHeight="1"/>
    <row r="23603" ht="30" customHeight="1"/>
    <row r="23604" ht="30" customHeight="1"/>
    <row r="23605" ht="30" customHeight="1"/>
    <row r="23606" ht="30" customHeight="1"/>
    <row r="23607" ht="30" customHeight="1"/>
    <row r="23608" ht="30" customHeight="1"/>
    <row r="23609" ht="30" customHeight="1"/>
    <row r="23610" ht="30" customHeight="1"/>
    <row r="23611" ht="30" customHeight="1"/>
    <row r="23612" ht="30" customHeight="1"/>
    <row r="23613" ht="30" customHeight="1"/>
    <row r="23614" ht="30" customHeight="1"/>
    <row r="23615" ht="30" customHeight="1"/>
    <row r="23616" ht="30" customHeight="1"/>
    <row r="23617" ht="30" customHeight="1"/>
    <row r="23618" ht="30" customHeight="1"/>
    <row r="23619" ht="30" customHeight="1"/>
    <row r="23620" ht="30" customHeight="1"/>
    <row r="23621" ht="30" customHeight="1"/>
    <row r="23622" ht="30" customHeight="1"/>
    <row r="23623" ht="30" customHeight="1"/>
    <row r="23624" ht="30" customHeight="1"/>
    <row r="23625" ht="30" customHeight="1"/>
    <row r="23626" ht="30" customHeight="1"/>
    <row r="23627" ht="30" customHeight="1"/>
    <row r="23628" ht="30" customHeight="1"/>
    <row r="23629" ht="30" customHeight="1"/>
    <row r="23630" ht="30" customHeight="1"/>
    <row r="23631" ht="30" customHeight="1"/>
    <row r="23632" ht="30" customHeight="1"/>
    <row r="23633" ht="30" customHeight="1"/>
    <row r="23634" ht="30" customHeight="1"/>
    <row r="23635" ht="30" customHeight="1"/>
    <row r="23636" ht="30" customHeight="1"/>
    <row r="23637" ht="30" customHeight="1"/>
    <row r="23638" ht="30" customHeight="1"/>
    <row r="23639" ht="30" customHeight="1"/>
    <row r="23640" ht="30" customHeight="1"/>
    <row r="23641" ht="30" customHeight="1"/>
    <row r="23642" ht="30" customHeight="1"/>
    <row r="23643" ht="30" customHeight="1"/>
    <row r="23644" ht="30" customHeight="1"/>
    <row r="23645" ht="30" customHeight="1"/>
    <row r="23646" ht="30" customHeight="1"/>
    <row r="23647" ht="30" customHeight="1"/>
    <row r="23648" ht="30" customHeight="1"/>
    <row r="23649" ht="30" customHeight="1"/>
    <row r="23650" ht="30" customHeight="1"/>
    <row r="23651" ht="30" customHeight="1"/>
    <row r="23652" ht="30" customHeight="1"/>
    <row r="23653" ht="30" customHeight="1"/>
    <row r="23654" ht="30" customHeight="1"/>
    <row r="23655" ht="30" customHeight="1"/>
    <row r="23656" ht="30" customHeight="1"/>
    <row r="23657" ht="30" customHeight="1"/>
    <row r="23658" ht="30" customHeight="1"/>
    <row r="23659" ht="30" customHeight="1"/>
    <row r="23660" ht="30" customHeight="1"/>
    <row r="23661" ht="30" customHeight="1"/>
    <row r="23662" ht="30" customHeight="1"/>
    <row r="23663" ht="30" customHeight="1"/>
    <row r="23664" ht="30" customHeight="1"/>
    <row r="23665" ht="30" customHeight="1"/>
    <row r="23666" ht="30" customHeight="1"/>
    <row r="23667" ht="30" customHeight="1"/>
    <row r="23668" ht="30" customHeight="1"/>
    <row r="23669" ht="30" customHeight="1"/>
    <row r="23670" ht="30" customHeight="1"/>
    <row r="23671" ht="30" customHeight="1"/>
    <row r="23672" ht="30" customHeight="1"/>
    <row r="23673" ht="30" customHeight="1"/>
    <row r="23674" ht="30" customHeight="1"/>
    <row r="23675" ht="30" customHeight="1"/>
    <row r="23676" ht="30" customHeight="1"/>
    <row r="23677" ht="30" customHeight="1"/>
    <row r="23678" ht="30" customHeight="1"/>
    <row r="23679" ht="30" customHeight="1"/>
    <row r="23680" ht="30" customHeight="1"/>
    <row r="23681" ht="30" customHeight="1"/>
    <row r="23682" ht="30" customHeight="1"/>
    <row r="23683" ht="30" customHeight="1"/>
    <row r="23684" ht="30" customHeight="1"/>
    <row r="23685" ht="30" customHeight="1"/>
    <row r="23686" ht="30" customHeight="1"/>
    <row r="23687" ht="30" customHeight="1"/>
    <row r="23688" ht="30" customHeight="1"/>
    <row r="23689" ht="30" customHeight="1"/>
    <row r="23690" ht="30" customHeight="1"/>
    <row r="23691" ht="30" customHeight="1"/>
    <row r="23692" ht="30" customHeight="1"/>
    <row r="23693" ht="30" customHeight="1"/>
    <row r="23694" ht="30" customHeight="1"/>
    <row r="23695" ht="30" customHeight="1"/>
    <row r="23696" ht="30" customHeight="1"/>
    <row r="23697" ht="30" customHeight="1"/>
    <row r="23698" ht="30" customHeight="1"/>
    <row r="23699" ht="30" customHeight="1"/>
    <row r="23700" ht="30" customHeight="1"/>
    <row r="23701" ht="30" customHeight="1"/>
    <row r="23702" ht="30" customHeight="1"/>
    <row r="23703" ht="30" customHeight="1"/>
    <row r="23704" ht="30" customHeight="1"/>
    <row r="23705" ht="30" customHeight="1"/>
    <row r="23706" ht="30" customHeight="1"/>
    <row r="23707" ht="30" customHeight="1"/>
    <row r="23708" ht="30" customHeight="1"/>
    <row r="23709" ht="30" customHeight="1"/>
    <row r="23710" ht="30" customHeight="1"/>
    <row r="23711" ht="30" customHeight="1"/>
    <row r="23712" ht="30" customHeight="1"/>
    <row r="23713" ht="30" customHeight="1"/>
    <row r="23714" ht="30" customHeight="1"/>
    <row r="23715" ht="30" customHeight="1"/>
    <row r="23716" ht="30" customHeight="1"/>
    <row r="23717" ht="30" customHeight="1"/>
    <row r="23718" ht="30" customHeight="1"/>
    <row r="23719" ht="30" customHeight="1"/>
    <row r="23720" ht="30" customHeight="1"/>
    <row r="23721" ht="30" customHeight="1"/>
    <row r="23722" ht="30" customHeight="1"/>
    <row r="23723" ht="30" customHeight="1"/>
    <row r="23724" ht="30" customHeight="1"/>
    <row r="23725" ht="30" customHeight="1"/>
    <row r="23726" ht="30" customHeight="1"/>
    <row r="23727" ht="30" customHeight="1"/>
    <row r="23728" ht="30" customHeight="1"/>
    <row r="23729" ht="30" customHeight="1"/>
    <row r="23730" ht="30" customHeight="1"/>
    <row r="23731" ht="30" customHeight="1"/>
    <row r="23732" ht="30" customHeight="1"/>
    <row r="23733" ht="30" customHeight="1"/>
    <row r="23734" ht="30" customHeight="1"/>
    <row r="23735" ht="30" customHeight="1"/>
    <row r="23736" ht="30" customHeight="1"/>
    <row r="23737" ht="30" customHeight="1"/>
    <row r="23738" ht="30" customHeight="1"/>
    <row r="23739" ht="30" customHeight="1"/>
    <row r="23740" ht="30" customHeight="1"/>
    <row r="23741" ht="30" customHeight="1"/>
    <row r="23742" ht="30" customHeight="1"/>
    <row r="23743" ht="30" customHeight="1"/>
    <row r="23744" ht="30" customHeight="1"/>
    <row r="23745" ht="30" customHeight="1"/>
    <row r="23746" ht="30" customHeight="1"/>
    <row r="23747" ht="30" customHeight="1"/>
    <row r="23748" ht="30" customHeight="1"/>
    <row r="23749" ht="30" customHeight="1"/>
    <row r="23750" ht="30" customHeight="1"/>
    <row r="23751" ht="30" customHeight="1"/>
    <row r="23752" ht="30" customHeight="1"/>
    <row r="23753" ht="30" customHeight="1"/>
    <row r="23754" ht="30" customHeight="1"/>
    <row r="23755" ht="30" customHeight="1"/>
    <row r="23756" ht="30" customHeight="1"/>
    <row r="23757" ht="30" customHeight="1"/>
    <row r="23758" ht="30" customHeight="1"/>
    <row r="23759" ht="30" customHeight="1"/>
    <row r="23760" ht="30" customHeight="1"/>
    <row r="23761" ht="30" customHeight="1"/>
    <row r="23762" ht="30" customHeight="1"/>
    <row r="23763" ht="30" customHeight="1"/>
    <row r="23764" ht="30" customHeight="1"/>
    <row r="23765" ht="30" customHeight="1"/>
    <row r="23766" ht="30" customHeight="1"/>
    <row r="23767" ht="30" customHeight="1"/>
    <row r="23768" ht="30" customHeight="1"/>
    <row r="23769" ht="30" customHeight="1"/>
    <row r="23770" ht="30" customHeight="1"/>
    <row r="23771" ht="30" customHeight="1"/>
    <row r="23772" ht="30" customHeight="1"/>
    <row r="23773" ht="30" customHeight="1"/>
    <row r="23774" ht="30" customHeight="1"/>
    <row r="23775" ht="30" customHeight="1"/>
    <row r="23776" ht="30" customHeight="1"/>
    <row r="23777" ht="30" customHeight="1"/>
    <row r="23778" ht="30" customHeight="1"/>
    <row r="23779" ht="30" customHeight="1"/>
    <row r="23780" ht="30" customHeight="1"/>
    <row r="23781" ht="30" customHeight="1"/>
    <row r="23782" ht="30" customHeight="1"/>
    <row r="23783" ht="30" customHeight="1"/>
    <row r="23784" ht="30" customHeight="1"/>
    <row r="23785" ht="30" customHeight="1"/>
    <row r="23786" ht="30" customHeight="1"/>
    <row r="23787" ht="30" customHeight="1"/>
    <row r="23788" ht="30" customHeight="1"/>
    <row r="23789" ht="30" customHeight="1"/>
    <row r="23790" ht="30" customHeight="1"/>
    <row r="23791" ht="30" customHeight="1"/>
    <row r="23792" ht="30" customHeight="1"/>
    <row r="23793" ht="30" customHeight="1"/>
    <row r="23794" ht="30" customHeight="1"/>
    <row r="23795" ht="30" customHeight="1"/>
    <row r="23796" ht="30" customHeight="1"/>
    <row r="23797" ht="30" customHeight="1"/>
    <row r="23798" ht="30" customHeight="1"/>
    <row r="23799" ht="30" customHeight="1"/>
    <row r="23800" ht="30" customHeight="1"/>
    <row r="23801" ht="30" customHeight="1"/>
    <row r="23802" ht="30" customHeight="1"/>
    <row r="23803" ht="30" customHeight="1"/>
    <row r="23804" ht="30" customHeight="1"/>
    <row r="23805" ht="30" customHeight="1"/>
    <row r="23806" ht="30" customHeight="1"/>
    <row r="23807" ht="30" customHeight="1"/>
    <row r="23808" ht="30" customHeight="1"/>
    <row r="23809" ht="30" customHeight="1"/>
    <row r="23810" ht="30" customHeight="1"/>
    <row r="23811" ht="30" customHeight="1"/>
    <row r="23812" ht="30" customHeight="1"/>
    <row r="23813" ht="30" customHeight="1"/>
    <row r="23814" ht="30" customHeight="1"/>
    <row r="23815" ht="30" customHeight="1"/>
    <row r="23816" ht="30" customHeight="1"/>
    <row r="23817" ht="30" customHeight="1"/>
    <row r="23818" ht="30" customHeight="1"/>
    <row r="23819" ht="30" customHeight="1"/>
    <row r="23820" ht="30" customHeight="1"/>
    <row r="23821" ht="30" customHeight="1"/>
    <row r="23822" ht="30" customHeight="1"/>
    <row r="23823" ht="30" customHeight="1"/>
    <row r="23824" ht="30" customHeight="1"/>
    <row r="23825" ht="30" customHeight="1"/>
    <row r="23826" ht="30" customHeight="1"/>
    <row r="23827" ht="30" customHeight="1"/>
    <row r="23828" ht="30" customHeight="1"/>
    <row r="23829" ht="30" customHeight="1"/>
    <row r="23830" ht="30" customHeight="1"/>
    <row r="23831" ht="30" customHeight="1"/>
    <row r="23832" ht="30" customHeight="1"/>
    <row r="23833" ht="30" customHeight="1"/>
    <row r="23834" ht="30" customHeight="1"/>
    <row r="23835" ht="30" customHeight="1"/>
    <row r="23836" ht="30" customHeight="1"/>
    <row r="23837" ht="30" customHeight="1"/>
    <row r="23838" ht="30" customHeight="1"/>
    <row r="23839" ht="30" customHeight="1"/>
    <row r="23840" ht="30" customHeight="1"/>
    <row r="23841" ht="30" customHeight="1"/>
    <row r="23842" ht="30" customHeight="1"/>
    <row r="23843" ht="30" customHeight="1"/>
    <row r="23844" ht="30" customHeight="1"/>
    <row r="23845" ht="30" customHeight="1"/>
    <row r="23846" ht="30" customHeight="1"/>
    <row r="23847" ht="30" customHeight="1"/>
    <row r="23848" ht="30" customHeight="1"/>
    <row r="23849" ht="30" customHeight="1"/>
    <row r="23850" ht="30" customHeight="1"/>
    <row r="23851" ht="30" customHeight="1"/>
    <row r="23852" ht="30" customHeight="1"/>
    <row r="23853" ht="30" customHeight="1"/>
    <row r="23854" ht="30" customHeight="1"/>
    <row r="23855" ht="30" customHeight="1"/>
    <row r="23856" ht="30" customHeight="1"/>
    <row r="23857" ht="30" customHeight="1"/>
    <row r="23858" ht="30" customHeight="1"/>
    <row r="23859" ht="30" customHeight="1"/>
    <row r="23860" ht="30" customHeight="1"/>
    <row r="23861" ht="30" customHeight="1"/>
    <row r="23862" ht="30" customHeight="1"/>
    <row r="23863" ht="30" customHeight="1"/>
    <row r="23864" ht="30" customHeight="1"/>
    <row r="23865" ht="30" customHeight="1"/>
    <row r="23866" ht="30" customHeight="1"/>
    <row r="23867" ht="30" customHeight="1"/>
    <row r="23868" ht="30" customHeight="1"/>
    <row r="23869" ht="30" customHeight="1"/>
    <row r="23870" ht="30" customHeight="1"/>
    <row r="23871" ht="30" customHeight="1"/>
    <row r="23872" ht="30" customHeight="1"/>
    <row r="23873" ht="30" customHeight="1"/>
    <row r="23874" ht="30" customHeight="1"/>
    <row r="23875" ht="30" customHeight="1"/>
    <row r="23876" ht="30" customHeight="1"/>
    <row r="23877" ht="30" customHeight="1"/>
    <row r="23878" ht="30" customHeight="1"/>
    <row r="23879" ht="30" customHeight="1"/>
    <row r="23880" ht="30" customHeight="1"/>
    <row r="23881" ht="30" customHeight="1"/>
    <row r="23882" ht="30" customHeight="1"/>
    <row r="23883" ht="30" customHeight="1"/>
    <row r="23884" ht="30" customHeight="1"/>
    <row r="23885" ht="30" customHeight="1"/>
    <row r="23886" ht="30" customHeight="1"/>
    <row r="23887" ht="30" customHeight="1"/>
    <row r="23888" ht="30" customHeight="1"/>
    <row r="23889" ht="30" customHeight="1"/>
    <row r="23890" ht="30" customHeight="1"/>
    <row r="23891" ht="30" customHeight="1"/>
    <row r="23892" ht="30" customHeight="1"/>
    <row r="23893" ht="30" customHeight="1"/>
    <row r="23894" ht="30" customHeight="1"/>
    <row r="23895" ht="30" customHeight="1"/>
    <row r="23896" ht="30" customHeight="1"/>
    <row r="23897" ht="30" customHeight="1"/>
    <row r="23898" ht="30" customHeight="1"/>
    <row r="23899" ht="30" customHeight="1"/>
    <row r="23900" ht="30" customHeight="1"/>
    <row r="23901" ht="30" customHeight="1"/>
    <row r="23902" ht="30" customHeight="1"/>
    <row r="23903" ht="30" customHeight="1"/>
    <row r="23904" ht="30" customHeight="1"/>
    <row r="23905" ht="30" customHeight="1"/>
    <row r="23906" ht="30" customHeight="1"/>
    <row r="23907" ht="30" customHeight="1"/>
    <row r="23908" ht="30" customHeight="1"/>
    <row r="23909" ht="30" customHeight="1"/>
    <row r="23910" ht="30" customHeight="1"/>
    <row r="23911" ht="30" customHeight="1"/>
    <row r="23912" ht="30" customHeight="1"/>
    <row r="23913" ht="30" customHeight="1"/>
    <row r="23914" ht="30" customHeight="1"/>
    <row r="23915" ht="30" customHeight="1"/>
    <row r="23916" ht="30" customHeight="1"/>
    <row r="23917" ht="30" customHeight="1"/>
    <row r="23918" ht="30" customHeight="1"/>
    <row r="23919" ht="30" customHeight="1"/>
    <row r="23920" ht="30" customHeight="1"/>
    <row r="23921" ht="30" customHeight="1"/>
    <row r="23922" ht="30" customHeight="1"/>
    <row r="23923" ht="30" customHeight="1"/>
    <row r="23924" ht="30" customHeight="1"/>
    <row r="23925" ht="30" customHeight="1"/>
    <row r="23926" ht="30" customHeight="1"/>
    <row r="23927" ht="30" customHeight="1"/>
    <row r="23928" ht="30" customHeight="1"/>
    <row r="23929" ht="30" customHeight="1"/>
    <row r="23930" ht="30" customHeight="1"/>
    <row r="23931" ht="30" customHeight="1"/>
    <row r="23932" ht="30" customHeight="1"/>
    <row r="23933" ht="30" customHeight="1"/>
    <row r="23934" ht="30" customHeight="1"/>
    <row r="23935" ht="30" customHeight="1"/>
    <row r="23936" ht="30" customHeight="1"/>
    <row r="23937" ht="30" customHeight="1"/>
    <row r="23938" ht="30" customHeight="1"/>
    <row r="23939" ht="30" customHeight="1"/>
    <row r="23940" ht="30" customHeight="1"/>
    <row r="23941" ht="30" customHeight="1"/>
    <row r="23942" ht="30" customHeight="1"/>
    <row r="23943" ht="30" customHeight="1"/>
    <row r="23944" ht="30" customHeight="1"/>
    <row r="23945" ht="30" customHeight="1"/>
    <row r="23946" ht="30" customHeight="1"/>
    <row r="23947" ht="30" customHeight="1"/>
    <row r="23948" ht="30" customHeight="1"/>
    <row r="23949" ht="30" customHeight="1"/>
    <row r="23950" ht="30" customHeight="1"/>
    <row r="23951" ht="30" customHeight="1"/>
    <row r="23952" ht="30" customHeight="1"/>
    <row r="23953" ht="30" customHeight="1"/>
    <row r="23954" ht="30" customHeight="1"/>
    <row r="23955" ht="30" customHeight="1"/>
    <row r="23956" ht="30" customHeight="1"/>
    <row r="23957" ht="30" customHeight="1"/>
    <row r="23958" ht="30" customHeight="1"/>
    <row r="23959" ht="30" customHeight="1"/>
    <row r="23960" ht="30" customHeight="1"/>
    <row r="23961" ht="30" customHeight="1"/>
    <row r="23962" ht="30" customHeight="1"/>
    <row r="23963" ht="30" customHeight="1"/>
    <row r="23964" ht="30" customHeight="1"/>
    <row r="23965" ht="30" customHeight="1"/>
    <row r="23966" ht="30" customHeight="1"/>
    <row r="23967" ht="30" customHeight="1"/>
    <row r="23968" ht="30" customHeight="1"/>
    <row r="23969" ht="30" customHeight="1"/>
    <row r="23970" ht="30" customHeight="1"/>
    <row r="23971" ht="30" customHeight="1"/>
    <row r="23972" ht="30" customHeight="1"/>
    <row r="23973" ht="30" customHeight="1"/>
    <row r="23974" ht="30" customHeight="1"/>
    <row r="23975" ht="30" customHeight="1"/>
    <row r="23976" ht="30" customHeight="1"/>
    <row r="23977" ht="30" customHeight="1"/>
    <row r="23978" ht="30" customHeight="1"/>
    <row r="23979" ht="30" customHeight="1"/>
    <row r="23980" ht="30" customHeight="1"/>
    <row r="23981" ht="30" customHeight="1"/>
    <row r="23982" ht="30" customHeight="1"/>
    <row r="23983" ht="30" customHeight="1"/>
    <row r="23984" ht="30" customHeight="1"/>
    <row r="23985" ht="30" customHeight="1"/>
    <row r="23986" ht="30" customHeight="1"/>
    <row r="23987" ht="30" customHeight="1"/>
    <row r="23988" ht="30" customHeight="1"/>
    <row r="23989" ht="30" customHeight="1"/>
    <row r="23990" ht="30" customHeight="1"/>
    <row r="23991" ht="30" customHeight="1"/>
    <row r="23992" ht="30" customHeight="1"/>
    <row r="23993" ht="30" customHeight="1"/>
    <row r="23994" ht="30" customHeight="1"/>
    <row r="23995" ht="30" customHeight="1"/>
    <row r="23996" ht="30" customHeight="1"/>
    <row r="23997" ht="30" customHeight="1"/>
    <row r="23998" ht="30" customHeight="1"/>
    <row r="23999" ht="30" customHeight="1"/>
    <row r="24000" ht="30" customHeight="1"/>
    <row r="24001" ht="30" customHeight="1"/>
    <row r="24002" ht="30" customHeight="1"/>
    <row r="24003" ht="30" customHeight="1"/>
    <row r="24004" ht="30" customHeight="1"/>
    <row r="24005" ht="30" customHeight="1"/>
    <row r="24006" ht="30" customHeight="1"/>
    <row r="24007" ht="30" customHeight="1"/>
    <row r="24008" ht="30" customHeight="1"/>
    <row r="24009" ht="30" customHeight="1"/>
    <row r="24010" ht="30" customHeight="1"/>
    <row r="24011" ht="30" customHeight="1"/>
    <row r="24012" ht="30" customHeight="1"/>
    <row r="24013" ht="30" customHeight="1"/>
    <row r="24014" ht="30" customHeight="1"/>
    <row r="24015" ht="30" customHeight="1"/>
    <row r="24016" ht="30" customHeight="1"/>
    <row r="24017" ht="30" customHeight="1"/>
    <row r="24018" ht="30" customHeight="1"/>
    <row r="24019" ht="30" customHeight="1"/>
    <row r="24020" ht="30" customHeight="1"/>
    <row r="24021" ht="30" customHeight="1"/>
    <row r="24022" ht="30" customHeight="1"/>
    <row r="24023" ht="30" customHeight="1"/>
    <row r="24024" ht="30" customHeight="1"/>
    <row r="24025" ht="30" customHeight="1"/>
    <row r="24026" ht="30" customHeight="1"/>
    <row r="24027" ht="30" customHeight="1"/>
    <row r="24028" ht="30" customHeight="1"/>
    <row r="24029" ht="30" customHeight="1"/>
    <row r="24030" ht="30" customHeight="1"/>
    <row r="24031" ht="30" customHeight="1"/>
    <row r="24032" ht="30" customHeight="1"/>
    <row r="24033" ht="30" customHeight="1"/>
    <row r="24034" ht="30" customHeight="1"/>
    <row r="24035" ht="30" customHeight="1"/>
    <row r="24036" ht="30" customHeight="1"/>
    <row r="24037" ht="30" customHeight="1"/>
    <row r="24038" ht="30" customHeight="1"/>
    <row r="24039" ht="30" customHeight="1"/>
    <row r="24040" ht="30" customHeight="1"/>
    <row r="24041" ht="30" customHeight="1"/>
    <row r="24042" ht="30" customHeight="1"/>
    <row r="24043" ht="30" customHeight="1"/>
    <row r="24044" ht="30" customHeight="1"/>
    <row r="24045" ht="30" customHeight="1"/>
    <row r="24046" ht="30" customHeight="1"/>
    <row r="24047" ht="30" customHeight="1"/>
    <row r="24048" ht="30" customHeight="1"/>
    <row r="24049" ht="30" customHeight="1"/>
    <row r="24050" ht="30" customHeight="1"/>
    <row r="24051" ht="30" customHeight="1"/>
    <row r="24052" ht="30" customHeight="1"/>
    <row r="24053" ht="30" customHeight="1"/>
    <row r="24054" ht="30" customHeight="1"/>
    <row r="24055" ht="30" customHeight="1"/>
    <row r="24056" ht="30" customHeight="1"/>
    <row r="24057" ht="30" customHeight="1"/>
    <row r="24058" ht="30" customHeight="1"/>
    <row r="24059" ht="30" customHeight="1"/>
    <row r="24060" ht="30" customHeight="1"/>
    <row r="24061" ht="30" customHeight="1"/>
    <row r="24062" ht="30" customHeight="1"/>
    <row r="24063" ht="30" customHeight="1"/>
    <row r="24064" ht="30" customHeight="1"/>
    <row r="24065" ht="30" customHeight="1"/>
    <row r="24066" ht="30" customHeight="1"/>
    <row r="24067" ht="30" customHeight="1"/>
    <row r="24068" ht="30" customHeight="1"/>
    <row r="24069" ht="30" customHeight="1"/>
    <row r="24070" ht="30" customHeight="1"/>
    <row r="24071" ht="30" customHeight="1"/>
    <row r="24072" ht="30" customHeight="1"/>
    <row r="24073" ht="30" customHeight="1"/>
    <row r="24074" ht="30" customHeight="1"/>
    <row r="24075" ht="30" customHeight="1"/>
    <row r="24076" ht="30" customHeight="1"/>
    <row r="24077" ht="30" customHeight="1"/>
    <row r="24078" ht="30" customHeight="1"/>
    <row r="24079" ht="30" customHeight="1"/>
    <row r="24080" ht="30" customHeight="1"/>
    <row r="24081" ht="30" customHeight="1"/>
    <row r="24082" ht="30" customHeight="1"/>
    <row r="24083" ht="30" customHeight="1"/>
    <row r="24084" ht="30" customHeight="1"/>
    <row r="24085" ht="30" customHeight="1"/>
    <row r="24086" ht="30" customHeight="1"/>
    <row r="24087" ht="30" customHeight="1"/>
    <row r="24088" ht="30" customHeight="1"/>
    <row r="24089" ht="30" customHeight="1"/>
    <row r="24090" ht="30" customHeight="1"/>
    <row r="24091" ht="30" customHeight="1"/>
    <row r="24092" ht="30" customHeight="1"/>
    <row r="24093" ht="30" customHeight="1"/>
    <row r="24094" ht="30" customHeight="1"/>
    <row r="24095" ht="30" customHeight="1"/>
    <row r="24096" ht="30" customHeight="1"/>
    <row r="24097" ht="30" customHeight="1"/>
    <row r="24098" ht="30" customHeight="1"/>
    <row r="24099" ht="30" customHeight="1"/>
    <row r="24100" ht="30" customHeight="1"/>
    <row r="24101" ht="30" customHeight="1"/>
    <row r="24102" ht="30" customHeight="1"/>
    <row r="24103" ht="30" customHeight="1"/>
    <row r="24104" ht="30" customHeight="1"/>
    <row r="24105" ht="30" customHeight="1"/>
    <row r="24106" ht="30" customHeight="1"/>
    <row r="24107" ht="30" customHeight="1"/>
    <row r="24108" ht="30" customHeight="1"/>
    <row r="24109" ht="30" customHeight="1"/>
    <row r="24110" ht="30" customHeight="1"/>
    <row r="24111" ht="30" customHeight="1"/>
    <row r="24112" ht="30" customHeight="1"/>
    <row r="24113" ht="30" customHeight="1"/>
    <row r="24114" ht="30" customHeight="1"/>
    <row r="24115" ht="30" customHeight="1"/>
    <row r="24116" ht="30" customHeight="1"/>
    <row r="24117" ht="30" customHeight="1"/>
    <row r="24118" ht="30" customHeight="1"/>
    <row r="24119" ht="30" customHeight="1"/>
    <row r="24120" ht="30" customHeight="1"/>
    <row r="24121" ht="30" customHeight="1"/>
    <row r="24122" ht="30" customHeight="1"/>
    <row r="24123" ht="30" customHeight="1"/>
    <row r="24124" ht="30" customHeight="1"/>
    <row r="24125" ht="30" customHeight="1"/>
    <row r="24126" ht="30" customHeight="1"/>
    <row r="24127" ht="30" customHeight="1"/>
    <row r="24128" ht="30" customHeight="1"/>
    <row r="24129" ht="30" customHeight="1"/>
    <row r="24130" ht="30" customHeight="1"/>
    <row r="24131" ht="30" customHeight="1"/>
    <row r="24132" ht="30" customHeight="1"/>
    <row r="24133" ht="30" customHeight="1"/>
    <row r="24134" ht="30" customHeight="1"/>
    <row r="24135" ht="30" customHeight="1"/>
    <row r="24136" ht="30" customHeight="1"/>
    <row r="24137" ht="30" customHeight="1"/>
    <row r="24138" ht="30" customHeight="1"/>
    <row r="24139" ht="30" customHeight="1"/>
    <row r="24140" ht="30" customHeight="1"/>
    <row r="24141" ht="30" customHeight="1"/>
    <row r="24142" ht="30" customHeight="1"/>
    <row r="24143" ht="30" customHeight="1"/>
    <row r="24144" ht="30" customHeight="1"/>
    <row r="24145" ht="30" customHeight="1"/>
    <row r="24146" ht="30" customHeight="1"/>
    <row r="24147" ht="30" customHeight="1"/>
    <row r="24148" ht="30" customHeight="1"/>
    <row r="24149" ht="30" customHeight="1"/>
    <row r="24150" ht="30" customHeight="1"/>
    <row r="24151" ht="30" customHeight="1"/>
    <row r="24152" ht="30" customHeight="1"/>
    <row r="24153" ht="30" customHeight="1"/>
    <row r="24154" ht="30" customHeight="1"/>
    <row r="24155" ht="30" customHeight="1"/>
    <row r="24156" ht="30" customHeight="1"/>
    <row r="24157" ht="30" customHeight="1"/>
    <row r="24158" ht="30" customHeight="1"/>
    <row r="24159" ht="30" customHeight="1"/>
    <row r="24160" ht="30" customHeight="1"/>
    <row r="24161" ht="30" customHeight="1"/>
    <row r="24162" ht="30" customHeight="1"/>
    <row r="24163" ht="30" customHeight="1"/>
    <row r="24164" ht="30" customHeight="1"/>
    <row r="24165" ht="30" customHeight="1"/>
    <row r="24166" ht="30" customHeight="1"/>
    <row r="24167" ht="30" customHeight="1"/>
    <row r="24168" ht="30" customHeight="1"/>
    <row r="24169" ht="30" customHeight="1"/>
    <row r="24170" ht="30" customHeight="1"/>
    <row r="24171" ht="30" customHeight="1"/>
    <row r="24172" ht="30" customHeight="1"/>
    <row r="24173" ht="30" customHeight="1"/>
    <row r="24174" ht="30" customHeight="1"/>
    <row r="24175" ht="30" customHeight="1"/>
    <row r="24176" ht="30" customHeight="1"/>
    <row r="24177" ht="30" customHeight="1"/>
    <row r="24178" ht="30" customHeight="1"/>
    <row r="24179" ht="30" customHeight="1"/>
    <row r="24180" ht="30" customHeight="1"/>
    <row r="24181" ht="30" customHeight="1"/>
    <row r="24182" ht="30" customHeight="1"/>
    <row r="24183" ht="30" customHeight="1"/>
    <row r="24184" ht="30" customHeight="1"/>
    <row r="24185" ht="30" customHeight="1"/>
    <row r="24186" ht="30" customHeight="1"/>
    <row r="24187" ht="30" customHeight="1"/>
    <row r="24188" ht="30" customHeight="1"/>
    <row r="24189" ht="30" customHeight="1"/>
    <row r="24190" ht="30" customHeight="1"/>
    <row r="24191" ht="30" customHeight="1"/>
    <row r="24192" ht="30" customHeight="1"/>
    <row r="24193" ht="30" customHeight="1"/>
    <row r="24194" ht="30" customHeight="1"/>
    <row r="24195" ht="30" customHeight="1"/>
    <row r="24196" ht="30" customHeight="1"/>
    <row r="24197" ht="30" customHeight="1"/>
    <row r="24198" ht="30" customHeight="1"/>
    <row r="24199" ht="30" customHeight="1"/>
    <row r="24200" ht="30" customHeight="1"/>
    <row r="24201" ht="30" customHeight="1"/>
    <row r="24202" ht="30" customHeight="1"/>
    <row r="24203" ht="30" customHeight="1"/>
    <row r="24204" ht="30" customHeight="1"/>
    <row r="24205" ht="30" customHeight="1"/>
    <row r="24206" ht="30" customHeight="1"/>
    <row r="24207" ht="30" customHeight="1"/>
    <row r="24208" ht="30" customHeight="1"/>
    <row r="24209" ht="30" customHeight="1"/>
    <row r="24210" ht="30" customHeight="1"/>
    <row r="24211" ht="30" customHeight="1"/>
    <row r="24212" ht="30" customHeight="1"/>
    <row r="24213" ht="30" customHeight="1"/>
    <row r="24214" ht="30" customHeight="1"/>
    <row r="24215" ht="30" customHeight="1"/>
    <row r="24216" ht="30" customHeight="1"/>
    <row r="24217" ht="30" customHeight="1"/>
    <row r="24218" ht="30" customHeight="1"/>
    <row r="24219" ht="30" customHeight="1"/>
    <row r="24220" ht="30" customHeight="1"/>
    <row r="24221" ht="30" customHeight="1"/>
    <row r="24222" ht="30" customHeight="1"/>
    <row r="24223" ht="30" customHeight="1"/>
    <row r="24224" ht="30" customHeight="1"/>
    <row r="24225" ht="30" customHeight="1"/>
    <row r="24226" ht="30" customHeight="1"/>
    <row r="24227" ht="30" customHeight="1"/>
    <row r="24228" ht="30" customHeight="1"/>
    <row r="24229" ht="30" customHeight="1"/>
    <row r="24230" ht="30" customHeight="1"/>
    <row r="24231" ht="30" customHeight="1"/>
    <row r="24232" ht="30" customHeight="1"/>
    <row r="24233" ht="30" customHeight="1"/>
    <row r="24234" ht="30" customHeight="1"/>
    <row r="24235" ht="30" customHeight="1"/>
    <row r="24236" ht="30" customHeight="1"/>
    <row r="24237" ht="30" customHeight="1"/>
    <row r="24238" ht="30" customHeight="1"/>
    <row r="24239" ht="30" customHeight="1"/>
    <row r="24240" ht="30" customHeight="1"/>
    <row r="24241" ht="30" customHeight="1"/>
    <row r="24242" ht="30" customHeight="1"/>
    <row r="24243" ht="30" customHeight="1"/>
    <row r="24244" ht="30" customHeight="1"/>
    <row r="24245" ht="30" customHeight="1"/>
    <row r="24246" ht="30" customHeight="1"/>
    <row r="24247" ht="30" customHeight="1"/>
    <row r="24248" ht="30" customHeight="1"/>
    <row r="24249" ht="30" customHeight="1"/>
    <row r="24250" ht="30" customHeight="1"/>
    <row r="24251" ht="30" customHeight="1"/>
    <row r="24252" ht="30" customHeight="1"/>
    <row r="24253" ht="30" customHeight="1"/>
    <row r="24254" ht="30" customHeight="1"/>
    <row r="24255" ht="30" customHeight="1"/>
    <row r="24256" ht="30" customHeight="1"/>
    <row r="24257" ht="30" customHeight="1"/>
    <row r="24258" ht="30" customHeight="1"/>
    <row r="24259" ht="30" customHeight="1"/>
    <row r="24260" ht="30" customHeight="1"/>
    <row r="24261" ht="30" customHeight="1"/>
    <row r="24262" ht="30" customHeight="1"/>
    <row r="24263" ht="30" customHeight="1"/>
    <row r="24264" ht="30" customHeight="1"/>
    <row r="24265" ht="30" customHeight="1"/>
    <row r="24266" ht="30" customHeight="1"/>
    <row r="24267" ht="30" customHeight="1"/>
    <row r="24268" ht="30" customHeight="1"/>
    <row r="24269" ht="30" customHeight="1"/>
    <row r="24270" ht="30" customHeight="1"/>
    <row r="24271" ht="30" customHeight="1"/>
    <row r="24272" ht="30" customHeight="1"/>
    <row r="24273" ht="30" customHeight="1"/>
    <row r="24274" ht="30" customHeight="1"/>
    <row r="24275" ht="30" customHeight="1"/>
    <row r="24276" ht="30" customHeight="1"/>
    <row r="24277" ht="30" customHeight="1"/>
    <row r="24278" ht="30" customHeight="1"/>
    <row r="24279" ht="30" customHeight="1"/>
    <row r="24280" ht="30" customHeight="1"/>
    <row r="24281" ht="30" customHeight="1"/>
    <row r="24282" ht="30" customHeight="1"/>
    <row r="24283" ht="30" customHeight="1"/>
    <row r="24284" ht="30" customHeight="1"/>
    <row r="24285" ht="30" customHeight="1"/>
    <row r="24286" ht="30" customHeight="1"/>
    <row r="24287" ht="30" customHeight="1"/>
    <row r="24288" ht="30" customHeight="1"/>
    <row r="24289" ht="30" customHeight="1"/>
    <row r="24290" ht="30" customHeight="1"/>
    <row r="24291" ht="30" customHeight="1"/>
    <row r="24292" ht="30" customHeight="1"/>
    <row r="24293" ht="30" customHeight="1"/>
    <row r="24294" ht="30" customHeight="1"/>
    <row r="24295" ht="30" customHeight="1"/>
    <row r="24296" ht="30" customHeight="1"/>
    <row r="24297" ht="30" customHeight="1"/>
    <row r="24298" ht="30" customHeight="1"/>
    <row r="24299" ht="30" customHeight="1"/>
    <row r="24300" ht="30" customHeight="1"/>
    <row r="24301" ht="30" customHeight="1"/>
    <row r="24302" ht="30" customHeight="1"/>
    <row r="24303" ht="30" customHeight="1"/>
    <row r="24304" ht="30" customHeight="1"/>
    <row r="24305" ht="30" customHeight="1"/>
    <row r="24306" ht="30" customHeight="1"/>
    <row r="24307" ht="30" customHeight="1"/>
    <row r="24308" ht="30" customHeight="1"/>
    <row r="24309" ht="30" customHeight="1"/>
    <row r="24310" ht="30" customHeight="1"/>
    <row r="24311" ht="30" customHeight="1"/>
    <row r="24312" ht="30" customHeight="1"/>
    <row r="24313" ht="30" customHeight="1"/>
    <row r="24314" ht="30" customHeight="1"/>
    <row r="24315" ht="30" customHeight="1"/>
    <row r="24316" ht="30" customHeight="1"/>
    <row r="24317" ht="30" customHeight="1"/>
    <row r="24318" ht="30" customHeight="1"/>
    <row r="24319" ht="30" customHeight="1"/>
    <row r="24320" ht="30" customHeight="1"/>
    <row r="24321" ht="30" customHeight="1"/>
    <row r="24322" ht="30" customHeight="1"/>
    <row r="24323" ht="30" customHeight="1"/>
    <row r="24324" ht="30" customHeight="1"/>
    <row r="24325" ht="30" customHeight="1"/>
    <row r="24326" ht="30" customHeight="1"/>
    <row r="24327" ht="30" customHeight="1"/>
    <row r="24328" ht="30" customHeight="1"/>
    <row r="24329" ht="30" customHeight="1"/>
    <row r="24330" ht="30" customHeight="1"/>
    <row r="24331" ht="30" customHeight="1"/>
    <row r="24332" ht="30" customHeight="1"/>
    <row r="24333" ht="30" customHeight="1"/>
    <row r="24334" ht="30" customHeight="1"/>
    <row r="24335" ht="30" customHeight="1"/>
    <row r="24336" ht="30" customHeight="1"/>
    <row r="24337" ht="30" customHeight="1"/>
    <row r="24338" ht="30" customHeight="1"/>
    <row r="24339" ht="30" customHeight="1"/>
    <row r="24340" ht="30" customHeight="1"/>
    <row r="24341" ht="30" customHeight="1"/>
    <row r="24342" ht="30" customHeight="1"/>
    <row r="24343" ht="30" customHeight="1"/>
    <row r="24344" ht="30" customHeight="1"/>
    <row r="24345" ht="30" customHeight="1"/>
    <row r="24346" ht="30" customHeight="1"/>
    <row r="24347" ht="30" customHeight="1"/>
    <row r="24348" ht="30" customHeight="1"/>
    <row r="24349" ht="30" customHeight="1"/>
    <row r="24350" ht="30" customHeight="1"/>
    <row r="24351" ht="30" customHeight="1"/>
    <row r="24352" ht="30" customHeight="1"/>
    <row r="24353" ht="30" customHeight="1"/>
    <row r="24354" ht="30" customHeight="1"/>
    <row r="24355" ht="30" customHeight="1"/>
    <row r="24356" ht="30" customHeight="1"/>
    <row r="24357" ht="30" customHeight="1"/>
    <row r="24358" ht="30" customHeight="1"/>
    <row r="24359" ht="30" customHeight="1"/>
    <row r="24360" ht="30" customHeight="1"/>
    <row r="24361" ht="30" customHeight="1"/>
    <row r="24362" ht="30" customHeight="1"/>
    <row r="24363" ht="30" customHeight="1"/>
    <row r="24364" ht="30" customHeight="1"/>
    <row r="24365" ht="30" customHeight="1"/>
    <row r="24366" ht="30" customHeight="1"/>
    <row r="24367" ht="30" customHeight="1"/>
    <row r="24368" ht="30" customHeight="1"/>
    <row r="24369" ht="30" customHeight="1"/>
    <row r="24370" ht="30" customHeight="1"/>
    <row r="24371" ht="30" customHeight="1"/>
    <row r="24372" ht="30" customHeight="1"/>
    <row r="24373" ht="30" customHeight="1"/>
    <row r="24374" ht="30" customHeight="1"/>
    <row r="24375" ht="30" customHeight="1"/>
    <row r="24376" ht="30" customHeight="1"/>
    <row r="24377" ht="30" customHeight="1"/>
    <row r="24378" ht="30" customHeight="1"/>
    <row r="24379" ht="30" customHeight="1"/>
    <row r="24380" ht="30" customHeight="1"/>
    <row r="24381" ht="30" customHeight="1"/>
    <row r="24382" ht="30" customHeight="1"/>
    <row r="24383" ht="30" customHeight="1"/>
    <row r="24384" ht="30" customHeight="1"/>
    <row r="24385" ht="30" customHeight="1"/>
    <row r="24386" ht="30" customHeight="1"/>
    <row r="24387" ht="30" customHeight="1"/>
    <row r="24388" ht="30" customHeight="1"/>
    <row r="24389" ht="30" customHeight="1"/>
    <row r="24390" ht="30" customHeight="1"/>
    <row r="24391" ht="30" customHeight="1"/>
    <row r="24392" ht="30" customHeight="1"/>
    <row r="24393" ht="30" customHeight="1"/>
    <row r="24394" ht="30" customHeight="1"/>
    <row r="24395" ht="30" customHeight="1"/>
    <row r="24396" ht="30" customHeight="1"/>
    <row r="24397" ht="30" customHeight="1"/>
    <row r="24398" ht="30" customHeight="1"/>
    <row r="24399" ht="30" customHeight="1"/>
    <row r="24400" ht="30" customHeight="1"/>
    <row r="24401" ht="30" customHeight="1"/>
    <row r="24402" ht="30" customHeight="1"/>
    <row r="24403" ht="30" customHeight="1"/>
    <row r="24404" ht="30" customHeight="1"/>
    <row r="24405" ht="30" customHeight="1"/>
    <row r="24406" ht="30" customHeight="1"/>
    <row r="24407" ht="30" customHeight="1"/>
    <row r="24408" ht="30" customHeight="1"/>
    <row r="24409" ht="30" customHeight="1"/>
    <row r="24410" ht="30" customHeight="1"/>
    <row r="24411" ht="30" customHeight="1"/>
    <row r="24412" ht="30" customHeight="1"/>
    <row r="24413" ht="30" customHeight="1"/>
    <row r="24414" ht="30" customHeight="1"/>
    <row r="24415" ht="30" customHeight="1"/>
    <row r="24416" ht="30" customHeight="1"/>
    <row r="24417" ht="30" customHeight="1"/>
    <row r="24418" ht="30" customHeight="1"/>
    <row r="24419" ht="30" customHeight="1"/>
    <row r="24420" ht="30" customHeight="1"/>
    <row r="24421" ht="30" customHeight="1"/>
    <row r="24422" ht="30" customHeight="1"/>
    <row r="24423" ht="30" customHeight="1"/>
    <row r="24424" ht="30" customHeight="1"/>
    <row r="24425" ht="30" customHeight="1"/>
    <row r="24426" ht="30" customHeight="1"/>
    <row r="24427" ht="30" customHeight="1"/>
    <row r="24428" ht="30" customHeight="1"/>
    <row r="24429" ht="30" customHeight="1"/>
    <row r="24430" ht="30" customHeight="1"/>
    <row r="24431" ht="30" customHeight="1"/>
    <row r="24432" ht="30" customHeight="1"/>
    <row r="24433" ht="30" customHeight="1"/>
    <row r="24434" ht="30" customHeight="1"/>
    <row r="24435" ht="30" customHeight="1"/>
    <row r="24436" ht="30" customHeight="1"/>
    <row r="24437" ht="30" customHeight="1"/>
    <row r="24438" ht="30" customHeight="1"/>
    <row r="24439" ht="30" customHeight="1"/>
    <row r="24440" ht="30" customHeight="1"/>
    <row r="24441" ht="30" customHeight="1"/>
    <row r="24442" ht="30" customHeight="1"/>
    <row r="24443" ht="30" customHeight="1"/>
    <row r="24444" ht="30" customHeight="1"/>
    <row r="24445" ht="30" customHeight="1"/>
    <row r="24446" ht="30" customHeight="1"/>
    <row r="24447" ht="30" customHeight="1"/>
    <row r="24448" ht="30" customHeight="1"/>
    <row r="24449" ht="30" customHeight="1"/>
    <row r="24450" ht="30" customHeight="1"/>
    <row r="24451" ht="30" customHeight="1"/>
    <row r="24452" ht="30" customHeight="1"/>
    <row r="24453" ht="30" customHeight="1"/>
    <row r="24454" ht="30" customHeight="1"/>
    <row r="24455" ht="30" customHeight="1"/>
    <row r="24456" ht="30" customHeight="1"/>
    <row r="24457" ht="30" customHeight="1"/>
    <row r="24458" ht="30" customHeight="1"/>
    <row r="24459" ht="30" customHeight="1"/>
    <row r="24460" ht="30" customHeight="1"/>
    <row r="24461" ht="30" customHeight="1"/>
    <row r="24462" ht="30" customHeight="1"/>
    <row r="24463" ht="30" customHeight="1"/>
    <row r="24464" ht="30" customHeight="1"/>
    <row r="24465" ht="30" customHeight="1"/>
    <row r="24466" ht="30" customHeight="1"/>
    <row r="24467" ht="30" customHeight="1"/>
    <row r="24468" ht="30" customHeight="1"/>
    <row r="24469" ht="30" customHeight="1"/>
    <row r="24470" ht="30" customHeight="1"/>
    <row r="24471" ht="30" customHeight="1"/>
    <row r="24472" ht="30" customHeight="1"/>
    <row r="24473" ht="30" customHeight="1"/>
    <row r="24474" ht="30" customHeight="1"/>
    <row r="24475" ht="30" customHeight="1"/>
    <row r="24476" ht="30" customHeight="1"/>
    <row r="24477" ht="30" customHeight="1"/>
    <row r="24478" ht="30" customHeight="1"/>
    <row r="24479" ht="30" customHeight="1"/>
    <row r="24480" ht="30" customHeight="1"/>
    <row r="24481" ht="30" customHeight="1"/>
    <row r="24482" ht="30" customHeight="1"/>
    <row r="24483" ht="30" customHeight="1"/>
    <row r="24484" ht="30" customHeight="1"/>
    <row r="24485" ht="30" customHeight="1"/>
    <row r="24486" ht="30" customHeight="1"/>
    <row r="24487" ht="30" customHeight="1"/>
    <row r="24488" ht="30" customHeight="1"/>
    <row r="24489" ht="30" customHeight="1"/>
    <row r="24490" ht="30" customHeight="1"/>
    <row r="24491" ht="30" customHeight="1"/>
    <row r="24492" ht="30" customHeight="1"/>
    <row r="24493" ht="30" customHeight="1"/>
    <row r="24494" ht="30" customHeight="1"/>
    <row r="24495" ht="30" customHeight="1"/>
    <row r="24496" ht="30" customHeight="1"/>
    <row r="24497" ht="30" customHeight="1"/>
    <row r="24498" ht="30" customHeight="1"/>
    <row r="24499" ht="30" customHeight="1"/>
    <row r="24500" ht="30" customHeight="1"/>
    <row r="24501" ht="30" customHeight="1"/>
    <row r="24502" ht="30" customHeight="1"/>
    <row r="24503" ht="30" customHeight="1"/>
    <row r="24504" ht="30" customHeight="1"/>
    <row r="24505" ht="30" customHeight="1"/>
    <row r="24506" ht="30" customHeight="1"/>
    <row r="24507" ht="30" customHeight="1"/>
    <row r="24508" ht="30" customHeight="1"/>
    <row r="24509" ht="30" customHeight="1"/>
    <row r="24510" ht="30" customHeight="1"/>
    <row r="24511" ht="30" customHeight="1"/>
    <row r="24512" ht="30" customHeight="1"/>
    <row r="24513" ht="30" customHeight="1"/>
    <row r="24514" ht="30" customHeight="1"/>
    <row r="24515" ht="30" customHeight="1"/>
    <row r="24516" ht="30" customHeight="1"/>
    <row r="24517" ht="30" customHeight="1"/>
    <row r="24518" ht="30" customHeight="1"/>
    <row r="24519" ht="30" customHeight="1"/>
    <row r="24520" ht="30" customHeight="1"/>
    <row r="24521" ht="30" customHeight="1"/>
    <row r="24522" ht="30" customHeight="1"/>
    <row r="24523" ht="30" customHeight="1"/>
    <row r="24524" ht="30" customHeight="1"/>
    <row r="24525" ht="30" customHeight="1"/>
    <row r="24526" ht="30" customHeight="1"/>
    <row r="24527" ht="30" customHeight="1"/>
    <row r="24528" ht="30" customHeight="1"/>
    <row r="24529" ht="30" customHeight="1"/>
    <row r="24530" ht="30" customHeight="1"/>
    <row r="24531" ht="30" customHeight="1"/>
    <row r="24532" ht="30" customHeight="1"/>
    <row r="24533" ht="30" customHeight="1"/>
    <row r="24534" ht="30" customHeight="1"/>
    <row r="24535" ht="30" customHeight="1"/>
    <row r="24536" ht="30" customHeight="1"/>
    <row r="24537" ht="30" customHeight="1"/>
    <row r="24538" ht="30" customHeight="1"/>
    <row r="24539" ht="30" customHeight="1"/>
    <row r="24540" ht="30" customHeight="1"/>
    <row r="24541" ht="30" customHeight="1"/>
    <row r="24542" ht="30" customHeight="1"/>
    <row r="24543" ht="30" customHeight="1"/>
    <row r="24544" ht="30" customHeight="1"/>
    <row r="24545" ht="30" customHeight="1"/>
    <row r="24546" ht="30" customHeight="1"/>
    <row r="24547" ht="30" customHeight="1"/>
    <row r="24548" ht="30" customHeight="1"/>
    <row r="24549" ht="30" customHeight="1"/>
    <row r="24550" ht="30" customHeight="1"/>
  </sheetData>
  <mergeCells count="2">
    <mergeCell ref="A150:B150"/>
    <mergeCell ref="A102:B102"/>
  </mergeCells>
  <phoneticPr fontId="19" type="noConversion"/>
  <pageMargins left="0.75" right="0.75" top="1" bottom="1" header="0.5" footer="0.5"/>
  <pageSetup paperSize="9" scale="44" orientation="portrait" verticalDpi="300" r:id="rId1"/>
  <headerFooter alignWithMargins="0"/>
  <rowBreaks count="14" manualBreakCount="14">
    <brk id="51" max="16383" man="1"/>
    <brk id="101" max="5" man="1"/>
    <brk id="149" max="16383" man="1"/>
    <brk id="197" max="5" man="1"/>
    <brk id="241" max="5" man="1"/>
    <brk id="295" max="5" man="1"/>
    <brk id="347" max="5" man="1"/>
    <brk id="401" max="5" man="1"/>
    <brk id="449" max="5" man="1"/>
    <brk id="503" max="5" man="1"/>
    <brk id="555" max="5" man="1"/>
    <brk id="606" max="5" man="1"/>
    <brk id="655" max="5" man="1"/>
    <brk id="704" max="5" man="1"/>
  </rowBreaks>
  <colBreaks count="1" manualBreakCount="1">
    <brk id="6" min="295" max="569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9"/>
  <dimension ref="A1:V64"/>
  <sheetViews>
    <sheetView view="pageBreakPreview" topLeftCell="A7" workbookViewId="0">
      <pane xSplit="1" topLeftCell="N1" activePane="topRight" state="frozen"/>
      <selection pane="topRight" activeCell="N37" sqref="N37"/>
    </sheetView>
  </sheetViews>
  <sheetFormatPr defaultRowHeight="13.15"/>
  <cols>
    <col min="1" max="1" width="32.5703125" bestFit="1" customWidth="1"/>
    <col min="2" max="2" width="21.42578125" style="82" customWidth="1"/>
    <col min="3" max="3" width="14.42578125" style="82" bestFit="1" customWidth="1"/>
    <col min="4" max="4" width="15.5703125" style="94" bestFit="1" customWidth="1"/>
    <col min="5" max="5" width="20.140625" style="94" bestFit="1" customWidth="1"/>
    <col min="6" max="6" width="17" style="94" bestFit="1" customWidth="1"/>
    <col min="7" max="7" width="20.42578125" style="82" bestFit="1" customWidth="1"/>
    <col min="8" max="8" width="21.7109375" style="94" bestFit="1" customWidth="1"/>
    <col min="9" max="9" width="12.85546875" style="94" bestFit="1" customWidth="1"/>
    <col min="10" max="10" width="16" style="94" bestFit="1" customWidth="1"/>
    <col min="11" max="11" width="12.7109375" style="94" bestFit="1" customWidth="1"/>
    <col min="12" max="12" width="17.140625" style="94" bestFit="1" customWidth="1"/>
    <col min="13" max="13" width="15.5703125" style="94" bestFit="1" customWidth="1"/>
    <col min="14" max="14" width="16.140625" style="160" bestFit="1" customWidth="1"/>
    <col min="15" max="15" width="16.5703125" style="160" bestFit="1" customWidth="1"/>
    <col min="16" max="16" width="9.28515625" style="94" bestFit="1" customWidth="1"/>
    <col min="17" max="17" width="16.5703125" style="94" bestFit="1" customWidth="1"/>
    <col min="18" max="18" width="17.140625" style="94" bestFit="1" customWidth="1"/>
    <col min="19" max="20" width="21.85546875" style="94" bestFit="1" customWidth="1"/>
    <col min="21" max="21" width="20.7109375" style="94" bestFit="1" customWidth="1"/>
    <col min="22" max="22" width="13.42578125" bestFit="1" customWidth="1"/>
  </cols>
  <sheetData>
    <row r="1" spans="1:21" s="1" customFormat="1">
      <c r="A1" s="1" t="s">
        <v>81</v>
      </c>
      <c r="B1" s="81"/>
      <c r="C1" s="81"/>
      <c r="D1" s="95"/>
      <c r="E1" s="95"/>
      <c r="F1" s="95"/>
      <c r="G1" s="81"/>
      <c r="H1" s="95"/>
      <c r="I1" s="95"/>
      <c r="J1" s="95"/>
      <c r="K1" s="95"/>
      <c r="L1" s="95"/>
      <c r="M1" s="95"/>
      <c r="N1" s="155"/>
      <c r="O1" s="155"/>
      <c r="P1" s="95"/>
      <c r="Q1" s="95"/>
      <c r="R1" s="95"/>
      <c r="S1" s="95"/>
      <c r="T1" s="95"/>
      <c r="U1" s="95"/>
    </row>
    <row r="2" spans="1:21" s="1" customFormat="1">
      <c r="B2" s="81"/>
      <c r="C2" s="81"/>
      <c r="D2" s="95"/>
      <c r="E2" s="95"/>
      <c r="F2" s="95"/>
      <c r="G2" s="81"/>
      <c r="H2" s="95"/>
      <c r="I2" s="95"/>
      <c r="J2" s="95"/>
      <c r="K2" s="95"/>
      <c r="L2" s="95"/>
      <c r="M2" s="95"/>
      <c r="N2" s="155"/>
      <c r="O2" s="155"/>
      <c r="P2" s="95"/>
      <c r="Q2" s="95"/>
      <c r="R2" s="95">
        <f>'Cattle Mvnt'!C3</f>
        <v>46226</v>
      </c>
      <c r="S2" s="95"/>
      <c r="T2" s="95"/>
      <c r="U2" s="95"/>
    </row>
    <row r="3" spans="1:21" s="1" customFormat="1">
      <c r="A3" s="1" t="s">
        <v>82</v>
      </c>
      <c r="B3" s="81"/>
      <c r="C3" s="81"/>
      <c r="D3" s="95"/>
      <c r="E3" s="95"/>
      <c r="F3" s="95"/>
      <c r="G3" s="81"/>
      <c r="H3" s="95"/>
      <c r="I3" s="95"/>
      <c r="J3" s="95"/>
      <c r="K3" s="95"/>
      <c r="L3" s="95"/>
      <c r="M3" s="95"/>
      <c r="N3" s="155"/>
      <c r="O3" s="155"/>
      <c r="P3" s="95"/>
      <c r="Q3" s="95"/>
      <c r="R3" s="95"/>
      <c r="S3" s="95"/>
      <c r="T3" s="95"/>
      <c r="U3" s="95"/>
    </row>
    <row r="4" spans="1:21" s="1" customFormat="1">
      <c r="B4" s="81"/>
      <c r="C4" s="81"/>
      <c r="D4" s="95"/>
      <c r="E4" s="95"/>
      <c r="F4" s="95"/>
      <c r="G4" s="81"/>
      <c r="H4" s="95"/>
      <c r="I4" s="95"/>
      <c r="J4" s="95"/>
      <c r="K4" s="95"/>
      <c r="L4" s="95"/>
      <c r="M4" s="95"/>
      <c r="N4" s="155"/>
      <c r="O4" s="155"/>
      <c r="P4" s="95"/>
      <c r="Q4" s="95"/>
      <c r="R4" s="95"/>
      <c r="S4" s="95"/>
      <c r="T4" s="95"/>
      <c r="U4" s="95"/>
    </row>
    <row r="5" spans="1:21" s="1" customFormat="1">
      <c r="A5" s="1" t="s">
        <v>137</v>
      </c>
      <c r="B5" s="81"/>
      <c r="C5" s="81"/>
      <c r="D5" s="95"/>
      <c r="E5" s="95"/>
      <c r="F5" s="95"/>
      <c r="G5" s="81"/>
      <c r="H5" s="95"/>
      <c r="I5" s="95"/>
      <c r="J5" s="95"/>
      <c r="K5" s="95"/>
      <c r="L5" s="95"/>
      <c r="M5" s="95"/>
      <c r="N5" s="155"/>
      <c r="O5" s="155"/>
      <c r="P5" s="95"/>
      <c r="Q5" s="95"/>
      <c r="R5" s="95"/>
      <c r="S5" s="95"/>
      <c r="T5" s="95"/>
      <c r="U5" s="95"/>
    </row>
    <row r="6" spans="1:21" s="1" customFormat="1">
      <c r="B6" s="81"/>
      <c r="C6" s="81"/>
      <c r="D6" s="95"/>
      <c r="E6" s="95"/>
      <c r="F6" s="95"/>
      <c r="G6" s="81"/>
      <c r="H6" s="95"/>
      <c r="I6" s="95"/>
      <c r="J6" s="95"/>
      <c r="K6" s="95"/>
      <c r="L6" s="95"/>
      <c r="M6" s="95"/>
      <c r="N6" s="155"/>
      <c r="O6" s="155"/>
      <c r="P6" s="95"/>
      <c r="Q6" s="95"/>
      <c r="R6" s="95"/>
      <c r="S6" s="95"/>
      <c r="T6" s="95"/>
      <c r="U6" s="95"/>
    </row>
    <row r="7" spans="1:21" s="1" customFormat="1">
      <c r="A7" s="122" t="s">
        <v>2321</v>
      </c>
      <c r="B7" s="81"/>
      <c r="C7" s="81"/>
      <c r="D7" s="95"/>
      <c r="E7" s="95"/>
      <c r="F7" s="95"/>
      <c r="G7" s="81"/>
      <c r="H7" s="95"/>
      <c r="I7" s="95"/>
      <c r="J7" s="95"/>
      <c r="K7" s="95"/>
      <c r="L7" s="95"/>
      <c r="M7" s="95"/>
      <c r="N7" s="155"/>
      <c r="O7" s="155"/>
      <c r="P7" s="95"/>
      <c r="Q7" s="95"/>
      <c r="R7" s="95"/>
      <c r="S7" s="95"/>
      <c r="T7" s="95"/>
      <c r="U7" s="95"/>
    </row>
    <row r="8" spans="1:21" s="1" customFormat="1">
      <c r="B8" s="81"/>
      <c r="C8" s="81"/>
      <c r="D8" s="95"/>
      <c r="E8" s="95"/>
      <c r="F8" s="95"/>
      <c r="G8" s="81"/>
      <c r="H8" s="95"/>
      <c r="I8" s="95"/>
      <c r="J8" s="95"/>
      <c r="K8" s="95"/>
      <c r="L8" s="95"/>
      <c r="M8" s="95"/>
      <c r="N8" s="155"/>
      <c r="O8" s="155"/>
      <c r="P8" s="95"/>
      <c r="Q8" s="95"/>
      <c r="R8" s="95"/>
      <c r="S8" s="95"/>
      <c r="T8" s="95"/>
      <c r="U8" s="95"/>
    </row>
    <row r="9" spans="1:21" s="1" customFormat="1">
      <c r="B9" s="81"/>
      <c r="C9" s="81"/>
      <c r="D9" s="95"/>
      <c r="E9" s="95"/>
      <c r="F9" s="95"/>
      <c r="G9" s="81"/>
      <c r="H9" s="95"/>
      <c r="I9" s="95"/>
      <c r="J9" s="95"/>
      <c r="K9" s="95"/>
      <c r="L9" s="95"/>
      <c r="M9" s="95"/>
      <c r="N9" s="155"/>
      <c r="O9" s="155"/>
      <c r="P9" s="95"/>
      <c r="Q9" s="95"/>
      <c r="R9" s="95"/>
      <c r="S9" s="95"/>
      <c r="T9" s="95"/>
      <c r="U9" s="95"/>
    </row>
    <row r="10" spans="1:21" s="1" customFormat="1">
      <c r="A10" s="1" t="s">
        <v>86</v>
      </c>
      <c r="B10" s="97" t="s">
        <v>85</v>
      </c>
      <c r="C10" s="97"/>
      <c r="D10" s="95"/>
      <c r="E10" s="95"/>
      <c r="F10" s="95"/>
      <c r="G10" s="81"/>
      <c r="H10" s="95"/>
      <c r="I10" s="95"/>
      <c r="J10" s="95"/>
      <c r="K10" s="95"/>
      <c r="L10" s="95"/>
      <c r="M10" s="95"/>
      <c r="N10" s="155"/>
      <c r="O10" s="155"/>
      <c r="P10" s="95"/>
      <c r="Q10" s="95"/>
      <c r="R10" s="95"/>
      <c r="S10" s="95"/>
      <c r="T10" s="95"/>
      <c r="U10" s="95"/>
    </row>
    <row r="11" spans="1:21" s="1" customFormat="1" ht="13.9" thickBot="1">
      <c r="B11" s="81"/>
      <c r="C11" s="81"/>
      <c r="D11" s="95"/>
      <c r="E11" s="95"/>
      <c r="F11" s="95"/>
      <c r="G11" s="81"/>
      <c r="H11" s="95"/>
      <c r="I11" s="95"/>
      <c r="J11" s="95"/>
      <c r="K11" s="95"/>
      <c r="L11" s="95"/>
      <c r="M11" s="95"/>
      <c r="N11" s="155"/>
      <c r="O11" s="155"/>
      <c r="P11" s="95"/>
      <c r="Q11" s="95"/>
      <c r="R11" s="95"/>
      <c r="S11" s="95"/>
      <c r="T11" s="95"/>
      <c r="U11" s="95"/>
    </row>
    <row r="12" spans="1:21" s="1" customFormat="1" ht="13.9" thickBot="1">
      <c r="A12" s="123" t="s">
        <v>87</v>
      </c>
      <c r="B12" s="237" t="s">
        <v>89</v>
      </c>
      <c r="C12" s="237" t="s">
        <v>91</v>
      </c>
      <c r="D12" s="237" t="s">
        <v>430</v>
      </c>
      <c r="E12" s="237" t="s">
        <v>431</v>
      </c>
      <c r="F12" s="237" t="s">
        <v>332</v>
      </c>
      <c r="G12" s="237" t="s">
        <v>115</v>
      </c>
      <c r="H12" s="237" t="s">
        <v>101</v>
      </c>
      <c r="I12" s="237" t="s">
        <v>102</v>
      </c>
      <c r="J12" s="237" t="s">
        <v>433</v>
      </c>
      <c r="K12" s="237" t="s">
        <v>434</v>
      </c>
      <c r="L12" s="237" t="s">
        <v>104</v>
      </c>
      <c r="M12" s="237" t="s">
        <v>435</v>
      </c>
      <c r="N12" s="238" t="s">
        <v>436</v>
      </c>
      <c r="O12" s="155"/>
      <c r="P12" s="95"/>
      <c r="Q12" s="95"/>
      <c r="R12" s="95"/>
      <c r="S12" s="95"/>
      <c r="T12" s="95"/>
      <c r="U12" s="95"/>
    </row>
    <row r="13" spans="1:21">
      <c r="A13" s="118" t="s">
        <v>447</v>
      </c>
      <c r="B13" s="2264">
        <f>'Cattle Mvnt'!B11</f>
        <v>26</v>
      </c>
      <c r="C13" s="119">
        <f>'Cattle Mvnt'!C11</f>
        <v>0</v>
      </c>
      <c r="D13" s="269">
        <f>'Cattle Mvnt'!D11</f>
        <v>0</v>
      </c>
      <c r="E13" s="119">
        <f>'Cattle Mvnt'!E11</f>
        <v>0</v>
      </c>
      <c r="F13" s="119">
        <f>'Cattle Mvnt'!G11</f>
        <v>0</v>
      </c>
      <c r="G13" s="2217">
        <f t="shared" ref="G13:G19" si="0">SUM(B13:F13)</f>
        <v>26</v>
      </c>
      <c r="H13" s="119">
        <f>'Cattle Mvnt'!I11</f>
        <v>0</v>
      </c>
      <c r="I13" s="119">
        <f>'Cattle Mvnt'!J11</f>
        <v>0</v>
      </c>
      <c r="J13" s="119">
        <f>'Cattle Mvnt'!K11</f>
        <v>0</v>
      </c>
      <c r="K13" s="119">
        <f>'Cattle Mvnt'!L11</f>
        <v>0</v>
      </c>
      <c r="L13" s="2265">
        <f t="shared" ref="L13:L19" si="1">SUM(G13:K13)</f>
        <v>26</v>
      </c>
      <c r="M13" s="2215">
        <f>'Cattle Mvnt'!N11</f>
        <v>26</v>
      </c>
      <c r="N13" s="2221">
        <f t="shared" ref="N13:N19" si="2">+M13-L13</f>
        <v>0</v>
      </c>
    </row>
    <row r="14" spans="1:21" s="2" customFormat="1">
      <c r="A14" s="120" t="s">
        <v>439</v>
      </c>
      <c r="B14" s="2266">
        <f>'Cattle Mvnt'!B13</f>
        <v>8</v>
      </c>
      <c r="C14" s="269">
        <f>'Cattle Mvnt'!C13</f>
        <v>0</v>
      </c>
      <c r="D14" s="269">
        <f>'Cattle Mvnt'!D13</f>
        <v>0</v>
      </c>
      <c r="E14" s="269">
        <f>'Cattle Mvnt'!E13</f>
        <v>0</v>
      </c>
      <c r="F14" s="269">
        <f>'Cattle Mvnt'!G13</f>
        <v>0</v>
      </c>
      <c r="G14" s="1204">
        <f t="shared" si="0"/>
        <v>8</v>
      </c>
      <c r="H14" s="269">
        <f>'Cattle Mvnt'!I13</f>
        <v>0</v>
      </c>
      <c r="I14" s="269">
        <f>'Cattle Mvnt'!J13</f>
        <v>0</v>
      </c>
      <c r="J14" s="269">
        <f>'Cattle Mvnt'!K13</f>
        <v>0</v>
      </c>
      <c r="K14" s="269">
        <f>'Cattle Mvnt'!L13</f>
        <v>0</v>
      </c>
      <c r="L14" s="1206">
        <f t="shared" si="1"/>
        <v>8</v>
      </c>
      <c r="M14" s="1208">
        <f>'Cattle Mvnt'!N13</f>
        <v>8</v>
      </c>
      <c r="N14" s="1205">
        <f t="shared" si="2"/>
        <v>0</v>
      </c>
      <c r="O14" s="160"/>
      <c r="P14" s="305"/>
      <c r="Q14" s="305"/>
      <c r="R14" s="94"/>
      <c r="S14" s="305"/>
      <c r="T14" s="305"/>
      <c r="U14" s="305"/>
    </row>
    <row r="15" spans="1:21" s="2" customFormat="1">
      <c r="A15" s="120" t="s">
        <v>448</v>
      </c>
      <c r="B15" s="2266">
        <f>'Cattle Mvnt'!B14</f>
        <v>1</v>
      </c>
      <c r="C15" s="269">
        <f>'Cattle Mvnt'!C14</f>
        <v>0</v>
      </c>
      <c r="D15" s="269">
        <f>'Cattle Mvnt'!D14</f>
        <v>0</v>
      </c>
      <c r="E15" s="269">
        <f>'Cattle Mvnt'!E14</f>
        <v>0</v>
      </c>
      <c r="F15" s="269">
        <f>'Cattle Mvnt'!G14</f>
        <v>0</v>
      </c>
      <c r="G15" s="1204">
        <f t="shared" si="0"/>
        <v>1</v>
      </c>
      <c r="H15" s="269">
        <f>'Cattle Mvnt'!I14</f>
        <v>0</v>
      </c>
      <c r="I15" s="269">
        <f>'Cattle Mvnt'!J14</f>
        <v>0</v>
      </c>
      <c r="J15" s="269">
        <f>'Cattle Mvnt'!K14</f>
        <v>0</v>
      </c>
      <c r="K15" s="269">
        <f>'Cattle Mvnt'!L14</f>
        <v>0</v>
      </c>
      <c r="L15" s="1206">
        <f t="shared" si="1"/>
        <v>1</v>
      </c>
      <c r="M15" s="1208">
        <f>'Cattle Mvnt'!N14</f>
        <v>1</v>
      </c>
      <c r="N15" s="1205">
        <f t="shared" si="2"/>
        <v>0</v>
      </c>
      <c r="O15" s="160"/>
      <c r="P15" s="305"/>
      <c r="Q15" s="305"/>
      <c r="R15" s="94"/>
      <c r="S15" s="305"/>
      <c r="T15" s="305"/>
      <c r="U15" s="305"/>
    </row>
    <row r="16" spans="1:21" s="2" customFormat="1">
      <c r="A16" s="120" t="s">
        <v>442</v>
      </c>
      <c r="B16" s="2266">
        <f>'Cattle Mvnt'!B16</f>
        <v>2</v>
      </c>
      <c r="C16" s="269">
        <f>'Cattle Mvnt'!C16</f>
        <v>0</v>
      </c>
      <c r="D16" s="269">
        <f>'Cattle Mvnt'!D16</f>
        <v>0</v>
      </c>
      <c r="E16" s="269">
        <f>'Cattle Mvnt'!E16</f>
        <v>0</v>
      </c>
      <c r="F16" s="269">
        <f>'Cattle Mvnt'!G16</f>
        <v>0</v>
      </c>
      <c r="G16" s="1204">
        <f t="shared" si="0"/>
        <v>2</v>
      </c>
      <c r="H16" s="269">
        <f>'Cattle Mvnt'!I16</f>
        <v>0</v>
      </c>
      <c r="I16" s="269">
        <f>'Cattle Mvnt'!J16</f>
        <v>0</v>
      </c>
      <c r="J16" s="269">
        <f>'Cattle Mvnt'!K16</f>
        <v>0</v>
      </c>
      <c r="K16" s="269">
        <f>'Cattle Mvnt'!L16</f>
        <v>0</v>
      </c>
      <c r="L16" s="1206">
        <f t="shared" si="1"/>
        <v>2</v>
      </c>
      <c r="M16" s="1208">
        <f>'Cattle Mvnt'!N16</f>
        <v>2</v>
      </c>
      <c r="N16" s="1205">
        <f t="shared" si="2"/>
        <v>0</v>
      </c>
      <c r="O16" s="160"/>
      <c r="P16" s="305"/>
      <c r="Q16" s="305"/>
      <c r="R16" s="94"/>
      <c r="S16" s="305"/>
      <c r="T16" s="305"/>
      <c r="U16" s="305"/>
    </row>
    <row r="17" spans="1:22" s="2" customFormat="1">
      <c r="A17" s="120" t="s">
        <v>449</v>
      </c>
      <c r="B17" s="2266">
        <f>'Cattle Mvnt'!B17</f>
        <v>0</v>
      </c>
      <c r="C17" s="269">
        <f>'Cattle Mvnt'!C17</f>
        <v>0</v>
      </c>
      <c r="D17" s="269">
        <f>'Cattle Mvnt'!D17</f>
        <v>0</v>
      </c>
      <c r="E17" s="269">
        <f>'Cattle Mvnt'!E17</f>
        <v>0</v>
      </c>
      <c r="F17" s="269">
        <f>'Cattle Mvnt'!G17</f>
        <v>0</v>
      </c>
      <c r="G17" s="1204">
        <f t="shared" si="0"/>
        <v>0</v>
      </c>
      <c r="H17" s="269">
        <f>'Cattle Mvnt'!I17</f>
        <v>0</v>
      </c>
      <c r="I17" s="269">
        <f>'Cattle Mvnt'!J17</f>
        <v>0</v>
      </c>
      <c r="J17" s="269">
        <f>'Cattle Mvnt'!K17</f>
        <v>0</v>
      </c>
      <c r="K17" s="269">
        <f>'Cattle Mvnt'!L17</f>
        <v>0</v>
      </c>
      <c r="L17" s="1206">
        <f t="shared" si="1"/>
        <v>0</v>
      </c>
      <c r="M17" s="1208">
        <f>'Cattle Mvnt'!N17</f>
        <v>0</v>
      </c>
      <c r="N17" s="1205">
        <f t="shared" si="2"/>
        <v>0</v>
      </c>
      <c r="O17" s="160"/>
      <c r="P17" s="305"/>
      <c r="Q17" s="305"/>
      <c r="R17" s="94"/>
      <c r="S17" s="305"/>
      <c r="T17" s="305"/>
      <c r="U17" s="305"/>
      <c r="V17" s="300"/>
    </row>
    <row r="18" spans="1:22" s="2" customFormat="1">
      <c r="A18" s="120" t="s">
        <v>444</v>
      </c>
      <c r="B18" s="2266">
        <f>'Cattle Mvnt'!B18</f>
        <v>59</v>
      </c>
      <c r="C18" s="269">
        <f>'Cattle Mvnt'!C18</f>
        <v>0</v>
      </c>
      <c r="D18" s="269">
        <f>'Cattle Mvnt'!D18</f>
        <v>0</v>
      </c>
      <c r="E18" s="269">
        <f>'Cattle Mvnt'!E18</f>
        <v>0</v>
      </c>
      <c r="F18" s="269">
        <f>'Cattle Mvnt'!G18</f>
        <v>0</v>
      </c>
      <c r="G18" s="1204">
        <f t="shared" si="0"/>
        <v>59</v>
      </c>
      <c r="H18" s="269">
        <f>'Cattle Mvnt'!I18</f>
        <v>0</v>
      </c>
      <c r="I18" s="269">
        <f>'Cattle Mvnt'!J18</f>
        <v>0</v>
      </c>
      <c r="J18" s="269">
        <f>'Cattle Mvnt'!K18</f>
        <v>0</v>
      </c>
      <c r="K18" s="269">
        <f>'Cattle Mvnt'!L18</f>
        <v>0</v>
      </c>
      <c r="L18" s="1206">
        <f t="shared" si="1"/>
        <v>59</v>
      </c>
      <c r="M18" s="1208">
        <f>'Cattle Mvnt'!N18</f>
        <v>59</v>
      </c>
      <c r="N18" s="1205">
        <f t="shared" si="2"/>
        <v>0</v>
      </c>
      <c r="O18" s="160"/>
      <c r="P18" s="305"/>
      <c r="Q18" s="305"/>
      <c r="R18" s="305"/>
      <c r="S18" s="305"/>
      <c r="T18" s="305"/>
      <c r="U18" s="305"/>
      <c r="V18" s="300"/>
    </row>
    <row r="19" spans="1:22" s="2" customFormat="1" ht="13.9" thickBot="1">
      <c r="A19" s="120" t="s">
        <v>445</v>
      </c>
      <c r="B19" s="2267">
        <f>'Cattle Mvnt'!B19</f>
        <v>11</v>
      </c>
      <c r="C19" s="269">
        <f>'Cattle Mvnt'!C19</f>
        <v>0</v>
      </c>
      <c r="D19" s="2225">
        <f>'Cattle Mvnt'!D19</f>
        <v>0</v>
      </c>
      <c r="E19" s="2225">
        <f>'Cattle Mvnt'!E19</f>
        <v>0</v>
      </c>
      <c r="F19" s="2225">
        <f>'Cattle Mvnt'!G19</f>
        <v>0</v>
      </c>
      <c r="G19" s="2268">
        <f t="shared" si="0"/>
        <v>11</v>
      </c>
      <c r="H19" s="2225">
        <f>'Cattle Mvnt'!I19</f>
        <v>0</v>
      </c>
      <c r="I19" s="2225">
        <f>'Cattle Mvnt'!J19</f>
        <v>0</v>
      </c>
      <c r="J19" s="2225"/>
      <c r="K19" s="2225">
        <f>'Cattle Mvnt'!L19</f>
        <v>0</v>
      </c>
      <c r="L19" s="2269">
        <f t="shared" si="1"/>
        <v>11</v>
      </c>
      <c r="M19" s="2216">
        <f>'Cattle Mvnt'!N19</f>
        <v>11</v>
      </c>
      <c r="N19" s="2270">
        <f t="shared" si="2"/>
        <v>0</v>
      </c>
      <c r="O19" s="2201"/>
      <c r="P19" s="305"/>
      <c r="Q19" s="305"/>
      <c r="R19" s="305"/>
      <c r="S19" s="305"/>
      <c r="T19" s="305"/>
      <c r="U19" s="305"/>
      <c r="V19" s="300"/>
    </row>
    <row r="20" spans="1:22" s="1" customFormat="1" ht="16.149999999999999" thickBot="1">
      <c r="A20" s="128" t="s">
        <v>115</v>
      </c>
      <c r="B20" s="2268">
        <f>SUM(B13:B19)</f>
        <v>107</v>
      </c>
      <c r="C20" s="2268">
        <f>SUM(C13:C19)</f>
        <v>0</v>
      </c>
      <c r="D20" s="2268">
        <f t="shared" ref="D20:I20" si="3">SUM(D13:D19)</f>
        <v>0</v>
      </c>
      <c r="E20" s="2268">
        <f t="shared" si="3"/>
        <v>0</v>
      </c>
      <c r="F20" s="2268">
        <f t="shared" si="3"/>
        <v>0</v>
      </c>
      <c r="G20" s="2268">
        <f t="shared" si="3"/>
        <v>107</v>
      </c>
      <c r="H20" s="2268">
        <f t="shared" si="3"/>
        <v>0</v>
      </c>
      <c r="I20" s="2268">
        <f t="shared" si="3"/>
        <v>0</v>
      </c>
      <c r="J20" s="2268">
        <f>SUM(J13:J19)</f>
        <v>0</v>
      </c>
      <c r="K20" s="2268">
        <f>SUM(K13:K19)</f>
        <v>0</v>
      </c>
      <c r="L20" s="2268">
        <f>SUM(L13:L19)</f>
        <v>107</v>
      </c>
      <c r="M20" s="2268">
        <f>SUM(M13:M19)</f>
        <v>107</v>
      </c>
      <c r="N20" s="2271">
        <f>SUM(N13:N19)</f>
        <v>0</v>
      </c>
      <c r="O20" s="155"/>
      <c r="P20" s="95"/>
      <c r="Q20" s="95"/>
      <c r="R20" s="95"/>
      <c r="S20" s="95"/>
      <c r="T20" s="95"/>
      <c r="U20" s="95"/>
    </row>
    <row r="21" spans="1:22" s="2" customFormat="1">
      <c r="A21" s="300"/>
      <c r="B21" s="306"/>
      <c r="C21" s="306"/>
      <c r="D21" s="305"/>
      <c r="E21" s="305"/>
      <c r="F21" s="305"/>
      <c r="G21" s="306"/>
      <c r="H21" s="305"/>
      <c r="I21" s="305"/>
      <c r="J21" s="305"/>
      <c r="K21" s="305"/>
      <c r="L21" s="305"/>
      <c r="M21" s="305"/>
      <c r="N21" s="2201"/>
      <c r="O21" s="2201"/>
      <c r="P21" s="305"/>
      <c r="Q21" s="305"/>
      <c r="R21" s="305"/>
      <c r="S21" s="305"/>
      <c r="T21" s="305"/>
      <c r="U21" s="305"/>
      <c r="V21" s="300"/>
    </row>
    <row r="22" spans="1:22" s="1" customFormat="1">
      <c r="B22" s="81"/>
      <c r="C22" s="81"/>
      <c r="D22" s="95"/>
      <c r="E22" s="95"/>
      <c r="F22" s="95"/>
      <c r="G22" s="81"/>
      <c r="H22" s="95"/>
      <c r="I22" s="95"/>
      <c r="J22" s="95"/>
      <c r="K22" s="95"/>
      <c r="L22" s="95"/>
      <c r="M22" s="95"/>
      <c r="N22" s="155"/>
      <c r="O22" s="155"/>
      <c r="P22" s="95"/>
      <c r="Q22" s="95"/>
      <c r="R22" s="95"/>
      <c r="S22" s="31">
        <f>84464323.12+1102488978</f>
        <v>1186953301.1199999</v>
      </c>
      <c r="T22" s="95"/>
      <c r="U22" s="95"/>
    </row>
    <row r="23" spans="1:22" s="1" customFormat="1">
      <c r="B23" s="81"/>
      <c r="C23" s="81"/>
      <c r="D23" s="95"/>
      <c r="E23" s="95"/>
      <c r="F23" s="95"/>
      <c r="G23" s="81"/>
      <c r="H23" s="95"/>
      <c r="I23" s="95"/>
      <c r="J23" s="95"/>
      <c r="K23" s="95"/>
      <c r="L23" s="95"/>
      <c r="M23" s="95"/>
      <c r="N23" s="155"/>
      <c r="O23" s="155"/>
      <c r="P23" s="95"/>
      <c r="Q23" s="95"/>
      <c r="R23" s="95"/>
      <c r="S23" s="95"/>
      <c r="T23" s="95"/>
      <c r="U23" s="95"/>
    </row>
    <row r="24" spans="1:22" s="1" customFormat="1">
      <c r="B24" s="99" t="s">
        <v>85</v>
      </c>
      <c r="C24" s="306"/>
      <c r="D24" s="305"/>
      <c r="E24" s="95"/>
      <c r="F24" s="95"/>
      <c r="G24" s="81"/>
      <c r="H24" s="95"/>
      <c r="I24" s="95"/>
      <c r="J24" s="95"/>
      <c r="K24" s="95"/>
      <c r="L24" s="95"/>
      <c r="M24" s="95"/>
      <c r="N24" s="155"/>
      <c r="O24" s="155"/>
      <c r="P24" s="95"/>
      <c r="Q24" s="95"/>
      <c r="R24" s="95"/>
      <c r="S24" s="95"/>
      <c r="T24" s="95"/>
      <c r="U24" s="95"/>
    </row>
    <row r="25" spans="1:22" s="1" customFormat="1" ht="13.9" thickBot="1">
      <c r="B25" s="81"/>
      <c r="C25" s="81"/>
      <c r="D25" s="95"/>
      <c r="E25" s="95"/>
      <c r="F25" s="95"/>
      <c r="G25" s="81"/>
      <c r="H25" s="95"/>
      <c r="I25" s="95"/>
      <c r="J25" s="95"/>
      <c r="K25" s="95"/>
      <c r="L25" s="95"/>
      <c r="M25" s="95"/>
      <c r="N25" s="155"/>
      <c r="O25" s="155"/>
      <c r="P25" s="95"/>
      <c r="Q25" s="95"/>
      <c r="R25" s="95"/>
      <c r="S25" s="95"/>
      <c r="T25" s="95"/>
      <c r="U25" s="95"/>
    </row>
    <row r="26" spans="1:22" s="14" customFormat="1" ht="27" thickBot="1">
      <c r="A26" s="12" t="s">
        <v>87</v>
      </c>
      <c r="B26" s="100" t="s">
        <v>89</v>
      </c>
      <c r="C26" s="101" t="s">
        <v>431</v>
      </c>
      <c r="D26" s="102" t="s">
        <v>91</v>
      </c>
      <c r="E26" s="100" t="s">
        <v>92</v>
      </c>
      <c r="F26" s="100" t="s">
        <v>93</v>
      </c>
      <c r="G26" s="100" t="s">
        <v>94</v>
      </c>
      <c r="H26" s="100" t="s">
        <v>95</v>
      </c>
      <c r="I26" s="100" t="s">
        <v>96</v>
      </c>
      <c r="J26" s="100" t="s">
        <v>97</v>
      </c>
      <c r="K26" s="100" t="s">
        <v>98</v>
      </c>
      <c r="L26" s="102" t="s">
        <v>99</v>
      </c>
      <c r="M26" s="102" t="s">
        <v>100</v>
      </c>
      <c r="N26" s="174" t="s">
        <v>101</v>
      </c>
      <c r="O26" s="174" t="s">
        <v>102</v>
      </c>
      <c r="P26" s="102" t="str">
        <f>'[113]IAS 41 Mvmnt Pigs'!I12</f>
        <v>CULLS</v>
      </c>
      <c r="Q26" s="98" t="s">
        <v>434</v>
      </c>
      <c r="R26" s="92" t="s">
        <v>163</v>
      </c>
      <c r="S26" s="103" t="s">
        <v>164</v>
      </c>
      <c r="T26" s="93" t="s">
        <v>165</v>
      </c>
      <c r="U26" s="104"/>
    </row>
    <row r="27" spans="1:22">
      <c r="A27" s="118" t="s">
        <v>447</v>
      </c>
      <c r="B27" s="2272">
        <f>'[32]IAS 41 Mvmnt Cattle'!$T27</f>
        <v>2447162888.4296613</v>
      </c>
      <c r="C27" s="239"/>
      <c r="D27" s="240"/>
      <c r="E27" s="241"/>
      <c r="F27" s="241"/>
      <c r="G27" s="242"/>
      <c r="H27" s="241"/>
      <c r="I27" s="241">
        <f>E49</f>
        <v>0</v>
      </c>
      <c r="J27" s="241"/>
      <c r="K27" s="241">
        <f t="shared" ref="K27:K33" si="4">K49</f>
        <v>0</v>
      </c>
      <c r="L27" s="243">
        <f t="shared" ref="L27:L33" si="5">SUM(B27:K27)</f>
        <v>2447162888.4296613</v>
      </c>
      <c r="M27" s="243">
        <f t="shared" ref="M27:M33" si="6">L27/G13</f>
        <v>94121649.554986969</v>
      </c>
      <c r="N27" s="243">
        <f t="shared" ref="N27:N33" si="7">H13*M27</f>
        <v>0</v>
      </c>
      <c r="O27" s="243">
        <f t="shared" ref="O27:O33" si="8">M27*I13</f>
        <v>0</v>
      </c>
      <c r="P27" s="243">
        <f>M27*J13</f>
        <v>0</v>
      </c>
      <c r="Q27" s="243">
        <f t="shared" ref="Q27:Q33" si="9">K13*M27</f>
        <v>0</v>
      </c>
      <c r="R27" s="243">
        <f t="shared" ref="R27:R32" si="10">L27+N27+O27+P27+Q27</f>
        <v>2447162888.4296613</v>
      </c>
      <c r="S27" s="244">
        <v>0</v>
      </c>
      <c r="T27" s="245">
        <f t="shared" ref="T27:T33" si="11">+R27+S27</f>
        <v>2447162888.4296613</v>
      </c>
      <c r="U27" s="113">
        <v>4487598108796.9473</v>
      </c>
      <c r="V27" s="94">
        <f>T27-U27</f>
        <v>-4485150945908.5176</v>
      </c>
    </row>
    <row r="28" spans="1:22" s="2" customFormat="1">
      <c r="A28" s="120" t="s">
        <v>439</v>
      </c>
      <c r="B28" s="2272">
        <f>'[32]IAS 41 Mvmnt Cattle'!$T28</f>
        <v>4723390107.8878107</v>
      </c>
      <c r="C28" s="2273"/>
      <c r="D28" s="2233"/>
      <c r="E28" s="2274"/>
      <c r="F28" s="2274"/>
      <c r="G28" s="2275"/>
      <c r="H28" s="2274"/>
      <c r="I28" s="2274">
        <f>+E50</f>
        <v>0</v>
      </c>
      <c r="J28" s="2274"/>
      <c r="K28" s="241">
        <f t="shared" si="4"/>
        <v>0</v>
      </c>
      <c r="L28" s="243">
        <f t="shared" si="5"/>
        <v>4723390107.8878107</v>
      </c>
      <c r="M28" s="243">
        <f t="shared" si="6"/>
        <v>590423763.48597634</v>
      </c>
      <c r="N28" s="243">
        <f t="shared" si="7"/>
        <v>0</v>
      </c>
      <c r="O28" s="243">
        <f t="shared" si="8"/>
        <v>0</v>
      </c>
      <c r="P28" s="243">
        <f t="shared" ref="P28:P33" si="12">M28*J14</f>
        <v>0</v>
      </c>
      <c r="Q28" s="243">
        <f t="shared" si="9"/>
        <v>0</v>
      </c>
      <c r="R28" s="243">
        <f t="shared" si="10"/>
        <v>4723390107.8878107</v>
      </c>
      <c r="S28" s="244">
        <v>0</v>
      </c>
      <c r="T28" s="245">
        <f t="shared" si="11"/>
        <v>4723390107.8878107</v>
      </c>
      <c r="U28" s="113">
        <v>320956506983859.13</v>
      </c>
      <c r="V28" s="94">
        <f t="shared" ref="V28:V34" si="13">T28-U28</f>
        <v>-320951783593751.25</v>
      </c>
    </row>
    <row r="29" spans="1:22" s="2" customFormat="1">
      <c r="A29" s="120" t="s">
        <v>448</v>
      </c>
      <c r="B29" s="2272">
        <f>'[32]IAS 41 Mvmnt Cattle'!$T29</f>
        <v>0</v>
      </c>
      <c r="C29" s="2275"/>
      <c r="D29" s="2233"/>
      <c r="E29" s="2274"/>
      <c r="F29" s="2274"/>
      <c r="G29" s="2275"/>
      <c r="H29" s="2274"/>
      <c r="I29" s="2274">
        <f>+E51</f>
        <v>0</v>
      </c>
      <c r="J29" s="2274"/>
      <c r="K29" s="241">
        <f t="shared" si="4"/>
        <v>0</v>
      </c>
      <c r="L29" s="243">
        <f t="shared" si="5"/>
        <v>0</v>
      </c>
      <c r="M29" s="243"/>
      <c r="N29" s="243">
        <f t="shared" si="7"/>
        <v>0</v>
      </c>
      <c r="O29" s="243">
        <f>M29*I15</f>
        <v>0</v>
      </c>
      <c r="P29" s="243">
        <f t="shared" si="12"/>
        <v>0</v>
      </c>
      <c r="Q29" s="243">
        <f t="shared" si="9"/>
        <v>0</v>
      </c>
      <c r="R29" s="243">
        <f t="shared" si="10"/>
        <v>0</v>
      </c>
      <c r="S29" s="244">
        <v>0</v>
      </c>
      <c r="T29" s="245">
        <f t="shared" si="11"/>
        <v>0</v>
      </c>
      <c r="U29" s="113">
        <v>118530140050097.64</v>
      </c>
      <c r="V29" s="94">
        <f t="shared" si="13"/>
        <v>-118530140050097.64</v>
      </c>
    </row>
    <row r="30" spans="1:22" s="2" customFormat="1">
      <c r="A30" s="120" t="s">
        <v>442</v>
      </c>
      <c r="B30" s="2272">
        <f>'[32]IAS 41 Mvmnt Cattle'!$T30</f>
        <v>2309545569.1806121</v>
      </c>
      <c r="C30" s="2275"/>
      <c r="D30" s="2233">
        <f>C16*M28</f>
        <v>0</v>
      </c>
      <c r="E30" s="2274"/>
      <c r="F30" s="2274"/>
      <c r="G30" s="2275"/>
      <c r="H30" s="2274"/>
      <c r="I30" s="2274">
        <f>+E52</f>
        <v>0</v>
      </c>
      <c r="J30" s="2274"/>
      <c r="K30" s="241">
        <f t="shared" si="4"/>
        <v>0</v>
      </c>
      <c r="L30" s="243">
        <f t="shared" si="5"/>
        <v>2309545569.1806121</v>
      </c>
      <c r="M30" s="243">
        <f t="shared" si="6"/>
        <v>1154772784.590306</v>
      </c>
      <c r="N30" s="243">
        <f t="shared" si="7"/>
        <v>0</v>
      </c>
      <c r="O30" s="243">
        <f>M30*I16</f>
        <v>0</v>
      </c>
      <c r="P30" s="243">
        <f t="shared" si="12"/>
        <v>0</v>
      </c>
      <c r="Q30" s="243">
        <f t="shared" si="9"/>
        <v>0</v>
      </c>
      <c r="R30" s="243">
        <f t="shared" si="10"/>
        <v>2309545569.1806121</v>
      </c>
      <c r="S30" s="244">
        <v>0</v>
      </c>
      <c r="T30" s="245">
        <f t="shared" si="11"/>
        <v>2309545569.1806121</v>
      </c>
      <c r="U30" s="113">
        <v>287764931635757.25</v>
      </c>
      <c r="V30" s="94">
        <f t="shared" si="13"/>
        <v>-287762622090188.06</v>
      </c>
    </row>
    <row r="31" spans="1:22" s="2" customFormat="1">
      <c r="A31" s="120" t="s">
        <v>449</v>
      </c>
      <c r="B31" s="2272">
        <f>'[32]IAS 41 Mvmnt Cattle'!$T31</f>
        <v>3608148936.6119485</v>
      </c>
      <c r="C31" s="2275"/>
      <c r="D31" s="2233"/>
      <c r="E31" s="2274"/>
      <c r="F31" s="2274"/>
      <c r="G31" s="2275"/>
      <c r="H31" s="2274"/>
      <c r="I31" s="2274">
        <f>+E53</f>
        <v>0</v>
      </c>
      <c r="J31" s="2274"/>
      <c r="K31" s="241">
        <f t="shared" si="4"/>
        <v>0</v>
      </c>
      <c r="L31" s="243">
        <f t="shared" si="5"/>
        <v>3608148936.6119485</v>
      </c>
      <c r="M31" s="243" t="e">
        <f t="shared" si="6"/>
        <v>#DIV/0!</v>
      </c>
      <c r="N31" s="243" t="e">
        <f t="shared" si="7"/>
        <v>#DIV/0!</v>
      </c>
      <c r="O31" s="243" t="e">
        <f t="shared" si="8"/>
        <v>#DIV/0!</v>
      </c>
      <c r="P31" s="243" t="e">
        <f t="shared" si="12"/>
        <v>#DIV/0!</v>
      </c>
      <c r="Q31" s="243" t="e">
        <f t="shared" si="9"/>
        <v>#DIV/0!</v>
      </c>
      <c r="R31" s="243" t="e">
        <f t="shared" si="10"/>
        <v>#DIV/0!</v>
      </c>
      <c r="S31" s="244">
        <v>0</v>
      </c>
      <c r="T31" s="245" t="e">
        <f t="shared" si="11"/>
        <v>#DIV/0!</v>
      </c>
      <c r="U31" s="113">
        <v>81590780392305.625</v>
      </c>
      <c r="V31" s="94" t="e">
        <f t="shared" si="13"/>
        <v>#DIV/0!</v>
      </c>
    </row>
    <row r="32" spans="1:22" s="2" customFormat="1">
      <c r="A32" s="120" t="s">
        <v>444</v>
      </c>
      <c r="B32" s="2272">
        <f>'[32]IAS 41 Mvmnt Cattle'!$T32</f>
        <v>15954568175.69375</v>
      </c>
      <c r="C32" s="2275"/>
      <c r="D32" s="2233">
        <f>C18*M30</f>
        <v>0</v>
      </c>
      <c r="E32" s="2274"/>
      <c r="F32" s="2274"/>
      <c r="G32" s="2275"/>
      <c r="H32" s="2274"/>
      <c r="I32" s="2274">
        <f>+E54</f>
        <v>0</v>
      </c>
      <c r="J32" s="2274"/>
      <c r="K32" s="246">
        <f t="shared" si="4"/>
        <v>0</v>
      </c>
      <c r="L32" s="246">
        <f t="shared" si="5"/>
        <v>15954568175.69375</v>
      </c>
      <c r="M32" s="2274">
        <f t="shared" si="6"/>
        <v>270416409.75752121</v>
      </c>
      <c r="N32" s="243">
        <f t="shared" si="7"/>
        <v>0</v>
      </c>
      <c r="O32" s="246">
        <f t="shared" si="8"/>
        <v>0</v>
      </c>
      <c r="P32" s="243">
        <f t="shared" si="12"/>
        <v>0</v>
      </c>
      <c r="Q32" s="246">
        <f t="shared" si="9"/>
        <v>0</v>
      </c>
      <c r="R32" s="246">
        <f t="shared" si="10"/>
        <v>15954568175.69375</v>
      </c>
      <c r="S32" s="244">
        <v>0</v>
      </c>
      <c r="T32" s="247">
        <f t="shared" si="11"/>
        <v>15954568175.69375</v>
      </c>
      <c r="U32" s="140">
        <v>985671262333045</v>
      </c>
      <c r="V32" s="94">
        <f t="shared" si="13"/>
        <v>-985655307764869.25</v>
      </c>
    </row>
    <row r="33" spans="1:22" s="2" customFormat="1" ht="13.9" thickBot="1">
      <c r="A33" s="120" t="s">
        <v>445</v>
      </c>
      <c r="B33" s="2272">
        <f>'[32]IAS 41 Mvmnt Cattle'!$T33</f>
        <v>3919418151.657114</v>
      </c>
      <c r="C33" s="2276"/>
      <c r="D33" s="2236"/>
      <c r="E33" s="2277"/>
      <c r="F33" s="2277"/>
      <c r="G33" s="2276"/>
      <c r="H33" s="2277"/>
      <c r="I33" s="2277"/>
      <c r="J33" s="2277"/>
      <c r="K33" s="246">
        <f t="shared" si="4"/>
        <v>0</v>
      </c>
      <c r="L33" s="246">
        <f t="shared" si="5"/>
        <v>3919418151.657114</v>
      </c>
      <c r="M33" s="2274">
        <f t="shared" si="6"/>
        <v>356310741.05973762</v>
      </c>
      <c r="N33" s="243">
        <f t="shared" si="7"/>
        <v>0</v>
      </c>
      <c r="O33" s="246">
        <f t="shared" si="8"/>
        <v>0</v>
      </c>
      <c r="P33" s="243">
        <f t="shared" si="12"/>
        <v>0</v>
      </c>
      <c r="Q33" s="248">
        <f t="shared" si="9"/>
        <v>0</v>
      </c>
      <c r="R33" s="246">
        <f>L33+N33+O33+P33+Q33</f>
        <v>3919418151.657114</v>
      </c>
      <c r="S33" s="244">
        <v>0</v>
      </c>
      <c r="T33" s="247">
        <f t="shared" si="11"/>
        <v>3919418151.657114</v>
      </c>
      <c r="U33" s="140">
        <v>62945973572805</v>
      </c>
      <c r="V33" s="94">
        <f t="shared" si="13"/>
        <v>-62942054154653.344</v>
      </c>
    </row>
    <row r="34" spans="1:22" s="1" customFormat="1" ht="13.9" thickBot="1">
      <c r="A34" s="3" t="s">
        <v>115</v>
      </c>
      <c r="B34" s="260">
        <f>SUM(B27:B33)</f>
        <v>32962233829.460899</v>
      </c>
      <c r="C34" s="105">
        <f t="shared" ref="C34:P34" si="14">SUM(C27:C33)</f>
        <v>0</v>
      </c>
      <c r="D34" s="105">
        <f>SUM(D27:D33)</f>
        <v>0</v>
      </c>
      <c r="E34" s="105">
        <f t="shared" si="14"/>
        <v>0</v>
      </c>
      <c r="F34" s="105">
        <f t="shared" si="14"/>
        <v>0</v>
      </c>
      <c r="G34" s="105">
        <f t="shared" si="14"/>
        <v>0</v>
      </c>
      <c r="H34" s="105">
        <f t="shared" si="14"/>
        <v>0</v>
      </c>
      <c r="I34" s="105">
        <f t="shared" si="14"/>
        <v>0</v>
      </c>
      <c r="J34" s="105">
        <f t="shared" si="14"/>
        <v>0</v>
      </c>
      <c r="K34" s="105">
        <f t="shared" si="14"/>
        <v>0</v>
      </c>
      <c r="L34" s="105">
        <f>SUM(L27:L33)</f>
        <v>32962233829.460899</v>
      </c>
      <c r="M34" s="105" t="e">
        <f>SUM(M27:M33)</f>
        <v>#DIV/0!</v>
      </c>
      <c r="N34" s="175" t="e">
        <f>SUM(N27:N33)</f>
        <v>#DIV/0!</v>
      </c>
      <c r="O34" s="175" t="e">
        <f>SUM(O27:O33)</f>
        <v>#DIV/0!</v>
      </c>
      <c r="P34" s="105" t="e">
        <f t="shared" si="14"/>
        <v>#DIV/0!</v>
      </c>
      <c r="Q34" s="105" t="e">
        <f>SUM(Q27:Q33)</f>
        <v>#DIV/0!</v>
      </c>
      <c r="R34" s="115" t="e">
        <f>SUM(R27:R33)</f>
        <v>#DIV/0!</v>
      </c>
      <c r="S34" s="105">
        <f>SUM(S27:S33)</f>
        <v>0</v>
      </c>
      <c r="T34" s="115" t="e">
        <f>SUM(T27:T33)</f>
        <v>#DIV/0!</v>
      </c>
      <c r="U34" s="115">
        <v>1861947193076666.5</v>
      </c>
      <c r="V34" s="94" t="e">
        <f t="shared" si="13"/>
        <v>#DIV/0!</v>
      </c>
    </row>
    <row r="35" spans="1:22">
      <c r="B35" s="90">
        <f>B34-'[32]IAS 41 Mvmnt Cattle'!$T$34</f>
        <v>0</v>
      </c>
      <c r="D35" s="94" t="e">
        <f>D34+N34</f>
        <v>#DIV/0!</v>
      </c>
      <c r="K35" s="106"/>
      <c r="N35" s="160" t="e">
        <f>N34+D34</f>
        <v>#DIV/0!</v>
      </c>
      <c r="S35" s="107"/>
    </row>
    <row r="40" spans="1:22">
      <c r="C40" s="108"/>
    </row>
    <row r="41" spans="1:22">
      <c r="C41" s="108"/>
    </row>
    <row r="42" spans="1:22">
      <c r="C42" s="108"/>
    </row>
    <row r="43" spans="1:22">
      <c r="C43" s="108"/>
      <c r="I43" s="106"/>
      <c r="J43" s="106"/>
    </row>
    <row r="44" spans="1:22">
      <c r="C44" s="108"/>
      <c r="I44" s="106"/>
      <c r="J44" s="106"/>
    </row>
    <row r="45" spans="1:22">
      <c r="C45" s="108"/>
      <c r="I45" s="106"/>
      <c r="J45" s="106"/>
    </row>
    <row r="46" spans="1:22">
      <c r="C46" s="108"/>
      <c r="I46" s="106"/>
      <c r="J46" s="106"/>
    </row>
    <row r="47" spans="1:22" ht="15">
      <c r="A47" s="111"/>
      <c r="B47" s="112"/>
      <c r="C47" s="112"/>
      <c r="I47" s="106"/>
      <c r="J47" s="106"/>
    </row>
    <row r="48" spans="1:22" ht="15">
      <c r="A48" s="25"/>
      <c r="B48" s="109"/>
      <c r="C48" s="109"/>
      <c r="E48" s="106"/>
      <c r="F48" s="106"/>
      <c r="I48" s="106"/>
      <c r="J48" s="106"/>
    </row>
    <row r="49" spans="1:11" ht="15">
      <c r="A49" s="25"/>
      <c r="B49" s="109"/>
      <c r="C49" s="109"/>
      <c r="E49" s="106"/>
      <c r="F49" s="106"/>
      <c r="I49" s="106"/>
      <c r="J49" s="106"/>
      <c r="K49" s="106"/>
    </row>
    <row r="50" spans="1:11" ht="15">
      <c r="A50" s="25"/>
      <c r="B50" s="109"/>
      <c r="C50" s="109"/>
      <c r="E50" s="106"/>
      <c r="F50" s="106"/>
      <c r="I50" s="106"/>
      <c r="J50" s="106"/>
      <c r="K50" s="106"/>
    </row>
    <row r="51" spans="1:11" ht="15">
      <c r="A51" s="25"/>
      <c r="B51" s="109"/>
      <c r="C51" s="109"/>
      <c r="E51" s="106"/>
      <c r="F51" s="106"/>
      <c r="I51" s="106"/>
      <c r="J51" s="106"/>
      <c r="K51" s="106"/>
    </row>
    <row r="52" spans="1:11" ht="15">
      <c r="A52" s="25"/>
      <c r="B52" s="109"/>
      <c r="C52" s="109"/>
      <c r="E52" s="106"/>
      <c r="F52" s="106"/>
      <c r="I52" s="106"/>
      <c r="J52" s="106"/>
      <c r="K52" s="106"/>
    </row>
    <row r="53" spans="1:11" ht="15">
      <c r="A53" s="25"/>
      <c r="B53" s="109"/>
      <c r="C53" s="109"/>
      <c r="E53" s="106"/>
      <c r="F53" s="106"/>
      <c r="I53" s="106"/>
      <c r="J53" s="106"/>
      <c r="K53" s="106"/>
    </row>
    <row r="54" spans="1:11" ht="15">
      <c r="A54" s="25"/>
      <c r="B54" s="109"/>
      <c r="C54" s="109"/>
      <c r="E54" s="106"/>
      <c r="I54" s="106"/>
      <c r="J54" s="106"/>
      <c r="K54" s="106"/>
    </row>
    <row r="55" spans="1:11" ht="15">
      <c r="A55" s="25"/>
      <c r="C55" s="108"/>
      <c r="I55" s="106"/>
      <c r="J55" s="106"/>
    </row>
    <row r="56" spans="1:11">
      <c r="I56" s="106"/>
      <c r="J56" s="106"/>
    </row>
    <row r="57" spans="1:11">
      <c r="I57" s="106"/>
      <c r="J57" s="106"/>
    </row>
    <row r="58" spans="1:11">
      <c r="I58" s="106"/>
      <c r="J58" s="106"/>
    </row>
    <row r="59" spans="1:11">
      <c r="I59" s="106"/>
      <c r="J59" s="106"/>
    </row>
    <row r="60" spans="1:11">
      <c r="I60" s="106"/>
      <c r="J60" s="106"/>
    </row>
    <row r="61" spans="1:11">
      <c r="I61" s="106"/>
      <c r="J61" s="106"/>
    </row>
    <row r="62" spans="1:11">
      <c r="I62" s="106"/>
      <c r="J62" s="106"/>
    </row>
    <row r="63" spans="1:11">
      <c r="I63" s="106"/>
      <c r="J63" s="106"/>
    </row>
    <row r="64" spans="1:11">
      <c r="I64" s="106"/>
      <c r="J64" s="106"/>
    </row>
  </sheetData>
  <phoneticPr fontId="19" type="noConversion"/>
  <pageMargins left="0.25" right="0.5" top="0.25" bottom="0.5" header="0.5" footer="0.5"/>
  <pageSetup paperSize="9" scale="37" orientation="landscape" verticalDpi="300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80"/>
  <dimension ref="A1:A30"/>
  <sheetViews>
    <sheetView workbookViewId="0">
      <selection activeCell="J1" sqref="J1"/>
    </sheetView>
  </sheetViews>
  <sheetFormatPr defaultColWidth="9.140625" defaultRowHeight="13.15"/>
  <cols>
    <col min="1" max="16384" width="9.140625" style="23"/>
  </cols>
  <sheetData>
    <row r="1" spans="1:1">
      <c r="A1" s="23">
        <v>14</v>
      </c>
    </row>
    <row r="2" spans="1:1">
      <c r="A2" s="23">
        <v>15</v>
      </c>
    </row>
    <row r="3" spans="1:1">
      <c r="A3" s="23">
        <v>15</v>
      </c>
    </row>
    <row r="4" spans="1:1">
      <c r="A4" s="23">
        <v>15</v>
      </c>
    </row>
    <row r="5" spans="1:1">
      <c r="A5" s="23">
        <v>12</v>
      </c>
    </row>
    <row r="6" spans="1:1">
      <c r="A6" s="23">
        <v>12</v>
      </c>
    </row>
    <row r="7" spans="1:1">
      <c r="A7" s="23">
        <v>15</v>
      </c>
    </row>
    <row r="8" spans="1:1">
      <c r="A8" s="23">
        <v>13</v>
      </c>
    </row>
    <row r="9" spans="1:1">
      <c r="A9" s="23">
        <v>14</v>
      </c>
    </row>
    <row r="10" spans="1:1">
      <c r="A10" s="23">
        <v>15</v>
      </c>
    </row>
    <row r="11" spans="1:1">
      <c r="A11" s="23">
        <v>15</v>
      </c>
    </row>
    <row r="12" spans="1:1">
      <c r="A12" s="23">
        <v>15</v>
      </c>
    </row>
    <row r="13" spans="1:1">
      <c r="A13" s="23">
        <v>14</v>
      </c>
    </row>
    <row r="14" spans="1:1">
      <c r="A14" s="23">
        <v>13</v>
      </c>
    </row>
    <row r="15" spans="1:1">
      <c r="A15" s="23">
        <v>17</v>
      </c>
    </row>
    <row r="16" spans="1:1">
      <c r="A16" s="23">
        <v>20</v>
      </c>
    </row>
    <row r="17" spans="1:1">
      <c r="A17" s="23">
        <v>20</v>
      </c>
    </row>
    <row r="18" spans="1:1">
      <c r="A18" s="23">
        <v>21</v>
      </c>
    </row>
    <row r="19" spans="1:1">
      <c r="A19" s="23">
        <v>18</v>
      </c>
    </row>
    <row r="20" spans="1:1">
      <c r="A20" s="23">
        <v>18</v>
      </c>
    </row>
    <row r="21" spans="1:1">
      <c r="A21" s="23">
        <v>18</v>
      </c>
    </row>
    <row r="22" spans="1:1">
      <c r="A22" s="23">
        <v>20</v>
      </c>
    </row>
    <row r="23" spans="1:1">
      <c r="A23" s="23">
        <v>20</v>
      </c>
    </row>
    <row r="24" spans="1:1">
      <c r="A24" s="23">
        <v>17</v>
      </c>
    </row>
    <row r="25" spans="1:1">
      <c r="A25" s="23">
        <v>10</v>
      </c>
    </row>
    <row r="26" spans="1:1">
      <c r="A26" s="23">
        <v>60</v>
      </c>
    </row>
    <row r="27" spans="1:1">
      <c r="A27" s="23">
        <v>60</v>
      </c>
    </row>
    <row r="28" spans="1:1">
      <c r="A28" s="23">
        <v>59</v>
      </c>
    </row>
    <row r="29" spans="1:1">
      <c r="A29" s="23">
        <v>60</v>
      </c>
    </row>
    <row r="30" spans="1:1">
      <c r="A30" s="23">
        <f>SUM(A1:A29)</f>
        <v>635</v>
      </c>
    </row>
  </sheetData>
  <phoneticPr fontId="31" type="noConversion"/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81"/>
  <dimension ref="A1:F50"/>
  <sheetViews>
    <sheetView view="pageBreakPreview" zoomScaleSheetLayoutView="100" workbookViewId="0">
      <selection activeCell="B8" sqref="B8"/>
    </sheetView>
  </sheetViews>
  <sheetFormatPr defaultRowHeight="13.15"/>
  <cols>
    <col min="1" max="1" width="13.7109375" customWidth="1"/>
    <col min="2" max="2" width="80.7109375" customWidth="1"/>
    <col min="3" max="3" width="30.7109375" customWidth="1"/>
    <col min="4" max="4" width="5.7109375" customWidth="1"/>
    <col min="5" max="5" width="30.7109375" customWidth="1"/>
    <col min="6" max="6" width="5.7109375" customWidth="1"/>
  </cols>
  <sheetData>
    <row r="1" spans="1:6">
      <c r="A1" s="300"/>
      <c r="B1" s="300"/>
      <c r="C1" s="2245"/>
      <c r="D1" s="2245"/>
      <c r="E1" s="2245"/>
      <c r="F1" s="2245"/>
    </row>
    <row r="2" spans="1:6" ht="24.6">
      <c r="A2" s="144" t="s">
        <v>2221</v>
      </c>
      <c r="B2" s="145"/>
      <c r="C2" s="234" t="s">
        <v>2222</v>
      </c>
      <c r="D2" s="2245"/>
      <c r="E2" s="2245"/>
      <c r="F2" s="2245"/>
    </row>
    <row r="3" spans="1:6" ht="18" thickBot="1">
      <c r="A3" s="146" t="s">
        <v>2223</v>
      </c>
      <c r="B3" s="2246"/>
      <c r="C3" s="2247"/>
      <c r="D3" s="2247"/>
      <c r="E3" s="2247"/>
      <c r="F3" s="2247"/>
    </row>
    <row r="4" spans="1:6" ht="14.45" thickTop="1" thickBot="1">
      <c r="A4" s="147" t="s">
        <v>2224</v>
      </c>
      <c r="B4" s="147" t="s">
        <v>87</v>
      </c>
      <c r="C4" s="236" t="s">
        <v>2225</v>
      </c>
      <c r="D4" s="2248"/>
      <c r="E4" s="236" t="s">
        <v>2226</v>
      </c>
      <c r="F4" s="2248"/>
    </row>
    <row r="5" spans="1:6" ht="30" customHeight="1" thickTop="1">
      <c r="A5" s="256"/>
      <c r="B5" s="256"/>
      <c r="C5" s="265"/>
      <c r="D5" s="2249"/>
      <c r="E5" s="265"/>
      <c r="F5" s="2249"/>
    </row>
    <row r="6" spans="1:6" ht="30" customHeight="1">
      <c r="A6" s="256"/>
      <c r="B6" s="256"/>
      <c r="C6" s="265"/>
      <c r="D6" s="2249"/>
      <c r="E6" s="265"/>
      <c r="F6" s="2249"/>
    </row>
    <row r="7" spans="1:6" ht="30" customHeight="1">
      <c r="A7" s="256"/>
      <c r="B7" s="256"/>
      <c r="C7" s="265"/>
      <c r="D7" s="2249"/>
      <c r="E7" s="265"/>
      <c r="F7" s="2249"/>
    </row>
    <row r="8" spans="1:6" ht="30" customHeight="1">
      <c r="A8" s="256"/>
      <c r="B8" s="256"/>
      <c r="C8" s="265"/>
      <c r="D8" s="2249"/>
      <c r="E8" s="265"/>
      <c r="F8" s="2249"/>
    </row>
    <row r="9" spans="1:6" ht="30" customHeight="1">
      <c r="A9" s="256"/>
      <c r="B9" s="256"/>
      <c r="C9" s="265"/>
      <c r="D9" s="2249"/>
      <c r="E9" s="265"/>
      <c r="F9" s="2249"/>
    </row>
    <row r="10" spans="1:6" ht="30" customHeight="1">
      <c r="A10" s="256"/>
      <c r="B10" s="256"/>
      <c r="C10" s="265"/>
      <c r="D10" s="2249"/>
      <c r="E10" s="265"/>
      <c r="F10" s="2249"/>
    </row>
    <row r="11" spans="1:6" ht="30" customHeight="1">
      <c r="A11" s="256"/>
      <c r="B11" s="256"/>
      <c r="C11" s="265"/>
      <c r="D11" s="2249"/>
      <c r="E11" s="265"/>
      <c r="F11" s="2249"/>
    </row>
    <row r="12" spans="1:6" ht="30" customHeight="1">
      <c r="A12" s="256"/>
      <c r="B12" s="256"/>
      <c r="C12" s="265"/>
      <c r="D12" s="2249"/>
      <c r="E12" s="265"/>
      <c r="F12" s="2249"/>
    </row>
    <row r="13" spans="1:6" ht="30" customHeight="1">
      <c r="A13" s="256"/>
      <c r="B13" s="256"/>
      <c r="C13" s="265"/>
      <c r="D13" s="2249"/>
      <c r="E13" s="265"/>
      <c r="F13" s="2249"/>
    </row>
    <row r="14" spans="1:6" ht="30" customHeight="1">
      <c r="A14" s="256"/>
      <c r="B14" s="256"/>
      <c r="C14" s="265"/>
      <c r="D14" s="2249"/>
      <c r="E14" s="265"/>
      <c r="F14" s="2249"/>
    </row>
    <row r="15" spans="1:6" ht="30" customHeight="1">
      <c r="A15" s="256"/>
      <c r="B15" s="256"/>
      <c r="C15" s="265"/>
      <c r="D15" s="2249"/>
      <c r="E15" s="265"/>
      <c r="F15" s="2249"/>
    </row>
    <row r="16" spans="1:6" ht="30" customHeight="1">
      <c r="A16" s="256"/>
      <c r="B16" s="256"/>
      <c r="C16" s="265"/>
      <c r="D16" s="2249"/>
      <c r="E16" s="265"/>
      <c r="F16" s="2249"/>
    </row>
    <row r="17" spans="1:6" ht="30" customHeight="1">
      <c r="A17" s="256"/>
      <c r="B17" s="256"/>
      <c r="C17" s="265"/>
      <c r="D17" s="2249"/>
      <c r="E17" s="265"/>
      <c r="F17" s="2249"/>
    </row>
    <row r="18" spans="1:6" ht="30" customHeight="1">
      <c r="A18" s="256"/>
      <c r="B18" s="256"/>
      <c r="C18" s="265"/>
      <c r="D18" s="2249"/>
      <c r="E18" s="265"/>
      <c r="F18" s="2249"/>
    </row>
    <row r="19" spans="1:6" ht="30" customHeight="1">
      <c r="A19" s="256"/>
      <c r="B19" s="256"/>
      <c r="C19" s="265"/>
      <c r="D19" s="2249"/>
      <c r="E19" s="265"/>
      <c r="F19" s="2249"/>
    </row>
    <row r="20" spans="1:6" ht="30" customHeight="1">
      <c r="A20" s="256"/>
      <c r="B20" s="256"/>
      <c r="C20" s="265"/>
      <c r="D20" s="2249"/>
      <c r="E20" s="265"/>
      <c r="F20" s="2249"/>
    </row>
    <row r="21" spans="1:6" ht="30" customHeight="1">
      <c r="A21" s="256"/>
      <c r="B21" s="256"/>
      <c r="C21" s="265"/>
      <c r="D21" s="2249"/>
      <c r="E21" s="265"/>
      <c r="F21" s="2249"/>
    </row>
    <row r="22" spans="1:6" ht="30" customHeight="1">
      <c r="A22" s="256"/>
      <c r="B22" s="257"/>
      <c r="C22" s="265"/>
      <c r="D22" s="2249"/>
      <c r="E22" s="265"/>
      <c r="F22" s="2249"/>
    </row>
    <row r="23" spans="1:6" ht="30" customHeight="1">
      <c r="A23" s="256"/>
      <c r="B23" s="256"/>
      <c r="C23" s="265"/>
      <c r="D23" s="2249"/>
      <c r="E23" s="265"/>
      <c r="F23" s="2249"/>
    </row>
    <row r="24" spans="1:6" ht="30" customHeight="1">
      <c r="A24" s="256"/>
      <c r="B24" s="256"/>
      <c r="C24" s="265"/>
      <c r="D24" s="2249"/>
      <c r="E24" s="265"/>
      <c r="F24" s="2249"/>
    </row>
    <row r="25" spans="1:6" ht="30" customHeight="1">
      <c r="A25" s="256"/>
      <c r="B25" s="256"/>
      <c r="C25" s="265"/>
      <c r="D25" s="2249"/>
      <c r="E25" s="265"/>
      <c r="F25" s="2249"/>
    </row>
    <row r="26" spans="1:6" ht="30" customHeight="1">
      <c r="A26" s="256"/>
      <c r="B26" s="257"/>
      <c r="C26" s="265"/>
      <c r="D26" s="2249"/>
      <c r="E26" s="265"/>
      <c r="F26" s="2249"/>
    </row>
    <row r="27" spans="1:6" ht="30" customHeight="1">
      <c r="A27" s="256"/>
      <c r="B27" s="257"/>
      <c r="C27" s="265"/>
      <c r="D27" s="2249"/>
      <c r="E27" s="265"/>
      <c r="F27" s="2249"/>
    </row>
    <row r="28" spans="1:6" ht="30" customHeight="1">
      <c r="A28" s="256"/>
      <c r="B28" s="257"/>
      <c r="C28" s="265"/>
      <c r="D28" s="2249"/>
      <c r="E28" s="265"/>
      <c r="F28" s="2249"/>
    </row>
    <row r="29" spans="1:6" ht="30" customHeight="1">
      <c r="A29" s="256"/>
      <c r="B29" s="257"/>
      <c r="C29" s="265"/>
      <c r="D29" s="2249"/>
      <c r="E29" s="265"/>
      <c r="F29" s="2249"/>
    </row>
    <row r="30" spans="1:6" ht="30" customHeight="1">
      <c r="A30" s="256"/>
      <c r="B30" s="257"/>
      <c r="C30" s="265"/>
      <c r="D30" s="2249"/>
      <c r="E30" s="265"/>
      <c r="F30" s="2249"/>
    </row>
    <row r="31" spans="1:6" ht="30" customHeight="1">
      <c r="A31" s="256"/>
      <c r="B31" s="257"/>
      <c r="C31" s="265"/>
      <c r="D31" s="2249"/>
      <c r="E31" s="265"/>
      <c r="F31" s="2249"/>
    </row>
    <row r="32" spans="1:6" ht="30" customHeight="1">
      <c r="A32" s="256"/>
      <c r="B32" s="257"/>
      <c r="C32" s="265"/>
      <c r="D32" s="2249"/>
      <c r="E32" s="265"/>
      <c r="F32" s="2249"/>
    </row>
    <row r="33" spans="1:6" ht="30" customHeight="1">
      <c r="A33" s="256"/>
      <c r="B33" s="257"/>
      <c r="C33" s="265"/>
      <c r="D33" s="2249"/>
      <c r="E33" s="265"/>
      <c r="F33" s="2249"/>
    </row>
    <row r="34" spans="1:6" ht="30" customHeight="1">
      <c r="A34" s="256"/>
      <c r="B34" s="256"/>
      <c r="C34" s="265"/>
      <c r="D34" s="2249"/>
      <c r="E34" s="265"/>
      <c r="F34" s="2249"/>
    </row>
    <row r="35" spans="1:6" ht="30" customHeight="1">
      <c r="A35" s="256"/>
      <c r="B35" s="256"/>
      <c r="C35" s="2252"/>
      <c r="D35" s="2253"/>
      <c r="E35" s="265"/>
      <c r="F35" s="2253"/>
    </row>
    <row r="36" spans="1:6" ht="30" customHeight="1">
      <c r="A36" s="256"/>
      <c r="B36" s="256"/>
      <c r="C36" s="265"/>
      <c r="D36" s="2253"/>
      <c r="E36" s="265"/>
      <c r="F36" s="2253"/>
    </row>
    <row r="37" spans="1:6" ht="30" customHeight="1">
      <c r="A37" s="256"/>
      <c r="B37" s="256"/>
      <c r="C37" s="265"/>
      <c r="D37" s="2253"/>
      <c r="E37" s="265"/>
      <c r="F37" s="2253"/>
    </row>
    <row r="38" spans="1:6" ht="30" customHeight="1">
      <c r="A38" s="256"/>
      <c r="B38" s="256"/>
      <c r="C38" s="265"/>
      <c r="D38" s="2253"/>
      <c r="E38" s="265"/>
      <c r="F38" s="2253"/>
    </row>
    <row r="39" spans="1:6" ht="30" customHeight="1" thickBot="1">
      <c r="A39" s="258"/>
      <c r="B39" s="258"/>
      <c r="C39" s="2255"/>
      <c r="D39" s="2256"/>
      <c r="E39" s="2255"/>
      <c r="F39" s="2256"/>
    </row>
    <row r="40" spans="1:6" ht="30" customHeight="1" thickBot="1">
      <c r="A40" s="148" t="s">
        <v>2258</v>
      </c>
      <c r="B40" s="2257"/>
      <c r="C40" s="2258">
        <f>SUM(C5:C39)</f>
        <v>0</v>
      </c>
      <c r="D40" s="2258"/>
      <c r="E40" s="2258">
        <f>SUM(E5:E39)</f>
        <v>0</v>
      </c>
      <c r="F40" s="2258"/>
    </row>
    <row r="41" spans="1:6" ht="30" customHeight="1" thickTop="1">
      <c r="A41" s="300"/>
      <c r="B41" s="300"/>
      <c r="C41" s="2259"/>
      <c r="D41" s="2259"/>
      <c r="E41" s="2259">
        <f>+C40-E40</f>
        <v>0</v>
      </c>
      <c r="F41" s="2259"/>
    </row>
    <row r="42" spans="1:6" ht="30" customHeight="1">
      <c r="A42" s="131" t="s">
        <v>2322</v>
      </c>
      <c r="B42" s="1"/>
      <c r="C42" s="2245"/>
      <c r="D42" s="2245"/>
      <c r="E42" s="2245"/>
      <c r="F42" s="2245"/>
    </row>
    <row r="43" spans="1:6" ht="30" customHeight="1">
      <c r="A43" s="131" t="s">
        <v>2260</v>
      </c>
      <c r="B43" s="1"/>
      <c r="C43" s="2245"/>
      <c r="D43" s="2245"/>
      <c r="E43" s="2245"/>
      <c r="F43" s="2245"/>
    </row>
    <row r="44" spans="1:6" ht="30" customHeight="1">
      <c r="A44" s="131" t="s">
        <v>2260</v>
      </c>
      <c r="B44" s="1"/>
      <c r="C44" s="2245"/>
      <c r="D44" s="2245"/>
      <c r="E44" s="2245"/>
      <c r="F44" s="2245"/>
    </row>
    <row r="45" spans="1:6" ht="30" customHeight="1">
      <c r="A45" s="131" t="s">
        <v>2260</v>
      </c>
      <c r="B45" s="1"/>
      <c r="C45" s="2245"/>
      <c r="D45" s="2245"/>
      <c r="E45" s="2245"/>
      <c r="F45" s="2245"/>
    </row>
    <row r="46" spans="1:6" ht="30" customHeight="1">
      <c r="A46" s="131"/>
      <c r="B46" s="1"/>
      <c r="C46" s="2245"/>
      <c r="D46" s="2245"/>
      <c r="E46" s="2245"/>
      <c r="F46" s="2245"/>
    </row>
    <row r="47" spans="1:6" ht="30" customHeight="1">
      <c r="A47" s="131" t="s">
        <v>2261</v>
      </c>
      <c r="B47" s="1"/>
      <c r="C47" s="2245"/>
      <c r="D47" s="2245"/>
      <c r="E47" s="2245"/>
      <c r="F47" s="2245"/>
    </row>
    <row r="48" spans="1:6" ht="30" customHeight="1">
      <c r="A48" s="131"/>
      <c r="B48" s="1"/>
      <c r="C48" s="2245"/>
      <c r="D48" s="2245"/>
      <c r="E48" s="2245"/>
      <c r="F48" s="2245"/>
    </row>
    <row r="49" spans="1:6" ht="30" customHeight="1">
      <c r="A49" s="131" t="s">
        <v>2262</v>
      </c>
      <c r="B49" s="1"/>
      <c r="C49" s="2245"/>
      <c r="D49" s="2245"/>
      <c r="E49" s="2245"/>
      <c r="F49" s="2245"/>
    </row>
    <row r="50" spans="1:6">
      <c r="A50" s="300"/>
      <c r="B50" s="300"/>
      <c r="C50" s="2245"/>
      <c r="D50" s="2245"/>
      <c r="E50" s="2245"/>
      <c r="F50" s="2245"/>
    </row>
  </sheetData>
  <phoneticPr fontId="31" type="noConversion"/>
  <pageMargins left="0.7" right="0.7" top="0.75" bottom="0.75" header="0.3" footer="0.3"/>
  <pageSetup scale="4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82"/>
  <dimension ref="A1:G42"/>
  <sheetViews>
    <sheetView topLeftCell="A4" workbookViewId="0">
      <pane ySplit="2" topLeftCell="A6" activePane="bottomLeft" state="frozen"/>
      <selection pane="bottomLeft" activeCell="D42" sqref="D42"/>
      <selection activeCell="A4" sqref="A4"/>
    </sheetView>
  </sheetViews>
  <sheetFormatPr defaultRowHeight="13.15"/>
  <cols>
    <col min="2" max="2" width="15.28515625" bestFit="1" customWidth="1"/>
    <col min="3" max="3" width="15.5703125" bestFit="1" customWidth="1"/>
    <col min="4" max="4" width="11" bestFit="1" customWidth="1"/>
    <col min="5" max="5" width="11" customWidth="1"/>
    <col min="6" max="6" width="21" bestFit="1" customWidth="1"/>
    <col min="7" max="7" width="11.5703125" bestFit="1" customWidth="1"/>
  </cols>
  <sheetData>
    <row r="1" spans="1:7">
      <c r="A1" t="s">
        <v>56</v>
      </c>
    </row>
    <row r="2" spans="1:7">
      <c r="A2" t="s">
        <v>2323</v>
      </c>
    </row>
    <row r="3" spans="1:7">
      <c r="A3" t="s">
        <v>2324</v>
      </c>
    </row>
    <row r="5" spans="1:7">
      <c r="B5" t="s">
        <v>2325</v>
      </c>
      <c r="C5" t="s">
        <v>2326</v>
      </c>
      <c r="D5" t="s">
        <v>2327</v>
      </c>
      <c r="E5" t="s">
        <v>231</v>
      </c>
      <c r="F5" t="s">
        <v>2328</v>
      </c>
      <c r="G5" t="s">
        <v>2329</v>
      </c>
    </row>
    <row r="7" spans="1:7">
      <c r="A7" t="s">
        <v>67</v>
      </c>
      <c r="D7">
        <v>3</v>
      </c>
    </row>
    <row r="9" spans="1:7">
      <c r="A9" t="s">
        <v>68</v>
      </c>
      <c r="D9">
        <v>2</v>
      </c>
    </row>
    <row r="11" spans="1:7">
      <c r="A11" t="s">
        <v>2330</v>
      </c>
      <c r="B11">
        <v>16</v>
      </c>
    </row>
    <row r="12" spans="1:7">
      <c r="B12">
        <f>61*2</f>
        <v>122</v>
      </c>
    </row>
    <row r="13" spans="1:7">
      <c r="B13">
        <f>67*3</f>
        <v>201</v>
      </c>
    </row>
    <row r="15" spans="1:7">
      <c r="A15" t="s">
        <v>2331</v>
      </c>
      <c r="B15">
        <v>43</v>
      </c>
      <c r="C15">
        <v>2</v>
      </c>
      <c r="G15">
        <v>7</v>
      </c>
    </row>
    <row r="16" spans="1:7">
      <c r="B16">
        <f>60*5</f>
        <v>300</v>
      </c>
      <c r="C16">
        <v>5</v>
      </c>
    </row>
    <row r="17" spans="1:7">
      <c r="B17">
        <v>48</v>
      </c>
      <c r="C17">
        <v>5</v>
      </c>
    </row>
    <row r="18" spans="1:7">
      <c r="B18">
        <v>44</v>
      </c>
      <c r="C18">
        <v>4</v>
      </c>
    </row>
    <row r="19" spans="1:7">
      <c r="B19">
        <v>60</v>
      </c>
    </row>
    <row r="21" spans="1:7">
      <c r="A21" t="s">
        <v>2332</v>
      </c>
      <c r="B21">
        <v>60</v>
      </c>
      <c r="C21">
        <v>4</v>
      </c>
      <c r="E21">
        <v>1</v>
      </c>
      <c r="F21">
        <v>10</v>
      </c>
      <c r="G21">
        <v>5</v>
      </c>
    </row>
    <row r="22" spans="1:7">
      <c r="B22">
        <v>17</v>
      </c>
      <c r="C22">
        <v>1</v>
      </c>
      <c r="G22">
        <v>10</v>
      </c>
    </row>
    <row r="23" spans="1:7">
      <c r="B23">
        <f>65*3</f>
        <v>195</v>
      </c>
      <c r="C23">
        <v>3</v>
      </c>
      <c r="G23">
        <v>2</v>
      </c>
    </row>
    <row r="24" spans="1:7">
      <c r="B24">
        <v>17</v>
      </c>
      <c r="C24">
        <v>1</v>
      </c>
      <c r="G24">
        <v>1</v>
      </c>
    </row>
    <row r="25" spans="1:7">
      <c r="B25">
        <v>59</v>
      </c>
      <c r="C25">
        <v>10</v>
      </c>
    </row>
    <row r="26" spans="1:7">
      <c r="C26">
        <v>8</v>
      </c>
    </row>
    <row r="27" spans="1:7">
      <c r="C27">
        <v>3</v>
      </c>
    </row>
    <row r="28" spans="1:7">
      <c r="C28">
        <v>3</v>
      </c>
    </row>
    <row r="29" spans="1:7">
      <c r="C29">
        <v>10</v>
      </c>
    </row>
    <row r="30" spans="1:7">
      <c r="C30">
        <v>7</v>
      </c>
    </row>
    <row r="31" spans="1:7">
      <c r="C31">
        <v>3</v>
      </c>
    </row>
    <row r="33" spans="1:7">
      <c r="A33" t="s">
        <v>412</v>
      </c>
      <c r="C33">
        <v>3</v>
      </c>
      <c r="E33">
        <v>4</v>
      </c>
      <c r="G33">
        <v>2</v>
      </c>
    </row>
    <row r="34" spans="1:7">
      <c r="C34">
        <v>1</v>
      </c>
      <c r="E34">
        <v>4</v>
      </c>
    </row>
    <row r="35" spans="1:7">
      <c r="C35">
        <v>1</v>
      </c>
      <c r="E35">
        <v>6</v>
      </c>
    </row>
    <row r="36" spans="1:7">
      <c r="E36">
        <v>6</v>
      </c>
    </row>
    <row r="42" spans="1:7">
      <c r="B42">
        <f t="shared" ref="B42:G42" si="0">SUM(B7:B41)</f>
        <v>1182</v>
      </c>
      <c r="C42">
        <f t="shared" si="0"/>
        <v>74</v>
      </c>
      <c r="D42">
        <f t="shared" si="0"/>
        <v>5</v>
      </c>
      <c r="E42">
        <f t="shared" si="0"/>
        <v>21</v>
      </c>
      <c r="F42">
        <f t="shared" si="0"/>
        <v>10</v>
      </c>
      <c r="G42">
        <f t="shared" si="0"/>
        <v>27</v>
      </c>
    </row>
  </sheetData>
  <phoneticPr fontId="31" type="noConversion"/>
  <pageMargins left="0.7" right="0.7" top="0.75" bottom="0.75" header="0.3" footer="0.3"/>
  <pageSetup orientation="portrait" r:id="rId1"/>
  <legacy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83"/>
  <dimension ref="A1:I37"/>
  <sheetViews>
    <sheetView view="pageBreakPreview" topLeftCell="A4" zoomScaleSheetLayoutView="100" workbookViewId="0">
      <selection activeCell="E24" sqref="E24"/>
    </sheetView>
  </sheetViews>
  <sheetFormatPr defaultRowHeight="13.15"/>
  <cols>
    <col min="1" max="1" width="10.5703125" customWidth="1"/>
    <col min="2" max="2" width="18.85546875" bestFit="1" customWidth="1"/>
    <col min="3" max="3" width="9.85546875" bestFit="1" customWidth="1"/>
    <col min="4" max="4" width="11.5703125" bestFit="1" customWidth="1"/>
    <col min="5" max="5" width="9.42578125" bestFit="1" customWidth="1"/>
    <col min="6" max="6" width="14.140625" bestFit="1" customWidth="1"/>
    <col min="8" max="8" width="12.140625" bestFit="1" customWidth="1"/>
    <col min="9" max="9" width="11.28515625" bestFit="1" customWidth="1"/>
  </cols>
  <sheetData>
    <row r="1" spans="1:6">
      <c r="A1" s="1" t="s">
        <v>81</v>
      </c>
      <c r="B1" s="1"/>
    </row>
    <row r="2" spans="1:6">
      <c r="A2" s="1"/>
      <c r="B2" s="1"/>
    </row>
    <row r="3" spans="1:6">
      <c r="A3" s="1" t="s">
        <v>82</v>
      </c>
      <c r="B3" s="1"/>
    </row>
    <row r="4" spans="1:6">
      <c r="A4" s="1"/>
      <c r="B4" s="1"/>
    </row>
    <row r="5" spans="1:6">
      <c r="A5" s="1" t="s">
        <v>2333</v>
      </c>
      <c r="B5" s="1"/>
    </row>
    <row r="6" spans="1:6">
      <c r="A6" s="1"/>
    </row>
    <row r="7" spans="1:6">
      <c r="A7" s="17" t="s">
        <v>2334</v>
      </c>
      <c r="B7" s="1"/>
    </row>
    <row r="8" spans="1:6">
      <c r="A8" s="1"/>
      <c r="B8" s="1"/>
    </row>
    <row r="9" spans="1:6">
      <c r="A9" s="1"/>
      <c r="B9" s="283" t="s">
        <v>2335</v>
      </c>
      <c r="C9" t="s">
        <v>1760</v>
      </c>
      <c r="D9" t="s">
        <v>2336</v>
      </c>
      <c r="E9" t="s">
        <v>2337</v>
      </c>
      <c r="F9" t="s">
        <v>183</v>
      </c>
    </row>
    <row r="10" spans="1:6">
      <c r="A10" s="1"/>
      <c r="B10" s="125"/>
    </row>
    <row r="11" spans="1:6">
      <c r="A11" t="s">
        <v>105</v>
      </c>
      <c r="B11" s="284" t="e">
        <f>'Summary Total Pigs'!#REF!</f>
        <v>#REF!</v>
      </c>
      <c r="C11" s="79"/>
      <c r="D11" s="79"/>
      <c r="E11" s="79">
        <v>22</v>
      </c>
      <c r="F11" s="79" t="e">
        <f>B11*E11</f>
        <v>#REF!</v>
      </c>
    </row>
    <row r="12" spans="1:6">
      <c r="A12" t="s">
        <v>107</v>
      </c>
      <c r="B12" s="284" t="e">
        <f>'Summary Total Pigs'!#REF!</f>
        <v>#REF!</v>
      </c>
      <c r="C12" s="79">
        <v>82</v>
      </c>
      <c r="D12" s="79" t="e">
        <f>B12*C12</f>
        <v>#REF!</v>
      </c>
      <c r="E12" s="79">
        <v>1.5</v>
      </c>
      <c r="F12" s="79" t="e">
        <f>D12*E12</f>
        <v>#REF!</v>
      </c>
    </row>
    <row r="13" spans="1:6">
      <c r="A13" t="s">
        <v>109</v>
      </c>
      <c r="B13" s="284" t="e">
        <f>'Summary Total Pigs'!#REF!</f>
        <v>#REF!</v>
      </c>
      <c r="C13" s="79"/>
      <c r="D13" s="79"/>
      <c r="E13" s="79"/>
      <c r="F13" s="79">
        <f>D13*E13</f>
        <v>0</v>
      </c>
    </row>
    <row r="14" spans="1:6">
      <c r="A14" t="s">
        <v>111</v>
      </c>
      <c r="B14" s="284" t="e">
        <f>'Summary Total Pigs'!#REF!</f>
        <v>#REF!</v>
      </c>
      <c r="C14" s="79"/>
      <c r="D14" s="79"/>
      <c r="E14" s="79"/>
      <c r="F14" s="79">
        <f>D14*E14</f>
        <v>0</v>
      </c>
    </row>
    <row r="15" spans="1:6">
      <c r="A15" t="s">
        <v>112</v>
      </c>
      <c r="B15" s="284" t="e">
        <f>'Summary Total Pigs'!#REF!</f>
        <v>#REF!</v>
      </c>
      <c r="C15" s="79">
        <v>150</v>
      </c>
      <c r="D15" s="79" t="e">
        <f>B15*C15</f>
        <v>#REF!</v>
      </c>
      <c r="E15" s="79">
        <v>1.5</v>
      </c>
      <c r="F15" s="79" t="e">
        <f>D15*E15</f>
        <v>#REF!</v>
      </c>
    </row>
    <row r="16" spans="1:6">
      <c r="A16" t="s">
        <v>113</v>
      </c>
      <c r="B16" s="284" t="e">
        <f>'Summary Total Pigs'!#REF!</f>
        <v>#REF!</v>
      </c>
      <c r="C16" s="79">
        <v>180</v>
      </c>
      <c r="D16" s="79" t="e">
        <f>B16*C16</f>
        <v>#REF!</v>
      </c>
      <c r="E16" s="79">
        <v>1.5</v>
      </c>
      <c r="F16" s="79" t="e">
        <f>D16*E16</f>
        <v>#REF!</v>
      </c>
    </row>
    <row r="17" spans="1:9">
      <c r="B17" s="284"/>
      <c r="C17" s="79"/>
      <c r="D17" s="79"/>
      <c r="E17" s="79"/>
      <c r="F17" s="79"/>
    </row>
    <row r="18" spans="1:9" ht="13.9" thickBot="1">
      <c r="B18" s="285" t="e">
        <f>SUM(B11:B17)</f>
        <v>#REF!</v>
      </c>
      <c r="C18" s="79"/>
      <c r="D18" s="79"/>
      <c r="E18" s="79"/>
      <c r="F18" s="282" t="e">
        <f>SUM(F11:F17)</f>
        <v>#REF!</v>
      </c>
      <c r="G18" s="94">
        <f>[114]FV!$C$8</f>
        <v>91946.066510209668</v>
      </c>
    </row>
    <row r="19" spans="1:9" ht="13.9" thickTop="1"/>
    <row r="20" spans="1:9">
      <c r="A20" s="17" t="s">
        <v>2338</v>
      </c>
      <c r="B20" s="1"/>
    </row>
    <row r="21" spans="1:9">
      <c r="A21" s="1"/>
      <c r="B21" s="1"/>
    </row>
    <row r="22" spans="1:9">
      <c r="A22" s="1"/>
      <c r="B22" s="283" t="s">
        <v>2335</v>
      </c>
      <c r="C22" t="s">
        <v>1760</v>
      </c>
      <c r="D22" t="s">
        <v>2336</v>
      </c>
      <c r="E22" t="s">
        <v>2337</v>
      </c>
      <c r="F22" t="s">
        <v>183</v>
      </c>
    </row>
    <row r="23" spans="1:9">
      <c r="A23" s="1"/>
      <c r="B23" s="125"/>
    </row>
    <row r="24" spans="1:9">
      <c r="A24" t="s">
        <v>105</v>
      </c>
      <c r="B24" s="284" t="e">
        <f>'Summary Total Pigs'!#REF!</f>
        <v>#REF!</v>
      </c>
      <c r="C24" s="79"/>
      <c r="D24" s="79"/>
      <c r="E24" s="79">
        <v>22</v>
      </c>
      <c r="F24" s="79" t="e">
        <f>B24*E24</f>
        <v>#REF!</v>
      </c>
    </row>
    <row r="25" spans="1:9">
      <c r="A25" t="s">
        <v>107</v>
      </c>
      <c r="B25" s="284" t="e">
        <f>'Summary Total Pigs'!#REF!</f>
        <v>#REF!</v>
      </c>
      <c r="C25" s="79">
        <v>82</v>
      </c>
      <c r="D25" s="79" t="e">
        <f>B25*C25</f>
        <v>#REF!</v>
      </c>
      <c r="E25" s="79">
        <v>1.5</v>
      </c>
      <c r="F25" s="79" t="e">
        <f>D25*E25</f>
        <v>#REF!</v>
      </c>
    </row>
    <row r="26" spans="1:9">
      <c r="A26" t="s">
        <v>109</v>
      </c>
      <c r="B26" s="284" t="e">
        <f>'Summary Total Pigs'!#REF!</f>
        <v>#REF!</v>
      </c>
      <c r="C26" s="79"/>
      <c r="D26" s="79"/>
      <c r="E26" s="79"/>
      <c r="F26" s="79">
        <f>D26*E26</f>
        <v>0</v>
      </c>
    </row>
    <row r="27" spans="1:9">
      <c r="A27" t="s">
        <v>111</v>
      </c>
      <c r="B27" s="284" t="e">
        <f>'Summary Total Pigs'!#REF!</f>
        <v>#REF!</v>
      </c>
      <c r="C27" s="79"/>
      <c r="D27" s="79"/>
      <c r="E27" s="79"/>
      <c r="F27" s="79">
        <f>D27*E27</f>
        <v>0</v>
      </c>
    </row>
    <row r="28" spans="1:9">
      <c r="A28" t="s">
        <v>112</v>
      </c>
      <c r="B28" s="284" t="e">
        <f>'Summary Total Pigs'!#REF!</f>
        <v>#REF!</v>
      </c>
      <c r="C28" s="79">
        <v>150</v>
      </c>
      <c r="D28" s="79" t="e">
        <f>B28*C28</f>
        <v>#REF!</v>
      </c>
      <c r="E28" s="79">
        <v>1.5</v>
      </c>
      <c r="F28" s="79" t="e">
        <f>D28*E28</f>
        <v>#REF!</v>
      </c>
    </row>
    <row r="29" spans="1:9">
      <c r="A29" t="s">
        <v>113</v>
      </c>
      <c r="B29" s="284" t="e">
        <f>'Summary Total Pigs'!#REF!</f>
        <v>#REF!</v>
      </c>
      <c r="C29" s="79">
        <v>180</v>
      </c>
      <c r="D29" s="79" t="e">
        <f>B29*C29</f>
        <v>#REF!</v>
      </c>
      <c r="E29" s="79">
        <v>1.5</v>
      </c>
      <c r="F29" s="79" t="e">
        <f>D29*E29</f>
        <v>#REF!</v>
      </c>
    </row>
    <row r="30" spans="1:9">
      <c r="B30" s="284"/>
      <c r="C30" s="79"/>
      <c r="D30" s="79"/>
      <c r="E30" s="79"/>
      <c r="F30" s="79"/>
    </row>
    <row r="31" spans="1:9" ht="13.9" thickBot="1">
      <c r="B31" s="285" t="e">
        <f>SUM(B24:B30)</f>
        <v>#REF!</v>
      </c>
      <c r="C31" s="79"/>
      <c r="D31" s="79"/>
      <c r="E31" s="79"/>
      <c r="F31" s="282" t="e">
        <f>SUM(F24:F30)</f>
        <v>#REF!</v>
      </c>
      <c r="G31" s="94">
        <f>[114]FV!$C$9</f>
        <v>200802.04563660346</v>
      </c>
      <c r="H31" t="e">
        <f>F31/G31</f>
        <v>#REF!</v>
      </c>
      <c r="I31" s="23">
        <f>G31*0.6</f>
        <v>120481.22738196208</v>
      </c>
    </row>
    <row r="32" spans="1:9" ht="13.9" thickTop="1"/>
    <row r="33" spans="1:8" s="131" customFormat="1" ht="16.149999999999999" thickBot="1">
      <c r="A33" s="131" t="s">
        <v>2339</v>
      </c>
      <c r="F33" s="286" t="e">
        <f>F31+F18</f>
        <v>#REF!</v>
      </c>
      <c r="H33" s="287">
        <f>SUM([114]FV!$C$19)</f>
        <v>2293030.7917955932</v>
      </c>
    </row>
    <row r="34" spans="1:8" ht="13.9" thickTop="1">
      <c r="H34" s="94">
        <f>-[114]FV!$C$6</f>
        <v>-1675734.0490167846</v>
      </c>
    </row>
    <row r="35" spans="1:8">
      <c r="H35" s="94">
        <f>-[114]FV!$C$10</f>
        <v>-10654.5</v>
      </c>
    </row>
    <row r="37" spans="1:8">
      <c r="H37" s="94">
        <f>SUM(H33:H35)</f>
        <v>606642.24277880858</v>
      </c>
    </row>
  </sheetData>
  <phoneticPr fontId="34" type="noConversion"/>
  <printOptions gridLines="1"/>
  <pageMargins left="0.5" right="0.5" top="0.5" bottom="0.5" header="0.5" footer="0.5"/>
  <pageSetup paperSize="9" scale="120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84">
    <pageSetUpPr fitToPage="1"/>
  </sheetPr>
  <dimension ref="A1:E61"/>
  <sheetViews>
    <sheetView workbookViewId="0"/>
  </sheetViews>
  <sheetFormatPr defaultRowHeight="13.15"/>
  <cols>
    <col min="1" max="1" width="20.7109375" customWidth="1"/>
    <col min="2" max="2" width="9.28515625" style="23" bestFit="1" customWidth="1"/>
    <col min="3" max="3" width="9.85546875" style="23" bestFit="1" customWidth="1"/>
  </cols>
  <sheetData>
    <row r="1" spans="1:3">
      <c r="A1" t="s">
        <v>1836</v>
      </c>
      <c r="C1" s="23">
        <f>+'Summary Total Pigs'!C12+'Summary Total Pigs'!C15+'Summary Total Pigs'!C16+'Summary Total Pigs'!C17</f>
        <v>8073</v>
      </c>
    </row>
    <row r="2" spans="1:3">
      <c r="A2" t="s">
        <v>1787</v>
      </c>
    </row>
    <row r="3" spans="1:3">
      <c r="A3" t="s">
        <v>2146</v>
      </c>
      <c r="B3" s="23">
        <f>+'Grasmere Batch Mvnt'!B6</f>
        <v>1644</v>
      </c>
    </row>
    <row r="4" spans="1:3">
      <c r="A4" t="s">
        <v>2147</v>
      </c>
      <c r="B4" s="23">
        <f>+'Grasmere Batch Mvnt'!J6</f>
        <v>0</v>
      </c>
    </row>
    <row r="5" spans="1:3">
      <c r="A5" t="s">
        <v>2148</v>
      </c>
      <c r="B5" s="23">
        <f>+'Grasmere Batch Mvnt'!R6</f>
        <v>0</v>
      </c>
    </row>
    <row r="6" spans="1:3">
      <c r="A6" t="s">
        <v>2149</v>
      </c>
      <c r="B6" s="23">
        <f>+'Grasmere Batch Mvnt'!Z6</f>
        <v>0</v>
      </c>
    </row>
    <row r="7" spans="1:3">
      <c r="A7" t="s">
        <v>2150</v>
      </c>
      <c r="B7" s="23" t="e">
        <f>+'Grasmere Batch Mvnt'!#REF!</f>
        <v>#REF!</v>
      </c>
    </row>
    <row r="8" spans="1:3">
      <c r="A8" t="s">
        <v>2340</v>
      </c>
      <c r="C8" s="23" t="e">
        <f>SUM(B3:B7)</f>
        <v>#REF!</v>
      </c>
    </row>
    <row r="10" spans="1:3">
      <c r="A10" t="s">
        <v>2341</v>
      </c>
    </row>
    <row r="11" spans="1:3">
      <c r="A11" t="s">
        <v>2146</v>
      </c>
      <c r="B11" s="23">
        <f>-'Grasmere Batch Mvnt'!C6</f>
        <v>-134</v>
      </c>
    </row>
    <row r="12" spans="1:3">
      <c r="A12" t="s">
        <v>2147</v>
      </c>
      <c r="B12" s="23">
        <f>-'Grasmere Batch Mvnt'!K6</f>
        <v>0</v>
      </c>
    </row>
    <row r="13" spans="1:3">
      <c r="A13" t="s">
        <v>2148</v>
      </c>
      <c r="B13" s="23">
        <f>-'Grasmere Batch Mvnt'!S6</f>
        <v>0</v>
      </c>
    </row>
    <row r="14" spans="1:3">
      <c r="A14" t="s">
        <v>2149</v>
      </c>
      <c r="B14" s="23">
        <f>-'Grasmere Batch Mvnt'!AA6</f>
        <v>0</v>
      </c>
    </row>
    <row r="15" spans="1:3">
      <c r="A15" t="s">
        <v>2150</v>
      </c>
      <c r="B15" s="23" t="e">
        <f>-'Grasmere Batch Mvnt'!#REF!</f>
        <v>#REF!</v>
      </c>
      <c r="C15" s="23" t="e">
        <f>SUM(B11:B15)</f>
        <v>#REF!</v>
      </c>
    </row>
    <row r="17" spans="1:3">
      <c r="A17" t="s">
        <v>2342</v>
      </c>
    </row>
    <row r="18" spans="1:3">
      <c r="A18" t="s">
        <v>2146</v>
      </c>
      <c r="B18" s="23">
        <f>-'Grasmere Batch Mvnt'!D6</f>
        <v>-106</v>
      </c>
    </row>
    <row r="19" spans="1:3">
      <c r="A19" t="s">
        <v>2147</v>
      </c>
      <c r="B19" s="23">
        <f>-'Grasmere Batch Mvnt'!L6</f>
        <v>0</v>
      </c>
    </row>
    <row r="20" spans="1:3">
      <c r="A20" t="s">
        <v>2148</v>
      </c>
      <c r="B20" s="23">
        <f>-'Grasmere Batch Mvnt'!T6</f>
        <v>0</v>
      </c>
    </row>
    <row r="21" spans="1:3">
      <c r="A21" t="s">
        <v>2149</v>
      </c>
      <c r="B21" s="23">
        <f>-'Grasmere Batch Mvnt'!AB6</f>
        <v>0</v>
      </c>
    </row>
    <row r="22" spans="1:3">
      <c r="A22" t="s">
        <v>2150</v>
      </c>
      <c r="B22" s="23" t="e">
        <f>-'Grasmere Batch Mvnt'!#REF!</f>
        <v>#REF!</v>
      </c>
      <c r="C22" s="23" t="e">
        <f>SUM(B18:B22)</f>
        <v>#REF!</v>
      </c>
    </row>
    <row r="24" spans="1:3">
      <c r="A24" t="s">
        <v>2343</v>
      </c>
    </row>
    <row r="25" spans="1:3">
      <c r="A25" t="s">
        <v>2146</v>
      </c>
      <c r="B25" s="23">
        <f>-'Grasmere Batch Mvnt'!C23</f>
        <v>0</v>
      </c>
    </row>
    <row r="26" spans="1:3">
      <c r="A26" t="s">
        <v>2148</v>
      </c>
      <c r="B26" s="23">
        <f>-'Grasmere Batch Mvnt'!E23</f>
        <v>0</v>
      </c>
    </row>
    <row r="27" spans="1:3">
      <c r="A27" s="94" t="str">
        <f>+'Grasmere Batch Mvnt'!B34</f>
        <v>D 1</v>
      </c>
      <c r="B27" s="23">
        <f>-'Grasmere Batch Mvnt'!C34</f>
        <v>0</v>
      </c>
    </row>
    <row r="28" spans="1:3">
      <c r="A28" s="94" t="str">
        <f>+'Grasmere Batch Mvnt'!B35</f>
        <v>D 2</v>
      </c>
      <c r="B28" s="23">
        <f>-'Grasmere Batch Mvnt'!C35</f>
        <v>0</v>
      </c>
    </row>
    <row r="29" spans="1:3">
      <c r="A29" s="94" t="str">
        <f>+'Grasmere Batch Mvnt'!B36</f>
        <v>D 3</v>
      </c>
      <c r="B29" s="23">
        <f>-'Grasmere Batch Mvnt'!C36</f>
        <v>0</v>
      </c>
    </row>
    <row r="30" spans="1:3">
      <c r="A30" s="94" t="str">
        <f>+'Grasmere Batch Mvnt'!B37</f>
        <v>D 4</v>
      </c>
      <c r="B30" s="23">
        <f>-'Grasmere Batch Mvnt'!C37</f>
        <v>0</v>
      </c>
    </row>
    <row r="31" spans="1:3">
      <c r="A31" s="94" t="str">
        <f>+'Grasmere Batch Mvnt'!B38</f>
        <v>D 5</v>
      </c>
      <c r="B31" s="23">
        <f>-'Grasmere Batch Mvnt'!C38</f>
        <v>0</v>
      </c>
    </row>
    <row r="32" spans="1:3">
      <c r="A32" s="94" t="str">
        <f>+'Grasmere Batch Mvnt'!B39</f>
        <v>Cull House</v>
      </c>
      <c r="B32" s="23">
        <f>-'Grasmere Batch Mvnt'!C39</f>
        <v>0</v>
      </c>
    </row>
    <row r="33" spans="1:4">
      <c r="A33" s="94" t="str">
        <f>+'Grasmere Batch Mvnt'!B44</f>
        <v>F1 Weaner</v>
      </c>
      <c r="B33" s="23">
        <f>-'Grasmere Batch Mvnt'!C44</f>
        <v>0</v>
      </c>
    </row>
    <row r="34" spans="1:4">
      <c r="A34" s="94" t="str">
        <f>+'Grasmere Batch Mvnt'!B45</f>
        <v>F1 Grower</v>
      </c>
      <c r="B34" s="23">
        <f>-'Grasmere Batch Mvnt'!C45</f>
        <v>0</v>
      </c>
      <c r="C34" s="23">
        <f>SUM(B25:B34)</f>
        <v>0</v>
      </c>
    </row>
    <row r="35" spans="1:4">
      <c r="A35" s="94" t="e">
        <f>+'Grasmere Batch Mvnt'!#REF!</f>
        <v>#REF!</v>
      </c>
    </row>
    <row r="36" spans="1:4">
      <c r="A36" s="17" t="s">
        <v>1838</v>
      </c>
    </row>
    <row r="37" spans="1:4">
      <c r="A37" t="s">
        <v>293</v>
      </c>
      <c r="B37" s="23">
        <f>-'Grasmere Batch Mvnt'!E40</f>
        <v>0</v>
      </c>
    </row>
    <row r="38" spans="1:4">
      <c r="A38" t="s">
        <v>2329</v>
      </c>
      <c r="B38" s="23">
        <f>-'Grasmere Batch Mvnt'!D40</f>
        <v>0</v>
      </c>
    </row>
    <row r="39" spans="1:4">
      <c r="A39" t="s">
        <v>231</v>
      </c>
      <c r="B39" s="23">
        <f>-'Grasmere Batch Mvnt'!I40</f>
        <v>0</v>
      </c>
      <c r="C39" s="23">
        <f>SUM(B37:B39)</f>
        <v>0</v>
      </c>
    </row>
    <row r="40" spans="1:4">
      <c r="A40" t="s">
        <v>2344</v>
      </c>
    </row>
    <row r="42" spans="1:4">
      <c r="A42" t="s">
        <v>2345</v>
      </c>
      <c r="C42" s="23">
        <f>-'Summary Total Pigs'!D13</f>
        <v>-4465</v>
      </c>
    </row>
    <row r="44" spans="1:4">
      <c r="A44" t="s">
        <v>2346</v>
      </c>
      <c r="C44" s="23">
        <v>-20</v>
      </c>
    </row>
    <row r="46" spans="1:4" s="1" customFormat="1">
      <c r="A46" s="1" t="s">
        <v>1876</v>
      </c>
      <c r="B46" s="31"/>
      <c r="C46" s="31" t="e">
        <f>SUM(C1:C45)</f>
        <v>#REF!</v>
      </c>
    </row>
    <row r="48" spans="1:4">
      <c r="A48" s="1" t="s">
        <v>2347</v>
      </c>
      <c r="D48" t="s">
        <v>2348</v>
      </c>
    </row>
    <row r="49" spans="1:5">
      <c r="A49" t="s">
        <v>384</v>
      </c>
      <c r="C49" s="23">
        <f>+'Summary Total Pigs'!AE12</f>
        <v>5196</v>
      </c>
      <c r="D49" s="94">
        <f>+'Summary Total Pigs'!AF12</f>
        <v>5196</v>
      </c>
      <c r="E49" s="94">
        <f>+D49-C49</f>
        <v>0</v>
      </c>
    </row>
    <row r="50" spans="1:5">
      <c r="A50" t="s">
        <v>50</v>
      </c>
      <c r="C50" s="23">
        <f>+'Summary Total Pigs'!AE15</f>
        <v>629</v>
      </c>
      <c r="D50" s="94">
        <f>+'Summary Total Pigs'!AF15</f>
        <v>629</v>
      </c>
      <c r="E50" s="94">
        <f>+D50-C50</f>
        <v>0</v>
      </c>
    </row>
    <row r="51" spans="1:5">
      <c r="A51" t="s">
        <v>55</v>
      </c>
      <c r="C51" s="23">
        <f>+'Summary Total Pigs'!AE16</f>
        <v>2155</v>
      </c>
      <c r="D51" s="94">
        <f>+'Summary Total Pigs'!AF16</f>
        <v>2155</v>
      </c>
      <c r="E51" s="94">
        <f>+D51-C51</f>
        <v>0</v>
      </c>
    </row>
    <row r="52" spans="1:5">
      <c r="A52" t="s">
        <v>79</v>
      </c>
      <c r="C52" s="23">
        <f>+'Summary Total Pigs'!AE17</f>
        <v>36</v>
      </c>
      <c r="D52" s="94">
        <f>+'Summary Total Pigs'!AF17</f>
        <v>36</v>
      </c>
      <c r="E52" s="94">
        <f>+D52-C52</f>
        <v>0</v>
      </c>
    </row>
    <row r="53" spans="1:5">
      <c r="A53" s="1" t="s">
        <v>71</v>
      </c>
      <c r="B53" s="31"/>
      <c r="C53" s="31">
        <f>SUM(C49:C52)</f>
        <v>8016</v>
      </c>
      <c r="D53" s="31">
        <f>SUM(D49:D52)</f>
        <v>8016</v>
      </c>
      <c r="E53" s="31">
        <f>SUM(E49:E52)</f>
        <v>0</v>
      </c>
    </row>
    <row r="56" spans="1:5">
      <c r="A56" s="17" t="s">
        <v>2349</v>
      </c>
    </row>
    <row r="57" spans="1:5">
      <c r="A57" t="s">
        <v>384</v>
      </c>
      <c r="C57" s="23">
        <f>+'Summary Total Pigs'!C12</f>
        <v>5260</v>
      </c>
      <c r="D57" s="94"/>
      <c r="E57" s="94"/>
    </row>
    <row r="58" spans="1:5">
      <c r="A58" t="s">
        <v>50</v>
      </c>
      <c r="C58" s="23">
        <f>+'Summary Total Pigs'!C15</f>
        <v>631</v>
      </c>
      <c r="D58" s="94"/>
      <c r="E58" s="94"/>
    </row>
    <row r="59" spans="1:5">
      <c r="A59" t="s">
        <v>55</v>
      </c>
      <c r="C59" s="23">
        <f>+'Summary Total Pigs'!C16</f>
        <v>2149</v>
      </c>
      <c r="D59" s="94"/>
      <c r="E59" s="94"/>
    </row>
    <row r="60" spans="1:5">
      <c r="A60" t="s">
        <v>79</v>
      </c>
      <c r="C60" s="23">
        <f>+'Summary Total Pigs'!C17</f>
        <v>33</v>
      </c>
      <c r="D60" s="94"/>
      <c r="E60" s="94"/>
    </row>
    <row r="61" spans="1:5">
      <c r="A61" s="1" t="s">
        <v>71</v>
      </c>
      <c r="B61" s="31"/>
      <c r="C61" s="31">
        <f>SUM(C57:C60)</f>
        <v>8073</v>
      </c>
      <c r="D61" s="23"/>
      <c r="E61" s="23"/>
    </row>
  </sheetData>
  <pageMargins left="0.7" right="0.7" top="0.75" bottom="0.75" header="0.3" footer="0.3"/>
  <pageSetup scale="90" orientation="portrait" verticalDpi="30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85"/>
  <dimension ref="B2:M33"/>
  <sheetViews>
    <sheetView workbookViewId="0">
      <selection activeCell="C3" sqref="C3"/>
    </sheetView>
  </sheetViews>
  <sheetFormatPr defaultRowHeight="13.15"/>
  <sheetData>
    <row r="2" spans="2:13">
      <c r="C2" t="s">
        <v>221</v>
      </c>
      <c r="D2" t="s">
        <v>1787</v>
      </c>
      <c r="E2" t="s">
        <v>167</v>
      </c>
      <c r="F2" t="s">
        <v>226</v>
      </c>
    </row>
    <row r="3" spans="2:13">
      <c r="B3">
        <v>34</v>
      </c>
      <c r="C3">
        <v>1166</v>
      </c>
      <c r="D3">
        <v>22</v>
      </c>
      <c r="E3">
        <v>0</v>
      </c>
    </row>
    <row r="4" spans="2:13">
      <c r="B4">
        <v>35</v>
      </c>
      <c r="D4">
        <v>187</v>
      </c>
      <c r="E4">
        <f>4+25</f>
        <v>29</v>
      </c>
      <c r="F4">
        <v>-14</v>
      </c>
      <c r="G4">
        <v>-149</v>
      </c>
      <c r="H4">
        <v>-6</v>
      </c>
      <c r="I4">
        <v>-1</v>
      </c>
      <c r="L4">
        <f>SUM(C4:K4)</f>
        <v>46</v>
      </c>
    </row>
    <row r="5" spans="2:13">
      <c r="B5">
        <v>36</v>
      </c>
      <c r="D5">
        <v>200</v>
      </c>
      <c r="E5">
        <v>15</v>
      </c>
      <c r="F5">
        <v>-15</v>
      </c>
      <c r="G5">
        <v>-175</v>
      </c>
      <c r="H5">
        <v>-3</v>
      </c>
      <c r="K5">
        <v>-1</v>
      </c>
      <c r="L5">
        <f>SUM(C5:K5)</f>
        <v>21</v>
      </c>
    </row>
    <row r="6" spans="2:13">
      <c r="B6">
        <v>37</v>
      </c>
      <c r="D6">
        <v>211</v>
      </c>
      <c r="E6">
        <v>5</v>
      </c>
      <c r="F6">
        <v>-16</v>
      </c>
      <c r="G6">
        <v>-148</v>
      </c>
      <c r="H6">
        <f>-5-20</f>
        <v>-25</v>
      </c>
      <c r="I6">
        <v>-1</v>
      </c>
      <c r="L6">
        <f>SUM(C6:K6)</f>
        <v>26</v>
      </c>
    </row>
    <row r="7" spans="2:13">
      <c r="B7">
        <v>38</v>
      </c>
      <c r="D7">
        <v>184</v>
      </c>
      <c r="E7">
        <f>8+5</f>
        <v>13</v>
      </c>
      <c r="F7">
        <v>-14</v>
      </c>
      <c r="G7">
        <v>-176</v>
      </c>
      <c r="H7">
        <v>-9</v>
      </c>
      <c r="L7">
        <f>SUM(C7:K7)</f>
        <v>-2</v>
      </c>
    </row>
    <row r="8" spans="2:13">
      <c r="B8">
        <v>39</v>
      </c>
      <c r="D8">
        <v>215</v>
      </c>
      <c r="E8">
        <v>8</v>
      </c>
      <c r="F8">
        <v>-16</v>
      </c>
      <c r="G8">
        <v>-167</v>
      </c>
      <c r="H8">
        <v>-4</v>
      </c>
      <c r="I8">
        <v>-1</v>
      </c>
      <c r="L8">
        <f>SUM(C8:K8)</f>
        <v>35</v>
      </c>
    </row>
    <row r="10" spans="2:13">
      <c r="C10">
        <f>SUM(C3:C9)</f>
        <v>1166</v>
      </c>
      <c r="D10">
        <f t="shared" ref="D10:K10" si="0">SUM(D3:D9)</f>
        <v>1019</v>
      </c>
      <c r="E10">
        <f t="shared" si="0"/>
        <v>70</v>
      </c>
      <c r="F10">
        <f t="shared" si="0"/>
        <v>-75</v>
      </c>
      <c r="G10">
        <f>SUM(G3:G9)</f>
        <v>-815</v>
      </c>
      <c r="H10">
        <f t="shared" si="0"/>
        <v>-47</v>
      </c>
      <c r="I10">
        <f t="shared" si="0"/>
        <v>-3</v>
      </c>
      <c r="K10">
        <f t="shared" si="0"/>
        <v>-1</v>
      </c>
      <c r="L10">
        <f>SUM(C10:K10)</f>
        <v>1314</v>
      </c>
    </row>
    <row r="13" spans="2:13">
      <c r="B13">
        <v>34</v>
      </c>
      <c r="C13">
        <v>1879</v>
      </c>
      <c r="E13">
        <v>0</v>
      </c>
      <c r="F13">
        <v>0</v>
      </c>
      <c r="M13">
        <f>SUM(C13:L13)</f>
        <v>1879</v>
      </c>
    </row>
    <row r="14" spans="2:13">
      <c r="B14">
        <v>35</v>
      </c>
      <c r="E14">
        <v>130</v>
      </c>
      <c r="F14">
        <v>-2</v>
      </c>
      <c r="H14">
        <v>-4</v>
      </c>
      <c r="I14">
        <v>-160</v>
      </c>
      <c r="K14">
        <v>-2</v>
      </c>
      <c r="M14">
        <f t="shared" ref="M14:M30" si="1">SUM(C14:L14)</f>
        <v>-38</v>
      </c>
    </row>
    <row r="15" spans="2:13">
      <c r="B15">
        <v>36</v>
      </c>
      <c r="E15">
        <v>152</v>
      </c>
      <c r="F15">
        <v>-1</v>
      </c>
      <c r="I15">
        <v>-180</v>
      </c>
      <c r="K15">
        <v>-1</v>
      </c>
      <c r="L15">
        <v>-1</v>
      </c>
      <c r="M15">
        <f t="shared" si="1"/>
        <v>-31</v>
      </c>
    </row>
    <row r="16" spans="2:13">
      <c r="B16">
        <v>37</v>
      </c>
      <c r="E16">
        <v>167</v>
      </c>
      <c r="F16">
        <v>-1</v>
      </c>
      <c r="I16">
        <v>-180</v>
      </c>
      <c r="K16">
        <v>-2</v>
      </c>
      <c r="M16">
        <f t="shared" si="1"/>
        <v>-16</v>
      </c>
    </row>
    <row r="17" spans="2:13">
      <c r="B17">
        <v>38</v>
      </c>
      <c r="E17">
        <v>152</v>
      </c>
      <c r="F17">
        <v>-3</v>
      </c>
      <c r="H17">
        <v>-8</v>
      </c>
      <c r="I17">
        <v>-160</v>
      </c>
      <c r="K17">
        <v>-2</v>
      </c>
      <c r="M17">
        <f t="shared" si="1"/>
        <v>-21</v>
      </c>
    </row>
    <row r="18" spans="2:13">
      <c r="B18">
        <v>39</v>
      </c>
      <c r="E18">
        <v>133</v>
      </c>
      <c r="F18">
        <v>-4</v>
      </c>
      <c r="H18">
        <v>-8</v>
      </c>
      <c r="I18">
        <v>-160</v>
      </c>
      <c r="K18">
        <v>-2</v>
      </c>
      <c r="M18">
        <f t="shared" si="1"/>
        <v>-41</v>
      </c>
    </row>
    <row r="19" spans="2:13">
      <c r="M19">
        <f t="shared" si="1"/>
        <v>0</v>
      </c>
    </row>
    <row r="20" spans="2:13">
      <c r="C20">
        <f>SUM(C13:C19)</f>
        <v>1879</v>
      </c>
      <c r="E20">
        <f>SUM(E13:E19)</f>
        <v>734</v>
      </c>
      <c r="F20">
        <f>SUM(J13:J19)</f>
        <v>0</v>
      </c>
      <c r="G20">
        <f>SUM(G13:G19)</f>
        <v>0</v>
      </c>
      <c r="H20">
        <f>SUM(H13:H19)</f>
        <v>-20</v>
      </c>
      <c r="I20">
        <f>SUM(I13:I19)</f>
        <v>-840</v>
      </c>
      <c r="K20">
        <f>SUM(K13:K19)</f>
        <v>-9</v>
      </c>
      <c r="L20">
        <f>SUM(L13:L19)</f>
        <v>-1</v>
      </c>
      <c r="M20">
        <f t="shared" si="1"/>
        <v>1743</v>
      </c>
    </row>
    <row r="21" spans="2:13">
      <c r="M21">
        <f t="shared" si="1"/>
        <v>0</v>
      </c>
    </row>
    <row r="22" spans="2:13">
      <c r="M22">
        <f t="shared" si="1"/>
        <v>0</v>
      </c>
    </row>
    <row r="23" spans="2:13">
      <c r="B23">
        <v>34</v>
      </c>
      <c r="C23">
        <v>930</v>
      </c>
      <c r="E23">
        <v>0</v>
      </c>
      <c r="F23">
        <v>0</v>
      </c>
      <c r="M23">
        <f t="shared" si="1"/>
        <v>930</v>
      </c>
    </row>
    <row r="24" spans="2:13">
      <c r="B24">
        <v>35</v>
      </c>
      <c r="E24">
        <v>149</v>
      </c>
      <c r="F24">
        <v>0</v>
      </c>
      <c r="H24">
        <v>0</v>
      </c>
      <c r="I24">
        <v>-130</v>
      </c>
      <c r="M24">
        <f t="shared" si="1"/>
        <v>19</v>
      </c>
    </row>
    <row r="25" spans="2:13">
      <c r="B25">
        <v>36</v>
      </c>
      <c r="E25">
        <v>175</v>
      </c>
      <c r="F25">
        <v>-1</v>
      </c>
      <c r="I25">
        <v>-152</v>
      </c>
      <c r="M25">
        <f t="shared" si="1"/>
        <v>22</v>
      </c>
    </row>
    <row r="26" spans="2:13">
      <c r="B26">
        <v>37</v>
      </c>
      <c r="E26">
        <v>148</v>
      </c>
      <c r="F26">
        <v>-3</v>
      </c>
      <c r="I26">
        <v>-167</v>
      </c>
      <c r="M26">
        <f t="shared" si="1"/>
        <v>-22</v>
      </c>
    </row>
    <row r="27" spans="2:13">
      <c r="B27">
        <v>38</v>
      </c>
      <c r="E27">
        <v>176</v>
      </c>
      <c r="F27">
        <v>-1</v>
      </c>
      <c r="H27">
        <v>0</v>
      </c>
      <c r="I27">
        <v>-152</v>
      </c>
      <c r="M27">
        <f t="shared" si="1"/>
        <v>23</v>
      </c>
    </row>
    <row r="28" spans="2:13">
      <c r="B28">
        <v>39</v>
      </c>
      <c r="E28">
        <v>167</v>
      </c>
      <c r="F28">
        <v>-3</v>
      </c>
      <c r="H28">
        <v>0</v>
      </c>
      <c r="I28">
        <v>-133</v>
      </c>
      <c r="M28">
        <f t="shared" si="1"/>
        <v>31</v>
      </c>
    </row>
    <row r="29" spans="2:13">
      <c r="M29">
        <f t="shared" si="1"/>
        <v>0</v>
      </c>
    </row>
    <row r="30" spans="2:13">
      <c r="C30">
        <f>SUM(C23:C29)</f>
        <v>930</v>
      </c>
      <c r="D30">
        <f>SUM(D23:D29)</f>
        <v>0</v>
      </c>
      <c r="E30">
        <f>SUM(E23:E29)</f>
        <v>815</v>
      </c>
      <c r="F30">
        <f>SUM(J23:J29)</f>
        <v>0</v>
      </c>
      <c r="G30">
        <f>SUM(G23:G29)</f>
        <v>0</v>
      </c>
      <c r="H30">
        <f>SUM(H23:H29)</f>
        <v>0</v>
      </c>
      <c r="I30">
        <f>SUM(I23:I29)</f>
        <v>-734</v>
      </c>
      <c r="K30">
        <f>SUM(K23:K29)</f>
        <v>0</v>
      </c>
      <c r="L30">
        <f>SUM(L23:L29)</f>
        <v>0</v>
      </c>
      <c r="M30">
        <f t="shared" si="1"/>
        <v>1011</v>
      </c>
    </row>
    <row r="33" spans="3:13">
      <c r="C33">
        <f>C10+C20+C30</f>
        <v>3975</v>
      </c>
      <c r="D33">
        <f t="shared" ref="D33:M33" si="2">D10+D20+D30</f>
        <v>1019</v>
      </c>
      <c r="E33">
        <f t="shared" si="2"/>
        <v>1619</v>
      </c>
      <c r="F33" t="e">
        <f>F10+#REF!+#REF!</f>
        <v>#REF!</v>
      </c>
      <c r="G33">
        <f t="shared" si="2"/>
        <v>-815</v>
      </c>
      <c r="H33">
        <f t="shared" si="2"/>
        <v>-67</v>
      </c>
      <c r="I33">
        <f t="shared" si="2"/>
        <v>-1577</v>
      </c>
      <c r="J33">
        <f>J10+F20+F30</f>
        <v>0</v>
      </c>
      <c r="K33">
        <f t="shared" si="2"/>
        <v>-10</v>
      </c>
      <c r="L33">
        <f t="shared" si="2"/>
        <v>1313</v>
      </c>
      <c r="M33">
        <f t="shared" si="2"/>
        <v>2754</v>
      </c>
    </row>
  </sheetData>
  <pageMargins left="0.7" right="0.7" top="0.75" bottom="0.75" header="0.3" footer="0.3"/>
  <pageSetup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86"/>
  <dimension ref="B2:I25"/>
  <sheetViews>
    <sheetView workbookViewId="0">
      <selection activeCell="E20" sqref="E20"/>
    </sheetView>
  </sheetViews>
  <sheetFormatPr defaultRowHeight="13.15"/>
  <sheetData>
    <row r="2" spans="2:8">
      <c r="C2" t="s">
        <v>55</v>
      </c>
      <c r="D2" t="s">
        <v>384</v>
      </c>
      <c r="E2" t="s">
        <v>50</v>
      </c>
      <c r="F2" t="s">
        <v>79</v>
      </c>
    </row>
    <row r="3" spans="2:8">
      <c r="B3" t="s">
        <v>2146</v>
      </c>
      <c r="C3">
        <f>12*8</f>
        <v>96</v>
      </c>
      <c r="G3">
        <f>SUM(C3:F3)</f>
        <v>96</v>
      </c>
    </row>
    <row r="4" spans="2:8">
      <c r="B4" t="s">
        <v>2147</v>
      </c>
      <c r="C4">
        <f>12*8</f>
        <v>96</v>
      </c>
      <c r="D4">
        <f>133+132+119+129+122+118+118+114</f>
        <v>985</v>
      </c>
      <c r="G4">
        <f t="shared" ref="G4:G25" si="0">SUM(C4:F4)</f>
        <v>1081</v>
      </c>
    </row>
    <row r="5" spans="2:8">
      <c r="B5" t="s">
        <v>2148</v>
      </c>
      <c r="C5">
        <f>12*8</f>
        <v>96</v>
      </c>
      <c r="D5">
        <f>127+117+118+121+110+114+118+111</f>
        <v>936</v>
      </c>
      <c r="G5">
        <f t="shared" si="0"/>
        <v>1032</v>
      </c>
    </row>
    <row r="6" spans="2:8">
      <c r="B6" t="s">
        <v>2350</v>
      </c>
      <c r="C6">
        <v>10</v>
      </c>
      <c r="G6">
        <f t="shared" si="0"/>
        <v>10</v>
      </c>
    </row>
    <row r="7" spans="2:8">
      <c r="B7" t="s">
        <v>2149</v>
      </c>
      <c r="C7">
        <f>12*8</f>
        <v>96</v>
      </c>
      <c r="D7">
        <f>130+120+135+133+122+138+132+141</f>
        <v>1051</v>
      </c>
      <c r="G7">
        <f t="shared" si="0"/>
        <v>1147</v>
      </c>
    </row>
    <row r="8" spans="2:8">
      <c r="B8" t="s">
        <v>2150</v>
      </c>
      <c r="C8">
        <f>12*8</f>
        <v>96</v>
      </c>
      <c r="D8">
        <f>92+69+140+131+134+134+133+141</f>
        <v>974</v>
      </c>
      <c r="G8">
        <f t="shared" si="0"/>
        <v>1070</v>
      </c>
    </row>
    <row r="9" spans="2:8">
      <c r="G9">
        <f t="shared" si="0"/>
        <v>0</v>
      </c>
      <c r="H9">
        <f>SUM(G3:G9)</f>
        <v>4436</v>
      </c>
    </row>
    <row r="10" spans="2:8">
      <c r="B10" t="s">
        <v>2351</v>
      </c>
      <c r="C10">
        <v>1</v>
      </c>
      <c r="E10">
        <f>14+27+10+13+13+12+14+13+13+27+15+13+13+15+13+14</f>
        <v>239</v>
      </c>
      <c r="F10">
        <v>1</v>
      </c>
      <c r="G10">
        <f t="shared" si="0"/>
        <v>241</v>
      </c>
    </row>
    <row r="11" spans="2:8">
      <c r="B11" t="str">
        <f>+B10</f>
        <v xml:space="preserve">Gilts </v>
      </c>
      <c r="E11">
        <f>13+13+12+10+13+10+10+14+13+13+13+11+14+14+13+12+12+12+11+13+14+13+13+14</f>
        <v>300</v>
      </c>
      <c r="G11">
        <f t="shared" si="0"/>
        <v>300</v>
      </c>
    </row>
    <row r="12" spans="2:8">
      <c r="G12">
        <f t="shared" si="0"/>
        <v>0</v>
      </c>
    </row>
    <row r="13" spans="2:8">
      <c r="B13" t="s">
        <v>2352</v>
      </c>
      <c r="C13">
        <f>59+97+94+100</f>
        <v>350</v>
      </c>
      <c r="F13">
        <v>1</v>
      </c>
      <c r="G13">
        <f t="shared" si="0"/>
        <v>351</v>
      </c>
    </row>
    <row r="14" spans="2:8">
      <c r="B14" t="s">
        <v>2353</v>
      </c>
      <c r="C14">
        <f>79+109+22</f>
        <v>210</v>
      </c>
      <c r="E14">
        <f>66+19+52+49</f>
        <v>186</v>
      </c>
      <c r="F14">
        <v>7</v>
      </c>
      <c r="G14">
        <f t="shared" si="0"/>
        <v>403</v>
      </c>
    </row>
    <row r="15" spans="2:8">
      <c r="B15" t="s">
        <v>2354</v>
      </c>
      <c r="C15">
        <f>57+99+100+100</f>
        <v>356</v>
      </c>
      <c r="F15">
        <v>1</v>
      </c>
      <c r="G15">
        <f t="shared" si="0"/>
        <v>357</v>
      </c>
    </row>
    <row r="16" spans="2:8">
      <c r="B16" t="s">
        <v>2355</v>
      </c>
      <c r="C16">
        <v>9</v>
      </c>
      <c r="E16">
        <v>1</v>
      </c>
      <c r="G16">
        <f t="shared" si="0"/>
        <v>10</v>
      </c>
    </row>
    <row r="17" spans="2:9">
      <c r="B17" t="s">
        <v>2356</v>
      </c>
      <c r="C17">
        <f>94+100+100+100</f>
        <v>394</v>
      </c>
      <c r="F17">
        <v>1</v>
      </c>
      <c r="G17">
        <f t="shared" si="0"/>
        <v>395</v>
      </c>
    </row>
    <row r="18" spans="2:9">
      <c r="B18" t="s">
        <v>2357</v>
      </c>
      <c r="C18">
        <f>97+99+100+100</f>
        <v>396</v>
      </c>
      <c r="F18">
        <v>1</v>
      </c>
      <c r="G18">
        <f t="shared" si="0"/>
        <v>397</v>
      </c>
    </row>
    <row r="19" spans="2:9">
      <c r="G19">
        <f t="shared" si="0"/>
        <v>0</v>
      </c>
      <c r="H19">
        <f>SUM(G10:G19)</f>
        <v>2454</v>
      </c>
    </row>
    <row r="20" spans="2:9">
      <c r="C20" s="17">
        <f>SUM(C3:C19)</f>
        <v>2206</v>
      </c>
      <c r="D20" s="17">
        <f>SUM(D3:D19)</f>
        <v>3946</v>
      </c>
      <c r="E20" s="17">
        <f>SUM(E3:E19)</f>
        <v>726</v>
      </c>
      <c r="F20" s="17">
        <f>SUM(F3:F19)</f>
        <v>12</v>
      </c>
      <c r="G20" s="17">
        <f t="shared" si="0"/>
        <v>6890</v>
      </c>
    </row>
    <row r="21" spans="2:9">
      <c r="G21">
        <f t="shared" si="0"/>
        <v>0</v>
      </c>
    </row>
    <row r="22" spans="2:9">
      <c r="G22">
        <f t="shared" si="0"/>
        <v>0</v>
      </c>
      <c r="I22" t="s">
        <v>138</v>
      </c>
    </row>
    <row r="23" spans="2:9">
      <c r="G23">
        <f t="shared" si="0"/>
        <v>0</v>
      </c>
    </row>
    <row r="24" spans="2:9">
      <c r="G24">
        <f t="shared" si="0"/>
        <v>0</v>
      </c>
    </row>
    <row r="25" spans="2:9">
      <c r="G25">
        <f t="shared" si="0"/>
        <v>0</v>
      </c>
    </row>
  </sheetData>
  <pageMargins left="0.7" right="0.7" top="0.75" bottom="0.75" header="0.3" footer="0.3"/>
  <pageSetup orientation="portrait" verticalDpi="30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87"/>
  <dimension ref="B2:S13"/>
  <sheetViews>
    <sheetView workbookViewId="0">
      <selection activeCell="E20" sqref="E20"/>
    </sheetView>
  </sheetViews>
  <sheetFormatPr defaultRowHeight="13.15"/>
  <sheetData>
    <row r="2" spans="2:19">
      <c r="K2" s="1" t="s">
        <v>234</v>
      </c>
    </row>
    <row r="3" spans="2:19">
      <c r="B3" t="s">
        <v>2358</v>
      </c>
      <c r="C3">
        <v>1110</v>
      </c>
      <c r="D3">
        <v>106</v>
      </c>
      <c r="E3">
        <v>1095</v>
      </c>
      <c r="F3">
        <v>-68</v>
      </c>
      <c r="G3">
        <v>-51</v>
      </c>
      <c r="H3">
        <v>-1013</v>
      </c>
      <c r="I3">
        <v>-103</v>
      </c>
      <c r="J3">
        <f>SUM(C3:I3)</f>
        <v>1076</v>
      </c>
      <c r="K3">
        <v>1075</v>
      </c>
      <c r="L3">
        <f>+J3-K3</f>
        <v>1</v>
      </c>
      <c r="O3">
        <f>8+25+20</f>
        <v>53</v>
      </c>
      <c r="Q3">
        <v>524</v>
      </c>
      <c r="R3">
        <v>757.2</v>
      </c>
    </row>
    <row r="4" spans="2:19">
      <c r="B4" t="s">
        <v>2359</v>
      </c>
      <c r="C4">
        <v>1139</v>
      </c>
      <c r="D4">
        <v>102</v>
      </c>
      <c r="E4">
        <v>1102</v>
      </c>
      <c r="F4">
        <v>-74</v>
      </c>
      <c r="G4">
        <v>-111</v>
      </c>
      <c r="H4">
        <v>-1016</v>
      </c>
      <c r="I4">
        <v>-102</v>
      </c>
      <c r="J4">
        <f t="shared" ref="J4:J10" si="0">SUM(C4:I4)</f>
        <v>1040</v>
      </c>
      <c r="K4">
        <v>1040</v>
      </c>
      <c r="L4">
        <f t="shared" ref="L4:L13" si="1">+J4-K4</f>
        <v>0</v>
      </c>
      <c r="Q4">
        <v>492</v>
      </c>
      <c r="R4">
        <v>179.9</v>
      </c>
      <c r="S4">
        <f>+R3+R4</f>
        <v>937.1</v>
      </c>
    </row>
    <row r="5" spans="2:19">
      <c r="B5" t="s">
        <v>2360</v>
      </c>
      <c r="C5">
        <v>1055</v>
      </c>
      <c r="D5">
        <v>96</v>
      </c>
      <c r="E5">
        <v>943</v>
      </c>
      <c r="F5">
        <v>-56</v>
      </c>
      <c r="G5">
        <v>-77</v>
      </c>
      <c r="H5">
        <v>-913</v>
      </c>
      <c r="I5">
        <v>-93</v>
      </c>
      <c r="J5">
        <f t="shared" si="0"/>
        <v>955</v>
      </c>
      <c r="K5">
        <f>98+56+117+77+111+133+129+135+96</f>
        <v>952</v>
      </c>
      <c r="L5">
        <f t="shared" si="1"/>
        <v>3</v>
      </c>
      <c r="Q5">
        <v>480</v>
      </c>
      <c r="R5">
        <v>362.8</v>
      </c>
    </row>
    <row r="6" spans="2:19">
      <c r="B6" t="s">
        <v>2361</v>
      </c>
      <c r="C6">
        <v>951</v>
      </c>
      <c r="D6">
        <v>102</v>
      </c>
      <c r="E6">
        <v>223</v>
      </c>
      <c r="F6">
        <v>-2</v>
      </c>
      <c r="G6">
        <v>-73</v>
      </c>
      <c r="H6">
        <v>-1001</v>
      </c>
      <c r="I6">
        <v>-104</v>
      </c>
      <c r="J6">
        <f t="shared" si="0"/>
        <v>96</v>
      </c>
      <c r="K6">
        <v>96</v>
      </c>
      <c r="L6">
        <f t="shared" si="1"/>
        <v>0</v>
      </c>
      <c r="Q6">
        <v>186</v>
      </c>
      <c r="R6">
        <v>265</v>
      </c>
      <c r="S6">
        <f>+R5+R6</f>
        <v>627.79999999999995</v>
      </c>
    </row>
    <row r="7" spans="2:19">
      <c r="B7" t="s">
        <v>2362</v>
      </c>
      <c r="C7">
        <v>96</v>
      </c>
      <c r="D7">
        <v>12</v>
      </c>
      <c r="E7">
        <v>1152</v>
      </c>
      <c r="F7">
        <v>-78</v>
      </c>
      <c r="G7">
        <v>-59</v>
      </c>
      <c r="H7">
        <v>0</v>
      </c>
      <c r="I7">
        <v>-12</v>
      </c>
      <c r="J7">
        <f t="shared" si="0"/>
        <v>1111</v>
      </c>
      <c r="K7">
        <f>1016+95</f>
        <v>1111</v>
      </c>
      <c r="L7">
        <f t="shared" si="1"/>
        <v>0</v>
      </c>
      <c r="Q7">
        <v>415</v>
      </c>
    </row>
    <row r="8" spans="2:19">
      <c r="B8" t="s">
        <v>2363</v>
      </c>
      <c r="C8">
        <v>10</v>
      </c>
      <c r="D8">
        <v>27</v>
      </c>
      <c r="I8">
        <v>-29</v>
      </c>
      <c r="J8">
        <f t="shared" si="0"/>
        <v>8</v>
      </c>
      <c r="K8">
        <v>8</v>
      </c>
      <c r="L8">
        <f t="shared" si="1"/>
        <v>0</v>
      </c>
      <c r="Q8">
        <f>SUM(Q3:Q7)</f>
        <v>2097</v>
      </c>
      <c r="R8">
        <f>SUM(R3:R7)</f>
        <v>1564.9</v>
      </c>
    </row>
    <row r="9" spans="2:19">
      <c r="J9">
        <f t="shared" si="0"/>
        <v>0</v>
      </c>
      <c r="L9">
        <f t="shared" si="1"/>
        <v>0</v>
      </c>
      <c r="R9">
        <v>1573.76</v>
      </c>
    </row>
    <row r="10" spans="2:19">
      <c r="B10" t="s">
        <v>171</v>
      </c>
      <c r="C10">
        <v>3</v>
      </c>
      <c r="D10">
        <v>98</v>
      </c>
      <c r="E10">
        <v>-93</v>
      </c>
      <c r="F10">
        <v>-4</v>
      </c>
      <c r="J10">
        <f t="shared" si="0"/>
        <v>4</v>
      </c>
      <c r="L10">
        <f t="shared" si="1"/>
        <v>4</v>
      </c>
      <c r="Q10">
        <f>+Q9-Q8</f>
        <v>-2097</v>
      </c>
      <c r="R10">
        <f>+R9-R8</f>
        <v>8.8599999999999</v>
      </c>
    </row>
    <row r="11" spans="2:19">
      <c r="L11">
        <f t="shared" si="1"/>
        <v>0</v>
      </c>
    </row>
    <row r="12" spans="2:19">
      <c r="L12">
        <f t="shared" si="1"/>
        <v>0</v>
      </c>
    </row>
    <row r="13" spans="2:19">
      <c r="L13">
        <f t="shared" si="1"/>
        <v>0</v>
      </c>
    </row>
  </sheetData>
  <pageMargins left="0.7" right="0.7" top="0.75" bottom="0.75" header="0.3" footer="0.3"/>
  <pageSetup orientation="portrait" verticalDpi="30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88"/>
  <dimension ref="A1:I24"/>
  <sheetViews>
    <sheetView workbookViewId="0">
      <selection activeCell="E20" sqref="E20"/>
    </sheetView>
  </sheetViews>
  <sheetFormatPr defaultRowHeight="13.15"/>
  <sheetData>
    <row r="1" spans="1:9">
      <c r="B1" t="s">
        <v>221</v>
      </c>
      <c r="C1" t="s">
        <v>2202</v>
      </c>
      <c r="D1" t="s">
        <v>2364</v>
      </c>
      <c r="E1" t="s">
        <v>2365</v>
      </c>
      <c r="F1" t="s">
        <v>332</v>
      </c>
      <c r="G1" t="s">
        <v>2366</v>
      </c>
      <c r="H1" t="s">
        <v>2367</v>
      </c>
    </row>
    <row r="2" spans="1:9">
      <c r="A2" t="s">
        <v>302</v>
      </c>
      <c r="B2">
        <v>1177</v>
      </c>
      <c r="C2">
        <f>9+65+22+1+1+10</f>
        <v>108</v>
      </c>
      <c r="D2">
        <f>68+46+217+100+335+140+205+89+108+21+69+64</f>
        <v>1462</v>
      </c>
      <c r="E2">
        <f>-8-2-13-9-27-18-17-6-12-1-8-6</f>
        <v>-127</v>
      </c>
      <c r="F2">
        <f>-1-5-14-2-2-1-1-1-1-1-1-1-1-3-1-9-4-16-7-23-9-16-9-25-20-10-2-8-1-8-4-1-2-2-4-3-5-2-3-2-1-4-9-3-2</f>
        <v>-250</v>
      </c>
      <c r="G2">
        <f>-28-1003-20</f>
        <v>-1051</v>
      </c>
      <c r="H2">
        <f>-94-1-1</f>
        <v>-96</v>
      </c>
      <c r="I2">
        <f>SUM(B2:H2)</f>
        <v>1223</v>
      </c>
    </row>
    <row r="3" spans="1:9">
      <c r="A3" t="s">
        <v>303</v>
      </c>
      <c r="B3">
        <v>1300</v>
      </c>
      <c r="C3">
        <f>21+71+4</f>
        <v>96</v>
      </c>
      <c r="D3">
        <f>48+137+218+162+40+237+105+35+140+123+60+28+30+27</f>
        <v>1390</v>
      </c>
      <c r="E3">
        <f>-5-22-18-14-1-17-7-6-13-4-10-2-4</f>
        <v>-123</v>
      </c>
      <c r="F3">
        <f>-6-3-3-1-1-3-1-1-4-5-1-2-2-8-1-1-1-2-1-1-2-6-1-4-3-3-1-2-3-3-2-16-4-22-5-10-28-2-19-4-14-2-12-4-9-9-3-2-2-4-2-1</f>
        <v>-252</v>
      </c>
      <c r="G3">
        <f>-37-1003-92</f>
        <v>-1132</v>
      </c>
      <c r="H3">
        <f>-95-1</f>
        <v>-96</v>
      </c>
      <c r="I3">
        <f t="shared" ref="I3:I24" si="0">SUM(B3:H3)</f>
        <v>1183</v>
      </c>
    </row>
    <row r="4" spans="1:9">
      <c r="A4" t="s">
        <v>304</v>
      </c>
      <c r="B4">
        <v>1169</v>
      </c>
      <c r="C4">
        <f>78+18</f>
        <v>96</v>
      </c>
      <c r="D4">
        <f>85+61+52+11+12+6+144+21+113+171+227+225+196+108+124+41</f>
        <v>1597</v>
      </c>
      <c r="E4">
        <f>-16-2-5-1-1-11-3-9-13-28-23-35-15-21-15</f>
        <v>-198</v>
      </c>
      <c r="F4">
        <f>-17-9-16-9-11-4-21-1-11-3-10-5-9-4-8-6-4-2-4-1-6-2-4-1-1-1-4-2-2-1-3-1-1-2-1-6-3-8-3-1-3-3-1-1-4-3-6-15-12-6-16-6-36-9</f>
        <v>-329</v>
      </c>
      <c r="G4">
        <f>-2-32-968-10-20-21</f>
        <v>-1053</v>
      </c>
      <c r="H4">
        <f>-2-1-89-1-2-2</f>
        <v>-97</v>
      </c>
      <c r="I4">
        <f t="shared" si="0"/>
        <v>1185</v>
      </c>
    </row>
    <row r="5" spans="1:9">
      <c r="A5" t="s">
        <v>305</v>
      </c>
      <c r="B5">
        <v>96</v>
      </c>
      <c r="C5">
        <f>2+20+72+5+19</f>
        <v>118</v>
      </c>
      <c r="D5">
        <f>78+129+90+228+90+193+211+114+82+89+31+47+99</f>
        <v>1481</v>
      </c>
      <c r="E5">
        <f>-3-23-15-29-3-16-20-11-12-1-3-7</f>
        <v>-143</v>
      </c>
      <c r="F5">
        <f>-6-4-11-2-7-18-2-12-24-1-5-19-9-30-4-10-9-4-12-3-7-4-8-2-6-1-5-1-6-1-5-1-3-2-4-1-4-2-1-1-5-4-1-2-3-3-2-6-4-3-3-3-5-2-5</f>
        <v>-308</v>
      </c>
      <c r="G5">
        <f>-32-1018-2</f>
        <v>-1052</v>
      </c>
      <c r="H5">
        <f>-95-1</f>
        <v>-96</v>
      </c>
      <c r="I5">
        <f t="shared" si="0"/>
        <v>96</v>
      </c>
    </row>
    <row r="6" spans="1:9">
      <c r="A6" t="s">
        <v>306</v>
      </c>
      <c r="B6">
        <v>1126</v>
      </c>
      <c r="C6">
        <f>2+65+22+9+1+3+1+2+21</f>
        <v>126</v>
      </c>
      <c r="D6">
        <f>23+242+127+207+259+114+124+104+10+76+25+55+40+38</f>
        <v>1444</v>
      </c>
      <c r="E6">
        <f>-6-26-10-26-30-7-13-18-2-14-2-10-1</f>
        <v>-165</v>
      </c>
      <c r="F6">
        <f>-1-1-4-8-2-4-2-1-3-4-4-16-4-22-3-3-14-9-2-16-10-8-8-10-4-8-8-6-2-7-2-9-8-2-1-5-1-3-1-4-1-1-4-3-2-2-2-1-1-2-1</f>
        <v>-250</v>
      </c>
      <c r="G6">
        <f>-32-974</f>
        <v>-1006</v>
      </c>
      <c r="H6">
        <f>-90-6-1-3-1-1</f>
        <v>-102</v>
      </c>
      <c r="I6">
        <f t="shared" si="0"/>
        <v>1173</v>
      </c>
    </row>
    <row r="7" spans="1:9">
      <c r="A7" t="s">
        <v>307</v>
      </c>
      <c r="B7">
        <v>6</v>
      </c>
      <c r="C7">
        <f>7+1+1+2+2+3+1+4+2+3+2+1+1+1+8+1+3+6+4</f>
        <v>53</v>
      </c>
      <c r="F7">
        <v>-1</v>
      </c>
      <c r="H7">
        <v>-54</v>
      </c>
      <c r="I7">
        <f t="shared" si="0"/>
        <v>4</v>
      </c>
    </row>
    <row r="8" spans="1:9">
      <c r="A8" t="s">
        <v>2368</v>
      </c>
      <c r="B8">
        <v>36</v>
      </c>
      <c r="C8">
        <f>1+2+2+1+1+1+1+1+1+2+1+1+1+17+3+6+3+1+13+3+1+3+1+3+4+4+1+1+1+3+2+3+1+1+3+7+7+1+1+1+2+1+1+1+7+1+2+9+1+1+3+3+1+2+2+1+1+2+1+1+1+12+1+1+1+3</f>
        <v>173</v>
      </c>
      <c r="H8">
        <f>-20-25-2-17-1-41-4-1-1-32-2-1-1-4-27-1-1</f>
        <v>-181</v>
      </c>
      <c r="I8">
        <f t="shared" si="0"/>
        <v>28</v>
      </c>
    </row>
    <row r="9" spans="1:9">
      <c r="A9" t="s">
        <v>2369</v>
      </c>
      <c r="B9">
        <v>379</v>
      </c>
      <c r="C9">
        <f>90+17+94+94+3+89+95</f>
        <v>482</v>
      </c>
      <c r="H9">
        <f>-1-1-1-1-64-17-3-9-34-63-1-13-21-65-1-71-6-1-1-7-12-86-5</f>
        <v>-484</v>
      </c>
      <c r="I9">
        <f t="shared" si="0"/>
        <v>377</v>
      </c>
    </row>
    <row r="10" spans="1:9">
      <c r="A10" t="s">
        <v>2370</v>
      </c>
      <c r="B10">
        <v>411</v>
      </c>
      <c r="C10">
        <f>26+27+24+26+26</f>
        <v>129</v>
      </c>
      <c r="H10">
        <f>-22-3-4-1-7-20-1-7-21-3-18-19</f>
        <v>-126</v>
      </c>
      <c r="I10">
        <f t="shared" si="0"/>
        <v>414</v>
      </c>
    </row>
    <row r="11" spans="1:9">
      <c r="A11" t="s">
        <v>2371</v>
      </c>
      <c r="B11">
        <v>398</v>
      </c>
      <c r="C11">
        <v>86</v>
      </c>
      <c r="F11">
        <v>-1</v>
      </c>
      <c r="H11">
        <f>-3-4-5-78-1-72</f>
        <v>-163</v>
      </c>
      <c r="I11">
        <f t="shared" si="0"/>
        <v>320</v>
      </c>
    </row>
    <row r="12" spans="1:9">
      <c r="A12" t="s">
        <v>2372</v>
      </c>
      <c r="B12">
        <v>394</v>
      </c>
      <c r="C12">
        <v>8</v>
      </c>
      <c r="H12">
        <f>-2-1-1</f>
        <v>-4</v>
      </c>
      <c r="I12">
        <f t="shared" si="0"/>
        <v>398</v>
      </c>
    </row>
    <row r="13" spans="1:9">
      <c r="A13" t="s">
        <v>2373</v>
      </c>
      <c r="B13">
        <v>355</v>
      </c>
      <c r="C13">
        <f>64+34+63+21+65+7</f>
        <v>254</v>
      </c>
      <c r="F13">
        <v>-1</v>
      </c>
      <c r="H13">
        <f>-7-1-1-2-2-8-3-1-13-4-65-3-1-1-3-2-1-1-2-1-7-63-7-1-2-1-1-3-3-2-1-1</f>
        <v>-214</v>
      </c>
      <c r="I13">
        <f t="shared" si="0"/>
        <v>394</v>
      </c>
    </row>
    <row r="14" spans="1:9">
      <c r="A14" t="s">
        <v>2157</v>
      </c>
      <c r="B14">
        <v>251</v>
      </c>
      <c r="C14">
        <f>32+28+37+5+32+32</f>
        <v>166</v>
      </c>
      <c r="F14">
        <f>-1-1-2-1-1-1</f>
        <v>-7</v>
      </c>
      <c r="H14">
        <f>-27-25-27-2-27-20-26</f>
        <v>-154</v>
      </c>
      <c r="I14">
        <f t="shared" si="0"/>
        <v>256</v>
      </c>
    </row>
    <row r="15" spans="1:9">
      <c r="A15" t="s">
        <v>2374</v>
      </c>
      <c r="B15">
        <v>285</v>
      </c>
      <c r="C15">
        <f>27+25+27+27+26</f>
        <v>132</v>
      </c>
      <c r="F15">
        <v>-1</v>
      </c>
      <c r="H15">
        <f>-26-27-24-26-5-26</f>
        <v>-134</v>
      </c>
      <c r="I15">
        <f t="shared" si="0"/>
        <v>282</v>
      </c>
    </row>
    <row r="16" spans="1:9">
      <c r="I16">
        <f t="shared" si="0"/>
        <v>0</v>
      </c>
    </row>
    <row r="17" spans="2:9">
      <c r="B17">
        <f>SUM(B2:B16)</f>
        <v>7383</v>
      </c>
      <c r="C17">
        <f t="shared" ref="C17:H17" si="1">SUM(C2:C16)</f>
        <v>2027</v>
      </c>
      <c r="D17">
        <f t="shared" si="1"/>
        <v>7374</v>
      </c>
      <c r="E17">
        <f t="shared" si="1"/>
        <v>-756</v>
      </c>
      <c r="F17">
        <f t="shared" si="1"/>
        <v>-1400</v>
      </c>
      <c r="G17">
        <f t="shared" si="1"/>
        <v>-5294</v>
      </c>
      <c r="H17">
        <f t="shared" si="1"/>
        <v>-2001</v>
      </c>
      <c r="I17">
        <f t="shared" si="0"/>
        <v>7333</v>
      </c>
    </row>
    <row r="18" spans="2:9">
      <c r="I18">
        <f t="shared" si="0"/>
        <v>0</v>
      </c>
    </row>
    <row r="19" spans="2:9">
      <c r="F19">
        <f>+F17+E17</f>
        <v>-2156</v>
      </c>
      <c r="G19" t="e">
        <f>+'Summary Total Pigs'!#REF!</f>
        <v>#REF!</v>
      </c>
      <c r="I19" t="e">
        <f t="shared" si="0"/>
        <v>#REF!</v>
      </c>
    </row>
    <row r="20" spans="2:9">
      <c r="F20" t="e">
        <f>+'Summary Total Pigs'!#REF!+'Summary Total Pigs'!#REF!+'Summary Total Pigs'!#REF!</f>
        <v>#REF!</v>
      </c>
      <c r="G20" t="e">
        <f>+G17-G19</f>
        <v>#REF!</v>
      </c>
      <c r="I20" t="e">
        <f t="shared" si="0"/>
        <v>#REF!</v>
      </c>
    </row>
    <row r="21" spans="2:9">
      <c r="F21" t="e">
        <f>+F19-F20</f>
        <v>#REF!</v>
      </c>
      <c r="I21" t="e">
        <f t="shared" si="0"/>
        <v>#REF!</v>
      </c>
    </row>
    <row r="22" spans="2:9">
      <c r="I22">
        <f t="shared" si="0"/>
        <v>0</v>
      </c>
    </row>
    <row r="23" spans="2:9">
      <c r="I23">
        <f t="shared" si="0"/>
        <v>0</v>
      </c>
    </row>
    <row r="24" spans="2:9">
      <c r="I24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9"/>
  <dimension ref="A1:AC45"/>
  <sheetViews>
    <sheetView topLeftCell="A25" zoomScale="115" zoomScaleNormal="115" workbookViewId="0">
      <selection activeCell="E20" sqref="E20"/>
    </sheetView>
  </sheetViews>
  <sheetFormatPr defaultRowHeight="13.15"/>
  <sheetData>
    <row r="1" spans="1:13">
      <c r="B1" t="s">
        <v>2375</v>
      </c>
      <c r="C1" t="s">
        <v>2376</v>
      </c>
      <c r="D1" t="s">
        <v>226</v>
      </c>
      <c r="G1" t="s">
        <v>2375</v>
      </c>
      <c r="H1" t="s">
        <v>2376</v>
      </c>
      <c r="I1" t="s">
        <v>226</v>
      </c>
      <c r="K1" t="s">
        <v>2375</v>
      </c>
      <c r="L1" t="s">
        <v>2376</v>
      </c>
      <c r="M1" t="s">
        <v>226</v>
      </c>
    </row>
    <row r="2" spans="1:13">
      <c r="A2" t="s">
        <v>302</v>
      </c>
      <c r="B2">
        <v>96</v>
      </c>
      <c r="C2">
        <v>4</v>
      </c>
      <c r="D2">
        <v>2</v>
      </c>
      <c r="F2" t="s">
        <v>303</v>
      </c>
      <c r="G2">
        <v>38</v>
      </c>
      <c r="H2">
        <v>4</v>
      </c>
      <c r="I2">
        <v>6</v>
      </c>
      <c r="J2" t="s">
        <v>304</v>
      </c>
      <c r="K2">
        <v>44</v>
      </c>
      <c r="L2">
        <v>6</v>
      </c>
      <c r="M2">
        <v>1</v>
      </c>
    </row>
    <row r="3" spans="1:13">
      <c r="B3">
        <v>50</v>
      </c>
      <c r="C3">
        <v>2</v>
      </c>
      <c r="D3">
        <v>1</v>
      </c>
      <c r="G3">
        <v>44</v>
      </c>
      <c r="H3">
        <v>3</v>
      </c>
      <c r="I3">
        <v>2</v>
      </c>
      <c r="K3">
        <v>39</v>
      </c>
      <c r="L3">
        <v>5</v>
      </c>
      <c r="M3">
        <v>1</v>
      </c>
    </row>
    <row r="4" spans="1:13">
      <c r="B4">
        <v>77</v>
      </c>
      <c r="C4">
        <v>4</v>
      </c>
      <c r="D4">
        <v>4</v>
      </c>
      <c r="G4">
        <v>75</v>
      </c>
      <c r="H4">
        <v>8</v>
      </c>
      <c r="I4">
        <v>5</v>
      </c>
      <c r="K4">
        <v>31</v>
      </c>
      <c r="L4">
        <v>4</v>
      </c>
      <c r="M4">
        <v>2</v>
      </c>
    </row>
    <row r="5" spans="1:13">
      <c r="B5">
        <v>27</v>
      </c>
      <c r="C5">
        <v>2</v>
      </c>
      <c r="D5">
        <v>3</v>
      </c>
      <c r="G5">
        <v>101</v>
      </c>
      <c r="H5">
        <v>8</v>
      </c>
      <c r="I5">
        <v>4</v>
      </c>
      <c r="K5">
        <v>99</v>
      </c>
      <c r="L5">
        <v>15</v>
      </c>
      <c r="M5">
        <v>1</v>
      </c>
    </row>
    <row r="6" spans="1:13">
      <c r="B6">
        <v>177</v>
      </c>
      <c r="C6">
        <v>13</v>
      </c>
      <c r="D6">
        <v>2</v>
      </c>
      <c r="G6">
        <v>177</v>
      </c>
      <c r="H6">
        <v>20</v>
      </c>
      <c r="I6">
        <v>22</v>
      </c>
      <c r="K6">
        <v>270</v>
      </c>
      <c r="L6">
        <v>25</v>
      </c>
      <c r="M6">
        <v>4</v>
      </c>
    </row>
    <row r="7" spans="1:13">
      <c r="B7">
        <v>207</v>
      </c>
      <c r="C7">
        <v>16</v>
      </c>
      <c r="D7">
        <v>2</v>
      </c>
      <c r="G7">
        <v>73</v>
      </c>
      <c r="H7">
        <v>9</v>
      </c>
      <c r="I7">
        <v>8</v>
      </c>
      <c r="K7">
        <v>160</v>
      </c>
      <c r="L7">
        <v>18</v>
      </c>
      <c r="M7">
        <v>4</v>
      </c>
    </row>
    <row r="8" spans="1:13">
      <c r="B8">
        <v>251</v>
      </c>
      <c r="C8">
        <v>20</v>
      </c>
      <c r="D8">
        <v>4</v>
      </c>
      <c r="G8">
        <v>221</v>
      </c>
      <c r="H8">
        <v>17</v>
      </c>
      <c r="I8">
        <v>9</v>
      </c>
      <c r="K8">
        <v>29</v>
      </c>
      <c r="L8">
        <v>2</v>
      </c>
      <c r="M8">
        <v>2</v>
      </c>
    </row>
    <row r="9" spans="1:13">
      <c r="B9">
        <v>77</v>
      </c>
      <c r="C9">
        <v>4</v>
      </c>
      <c r="D9">
        <v>9</v>
      </c>
      <c r="G9">
        <v>238</v>
      </c>
      <c r="H9">
        <v>25</v>
      </c>
      <c r="I9">
        <v>18</v>
      </c>
      <c r="K9">
        <v>407</v>
      </c>
      <c r="L9">
        <v>27</v>
      </c>
      <c r="M9">
        <v>3</v>
      </c>
    </row>
    <row r="10" spans="1:13">
      <c r="B10">
        <v>121</v>
      </c>
      <c r="C10">
        <v>18</v>
      </c>
      <c r="D10">
        <v>1</v>
      </c>
      <c r="G10">
        <v>85</v>
      </c>
      <c r="H10">
        <v>7</v>
      </c>
      <c r="I10">
        <v>16</v>
      </c>
      <c r="K10">
        <v>37</v>
      </c>
      <c r="L10">
        <v>7</v>
      </c>
      <c r="M10">
        <v>4</v>
      </c>
    </row>
    <row r="11" spans="1:13">
      <c r="B11">
        <v>16</v>
      </c>
      <c r="C11">
        <v>7</v>
      </c>
      <c r="D11">
        <v>7</v>
      </c>
      <c r="G11">
        <v>119</v>
      </c>
      <c r="H11">
        <v>14</v>
      </c>
      <c r="I11">
        <v>8</v>
      </c>
      <c r="K11">
        <v>124</v>
      </c>
      <c r="L11">
        <v>9</v>
      </c>
      <c r="M11">
        <v>4</v>
      </c>
    </row>
    <row r="12" spans="1:13">
      <c r="B12">
        <v>169</v>
      </c>
      <c r="C12">
        <v>6</v>
      </c>
      <c r="D12">
        <v>8</v>
      </c>
      <c r="G12">
        <v>86</v>
      </c>
      <c r="H12">
        <v>5</v>
      </c>
      <c r="I12">
        <v>22</v>
      </c>
      <c r="K12">
        <v>101</v>
      </c>
      <c r="L12">
        <v>5</v>
      </c>
      <c r="M12">
        <v>2</v>
      </c>
    </row>
    <row r="13" spans="1:13">
      <c r="B13">
        <v>30</v>
      </c>
      <c r="C13">
        <v>6</v>
      </c>
      <c r="D13">
        <v>9</v>
      </c>
      <c r="G13">
        <v>12</v>
      </c>
      <c r="H13">
        <v>1</v>
      </c>
      <c r="I13">
        <v>6</v>
      </c>
      <c r="K13">
        <v>24</v>
      </c>
      <c r="L13">
        <v>1</v>
      </c>
      <c r="M13">
        <v>16</v>
      </c>
    </row>
    <row r="14" spans="1:13">
      <c r="B14">
        <v>77</v>
      </c>
      <c r="C14">
        <v>8</v>
      </c>
      <c r="D14">
        <v>1</v>
      </c>
      <c r="G14">
        <v>17</v>
      </c>
      <c r="I14">
        <v>7</v>
      </c>
      <c r="K14">
        <v>25</v>
      </c>
      <c r="M14">
        <v>6</v>
      </c>
    </row>
    <row r="15" spans="1:13">
      <c r="B15">
        <v>8</v>
      </c>
      <c r="D15">
        <v>19</v>
      </c>
      <c r="G15">
        <v>18</v>
      </c>
      <c r="I15">
        <v>10</v>
      </c>
      <c r="M15">
        <v>12</v>
      </c>
    </row>
    <row r="16" spans="1:13">
      <c r="B16">
        <v>33</v>
      </c>
      <c r="D16">
        <v>29</v>
      </c>
      <c r="G16">
        <v>14</v>
      </c>
      <c r="I16">
        <v>1</v>
      </c>
      <c r="M16">
        <v>8</v>
      </c>
    </row>
    <row r="17" spans="2:13">
      <c r="B17">
        <v>12</v>
      </c>
      <c r="D17">
        <v>6</v>
      </c>
      <c r="I17">
        <v>14</v>
      </c>
      <c r="M17">
        <v>26</v>
      </c>
    </row>
    <row r="18" spans="2:13">
      <c r="D18">
        <v>23</v>
      </c>
      <c r="I18">
        <v>5</v>
      </c>
      <c r="M18">
        <v>16</v>
      </c>
    </row>
    <row r="19" spans="2:13">
      <c r="D19">
        <v>19</v>
      </c>
      <c r="I19">
        <v>6</v>
      </c>
      <c r="M19">
        <v>14</v>
      </c>
    </row>
    <row r="20" spans="2:13">
      <c r="D20">
        <v>16</v>
      </c>
      <c r="I20">
        <v>2</v>
      </c>
      <c r="M20">
        <v>7</v>
      </c>
    </row>
    <row r="21" spans="2:13">
      <c r="D21">
        <v>3</v>
      </c>
      <c r="I21">
        <v>7</v>
      </c>
      <c r="M21">
        <v>10</v>
      </c>
    </row>
    <row r="22" spans="2:13">
      <c r="D22">
        <v>9</v>
      </c>
      <c r="I22">
        <v>3</v>
      </c>
      <c r="M22">
        <v>6</v>
      </c>
    </row>
    <row r="23" spans="2:13">
      <c r="D23">
        <v>1</v>
      </c>
      <c r="I23">
        <v>1</v>
      </c>
      <c r="M23">
        <v>10</v>
      </c>
    </row>
    <row r="24" spans="2:13">
      <c r="D24">
        <v>4</v>
      </c>
      <c r="I24">
        <v>1</v>
      </c>
      <c r="M24">
        <v>3</v>
      </c>
    </row>
    <row r="25" spans="2:13">
      <c r="D25">
        <v>2</v>
      </c>
      <c r="I25">
        <v>2</v>
      </c>
      <c r="M25">
        <v>5</v>
      </c>
    </row>
    <row r="26" spans="2:13">
      <c r="D26">
        <v>4</v>
      </c>
      <c r="I26">
        <v>1</v>
      </c>
      <c r="M26">
        <v>1</v>
      </c>
    </row>
    <row r="27" spans="2:13">
      <c r="D27">
        <v>2</v>
      </c>
      <c r="I27">
        <v>2</v>
      </c>
      <c r="M27">
        <v>4</v>
      </c>
    </row>
    <row r="28" spans="2:13">
      <c r="D28">
        <v>4</v>
      </c>
      <c r="I28">
        <v>3</v>
      </c>
      <c r="M28">
        <v>4</v>
      </c>
    </row>
    <row r="29" spans="2:13">
      <c r="D29">
        <v>3</v>
      </c>
      <c r="I29">
        <v>1</v>
      </c>
      <c r="M29">
        <v>4</v>
      </c>
    </row>
    <row r="30" spans="2:13">
      <c r="D30">
        <v>1</v>
      </c>
      <c r="I30">
        <v>2</v>
      </c>
      <c r="M30">
        <v>4</v>
      </c>
    </row>
    <row r="31" spans="2:13">
      <c r="D31">
        <v>3</v>
      </c>
      <c r="I31">
        <v>1</v>
      </c>
      <c r="M31">
        <v>4</v>
      </c>
    </row>
    <row r="32" spans="2:13">
      <c r="D32">
        <v>4</v>
      </c>
      <c r="I32">
        <v>1</v>
      </c>
      <c r="M32">
        <v>1</v>
      </c>
    </row>
    <row r="33" spans="2:29">
      <c r="D33">
        <v>6</v>
      </c>
      <c r="I33">
        <v>2</v>
      </c>
      <c r="M33">
        <v>4</v>
      </c>
    </row>
    <row r="34" spans="2:29">
      <c r="D34">
        <v>1</v>
      </c>
      <c r="I34">
        <v>1</v>
      </c>
      <c r="M34">
        <v>3</v>
      </c>
    </row>
    <row r="35" spans="2:29">
      <c r="D35">
        <v>2</v>
      </c>
      <c r="I35">
        <v>1</v>
      </c>
      <c r="M35">
        <v>2</v>
      </c>
    </row>
    <row r="36" spans="2:29">
      <c r="D36">
        <v>1</v>
      </c>
      <c r="I36">
        <v>1</v>
      </c>
      <c r="M36">
        <v>2</v>
      </c>
    </row>
    <row r="37" spans="2:29">
      <c r="D37">
        <v>5</v>
      </c>
      <c r="I37">
        <v>3</v>
      </c>
      <c r="M37">
        <v>7</v>
      </c>
    </row>
    <row r="38" spans="2:29">
      <c r="D38">
        <v>4</v>
      </c>
      <c r="I38">
        <v>1</v>
      </c>
      <c r="M38">
        <v>1</v>
      </c>
    </row>
    <row r="39" spans="2:29">
      <c r="D39">
        <v>4</v>
      </c>
      <c r="I39">
        <v>2</v>
      </c>
      <c r="M39">
        <v>3</v>
      </c>
    </row>
    <row r="40" spans="2:29">
      <c r="D40">
        <v>2</v>
      </c>
      <c r="I40">
        <v>2</v>
      </c>
      <c r="M40">
        <v>6</v>
      </c>
    </row>
    <row r="41" spans="2:29">
      <c r="D41">
        <v>1</v>
      </c>
      <c r="I41">
        <v>7</v>
      </c>
      <c r="M41">
        <v>3</v>
      </c>
    </row>
    <row r="42" spans="2:29">
      <c r="D42">
        <v>1</v>
      </c>
      <c r="I42">
        <v>2</v>
      </c>
    </row>
    <row r="43" spans="2:29">
      <c r="I43">
        <v>4</v>
      </c>
    </row>
    <row r="45" spans="2:29">
      <c r="B45">
        <f>SUM(B2:B41)</f>
        <v>1428</v>
      </c>
      <c r="C45">
        <f>SUM(C2:C41)</f>
        <v>110</v>
      </c>
      <c r="D45">
        <f>SUM(D2:D44)</f>
        <v>232</v>
      </c>
      <c r="E45">
        <f t="shared" ref="E45:AC45" si="0">SUM(E2:E44)</f>
        <v>0</v>
      </c>
      <c r="F45">
        <f t="shared" si="0"/>
        <v>0</v>
      </c>
      <c r="G45">
        <f t="shared" si="0"/>
        <v>1318</v>
      </c>
      <c r="H45">
        <f t="shared" si="0"/>
        <v>121</v>
      </c>
      <c r="I45">
        <f t="shared" si="0"/>
        <v>222</v>
      </c>
      <c r="J45">
        <f t="shared" si="0"/>
        <v>0</v>
      </c>
      <c r="K45">
        <f t="shared" si="0"/>
        <v>1390</v>
      </c>
      <c r="L45">
        <f t="shared" si="0"/>
        <v>124</v>
      </c>
      <c r="M45">
        <f t="shared" si="0"/>
        <v>220</v>
      </c>
      <c r="N45">
        <f t="shared" si="0"/>
        <v>0</v>
      </c>
      <c r="O45">
        <f t="shared" si="0"/>
        <v>0</v>
      </c>
      <c r="P45">
        <f t="shared" si="0"/>
        <v>0</v>
      </c>
      <c r="Q45">
        <f t="shared" si="0"/>
        <v>0</v>
      </c>
      <c r="R45">
        <f t="shared" si="0"/>
        <v>0</v>
      </c>
      <c r="S45">
        <f t="shared" si="0"/>
        <v>0</v>
      </c>
      <c r="T45">
        <f t="shared" si="0"/>
        <v>0</v>
      </c>
      <c r="U45">
        <f t="shared" si="0"/>
        <v>0</v>
      </c>
      <c r="V45">
        <f t="shared" si="0"/>
        <v>0</v>
      </c>
      <c r="W45">
        <f t="shared" si="0"/>
        <v>0</v>
      </c>
      <c r="X45">
        <f t="shared" si="0"/>
        <v>0</v>
      </c>
      <c r="Y45">
        <f t="shared" si="0"/>
        <v>0</v>
      </c>
      <c r="Z45">
        <f t="shared" si="0"/>
        <v>0</v>
      </c>
      <c r="AA45">
        <f t="shared" si="0"/>
        <v>0</v>
      </c>
      <c r="AB45">
        <f t="shared" si="0"/>
        <v>0</v>
      </c>
      <c r="AC45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90">
    <pageSetUpPr fitToPage="1"/>
  </sheetPr>
  <dimension ref="B1:R175"/>
  <sheetViews>
    <sheetView workbookViewId="0">
      <selection activeCell="B15" sqref="B15"/>
    </sheetView>
  </sheetViews>
  <sheetFormatPr defaultRowHeight="13.15"/>
  <cols>
    <col min="9" max="9" width="10.28515625" customWidth="1"/>
    <col min="10" max="10" width="13.140625" customWidth="1"/>
  </cols>
  <sheetData>
    <row r="1" spans="2:17">
      <c r="B1" t="s">
        <v>1614</v>
      </c>
    </row>
    <row r="2" spans="2:17" ht="13.9">
      <c r="B2" s="374"/>
      <c r="C2" s="374"/>
      <c r="D2" s="374"/>
      <c r="E2" s="374"/>
      <c r="F2" s="374"/>
      <c r="G2" s="307"/>
      <c r="H2" s="301"/>
      <c r="I2" s="301"/>
      <c r="J2" s="301"/>
      <c r="K2" s="301"/>
      <c r="L2" s="301"/>
      <c r="M2" s="301"/>
      <c r="N2" s="301"/>
    </row>
    <row r="3" spans="2:17" ht="13.9">
      <c r="B3" s="393" t="s">
        <v>286</v>
      </c>
      <c r="C3" s="393" t="s">
        <v>60</v>
      </c>
      <c r="D3" s="393" t="s">
        <v>50</v>
      </c>
      <c r="E3" s="393" t="s">
        <v>2318</v>
      </c>
      <c r="F3" s="393" t="s">
        <v>311</v>
      </c>
      <c r="G3" s="394" t="s">
        <v>71</v>
      </c>
      <c r="H3" s="394" t="s">
        <v>293</v>
      </c>
      <c r="I3" s="394" t="s">
        <v>436</v>
      </c>
      <c r="J3" s="394" t="s">
        <v>2377</v>
      </c>
      <c r="K3" s="394" t="s">
        <v>2378</v>
      </c>
      <c r="L3" s="301"/>
      <c r="M3" s="301"/>
      <c r="N3" s="301"/>
    </row>
    <row r="4" spans="2:17" ht="13.9">
      <c r="B4" s="365">
        <v>1</v>
      </c>
      <c r="C4" s="365">
        <v>40</v>
      </c>
      <c r="D4" s="365"/>
      <c r="E4" s="365">
        <f>75+325+152</f>
        <v>552</v>
      </c>
      <c r="F4" s="365">
        <v>0</v>
      </c>
      <c r="G4" s="392">
        <f>SUM(C4:F4)</f>
        <v>592</v>
      </c>
      <c r="H4" s="392">
        <v>587</v>
      </c>
      <c r="I4" s="392">
        <f>+G4-H4</f>
        <v>5</v>
      </c>
      <c r="J4" s="392">
        <f>+[115]Sales!$AE$12</f>
        <v>4</v>
      </c>
      <c r="K4" s="392">
        <f>+I4-J4</f>
        <v>1</v>
      </c>
      <c r="L4" s="301"/>
      <c r="M4" s="301"/>
      <c r="N4" s="301"/>
    </row>
    <row r="5" spans="2:17" ht="13.9">
      <c r="B5" s="365">
        <v>2</v>
      </c>
      <c r="C5" s="365">
        <v>18</v>
      </c>
      <c r="D5" s="365">
        <v>2</v>
      </c>
      <c r="E5" s="365">
        <f>100+150+104</f>
        <v>354</v>
      </c>
      <c r="F5" s="365"/>
      <c r="G5" s="392">
        <f>SUM(C5:F5)</f>
        <v>374</v>
      </c>
      <c r="H5" s="392">
        <v>373</v>
      </c>
      <c r="I5" s="392">
        <f t="shared" ref="I5:I10" si="0">+G5-H5</f>
        <v>1</v>
      </c>
      <c r="J5" s="392">
        <v>0</v>
      </c>
      <c r="K5" s="392">
        <f>+I5-J5</f>
        <v>1</v>
      </c>
      <c r="L5" s="301"/>
      <c r="M5" s="301"/>
      <c r="N5" s="301"/>
    </row>
    <row r="6" spans="2:17" ht="13.9">
      <c r="B6" s="365">
        <v>3</v>
      </c>
      <c r="C6" s="365">
        <v>10</v>
      </c>
      <c r="D6" s="365"/>
      <c r="E6" s="365">
        <v>350</v>
      </c>
      <c r="F6" s="365">
        <v>1</v>
      </c>
      <c r="G6" s="392">
        <f>SUM(C6:F6)</f>
        <v>361</v>
      </c>
      <c r="H6" s="392">
        <v>361</v>
      </c>
      <c r="I6" s="392">
        <f t="shared" si="0"/>
        <v>0</v>
      </c>
      <c r="J6" s="392">
        <v>0</v>
      </c>
      <c r="K6" s="392">
        <f>+I6-J6</f>
        <v>0</v>
      </c>
      <c r="L6" s="301"/>
      <c r="M6" s="301"/>
      <c r="N6" s="301"/>
    </row>
    <row r="7" spans="2:17" ht="13.9">
      <c r="B7" s="365">
        <v>4</v>
      </c>
      <c r="C7" s="393">
        <v>0</v>
      </c>
      <c r="D7" s="393"/>
      <c r="E7" s="365">
        <f>151+150</f>
        <v>301</v>
      </c>
      <c r="F7" s="393"/>
      <c r="G7" s="392">
        <f>SUM(C7:F7)</f>
        <v>301</v>
      </c>
      <c r="H7" s="392">
        <v>300</v>
      </c>
      <c r="I7" s="392">
        <f t="shared" si="0"/>
        <v>1</v>
      </c>
      <c r="J7" s="394">
        <v>0</v>
      </c>
      <c r="K7" s="392">
        <f>+I7-J7</f>
        <v>1</v>
      </c>
      <c r="L7" s="299"/>
      <c r="M7" s="299"/>
      <c r="N7" s="301"/>
    </row>
    <row r="8" spans="2:17" ht="13.9">
      <c r="B8" s="395"/>
      <c r="C8" s="370"/>
      <c r="D8" s="396"/>
      <c r="E8" s="370"/>
      <c r="F8" s="396">
        <v>0</v>
      </c>
      <c r="G8" s="399">
        <f>SUM(C8:F8)</f>
        <v>0</v>
      </c>
      <c r="H8" s="397"/>
      <c r="I8" s="397">
        <f t="shared" si="0"/>
        <v>0</v>
      </c>
      <c r="J8" s="399"/>
      <c r="K8" s="398">
        <f>+I8-J8</f>
        <v>0</v>
      </c>
      <c r="L8" s="301"/>
      <c r="M8" s="301"/>
      <c r="N8" s="301"/>
    </row>
    <row r="9" spans="2:17" ht="13.9">
      <c r="B9" s="400" t="s">
        <v>1606</v>
      </c>
      <c r="C9" s="401">
        <f t="shared" ref="C9:H9" si="1">SUM(C4:C8)</f>
        <v>68</v>
      </c>
      <c r="D9" s="402">
        <f t="shared" si="1"/>
        <v>2</v>
      </c>
      <c r="E9" s="401">
        <f t="shared" si="1"/>
        <v>1557</v>
      </c>
      <c r="F9" s="402">
        <f t="shared" si="1"/>
        <v>1</v>
      </c>
      <c r="G9" s="401">
        <f t="shared" si="1"/>
        <v>1628</v>
      </c>
      <c r="H9" s="402">
        <f t="shared" si="1"/>
        <v>1621</v>
      </c>
      <c r="I9" s="403">
        <f t="shared" si="0"/>
        <v>7</v>
      </c>
      <c r="J9" s="404">
        <f>SUM(J4:J8)</f>
        <v>4</v>
      </c>
      <c r="K9" s="405">
        <f>SUM(K4:K8)</f>
        <v>3</v>
      </c>
      <c r="L9" s="301"/>
      <c r="M9" s="301"/>
      <c r="N9" s="301"/>
    </row>
    <row r="10" spans="2:17" ht="13.9">
      <c r="B10" s="389"/>
      <c r="C10" s="389"/>
      <c r="D10" s="389"/>
      <c r="E10" s="389"/>
      <c r="F10" s="389"/>
      <c r="G10" s="301"/>
      <c r="H10" s="301"/>
      <c r="I10" s="301">
        <f t="shared" si="0"/>
        <v>0</v>
      </c>
      <c r="J10" s="301"/>
      <c r="K10" s="301"/>
      <c r="L10" s="301"/>
      <c r="M10" s="301"/>
      <c r="N10" s="301"/>
    </row>
    <row r="11" spans="2:17">
      <c r="Q11">
        <v>50</v>
      </c>
    </row>
    <row r="12" spans="2:17">
      <c r="Q12">
        <v>19</v>
      </c>
    </row>
    <row r="13" spans="2:17">
      <c r="Q13">
        <v>40</v>
      </c>
    </row>
    <row r="15" spans="2:17">
      <c r="Q15">
        <f>SUM(Q11:Q14)</f>
        <v>109</v>
      </c>
    </row>
    <row r="17" spans="17:17">
      <c r="Q17">
        <f>100-Q15</f>
        <v>-9</v>
      </c>
    </row>
    <row r="175" spans="18:18">
      <c r="R175">
        <f>120+40+80</f>
        <v>240</v>
      </c>
    </row>
  </sheetData>
  <pageMargins left="0.7" right="0.7" top="0.75" bottom="0.75" header="0.3" footer="0.3"/>
  <pageSetup paperSize="9" scale="55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91"/>
  <dimension ref="A1:BA113"/>
  <sheetViews>
    <sheetView workbookViewId="0">
      <selection activeCell="K23" sqref="K23"/>
    </sheetView>
  </sheetViews>
  <sheetFormatPr defaultColWidth="9.140625" defaultRowHeight="13.15"/>
  <cols>
    <col min="1" max="1" width="17.7109375" style="300" customWidth="1"/>
    <col min="2" max="2" width="13.85546875" style="300" bestFit="1" customWidth="1"/>
    <col min="3" max="3" width="16.140625" style="300" customWidth="1"/>
    <col min="4" max="4" width="15.42578125" style="300" customWidth="1"/>
    <col min="5" max="5" width="16.85546875" style="300" customWidth="1"/>
    <col min="6" max="6" width="15.85546875" style="300" customWidth="1"/>
    <col min="7" max="7" width="12.42578125" style="300" customWidth="1"/>
    <col min="8" max="8" width="14.28515625" style="1" customWidth="1"/>
    <col min="9" max="9" width="15.5703125" style="300" customWidth="1"/>
    <col min="10" max="10" width="12.5703125" style="300" customWidth="1"/>
    <col min="11" max="11" width="14.140625" style="300" bestFit="1" customWidth="1"/>
    <col min="12" max="12" width="11.28515625" style="300" customWidth="1"/>
    <col min="13" max="13" width="16.85546875" style="300" bestFit="1" customWidth="1"/>
    <col min="14" max="14" width="13.140625" style="300" customWidth="1"/>
    <col min="15" max="15" width="14.5703125" style="306" bestFit="1" customWidth="1"/>
    <col min="16" max="16" width="10.85546875" style="306" bestFit="1" customWidth="1"/>
    <col min="17" max="22" width="10.85546875" style="306" customWidth="1"/>
    <col min="23" max="24" width="10.85546875" style="290" customWidth="1"/>
    <col min="25" max="25" width="10.28515625" style="290" bestFit="1" customWidth="1"/>
    <col min="26" max="26" width="10.28515625" style="290" customWidth="1"/>
    <col min="27" max="27" width="11.140625" style="290" bestFit="1" customWidth="1"/>
    <col min="28" max="31" width="11.140625" style="290" customWidth="1"/>
    <col min="32" max="32" width="12.28515625" style="300" bestFit="1" customWidth="1"/>
    <col min="33" max="38" width="12.28515625" style="300" customWidth="1"/>
    <col min="39" max="16384" width="9.140625" style="300"/>
  </cols>
  <sheetData>
    <row r="1" spans="1:53" s="1" customFormat="1">
      <c r="A1" s="1" t="s">
        <v>81</v>
      </c>
      <c r="C1" s="48"/>
      <c r="D1" s="1" t="s">
        <v>138</v>
      </c>
      <c r="G1" s="95"/>
      <c r="I1" s="1" t="s">
        <v>138</v>
      </c>
      <c r="K1" s="1" t="s">
        <v>138</v>
      </c>
      <c r="O1" s="81"/>
      <c r="P1" s="81"/>
      <c r="Q1" s="81"/>
      <c r="R1" s="81"/>
      <c r="S1" s="81"/>
      <c r="T1" s="81"/>
      <c r="U1" s="81"/>
      <c r="V1" s="81"/>
      <c r="W1" s="290"/>
      <c r="X1" s="290"/>
      <c r="Y1" s="290"/>
      <c r="Z1" s="290"/>
      <c r="AA1" s="290"/>
      <c r="AB1" s="290"/>
      <c r="AC1" s="290"/>
      <c r="AD1" s="290"/>
      <c r="AE1" s="290"/>
      <c r="AF1" s="300"/>
      <c r="AG1" s="300"/>
      <c r="AH1" s="300"/>
      <c r="AI1" s="300"/>
      <c r="AJ1" s="300"/>
      <c r="AK1" s="300"/>
      <c r="AL1" s="300"/>
      <c r="AM1" s="300"/>
      <c r="AN1" s="300"/>
      <c r="AO1" s="300"/>
      <c r="AP1" s="300"/>
      <c r="AQ1" s="300"/>
      <c r="AR1" s="300"/>
      <c r="AS1" s="300"/>
      <c r="AT1" s="300"/>
      <c r="AU1" s="300"/>
    </row>
    <row r="2" spans="1:53" s="1" customFormat="1">
      <c r="E2" s="95"/>
      <c r="I2" s="95"/>
      <c r="J2" s="1" t="s">
        <v>138</v>
      </c>
      <c r="K2" s="1" t="s">
        <v>138</v>
      </c>
      <c r="L2" s="95"/>
      <c r="M2" s="95" t="s">
        <v>138</v>
      </c>
      <c r="P2" s="81"/>
      <c r="Q2" s="81"/>
      <c r="R2" s="81"/>
      <c r="S2" s="81"/>
      <c r="T2" s="81"/>
      <c r="U2" s="81"/>
      <c r="V2" s="81"/>
      <c r="W2" s="290"/>
      <c r="X2" s="290"/>
      <c r="Y2" s="290"/>
      <c r="Z2" s="290"/>
      <c r="AA2" s="290"/>
      <c r="AB2" s="290"/>
      <c r="AC2" s="290"/>
      <c r="AD2" s="290"/>
      <c r="AE2" s="29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  <c r="AR2" s="300"/>
      <c r="AS2" s="300"/>
      <c r="AT2" s="300"/>
      <c r="AU2" s="300"/>
    </row>
    <row r="3" spans="1:53" s="1" customFormat="1">
      <c r="A3" s="1" t="s">
        <v>82</v>
      </c>
      <c r="C3" s="293">
        <v>42250</v>
      </c>
      <c r="F3" s="51"/>
      <c r="I3" s="48" t="s">
        <v>138</v>
      </c>
      <c r="J3" s="48" t="s">
        <v>138</v>
      </c>
      <c r="K3" s="48" t="s">
        <v>138</v>
      </c>
      <c r="O3" s="81"/>
      <c r="P3" s="81"/>
      <c r="Q3" s="81"/>
      <c r="R3" s="81"/>
      <c r="S3" s="81"/>
      <c r="T3" s="81"/>
      <c r="U3" s="81"/>
      <c r="V3" s="81"/>
      <c r="W3" s="290"/>
      <c r="X3" s="290"/>
      <c r="Y3" s="290"/>
      <c r="Z3" s="290"/>
      <c r="AA3" s="290"/>
      <c r="AB3" s="290"/>
      <c r="AC3" s="290"/>
      <c r="AD3" s="290"/>
      <c r="AE3" s="290"/>
      <c r="AF3" s="300"/>
      <c r="AG3" s="300"/>
      <c r="AH3" s="300"/>
      <c r="AI3" s="300"/>
      <c r="AJ3" s="300"/>
      <c r="AK3" s="300"/>
      <c r="AL3" s="300"/>
      <c r="AM3" s="300"/>
      <c r="AN3" s="300"/>
      <c r="AO3" s="300"/>
      <c r="AP3" s="300"/>
      <c r="AQ3" s="300"/>
      <c r="AR3" s="300"/>
      <c r="AS3" s="300"/>
      <c r="AT3" s="300"/>
      <c r="AU3" s="300"/>
    </row>
    <row r="4" spans="1:53" s="1" customFormat="1">
      <c r="F4" s="51"/>
      <c r="I4" s="95" t="s">
        <v>138</v>
      </c>
      <c r="J4" s="313" t="e">
        <f>+D12+D14+I11</f>
        <v>#REF!</v>
      </c>
      <c r="K4" s="48" t="s">
        <v>138</v>
      </c>
      <c r="L4" s="48"/>
      <c r="M4" s="51"/>
      <c r="O4" s="81"/>
      <c r="P4" s="81"/>
      <c r="Q4" s="81"/>
      <c r="R4" s="81"/>
      <c r="S4" s="81"/>
      <c r="T4" s="81"/>
      <c r="U4" s="81"/>
      <c r="V4" s="81"/>
      <c r="W4" s="290"/>
      <c r="X4" s="290"/>
      <c r="Y4" s="290"/>
      <c r="Z4" s="290"/>
      <c r="AA4" s="290"/>
      <c r="AB4" s="290"/>
      <c r="AC4" s="290"/>
      <c r="AD4" s="290"/>
      <c r="AE4" s="290"/>
      <c r="AF4" s="300"/>
      <c r="AG4" s="300"/>
      <c r="AH4" s="300"/>
      <c r="AI4" s="300"/>
      <c r="AJ4" s="300"/>
      <c r="AK4" s="300"/>
      <c r="AL4" s="300"/>
      <c r="AM4" s="300"/>
      <c r="AN4" s="300"/>
      <c r="AO4" s="300"/>
      <c r="AP4" s="300"/>
      <c r="AQ4" s="300"/>
      <c r="AR4" s="300"/>
      <c r="AS4" s="300"/>
      <c r="AT4" s="300"/>
      <c r="AU4" s="300"/>
    </row>
    <row r="5" spans="1:53" s="1" customFormat="1" ht="17.45">
      <c r="A5" s="1" t="s">
        <v>137</v>
      </c>
      <c r="D5" s="48" t="s">
        <v>138</v>
      </c>
      <c r="F5" s="51" t="s">
        <v>138</v>
      </c>
      <c r="G5" s="95" t="s">
        <v>138</v>
      </c>
      <c r="H5" s="48"/>
      <c r="I5" s="48" t="s">
        <v>138</v>
      </c>
      <c r="J5" s="311" t="e">
        <f>+D13+I12</f>
        <v>#REF!</v>
      </c>
      <c r="K5" s="1" t="s">
        <v>1614</v>
      </c>
      <c r="L5" s="48"/>
      <c r="M5" s="51" t="s">
        <v>138</v>
      </c>
      <c r="O5" s="81"/>
      <c r="P5" s="312"/>
      <c r="Q5" s="81"/>
      <c r="R5" s="81"/>
      <c r="S5" s="81"/>
      <c r="T5" s="81"/>
      <c r="U5" s="81"/>
      <c r="V5" s="81"/>
      <c r="W5" s="290"/>
      <c r="X5" s="290"/>
      <c r="Y5" s="290"/>
      <c r="Z5" s="290"/>
      <c r="AA5" s="290"/>
      <c r="AB5" s="290"/>
      <c r="AC5" s="290"/>
      <c r="AD5" s="290"/>
      <c r="AE5" s="290"/>
      <c r="AF5" s="300"/>
      <c r="AG5" s="300"/>
      <c r="AH5" s="300"/>
      <c r="AI5" s="300"/>
      <c r="AJ5" s="300"/>
      <c r="AK5" s="300"/>
      <c r="AL5" s="300"/>
      <c r="AM5" s="300"/>
      <c r="AN5" s="300"/>
      <c r="AO5" s="300"/>
      <c r="AP5" s="300"/>
      <c r="AQ5" s="300"/>
      <c r="AR5" s="300"/>
      <c r="AS5" s="300"/>
      <c r="AT5" s="300"/>
      <c r="AU5" s="300"/>
    </row>
    <row r="6" spans="1:53" s="1" customFormat="1">
      <c r="D6" s="48" t="s">
        <v>138</v>
      </c>
      <c r="E6" s="48" t="s">
        <v>138</v>
      </c>
      <c r="F6" s="51"/>
      <c r="G6" s="48" t="s">
        <v>138</v>
      </c>
      <c r="H6" s="48" t="s">
        <v>138</v>
      </c>
      <c r="I6" s="48" t="s">
        <v>138</v>
      </c>
      <c r="J6" s="48" t="s">
        <v>138</v>
      </c>
      <c r="K6" s="294"/>
      <c r="N6" s="48" t="s">
        <v>138</v>
      </c>
      <c r="O6" s="81"/>
      <c r="P6" s="81"/>
      <c r="Q6" s="81"/>
      <c r="R6" s="81"/>
      <c r="S6" s="81"/>
      <c r="T6" s="81"/>
      <c r="U6" s="81"/>
      <c r="V6" s="81"/>
      <c r="W6" s="296"/>
      <c r="X6" s="296"/>
      <c r="Y6" s="296"/>
      <c r="Z6" s="296"/>
      <c r="AA6" s="296"/>
      <c r="AB6" s="296"/>
      <c r="AC6" s="296"/>
      <c r="AD6" s="296"/>
      <c r="AE6" s="296"/>
      <c r="AF6" s="300"/>
      <c r="AG6" s="300"/>
      <c r="AH6" s="300"/>
      <c r="AI6" s="300"/>
      <c r="AJ6" s="300"/>
      <c r="AK6" s="300"/>
      <c r="AL6" s="300"/>
      <c r="AM6" s="300"/>
      <c r="AN6" s="300"/>
      <c r="AO6" s="300"/>
      <c r="AP6" s="300"/>
      <c r="AQ6" s="300"/>
      <c r="AR6" s="300"/>
      <c r="AS6" s="300"/>
      <c r="AT6" s="300"/>
      <c r="AU6" s="300"/>
    </row>
    <row r="7" spans="1:53" s="1" customFormat="1">
      <c r="A7" s="1" t="s">
        <v>217</v>
      </c>
      <c r="C7" s="48"/>
      <c r="D7" s="48" t="s">
        <v>138</v>
      </c>
      <c r="E7" s="48" t="s">
        <v>138</v>
      </c>
      <c r="F7" s="51" t="s">
        <v>138</v>
      </c>
      <c r="G7" s="50" t="s">
        <v>138</v>
      </c>
      <c r="H7" s="48" t="s">
        <v>138</v>
      </c>
      <c r="I7" s="48"/>
      <c r="J7" s="48"/>
      <c r="K7" s="48"/>
      <c r="L7" s="48"/>
      <c r="M7" s="48"/>
      <c r="O7" s="81"/>
      <c r="P7" s="81"/>
      <c r="Q7" s="81"/>
      <c r="R7" s="81"/>
      <c r="S7" s="81"/>
      <c r="T7" s="81"/>
      <c r="U7" s="81"/>
      <c r="V7" s="81"/>
      <c r="W7" s="296"/>
      <c r="X7" s="296"/>
      <c r="Y7" s="296"/>
      <c r="Z7" s="296"/>
      <c r="AA7" s="296"/>
      <c r="AB7" s="296"/>
      <c r="AC7" s="296"/>
      <c r="AD7" s="296"/>
      <c r="AE7" s="296"/>
      <c r="AF7" s="300"/>
      <c r="AG7" s="300"/>
      <c r="AH7" s="300"/>
      <c r="AI7" s="300"/>
      <c r="AJ7" s="300"/>
      <c r="AK7" s="300"/>
      <c r="AL7" s="300"/>
      <c r="AM7" s="300"/>
      <c r="AN7" s="300"/>
      <c r="AO7" s="300"/>
      <c r="AP7" s="300"/>
      <c r="AQ7" s="300"/>
      <c r="AR7" s="300"/>
      <c r="AS7" s="300"/>
      <c r="AT7" s="300"/>
      <c r="AU7" s="300"/>
    </row>
    <row r="8" spans="1:53" s="1" customFormat="1">
      <c r="C8" s="48"/>
      <c r="D8" s="48" t="s">
        <v>138</v>
      </c>
      <c r="E8" s="51" t="s">
        <v>138</v>
      </c>
      <c r="F8" s="51"/>
      <c r="G8" s="51" t="s">
        <v>138</v>
      </c>
      <c r="H8" s="51"/>
      <c r="I8" s="51"/>
      <c r="J8" s="314" t="s">
        <v>138</v>
      </c>
      <c r="K8" s="51"/>
      <c r="L8" s="51"/>
      <c r="M8" s="50"/>
      <c r="O8" s="81"/>
      <c r="P8" s="81" t="s">
        <v>138</v>
      </c>
      <c r="Q8" s="81"/>
      <c r="R8" s="81"/>
      <c r="S8" s="81"/>
      <c r="T8" s="81"/>
      <c r="U8" s="81"/>
      <c r="V8" s="81"/>
      <c r="W8" s="81"/>
      <c r="X8" s="296"/>
      <c r="Y8" s="296"/>
      <c r="Z8" s="296"/>
      <c r="AA8" s="296"/>
      <c r="AB8" s="296"/>
      <c r="AC8" s="296"/>
      <c r="AD8" s="296"/>
      <c r="AE8" s="296"/>
      <c r="AF8" s="300"/>
      <c r="AG8" s="296"/>
      <c r="AH8" s="300"/>
      <c r="AI8" s="300"/>
      <c r="AJ8" s="300"/>
      <c r="AK8" s="300"/>
      <c r="AL8" s="300"/>
      <c r="AM8" s="300"/>
      <c r="AN8" s="300"/>
      <c r="AO8" s="300"/>
      <c r="AP8" s="300"/>
      <c r="AQ8" s="300"/>
      <c r="AR8" s="300"/>
      <c r="AS8" s="300"/>
      <c r="AT8" s="300"/>
      <c r="AU8" s="300"/>
    </row>
    <row r="9" spans="1:53" s="1" customFormat="1" ht="13.9" thickBot="1">
      <c r="A9" s="1" t="s">
        <v>86</v>
      </c>
      <c r="C9" s="17" t="s">
        <v>85</v>
      </c>
      <c r="D9" s="49"/>
      <c r="F9" s="48"/>
      <c r="G9" s="48"/>
      <c r="H9" s="48"/>
      <c r="I9" s="48"/>
      <c r="J9" s="48"/>
      <c r="K9" s="48"/>
      <c r="L9" s="48"/>
      <c r="M9" s="266"/>
      <c r="N9" s="48"/>
      <c r="O9" s="81"/>
      <c r="P9" s="81"/>
      <c r="Q9" s="81"/>
      <c r="R9" s="81"/>
      <c r="S9" s="81"/>
      <c r="T9" s="81"/>
      <c r="U9" s="81"/>
      <c r="V9" s="81"/>
      <c r="W9" s="292"/>
      <c r="X9" s="292"/>
      <c r="Y9" s="292"/>
      <c r="Z9" s="292"/>
      <c r="AA9" s="292"/>
      <c r="AB9" s="296"/>
      <c r="AC9" s="296"/>
      <c r="AD9" s="296"/>
      <c r="AE9" s="296"/>
      <c r="AF9" s="296"/>
      <c r="AG9" s="296"/>
      <c r="AH9" s="296"/>
      <c r="AI9" s="290"/>
      <c r="AJ9" s="303"/>
      <c r="AK9" s="303"/>
      <c r="AL9" s="303"/>
      <c r="AM9" s="300"/>
      <c r="AN9" s="300"/>
      <c r="AO9" s="300"/>
      <c r="AP9" s="300"/>
      <c r="AQ9" s="300"/>
      <c r="AR9" s="300"/>
      <c r="AS9" s="300"/>
      <c r="AT9" s="300"/>
      <c r="AU9" s="300"/>
    </row>
    <row r="10" spans="1:53" s="1" customFormat="1" ht="13.9" thickBot="1">
      <c r="A10" s="3" t="s">
        <v>87</v>
      </c>
      <c r="B10" s="52" t="s">
        <v>88</v>
      </c>
      <c r="C10" s="4" t="s">
        <v>89</v>
      </c>
      <c r="D10" s="4" t="s">
        <v>91</v>
      </c>
      <c r="E10" s="4" t="s">
        <v>430</v>
      </c>
      <c r="F10" s="4" t="s">
        <v>431</v>
      </c>
      <c r="G10" s="4" t="s">
        <v>332</v>
      </c>
      <c r="H10" s="4" t="s">
        <v>115</v>
      </c>
      <c r="I10" s="4" t="s">
        <v>101</v>
      </c>
      <c r="J10" s="4" t="s">
        <v>102</v>
      </c>
      <c r="K10" s="83" t="s">
        <v>2379</v>
      </c>
      <c r="L10" s="83" t="s">
        <v>2380</v>
      </c>
      <c r="M10" s="83" t="s">
        <v>378</v>
      </c>
      <c r="N10" s="83" t="s">
        <v>104</v>
      </c>
      <c r="O10" s="85" t="s">
        <v>2381</v>
      </c>
      <c r="P10" s="89" t="s">
        <v>2382</v>
      </c>
      <c r="Q10" s="298"/>
      <c r="R10" s="299" t="s">
        <v>2380</v>
      </c>
      <c r="S10" s="1" t="s">
        <v>2383</v>
      </c>
      <c r="T10" s="1" t="s">
        <v>312</v>
      </c>
      <c r="U10" s="1" t="s">
        <v>293</v>
      </c>
      <c r="V10" s="1" t="s">
        <v>186</v>
      </c>
      <c r="W10" s="1" t="s">
        <v>2384</v>
      </c>
      <c r="AB10" s="382"/>
      <c r="AC10" s="292"/>
      <c r="AD10" s="292"/>
      <c r="AE10" s="292"/>
      <c r="AF10" s="292"/>
      <c r="AG10" s="296"/>
      <c r="AH10" s="292"/>
      <c r="AI10" s="290"/>
      <c r="AJ10" s="303"/>
      <c r="AK10" s="292"/>
      <c r="AL10" s="303"/>
      <c r="AM10" s="300"/>
      <c r="AN10" s="300"/>
      <c r="AO10" s="300"/>
      <c r="AP10" s="300"/>
      <c r="AQ10" s="300"/>
      <c r="AR10" s="300"/>
      <c r="AS10" s="300"/>
      <c r="AT10" s="300"/>
      <c r="AU10" s="300"/>
    </row>
    <row r="11" spans="1:53" ht="13.9">
      <c r="A11" s="318" t="s">
        <v>105</v>
      </c>
      <c r="B11" s="319" t="s">
        <v>106</v>
      </c>
      <c r="C11" s="320">
        <v>4242</v>
      </c>
      <c r="D11" s="321"/>
      <c r="E11" s="321">
        <f>'Grasmere Batch Mvnt'!I20</f>
        <v>6765</v>
      </c>
      <c r="F11" s="321"/>
      <c r="G11" s="322">
        <f>-'Grasmere Batch Mvnt'!I21-'Grasmere Batch Mvnt'!I22</f>
        <v>-1161</v>
      </c>
      <c r="H11" s="323">
        <f t="shared" ref="H11:H16" si="0">SUM(C11:G11)</f>
        <v>9846</v>
      </c>
      <c r="I11" s="324">
        <f>-'Grasmere Batch Mvnt'!I24-'Grasmere Batch Mvnt'!I27-'Grasmere Batch Mvnt'!I26</f>
        <v>-4465</v>
      </c>
      <c r="J11" s="321"/>
      <c r="K11" s="325"/>
      <c r="L11" s="325"/>
      <c r="M11" s="325"/>
      <c r="N11" s="325">
        <f t="shared" ref="N11:N16" si="1">SUM(H11:M11)</f>
        <v>5381</v>
      </c>
      <c r="O11" s="326">
        <f>1153+1167+93+1119+1137</f>
        <v>4669</v>
      </c>
      <c r="P11" s="327">
        <f t="shared" ref="P11:P16" si="2">O11-N11</f>
        <v>-712</v>
      </c>
      <c r="Q11" s="301"/>
      <c r="R11" s="301">
        <v>4</v>
      </c>
      <c r="S11" s="301">
        <v>1</v>
      </c>
      <c r="T11" s="301">
        <v>2</v>
      </c>
      <c r="U11" s="301"/>
      <c r="V11" s="301">
        <v>5</v>
      </c>
      <c r="W11" s="296"/>
      <c r="X11" s="302"/>
      <c r="Y11" s="272"/>
      <c r="Z11" s="1"/>
      <c r="AA11" s="273"/>
      <c r="AB11" s="383"/>
      <c r="AC11" s="273"/>
      <c r="AD11" s="273"/>
      <c r="AE11" s="273"/>
      <c r="AF11" s="255"/>
      <c r="AG11" s="296"/>
      <c r="AH11" s="255"/>
      <c r="AI11" s="290"/>
      <c r="AJ11" s="303"/>
      <c r="AK11" s="255"/>
      <c r="AL11" s="303"/>
    </row>
    <row r="12" spans="1:53" ht="13.9">
      <c r="A12" s="328" t="s">
        <v>107</v>
      </c>
      <c r="B12" s="329" t="s">
        <v>108</v>
      </c>
      <c r="C12" s="330">
        <v>6030</v>
      </c>
      <c r="D12" s="331" t="e">
        <f>+#REF!</f>
        <v>#REF!</v>
      </c>
      <c r="E12" s="332"/>
      <c r="F12" s="332"/>
      <c r="G12" s="332" t="e">
        <f>-#REF!-#REF!</f>
        <v>#REF!</v>
      </c>
      <c r="H12" s="323" t="e">
        <f t="shared" si="0"/>
        <v>#REF!</v>
      </c>
      <c r="I12" s="333" t="e">
        <f>-#REF!</f>
        <v>#REF!</v>
      </c>
      <c r="J12" s="332">
        <v>0</v>
      </c>
      <c r="K12" s="325">
        <v>-4</v>
      </c>
      <c r="L12" s="325"/>
      <c r="M12" s="325"/>
      <c r="N12" s="325" t="e">
        <f t="shared" si="1"/>
        <v>#REF!</v>
      </c>
      <c r="O12" s="334">
        <v>5151</v>
      </c>
      <c r="P12" s="335" t="e">
        <f t="shared" si="2"/>
        <v>#REF!</v>
      </c>
      <c r="Q12" s="301"/>
      <c r="R12" s="306">
        <v>3</v>
      </c>
      <c r="S12" s="301">
        <v>1</v>
      </c>
      <c r="T12" s="301">
        <v>1</v>
      </c>
      <c r="U12" s="301"/>
      <c r="V12" s="301">
        <v>5</v>
      </c>
      <c r="W12" s="296"/>
      <c r="X12" s="296"/>
      <c r="Y12" s="272"/>
      <c r="Z12" s="1"/>
      <c r="AA12" s="273"/>
      <c r="AB12" s="383"/>
      <c r="AC12" s="273"/>
      <c r="AD12" s="273"/>
      <c r="AE12" s="273"/>
      <c r="AF12" s="255"/>
      <c r="AG12" s="296"/>
      <c r="AH12" s="255"/>
      <c r="AI12" s="290"/>
      <c r="AJ12" s="303"/>
      <c r="AK12" s="255"/>
      <c r="AL12" s="303"/>
    </row>
    <row r="13" spans="1:53" ht="13.9">
      <c r="A13" s="328" t="s">
        <v>109</v>
      </c>
      <c r="B13" s="329" t="s">
        <v>110</v>
      </c>
      <c r="C13" s="330">
        <v>10222</v>
      </c>
      <c r="D13" s="333" t="e">
        <f>+#REF!</f>
        <v>#REF!</v>
      </c>
      <c r="E13" s="332"/>
      <c r="F13" s="332"/>
      <c r="G13" s="332" t="e">
        <f>-#REF!-#REF!</f>
        <v>#REF!</v>
      </c>
      <c r="H13" s="323" t="e">
        <f t="shared" si="0"/>
        <v>#REF!</v>
      </c>
      <c r="I13" s="336" t="e">
        <f>-#REF!</f>
        <v>#REF!</v>
      </c>
      <c r="J13" s="332" t="e">
        <f>-#REF!</f>
        <v>#REF!</v>
      </c>
      <c r="K13" s="325" t="e">
        <f>-#REF!</f>
        <v>#REF!</v>
      </c>
      <c r="L13" s="325" t="e">
        <f>-#REF!</f>
        <v>#REF!</v>
      </c>
      <c r="M13" s="325" t="e">
        <f>-#REF!</f>
        <v>#REF!</v>
      </c>
      <c r="N13" s="325" t="e">
        <f t="shared" si="1"/>
        <v>#REF!</v>
      </c>
      <c r="O13" s="334">
        <v>11226</v>
      </c>
      <c r="P13" s="335" t="e">
        <f t="shared" si="2"/>
        <v>#REF!</v>
      </c>
      <c r="Q13" s="301"/>
      <c r="R13" s="301">
        <v>3</v>
      </c>
      <c r="S13" s="301">
        <v>1</v>
      </c>
      <c r="T13" s="301">
        <v>2</v>
      </c>
      <c r="U13" s="301"/>
      <c r="V13" s="301">
        <v>9</v>
      </c>
      <c r="W13" s="296"/>
      <c r="X13" s="296"/>
      <c r="Y13" s="272"/>
      <c r="Z13" s="1"/>
      <c r="AA13" s="273"/>
      <c r="AB13" s="383"/>
      <c r="AC13" s="273"/>
      <c r="AD13" s="273"/>
      <c r="AE13" s="273"/>
      <c r="AF13" s="255"/>
      <c r="AG13" s="296"/>
      <c r="AH13" s="255"/>
      <c r="AI13" s="290"/>
      <c r="AJ13" s="303"/>
      <c r="AK13" s="255"/>
      <c r="AL13" s="303"/>
    </row>
    <row r="14" spans="1:53" ht="13.9">
      <c r="A14" s="328" t="s">
        <v>111</v>
      </c>
      <c r="B14" s="319" t="s">
        <v>106</v>
      </c>
      <c r="C14" s="330">
        <v>729</v>
      </c>
      <c r="D14" s="331">
        <f>'Grasmere Batch Mvnt'!I27</f>
        <v>0</v>
      </c>
      <c r="E14" s="332">
        <v>0</v>
      </c>
      <c r="F14" s="332"/>
      <c r="G14" s="332">
        <f>-'Grasmere Batch Mvnt'!C47</f>
        <v>0</v>
      </c>
      <c r="H14" s="323">
        <f t="shared" si="0"/>
        <v>729</v>
      </c>
      <c r="I14" s="332">
        <f>-10-106</f>
        <v>-116</v>
      </c>
      <c r="J14" s="332">
        <v>0</v>
      </c>
      <c r="K14" s="325">
        <v>0</v>
      </c>
      <c r="L14" s="325"/>
      <c r="M14" s="325"/>
      <c r="N14" s="325">
        <f>SUM(H14:M14)</f>
        <v>613</v>
      </c>
      <c r="O14" s="334">
        <f>257+276+202</f>
        <v>735</v>
      </c>
      <c r="P14" s="335">
        <f t="shared" si="2"/>
        <v>122</v>
      </c>
      <c r="Q14" s="301"/>
      <c r="R14" s="301">
        <v>4</v>
      </c>
      <c r="S14" s="301">
        <v>1</v>
      </c>
      <c r="T14" s="301"/>
      <c r="U14" s="301"/>
      <c r="V14" s="301"/>
      <c r="W14" s="296"/>
      <c r="X14" s="296"/>
      <c r="Y14" s="272"/>
      <c r="Z14" s="1"/>
      <c r="AA14" s="273"/>
      <c r="AB14" s="383"/>
      <c r="AC14" s="273"/>
      <c r="AD14" s="273"/>
      <c r="AE14" s="273"/>
      <c r="AF14" s="255"/>
      <c r="AG14" s="296"/>
      <c r="AH14" s="255"/>
      <c r="AI14" s="290"/>
      <c r="AJ14" s="303"/>
      <c r="AK14" s="255"/>
      <c r="AL14" s="255"/>
    </row>
    <row r="15" spans="1:53" ht="20.45">
      <c r="A15" s="328" t="s">
        <v>112</v>
      </c>
      <c r="B15" s="319" t="s">
        <v>106</v>
      </c>
      <c r="C15" s="330">
        <v>2238</v>
      </c>
      <c r="D15" s="332">
        <f>-I14-10</f>
        <v>106</v>
      </c>
      <c r="E15" s="332"/>
      <c r="F15" s="332"/>
      <c r="G15" s="337">
        <f>-'Grasmere Batch Mvnt'!I23-'Grasmere Batch Mvnt'!C40</f>
        <v>0</v>
      </c>
      <c r="H15" s="323">
        <f t="shared" si="0"/>
        <v>2344</v>
      </c>
      <c r="I15" s="332">
        <f>-3-6-6</f>
        <v>-15</v>
      </c>
      <c r="J15" s="332">
        <f>-'Grasmere Batch Mvnt'!E40</f>
        <v>0</v>
      </c>
      <c r="K15" s="325">
        <v>0</v>
      </c>
      <c r="L15" s="325">
        <f>-'Grasmere Batch Mvnt'!D39</f>
        <v>0</v>
      </c>
      <c r="M15" s="325">
        <f>-'Grasmere Batch Mvnt'!I39</f>
        <v>0</v>
      </c>
      <c r="N15" s="325">
        <f t="shared" si="1"/>
        <v>2329</v>
      </c>
      <c r="O15" s="334">
        <f>96+96+96+10+95+96+381+201+397+30+325+397</f>
        <v>2220</v>
      </c>
      <c r="P15" s="335">
        <f t="shared" si="2"/>
        <v>-109</v>
      </c>
      <c r="Q15" s="301"/>
      <c r="R15" s="301">
        <f>SUM(R11:R14)</f>
        <v>14</v>
      </c>
      <c r="S15" s="301">
        <f>SUM(S11:S14)</f>
        <v>4</v>
      </c>
      <c r="T15" s="301">
        <f>SUM(T11:T14)</f>
        <v>5</v>
      </c>
      <c r="U15" s="301"/>
      <c r="V15" s="301">
        <f>SUM(V11:V14)</f>
        <v>19</v>
      </c>
      <c r="W15" s="296"/>
      <c r="X15" s="296"/>
      <c r="Y15" s="272"/>
      <c r="Z15" s="1"/>
      <c r="AA15" s="300"/>
      <c r="AB15" s="384"/>
      <c r="AC15" s="303"/>
      <c r="AD15" s="303"/>
      <c r="AE15" s="303"/>
      <c r="AF15" s="303"/>
      <c r="AG15" s="296"/>
      <c r="AH15" s="303"/>
      <c r="AI15" s="290"/>
      <c r="AJ15" s="303"/>
      <c r="AK15" s="303"/>
      <c r="AL15" s="303"/>
      <c r="BA15" s="300">
        <f>217+5</f>
        <v>222</v>
      </c>
    </row>
    <row r="16" spans="1:53" ht="14.45" thickBot="1">
      <c r="A16" s="338" t="s">
        <v>113</v>
      </c>
      <c r="B16" s="339" t="s">
        <v>114</v>
      </c>
      <c r="C16" s="340">
        <v>27</v>
      </c>
      <c r="D16" s="341">
        <v>0</v>
      </c>
      <c r="E16" s="341"/>
      <c r="F16" s="341">
        <v>0</v>
      </c>
      <c r="G16" s="341">
        <v>-1</v>
      </c>
      <c r="H16" s="323">
        <f t="shared" si="0"/>
        <v>26</v>
      </c>
      <c r="I16" s="341">
        <v>0</v>
      </c>
      <c r="J16" s="341">
        <v>0</v>
      </c>
      <c r="K16" s="342"/>
      <c r="L16" s="342"/>
      <c r="M16" s="342"/>
      <c r="N16" s="325">
        <f t="shared" si="1"/>
        <v>26</v>
      </c>
      <c r="O16" s="343">
        <f>20+2+1+1+1+1</f>
        <v>26</v>
      </c>
      <c r="P16" s="344">
        <f t="shared" si="2"/>
        <v>0</v>
      </c>
      <c r="Q16" s="301"/>
      <c r="R16" s="301"/>
      <c r="S16" s="301"/>
      <c r="T16" s="301"/>
      <c r="U16" s="301"/>
      <c r="V16" s="301"/>
      <c r="W16" s="296"/>
      <c r="X16" s="296"/>
      <c r="Y16" s="272"/>
      <c r="Z16" s="1"/>
      <c r="AA16" s="273"/>
      <c r="AB16" s="383"/>
      <c r="AC16" s="273"/>
      <c r="AD16" s="273"/>
      <c r="AE16" s="273"/>
      <c r="AF16" s="255"/>
      <c r="AG16" s="296"/>
      <c r="AH16" s="255"/>
      <c r="AI16" s="290"/>
      <c r="AJ16" s="255"/>
      <c r="AK16" s="255"/>
      <c r="AL16" s="255"/>
    </row>
    <row r="17" spans="1:48" s="1" customFormat="1" ht="14.45" thickBot="1">
      <c r="A17" s="345" t="s">
        <v>115</v>
      </c>
      <c r="B17" s="346"/>
      <c r="C17" s="347">
        <f t="shared" ref="C17:I17" si="3">SUM(C11:C16)</f>
        <v>23488</v>
      </c>
      <c r="D17" s="347" t="e">
        <f t="shared" si="3"/>
        <v>#REF!</v>
      </c>
      <c r="E17" s="348">
        <f t="shared" si="3"/>
        <v>6765</v>
      </c>
      <c r="F17" s="348">
        <f t="shared" si="3"/>
        <v>0</v>
      </c>
      <c r="G17" s="348" t="e">
        <f t="shared" si="3"/>
        <v>#REF!</v>
      </c>
      <c r="H17" s="348" t="e">
        <f t="shared" si="3"/>
        <v>#REF!</v>
      </c>
      <c r="I17" s="348" t="e">
        <f t="shared" si="3"/>
        <v>#REF!</v>
      </c>
      <c r="J17" s="348" t="e">
        <f>SUM(J11:J16)</f>
        <v>#REF!</v>
      </c>
      <c r="K17" s="348" t="e">
        <f t="shared" ref="K17:P17" si="4">SUM(K11:K16)</f>
        <v>#REF!</v>
      </c>
      <c r="L17" s="348" t="e">
        <f>SUM(L11:L16)</f>
        <v>#REF!</v>
      </c>
      <c r="M17" s="348" t="e">
        <f t="shared" si="4"/>
        <v>#REF!</v>
      </c>
      <c r="N17" s="349" t="e">
        <f t="shared" si="4"/>
        <v>#REF!</v>
      </c>
      <c r="O17" s="349">
        <f t="shared" si="4"/>
        <v>24027</v>
      </c>
      <c r="P17" s="350" t="e">
        <f t="shared" si="4"/>
        <v>#REF!</v>
      </c>
      <c r="Q17" s="299"/>
      <c r="R17" s="301"/>
      <c r="T17" s="299"/>
      <c r="U17" s="299"/>
      <c r="V17" s="299"/>
      <c r="W17" s="296"/>
      <c r="X17" s="299"/>
      <c r="Y17" s="272"/>
      <c r="AA17" s="299"/>
      <c r="AB17" s="383"/>
      <c r="AC17" s="299"/>
      <c r="AD17" s="299"/>
      <c r="AE17" s="299"/>
      <c r="AF17" s="299"/>
      <c r="AG17" s="296"/>
      <c r="AH17" s="255"/>
      <c r="AI17" s="290"/>
      <c r="AJ17" s="255"/>
      <c r="AK17" s="255"/>
      <c r="AL17" s="255"/>
      <c r="AM17" s="300"/>
      <c r="AN17" s="296"/>
      <c r="AO17" s="300"/>
      <c r="AP17" s="300"/>
      <c r="AQ17" s="300"/>
      <c r="AR17" s="300"/>
      <c r="AS17" s="300"/>
      <c r="AT17" s="300"/>
      <c r="AU17" s="300"/>
      <c r="AV17" s="300"/>
    </row>
    <row r="18" spans="1:48" ht="13.9">
      <c r="A18" s="317"/>
      <c r="B18" s="317"/>
      <c r="C18" s="316">
        <v>23488</v>
      </c>
      <c r="D18" s="316" t="e">
        <f>+D17+I17</f>
        <v>#REF!</v>
      </c>
      <c r="E18" s="351" t="s">
        <v>2385</v>
      </c>
      <c r="F18" s="317" t="s">
        <v>138</v>
      </c>
      <c r="G18" s="317"/>
      <c r="H18" s="145"/>
      <c r="I18" s="316" t="s">
        <v>138</v>
      </c>
      <c r="J18" s="352">
        <f>+[116]Sales!$G$11</f>
        <v>3760</v>
      </c>
      <c r="K18" s="316" t="s">
        <v>138</v>
      </c>
      <c r="L18" s="352" t="s">
        <v>138</v>
      </c>
      <c r="M18" s="316" t="s">
        <v>138</v>
      </c>
      <c r="N18" s="353" t="s">
        <v>138</v>
      </c>
      <c r="O18" s="354" t="s">
        <v>138</v>
      </c>
      <c r="P18" s="355"/>
      <c r="W18" s="296"/>
      <c r="X18" s="296"/>
      <c r="Y18" s="272"/>
      <c r="Z18" s="1"/>
      <c r="AA18" s="296"/>
      <c r="AB18" s="383"/>
      <c r="AC18" s="296"/>
      <c r="AD18" s="296"/>
      <c r="AE18" s="296"/>
      <c r="AF18" s="296"/>
      <c r="AG18" s="296"/>
      <c r="AH18" s="296"/>
      <c r="AI18" s="290"/>
      <c r="AJ18" s="255"/>
      <c r="AK18" s="255"/>
      <c r="AL18" s="255"/>
    </row>
    <row r="19" spans="1:48" ht="13.9">
      <c r="A19" s="317"/>
      <c r="B19" s="317"/>
      <c r="C19" s="316">
        <f>+C17-C18</f>
        <v>0</v>
      </c>
      <c r="D19" s="316" t="s">
        <v>138</v>
      </c>
      <c r="E19" s="356" t="s">
        <v>2386</v>
      </c>
      <c r="F19" s="316" t="s">
        <v>138</v>
      </c>
      <c r="G19" s="353" t="s">
        <v>138</v>
      </c>
      <c r="H19" s="145"/>
      <c r="I19" s="316" t="s">
        <v>138</v>
      </c>
      <c r="J19" s="352" t="e">
        <f>+J17+J18</f>
        <v>#REF!</v>
      </c>
      <c r="K19" s="317" t="s">
        <v>138</v>
      </c>
      <c r="L19" s="316" t="s">
        <v>138</v>
      </c>
      <c r="M19" s="316"/>
      <c r="N19" s="353"/>
      <c r="O19" s="353"/>
      <c r="P19" s="357" t="s">
        <v>138</v>
      </c>
      <c r="W19" s="296"/>
      <c r="X19" s="296"/>
      <c r="Y19" s="272"/>
      <c r="Z19" s="1"/>
      <c r="AA19" s="296"/>
      <c r="AB19" s="383"/>
      <c r="AC19" s="296"/>
      <c r="AD19" s="296"/>
      <c r="AE19" s="296"/>
      <c r="AF19" s="296"/>
      <c r="AG19" s="296"/>
      <c r="AH19" s="296"/>
      <c r="AI19" s="290"/>
      <c r="AJ19" s="255"/>
      <c r="AK19" s="255"/>
      <c r="AL19" s="255"/>
    </row>
    <row r="20" spans="1:48" ht="13.9">
      <c r="A20" s="317"/>
      <c r="B20" s="317"/>
      <c r="C20" s="316"/>
      <c r="D20" s="316"/>
      <c r="E20" s="356"/>
      <c r="F20" s="316"/>
      <c r="G20" s="316"/>
      <c r="H20" s="145"/>
      <c r="I20" s="316"/>
      <c r="J20" s="352"/>
      <c r="K20" s="316"/>
      <c r="L20" s="316"/>
      <c r="M20" s="316"/>
      <c r="N20" s="353"/>
      <c r="O20" s="354"/>
      <c r="P20" s="354"/>
      <c r="W20" s="296"/>
      <c r="X20" s="296"/>
      <c r="Y20" s="272"/>
      <c r="Z20" s="1"/>
      <c r="AA20" s="296"/>
      <c r="AB20" s="383"/>
      <c r="AC20" s="296"/>
      <c r="AD20" s="296"/>
      <c r="AE20" s="296"/>
      <c r="AF20" s="296"/>
      <c r="AG20" s="296"/>
      <c r="AH20" s="296"/>
      <c r="AI20" s="290"/>
      <c r="AJ20" s="255"/>
      <c r="AK20" s="255"/>
      <c r="AL20" s="255"/>
    </row>
    <row r="21" spans="1:48" ht="13.9">
      <c r="A21" s="317"/>
      <c r="B21" s="358"/>
      <c r="C21" s="317"/>
      <c r="D21" s="316"/>
      <c r="E21" s="316"/>
      <c r="F21" s="317"/>
      <c r="G21" s="316"/>
      <c r="H21" s="145"/>
      <c r="I21" s="316"/>
      <c r="J21" s="316"/>
      <c r="K21" s="316"/>
      <c r="L21" s="316"/>
      <c r="M21" s="316"/>
      <c r="N21" s="353"/>
      <c r="O21" s="354"/>
      <c r="P21" s="354" t="s">
        <v>138</v>
      </c>
      <c r="W21" s="296"/>
      <c r="X21" s="296"/>
      <c r="Y21" s="272"/>
      <c r="Z21" s="1"/>
      <c r="AA21" s="300"/>
      <c r="AB21" s="383"/>
      <c r="AC21" s="296"/>
      <c r="AD21" s="300"/>
      <c r="AE21" s="296"/>
      <c r="AF21" s="304"/>
      <c r="AG21" s="296"/>
      <c r="AH21" s="304"/>
    </row>
    <row r="22" spans="1:48" ht="14.45" thickBot="1">
      <c r="A22" s="145" t="s">
        <v>86</v>
      </c>
      <c r="B22" s="145" t="s">
        <v>1614</v>
      </c>
      <c r="C22" s="145"/>
      <c r="D22" s="359"/>
      <c r="E22" s="317"/>
      <c r="F22" s="317"/>
      <c r="G22" s="317"/>
      <c r="H22" s="145"/>
      <c r="I22" s="359"/>
      <c r="J22" s="316"/>
      <c r="K22" s="316"/>
      <c r="L22" s="317"/>
      <c r="M22" s="316"/>
      <c r="N22" s="353"/>
      <c r="O22" s="354"/>
      <c r="P22" s="354"/>
      <c r="W22" s="296"/>
      <c r="X22" s="296"/>
      <c r="Y22" s="272"/>
      <c r="Z22" s="1"/>
      <c r="AA22" s="296"/>
      <c r="AB22" s="383"/>
      <c r="AC22" s="296"/>
      <c r="AD22" s="296"/>
      <c r="AE22" s="296"/>
      <c r="AF22" s="296"/>
      <c r="AG22" s="296"/>
      <c r="AH22" s="296"/>
      <c r="AI22" s="290"/>
      <c r="AJ22" s="255"/>
      <c r="AN22" s="290"/>
    </row>
    <row r="23" spans="1:48" ht="14.45" thickBot="1">
      <c r="A23" s="345" t="s">
        <v>87</v>
      </c>
      <c r="B23" s="360" t="s">
        <v>88</v>
      </c>
      <c r="C23" s="361" t="s">
        <v>89</v>
      </c>
      <c r="D23" s="361" t="s">
        <v>91</v>
      </c>
      <c r="E23" s="361" t="s">
        <v>430</v>
      </c>
      <c r="F23" s="361" t="s">
        <v>431</v>
      </c>
      <c r="G23" s="361" t="s">
        <v>332</v>
      </c>
      <c r="H23" s="361" t="s">
        <v>115</v>
      </c>
      <c r="I23" s="361" t="s">
        <v>101</v>
      </c>
      <c r="J23" s="361" t="s">
        <v>102</v>
      </c>
      <c r="K23" s="362" t="s">
        <v>2379</v>
      </c>
      <c r="L23" s="362" t="s">
        <v>2380</v>
      </c>
      <c r="M23" s="362" t="s">
        <v>378</v>
      </c>
      <c r="N23" s="362" t="s">
        <v>104</v>
      </c>
      <c r="O23" s="363" t="s">
        <v>2381</v>
      </c>
      <c r="P23" s="363" t="s">
        <v>2382</v>
      </c>
      <c r="Q23" s="298"/>
      <c r="R23" s="388" t="s">
        <v>2387</v>
      </c>
      <c r="S23" s="81"/>
      <c r="T23" s="81"/>
      <c r="U23" s="81"/>
      <c r="V23" s="81"/>
      <c r="W23" s="296"/>
      <c r="X23" s="296"/>
      <c r="Y23" s="272"/>
      <c r="Z23" s="1"/>
      <c r="AA23" s="296"/>
      <c r="AB23" s="383"/>
      <c r="AC23" s="296"/>
      <c r="AD23" s="296"/>
      <c r="AE23" s="296"/>
      <c r="AF23" s="296"/>
      <c r="AJ23" s="255"/>
      <c r="AL23" s="304"/>
    </row>
    <row r="24" spans="1:48" ht="13.9">
      <c r="A24" s="318" t="s">
        <v>105</v>
      </c>
      <c r="B24" s="319" t="s">
        <v>106</v>
      </c>
      <c r="C24" s="321">
        <v>1629</v>
      </c>
      <c r="D24" s="321"/>
      <c r="E24" s="321">
        <v>1560</v>
      </c>
      <c r="F24" s="321"/>
      <c r="G24" s="321">
        <f>-159</f>
        <v>-159</v>
      </c>
      <c r="H24" s="323">
        <f t="shared" ref="H24:H29" si="5">SUM(C24:G24)</f>
        <v>3030</v>
      </c>
      <c r="I24" s="364">
        <v>-1585</v>
      </c>
      <c r="J24" s="321"/>
      <c r="K24" s="325"/>
      <c r="L24" s="325"/>
      <c r="M24" s="325"/>
      <c r="N24" s="325">
        <f t="shared" ref="N24:N29" si="6">SUM(H24:M24)</f>
        <v>1445</v>
      </c>
      <c r="O24" s="334">
        <v>1436</v>
      </c>
      <c r="P24" s="365">
        <f t="shared" ref="P24:P30" si="7">O24-N24</f>
        <v>-9</v>
      </c>
      <c r="Q24" s="301"/>
      <c r="R24" s="316">
        <v>681</v>
      </c>
      <c r="S24" s="316">
        <v>220</v>
      </c>
      <c r="T24" s="356" t="s">
        <v>138</v>
      </c>
      <c r="U24" s="316" t="s">
        <v>138</v>
      </c>
      <c r="V24" s="316">
        <v>-3</v>
      </c>
      <c r="W24" s="145"/>
      <c r="X24" s="316">
        <v>-150</v>
      </c>
      <c r="Y24" s="352">
        <v>-8</v>
      </c>
      <c r="Z24" s="316"/>
      <c r="AA24" s="316" t="s">
        <v>138</v>
      </c>
      <c r="AB24" s="316"/>
      <c r="AC24" s="353">
        <f>SUM(R24:AB24)</f>
        <v>740</v>
      </c>
      <c r="AD24" s="296"/>
      <c r="AE24" s="296"/>
      <c r="AI24" s="283"/>
      <c r="AJ24" s="309"/>
      <c r="AK24" s="283"/>
      <c r="AL24" s="283"/>
    </row>
    <row r="25" spans="1:48" ht="13.9">
      <c r="A25" s="328" t="s">
        <v>107</v>
      </c>
      <c r="B25" s="329" t="s">
        <v>108</v>
      </c>
      <c r="C25" s="321">
        <v>2054</v>
      </c>
      <c r="D25" s="333">
        <f>353+412+421+399</f>
        <v>1585</v>
      </c>
      <c r="E25" s="332"/>
      <c r="F25" s="332"/>
      <c r="G25" s="332">
        <v>-33</v>
      </c>
      <c r="H25" s="323">
        <f t="shared" si="5"/>
        <v>3606</v>
      </c>
      <c r="I25" s="366">
        <v>-1412</v>
      </c>
      <c r="J25" s="332"/>
      <c r="K25" s="325"/>
      <c r="L25" s="325"/>
      <c r="M25" s="325"/>
      <c r="N25" s="325">
        <f t="shared" si="6"/>
        <v>2194</v>
      </c>
      <c r="O25" s="334">
        <v>2194</v>
      </c>
      <c r="P25" s="365">
        <f t="shared" si="7"/>
        <v>0</v>
      </c>
      <c r="Q25" s="301"/>
      <c r="R25" s="317">
        <v>196</v>
      </c>
      <c r="S25" s="316">
        <v>149</v>
      </c>
      <c r="T25" s="316" t="s">
        <v>138</v>
      </c>
      <c r="U25" s="317"/>
      <c r="V25" s="316">
        <v>-2</v>
      </c>
      <c r="W25" s="145"/>
      <c r="X25" s="316">
        <v>-165</v>
      </c>
      <c r="Y25" s="316" t="s">
        <v>138</v>
      </c>
      <c r="Z25" s="316"/>
      <c r="AA25" s="316" t="s">
        <v>138</v>
      </c>
      <c r="AB25" s="316"/>
      <c r="AC25" s="353">
        <f>SUM(R25:AB25)</f>
        <v>178</v>
      </c>
      <c r="AD25" s="296"/>
      <c r="AE25" s="296"/>
      <c r="AK25" s="255"/>
    </row>
    <row r="26" spans="1:48" ht="13.9">
      <c r="A26" s="328" t="s">
        <v>109</v>
      </c>
      <c r="B26" s="329" t="s">
        <v>110</v>
      </c>
      <c r="C26" s="321">
        <v>2817</v>
      </c>
      <c r="D26" s="366">
        <f>231+285+328+391+177</f>
        <v>1412</v>
      </c>
      <c r="E26" s="332"/>
      <c r="F26" s="332"/>
      <c r="G26" s="332">
        <f>-33+2</f>
        <v>-31</v>
      </c>
      <c r="H26" s="323">
        <f t="shared" si="5"/>
        <v>4198</v>
      </c>
      <c r="I26" s="367">
        <v>-1</v>
      </c>
      <c r="J26" s="332">
        <v>-1149</v>
      </c>
      <c r="K26" s="325"/>
      <c r="L26" s="325">
        <f>-3-2</f>
        <v>-5</v>
      </c>
      <c r="M26" s="325"/>
      <c r="N26" s="325">
        <f t="shared" si="6"/>
        <v>3043</v>
      </c>
      <c r="O26" s="334">
        <v>3047</v>
      </c>
      <c r="P26" s="365">
        <f t="shared" si="7"/>
        <v>4</v>
      </c>
      <c r="Q26" s="301"/>
      <c r="R26" s="145" t="s">
        <v>138</v>
      </c>
      <c r="S26" s="359">
        <f>SUM(S24:S25)</f>
        <v>369</v>
      </c>
      <c r="T26" s="317"/>
      <c r="U26" s="317"/>
      <c r="V26" s="317"/>
      <c r="W26" s="145"/>
      <c r="X26" s="359" t="s">
        <v>268</v>
      </c>
      <c r="Y26" s="316" t="e">
        <f>+S26+X26</f>
        <v>#VALUE!</v>
      </c>
      <c r="Z26" s="316"/>
      <c r="AA26" s="317"/>
      <c r="AB26" s="316"/>
      <c r="AC26" s="353">
        <f>SUM(AC24:AC25)</f>
        <v>918</v>
      </c>
      <c r="AD26" s="296"/>
      <c r="AE26" s="296"/>
      <c r="AJ26" s="255"/>
      <c r="AM26" s="304"/>
      <c r="AQ26" s="305"/>
    </row>
    <row r="27" spans="1:48" ht="13.9">
      <c r="A27" s="328" t="s">
        <v>111</v>
      </c>
      <c r="B27" s="319" t="s">
        <v>106</v>
      </c>
      <c r="C27" s="321">
        <v>150</v>
      </c>
      <c r="D27" s="336">
        <v>90</v>
      </c>
      <c r="E27" s="332">
        <v>0</v>
      </c>
      <c r="F27" s="332"/>
      <c r="G27" s="332">
        <v>-1</v>
      </c>
      <c r="H27" s="323">
        <f t="shared" si="5"/>
        <v>239</v>
      </c>
      <c r="I27" s="368">
        <v>-50</v>
      </c>
      <c r="J27" s="332">
        <v>-1</v>
      </c>
      <c r="K27" s="332"/>
      <c r="L27" s="325">
        <v>0</v>
      </c>
      <c r="M27" s="325"/>
      <c r="N27" s="325">
        <f t="shared" si="6"/>
        <v>188</v>
      </c>
      <c r="O27" s="334">
        <v>188</v>
      </c>
      <c r="P27" s="365">
        <f t="shared" si="7"/>
        <v>0</v>
      </c>
      <c r="Q27" s="301"/>
      <c r="R27" s="301"/>
      <c r="S27" s="301"/>
      <c r="T27" s="301"/>
      <c r="U27" s="301"/>
      <c r="V27" s="386"/>
      <c r="W27" s="385"/>
      <c r="X27" s="296"/>
      <c r="Y27" s="272"/>
      <c r="Z27" s="1"/>
      <c r="AA27" s="296"/>
      <c r="AB27" s="383"/>
      <c r="AC27" s="296">
        <v>919</v>
      </c>
      <c r="AD27" s="296"/>
      <c r="AE27" s="296"/>
      <c r="AM27" s="304"/>
      <c r="AQ27" s="305"/>
    </row>
    <row r="28" spans="1:48" ht="13.9">
      <c r="A28" s="328" t="s">
        <v>112</v>
      </c>
      <c r="B28" s="319" t="s">
        <v>106</v>
      </c>
      <c r="C28" s="321">
        <v>877</v>
      </c>
      <c r="D28" s="368">
        <v>56</v>
      </c>
      <c r="E28" s="332"/>
      <c r="F28" s="332"/>
      <c r="G28" s="332">
        <v>-2</v>
      </c>
      <c r="H28" s="323">
        <f t="shared" si="5"/>
        <v>931</v>
      </c>
      <c r="I28" s="332">
        <v>0</v>
      </c>
      <c r="J28" s="325">
        <v>-8</v>
      </c>
      <c r="K28" s="325"/>
      <c r="L28" s="325">
        <v>0</v>
      </c>
      <c r="M28" s="325"/>
      <c r="N28" s="325">
        <f t="shared" si="6"/>
        <v>923</v>
      </c>
      <c r="O28" s="334">
        <v>919</v>
      </c>
      <c r="P28" s="365">
        <f t="shared" si="7"/>
        <v>-4</v>
      </c>
      <c r="Q28" s="301"/>
      <c r="R28" s="301"/>
      <c r="S28" s="301"/>
      <c r="T28" s="301"/>
      <c r="U28" s="301"/>
      <c r="V28" s="386"/>
      <c r="W28" s="385"/>
      <c r="X28" s="301"/>
      <c r="Y28" s="272"/>
      <c r="Z28" s="1"/>
      <c r="AA28" s="296"/>
      <c r="AB28" s="383"/>
      <c r="AC28" s="296"/>
      <c r="AD28" s="296"/>
      <c r="AE28" s="296"/>
      <c r="AM28" s="304"/>
    </row>
    <row r="29" spans="1:48" ht="14.45" thickBot="1">
      <c r="A29" s="338" t="s">
        <v>113</v>
      </c>
      <c r="B29" s="339"/>
      <c r="C29" s="321">
        <v>2</v>
      </c>
      <c r="D29" s="341">
        <v>1</v>
      </c>
      <c r="E29" s="341"/>
      <c r="F29" s="341"/>
      <c r="G29" s="341"/>
      <c r="H29" s="323">
        <f t="shared" si="5"/>
        <v>3</v>
      </c>
      <c r="I29" s="341">
        <v>0</v>
      </c>
      <c r="J29" s="342">
        <v>0</v>
      </c>
      <c r="K29" s="342"/>
      <c r="L29" s="342"/>
      <c r="M29" s="342"/>
      <c r="N29" s="325">
        <f t="shared" si="6"/>
        <v>3</v>
      </c>
      <c r="O29" s="369">
        <v>3</v>
      </c>
      <c r="P29" s="370">
        <f t="shared" si="7"/>
        <v>0</v>
      </c>
      <c r="Q29" s="301"/>
      <c r="R29" s="301"/>
      <c r="S29" s="301"/>
      <c r="T29" s="301"/>
      <c r="U29" s="301"/>
      <c r="V29" s="386"/>
      <c r="W29" s="385"/>
      <c r="X29" s="296"/>
      <c r="Y29" s="272"/>
      <c r="Z29" s="1"/>
      <c r="AA29" s="296"/>
      <c r="AB29" s="383"/>
      <c r="AC29" s="296"/>
      <c r="AD29" s="296"/>
      <c r="AE29" s="296"/>
      <c r="AF29" s="296"/>
      <c r="AG29" s="296"/>
      <c r="AJ29" s="255"/>
      <c r="AK29" s="255"/>
      <c r="AL29" s="255"/>
      <c r="AM29" s="304"/>
    </row>
    <row r="30" spans="1:48" ht="14.45" thickBot="1">
      <c r="A30" s="345" t="s">
        <v>115</v>
      </c>
      <c r="B30" s="346"/>
      <c r="C30" s="347">
        <f t="shared" ref="C30:O30" si="8">SUM(C24:C29)</f>
        <v>7529</v>
      </c>
      <c r="D30" s="348">
        <f t="shared" si="8"/>
        <v>3144</v>
      </c>
      <c r="E30" s="348">
        <f t="shared" si="8"/>
        <v>1560</v>
      </c>
      <c r="F30" s="348">
        <f t="shared" si="8"/>
        <v>0</v>
      </c>
      <c r="G30" s="348">
        <f t="shared" si="8"/>
        <v>-226</v>
      </c>
      <c r="H30" s="348">
        <f t="shared" si="8"/>
        <v>12007</v>
      </c>
      <c r="I30" s="348">
        <f t="shared" si="8"/>
        <v>-3048</v>
      </c>
      <c r="J30" s="348">
        <f t="shared" si="8"/>
        <v>-1158</v>
      </c>
      <c r="K30" s="348">
        <f t="shared" si="8"/>
        <v>0</v>
      </c>
      <c r="L30" s="348">
        <f t="shared" si="8"/>
        <v>-5</v>
      </c>
      <c r="M30" s="348">
        <f t="shared" si="8"/>
        <v>0</v>
      </c>
      <c r="N30" s="349">
        <f t="shared" si="8"/>
        <v>7796</v>
      </c>
      <c r="O30" s="371">
        <f t="shared" si="8"/>
        <v>7787</v>
      </c>
      <c r="P30" s="372">
        <f t="shared" si="7"/>
        <v>-9</v>
      </c>
      <c r="Q30" s="301"/>
      <c r="R30" s="301"/>
      <c r="S30" s="301"/>
      <c r="T30" s="301"/>
      <c r="U30" s="301"/>
      <c r="V30" s="386"/>
      <c r="W30" s="386"/>
      <c r="X30" s="296"/>
      <c r="Y30" s="272"/>
      <c r="Z30" s="1"/>
      <c r="AA30" s="296"/>
      <c r="AB30" s="383"/>
      <c r="AC30" s="296"/>
      <c r="AD30" s="296"/>
      <c r="AE30" s="296"/>
      <c r="AF30" s="385"/>
      <c r="AJ30" s="255"/>
      <c r="AK30" s="255"/>
      <c r="AL30" s="255"/>
      <c r="AM30" s="304"/>
    </row>
    <row r="31" spans="1:48" ht="13.9">
      <c r="A31" s="317"/>
      <c r="B31" s="317"/>
      <c r="C31" s="373">
        <v>7529</v>
      </c>
      <c r="D31" s="316">
        <f>+D30+I30</f>
        <v>96</v>
      </c>
      <c r="E31" s="317" t="s">
        <v>127</v>
      </c>
      <c r="F31" s="317" t="s">
        <v>138</v>
      </c>
      <c r="G31" s="317"/>
      <c r="H31" s="145"/>
      <c r="I31" s="316" t="s">
        <v>138</v>
      </c>
      <c r="J31" s="316">
        <f>+[116]Sales!$I$11</f>
        <v>1157</v>
      </c>
      <c r="K31" s="317"/>
      <c r="L31" s="317"/>
      <c r="M31" s="317"/>
      <c r="N31" s="316" t="s">
        <v>138</v>
      </c>
      <c r="O31" s="354">
        <f>2194+3047+1436+188+919+3</f>
        <v>7787</v>
      </c>
      <c r="P31" s="374"/>
      <c r="Q31" s="307"/>
      <c r="R31" s="301">
        <v>2194</v>
      </c>
      <c r="S31" s="301"/>
      <c r="T31" s="301"/>
      <c r="U31" s="301"/>
      <c r="V31" s="301"/>
      <c r="W31" s="296"/>
      <c r="X31" s="297"/>
      <c r="Y31" s="272"/>
      <c r="Z31" s="1"/>
      <c r="AA31" s="292"/>
      <c r="AB31" s="383"/>
      <c r="AC31" s="296"/>
      <c r="AD31" s="296"/>
      <c r="AE31" s="296"/>
      <c r="AF31" s="296"/>
      <c r="AI31" s="255"/>
      <c r="AJ31" s="255"/>
      <c r="AK31" s="255"/>
      <c r="AL31" s="255"/>
      <c r="AM31" s="304"/>
    </row>
    <row r="32" spans="1:48" ht="13.9">
      <c r="A32" s="317" t="s">
        <v>138</v>
      </c>
      <c r="B32" s="317"/>
      <c r="C32" s="316">
        <f>+C30-C31</f>
        <v>0</v>
      </c>
      <c r="D32" s="316" t="s">
        <v>138</v>
      </c>
      <c r="E32" s="317" t="s">
        <v>138</v>
      </c>
      <c r="F32" s="317" t="s">
        <v>138</v>
      </c>
      <c r="G32" s="317" t="s">
        <v>138</v>
      </c>
      <c r="H32" s="145" t="s">
        <v>138</v>
      </c>
      <c r="I32" s="316" t="s">
        <v>138</v>
      </c>
      <c r="J32" s="316">
        <f>+J30+J31</f>
        <v>-1</v>
      </c>
      <c r="K32" s="317"/>
      <c r="L32" s="317"/>
      <c r="M32" s="317"/>
      <c r="N32" s="316" t="s">
        <v>138</v>
      </c>
      <c r="O32" s="354">
        <f>+O30-O31</f>
        <v>0</v>
      </c>
      <c r="P32" s="374"/>
      <c r="Q32" s="307"/>
      <c r="R32" s="301">
        <v>3047</v>
      </c>
      <c r="S32" s="301"/>
      <c r="T32" s="301"/>
      <c r="U32" s="301"/>
      <c r="V32" s="301"/>
      <c r="W32" s="296"/>
      <c r="X32" s="296"/>
      <c r="Y32" s="272"/>
      <c r="Z32" s="1"/>
      <c r="AA32" s="296"/>
      <c r="AB32" s="383"/>
      <c r="AC32" s="296"/>
      <c r="AD32" s="296"/>
      <c r="AE32" s="296"/>
      <c r="AF32" s="255"/>
      <c r="AG32" s="255"/>
      <c r="AH32" s="255"/>
      <c r="AI32" s="255"/>
      <c r="AJ32" s="255"/>
      <c r="AK32" s="255"/>
      <c r="AL32" s="255"/>
      <c r="AM32" s="304"/>
    </row>
    <row r="33" spans="1:39" ht="13.9">
      <c r="A33" s="317"/>
      <c r="B33" s="317"/>
      <c r="C33" s="316" t="s">
        <v>138</v>
      </c>
      <c r="D33" s="316" t="s">
        <v>138</v>
      </c>
      <c r="E33" s="316" t="s">
        <v>138</v>
      </c>
      <c r="F33" s="317"/>
      <c r="G33" s="317"/>
      <c r="H33" s="145"/>
      <c r="I33" s="317"/>
      <c r="J33" s="317" t="s">
        <v>138</v>
      </c>
      <c r="K33" s="317"/>
      <c r="L33" s="317"/>
      <c r="M33" s="317"/>
      <c r="N33" s="316"/>
      <c r="O33" s="354"/>
      <c r="P33" s="374"/>
      <c r="Q33" s="307"/>
      <c r="R33" s="301">
        <v>3</v>
      </c>
      <c r="S33" s="301"/>
      <c r="T33" s="301"/>
      <c r="U33" s="301"/>
      <c r="V33" s="301"/>
      <c r="W33" s="296"/>
      <c r="X33" s="296"/>
      <c r="Y33" s="272"/>
      <c r="Z33" s="1"/>
      <c r="AA33" s="296"/>
      <c r="AB33" s="383"/>
      <c r="AC33" s="296"/>
      <c r="AD33" s="296"/>
      <c r="AE33" s="296"/>
      <c r="AF33" s="255"/>
      <c r="AG33" s="255"/>
      <c r="AH33" s="255"/>
      <c r="AI33" s="255"/>
      <c r="AJ33" s="255"/>
      <c r="AK33" s="255"/>
      <c r="AL33" s="255"/>
      <c r="AM33" s="304"/>
    </row>
    <row r="34" spans="1:39" ht="14.45" thickBot="1">
      <c r="A34" s="145" t="s">
        <v>86</v>
      </c>
      <c r="B34" s="145"/>
      <c r="C34" s="375" t="s">
        <v>252</v>
      </c>
      <c r="D34" s="375"/>
      <c r="E34" s="317" t="s">
        <v>259</v>
      </c>
      <c r="F34" s="317"/>
      <c r="G34" s="317"/>
      <c r="H34" s="145"/>
      <c r="I34" s="317"/>
      <c r="J34" s="316"/>
      <c r="K34" s="316"/>
      <c r="L34" s="317"/>
      <c r="M34" s="317"/>
      <c r="N34" s="316" t="s">
        <v>138</v>
      </c>
      <c r="O34" s="354"/>
      <c r="P34" s="374"/>
      <c r="Q34" s="307"/>
      <c r="R34" s="301">
        <v>919</v>
      </c>
      <c r="S34" s="301"/>
      <c r="T34" s="301"/>
      <c r="U34" s="301"/>
      <c r="V34" s="301"/>
      <c r="W34" s="296"/>
      <c r="X34" s="296"/>
      <c r="Y34" s="272"/>
      <c r="Z34" s="1"/>
      <c r="AA34" s="296"/>
      <c r="AB34" s="383"/>
      <c r="AC34" s="296"/>
      <c r="AD34" s="296"/>
      <c r="AE34" s="296"/>
      <c r="AF34" s="255"/>
      <c r="AG34" s="255"/>
      <c r="AH34" s="255"/>
      <c r="AI34" s="255"/>
      <c r="AJ34" s="255"/>
      <c r="AK34" s="255"/>
      <c r="AL34" s="255"/>
      <c r="AM34" s="304"/>
    </row>
    <row r="35" spans="1:39" ht="14.45" thickBot="1">
      <c r="A35" s="345" t="s">
        <v>87</v>
      </c>
      <c r="B35" s="360" t="s">
        <v>88</v>
      </c>
      <c r="C35" s="361" t="str">
        <f>+C46</f>
        <v>OPENING</v>
      </c>
      <c r="D35" s="361" t="s">
        <v>91</v>
      </c>
      <c r="E35" s="361" t="s">
        <v>430</v>
      </c>
      <c r="F35" s="361" t="s">
        <v>431</v>
      </c>
      <c r="G35" s="361" t="s">
        <v>332</v>
      </c>
      <c r="H35" s="361" t="s">
        <v>115</v>
      </c>
      <c r="I35" s="361" t="s">
        <v>101</v>
      </c>
      <c r="J35" s="361" t="s">
        <v>102</v>
      </c>
      <c r="K35" s="362" t="s">
        <v>2379</v>
      </c>
      <c r="L35" s="362" t="s">
        <v>2388</v>
      </c>
      <c r="M35" s="362" t="s">
        <v>378</v>
      </c>
      <c r="N35" s="362" t="s">
        <v>104</v>
      </c>
      <c r="O35" s="363" t="s">
        <v>2381</v>
      </c>
      <c r="P35" s="376" t="s">
        <v>2382</v>
      </c>
      <c r="Q35" s="299"/>
      <c r="R35" s="299">
        <f>473+306+268+389</f>
        <v>1436</v>
      </c>
      <c r="S35" s="299"/>
      <c r="T35" s="299"/>
      <c r="U35" s="299"/>
      <c r="V35" s="299"/>
      <c r="W35" s="296"/>
      <c r="X35" s="296"/>
      <c r="Y35" s="272"/>
      <c r="Z35" s="296"/>
      <c r="AA35" s="296"/>
      <c r="AB35" s="383"/>
      <c r="AC35" s="296"/>
      <c r="AD35" s="296"/>
      <c r="AE35" s="296"/>
      <c r="AI35" s="255"/>
      <c r="AJ35" s="255"/>
      <c r="AK35" s="255"/>
      <c r="AL35" s="255"/>
      <c r="AM35" s="304"/>
    </row>
    <row r="36" spans="1:39" ht="13.9">
      <c r="A36" s="318" t="s">
        <v>105</v>
      </c>
      <c r="B36" s="319" t="s">
        <v>106</v>
      </c>
      <c r="C36" s="334">
        <v>824</v>
      </c>
      <c r="D36" s="321">
        <v>0</v>
      </c>
      <c r="E36" s="332">
        <v>804</v>
      </c>
      <c r="F36" s="321"/>
      <c r="G36" s="321">
        <v>-99</v>
      </c>
      <c r="H36" s="323">
        <f t="shared" ref="H36:H41" si="9">SUM(C36:G36)</f>
        <v>1529</v>
      </c>
      <c r="I36" s="321">
        <v>-780</v>
      </c>
      <c r="J36" s="321">
        <v>0</v>
      </c>
      <c r="K36" s="325"/>
      <c r="L36" s="325"/>
      <c r="M36" s="325"/>
      <c r="N36" s="325">
        <f t="shared" ref="N36:N41" si="10">SUM(H36:M36)</f>
        <v>749</v>
      </c>
      <c r="O36" s="334">
        <v>749</v>
      </c>
      <c r="P36" s="365">
        <f t="shared" ref="P36:P41" si="11">O36-N36</f>
        <v>0</v>
      </c>
      <c r="Q36" s="301"/>
      <c r="R36" s="301">
        <v>188</v>
      </c>
      <c r="S36" s="301"/>
      <c r="T36" s="301"/>
      <c r="U36" s="301"/>
      <c r="V36" s="301"/>
      <c r="W36" s="296"/>
      <c r="X36" s="296"/>
      <c r="Y36" s="272"/>
      <c r="Z36" s="296"/>
      <c r="AA36" s="273"/>
      <c r="AB36" s="383"/>
      <c r="AC36" s="273"/>
      <c r="AD36" s="273"/>
      <c r="AE36" s="273"/>
      <c r="AF36" s="255"/>
      <c r="AG36" s="255"/>
      <c r="AH36" s="255"/>
      <c r="AI36" s="255"/>
      <c r="AJ36" s="255"/>
      <c r="AK36" s="255"/>
      <c r="AL36" s="255"/>
      <c r="AM36" s="304"/>
    </row>
    <row r="37" spans="1:39" ht="13.9">
      <c r="A37" s="328" t="s">
        <v>107</v>
      </c>
      <c r="B37" s="329" t="s">
        <v>108</v>
      </c>
      <c r="C37" s="334">
        <v>1207</v>
      </c>
      <c r="D37" s="332">
        <v>780</v>
      </c>
      <c r="E37" s="332">
        <v>0</v>
      </c>
      <c r="F37" s="332"/>
      <c r="G37" s="332">
        <v>-9</v>
      </c>
      <c r="H37" s="323">
        <f t="shared" si="9"/>
        <v>1978</v>
      </c>
      <c r="I37" s="332">
        <v>-782</v>
      </c>
      <c r="J37" s="332"/>
      <c r="K37" s="325"/>
      <c r="L37" s="325"/>
      <c r="M37" s="325"/>
      <c r="N37" s="325">
        <f t="shared" si="10"/>
        <v>1196</v>
      </c>
      <c r="O37" s="334">
        <v>1196</v>
      </c>
      <c r="P37" s="365">
        <f>O37-N37</f>
        <v>0</v>
      </c>
      <c r="Q37" s="301"/>
      <c r="R37" s="301"/>
      <c r="S37" s="301"/>
      <c r="T37" s="301"/>
      <c r="U37" s="301"/>
      <c r="V37" s="301"/>
      <c r="W37" s="296"/>
      <c r="X37" s="296"/>
      <c r="Y37" s="272"/>
      <c r="Z37" s="296"/>
      <c r="AA37" s="273"/>
      <c r="AB37" s="383"/>
      <c r="AC37" s="273"/>
      <c r="AD37" s="273"/>
      <c r="AE37" s="273"/>
      <c r="AF37" s="273"/>
      <c r="AG37" s="273"/>
      <c r="AH37" s="273"/>
      <c r="AI37" s="255"/>
      <c r="AJ37" s="255"/>
      <c r="AK37" s="255"/>
      <c r="AL37" s="255"/>
      <c r="AM37" s="304"/>
    </row>
    <row r="38" spans="1:39" ht="13.9">
      <c r="A38" s="328" t="s">
        <v>109</v>
      </c>
      <c r="B38" s="329" t="s">
        <v>110</v>
      </c>
      <c r="C38" s="334">
        <v>1812</v>
      </c>
      <c r="D38" s="332">
        <v>782</v>
      </c>
      <c r="E38" s="332"/>
      <c r="F38" s="332"/>
      <c r="G38" s="332">
        <f>-10-5</f>
        <v>-15</v>
      </c>
      <c r="H38" s="323">
        <f t="shared" si="9"/>
        <v>2579</v>
      </c>
      <c r="I38" s="377"/>
      <c r="J38" s="332">
        <v>-681</v>
      </c>
      <c r="K38" s="325">
        <v>0</v>
      </c>
      <c r="L38" s="325">
        <v>-9</v>
      </c>
      <c r="M38" s="325"/>
      <c r="N38" s="325">
        <f t="shared" si="10"/>
        <v>1889</v>
      </c>
      <c r="O38" s="334">
        <v>1889</v>
      </c>
      <c r="P38" s="365">
        <f t="shared" si="11"/>
        <v>0</v>
      </c>
      <c r="Q38" s="301"/>
      <c r="R38" s="301">
        <f>SUM(R31:R37)</f>
        <v>7787</v>
      </c>
      <c r="S38" s="301"/>
      <c r="T38" s="301"/>
      <c r="U38" s="301"/>
      <c r="V38" s="301"/>
      <c r="W38" s="296"/>
      <c r="X38" s="296"/>
      <c r="Y38" s="272"/>
      <c r="Z38" s="296"/>
      <c r="AA38" s="273"/>
      <c r="AB38" s="383"/>
      <c r="AC38" s="273"/>
      <c r="AD38" s="273"/>
      <c r="AE38" s="273"/>
      <c r="AF38" s="255"/>
      <c r="AG38" s="255"/>
      <c r="AH38" s="255"/>
      <c r="AI38" s="255"/>
      <c r="AJ38" s="255"/>
      <c r="AK38" s="255"/>
      <c r="AL38" s="255"/>
      <c r="AM38" s="304"/>
    </row>
    <row r="39" spans="1:39" ht="13.9">
      <c r="A39" s="328" t="s">
        <v>111</v>
      </c>
      <c r="B39" s="319" t="s">
        <v>106</v>
      </c>
      <c r="C39" s="334">
        <v>120</v>
      </c>
      <c r="D39" s="332">
        <v>10</v>
      </c>
      <c r="E39" s="332"/>
      <c r="F39" s="332"/>
      <c r="G39" s="332">
        <v>0</v>
      </c>
      <c r="H39" s="323">
        <f t="shared" si="9"/>
        <v>130</v>
      </c>
      <c r="I39" s="332">
        <v>-15</v>
      </c>
      <c r="J39" s="332">
        <v>0</v>
      </c>
      <c r="K39" s="325">
        <v>0</v>
      </c>
      <c r="L39" s="325">
        <v>-1</v>
      </c>
      <c r="M39" s="325"/>
      <c r="N39" s="325">
        <f t="shared" si="10"/>
        <v>114</v>
      </c>
      <c r="O39" s="334">
        <v>114</v>
      </c>
      <c r="P39" s="365">
        <f t="shared" si="11"/>
        <v>0</v>
      </c>
      <c r="Q39" s="301"/>
      <c r="R39" s="301">
        <f>+O30-R38</f>
        <v>0</v>
      </c>
      <c r="S39" s="301"/>
      <c r="T39" s="301"/>
      <c r="U39" s="301"/>
      <c r="V39" s="301"/>
      <c r="W39" s="296"/>
      <c r="X39" s="296"/>
      <c r="Y39" s="296"/>
      <c r="Z39" s="296"/>
      <c r="AA39" s="296"/>
      <c r="AB39" s="383"/>
      <c r="AC39" s="296"/>
      <c r="AD39" s="296"/>
      <c r="AE39" s="296"/>
      <c r="AF39" s="296"/>
      <c r="AG39" s="296"/>
      <c r="AH39" s="296"/>
      <c r="AI39" s="290"/>
      <c r="AJ39" s="255"/>
      <c r="AK39" s="304"/>
      <c r="AL39" s="304"/>
      <c r="AM39" s="304"/>
    </row>
    <row r="40" spans="1:39" ht="13.9">
      <c r="A40" s="328" t="s">
        <v>112</v>
      </c>
      <c r="B40" s="319" t="s">
        <v>106</v>
      </c>
      <c r="C40" s="334">
        <v>475</v>
      </c>
      <c r="D40" s="332">
        <f>15+9</f>
        <v>24</v>
      </c>
      <c r="E40" s="332"/>
      <c r="F40" s="332"/>
      <c r="G40" s="332">
        <v>-4</v>
      </c>
      <c r="H40" s="323">
        <f t="shared" si="9"/>
        <v>495</v>
      </c>
      <c r="I40" s="332">
        <v>0</v>
      </c>
      <c r="J40" s="332">
        <v>-15</v>
      </c>
      <c r="K40" s="325">
        <v>0</v>
      </c>
      <c r="L40" s="325">
        <v>-1</v>
      </c>
      <c r="M40" s="325"/>
      <c r="N40" s="325">
        <f t="shared" si="10"/>
        <v>479</v>
      </c>
      <c r="O40" s="334">
        <v>479</v>
      </c>
      <c r="P40" s="365">
        <f t="shared" si="11"/>
        <v>0</v>
      </c>
      <c r="Q40" s="301"/>
      <c r="R40" s="301"/>
      <c r="S40" s="301"/>
      <c r="T40" s="301"/>
      <c r="U40" s="301"/>
      <c r="V40" s="301"/>
      <c r="W40" s="296"/>
      <c r="X40" s="296"/>
      <c r="Y40" s="296"/>
      <c r="Z40" s="296"/>
      <c r="AA40" s="296"/>
      <c r="AB40" s="383"/>
      <c r="AC40" s="296"/>
      <c r="AD40" s="296"/>
      <c r="AE40" s="296"/>
      <c r="AJ40" s="255"/>
      <c r="AK40" s="255"/>
      <c r="AM40" s="304"/>
    </row>
    <row r="41" spans="1:39" ht="14.45" thickBot="1">
      <c r="A41" s="338" t="s">
        <v>113</v>
      </c>
      <c r="B41" s="339"/>
      <c r="C41" s="369">
        <v>3</v>
      </c>
      <c r="D41" s="341">
        <v>0</v>
      </c>
      <c r="E41" s="341"/>
      <c r="F41" s="341"/>
      <c r="G41" s="341">
        <v>0</v>
      </c>
      <c r="H41" s="323">
        <f t="shared" si="9"/>
        <v>3</v>
      </c>
      <c r="I41" s="332">
        <v>0</v>
      </c>
      <c r="J41" s="341">
        <v>0</v>
      </c>
      <c r="K41" s="342"/>
      <c r="L41" s="342"/>
      <c r="M41" s="342"/>
      <c r="N41" s="325">
        <f t="shared" si="10"/>
        <v>3</v>
      </c>
      <c r="O41" s="369">
        <v>3</v>
      </c>
      <c r="P41" s="370">
        <f t="shared" si="11"/>
        <v>0</v>
      </c>
      <c r="Q41" s="301"/>
      <c r="R41" s="301"/>
      <c r="S41" s="301"/>
      <c r="T41" s="301"/>
      <c r="U41" s="301"/>
      <c r="V41" s="301"/>
      <c r="W41" s="296"/>
      <c r="X41" s="296"/>
      <c r="Y41" s="296"/>
      <c r="Z41" s="296"/>
      <c r="AA41" s="296"/>
      <c r="AB41" s="383"/>
      <c r="AC41" s="296"/>
      <c r="AD41" s="296"/>
      <c r="AE41" s="296"/>
      <c r="AF41" s="296"/>
      <c r="AG41" s="296"/>
      <c r="AH41" s="296"/>
      <c r="AJ41" s="304"/>
      <c r="AK41" s="255"/>
      <c r="AM41" s="304"/>
    </row>
    <row r="42" spans="1:39" ht="14.45" thickBot="1">
      <c r="A42" s="345" t="s">
        <v>115</v>
      </c>
      <c r="B42" s="346"/>
      <c r="C42" s="347">
        <f>SUM(C36:C41)</f>
        <v>4441</v>
      </c>
      <c r="D42" s="347">
        <f>SUM(D36:D41)</f>
        <v>1596</v>
      </c>
      <c r="E42" s="348">
        <f t="shared" ref="E42:M42" si="12">SUM(E36:E41)</f>
        <v>804</v>
      </c>
      <c r="F42" s="348">
        <f t="shared" si="12"/>
        <v>0</v>
      </c>
      <c r="G42" s="348">
        <f t="shared" si="12"/>
        <v>-127</v>
      </c>
      <c r="H42" s="348">
        <f t="shared" si="12"/>
        <v>6714</v>
      </c>
      <c r="I42" s="348">
        <f>SUM(I36:I41)</f>
        <v>-1577</v>
      </c>
      <c r="J42" s="348">
        <f t="shared" si="12"/>
        <v>-696</v>
      </c>
      <c r="K42" s="348">
        <f>SUM(K36:K41)</f>
        <v>0</v>
      </c>
      <c r="L42" s="348">
        <f>SUM(L36:L41)</f>
        <v>-11</v>
      </c>
      <c r="M42" s="348">
        <f t="shared" si="12"/>
        <v>0</v>
      </c>
      <c r="N42" s="349">
        <f>SUM(N36:N41)</f>
        <v>4430</v>
      </c>
      <c r="O42" s="371">
        <f>SUM(O36:O41)</f>
        <v>4430</v>
      </c>
      <c r="P42" s="372">
        <f>SUM(P36:P41)</f>
        <v>0</v>
      </c>
      <c r="Q42" s="301"/>
      <c r="R42" s="301"/>
      <c r="S42" s="301"/>
      <c r="T42" s="301"/>
      <c r="U42" s="301"/>
      <c r="V42" s="301"/>
      <c r="W42" s="296"/>
      <c r="X42" s="296"/>
      <c r="Y42" s="296"/>
      <c r="Z42" s="296"/>
      <c r="AA42" s="296"/>
      <c r="AB42" s="383"/>
      <c r="AC42" s="296"/>
      <c r="AD42" s="296"/>
      <c r="AE42" s="296"/>
      <c r="AJ42" s="304"/>
      <c r="AK42" s="255"/>
      <c r="AM42" s="304"/>
    </row>
    <row r="43" spans="1:39" ht="13.9">
      <c r="A43" s="145"/>
      <c r="B43" s="145"/>
      <c r="C43" s="315">
        <v>4441</v>
      </c>
      <c r="D43" s="315">
        <f>+D42+I42</f>
        <v>19</v>
      </c>
      <c r="E43" s="315" t="s">
        <v>127</v>
      </c>
      <c r="F43" s="315"/>
      <c r="G43" s="315" t="s">
        <v>138</v>
      </c>
      <c r="H43" s="315"/>
      <c r="I43" s="315" t="s">
        <v>138</v>
      </c>
      <c r="J43" s="315">
        <f>+[116]Sales!$H$11</f>
        <v>696</v>
      </c>
      <c r="K43" s="315" t="s">
        <v>138</v>
      </c>
      <c r="L43" s="315" t="s">
        <v>138</v>
      </c>
      <c r="M43" s="315"/>
      <c r="N43" s="315"/>
      <c r="O43" s="354">
        <f>1196+1889+242+135+155+217+479+3+114</f>
        <v>4430</v>
      </c>
      <c r="P43" s="374"/>
      <c r="Q43" s="307"/>
      <c r="R43" s="301"/>
      <c r="S43" s="301"/>
      <c r="T43" s="301"/>
      <c r="U43" s="301"/>
      <c r="V43" s="301"/>
      <c r="W43" s="296"/>
      <c r="X43" s="296"/>
      <c r="Y43" s="296"/>
      <c r="Z43" s="296"/>
      <c r="AA43" s="296"/>
      <c r="AB43" s="383"/>
      <c r="AC43" s="296"/>
      <c r="AD43" s="296"/>
      <c r="AE43" s="296"/>
      <c r="AK43" s="255"/>
      <c r="AM43" s="304"/>
    </row>
    <row r="44" spans="1:39" ht="13.9">
      <c r="A44" s="359" t="s">
        <v>138</v>
      </c>
      <c r="B44" s="359" t="s">
        <v>138</v>
      </c>
      <c r="C44" s="315">
        <f>+C42-C43</f>
        <v>0</v>
      </c>
      <c r="D44" s="315" t="s">
        <v>138</v>
      </c>
      <c r="E44" s="315"/>
      <c r="F44" s="315"/>
      <c r="G44" s="315"/>
      <c r="H44" s="315"/>
      <c r="I44" s="315" t="s">
        <v>138</v>
      </c>
      <c r="J44" s="315">
        <f>+J42+J43</f>
        <v>0</v>
      </c>
      <c r="K44" s="315" t="s">
        <v>138</v>
      </c>
      <c r="L44" s="315"/>
      <c r="M44" s="315"/>
      <c r="N44" s="315" t="s">
        <v>138</v>
      </c>
      <c r="O44" s="354">
        <f>+O42-O43</f>
        <v>0</v>
      </c>
      <c r="P44" s="374">
        <v>0</v>
      </c>
      <c r="Q44" s="307"/>
      <c r="R44" s="301"/>
      <c r="S44" s="301"/>
      <c r="T44" s="301"/>
      <c r="U44" s="301"/>
      <c r="V44" s="301"/>
      <c r="W44" s="296"/>
      <c r="X44" s="296"/>
      <c r="Y44" s="272"/>
      <c r="Z44" s="272"/>
      <c r="AA44" s="273"/>
      <c r="AB44" s="310"/>
      <c r="AC44" s="273"/>
      <c r="AD44" s="273"/>
      <c r="AE44" s="273"/>
      <c r="AF44" s="255"/>
      <c r="AG44" s="255"/>
      <c r="AH44" s="255"/>
      <c r="AI44" s="255"/>
      <c r="AJ44" s="255"/>
      <c r="AK44" s="255"/>
      <c r="AL44" s="255"/>
      <c r="AM44" s="304"/>
    </row>
    <row r="45" spans="1:39" ht="14.45" thickBot="1">
      <c r="A45" s="145" t="s">
        <v>86</v>
      </c>
      <c r="B45" s="145"/>
      <c r="C45" s="375" t="s">
        <v>264</v>
      </c>
      <c r="D45" s="375"/>
      <c r="E45" s="317"/>
      <c r="F45" s="317"/>
      <c r="G45" s="317"/>
      <c r="H45" s="359"/>
      <c r="I45" s="317"/>
      <c r="J45" s="317"/>
      <c r="K45" s="317"/>
      <c r="L45" s="317"/>
      <c r="M45" s="317"/>
      <c r="N45" s="317"/>
      <c r="O45" s="354"/>
      <c r="P45" s="374"/>
      <c r="Q45" s="307"/>
      <c r="R45" s="301"/>
      <c r="S45" s="301"/>
      <c r="T45" s="301"/>
      <c r="U45" s="301"/>
      <c r="V45" s="301"/>
      <c r="W45" s="296"/>
      <c r="X45" s="296"/>
      <c r="Y45" s="296"/>
      <c r="Z45" s="296"/>
      <c r="AA45" s="273"/>
      <c r="AB45" s="310"/>
      <c r="AC45" s="273"/>
      <c r="AD45" s="273"/>
      <c r="AE45" s="273"/>
      <c r="AF45" s="255"/>
      <c r="AG45" s="255"/>
      <c r="AH45" s="255"/>
      <c r="AI45" s="255"/>
      <c r="AJ45" s="255"/>
      <c r="AK45" s="255"/>
      <c r="AL45" s="255"/>
      <c r="AM45" s="304"/>
    </row>
    <row r="46" spans="1:39" ht="14.45" thickBot="1">
      <c r="A46" s="345" t="s">
        <v>87</v>
      </c>
      <c r="B46" s="360" t="s">
        <v>88</v>
      </c>
      <c r="C46" s="361" t="s">
        <v>89</v>
      </c>
      <c r="D46" s="361" t="s">
        <v>91</v>
      </c>
      <c r="E46" s="361" t="s">
        <v>430</v>
      </c>
      <c r="F46" s="361" t="s">
        <v>431</v>
      </c>
      <c r="G46" s="361" t="s">
        <v>332</v>
      </c>
      <c r="H46" s="361" t="s">
        <v>115</v>
      </c>
      <c r="I46" s="361" t="s">
        <v>101</v>
      </c>
      <c r="J46" s="361" t="s">
        <v>102</v>
      </c>
      <c r="K46" s="362" t="s">
        <v>2379</v>
      </c>
      <c r="L46" s="362" t="s">
        <v>2380</v>
      </c>
      <c r="M46" s="362" t="s">
        <v>378</v>
      </c>
      <c r="N46" s="362" t="s">
        <v>104</v>
      </c>
      <c r="O46" s="363" t="s">
        <v>2381</v>
      </c>
      <c r="P46" s="376" t="s">
        <v>2382</v>
      </c>
      <c r="Q46" s="299"/>
      <c r="R46" s="299"/>
      <c r="S46" s="299"/>
      <c r="T46" s="299"/>
      <c r="U46" s="299"/>
      <c r="V46" s="299"/>
      <c r="W46" s="296"/>
      <c r="X46" s="296"/>
      <c r="Y46" s="296"/>
      <c r="Z46" s="296"/>
      <c r="AA46" s="296"/>
      <c r="AB46" s="383"/>
      <c r="AC46" s="296"/>
      <c r="AD46" s="296"/>
      <c r="AE46" s="296"/>
      <c r="AF46" s="255"/>
      <c r="AG46" s="255"/>
      <c r="AH46" s="255"/>
      <c r="AI46" s="255"/>
      <c r="AJ46" s="255"/>
      <c r="AK46" s="255"/>
      <c r="AL46" s="255"/>
    </row>
    <row r="47" spans="1:39" ht="13.9">
      <c r="A47" s="318" t="s">
        <v>105</v>
      </c>
      <c r="B47" s="319" t="s">
        <v>106</v>
      </c>
      <c r="C47" s="321"/>
      <c r="D47" s="321"/>
      <c r="E47" s="321"/>
      <c r="F47" s="321"/>
      <c r="G47" s="321"/>
      <c r="H47" s="323">
        <f t="shared" ref="H47:H52" si="13">SUM(C47:G47)</f>
        <v>0</v>
      </c>
      <c r="I47" s="321"/>
      <c r="J47" s="321"/>
      <c r="K47" s="325"/>
      <c r="L47" s="325"/>
      <c r="M47" s="325"/>
      <c r="N47" s="325">
        <f t="shared" ref="N47:N52" si="14">SUM(H47:M47)</f>
        <v>0</v>
      </c>
      <c r="O47" s="334"/>
      <c r="P47" s="365">
        <f t="shared" ref="P47:P52" si="15">O47-N47</f>
        <v>0</v>
      </c>
      <c r="Q47" s="301"/>
      <c r="R47" s="301"/>
      <c r="S47" s="301"/>
      <c r="T47" s="301"/>
      <c r="U47" s="301"/>
      <c r="V47" s="301"/>
      <c r="W47" s="296"/>
      <c r="X47" s="296"/>
      <c r="Y47" s="272"/>
      <c r="Z47" s="272"/>
      <c r="AA47" s="273"/>
      <c r="AB47" s="310"/>
      <c r="AC47" s="273"/>
      <c r="AD47" s="273"/>
      <c r="AE47" s="273"/>
      <c r="AF47" s="255"/>
      <c r="AG47" s="255"/>
      <c r="AH47" s="255"/>
      <c r="AI47" s="255"/>
      <c r="AJ47" s="255"/>
      <c r="AK47" s="255"/>
      <c r="AL47" s="255"/>
    </row>
    <row r="48" spans="1:39" ht="13.9">
      <c r="A48" s="328" t="s">
        <v>107</v>
      </c>
      <c r="B48" s="329" t="s">
        <v>108</v>
      </c>
      <c r="C48" s="321">
        <v>0</v>
      </c>
      <c r="D48" s="332">
        <v>0</v>
      </c>
      <c r="E48" s="332">
        <v>0</v>
      </c>
      <c r="F48" s="332"/>
      <c r="G48" s="332">
        <v>0</v>
      </c>
      <c r="H48" s="323">
        <f t="shared" si="13"/>
        <v>0</v>
      </c>
      <c r="I48" s="332">
        <v>0</v>
      </c>
      <c r="J48" s="332"/>
      <c r="K48" s="325"/>
      <c r="L48" s="325"/>
      <c r="M48" s="325"/>
      <c r="N48" s="325">
        <f t="shared" si="14"/>
        <v>0</v>
      </c>
      <c r="O48" s="334">
        <v>0</v>
      </c>
      <c r="P48" s="365">
        <f t="shared" si="15"/>
        <v>0</v>
      </c>
      <c r="Q48" s="301"/>
      <c r="R48" s="301"/>
      <c r="S48" s="301"/>
      <c r="T48" s="301"/>
      <c r="U48" s="301"/>
      <c r="V48" s="301"/>
      <c r="W48" s="296"/>
      <c r="X48" s="296"/>
      <c r="Y48" s="296"/>
      <c r="Z48" s="296"/>
      <c r="AA48" s="273"/>
      <c r="AB48" s="310"/>
      <c r="AC48" s="273"/>
      <c r="AD48" s="273"/>
      <c r="AE48" s="273"/>
      <c r="AF48" s="255"/>
      <c r="AG48" s="255"/>
      <c r="AH48" s="255"/>
      <c r="AI48" s="255"/>
      <c r="AJ48" s="255"/>
      <c r="AK48" s="255"/>
      <c r="AL48" s="255"/>
    </row>
    <row r="49" spans="1:38" ht="13.9">
      <c r="A49" s="328" t="s">
        <v>109</v>
      </c>
      <c r="B49" s="329" t="s">
        <v>110</v>
      </c>
      <c r="C49" s="321">
        <v>0</v>
      </c>
      <c r="D49" s="332">
        <v>0</v>
      </c>
      <c r="E49" s="332">
        <v>0</v>
      </c>
      <c r="F49" s="332">
        <v>0</v>
      </c>
      <c r="G49" s="332">
        <v>0</v>
      </c>
      <c r="H49" s="323">
        <f t="shared" si="13"/>
        <v>0</v>
      </c>
      <c r="I49" s="332">
        <v>0</v>
      </c>
      <c r="J49" s="332">
        <v>0</v>
      </c>
      <c r="K49" s="325"/>
      <c r="L49" s="325"/>
      <c r="M49" s="325"/>
      <c r="N49" s="325">
        <f t="shared" si="14"/>
        <v>0</v>
      </c>
      <c r="O49" s="334">
        <v>0</v>
      </c>
      <c r="P49" s="365">
        <f t="shared" si="15"/>
        <v>0</v>
      </c>
      <c r="Q49" s="301"/>
      <c r="R49" s="301"/>
      <c r="S49" s="301"/>
      <c r="T49" s="301"/>
      <c r="U49" s="301"/>
      <c r="V49" s="301"/>
      <c r="W49" s="296"/>
      <c r="X49" s="296"/>
      <c r="Y49" s="296"/>
      <c r="Z49" s="296"/>
      <c r="AA49" s="273"/>
      <c r="AB49" s="310"/>
      <c r="AC49" s="273"/>
      <c r="AD49" s="273"/>
      <c r="AE49" s="273"/>
      <c r="AF49" s="255"/>
      <c r="AG49" s="255"/>
      <c r="AH49" s="255"/>
      <c r="AI49" s="255"/>
      <c r="AJ49" s="255"/>
      <c r="AK49" s="255"/>
      <c r="AL49" s="255"/>
    </row>
    <row r="50" spans="1:38" ht="13.9">
      <c r="A50" s="328" t="s">
        <v>111</v>
      </c>
      <c r="B50" s="319" t="s">
        <v>106</v>
      </c>
      <c r="C50" s="321">
        <v>0</v>
      </c>
      <c r="D50" s="332">
        <v>0</v>
      </c>
      <c r="E50" s="332"/>
      <c r="F50" s="332">
        <v>0</v>
      </c>
      <c r="G50" s="332">
        <v>0</v>
      </c>
      <c r="H50" s="323">
        <f t="shared" si="13"/>
        <v>0</v>
      </c>
      <c r="I50" s="332">
        <v>0</v>
      </c>
      <c r="J50" s="332">
        <v>0</v>
      </c>
      <c r="K50" s="325">
        <v>0</v>
      </c>
      <c r="L50" s="325"/>
      <c r="M50" s="325"/>
      <c r="N50" s="325">
        <f t="shared" si="14"/>
        <v>0</v>
      </c>
      <c r="O50" s="334">
        <v>0</v>
      </c>
      <c r="P50" s="365">
        <f t="shared" si="15"/>
        <v>0</v>
      </c>
      <c r="Q50" s="301"/>
      <c r="R50" s="301"/>
      <c r="S50" s="301"/>
      <c r="T50" s="301"/>
      <c r="U50" s="301"/>
      <c r="V50" s="301"/>
      <c r="W50" s="296"/>
      <c r="X50" s="296"/>
      <c r="Y50" s="296"/>
      <c r="Z50" s="296"/>
      <c r="AA50" s="273"/>
      <c r="AB50" s="310"/>
      <c r="AC50" s="273"/>
      <c r="AD50" s="273"/>
      <c r="AE50" s="273"/>
      <c r="AF50" s="255"/>
      <c r="AG50" s="255"/>
      <c r="AH50" s="255"/>
      <c r="AI50" s="255"/>
      <c r="AJ50" s="255"/>
      <c r="AK50" s="255"/>
      <c r="AL50" s="255"/>
    </row>
    <row r="51" spans="1:38" ht="13.9">
      <c r="A51" s="328" t="s">
        <v>112</v>
      </c>
      <c r="B51" s="319" t="s">
        <v>106</v>
      </c>
      <c r="C51" s="321">
        <v>0</v>
      </c>
      <c r="D51" s="332">
        <v>0</v>
      </c>
      <c r="E51" s="332"/>
      <c r="F51" s="332">
        <v>0</v>
      </c>
      <c r="G51" s="332">
        <v>0</v>
      </c>
      <c r="H51" s="323">
        <f t="shared" si="13"/>
        <v>0</v>
      </c>
      <c r="I51" s="332">
        <v>0</v>
      </c>
      <c r="J51" s="332"/>
      <c r="K51" s="325"/>
      <c r="L51" s="325"/>
      <c r="M51" s="325"/>
      <c r="N51" s="325">
        <f t="shared" si="14"/>
        <v>0</v>
      </c>
      <c r="O51" s="334">
        <v>0</v>
      </c>
      <c r="P51" s="365">
        <f t="shared" si="15"/>
        <v>0</v>
      </c>
      <c r="Q51" s="301"/>
      <c r="R51" s="301"/>
      <c r="S51" s="301"/>
      <c r="T51" s="301"/>
      <c r="U51" s="301"/>
      <c r="V51" s="301"/>
      <c r="W51" s="296"/>
      <c r="X51" s="296"/>
      <c r="Y51" s="296"/>
      <c r="Z51" s="296"/>
      <c r="AA51" s="273"/>
      <c r="AB51" s="310"/>
      <c r="AC51" s="273"/>
      <c r="AD51" s="273"/>
      <c r="AE51" s="273"/>
      <c r="AF51" s="255"/>
      <c r="AG51" s="255"/>
      <c r="AH51" s="255"/>
      <c r="AI51" s="255"/>
      <c r="AJ51" s="255"/>
      <c r="AK51" s="255"/>
      <c r="AL51" s="255"/>
    </row>
    <row r="52" spans="1:38" ht="14.45" thickBot="1">
      <c r="A52" s="338" t="s">
        <v>113</v>
      </c>
      <c r="B52" s="339"/>
      <c r="C52" s="321">
        <v>6</v>
      </c>
      <c r="D52" s="341">
        <v>0</v>
      </c>
      <c r="E52" s="341"/>
      <c r="F52" s="341">
        <v>0</v>
      </c>
      <c r="G52" s="341">
        <v>0</v>
      </c>
      <c r="H52" s="323">
        <f t="shared" si="13"/>
        <v>6</v>
      </c>
      <c r="I52" s="341">
        <v>0</v>
      </c>
      <c r="J52" s="341">
        <v>0</v>
      </c>
      <c r="K52" s="342"/>
      <c r="L52" s="342"/>
      <c r="M52" s="342"/>
      <c r="N52" s="325">
        <f t="shared" si="14"/>
        <v>6</v>
      </c>
      <c r="O52" s="369">
        <v>6</v>
      </c>
      <c r="P52" s="370">
        <f t="shared" si="15"/>
        <v>0</v>
      </c>
      <c r="Q52" s="301"/>
      <c r="R52" s="301"/>
      <c r="S52" s="301"/>
      <c r="T52" s="301"/>
      <c r="U52" s="301"/>
      <c r="V52" s="301"/>
      <c r="W52" s="296"/>
      <c r="X52" s="296"/>
      <c r="Y52" s="296"/>
      <c r="Z52" s="296"/>
      <c r="AA52" s="273"/>
      <c r="AB52" s="273"/>
      <c r="AC52" s="273"/>
      <c r="AD52" s="273"/>
      <c r="AE52" s="273"/>
      <c r="AF52" s="255"/>
      <c r="AG52" s="255"/>
      <c r="AH52" s="255"/>
      <c r="AI52" s="255"/>
      <c r="AJ52" s="255"/>
      <c r="AK52" s="255"/>
      <c r="AL52" s="255"/>
    </row>
    <row r="53" spans="1:38" ht="14.45" thickBot="1">
      <c r="A53" s="345" t="s">
        <v>115</v>
      </c>
      <c r="B53" s="346"/>
      <c r="C53" s="347">
        <f>SUM(C47:C52)</f>
        <v>6</v>
      </c>
      <c r="D53" s="347">
        <f>SUM(D47:D52)</f>
        <v>0</v>
      </c>
      <c r="E53" s="348">
        <f t="shared" ref="E53:K53" si="16">SUM(E47:E52)</f>
        <v>0</v>
      </c>
      <c r="F53" s="348">
        <f t="shared" si="16"/>
        <v>0</v>
      </c>
      <c r="G53" s="348">
        <f t="shared" si="16"/>
        <v>0</v>
      </c>
      <c r="H53" s="348">
        <f t="shared" si="16"/>
        <v>6</v>
      </c>
      <c r="I53" s="348">
        <f t="shared" si="16"/>
        <v>0</v>
      </c>
      <c r="J53" s="348">
        <f t="shared" si="16"/>
        <v>0</v>
      </c>
      <c r="K53" s="348">
        <f t="shared" si="16"/>
        <v>0</v>
      </c>
      <c r="L53" s="348">
        <f>SUM(L47:L52)</f>
        <v>0</v>
      </c>
      <c r="M53" s="348">
        <f>SUM(M47:M52)</f>
        <v>0</v>
      </c>
      <c r="N53" s="349">
        <f>SUM(N47:N52)</f>
        <v>6</v>
      </c>
      <c r="O53" s="371">
        <f>SUM(O47:O52)</f>
        <v>6</v>
      </c>
      <c r="P53" s="372">
        <f>SUM(P47:P52)</f>
        <v>0</v>
      </c>
      <c r="Q53" s="301"/>
      <c r="R53" s="301"/>
      <c r="S53" s="301"/>
      <c r="T53" s="301"/>
      <c r="U53" s="301"/>
      <c r="V53" s="301"/>
      <c r="W53" s="296"/>
      <c r="X53" s="296"/>
      <c r="Y53" s="296"/>
      <c r="Z53" s="296"/>
      <c r="AA53" s="296"/>
      <c r="AB53" s="296"/>
      <c r="AC53" s="296"/>
      <c r="AD53" s="296"/>
      <c r="AE53" s="296"/>
      <c r="AF53" s="304"/>
      <c r="AG53" s="304"/>
      <c r="AH53" s="304"/>
      <c r="AI53" s="304"/>
      <c r="AJ53" s="304"/>
      <c r="AK53" s="304"/>
      <c r="AL53" s="304"/>
    </row>
    <row r="54" spans="1:38" ht="13.9">
      <c r="A54" s="145"/>
      <c r="B54" s="145"/>
      <c r="C54" s="315">
        <v>7</v>
      </c>
      <c r="D54" s="315" t="s">
        <v>138</v>
      </c>
      <c r="E54" s="315" t="s">
        <v>138</v>
      </c>
      <c r="F54" s="315"/>
      <c r="G54" s="315"/>
      <c r="H54" s="315"/>
      <c r="I54" s="315"/>
      <c r="J54" s="315"/>
      <c r="K54" s="315"/>
      <c r="L54" s="315"/>
      <c r="M54" s="315"/>
      <c r="N54" s="315"/>
      <c r="O54" s="354"/>
      <c r="P54" s="374"/>
      <c r="Q54" s="307"/>
      <c r="R54" s="301"/>
      <c r="S54" s="301"/>
      <c r="T54" s="301"/>
      <c r="U54" s="301"/>
      <c r="V54" s="301"/>
      <c r="W54" s="296"/>
      <c r="X54" s="296"/>
      <c r="Y54" s="296"/>
      <c r="Z54" s="296"/>
      <c r="AA54" s="296"/>
      <c r="AB54" s="296"/>
      <c r="AC54" s="296"/>
      <c r="AD54" s="296"/>
      <c r="AE54" s="296"/>
    </row>
    <row r="55" spans="1:38" ht="13.9">
      <c r="A55" s="145"/>
      <c r="B55" s="145"/>
      <c r="C55" s="315"/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54"/>
      <c r="P55" s="374"/>
      <c r="Q55" s="307"/>
      <c r="R55" s="301"/>
      <c r="S55" s="301"/>
      <c r="T55" s="301"/>
      <c r="U55" s="301"/>
      <c r="V55" s="301"/>
      <c r="W55" s="296"/>
      <c r="X55" s="296"/>
      <c r="Y55" s="296"/>
      <c r="Z55" s="296"/>
      <c r="AA55" s="296"/>
      <c r="AB55" s="296"/>
      <c r="AC55" s="296"/>
      <c r="AD55" s="296"/>
      <c r="AE55" s="296"/>
      <c r="AF55" s="296"/>
      <c r="AG55" s="296"/>
      <c r="AH55" s="296"/>
      <c r="AI55" s="290"/>
      <c r="AJ55" s="303"/>
    </row>
    <row r="56" spans="1:38" ht="14.45" thickBot="1">
      <c r="A56" s="145" t="s">
        <v>86</v>
      </c>
      <c r="B56" s="145"/>
      <c r="C56" s="375" t="s">
        <v>115</v>
      </c>
      <c r="D56" s="378"/>
      <c r="E56" s="317">
        <v>0</v>
      </c>
      <c r="F56" s="317"/>
      <c r="G56" s="317"/>
      <c r="H56" s="145"/>
      <c r="I56" s="317"/>
      <c r="J56" s="317"/>
      <c r="K56" s="317"/>
      <c r="L56" s="317"/>
      <c r="M56" s="317"/>
      <c r="N56" s="316"/>
      <c r="O56" s="354"/>
      <c r="P56" s="374"/>
      <c r="Q56" s="307"/>
      <c r="R56" s="301"/>
      <c r="S56" s="301"/>
      <c r="T56" s="301"/>
      <c r="U56" s="301"/>
      <c r="V56" s="301"/>
      <c r="W56" s="296"/>
      <c r="X56" s="296"/>
      <c r="Y56" s="296"/>
      <c r="Z56" s="296"/>
      <c r="AA56" s="296"/>
      <c r="AB56" s="296"/>
      <c r="AC56" s="296"/>
      <c r="AD56" s="296"/>
      <c r="AE56" s="296"/>
      <c r="AF56" s="296"/>
      <c r="AG56" s="296"/>
      <c r="AH56" s="296"/>
    </row>
    <row r="57" spans="1:38" ht="14.45" thickBot="1">
      <c r="A57" s="345" t="s">
        <v>87</v>
      </c>
      <c r="B57" s="360" t="s">
        <v>88</v>
      </c>
      <c r="C57" s="361" t="s">
        <v>89</v>
      </c>
      <c r="D57" s="361" t="s">
        <v>91</v>
      </c>
      <c r="E57" s="361" t="s">
        <v>430</v>
      </c>
      <c r="F57" s="361" t="s">
        <v>431</v>
      </c>
      <c r="G57" s="361" t="s">
        <v>332</v>
      </c>
      <c r="H57" s="361" t="s">
        <v>115</v>
      </c>
      <c r="I57" s="361" t="s">
        <v>101</v>
      </c>
      <c r="J57" s="361" t="s">
        <v>102</v>
      </c>
      <c r="K57" s="362" t="s">
        <v>2379</v>
      </c>
      <c r="L57" s="362" t="s">
        <v>2380</v>
      </c>
      <c r="M57" s="362" t="s">
        <v>378</v>
      </c>
      <c r="N57" s="362" t="s">
        <v>104</v>
      </c>
      <c r="O57" s="363" t="s">
        <v>2381</v>
      </c>
      <c r="P57" s="376" t="s">
        <v>2382</v>
      </c>
      <c r="Q57" s="299"/>
      <c r="R57" s="299"/>
      <c r="S57" s="299"/>
      <c r="T57" s="299"/>
      <c r="U57" s="299"/>
      <c r="V57" s="299"/>
      <c r="W57" s="296"/>
      <c r="X57" s="296"/>
      <c r="Y57" s="296"/>
      <c r="Z57" s="296"/>
      <c r="AA57" s="296"/>
      <c r="AB57" s="296"/>
      <c r="AC57" s="296"/>
      <c r="AD57" s="296"/>
      <c r="AE57" s="296"/>
      <c r="AF57" s="296"/>
      <c r="AG57" s="296"/>
      <c r="AH57" s="296"/>
      <c r="AI57" s="290"/>
      <c r="AJ57" s="290"/>
    </row>
    <row r="58" spans="1:38" ht="17.45">
      <c r="A58" s="318" t="s">
        <v>105</v>
      </c>
      <c r="B58" s="319" t="s">
        <v>106</v>
      </c>
      <c r="C58" s="321">
        <f t="shared" ref="C58:M63" si="17">C11+C24+C47+C36</f>
        <v>6695</v>
      </c>
      <c r="D58" s="321">
        <f t="shared" si="17"/>
        <v>0</v>
      </c>
      <c r="E58" s="321">
        <f t="shared" si="17"/>
        <v>9129</v>
      </c>
      <c r="F58" s="321">
        <f t="shared" si="17"/>
        <v>0</v>
      </c>
      <c r="G58" s="321">
        <f t="shared" si="17"/>
        <v>-1419</v>
      </c>
      <c r="H58" s="321">
        <f t="shared" si="17"/>
        <v>14405</v>
      </c>
      <c r="I58" s="321">
        <f t="shared" si="17"/>
        <v>-6830</v>
      </c>
      <c r="J58" s="321">
        <f t="shared" si="17"/>
        <v>0</v>
      </c>
      <c r="K58" s="321">
        <f t="shared" si="17"/>
        <v>0</v>
      </c>
      <c r="L58" s="321">
        <f t="shared" si="17"/>
        <v>0</v>
      </c>
      <c r="M58" s="321">
        <f t="shared" si="17"/>
        <v>0</v>
      </c>
      <c r="N58" s="321">
        <f t="shared" ref="N58:N63" si="18">+N11+N24+N36+N47</f>
        <v>7575</v>
      </c>
      <c r="O58" s="321">
        <f>O11+O24+O47+O36</f>
        <v>6854</v>
      </c>
      <c r="P58" s="321">
        <f t="shared" ref="P58:P63" si="19">+O58-N58</f>
        <v>-721</v>
      </c>
      <c r="Q58" s="296"/>
      <c r="R58" s="296"/>
      <c r="S58" s="387"/>
      <c r="T58" s="387"/>
      <c r="U58" s="387"/>
      <c r="V58" s="387"/>
      <c r="W58" s="387"/>
      <c r="X58" s="296"/>
      <c r="Y58" s="296"/>
      <c r="Z58" s="296"/>
      <c r="AA58" s="296"/>
      <c r="AB58" s="296"/>
      <c r="AC58" s="296"/>
      <c r="AD58" s="296"/>
      <c r="AE58" s="296"/>
      <c r="AF58" s="296"/>
      <c r="AG58" s="296"/>
      <c r="AH58" s="296"/>
      <c r="AI58" s="296"/>
      <c r="AJ58" s="296"/>
      <c r="AK58" s="296"/>
      <c r="AL58" s="296"/>
    </row>
    <row r="59" spans="1:38" ht="17.45">
      <c r="A59" s="328" t="s">
        <v>107</v>
      </c>
      <c r="B59" s="329" t="s">
        <v>108</v>
      </c>
      <c r="C59" s="321">
        <f t="shared" si="17"/>
        <v>9291</v>
      </c>
      <c r="D59" s="321" t="e">
        <f t="shared" si="17"/>
        <v>#REF!</v>
      </c>
      <c r="E59" s="321">
        <f t="shared" si="17"/>
        <v>0</v>
      </c>
      <c r="F59" s="321">
        <f t="shared" si="17"/>
        <v>0</v>
      </c>
      <c r="G59" s="321" t="e">
        <f t="shared" si="17"/>
        <v>#REF!</v>
      </c>
      <c r="H59" s="321" t="e">
        <f t="shared" si="17"/>
        <v>#REF!</v>
      </c>
      <c r="I59" s="321" t="e">
        <f t="shared" si="17"/>
        <v>#REF!</v>
      </c>
      <c r="J59" s="321">
        <f t="shared" si="17"/>
        <v>0</v>
      </c>
      <c r="K59" s="321">
        <f t="shared" si="17"/>
        <v>-4</v>
      </c>
      <c r="L59" s="321">
        <f t="shared" si="17"/>
        <v>0</v>
      </c>
      <c r="M59" s="321">
        <f t="shared" si="17"/>
        <v>0</v>
      </c>
      <c r="N59" s="321" t="e">
        <f t="shared" si="18"/>
        <v>#REF!</v>
      </c>
      <c r="O59" s="321">
        <f>O12+O25+O48+O37</f>
        <v>8541</v>
      </c>
      <c r="P59" s="321" t="e">
        <f t="shared" si="19"/>
        <v>#REF!</v>
      </c>
      <c r="Q59" s="296"/>
      <c r="R59" s="296"/>
      <c r="S59" s="387"/>
      <c r="T59" s="387"/>
      <c r="U59" s="296"/>
      <c r="V59" s="296"/>
      <c r="W59" s="296"/>
      <c r="X59" s="296"/>
      <c r="Y59" s="296"/>
      <c r="Z59" s="296"/>
      <c r="AA59" s="296"/>
      <c r="AB59" s="296"/>
      <c r="AC59" s="296"/>
      <c r="AD59" s="296"/>
      <c r="AE59" s="296"/>
      <c r="AF59" s="296"/>
      <c r="AG59" s="296"/>
      <c r="AH59" s="296"/>
      <c r="AI59" s="296"/>
      <c r="AJ59" s="296"/>
      <c r="AK59" s="296"/>
      <c r="AL59" s="296"/>
    </row>
    <row r="60" spans="1:38" ht="13.9">
      <c r="A60" s="328" t="s">
        <v>109</v>
      </c>
      <c r="B60" s="329" t="s">
        <v>110</v>
      </c>
      <c r="C60" s="321">
        <f t="shared" si="17"/>
        <v>14851</v>
      </c>
      <c r="D60" s="321" t="e">
        <f t="shared" si="17"/>
        <v>#REF!</v>
      </c>
      <c r="E60" s="321">
        <f t="shared" si="17"/>
        <v>0</v>
      </c>
      <c r="F60" s="321">
        <f t="shared" si="17"/>
        <v>0</v>
      </c>
      <c r="G60" s="321" t="e">
        <f t="shared" si="17"/>
        <v>#REF!</v>
      </c>
      <c r="H60" s="321" t="e">
        <f t="shared" si="17"/>
        <v>#REF!</v>
      </c>
      <c r="I60" s="321" t="e">
        <f t="shared" si="17"/>
        <v>#REF!</v>
      </c>
      <c r="J60" s="321" t="e">
        <f t="shared" si="17"/>
        <v>#REF!</v>
      </c>
      <c r="K60" s="321" t="e">
        <f t="shared" si="17"/>
        <v>#REF!</v>
      </c>
      <c r="L60" s="321" t="e">
        <f t="shared" si="17"/>
        <v>#REF!</v>
      </c>
      <c r="M60" s="321" t="e">
        <f t="shared" si="17"/>
        <v>#REF!</v>
      </c>
      <c r="N60" s="321" t="e">
        <f t="shared" si="18"/>
        <v>#REF!</v>
      </c>
      <c r="O60" s="321">
        <f>O13+O26+O49+O38</f>
        <v>16162</v>
      </c>
      <c r="P60" s="321" t="e">
        <f t="shared" si="19"/>
        <v>#REF!</v>
      </c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  <c r="AD60" s="296"/>
      <c r="AE60" s="296"/>
      <c r="AF60" s="296"/>
      <c r="AG60" s="296"/>
      <c r="AH60" s="296"/>
      <c r="AI60" s="296"/>
      <c r="AJ60" s="296"/>
      <c r="AK60" s="296"/>
      <c r="AL60" s="296"/>
    </row>
    <row r="61" spans="1:38" ht="13.9">
      <c r="A61" s="328" t="s">
        <v>111</v>
      </c>
      <c r="B61" s="319" t="s">
        <v>106</v>
      </c>
      <c r="C61" s="321">
        <f t="shared" si="17"/>
        <v>999</v>
      </c>
      <c r="D61" s="321">
        <f t="shared" si="17"/>
        <v>100</v>
      </c>
      <c r="E61" s="321">
        <f t="shared" si="17"/>
        <v>0</v>
      </c>
      <c r="F61" s="321">
        <f t="shared" si="17"/>
        <v>0</v>
      </c>
      <c r="G61" s="321">
        <f t="shared" si="17"/>
        <v>-1</v>
      </c>
      <c r="H61" s="321">
        <f t="shared" si="17"/>
        <v>1098</v>
      </c>
      <c r="I61" s="321">
        <f t="shared" si="17"/>
        <v>-181</v>
      </c>
      <c r="J61" s="321">
        <f t="shared" si="17"/>
        <v>-1</v>
      </c>
      <c r="K61" s="321">
        <f t="shared" si="17"/>
        <v>0</v>
      </c>
      <c r="L61" s="321">
        <f t="shared" si="17"/>
        <v>-1</v>
      </c>
      <c r="M61" s="321">
        <f t="shared" si="17"/>
        <v>0</v>
      </c>
      <c r="N61" s="321">
        <f t="shared" si="18"/>
        <v>915</v>
      </c>
      <c r="O61" s="321">
        <f>O14+O27+O50+O39</f>
        <v>1037</v>
      </c>
      <c r="P61" s="321">
        <f t="shared" si="19"/>
        <v>122</v>
      </c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  <c r="AC61" s="296"/>
      <c r="AD61" s="296"/>
      <c r="AE61" s="296"/>
      <c r="AF61" s="296"/>
      <c r="AG61" s="296"/>
      <c r="AH61" s="296"/>
      <c r="AI61" s="296"/>
      <c r="AJ61" s="296"/>
      <c r="AK61" s="296"/>
      <c r="AL61" s="296"/>
    </row>
    <row r="62" spans="1:38" ht="13.9">
      <c r="A62" s="328" t="s">
        <v>112</v>
      </c>
      <c r="B62" s="319" t="s">
        <v>106</v>
      </c>
      <c r="C62" s="321">
        <f t="shared" si="17"/>
        <v>3590</v>
      </c>
      <c r="D62" s="321">
        <f t="shared" si="17"/>
        <v>186</v>
      </c>
      <c r="E62" s="321">
        <f t="shared" si="17"/>
        <v>0</v>
      </c>
      <c r="F62" s="321">
        <f t="shared" si="17"/>
        <v>0</v>
      </c>
      <c r="G62" s="321">
        <f t="shared" si="17"/>
        <v>-6</v>
      </c>
      <c r="H62" s="321">
        <f t="shared" si="17"/>
        <v>3770</v>
      </c>
      <c r="I62" s="321">
        <f t="shared" si="17"/>
        <v>-15</v>
      </c>
      <c r="J62" s="321">
        <f t="shared" si="17"/>
        <v>-23</v>
      </c>
      <c r="K62" s="321">
        <f t="shared" si="17"/>
        <v>0</v>
      </c>
      <c r="L62" s="321">
        <f t="shared" si="17"/>
        <v>-1</v>
      </c>
      <c r="M62" s="321">
        <f t="shared" si="17"/>
        <v>0</v>
      </c>
      <c r="N62" s="321">
        <f t="shared" si="18"/>
        <v>3731</v>
      </c>
      <c r="O62" s="321">
        <f>O15+O28+O51+O40</f>
        <v>3618</v>
      </c>
      <c r="P62" s="321">
        <f t="shared" si="19"/>
        <v>-113</v>
      </c>
      <c r="Q62" s="296"/>
      <c r="R62" s="296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  <c r="AC62" s="296"/>
      <c r="AD62" s="296"/>
      <c r="AE62" s="296"/>
      <c r="AF62" s="296"/>
      <c r="AG62" s="296"/>
      <c r="AH62" s="296"/>
      <c r="AI62" s="296"/>
      <c r="AJ62" s="296"/>
      <c r="AK62" s="296"/>
      <c r="AL62" s="296"/>
    </row>
    <row r="63" spans="1:38" ht="14.45" thickBot="1">
      <c r="A63" s="338" t="s">
        <v>113</v>
      </c>
      <c r="B63" s="339"/>
      <c r="C63" s="321">
        <f t="shared" si="17"/>
        <v>38</v>
      </c>
      <c r="D63" s="321">
        <f t="shared" si="17"/>
        <v>1</v>
      </c>
      <c r="E63" s="321">
        <f t="shared" si="17"/>
        <v>0</v>
      </c>
      <c r="F63" s="321">
        <f t="shared" si="17"/>
        <v>0</v>
      </c>
      <c r="G63" s="321">
        <f t="shared" si="17"/>
        <v>-1</v>
      </c>
      <c r="H63" s="321">
        <f t="shared" si="17"/>
        <v>38</v>
      </c>
      <c r="I63" s="321">
        <f t="shared" si="17"/>
        <v>0</v>
      </c>
      <c r="J63" s="321">
        <f t="shared" si="17"/>
        <v>0</v>
      </c>
      <c r="K63" s="321">
        <f t="shared" si="17"/>
        <v>0</v>
      </c>
      <c r="L63" s="321">
        <f t="shared" si="17"/>
        <v>0</v>
      </c>
      <c r="M63" s="321">
        <f t="shared" si="17"/>
        <v>0</v>
      </c>
      <c r="N63" s="321">
        <f t="shared" si="18"/>
        <v>38</v>
      </c>
      <c r="O63" s="321">
        <v>38</v>
      </c>
      <c r="P63" s="321">
        <f t="shared" si="19"/>
        <v>0</v>
      </c>
      <c r="Q63" s="296"/>
      <c r="R63" s="296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6"/>
      <c r="AD63" s="296"/>
      <c r="AE63" s="296"/>
      <c r="AF63" s="296"/>
      <c r="AG63" s="296"/>
      <c r="AH63" s="296"/>
      <c r="AI63" s="296"/>
      <c r="AJ63" s="296"/>
      <c r="AK63" s="296"/>
      <c r="AL63" s="296"/>
    </row>
    <row r="64" spans="1:38" ht="14.45" thickBot="1">
      <c r="A64" s="345" t="s">
        <v>115</v>
      </c>
      <c r="B64" s="346"/>
      <c r="C64" s="347">
        <f>SUM(C58:C63)</f>
        <v>35464</v>
      </c>
      <c r="D64" s="347" t="e">
        <f t="shared" ref="D64:K64" si="20">SUM(D58:D63)</f>
        <v>#REF!</v>
      </c>
      <c r="E64" s="347">
        <f t="shared" si="20"/>
        <v>9129</v>
      </c>
      <c r="F64" s="347">
        <f t="shared" si="20"/>
        <v>0</v>
      </c>
      <c r="G64" s="347" t="e">
        <f t="shared" si="20"/>
        <v>#REF!</v>
      </c>
      <c r="H64" s="348" t="e">
        <f t="shared" si="20"/>
        <v>#REF!</v>
      </c>
      <c r="I64" s="347" t="e">
        <f>SUM(I58:I63)</f>
        <v>#REF!</v>
      </c>
      <c r="J64" s="348" t="e">
        <f t="shared" si="20"/>
        <v>#REF!</v>
      </c>
      <c r="K64" s="348" t="e">
        <f t="shared" si="20"/>
        <v>#REF!</v>
      </c>
      <c r="L64" s="348" t="e">
        <f>SUM(L58:L63)</f>
        <v>#REF!</v>
      </c>
      <c r="M64" s="348" t="e">
        <f>SUM(M58:M63)</f>
        <v>#REF!</v>
      </c>
      <c r="N64" s="349" t="e">
        <f>SUM(N58:N63)</f>
        <v>#REF!</v>
      </c>
      <c r="O64" s="349">
        <f>SUM(O58:O63)</f>
        <v>36250</v>
      </c>
      <c r="P64" s="349" t="e">
        <f>SUM(P58:P63)</f>
        <v>#REF!</v>
      </c>
      <c r="Q64" s="45"/>
      <c r="R64" s="45"/>
      <c r="S64" s="45"/>
      <c r="T64" s="45"/>
      <c r="U64" s="45"/>
      <c r="V64" s="45"/>
      <c r="W64" s="296"/>
      <c r="X64" s="296"/>
      <c r="Y64" s="296"/>
      <c r="Z64" s="296"/>
      <c r="AA64" s="296"/>
      <c r="AB64" s="296"/>
      <c r="AC64" s="296"/>
      <c r="AD64" s="296"/>
      <c r="AE64" s="296"/>
      <c r="AF64" s="303"/>
      <c r="AG64" s="303"/>
      <c r="AH64" s="303"/>
      <c r="AI64" s="303"/>
      <c r="AJ64" s="303"/>
      <c r="AK64" s="303"/>
      <c r="AL64" s="303"/>
    </row>
    <row r="65" spans="1:41" ht="13.9">
      <c r="A65" s="145"/>
      <c r="B65" s="145"/>
      <c r="C65" s="379"/>
      <c r="D65" s="315"/>
      <c r="E65" s="315"/>
      <c r="F65" s="315"/>
      <c r="G65" s="315"/>
      <c r="H65" s="315"/>
      <c r="I65" s="315"/>
      <c r="J65" s="315"/>
      <c r="K65" s="315"/>
      <c r="L65" s="315"/>
      <c r="M65" s="315"/>
      <c r="N65" s="315"/>
      <c r="O65" s="315" t="s">
        <v>138</v>
      </c>
      <c r="P65" s="315"/>
      <c r="Q65" s="45"/>
      <c r="R65" s="45"/>
      <c r="S65" s="45"/>
      <c r="T65" s="45"/>
      <c r="U65" s="45"/>
      <c r="V65" s="45"/>
      <c r="W65" s="296"/>
      <c r="X65" s="296"/>
      <c r="Y65" s="296"/>
      <c r="Z65" s="296"/>
      <c r="AA65" s="296"/>
      <c r="AB65" s="296"/>
      <c r="AC65" s="296"/>
      <c r="AD65" s="296"/>
      <c r="AE65" s="296"/>
      <c r="AF65" s="303"/>
      <c r="AG65" s="303"/>
      <c r="AH65" s="303"/>
      <c r="AI65" s="303"/>
      <c r="AJ65" s="303"/>
      <c r="AK65" s="303"/>
      <c r="AL65" s="303"/>
    </row>
    <row r="66" spans="1:41" ht="13.9">
      <c r="A66" s="317"/>
      <c r="B66" s="317"/>
      <c r="C66" s="373">
        <v>35464</v>
      </c>
      <c r="D66" s="373" t="e">
        <f t="shared" ref="D66:P66" si="21">+D17+D42+D53+D30</f>
        <v>#REF!</v>
      </c>
      <c r="E66" s="373">
        <f t="shared" si="21"/>
        <v>9129</v>
      </c>
      <c r="F66" s="373">
        <f t="shared" si="21"/>
        <v>0</v>
      </c>
      <c r="G66" s="373" t="e">
        <f t="shared" si="21"/>
        <v>#REF!</v>
      </c>
      <c r="H66" s="373" t="e">
        <f t="shared" si="21"/>
        <v>#REF!</v>
      </c>
      <c r="I66" s="373" t="e">
        <f t="shared" si="21"/>
        <v>#REF!</v>
      </c>
      <c r="J66" s="373" t="e">
        <f t="shared" si="21"/>
        <v>#REF!</v>
      </c>
      <c r="K66" s="373" t="e">
        <f t="shared" si="21"/>
        <v>#REF!</v>
      </c>
      <c r="L66" s="373" t="e">
        <f t="shared" si="21"/>
        <v>#REF!</v>
      </c>
      <c r="M66" s="373" t="e">
        <f t="shared" si="21"/>
        <v>#REF!</v>
      </c>
      <c r="N66" s="373" t="e">
        <f t="shared" si="21"/>
        <v>#REF!</v>
      </c>
      <c r="O66" s="373">
        <f t="shared" si="21"/>
        <v>36250</v>
      </c>
      <c r="P66" s="373" t="e">
        <f t="shared" si="21"/>
        <v>#REF!</v>
      </c>
      <c r="Q66" s="307"/>
      <c r="R66" s="301"/>
      <c r="S66" s="301"/>
      <c r="T66" s="301"/>
      <c r="U66" s="301"/>
      <c r="V66" s="301"/>
      <c r="W66" s="296"/>
      <c r="X66" s="296"/>
      <c r="Y66" s="296"/>
      <c r="Z66" s="296"/>
      <c r="AA66" s="296"/>
      <c r="AB66" s="296"/>
      <c r="AC66" s="296"/>
      <c r="AD66" s="296"/>
      <c r="AE66" s="296"/>
      <c r="AF66" s="304"/>
      <c r="AG66" s="304"/>
      <c r="AH66" s="304"/>
      <c r="AI66" s="304"/>
      <c r="AJ66" s="304"/>
      <c r="AK66" s="304"/>
      <c r="AL66" s="304"/>
    </row>
    <row r="67" spans="1:41" ht="13.9">
      <c r="A67" s="317"/>
      <c r="B67" s="317"/>
      <c r="C67" s="380">
        <f>+C64-C66</f>
        <v>0</v>
      </c>
      <c r="D67" s="380" t="e">
        <f t="shared" ref="D67:P67" si="22">+D64-D66</f>
        <v>#REF!</v>
      </c>
      <c r="E67" s="380">
        <f t="shared" si="22"/>
        <v>0</v>
      </c>
      <c r="F67" s="380">
        <f t="shared" si="22"/>
        <v>0</v>
      </c>
      <c r="G67" s="380" t="e">
        <f t="shared" si="22"/>
        <v>#REF!</v>
      </c>
      <c r="H67" s="380" t="e">
        <f t="shared" si="22"/>
        <v>#REF!</v>
      </c>
      <c r="I67" s="380" t="e">
        <f t="shared" si="22"/>
        <v>#REF!</v>
      </c>
      <c r="J67" s="380" t="e">
        <f t="shared" si="22"/>
        <v>#REF!</v>
      </c>
      <c r="K67" s="380" t="e">
        <f t="shared" si="22"/>
        <v>#REF!</v>
      </c>
      <c r="L67" s="380" t="e">
        <f t="shared" si="22"/>
        <v>#REF!</v>
      </c>
      <c r="M67" s="380" t="e">
        <f t="shared" si="22"/>
        <v>#REF!</v>
      </c>
      <c r="N67" s="380" t="e">
        <f t="shared" si="22"/>
        <v>#REF!</v>
      </c>
      <c r="O67" s="380">
        <f t="shared" si="22"/>
        <v>0</v>
      </c>
      <c r="P67" s="380" t="e">
        <f t="shared" si="22"/>
        <v>#REF!</v>
      </c>
      <c r="Q67" s="308"/>
      <c r="W67" s="296"/>
      <c r="X67" s="296"/>
      <c r="Y67" s="296"/>
      <c r="Z67" s="296"/>
      <c r="AA67" s="296"/>
      <c r="AB67" s="296"/>
      <c r="AC67" s="296"/>
      <c r="AD67" s="296"/>
      <c r="AE67" s="296"/>
      <c r="AF67" s="304"/>
      <c r="AG67" s="304"/>
      <c r="AH67" s="304"/>
      <c r="AI67" s="304"/>
      <c r="AJ67" s="304"/>
      <c r="AK67" s="304"/>
      <c r="AL67" s="304"/>
    </row>
    <row r="68" spans="1:41" ht="13.9">
      <c r="A68" s="317"/>
      <c r="B68" s="317"/>
      <c r="C68" s="381" t="s">
        <v>138</v>
      </c>
      <c r="D68" s="316" t="s">
        <v>138</v>
      </c>
      <c r="E68" s="317"/>
      <c r="F68" s="317"/>
      <c r="G68" s="317"/>
      <c r="H68" s="145"/>
      <c r="I68" s="316" t="e">
        <f>+D64+I64</f>
        <v>#REF!</v>
      </c>
      <c r="J68" s="316"/>
      <c r="K68" s="316"/>
      <c r="L68" s="316" t="s">
        <v>138</v>
      </c>
      <c r="M68" s="316"/>
      <c r="N68" s="316" t="s">
        <v>138</v>
      </c>
      <c r="O68" s="354" t="s">
        <v>138</v>
      </c>
      <c r="P68" s="354"/>
      <c r="W68" s="296"/>
      <c r="X68" s="296"/>
      <c r="Y68" s="296"/>
      <c r="Z68" s="296"/>
      <c r="AA68" s="296"/>
      <c r="AB68" s="296"/>
      <c r="AC68" s="296"/>
      <c r="AD68" s="296"/>
      <c r="AE68" s="296"/>
    </row>
    <row r="69" spans="1:41" ht="13.9">
      <c r="A69" s="317"/>
      <c r="B69" s="317"/>
      <c r="C69" s="317"/>
      <c r="D69" s="317"/>
      <c r="E69" s="317"/>
      <c r="F69" s="317"/>
      <c r="G69" s="316"/>
      <c r="H69" s="352"/>
      <c r="I69" s="317"/>
      <c r="J69" s="352" t="s">
        <v>138</v>
      </c>
      <c r="K69" s="316"/>
      <c r="L69" s="352"/>
      <c r="M69" s="316" t="s">
        <v>138</v>
      </c>
      <c r="N69" s="316" t="s">
        <v>138</v>
      </c>
      <c r="O69" s="354" t="s">
        <v>138</v>
      </c>
      <c r="P69" s="354"/>
      <c r="W69" s="296"/>
      <c r="X69" s="296"/>
      <c r="Y69" s="296"/>
      <c r="Z69" s="296"/>
      <c r="AA69" s="296"/>
      <c r="AB69" s="296"/>
      <c r="AC69" s="296"/>
      <c r="AD69" s="296"/>
      <c r="AE69" s="296"/>
    </row>
    <row r="70" spans="1:41" ht="13.9">
      <c r="A70" s="317"/>
      <c r="B70" s="317"/>
      <c r="C70" s="317"/>
      <c r="D70" s="317"/>
      <c r="E70" s="317"/>
      <c r="F70" s="317"/>
      <c r="G70" s="316"/>
      <c r="H70" s="145"/>
      <c r="I70" s="317"/>
      <c r="J70" s="317"/>
      <c r="K70" s="316"/>
      <c r="L70" s="317"/>
      <c r="M70" s="317"/>
      <c r="N70" s="317"/>
      <c r="O70" s="354"/>
      <c r="P70" s="354"/>
      <c r="W70" s="296"/>
      <c r="X70" s="296"/>
      <c r="Y70" s="296"/>
      <c r="Z70" s="296"/>
      <c r="AA70" s="296"/>
      <c r="AB70" s="296"/>
      <c r="AC70" s="296"/>
      <c r="AD70" s="296"/>
      <c r="AE70" s="296"/>
    </row>
    <row r="71" spans="1:41" ht="13.9">
      <c r="A71" s="317"/>
      <c r="B71" s="317"/>
      <c r="C71" s="317"/>
      <c r="D71" s="317"/>
      <c r="E71" s="317"/>
      <c r="F71" s="316"/>
      <c r="G71" s="316"/>
      <c r="H71" s="145"/>
      <c r="I71" s="316"/>
      <c r="J71" s="317"/>
      <c r="K71" s="317"/>
      <c r="L71" s="317"/>
      <c r="M71" s="317"/>
      <c r="N71" s="317"/>
      <c r="O71" s="354"/>
      <c r="P71" s="354"/>
      <c r="W71" s="296"/>
      <c r="X71" s="296"/>
      <c r="Y71" s="296"/>
      <c r="Z71" s="296"/>
      <c r="AA71" s="296"/>
      <c r="AB71" s="296"/>
      <c r="AC71" s="296"/>
      <c r="AD71" s="296"/>
      <c r="AE71" s="296"/>
      <c r="AO71" s="303"/>
    </row>
    <row r="72" spans="1:41" ht="13.9">
      <c r="A72" s="317"/>
      <c r="B72" s="317"/>
      <c r="C72" s="317"/>
      <c r="D72" s="317"/>
      <c r="E72" s="317"/>
      <c r="F72" s="317"/>
      <c r="G72" s="316"/>
      <c r="H72" s="145"/>
      <c r="I72" s="316"/>
      <c r="J72" s="317"/>
      <c r="K72" s="317"/>
      <c r="L72" s="317"/>
      <c r="M72" s="317"/>
      <c r="N72" s="317"/>
      <c r="O72" s="354"/>
      <c r="P72" s="354"/>
      <c r="W72" s="296"/>
      <c r="X72" s="296"/>
      <c r="Y72" s="296"/>
      <c r="Z72" s="296"/>
      <c r="AA72" s="296"/>
      <c r="AB72" s="296"/>
      <c r="AC72" s="296"/>
      <c r="AD72" s="296"/>
      <c r="AE72" s="296"/>
      <c r="AO72" s="303"/>
    </row>
    <row r="73" spans="1:41" ht="13.9">
      <c r="A73" s="317"/>
      <c r="B73" s="317"/>
      <c r="C73" s="317"/>
      <c r="D73" s="317"/>
      <c r="E73" s="317"/>
      <c r="F73" s="317"/>
      <c r="G73" s="316"/>
      <c r="H73" s="145"/>
      <c r="I73" s="316"/>
      <c r="J73" s="353"/>
      <c r="K73" s="317"/>
      <c r="L73" s="353"/>
      <c r="M73" s="317"/>
      <c r="N73" s="317"/>
      <c r="O73" s="354"/>
      <c r="P73" s="354"/>
      <c r="W73" s="296"/>
      <c r="X73" s="306"/>
      <c r="Y73" s="296"/>
      <c r="Z73" s="296"/>
      <c r="AA73" s="296"/>
      <c r="AB73" s="296"/>
      <c r="AC73" s="296"/>
      <c r="AD73" s="296"/>
      <c r="AE73" s="296"/>
    </row>
    <row r="74" spans="1:41" ht="13.9">
      <c r="A74" s="317"/>
      <c r="B74" s="317"/>
      <c r="C74" s="317"/>
      <c r="D74" s="317"/>
      <c r="E74" s="317"/>
      <c r="F74" s="317"/>
      <c r="G74" s="316"/>
      <c r="H74" s="145"/>
      <c r="I74" s="316"/>
      <c r="J74" s="353"/>
      <c r="K74" s="317"/>
      <c r="L74" s="317"/>
      <c r="M74" s="317"/>
      <c r="N74" s="317"/>
      <c r="O74" s="354"/>
      <c r="P74" s="354"/>
      <c r="W74" s="296"/>
      <c r="X74" s="296"/>
      <c r="Y74" s="296"/>
      <c r="Z74" s="296"/>
      <c r="AA74" s="296"/>
      <c r="AB74" s="296"/>
      <c r="AC74" s="296"/>
      <c r="AD74" s="296"/>
      <c r="AE74" s="296"/>
    </row>
    <row r="75" spans="1:41" ht="13.9">
      <c r="A75" s="317"/>
      <c r="B75" s="317"/>
      <c r="C75" s="317"/>
      <c r="D75" s="317"/>
      <c r="E75" s="317"/>
      <c r="F75" s="317"/>
      <c r="G75" s="316"/>
      <c r="H75" s="145"/>
      <c r="I75" s="316"/>
      <c r="J75" s="353"/>
      <c r="K75" s="317"/>
      <c r="L75" s="317"/>
      <c r="M75" s="317"/>
      <c r="N75" s="317"/>
      <c r="O75" s="354"/>
      <c r="P75" s="354"/>
      <c r="W75" s="296"/>
      <c r="X75" s="296"/>
      <c r="Y75" s="296"/>
      <c r="Z75" s="296"/>
      <c r="AA75" s="296"/>
      <c r="AB75" s="296"/>
      <c r="AC75" s="296"/>
      <c r="AD75" s="296"/>
      <c r="AE75" s="296"/>
    </row>
    <row r="76" spans="1:41" ht="13.9">
      <c r="A76" s="317"/>
      <c r="B76" s="317"/>
      <c r="C76" s="317"/>
      <c r="D76" s="317"/>
      <c r="E76" s="317"/>
      <c r="F76" s="317"/>
      <c r="G76" s="317"/>
      <c r="H76" s="145"/>
      <c r="I76" s="316"/>
      <c r="J76" s="317"/>
      <c r="K76" s="317"/>
      <c r="L76" s="317"/>
      <c r="M76" s="317"/>
      <c r="N76" s="317"/>
      <c r="O76" s="354"/>
      <c r="P76" s="354"/>
      <c r="W76" s="296"/>
      <c r="X76" s="296"/>
      <c r="Y76" s="296"/>
      <c r="Z76" s="296"/>
      <c r="AA76" s="296"/>
      <c r="AB76" s="296"/>
      <c r="AC76" s="296"/>
      <c r="AD76" s="296"/>
      <c r="AE76" s="296"/>
    </row>
    <row r="77" spans="1:41" ht="13.9">
      <c r="A77" s="317"/>
      <c r="B77" s="317"/>
      <c r="C77" s="317"/>
      <c r="D77" s="317"/>
      <c r="E77" s="316"/>
      <c r="F77" s="317"/>
      <c r="G77" s="317"/>
      <c r="H77" s="359"/>
      <c r="I77" s="317"/>
      <c r="J77" s="317"/>
      <c r="K77" s="317"/>
      <c r="L77" s="317"/>
      <c r="M77" s="317"/>
      <c r="N77" s="317"/>
      <c r="O77" s="354"/>
      <c r="P77" s="354"/>
      <c r="W77" s="296"/>
      <c r="X77" s="296"/>
      <c r="Y77" s="296"/>
      <c r="Z77" s="296"/>
      <c r="AA77" s="296"/>
      <c r="AB77" s="296"/>
      <c r="AC77" s="296"/>
      <c r="AD77" s="296"/>
      <c r="AE77" s="296"/>
    </row>
    <row r="78" spans="1:41" ht="13.9">
      <c r="A78" s="317"/>
      <c r="B78" s="317"/>
      <c r="C78" s="317"/>
      <c r="D78" s="317"/>
      <c r="E78" s="317"/>
      <c r="F78" s="317"/>
      <c r="G78" s="317"/>
      <c r="H78" s="145"/>
      <c r="I78" s="317"/>
      <c r="J78" s="317"/>
      <c r="K78" s="317"/>
      <c r="L78" s="317"/>
      <c r="M78" s="317"/>
      <c r="N78" s="317"/>
      <c r="O78" s="354"/>
      <c r="P78" s="354"/>
      <c r="W78" s="296"/>
      <c r="X78" s="296"/>
      <c r="Y78" s="296"/>
      <c r="Z78" s="296"/>
      <c r="AA78" s="296"/>
      <c r="AB78" s="296"/>
      <c r="AC78" s="296"/>
      <c r="AD78" s="296"/>
      <c r="AE78" s="296"/>
    </row>
    <row r="79" spans="1:41" ht="13.9">
      <c r="A79" s="317"/>
      <c r="B79" s="317"/>
      <c r="C79" s="317"/>
      <c r="D79" s="317"/>
      <c r="E79" s="317"/>
      <c r="F79" s="317"/>
      <c r="G79" s="317"/>
      <c r="H79" s="145"/>
      <c r="I79" s="317"/>
      <c r="J79" s="317"/>
      <c r="K79" s="317"/>
      <c r="L79" s="317"/>
      <c r="M79" s="317"/>
      <c r="N79" s="317"/>
      <c r="O79" s="354"/>
      <c r="P79" s="354"/>
      <c r="W79" s="296"/>
      <c r="X79" s="296"/>
      <c r="Y79" s="296"/>
      <c r="Z79" s="296"/>
      <c r="AA79" s="296"/>
      <c r="AB79" s="296"/>
      <c r="AC79" s="296"/>
      <c r="AD79" s="296"/>
      <c r="AE79" s="296"/>
    </row>
    <row r="80" spans="1:41" ht="13.9">
      <c r="A80" s="317"/>
      <c r="B80" s="317"/>
      <c r="C80" s="317"/>
      <c r="D80" s="317"/>
      <c r="E80" s="317"/>
      <c r="F80" s="317"/>
      <c r="G80" s="317"/>
      <c r="H80" s="145"/>
      <c r="I80" s="317"/>
      <c r="J80" s="317"/>
      <c r="K80" s="317"/>
      <c r="L80" s="317"/>
      <c r="M80" s="317"/>
      <c r="N80" s="317"/>
      <c r="O80" s="354"/>
      <c r="P80" s="354"/>
      <c r="W80" s="296"/>
      <c r="X80" s="296"/>
      <c r="Y80" s="296"/>
      <c r="Z80" s="296"/>
      <c r="AA80" s="296"/>
      <c r="AB80" s="296"/>
      <c r="AC80" s="296"/>
      <c r="AD80" s="296"/>
      <c r="AE80" s="296"/>
    </row>
    <row r="81" spans="1:31" ht="13.9">
      <c r="A81" s="317"/>
      <c r="B81" s="317"/>
      <c r="C81" s="317"/>
      <c r="D81" s="317"/>
      <c r="E81" s="317"/>
      <c r="F81" s="317"/>
      <c r="G81" s="317"/>
      <c r="H81" s="145"/>
      <c r="I81" s="317"/>
      <c r="J81" s="317"/>
      <c r="K81" s="317"/>
      <c r="L81" s="317"/>
      <c r="M81" s="317"/>
      <c r="N81" s="317"/>
      <c r="O81" s="354"/>
      <c r="P81" s="354"/>
      <c r="W81" s="296"/>
      <c r="X81" s="296"/>
      <c r="Y81" s="296"/>
      <c r="Z81" s="296"/>
      <c r="AA81" s="296"/>
      <c r="AB81" s="296"/>
      <c r="AC81" s="296"/>
      <c r="AD81" s="296"/>
      <c r="AE81" s="296"/>
    </row>
    <row r="82" spans="1:31" ht="13.9">
      <c r="A82" s="317"/>
      <c r="B82" s="317"/>
      <c r="C82" s="317"/>
      <c r="D82" s="317"/>
      <c r="E82" s="317"/>
      <c r="F82" s="317"/>
      <c r="G82" s="317"/>
      <c r="H82" s="145"/>
      <c r="I82" s="317"/>
      <c r="J82" s="317"/>
      <c r="K82" s="317"/>
      <c r="L82" s="317"/>
      <c r="M82" s="317"/>
      <c r="N82" s="317"/>
      <c r="O82" s="354"/>
      <c r="P82" s="354"/>
      <c r="W82" s="296"/>
      <c r="X82" s="296"/>
      <c r="Y82" s="296"/>
      <c r="Z82" s="296"/>
      <c r="AA82" s="296"/>
      <c r="AB82" s="296"/>
      <c r="AC82" s="296"/>
      <c r="AD82" s="296"/>
      <c r="AE82" s="296"/>
    </row>
    <row r="83" spans="1:31" ht="13.9">
      <c r="A83" s="317"/>
      <c r="B83" s="317"/>
      <c r="C83" s="317"/>
      <c r="D83" s="317"/>
      <c r="E83" s="317"/>
      <c r="F83" s="317"/>
      <c r="G83" s="317"/>
      <c r="H83" s="145"/>
      <c r="I83" s="317"/>
      <c r="J83" s="317"/>
      <c r="K83" s="317"/>
      <c r="L83" s="317"/>
      <c r="M83" s="317"/>
      <c r="N83" s="317"/>
      <c r="O83" s="354"/>
      <c r="P83" s="354"/>
      <c r="W83" s="296"/>
      <c r="X83" s="296"/>
      <c r="Y83" s="296"/>
      <c r="Z83" s="296"/>
      <c r="AA83" s="296"/>
      <c r="AB83" s="296"/>
      <c r="AC83" s="296"/>
      <c r="AD83" s="296"/>
      <c r="AE83" s="296"/>
    </row>
    <row r="84" spans="1:31" ht="13.9">
      <c r="A84" s="317"/>
      <c r="B84" s="317"/>
      <c r="C84" s="317"/>
      <c r="D84" s="317"/>
      <c r="E84" s="317"/>
      <c r="F84" s="317"/>
      <c r="G84" s="317"/>
      <c r="H84" s="145" t="s">
        <v>138</v>
      </c>
      <c r="I84" s="317"/>
      <c r="J84" s="317"/>
      <c r="K84" s="317"/>
      <c r="L84" s="317"/>
      <c r="M84" s="317"/>
      <c r="N84" s="317"/>
      <c r="O84" s="354"/>
      <c r="P84" s="354"/>
      <c r="W84" s="296"/>
      <c r="X84" s="296"/>
      <c r="Y84" s="296"/>
      <c r="Z84" s="296"/>
      <c r="AA84" s="296"/>
      <c r="AB84" s="296"/>
      <c r="AC84" s="296"/>
      <c r="AD84" s="296"/>
      <c r="AE84" s="296"/>
    </row>
    <row r="85" spans="1:31" ht="13.9">
      <c r="A85" s="317"/>
      <c r="B85" s="317"/>
      <c r="C85" s="317"/>
      <c r="D85" s="375"/>
      <c r="E85" s="317"/>
      <c r="F85" s="317"/>
      <c r="G85" s="317"/>
      <c r="H85" s="145"/>
      <c r="I85" s="317"/>
      <c r="J85" s="317"/>
      <c r="K85" s="317"/>
      <c r="L85" s="317"/>
      <c r="M85" s="317"/>
      <c r="N85" s="317"/>
      <c r="O85" s="354"/>
      <c r="P85" s="354"/>
      <c r="W85" s="296"/>
      <c r="X85" s="296"/>
      <c r="Y85" s="296"/>
      <c r="Z85" s="296"/>
      <c r="AA85" s="296"/>
      <c r="AB85" s="296"/>
      <c r="AC85" s="296"/>
      <c r="AD85" s="296"/>
      <c r="AE85" s="296"/>
    </row>
    <row r="86" spans="1:31" ht="13.9">
      <c r="A86" s="317"/>
      <c r="B86" s="317"/>
      <c r="C86" s="317"/>
      <c r="D86" s="317"/>
      <c r="E86" s="317"/>
      <c r="F86" s="317"/>
      <c r="G86" s="317"/>
      <c r="H86" s="145"/>
      <c r="I86" s="317"/>
      <c r="J86" s="317"/>
      <c r="K86" s="317"/>
      <c r="L86" s="317"/>
      <c r="M86" s="317"/>
      <c r="N86" s="317"/>
      <c r="O86" s="354"/>
      <c r="P86" s="354"/>
    </row>
    <row r="87" spans="1:31" ht="13.9">
      <c r="A87" s="317"/>
      <c r="B87" s="317"/>
      <c r="C87" s="317"/>
      <c r="D87" s="317"/>
      <c r="E87" s="317"/>
      <c r="F87" s="317"/>
      <c r="G87" s="317"/>
      <c r="H87" s="145"/>
      <c r="I87" s="317"/>
      <c r="J87" s="317"/>
      <c r="K87" s="317"/>
      <c r="L87" s="317"/>
      <c r="M87" s="317"/>
      <c r="N87" s="317"/>
      <c r="O87" s="354"/>
      <c r="P87" s="354"/>
    </row>
    <row r="88" spans="1:31" ht="13.9">
      <c r="A88" s="317"/>
      <c r="B88" s="317"/>
      <c r="C88" s="317"/>
      <c r="D88" s="317"/>
      <c r="E88" s="317"/>
      <c r="F88" s="317"/>
      <c r="G88" s="317"/>
      <c r="H88" s="145"/>
      <c r="I88" s="317"/>
      <c r="J88" s="317"/>
      <c r="K88" s="317"/>
      <c r="L88" s="317"/>
      <c r="M88" s="317"/>
      <c r="N88" s="317"/>
      <c r="O88" s="354"/>
      <c r="P88" s="354"/>
      <c r="Z88" s="300"/>
    </row>
    <row r="89" spans="1:31" ht="13.9">
      <c r="A89" s="317"/>
      <c r="B89" s="317"/>
      <c r="C89" s="317"/>
      <c r="D89" s="317"/>
      <c r="E89" s="317"/>
      <c r="F89" s="317"/>
      <c r="G89" s="317"/>
      <c r="H89" s="145"/>
      <c r="I89" s="317"/>
      <c r="J89" s="317"/>
      <c r="K89" s="317"/>
      <c r="L89" s="317"/>
      <c r="M89" s="317"/>
      <c r="N89" s="317"/>
      <c r="O89" s="354"/>
      <c r="P89" s="354"/>
    </row>
    <row r="90" spans="1:31" ht="13.9">
      <c r="A90" s="317"/>
      <c r="B90" s="317"/>
      <c r="C90" s="317"/>
      <c r="D90" s="317"/>
      <c r="E90" s="317"/>
      <c r="F90" s="317"/>
      <c r="G90" s="317"/>
      <c r="H90" s="145"/>
      <c r="I90" s="317"/>
      <c r="J90" s="317"/>
      <c r="K90" s="317"/>
      <c r="L90" s="317"/>
      <c r="M90" s="317"/>
      <c r="N90" s="317"/>
      <c r="O90" s="354"/>
      <c r="P90" s="354"/>
    </row>
    <row r="91" spans="1:31" ht="13.9">
      <c r="A91" s="317"/>
      <c r="B91" s="317"/>
      <c r="C91" s="317"/>
      <c r="D91" s="317"/>
      <c r="E91" s="317"/>
      <c r="F91" s="317"/>
      <c r="G91" s="317"/>
      <c r="H91" s="145"/>
      <c r="I91" s="317"/>
      <c r="J91" s="317"/>
      <c r="K91" s="317"/>
      <c r="L91" s="317"/>
      <c r="M91" s="317"/>
      <c r="N91" s="317"/>
      <c r="O91" s="354"/>
      <c r="P91" s="354"/>
    </row>
    <row r="92" spans="1:31" ht="13.9">
      <c r="A92" s="317"/>
      <c r="B92" s="317"/>
      <c r="C92" s="317"/>
      <c r="D92" s="317"/>
      <c r="E92" s="317"/>
      <c r="F92" s="317"/>
      <c r="G92" s="317"/>
      <c r="H92" s="145"/>
      <c r="I92" s="317"/>
      <c r="J92" s="317"/>
      <c r="K92" s="317"/>
      <c r="L92" s="317"/>
      <c r="M92" s="317"/>
      <c r="N92" s="317"/>
      <c r="O92" s="354"/>
      <c r="P92" s="354"/>
    </row>
    <row r="93" spans="1:31" ht="13.9">
      <c r="A93" s="317"/>
      <c r="B93" s="317"/>
      <c r="C93" s="317"/>
      <c r="D93" s="317"/>
      <c r="E93" s="317"/>
      <c r="F93" s="316"/>
      <c r="G93" s="317"/>
      <c r="H93" s="145"/>
      <c r="I93" s="317"/>
      <c r="J93" s="317"/>
      <c r="K93" s="317"/>
      <c r="L93" s="317"/>
      <c r="M93" s="317"/>
      <c r="N93" s="317"/>
      <c r="O93" s="354"/>
      <c r="P93" s="354"/>
    </row>
    <row r="94" spans="1:31" ht="13.9">
      <c r="A94" s="317"/>
      <c r="B94" s="317"/>
      <c r="C94" s="317"/>
      <c r="D94" s="317"/>
      <c r="E94" s="317"/>
      <c r="F94" s="317"/>
      <c r="G94" s="317"/>
      <c r="H94" s="145"/>
      <c r="I94" s="317"/>
      <c r="J94" s="317"/>
      <c r="K94" s="317"/>
      <c r="L94" s="317"/>
      <c r="M94" s="317"/>
      <c r="N94" s="317"/>
      <c r="O94" s="354"/>
      <c r="P94" s="354"/>
    </row>
    <row r="95" spans="1:31" ht="13.9">
      <c r="A95" s="317"/>
      <c r="B95" s="317"/>
      <c r="C95" s="317"/>
      <c r="D95" s="317"/>
      <c r="E95" s="317"/>
      <c r="F95" s="317"/>
      <c r="G95" s="317"/>
      <c r="H95" s="145"/>
      <c r="I95" s="317"/>
      <c r="J95" s="317"/>
      <c r="K95" s="317"/>
      <c r="L95" s="317"/>
      <c r="M95" s="317"/>
      <c r="N95" s="317"/>
      <c r="O95" s="354"/>
      <c r="P95" s="354"/>
    </row>
    <row r="96" spans="1:31" ht="13.9">
      <c r="A96" s="317"/>
      <c r="B96" s="317"/>
      <c r="C96" s="317"/>
      <c r="D96" s="317"/>
      <c r="E96" s="317"/>
      <c r="F96" s="317"/>
      <c r="G96" s="317"/>
      <c r="H96" s="145"/>
      <c r="I96" s="317"/>
      <c r="J96" s="317"/>
      <c r="K96" s="317"/>
      <c r="L96" s="317"/>
      <c r="M96" s="317"/>
      <c r="N96" s="317"/>
      <c r="O96" s="354"/>
      <c r="P96" s="354"/>
    </row>
    <row r="97" spans="1:26" s="300" customFormat="1" ht="13.9">
      <c r="A97" s="317"/>
      <c r="B97" s="317"/>
      <c r="C97" s="317"/>
      <c r="D97" s="317"/>
      <c r="E97" s="317"/>
      <c r="F97" s="317"/>
      <c r="G97" s="317"/>
      <c r="H97" s="145"/>
      <c r="I97" s="317"/>
      <c r="J97" s="317"/>
      <c r="K97" s="317"/>
      <c r="L97" s="317"/>
      <c r="M97" s="317"/>
      <c r="N97" s="317"/>
      <c r="O97" s="354"/>
      <c r="P97" s="354"/>
      <c r="Q97" s="306"/>
      <c r="R97" s="306"/>
      <c r="S97" s="306"/>
      <c r="T97" s="306"/>
      <c r="U97" s="306"/>
      <c r="V97" s="306"/>
      <c r="W97" s="290"/>
      <c r="X97" s="290"/>
      <c r="Y97" s="290"/>
      <c r="Z97" s="290"/>
    </row>
    <row r="98" spans="1:26" s="300" customFormat="1" ht="13.9">
      <c r="A98" s="317"/>
      <c r="B98" s="317"/>
      <c r="C98" s="317"/>
      <c r="D98" s="317"/>
      <c r="E98" s="317"/>
      <c r="F98" s="317"/>
      <c r="G98" s="317"/>
      <c r="H98" s="145"/>
      <c r="I98" s="317"/>
      <c r="J98" s="317"/>
      <c r="K98" s="317"/>
      <c r="L98" s="317"/>
      <c r="M98" s="317"/>
      <c r="N98" s="317"/>
      <c r="O98" s="354"/>
      <c r="P98" s="354"/>
      <c r="Q98" s="306"/>
      <c r="R98" s="306"/>
      <c r="S98" s="306"/>
      <c r="T98" s="306"/>
      <c r="U98" s="306"/>
      <c r="V98" s="306"/>
      <c r="W98" s="306"/>
      <c r="X98" s="306"/>
      <c r="Y98" s="306"/>
      <c r="Z98" s="290"/>
    </row>
    <row r="99" spans="1:26" s="300" customFormat="1" ht="13.9">
      <c r="A99" s="317"/>
      <c r="B99" s="317"/>
      <c r="C99" s="317"/>
      <c r="D99" s="317"/>
      <c r="E99" s="317"/>
      <c r="F99" s="317"/>
      <c r="G99" s="317"/>
      <c r="H99" s="145"/>
      <c r="I99" s="317"/>
      <c r="J99" s="317"/>
      <c r="K99" s="317"/>
      <c r="L99" s="317"/>
      <c r="M99" s="317"/>
      <c r="N99" s="317"/>
      <c r="O99" s="354"/>
      <c r="P99" s="354"/>
      <c r="Q99" s="306"/>
      <c r="R99" s="306"/>
      <c r="S99" s="306"/>
      <c r="T99" s="306"/>
      <c r="U99" s="306"/>
      <c r="V99" s="306"/>
      <c r="W99" s="290"/>
      <c r="X99" s="290"/>
      <c r="Y99" s="290"/>
      <c r="Z99" s="290"/>
    </row>
    <row r="100" spans="1:26" s="300" customFormat="1" ht="13.9">
      <c r="A100" s="317"/>
      <c r="B100" s="317"/>
      <c r="C100" s="317"/>
      <c r="D100" s="317"/>
      <c r="E100" s="317"/>
      <c r="F100" s="317"/>
      <c r="G100" s="317"/>
      <c r="H100" s="145"/>
      <c r="I100" s="317"/>
      <c r="J100" s="317"/>
      <c r="K100" s="317"/>
      <c r="L100" s="317"/>
      <c r="M100" s="317"/>
      <c r="N100" s="317"/>
      <c r="O100" s="354"/>
      <c r="P100" s="354"/>
      <c r="Q100" s="306"/>
      <c r="R100" s="306"/>
      <c r="S100" s="306"/>
      <c r="T100" s="306"/>
      <c r="U100" s="306"/>
      <c r="V100" s="306"/>
      <c r="W100" s="290"/>
      <c r="X100" s="290"/>
      <c r="Y100" s="290"/>
      <c r="Z100" s="290"/>
    </row>
    <row r="101" spans="1:26" s="300" customFormat="1" ht="13.9">
      <c r="A101" s="317"/>
      <c r="B101" s="317"/>
      <c r="C101" s="317"/>
      <c r="D101" s="317"/>
      <c r="E101" s="317"/>
      <c r="F101" s="317"/>
      <c r="G101" s="317"/>
      <c r="H101" s="145"/>
      <c r="I101" s="317"/>
      <c r="J101" s="317"/>
      <c r="K101" s="317"/>
      <c r="L101" s="317"/>
      <c r="M101" s="317"/>
      <c r="N101" s="317"/>
      <c r="O101" s="354"/>
      <c r="P101" s="354"/>
      <c r="Q101" s="306"/>
      <c r="R101" s="306"/>
      <c r="S101" s="306"/>
      <c r="T101" s="306"/>
      <c r="U101" s="306"/>
      <c r="V101" s="306"/>
      <c r="W101" s="290"/>
      <c r="X101" s="290"/>
      <c r="Y101" s="290"/>
      <c r="Z101" s="290"/>
    </row>
    <row r="102" spans="1:26" s="300" customFormat="1" ht="13.9">
      <c r="A102" s="317"/>
      <c r="B102" s="317"/>
      <c r="C102" s="317"/>
      <c r="D102" s="317"/>
      <c r="E102" s="317"/>
      <c r="F102" s="317"/>
      <c r="G102" s="317"/>
      <c r="H102" s="145"/>
      <c r="I102" s="317"/>
      <c r="J102" s="317"/>
      <c r="K102" s="317"/>
      <c r="L102" s="317"/>
      <c r="M102" s="317"/>
      <c r="N102" s="317"/>
      <c r="O102" s="354"/>
      <c r="P102" s="354"/>
      <c r="Q102" s="306"/>
      <c r="R102" s="306"/>
      <c r="S102" s="306"/>
      <c r="T102" s="306"/>
      <c r="U102" s="306"/>
      <c r="V102" s="306"/>
      <c r="W102" s="290"/>
      <c r="X102" s="290"/>
      <c r="Y102" s="290"/>
      <c r="Z102" s="290"/>
    </row>
    <row r="103" spans="1:26" s="300" customFormat="1" ht="13.9">
      <c r="A103" s="317"/>
      <c r="B103" s="317"/>
      <c r="C103" s="317"/>
      <c r="D103" s="317"/>
      <c r="E103" s="317"/>
      <c r="F103" s="317"/>
      <c r="G103" s="317"/>
      <c r="H103" s="145"/>
      <c r="I103" s="317"/>
      <c r="J103" s="317"/>
      <c r="K103" s="317"/>
      <c r="L103" s="317"/>
      <c r="M103" s="317"/>
      <c r="N103" s="317"/>
      <c r="O103" s="354"/>
      <c r="P103" s="354"/>
      <c r="Q103" s="306"/>
      <c r="R103" s="306"/>
      <c r="S103" s="306"/>
      <c r="T103" s="306"/>
      <c r="U103" s="306"/>
      <c r="V103" s="306"/>
      <c r="W103" s="290"/>
      <c r="X103" s="290"/>
      <c r="Y103" s="290"/>
      <c r="Z103" s="290"/>
    </row>
    <row r="104" spans="1:26" s="300" customFormat="1" ht="13.9">
      <c r="A104" s="317"/>
      <c r="B104" s="317"/>
      <c r="C104" s="317"/>
      <c r="D104" s="317"/>
      <c r="E104" s="317"/>
      <c r="F104" s="317"/>
      <c r="G104" s="317"/>
      <c r="H104" s="145"/>
      <c r="I104" s="317"/>
      <c r="J104" s="317"/>
      <c r="K104" s="317"/>
      <c r="L104" s="317"/>
      <c r="M104" s="317"/>
      <c r="N104" s="317"/>
      <c r="O104" s="354"/>
      <c r="P104" s="354"/>
      <c r="Q104" s="306"/>
      <c r="R104" s="306"/>
      <c r="S104" s="306"/>
      <c r="T104" s="306"/>
      <c r="U104" s="306"/>
      <c r="V104" s="306"/>
      <c r="W104" s="306"/>
      <c r="X104" s="306"/>
      <c r="Y104" s="306"/>
      <c r="Z104" s="306"/>
    </row>
    <row r="105" spans="1:26" s="300" customFormat="1" ht="13.9">
      <c r="A105" s="317"/>
      <c r="B105" s="317"/>
      <c r="C105" s="317"/>
      <c r="D105" s="317"/>
      <c r="E105" s="317"/>
      <c r="F105" s="317"/>
      <c r="G105" s="317"/>
      <c r="H105" s="145"/>
      <c r="I105" s="317"/>
      <c r="J105" s="317"/>
      <c r="K105" s="317"/>
      <c r="L105" s="317"/>
      <c r="M105" s="317"/>
      <c r="N105" s="317"/>
      <c r="O105" s="354"/>
      <c r="P105" s="354"/>
      <c r="Q105" s="306"/>
      <c r="R105" s="306"/>
      <c r="S105" s="306"/>
      <c r="T105" s="306"/>
      <c r="U105" s="306"/>
      <c r="V105" s="306"/>
      <c r="W105" s="290"/>
      <c r="X105" s="290"/>
      <c r="Y105" s="290"/>
      <c r="Z105" s="290"/>
    </row>
    <row r="106" spans="1:26" s="300" customFormat="1" ht="13.9">
      <c r="A106" s="317"/>
      <c r="B106" s="317"/>
      <c r="C106" s="317"/>
      <c r="D106" s="317"/>
      <c r="E106" s="317"/>
      <c r="F106" s="317"/>
      <c r="G106" s="317"/>
      <c r="H106" s="145"/>
      <c r="I106" s="317"/>
      <c r="J106" s="317"/>
      <c r="K106" s="317"/>
      <c r="L106" s="317"/>
      <c r="M106" s="317"/>
      <c r="N106" s="317"/>
      <c r="O106" s="354"/>
      <c r="P106" s="354"/>
      <c r="Q106" s="306"/>
      <c r="R106" s="306"/>
      <c r="S106" s="306"/>
      <c r="T106" s="306"/>
      <c r="U106" s="306"/>
      <c r="V106" s="306"/>
      <c r="W106" s="290"/>
      <c r="X106" s="290"/>
      <c r="Y106" s="290"/>
      <c r="Z106" s="290"/>
    </row>
    <row r="107" spans="1:26" s="300" customFormat="1" ht="13.9">
      <c r="A107" s="317"/>
      <c r="B107" s="317"/>
      <c r="C107" s="317"/>
      <c r="D107" s="317"/>
      <c r="E107" s="380"/>
      <c r="F107" s="317"/>
      <c r="G107" s="317"/>
      <c r="H107" s="145"/>
      <c r="I107" s="317"/>
      <c r="J107" s="317"/>
      <c r="K107" s="317"/>
      <c r="L107" s="317"/>
      <c r="M107" s="317"/>
      <c r="N107" s="317"/>
      <c r="O107" s="354"/>
      <c r="P107" s="354"/>
      <c r="Q107" s="306"/>
      <c r="R107" s="306"/>
      <c r="S107" s="306"/>
      <c r="T107" s="306"/>
      <c r="U107" s="306"/>
      <c r="V107" s="306"/>
      <c r="W107" s="290"/>
      <c r="X107" s="290"/>
      <c r="Y107" s="290"/>
      <c r="Z107" s="290"/>
    </row>
    <row r="108" spans="1:26" s="300" customFormat="1" ht="13.9">
      <c r="A108" s="317"/>
      <c r="B108" s="317"/>
      <c r="C108" s="317"/>
      <c r="D108" s="317"/>
      <c r="E108" s="380"/>
      <c r="F108" s="317"/>
      <c r="G108" s="317"/>
      <c r="H108" s="145"/>
      <c r="I108" s="317"/>
      <c r="J108" s="317"/>
      <c r="K108" s="317"/>
      <c r="L108" s="317"/>
      <c r="M108" s="317"/>
      <c r="N108" s="317"/>
      <c r="O108" s="354"/>
      <c r="P108" s="354"/>
      <c r="Q108" s="306"/>
      <c r="R108" s="306"/>
      <c r="S108" s="306"/>
      <c r="T108" s="306"/>
      <c r="U108" s="306"/>
      <c r="V108" s="306"/>
      <c r="W108" s="290"/>
      <c r="X108" s="290"/>
      <c r="Y108" s="290"/>
      <c r="Z108" s="290"/>
    </row>
    <row r="109" spans="1:26" s="300" customFormat="1" ht="13.9">
      <c r="A109" s="317"/>
      <c r="B109" s="317"/>
      <c r="C109" s="317"/>
      <c r="D109" s="317"/>
      <c r="E109" s="380"/>
      <c r="F109" s="317"/>
      <c r="G109" s="317"/>
      <c r="H109" s="145"/>
      <c r="I109" s="317"/>
      <c r="J109" s="317"/>
      <c r="K109" s="317"/>
      <c r="L109" s="317"/>
      <c r="M109" s="317"/>
      <c r="N109" s="317"/>
      <c r="O109" s="354"/>
      <c r="P109" s="354"/>
      <c r="Q109" s="306"/>
      <c r="R109" s="306"/>
      <c r="S109" s="306"/>
      <c r="T109" s="306"/>
      <c r="U109" s="306"/>
      <c r="V109" s="306"/>
      <c r="W109" s="290"/>
      <c r="X109" s="290"/>
      <c r="Y109" s="290"/>
      <c r="Z109" s="290"/>
    </row>
    <row r="110" spans="1:26" s="300" customFormat="1" ht="13.9">
      <c r="A110" s="317"/>
      <c r="B110" s="317"/>
      <c r="C110" s="317"/>
      <c r="D110" s="317"/>
      <c r="E110" s="317"/>
      <c r="F110" s="317"/>
      <c r="G110" s="317"/>
      <c r="H110" s="145"/>
      <c r="I110" s="317"/>
      <c r="J110" s="317"/>
      <c r="K110" s="317"/>
      <c r="L110" s="317"/>
      <c r="M110" s="317"/>
      <c r="N110" s="317"/>
      <c r="O110" s="354"/>
      <c r="P110" s="354"/>
      <c r="Q110" s="306"/>
      <c r="R110" s="306"/>
      <c r="S110" s="306"/>
      <c r="T110" s="306"/>
      <c r="U110" s="306"/>
      <c r="V110" s="306"/>
      <c r="W110" s="290"/>
      <c r="X110" s="290"/>
      <c r="Y110" s="290"/>
      <c r="Z110" s="290"/>
    </row>
    <row r="111" spans="1:26" s="300" customFormat="1" ht="13.9">
      <c r="A111" s="317"/>
      <c r="B111" s="317"/>
      <c r="C111" s="317"/>
      <c r="D111" s="316"/>
      <c r="E111" s="317"/>
      <c r="F111" s="317"/>
      <c r="G111" s="317"/>
      <c r="H111" s="145"/>
      <c r="I111" s="317"/>
      <c r="J111" s="317"/>
      <c r="K111" s="317"/>
      <c r="L111" s="317"/>
      <c r="M111" s="317"/>
      <c r="N111" s="317"/>
      <c r="O111" s="354"/>
      <c r="P111" s="354"/>
      <c r="Q111" s="306"/>
      <c r="R111" s="306"/>
      <c r="S111" s="306"/>
      <c r="T111" s="306"/>
      <c r="U111" s="306"/>
      <c r="V111" s="306"/>
      <c r="W111" s="290"/>
      <c r="X111" s="290"/>
      <c r="Y111" s="290"/>
      <c r="Z111" s="290"/>
    </row>
    <row r="112" spans="1:26" s="300" customFormat="1" ht="13.9">
      <c r="A112" s="317"/>
      <c r="B112" s="317"/>
      <c r="C112" s="317"/>
      <c r="D112" s="317"/>
      <c r="E112" s="317"/>
      <c r="F112" s="317"/>
      <c r="G112" s="317"/>
      <c r="H112" s="145"/>
      <c r="I112" s="317"/>
      <c r="J112" s="317"/>
      <c r="K112" s="317"/>
      <c r="L112" s="317"/>
      <c r="M112" s="317"/>
      <c r="N112" s="317"/>
      <c r="O112" s="354"/>
      <c r="P112" s="354"/>
      <c r="Q112" s="306"/>
      <c r="R112" s="306"/>
      <c r="S112" s="306"/>
      <c r="T112" s="306"/>
      <c r="U112" s="306"/>
      <c r="V112" s="306"/>
      <c r="W112" s="290"/>
      <c r="X112" s="290"/>
      <c r="Y112" s="290"/>
      <c r="Z112" s="290"/>
    </row>
    <row r="113" spans="1:16" s="300" customFormat="1" ht="13.9">
      <c r="A113" s="317"/>
      <c r="B113" s="317"/>
      <c r="C113" s="353"/>
      <c r="D113" s="317"/>
      <c r="E113" s="317"/>
      <c r="F113" s="317"/>
      <c r="G113" s="317"/>
      <c r="H113" s="145"/>
      <c r="I113" s="317"/>
      <c r="J113" s="317"/>
      <c r="K113" s="317"/>
      <c r="L113" s="317"/>
      <c r="M113" s="317"/>
      <c r="N113" s="317"/>
      <c r="O113" s="354"/>
      <c r="P113" s="354"/>
    </row>
  </sheetData>
  <pageMargins left="0.7" right="0.7" top="0.75" bottom="0.75" header="0.3" footer="0.3"/>
  <pageSetup orientation="portrait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92"/>
  <dimension ref="B2:S88"/>
  <sheetViews>
    <sheetView workbookViewId="0">
      <selection activeCell="B15" sqref="B15"/>
    </sheetView>
  </sheetViews>
  <sheetFormatPr defaultRowHeight="13.15"/>
  <sheetData>
    <row r="2" spans="2:14">
      <c r="B2" t="s">
        <v>302</v>
      </c>
      <c r="E2" t="s">
        <v>303</v>
      </c>
      <c r="F2" t="s">
        <v>304</v>
      </c>
      <c r="I2" t="s">
        <v>305</v>
      </c>
      <c r="L2" t="s">
        <v>306</v>
      </c>
    </row>
    <row r="3" spans="2:14">
      <c r="B3">
        <v>220</v>
      </c>
      <c r="C3">
        <v>29</v>
      </c>
      <c r="D3">
        <v>18</v>
      </c>
      <c r="E3">
        <v>6</v>
      </c>
      <c r="F3">
        <v>43</v>
      </c>
      <c r="G3">
        <v>1</v>
      </c>
      <c r="H3">
        <v>9</v>
      </c>
      <c r="I3">
        <v>53</v>
      </c>
      <c r="J3">
        <v>3</v>
      </c>
      <c r="K3">
        <v>3</v>
      </c>
      <c r="L3">
        <v>95</v>
      </c>
      <c r="M3">
        <v>12</v>
      </c>
      <c r="N3">
        <v>2</v>
      </c>
    </row>
    <row r="4" spans="2:14">
      <c r="B4">
        <v>82</v>
      </c>
      <c r="C4">
        <v>9</v>
      </c>
      <c r="D4">
        <v>7</v>
      </c>
      <c r="E4">
        <v>12</v>
      </c>
      <c r="F4">
        <v>69</v>
      </c>
      <c r="G4">
        <v>2</v>
      </c>
      <c r="H4">
        <v>3</v>
      </c>
      <c r="I4">
        <v>31</v>
      </c>
      <c r="J4">
        <v>1</v>
      </c>
      <c r="K4">
        <v>1</v>
      </c>
      <c r="L4">
        <v>146</v>
      </c>
      <c r="M4">
        <v>16</v>
      </c>
      <c r="N4">
        <v>1</v>
      </c>
    </row>
    <row r="5" spans="2:14">
      <c r="B5">
        <v>64</v>
      </c>
      <c r="C5">
        <v>5</v>
      </c>
      <c r="D5">
        <v>15</v>
      </c>
      <c r="E5">
        <v>4</v>
      </c>
      <c r="F5">
        <v>33</v>
      </c>
      <c r="G5">
        <v>3</v>
      </c>
      <c r="H5">
        <v>2</v>
      </c>
      <c r="I5">
        <v>28</v>
      </c>
      <c r="J5">
        <v>4</v>
      </c>
      <c r="K5">
        <v>1</v>
      </c>
      <c r="L5">
        <v>128</v>
      </c>
      <c r="M5">
        <v>8</v>
      </c>
      <c r="N5">
        <v>1</v>
      </c>
    </row>
    <row r="6" spans="2:14">
      <c r="B6">
        <v>111</v>
      </c>
      <c r="C6">
        <v>9</v>
      </c>
      <c r="D6">
        <v>6</v>
      </c>
      <c r="E6">
        <v>8</v>
      </c>
      <c r="F6">
        <v>134</v>
      </c>
      <c r="G6">
        <v>20</v>
      </c>
      <c r="H6">
        <v>10</v>
      </c>
      <c r="I6">
        <v>86</v>
      </c>
      <c r="J6">
        <v>11</v>
      </c>
      <c r="K6">
        <v>1</v>
      </c>
      <c r="L6">
        <v>335</v>
      </c>
      <c r="M6">
        <v>31</v>
      </c>
      <c r="N6">
        <v>1</v>
      </c>
    </row>
    <row r="7" spans="2:14">
      <c r="B7">
        <v>277</v>
      </c>
      <c r="C7">
        <v>15</v>
      </c>
      <c r="D7">
        <v>22</v>
      </c>
      <c r="E7">
        <v>2</v>
      </c>
      <c r="F7">
        <v>74</v>
      </c>
      <c r="G7">
        <v>2</v>
      </c>
      <c r="H7">
        <v>5</v>
      </c>
      <c r="I7">
        <v>70</v>
      </c>
      <c r="J7">
        <v>7</v>
      </c>
      <c r="K7">
        <v>1</v>
      </c>
      <c r="L7">
        <v>245</v>
      </c>
      <c r="M7">
        <v>18</v>
      </c>
      <c r="N7">
        <v>1</v>
      </c>
    </row>
    <row r="8" spans="2:14">
      <c r="B8">
        <v>176</v>
      </c>
      <c r="C8">
        <v>13</v>
      </c>
      <c r="D8">
        <v>20</v>
      </c>
      <c r="E8">
        <v>4</v>
      </c>
      <c r="F8">
        <v>141</v>
      </c>
      <c r="G8">
        <v>23</v>
      </c>
      <c r="H8">
        <v>3</v>
      </c>
      <c r="I8">
        <v>286</v>
      </c>
      <c r="J8">
        <v>42</v>
      </c>
      <c r="K8">
        <v>4</v>
      </c>
      <c r="L8">
        <v>162</v>
      </c>
      <c r="M8">
        <v>13</v>
      </c>
      <c r="N8">
        <v>1</v>
      </c>
    </row>
    <row r="9" spans="2:14">
      <c r="B9">
        <v>209</v>
      </c>
      <c r="C9">
        <v>14</v>
      </c>
      <c r="D9">
        <v>16</v>
      </c>
      <c r="E9">
        <v>1</v>
      </c>
      <c r="F9">
        <v>80</v>
      </c>
      <c r="G9">
        <v>8</v>
      </c>
      <c r="H9">
        <v>6</v>
      </c>
      <c r="I9">
        <v>143</v>
      </c>
      <c r="J9">
        <v>10</v>
      </c>
      <c r="K9">
        <v>10</v>
      </c>
      <c r="L9">
        <v>42</v>
      </c>
      <c r="M9">
        <v>1</v>
      </c>
      <c r="N9">
        <v>1</v>
      </c>
    </row>
    <row r="10" spans="2:14">
      <c r="B10">
        <v>108</v>
      </c>
      <c r="C10">
        <v>9</v>
      </c>
      <c r="D10">
        <v>12</v>
      </c>
      <c r="E10">
        <v>3</v>
      </c>
      <c r="F10">
        <v>95</v>
      </c>
      <c r="G10">
        <v>7</v>
      </c>
      <c r="H10">
        <v>3</v>
      </c>
      <c r="I10">
        <v>214</v>
      </c>
      <c r="J10">
        <v>25</v>
      </c>
      <c r="K10">
        <v>3</v>
      </c>
      <c r="L10">
        <v>202</v>
      </c>
      <c r="M10">
        <v>17</v>
      </c>
      <c r="N10">
        <v>1</v>
      </c>
    </row>
    <row r="11" spans="2:14">
      <c r="B11">
        <v>33</v>
      </c>
      <c r="C11">
        <v>1</v>
      </c>
      <c r="D11">
        <v>24</v>
      </c>
      <c r="E11">
        <v>1</v>
      </c>
      <c r="F11">
        <v>44</v>
      </c>
      <c r="G11">
        <v>7</v>
      </c>
      <c r="H11">
        <v>10</v>
      </c>
      <c r="I11">
        <v>234</v>
      </c>
      <c r="J11">
        <v>18</v>
      </c>
      <c r="K11">
        <v>6</v>
      </c>
      <c r="L11">
        <v>17</v>
      </c>
      <c r="M11">
        <v>1</v>
      </c>
      <c r="N11">
        <v>1</v>
      </c>
    </row>
    <row r="12" spans="2:14">
      <c r="B12">
        <v>42</v>
      </c>
      <c r="C12">
        <v>5</v>
      </c>
      <c r="D12">
        <v>8</v>
      </c>
      <c r="E12">
        <v>1</v>
      </c>
      <c r="F12">
        <v>219</v>
      </c>
      <c r="G12">
        <v>14</v>
      </c>
      <c r="H12">
        <v>12</v>
      </c>
      <c r="I12">
        <v>121</v>
      </c>
      <c r="J12">
        <v>24</v>
      </c>
      <c r="K12">
        <v>17</v>
      </c>
      <c r="L12">
        <v>36</v>
      </c>
      <c r="M12">
        <v>5</v>
      </c>
      <c r="N12">
        <v>1</v>
      </c>
    </row>
    <row r="13" spans="2:14">
      <c r="B13">
        <v>20</v>
      </c>
      <c r="D13">
        <v>10</v>
      </c>
      <c r="E13">
        <v>5</v>
      </c>
      <c r="F13">
        <v>91</v>
      </c>
      <c r="G13">
        <v>9</v>
      </c>
      <c r="H13">
        <v>19</v>
      </c>
      <c r="I13">
        <v>15</v>
      </c>
      <c r="J13">
        <v>2</v>
      </c>
      <c r="K13">
        <v>9</v>
      </c>
      <c r="L13">
        <v>36</v>
      </c>
      <c r="M13">
        <v>1</v>
      </c>
      <c r="N13">
        <v>3</v>
      </c>
    </row>
    <row r="14" spans="2:14">
      <c r="B14">
        <v>11</v>
      </c>
      <c r="D14">
        <v>4</v>
      </c>
      <c r="E14">
        <v>2</v>
      </c>
      <c r="F14">
        <v>144</v>
      </c>
      <c r="G14">
        <v>11</v>
      </c>
      <c r="H14">
        <v>14</v>
      </c>
      <c r="I14">
        <v>41</v>
      </c>
      <c r="J14">
        <v>4</v>
      </c>
      <c r="K14">
        <v>14</v>
      </c>
      <c r="L14">
        <v>14</v>
      </c>
      <c r="M14">
        <v>1</v>
      </c>
      <c r="N14">
        <v>7</v>
      </c>
    </row>
    <row r="15" spans="2:14">
      <c r="B15">
        <v>7</v>
      </c>
      <c r="D15">
        <v>2</v>
      </c>
      <c r="E15">
        <v>1</v>
      </c>
      <c r="F15">
        <v>52</v>
      </c>
      <c r="G15">
        <v>3</v>
      </c>
      <c r="H15">
        <v>11</v>
      </c>
      <c r="I15">
        <v>13</v>
      </c>
      <c r="J15">
        <v>1</v>
      </c>
      <c r="K15">
        <v>8</v>
      </c>
      <c r="L15">
        <v>11</v>
      </c>
      <c r="M15">
        <v>1</v>
      </c>
      <c r="N15">
        <v>7</v>
      </c>
    </row>
    <row r="16" spans="2:14">
      <c r="D16">
        <v>2</v>
      </c>
      <c r="E16">
        <v>1</v>
      </c>
      <c r="F16">
        <v>25</v>
      </c>
      <c r="G16">
        <v>2</v>
      </c>
      <c r="H16">
        <v>4</v>
      </c>
      <c r="I16">
        <v>49</v>
      </c>
      <c r="J16">
        <v>14</v>
      </c>
      <c r="K16">
        <v>9</v>
      </c>
      <c r="L16">
        <v>21</v>
      </c>
      <c r="N16">
        <v>12</v>
      </c>
    </row>
    <row r="17" spans="4:14">
      <c r="D17">
        <v>1</v>
      </c>
      <c r="E17">
        <v>1</v>
      </c>
      <c r="F17">
        <v>22</v>
      </c>
      <c r="G17">
        <v>3</v>
      </c>
      <c r="H17">
        <v>6</v>
      </c>
      <c r="I17">
        <v>41</v>
      </c>
      <c r="J17">
        <v>5</v>
      </c>
      <c r="K17">
        <v>15</v>
      </c>
      <c r="L17">
        <v>13</v>
      </c>
      <c r="N17">
        <v>9</v>
      </c>
    </row>
    <row r="18" spans="4:14">
      <c r="D18">
        <v>1</v>
      </c>
      <c r="E18">
        <v>1</v>
      </c>
      <c r="F18">
        <v>12</v>
      </c>
      <c r="G18">
        <v>3</v>
      </c>
      <c r="H18">
        <v>3</v>
      </c>
      <c r="I18">
        <v>24</v>
      </c>
      <c r="J18">
        <v>3</v>
      </c>
      <c r="K18">
        <v>16</v>
      </c>
      <c r="N18">
        <v>21</v>
      </c>
    </row>
    <row r="19" spans="4:14">
      <c r="D19">
        <v>1</v>
      </c>
      <c r="E19">
        <v>2</v>
      </c>
      <c r="F19">
        <v>4</v>
      </c>
      <c r="G19">
        <v>22</v>
      </c>
      <c r="H19">
        <v>4</v>
      </c>
      <c r="I19">
        <v>17</v>
      </c>
      <c r="J19">
        <v>2</v>
      </c>
      <c r="K19">
        <v>11</v>
      </c>
      <c r="N19">
        <v>18</v>
      </c>
    </row>
    <row r="20" spans="4:14">
      <c r="D20">
        <v>1</v>
      </c>
      <c r="E20">
        <v>2</v>
      </c>
      <c r="G20">
        <v>5</v>
      </c>
      <c r="H20">
        <v>11</v>
      </c>
      <c r="K20">
        <v>2</v>
      </c>
      <c r="N20">
        <v>1</v>
      </c>
    </row>
    <row r="21" spans="4:14">
      <c r="D21">
        <v>5</v>
      </c>
      <c r="E21">
        <v>2</v>
      </c>
      <c r="H21">
        <v>5</v>
      </c>
      <c r="K21">
        <v>12</v>
      </c>
      <c r="N21">
        <v>43</v>
      </c>
    </row>
    <row r="22" spans="4:14">
      <c r="D22">
        <v>1</v>
      </c>
      <c r="E22">
        <v>1</v>
      </c>
      <c r="H22">
        <v>8</v>
      </c>
      <c r="K22">
        <v>2</v>
      </c>
      <c r="N22">
        <v>11</v>
      </c>
    </row>
    <row r="23" spans="4:14">
      <c r="D23">
        <v>2</v>
      </c>
      <c r="E23">
        <v>1</v>
      </c>
      <c r="H23">
        <v>4</v>
      </c>
      <c r="K23">
        <v>34</v>
      </c>
      <c r="N23">
        <v>9</v>
      </c>
    </row>
    <row r="24" spans="4:14">
      <c r="D24">
        <v>2</v>
      </c>
      <c r="E24">
        <v>3</v>
      </c>
      <c r="H24">
        <v>8</v>
      </c>
      <c r="K24">
        <v>13</v>
      </c>
      <c r="N24">
        <v>15</v>
      </c>
    </row>
    <row r="25" spans="4:14">
      <c r="D25">
        <v>1</v>
      </c>
      <c r="E25">
        <v>3</v>
      </c>
      <c r="H25">
        <v>9</v>
      </c>
      <c r="K25">
        <v>2</v>
      </c>
      <c r="N25">
        <v>5</v>
      </c>
    </row>
    <row r="26" spans="4:14">
      <c r="D26">
        <v>1</v>
      </c>
      <c r="H26">
        <v>11</v>
      </c>
      <c r="K26">
        <v>3</v>
      </c>
      <c r="N26">
        <v>14</v>
      </c>
    </row>
    <row r="27" spans="4:14">
      <c r="D27">
        <v>6</v>
      </c>
      <c r="H27">
        <v>3</v>
      </c>
      <c r="K27">
        <v>1</v>
      </c>
      <c r="N27">
        <v>6</v>
      </c>
    </row>
    <row r="28" spans="4:14">
      <c r="D28">
        <v>3</v>
      </c>
      <c r="H28">
        <v>8</v>
      </c>
      <c r="K28">
        <v>5</v>
      </c>
      <c r="N28">
        <v>5</v>
      </c>
    </row>
    <row r="29" spans="4:14">
      <c r="D29">
        <v>3</v>
      </c>
      <c r="H29">
        <v>5</v>
      </c>
      <c r="K29">
        <v>4</v>
      </c>
      <c r="N29">
        <v>8</v>
      </c>
    </row>
    <row r="30" spans="4:14">
      <c r="H30">
        <v>4</v>
      </c>
      <c r="K30">
        <v>4</v>
      </c>
      <c r="N30">
        <v>1</v>
      </c>
    </row>
    <row r="31" spans="4:14">
      <c r="H31">
        <v>2</v>
      </c>
      <c r="K31">
        <v>3</v>
      </c>
      <c r="N31">
        <v>7</v>
      </c>
    </row>
    <row r="32" spans="4:14">
      <c r="H32">
        <v>2</v>
      </c>
      <c r="K32">
        <v>5</v>
      </c>
      <c r="N32">
        <v>2</v>
      </c>
    </row>
    <row r="33" spans="2:19">
      <c r="H33">
        <v>4</v>
      </c>
      <c r="K33">
        <v>5</v>
      </c>
      <c r="N33">
        <v>3</v>
      </c>
    </row>
    <row r="34" spans="2:19">
      <c r="H34">
        <v>5</v>
      </c>
      <c r="K34">
        <v>3</v>
      </c>
      <c r="N34">
        <v>2</v>
      </c>
    </row>
    <row r="35" spans="2:19">
      <c r="D35">
        <v>5</v>
      </c>
      <c r="H35">
        <v>4</v>
      </c>
      <c r="K35">
        <v>4</v>
      </c>
      <c r="N35">
        <v>5</v>
      </c>
    </row>
    <row r="36" spans="2:19">
      <c r="H36">
        <v>3</v>
      </c>
      <c r="K36">
        <v>3</v>
      </c>
      <c r="N36">
        <v>1</v>
      </c>
    </row>
    <row r="37" spans="2:19">
      <c r="H37">
        <v>1</v>
      </c>
      <c r="K37">
        <v>9</v>
      </c>
      <c r="N37">
        <v>3</v>
      </c>
    </row>
    <row r="38" spans="2:19">
      <c r="H38">
        <v>1</v>
      </c>
      <c r="K38">
        <v>3</v>
      </c>
      <c r="N38">
        <v>1</v>
      </c>
    </row>
    <row r="39" spans="2:19">
      <c r="H39">
        <v>1</v>
      </c>
      <c r="K39">
        <v>1</v>
      </c>
    </row>
    <row r="40" spans="2:19">
      <c r="H40">
        <v>3</v>
      </c>
      <c r="K40">
        <v>1</v>
      </c>
    </row>
    <row r="41" spans="2:19">
      <c r="H41">
        <v>2</v>
      </c>
      <c r="K41">
        <v>3</v>
      </c>
    </row>
    <row r="42" spans="2:19">
      <c r="H42">
        <v>1</v>
      </c>
    </row>
    <row r="43" spans="2:19">
      <c r="D43" t="s">
        <v>138</v>
      </c>
    </row>
    <row r="44" spans="2:19">
      <c r="B44">
        <f t="shared" ref="B44:I44" si="0">SUM(B3:B43)</f>
        <v>1360</v>
      </c>
      <c r="C44">
        <f t="shared" si="0"/>
        <v>109</v>
      </c>
      <c r="D44">
        <f t="shared" si="0"/>
        <v>199</v>
      </c>
      <c r="E44">
        <f t="shared" si="0"/>
        <v>67</v>
      </c>
      <c r="F44">
        <f t="shared" si="0"/>
        <v>1282</v>
      </c>
      <c r="G44">
        <f t="shared" si="0"/>
        <v>145</v>
      </c>
      <c r="H44">
        <f t="shared" si="0"/>
        <v>229</v>
      </c>
      <c r="I44">
        <f t="shared" si="0"/>
        <v>1466</v>
      </c>
      <c r="J44">
        <f t="shared" ref="J44:S44" si="1">SUM(J3:J43)</f>
        <v>176</v>
      </c>
      <c r="K44">
        <f t="shared" si="1"/>
        <v>251</v>
      </c>
      <c r="L44">
        <f t="shared" si="1"/>
        <v>1503</v>
      </c>
      <c r="M44">
        <f t="shared" si="1"/>
        <v>125</v>
      </c>
      <c r="N44">
        <f t="shared" si="1"/>
        <v>230</v>
      </c>
      <c r="O44">
        <f t="shared" si="1"/>
        <v>0</v>
      </c>
      <c r="P44">
        <f t="shared" si="1"/>
        <v>0</v>
      </c>
      <c r="Q44">
        <f t="shared" si="1"/>
        <v>0</v>
      </c>
      <c r="R44">
        <f t="shared" si="1"/>
        <v>0</v>
      </c>
      <c r="S44">
        <f t="shared" si="1"/>
        <v>0</v>
      </c>
    </row>
    <row r="46" spans="2:19">
      <c r="N46">
        <f>+L44+M44+N44</f>
        <v>1858</v>
      </c>
    </row>
    <row r="48" spans="2:19">
      <c r="C48">
        <v>294</v>
      </c>
      <c r="D48">
        <v>25</v>
      </c>
      <c r="J48">
        <f>SUM(C48:I48)</f>
        <v>319</v>
      </c>
      <c r="K48">
        <v>319</v>
      </c>
      <c r="L48">
        <f>+J48-K48</f>
        <v>0</v>
      </c>
    </row>
    <row r="49" spans="3:14">
      <c r="C49">
        <f>+J48</f>
        <v>319</v>
      </c>
      <c r="F49">
        <v>-26</v>
      </c>
      <c r="J49">
        <f t="shared" ref="J49:J59" si="2">SUM(C49:I49)</f>
        <v>293</v>
      </c>
      <c r="K49">
        <v>293</v>
      </c>
      <c r="L49">
        <f t="shared" ref="L49:L59" si="3">+J49-K49</f>
        <v>0</v>
      </c>
    </row>
    <row r="50" spans="3:14">
      <c r="C50">
        <f t="shared" ref="C50:C59" si="4">+J49</f>
        <v>293</v>
      </c>
      <c r="D50">
        <v>28</v>
      </c>
      <c r="F50">
        <v>0</v>
      </c>
      <c r="J50">
        <f t="shared" si="2"/>
        <v>321</v>
      </c>
      <c r="K50">
        <v>321</v>
      </c>
      <c r="L50">
        <f t="shared" si="3"/>
        <v>0</v>
      </c>
    </row>
    <row r="51" spans="3:14">
      <c r="C51">
        <f t="shared" si="4"/>
        <v>321</v>
      </c>
      <c r="E51">
        <v>0</v>
      </c>
      <c r="F51">
        <v>-2</v>
      </c>
      <c r="J51">
        <f t="shared" si="2"/>
        <v>319</v>
      </c>
      <c r="K51">
        <v>319</v>
      </c>
      <c r="L51">
        <f t="shared" si="3"/>
        <v>0</v>
      </c>
    </row>
    <row r="52" spans="3:14">
      <c r="C52">
        <f t="shared" si="4"/>
        <v>319</v>
      </c>
      <c r="E52">
        <v>-2</v>
      </c>
      <c r="F52">
        <v>-26</v>
      </c>
      <c r="J52">
        <f t="shared" si="2"/>
        <v>291</v>
      </c>
      <c r="L52">
        <f t="shared" si="3"/>
        <v>291</v>
      </c>
    </row>
    <row r="53" spans="3:14">
      <c r="C53">
        <f t="shared" si="4"/>
        <v>291</v>
      </c>
      <c r="D53">
        <v>27</v>
      </c>
      <c r="J53">
        <f t="shared" si="2"/>
        <v>318</v>
      </c>
      <c r="L53">
        <f t="shared" si="3"/>
        <v>318</v>
      </c>
      <c r="N53">
        <f>93+1161</f>
        <v>1254</v>
      </c>
    </row>
    <row r="54" spans="3:14">
      <c r="C54">
        <f t="shared" si="4"/>
        <v>318</v>
      </c>
      <c r="F54">
        <v>-23</v>
      </c>
      <c r="J54">
        <f t="shared" si="2"/>
        <v>295</v>
      </c>
      <c r="L54">
        <f t="shared" si="3"/>
        <v>295</v>
      </c>
    </row>
    <row r="55" spans="3:14">
      <c r="C55">
        <f t="shared" si="4"/>
        <v>295</v>
      </c>
      <c r="D55">
        <v>30</v>
      </c>
      <c r="J55">
        <f t="shared" si="2"/>
        <v>325</v>
      </c>
      <c r="L55">
        <f t="shared" si="3"/>
        <v>325</v>
      </c>
    </row>
    <row r="56" spans="3:14">
      <c r="C56">
        <f t="shared" si="4"/>
        <v>325</v>
      </c>
      <c r="E56">
        <v>0</v>
      </c>
      <c r="F56">
        <v>-1</v>
      </c>
      <c r="J56">
        <f t="shared" si="2"/>
        <v>324</v>
      </c>
      <c r="L56">
        <f t="shared" si="3"/>
        <v>324</v>
      </c>
    </row>
    <row r="57" spans="3:14">
      <c r="C57">
        <f t="shared" si="4"/>
        <v>324</v>
      </c>
      <c r="E57">
        <v>-1</v>
      </c>
      <c r="F57">
        <v>0</v>
      </c>
      <c r="J57">
        <f t="shared" si="2"/>
        <v>323</v>
      </c>
      <c r="L57">
        <f t="shared" si="3"/>
        <v>323</v>
      </c>
    </row>
    <row r="58" spans="3:14">
      <c r="C58">
        <f t="shared" si="4"/>
        <v>323</v>
      </c>
      <c r="E58">
        <v>-1</v>
      </c>
      <c r="F58">
        <v>-27</v>
      </c>
      <c r="J58">
        <f t="shared" si="2"/>
        <v>295</v>
      </c>
      <c r="L58">
        <f t="shared" si="3"/>
        <v>295</v>
      </c>
    </row>
    <row r="59" spans="3:14">
      <c r="C59">
        <f t="shared" si="4"/>
        <v>295</v>
      </c>
      <c r="E59">
        <v>-1</v>
      </c>
      <c r="J59">
        <f t="shared" si="2"/>
        <v>294</v>
      </c>
      <c r="L59">
        <f t="shared" si="3"/>
        <v>294</v>
      </c>
    </row>
    <row r="64" spans="3:14">
      <c r="C64">
        <v>273</v>
      </c>
      <c r="E64">
        <v>-1</v>
      </c>
      <c r="F64">
        <v>-25</v>
      </c>
      <c r="J64">
        <f>SUM(C64:I64)</f>
        <v>247</v>
      </c>
    </row>
    <row r="65" spans="3:10">
      <c r="C65">
        <f>+J64</f>
        <v>247</v>
      </c>
      <c r="D65">
        <v>54</v>
      </c>
      <c r="E65" t="s">
        <v>2211</v>
      </c>
      <c r="J65">
        <f t="shared" ref="J65:J87" si="5">SUM(C65:I65)</f>
        <v>301</v>
      </c>
    </row>
    <row r="66" spans="3:10">
      <c r="C66">
        <f t="shared" ref="C66:C86" si="6">+J65</f>
        <v>301</v>
      </c>
      <c r="E66" t="str">
        <f>+E65</f>
        <v>*</v>
      </c>
      <c r="F66">
        <v>-28</v>
      </c>
      <c r="J66">
        <f t="shared" si="5"/>
        <v>273</v>
      </c>
    </row>
    <row r="67" spans="3:10">
      <c r="C67">
        <f t="shared" si="6"/>
        <v>273</v>
      </c>
      <c r="F67">
        <v>-6</v>
      </c>
      <c r="J67">
        <f t="shared" si="5"/>
        <v>267</v>
      </c>
    </row>
    <row r="68" spans="3:10">
      <c r="C68">
        <f t="shared" si="6"/>
        <v>267</v>
      </c>
      <c r="F68">
        <v>-18</v>
      </c>
      <c r="J68">
        <f t="shared" si="5"/>
        <v>249</v>
      </c>
    </row>
    <row r="69" spans="3:10">
      <c r="C69">
        <f t="shared" si="6"/>
        <v>249</v>
      </c>
      <c r="F69">
        <v>-5</v>
      </c>
      <c r="J69">
        <f t="shared" si="5"/>
        <v>244</v>
      </c>
    </row>
    <row r="70" spans="3:10">
      <c r="C70">
        <f t="shared" si="6"/>
        <v>244</v>
      </c>
      <c r="D70">
        <v>2</v>
      </c>
      <c r="E70">
        <v>0</v>
      </c>
      <c r="J70">
        <f t="shared" si="5"/>
        <v>246</v>
      </c>
    </row>
    <row r="71" spans="3:10">
      <c r="C71">
        <f t="shared" si="6"/>
        <v>246</v>
      </c>
      <c r="D71">
        <v>54</v>
      </c>
      <c r="F71">
        <v>-6</v>
      </c>
      <c r="J71">
        <f t="shared" si="5"/>
        <v>294</v>
      </c>
    </row>
    <row r="72" spans="3:10">
      <c r="C72">
        <f t="shared" si="6"/>
        <v>294</v>
      </c>
      <c r="F72">
        <v>-18</v>
      </c>
      <c r="J72">
        <f t="shared" si="5"/>
        <v>276</v>
      </c>
    </row>
    <row r="73" spans="3:10">
      <c r="C73">
        <f t="shared" si="6"/>
        <v>276</v>
      </c>
      <c r="F73">
        <v>-27</v>
      </c>
      <c r="J73">
        <f t="shared" si="5"/>
        <v>249</v>
      </c>
    </row>
    <row r="74" spans="3:10">
      <c r="C74">
        <f t="shared" si="6"/>
        <v>249</v>
      </c>
      <c r="D74">
        <v>53</v>
      </c>
      <c r="E74">
        <v>-1</v>
      </c>
      <c r="J74">
        <f t="shared" si="5"/>
        <v>301</v>
      </c>
    </row>
    <row r="75" spans="3:10">
      <c r="C75">
        <f t="shared" si="6"/>
        <v>301</v>
      </c>
      <c r="F75">
        <v>-18</v>
      </c>
      <c r="J75">
        <f t="shared" si="5"/>
        <v>283</v>
      </c>
    </row>
    <row r="76" spans="3:10">
      <c r="C76">
        <f t="shared" si="6"/>
        <v>283</v>
      </c>
      <c r="F76">
        <v>-5</v>
      </c>
      <c r="J76">
        <f t="shared" si="5"/>
        <v>278</v>
      </c>
    </row>
    <row r="77" spans="3:10">
      <c r="C77">
        <f t="shared" si="6"/>
        <v>278</v>
      </c>
      <c r="F77">
        <v>-6</v>
      </c>
      <c r="J77">
        <f t="shared" si="5"/>
        <v>272</v>
      </c>
    </row>
    <row r="78" spans="3:10">
      <c r="C78">
        <f t="shared" si="6"/>
        <v>272</v>
      </c>
      <c r="F78">
        <v>-30</v>
      </c>
      <c r="J78">
        <f t="shared" si="5"/>
        <v>242</v>
      </c>
    </row>
    <row r="79" spans="3:10">
      <c r="C79">
        <f t="shared" si="6"/>
        <v>242</v>
      </c>
      <c r="D79">
        <v>1</v>
      </c>
      <c r="J79">
        <f t="shared" si="5"/>
        <v>243</v>
      </c>
    </row>
    <row r="80" spans="3:10">
      <c r="C80">
        <f t="shared" si="6"/>
        <v>243</v>
      </c>
      <c r="D80">
        <v>53</v>
      </c>
      <c r="J80">
        <f t="shared" si="5"/>
        <v>296</v>
      </c>
    </row>
    <row r="81" spans="3:10">
      <c r="C81">
        <f t="shared" si="6"/>
        <v>296</v>
      </c>
      <c r="E81">
        <v>-1</v>
      </c>
      <c r="F81">
        <v>-5</v>
      </c>
      <c r="J81">
        <f t="shared" si="5"/>
        <v>290</v>
      </c>
    </row>
    <row r="82" spans="3:10">
      <c r="C82">
        <f t="shared" si="6"/>
        <v>290</v>
      </c>
      <c r="F82">
        <v>-18</v>
      </c>
      <c r="J82">
        <f t="shared" si="5"/>
        <v>272</v>
      </c>
    </row>
    <row r="83" spans="3:10">
      <c r="C83">
        <f t="shared" si="6"/>
        <v>272</v>
      </c>
      <c r="J83">
        <f t="shared" si="5"/>
        <v>272</v>
      </c>
    </row>
    <row r="84" spans="3:10">
      <c r="C84">
        <f t="shared" si="6"/>
        <v>272</v>
      </c>
      <c r="J84">
        <f t="shared" si="5"/>
        <v>272</v>
      </c>
    </row>
    <row r="85" spans="3:10">
      <c r="C85">
        <f t="shared" si="6"/>
        <v>272</v>
      </c>
      <c r="J85">
        <f t="shared" si="5"/>
        <v>272</v>
      </c>
    </row>
    <row r="86" spans="3:10">
      <c r="C86">
        <f t="shared" si="6"/>
        <v>272</v>
      </c>
      <c r="J86">
        <f t="shared" si="5"/>
        <v>272</v>
      </c>
    </row>
    <row r="87" spans="3:10">
      <c r="J87">
        <f t="shared" si="5"/>
        <v>0</v>
      </c>
    </row>
    <row r="88" spans="3:10">
      <c r="D88">
        <f>SUM(D64:D87)</f>
        <v>217</v>
      </c>
      <c r="E88">
        <f>SUM(E64:E87)</f>
        <v>-3</v>
      </c>
      <c r="F88">
        <f>SUM(F64:F87)</f>
        <v>-215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93"/>
  <dimension ref="A1"/>
  <sheetViews>
    <sheetView workbookViewId="0">
      <selection activeCell="B15" sqref="B15"/>
    </sheetView>
  </sheetViews>
  <sheetFormatPr defaultRowHeight="13.15"/>
  <sheetData/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94"/>
  <dimension ref="A1"/>
  <sheetViews>
    <sheetView workbookViewId="0"/>
  </sheetViews>
  <sheetFormatPr defaultRowHeight="13.15"/>
  <sheetData/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95"/>
  <dimension ref="A1"/>
  <sheetViews>
    <sheetView workbookViewId="0"/>
  </sheetViews>
  <sheetFormatPr defaultRowHeight="13.15"/>
  <sheetData/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96"/>
  <dimension ref="A1"/>
  <sheetViews>
    <sheetView workbookViewId="0"/>
  </sheetViews>
  <sheetFormatPr defaultRowHeight="13.15"/>
  <sheetData/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97"/>
  <dimension ref="C22:O71"/>
  <sheetViews>
    <sheetView topLeftCell="A57" workbookViewId="0"/>
  </sheetViews>
  <sheetFormatPr defaultRowHeight="13.15"/>
  <sheetData>
    <row r="22" spans="3:15">
      <c r="C22" t="s">
        <v>2389</v>
      </c>
      <c r="E22" t="s">
        <v>2390</v>
      </c>
      <c r="F22" t="s">
        <v>2391</v>
      </c>
      <c r="G22" t="s">
        <v>2392</v>
      </c>
      <c r="H22" t="s">
        <v>2393</v>
      </c>
      <c r="I22" t="s">
        <v>2394</v>
      </c>
    </row>
    <row r="23" spans="3:15">
      <c r="C23">
        <v>945</v>
      </c>
      <c r="G23">
        <v>-1</v>
      </c>
      <c r="O23">
        <f>SUM(C23:N23)</f>
        <v>944</v>
      </c>
    </row>
    <row r="24" spans="3:15">
      <c r="C24">
        <f>+O23</f>
        <v>944</v>
      </c>
      <c r="G24">
        <v>-2</v>
      </c>
      <c r="O24">
        <f t="shared" ref="O24:O69" si="0">SUM(C24:N24)</f>
        <v>942</v>
      </c>
    </row>
    <row r="25" spans="3:15">
      <c r="C25">
        <f t="shared" ref="C25:C67" si="1">+O24</f>
        <v>942</v>
      </c>
      <c r="G25">
        <v>-3</v>
      </c>
      <c r="O25">
        <f t="shared" si="0"/>
        <v>939</v>
      </c>
    </row>
    <row r="26" spans="3:15">
      <c r="C26">
        <f t="shared" si="1"/>
        <v>939</v>
      </c>
      <c r="H26">
        <v>-54</v>
      </c>
      <c r="I26">
        <v>-2</v>
      </c>
      <c r="O26">
        <f t="shared" si="0"/>
        <v>883</v>
      </c>
    </row>
    <row r="27" spans="3:15">
      <c r="C27">
        <f t="shared" si="1"/>
        <v>883</v>
      </c>
      <c r="I27">
        <v>-75</v>
      </c>
      <c r="O27">
        <f t="shared" si="0"/>
        <v>808</v>
      </c>
    </row>
    <row r="28" spans="3:15">
      <c r="C28">
        <f t="shared" si="1"/>
        <v>808</v>
      </c>
      <c r="G28">
        <v>-3</v>
      </c>
      <c r="H28">
        <v>-804</v>
      </c>
      <c r="I28">
        <v>-1</v>
      </c>
      <c r="O28">
        <f t="shared" si="0"/>
        <v>0</v>
      </c>
    </row>
    <row r="29" spans="3:15">
      <c r="C29">
        <f t="shared" si="1"/>
        <v>0</v>
      </c>
      <c r="D29">
        <v>14</v>
      </c>
      <c r="O29">
        <f t="shared" si="0"/>
        <v>14</v>
      </c>
    </row>
    <row r="30" spans="3:15">
      <c r="C30">
        <f t="shared" si="1"/>
        <v>14</v>
      </c>
      <c r="D30">
        <v>22</v>
      </c>
      <c r="O30">
        <f t="shared" si="0"/>
        <v>36</v>
      </c>
    </row>
    <row r="31" spans="3:15">
      <c r="C31">
        <f t="shared" si="1"/>
        <v>36</v>
      </c>
      <c r="D31">
        <v>53</v>
      </c>
      <c r="O31">
        <f t="shared" si="0"/>
        <v>89</v>
      </c>
    </row>
    <row r="32" spans="3:15">
      <c r="C32">
        <f t="shared" si="1"/>
        <v>89</v>
      </c>
      <c r="E32">
        <v>41</v>
      </c>
      <c r="F32">
        <v>-2</v>
      </c>
      <c r="G32">
        <v>-2</v>
      </c>
      <c r="O32">
        <f t="shared" si="0"/>
        <v>126</v>
      </c>
    </row>
    <row r="33" spans="3:15">
      <c r="C33">
        <f t="shared" si="1"/>
        <v>126</v>
      </c>
      <c r="E33">
        <v>65</v>
      </c>
      <c r="F33">
        <v>-4</v>
      </c>
      <c r="O33">
        <f t="shared" si="0"/>
        <v>187</v>
      </c>
    </row>
    <row r="34" spans="3:15">
      <c r="C34">
        <f t="shared" si="1"/>
        <v>187</v>
      </c>
      <c r="E34">
        <v>121</v>
      </c>
      <c r="F34">
        <v>-11</v>
      </c>
      <c r="O34">
        <f t="shared" si="0"/>
        <v>297</v>
      </c>
    </row>
    <row r="35" spans="3:15">
      <c r="C35">
        <f t="shared" si="1"/>
        <v>297</v>
      </c>
      <c r="E35">
        <v>173</v>
      </c>
      <c r="F35">
        <v>-10</v>
      </c>
      <c r="G35">
        <v>-3</v>
      </c>
      <c r="O35">
        <f t="shared" si="0"/>
        <v>457</v>
      </c>
    </row>
    <row r="36" spans="3:15">
      <c r="C36">
        <f t="shared" si="1"/>
        <v>457</v>
      </c>
      <c r="E36">
        <v>128</v>
      </c>
      <c r="F36">
        <v>-7</v>
      </c>
      <c r="G36">
        <v>-6</v>
      </c>
      <c r="O36">
        <f t="shared" si="0"/>
        <v>572</v>
      </c>
    </row>
    <row r="37" spans="3:15">
      <c r="C37">
        <f t="shared" si="1"/>
        <v>572</v>
      </c>
      <c r="E37">
        <v>121</v>
      </c>
      <c r="F37">
        <v>-6</v>
      </c>
      <c r="G37">
        <v>-3</v>
      </c>
      <c r="O37">
        <f t="shared" si="0"/>
        <v>684</v>
      </c>
    </row>
    <row r="38" spans="3:15">
      <c r="C38">
        <f t="shared" si="1"/>
        <v>684</v>
      </c>
      <c r="E38">
        <v>92</v>
      </c>
      <c r="F38">
        <f>-8</f>
        <v>-8</v>
      </c>
      <c r="G38">
        <v>-1</v>
      </c>
      <c r="O38">
        <f t="shared" si="0"/>
        <v>767</v>
      </c>
    </row>
    <row r="39" spans="3:15">
      <c r="C39">
        <f t="shared" si="1"/>
        <v>767</v>
      </c>
      <c r="E39">
        <v>148</v>
      </c>
      <c r="F39">
        <v>-6</v>
      </c>
      <c r="G39">
        <v>-5</v>
      </c>
      <c r="O39">
        <f t="shared" si="0"/>
        <v>904</v>
      </c>
    </row>
    <row r="40" spans="3:15">
      <c r="C40">
        <f t="shared" si="1"/>
        <v>904</v>
      </c>
      <c r="E40">
        <v>21</v>
      </c>
      <c r="F40">
        <v>-1</v>
      </c>
      <c r="G40">
        <v>-2</v>
      </c>
      <c r="I40">
        <v>-3</v>
      </c>
      <c r="O40">
        <f t="shared" si="0"/>
        <v>919</v>
      </c>
    </row>
    <row r="41" spans="3:15">
      <c r="C41">
        <f t="shared" si="1"/>
        <v>919</v>
      </c>
      <c r="E41">
        <v>106</v>
      </c>
      <c r="F41">
        <v>-6</v>
      </c>
      <c r="G41">
        <v>-11</v>
      </c>
      <c r="O41">
        <f t="shared" si="0"/>
        <v>1008</v>
      </c>
    </row>
    <row r="42" spans="3:15">
      <c r="C42">
        <f t="shared" si="1"/>
        <v>1008</v>
      </c>
      <c r="D42">
        <v>3</v>
      </c>
      <c r="O42">
        <f t="shared" si="0"/>
        <v>1011</v>
      </c>
    </row>
    <row r="43" spans="3:15">
      <c r="C43">
        <f t="shared" si="1"/>
        <v>1011</v>
      </c>
      <c r="D43">
        <v>1</v>
      </c>
      <c r="E43">
        <v>48</v>
      </c>
      <c r="F43">
        <v>-6</v>
      </c>
      <c r="G43">
        <v>-3</v>
      </c>
      <c r="O43">
        <f t="shared" si="0"/>
        <v>1051</v>
      </c>
    </row>
    <row r="44" spans="3:15">
      <c r="C44">
        <f t="shared" si="1"/>
        <v>1051</v>
      </c>
      <c r="E44">
        <v>29</v>
      </c>
      <c r="G44">
        <v>-8</v>
      </c>
      <c r="O44">
        <f t="shared" si="0"/>
        <v>1072</v>
      </c>
    </row>
    <row r="45" spans="3:15">
      <c r="C45">
        <f t="shared" si="1"/>
        <v>1072</v>
      </c>
      <c r="E45">
        <v>24</v>
      </c>
      <c r="O45">
        <f t="shared" si="0"/>
        <v>1096</v>
      </c>
    </row>
    <row r="46" spans="3:15">
      <c r="C46">
        <f t="shared" si="1"/>
        <v>1096</v>
      </c>
      <c r="G46">
        <v>-3</v>
      </c>
      <c r="O46">
        <f t="shared" si="0"/>
        <v>1093</v>
      </c>
    </row>
    <row r="47" spans="3:15">
      <c r="C47">
        <f t="shared" si="1"/>
        <v>1093</v>
      </c>
      <c r="G47">
        <v>-1</v>
      </c>
      <c r="I47">
        <v>-1</v>
      </c>
      <c r="O47">
        <f t="shared" si="0"/>
        <v>1091</v>
      </c>
    </row>
    <row r="48" spans="3:15">
      <c r="C48">
        <f t="shared" si="1"/>
        <v>1091</v>
      </c>
      <c r="G48">
        <v>-2</v>
      </c>
      <c r="O48">
        <f t="shared" si="0"/>
        <v>1089</v>
      </c>
    </row>
    <row r="49" spans="3:15">
      <c r="C49">
        <f t="shared" si="1"/>
        <v>1089</v>
      </c>
      <c r="D49">
        <v>1</v>
      </c>
      <c r="I49">
        <v>-1</v>
      </c>
      <c r="O49">
        <f t="shared" si="0"/>
        <v>1089</v>
      </c>
    </row>
    <row r="50" spans="3:15">
      <c r="C50">
        <f t="shared" si="1"/>
        <v>1089</v>
      </c>
      <c r="G50">
        <v>-1</v>
      </c>
      <c r="O50">
        <f t="shared" si="0"/>
        <v>1088</v>
      </c>
    </row>
    <row r="51" spans="3:15">
      <c r="C51">
        <f t="shared" si="1"/>
        <v>1088</v>
      </c>
      <c r="G51">
        <v>-2</v>
      </c>
      <c r="O51">
        <f t="shared" si="0"/>
        <v>1086</v>
      </c>
    </row>
    <row r="52" spans="3:15">
      <c r="C52">
        <f t="shared" si="1"/>
        <v>1086</v>
      </c>
      <c r="G52">
        <v>-4</v>
      </c>
      <c r="O52">
        <f t="shared" si="0"/>
        <v>1082</v>
      </c>
    </row>
    <row r="53" spans="3:15">
      <c r="C53">
        <f t="shared" si="1"/>
        <v>1082</v>
      </c>
      <c r="I53">
        <v>-4</v>
      </c>
      <c r="O53">
        <f t="shared" si="0"/>
        <v>1078</v>
      </c>
    </row>
    <row r="54" spans="3:15">
      <c r="C54">
        <f t="shared" si="1"/>
        <v>1078</v>
      </c>
      <c r="G54">
        <v>-3</v>
      </c>
      <c r="O54">
        <f t="shared" si="0"/>
        <v>1075</v>
      </c>
    </row>
    <row r="55" spans="3:15">
      <c r="C55">
        <f t="shared" si="1"/>
        <v>1075</v>
      </c>
      <c r="G55">
        <v>-2</v>
      </c>
      <c r="O55">
        <f t="shared" si="0"/>
        <v>1073</v>
      </c>
    </row>
    <row r="56" spans="3:15">
      <c r="C56">
        <f t="shared" si="1"/>
        <v>1073</v>
      </c>
      <c r="G56">
        <v>-2</v>
      </c>
      <c r="O56">
        <f t="shared" si="0"/>
        <v>1071</v>
      </c>
    </row>
    <row r="57" spans="3:15">
      <c r="C57">
        <f t="shared" si="1"/>
        <v>1071</v>
      </c>
      <c r="I57">
        <v>-1</v>
      </c>
      <c r="O57">
        <f t="shared" si="0"/>
        <v>1070</v>
      </c>
    </row>
    <row r="58" spans="3:15">
      <c r="C58">
        <f t="shared" si="1"/>
        <v>1070</v>
      </c>
      <c r="G58">
        <v>-2</v>
      </c>
      <c r="O58">
        <f t="shared" si="0"/>
        <v>1068</v>
      </c>
    </row>
    <row r="59" spans="3:15">
      <c r="C59">
        <f t="shared" si="1"/>
        <v>1068</v>
      </c>
      <c r="G59">
        <v>-1</v>
      </c>
      <c r="O59">
        <f t="shared" si="0"/>
        <v>1067</v>
      </c>
    </row>
    <row r="60" spans="3:15">
      <c r="C60">
        <f t="shared" si="1"/>
        <v>1067</v>
      </c>
      <c r="G60">
        <v>-1</v>
      </c>
      <c r="O60">
        <f t="shared" si="0"/>
        <v>1066</v>
      </c>
    </row>
    <row r="61" spans="3:15">
      <c r="C61">
        <f t="shared" si="1"/>
        <v>1066</v>
      </c>
      <c r="G61">
        <v>-1</v>
      </c>
      <c r="I61">
        <v>-1</v>
      </c>
      <c r="O61">
        <f t="shared" si="0"/>
        <v>1064</v>
      </c>
    </row>
    <row r="62" spans="3:15">
      <c r="C62">
        <f t="shared" si="1"/>
        <v>1064</v>
      </c>
      <c r="G62">
        <v>-1</v>
      </c>
      <c r="O62">
        <f t="shared" si="0"/>
        <v>1063</v>
      </c>
    </row>
    <row r="63" spans="3:15">
      <c r="C63">
        <f t="shared" si="1"/>
        <v>1063</v>
      </c>
      <c r="G63">
        <v>-1</v>
      </c>
      <c r="O63">
        <f t="shared" si="0"/>
        <v>1062</v>
      </c>
    </row>
    <row r="64" spans="3:15">
      <c r="C64">
        <f t="shared" si="1"/>
        <v>1062</v>
      </c>
      <c r="G64">
        <v>-4</v>
      </c>
      <c r="I64">
        <v>-1</v>
      </c>
      <c r="O64">
        <f t="shared" si="0"/>
        <v>1057</v>
      </c>
    </row>
    <row r="65" spans="3:15">
      <c r="C65">
        <f t="shared" si="1"/>
        <v>1057</v>
      </c>
      <c r="E65">
        <v>3</v>
      </c>
      <c r="O65">
        <f t="shared" si="0"/>
        <v>1060</v>
      </c>
    </row>
    <row r="66" spans="3:15">
      <c r="C66">
        <f t="shared" si="1"/>
        <v>1060</v>
      </c>
      <c r="O66">
        <f t="shared" si="0"/>
        <v>1060</v>
      </c>
    </row>
    <row r="67" spans="3:15">
      <c r="C67">
        <f t="shared" si="1"/>
        <v>1060</v>
      </c>
      <c r="O67">
        <f t="shared" si="0"/>
        <v>1060</v>
      </c>
    </row>
    <row r="68" spans="3:15">
      <c r="C68">
        <v>945</v>
      </c>
      <c r="D68">
        <f>SUM(D23:D67)</f>
        <v>94</v>
      </c>
      <c r="E68">
        <f t="shared" ref="E68:N68" si="2">SUM(E23:E67)</f>
        <v>1120</v>
      </c>
      <c r="F68">
        <f t="shared" si="2"/>
        <v>-67</v>
      </c>
      <c r="G68">
        <f t="shared" si="2"/>
        <v>-84</v>
      </c>
      <c r="H68">
        <f t="shared" si="2"/>
        <v>-858</v>
      </c>
      <c r="I68">
        <f t="shared" si="2"/>
        <v>-90</v>
      </c>
      <c r="J68">
        <f t="shared" si="2"/>
        <v>0</v>
      </c>
      <c r="K68">
        <f t="shared" si="2"/>
        <v>0</v>
      </c>
      <c r="L68">
        <f t="shared" si="2"/>
        <v>0</v>
      </c>
      <c r="M68">
        <f t="shared" si="2"/>
        <v>0</v>
      </c>
      <c r="N68">
        <f t="shared" si="2"/>
        <v>0</v>
      </c>
      <c r="O68">
        <f t="shared" si="0"/>
        <v>1060</v>
      </c>
    </row>
    <row r="69" spans="3:15">
      <c r="O69">
        <f t="shared" si="0"/>
        <v>0</v>
      </c>
    </row>
    <row r="70" spans="3:15">
      <c r="E70">
        <v>1135</v>
      </c>
      <c r="F70">
        <v>-67</v>
      </c>
      <c r="G70">
        <v>-99</v>
      </c>
      <c r="H70">
        <v>-858</v>
      </c>
      <c r="I70">
        <v>-90</v>
      </c>
    </row>
    <row r="71" spans="3:15">
      <c r="E71">
        <f>+E68-E70</f>
        <v>-15</v>
      </c>
      <c r="F71">
        <f>+F68-F70</f>
        <v>0</v>
      </c>
      <c r="G71">
        <f>+G68-G70</f>
        <v>15</v>
      </c>
      <c r="H71">
        <f t="shared" ref="H71:O71" si="3">+H68-H70</f>
        <v>0</v>
      </c>
      <c r="I71">
        <f t="shared" si="3"/>
        <v>0</v>
      </c>
      <c r="J71">
        <f t="shared" si="3"/>
        <v>0</v>
      </c>
      <c r="K71">
        <f t="shared" si="3"/>
        <v>0</v>
      </c>
      <c r="L71">
        <f t="shared" si="3"/>
        <v>0</v>
      </c>
      <c r="M71">
        <f t="shared" si="3"/>
        <v>0</v>
      </c>
      <c r="N71">
        <f t="shared" si="3"/>
        <v>0</v>
      </c>
      <c r="O71">
        <f t="shared" si="3"/>
        <v>1060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98"/>
  <dimension ref="C2:O70"/>
  <sheetViews>
    <sheetView topLeftCell="A46" workbookViewId="0"/>
  </sheetViews>
  <sheetFormatPr defaultRowHeight="13.15"/>
  <sheetData>
    <row r="2" spans="3:15">
      <c r="C2" t="s">
        <v>2389</v>
      </c>
      <c r="E2" t="s">
        <v>2390</v>
      </c>
      <c r="F2" t="s">
        <v>2391</v>
      </c>
      <c r="G2" t="s">
        <v>2392</v>
      </c>
      <c r="H2" t="s">
        <v>2393</v>
      </c>
      <c r="I2" t="s">
        <v>2394</v>
      </c>
    </row>
    <row r="3" spans="3:15">
      <c r="C3">
        <v>1034</v>
      </c>
      <c r="G3">
        <v>-1</v>
      </c>
      <c r="O3">
        <f>SUM(C3:N3)</f>
        <v>1033</v>
      </c>
    </row>
    <row r="4" spans="3:15">
      <c r="C4">
        <f>+O3</f>
        <v>1033</v>
      </c>
      <c r="G4">
        <v>-1</v>
      </c>
      <c r="O4">
        <f t="shared" ref="O4:O49" si="0">SUM(C4:N4)</f>
        <v>1032</v>
      </c>
    </row>
    <row r="5" spans="3:15">
      <c r="C5">
        <f t="shared" ref="C5:C47" si="1">+O4</f>
        <v>1032</v>
      </c>
      <c r="D5">
        <v>2</v>
      </c>
      <c r="I5">
        <v>-2</v>
      </c>
      <c r="O5">
        <f t="shared" si="0"/>
        <v>1032</v>
      </c>
    </row>
    <row r="6" spans="3:15">
      <c r="C6">
        <f t="shared" si="1"/>
        <v>1032</v>
      </c>
      <c r="G6">
        <v>-1</v>
      </c>
      <c r="O6">
        <f t="shared" si="0"/>
        <v>1031</v>
      </c>
    </row>
    <row r="7" spans="3:15">
      <c r="C7">
        <f t="shared" si="1"/>
        <v>1031</v>
      </c>
      <c r="G7">
        <v>-1</v>
      </c>
      <c r="O7">
        <f t="shared" si="0"/>
        <v>1030</v>
      </c>
    </row>
    <row r="8" spans="3:15">
      <c r="C8">
        <f t="shared" si="1"/>
        <v>1030</v>
      </c>
      <c r="H8">
        <v>-54</v>
      </c>
      <c r="O8">
        <f t="shared" si="0"/>
        <v>976</v>
      </c>
    </row>
    <row r="9" spans="3:15">
      <c r="C9">
        <f t="shared" si="1"/>
        <v>976</v>
      </c>
      <c r="G9">
        <v>-1</v>
      </c>
      <c r="H9">
        <v>-891</v>
      </c>
      <c r="I9">
        <v>-85</v>
      </c>
      <c r="O9">
        <f t="shared" si="0"/>
        <v>-1</v>
      </c>
    </row>
    <row r="10" spans="3:15">
      <c r="C10">
        <f t="shared" si="1"/>
        <v>-1</v>
      </c>
      <c r="D10">
        <v>6</v>
      </c>
      <c r="O10">
        <f t="shared" si="0"/>
        <v>5</v>
      </c>
    </row>
    <row r="11" spans="3:15">
      <c r="C11">
        <f t="shared" si="1"/>
        <v>5</v>
      </c>
      <c r="D11">
        <v>20</v>
      </c>
      <c r="O11">
        <f t="shared" si="0"/>
        <v>25</v>
      </c>
    </row>
    <row r="12" spans="3:15">
      <c r="C12">
        <f t="shared" si="1"/>
        <v>25</v>
      </c>
      <c r="D12">
        <v>65</v>
      </c>
      <c r="O12">
        <f t="shared" si="0"/>
        <v>90</v>
      </c>
    </row>
    <row r="13" spans="3:15">
      <c r="C13">
        <f t="shared" si="1"/>
        <v>90</v>
      </c>
      <c r="I13">
        <v>-3</v>
      </c>
      <c r="O13">
        <f t="shared" si="0"/>
        <v>87</v>
      </c>
    </row>
    <row r="14" spans="3:15">
      <c r="C14">
        <f t="shared" si="1"/>
        <v>87</v>
      </c>
      <c r="I14">
        <v>-1</v>
      </c>
      <c r="O14">
        <f t="shared" si="0"/>
        <v>86</v>
      </c>
    </row>
    <row r="15" spans="3:15">
      <c r="C15">
        <f t="shared" si="1"/>
        <v>86</v>
      </c>
      <c r="I15">
        <v>-1</v>
      </c>
      <c r="O15">
        <f t="shared" si="0"/>
        <v>85</v>
      </c>
    </row>
    <row r="16" spans="3:15">
      <c r="C16">
        <f t="shared" si="1"/>
        <v>85</v>
      </c>
      <c r="E16">
        <v>25</v>
      </c>
      <c r="F16">
        <v>-1</v>
      </c>
      <c r="O16">
        <f t="shared" si="0"/>
        <v>109</v>
      </c>
    </row>
    <row r="17" spans="3:15">
      <c r="C17">
        <f t="shared" si="1"/>
        <v>109</v>
      </c>
      <c r="I17">
        <v>-1</v>
      </c>
      <c r="O17">
        <f t="shared" si="0"/>
        <v>108</v>
      </c>
    </row>
    <row r="18" spans="3:15">
      <c r="C18">
        <f t="shared" si="1"/>
        <v>108</v>
      </c>
      <c r="E18">
        <v>79</v>
      </c>
      <c r="F18">
        <v>-7</v>
      </c>
      <c r="G18">
        <v>-1</v>
      </c>
      <c r="O18">
        <f t="shared" si="0"/>
        <v>179</v>
      </c>
    </row>
    <row r="19" spans="3:15">
      <c r="C19">
        <f t="shared" si="1"/>
        <v>179</v>
      </c>
      <c r="D19">
        <v>1</v>
      </c>
      <c r="O19">
        <f t="shared" si="0"/>
        <v>180</v>
      </c>
    </row>
    <row r="20" spans="3:15">
      <c r="C20">
        <f t="shared" si="1"/>
        <v>180</v>
      </c>
      <c r="E20">
        <v>36</v>
      </c>
      <c r="F20">
        <v>-4</v>
      </c>
      <c r="G20">
        <v>-1</v>
      </c>
      <c r="O20">
        <f t="shared" si="0"/>
        <v>211</v>
      </c>
    </row>
    <row r="21" spans="3:15">
      <c r="C21">
        <f t="shared" si="1"/>
        <v>211</v>
      </c>
      <c r="E21">
        <v>150</v>
      </c>
      <c r="F21">
        <v>-11</v>
      </c>
      <c r="G21">
        <v>-1</v>
      </c>
      <c r="O21">
        <f t="shared" si="0"/>
        <v>349</v>
      </c>
    </row>
    <row r="22" spans="3:15">
      <c r="C22">
        <f t="shared" si="1"/>
        <v>349</v>
      </c>
      <c r="D22">
        <v>1</v>
      </c>
      <c r="O22">
        <f t="shared" si="0"/>
        <v>350</v>
      </c>
    </row>
    <row r="23" spans="3:15">
      <c r="C23">
        <f t="shared" si="1"/>
        <v>350</v>
      </c>
      <c r="E23">
        <v>94</v>
      </c>
      <c r="F23">
        <v>-4</v>
      </c>
      <c r="O23">
        <f t="shared" si="0"/>
        <v>440</v>
      </c>
    </row>
    <row r="24" spans="3:15">
      <c r="C24">
        <f t="shared" si="1"/>
        <v>440</v>
      </c>
      <c r="E24">
        <v>207</v>
      </c>
      <c r="F24">
        <v>-15</v>
      </c>
      <c r="G24">
        <v>-4</v>
      </c>
      <c r="O24">
        <f t="shared" si="0"/>
        <v>628</v>
      </c>
    </row>
    <row r="25" spans="3:15">
      <c r="C25">
        <f t="shared" si="1"/>
        <v>628</v>
      </c>
      <c r="D25">
        <v>0</v>
      </c>
      <c r="E25">
        <v>124</v>
      </c>
      <c r="F25">
        <v>-7</v>
      </c>
      <c r="G25">
        <v>-4</v>
      </c>
      <c r="O25">
        <f t="shared" si="0"/>
        <v>741</v>
      </c>
    </row>
    <row r="26" spans="3:15">
      <c r="C26">
        <f t="shared" si="1"/>
        <v>741</v>
      </c>
      <c r="D26">
        <v>1</v>
      </c>
      <c r="E26">
        <v>161</v>
      </c>
      <c r="F26">
        <v>-8</v>
      </c>
      <c r="G26">
        <v>-10</v>
      </c>
      <c r="O26">
        <f t="shared" si="0"/>
        <v>885</v>
      </c>
    </row>
    <row r="27" spans="3:15">
      <c r="C27">
        <f t="shared" si="1"/>
        <v>885</v>
      </c>
      <c r="D27">
        <v>1</v>
      </c>
      <c r="O27">
        <f t="shared" si="0"/>
        <v>886</v>
      </c>
    </row>
    <row r="28" spans="3:15">
      <c r="C28">
        <f t="shared" si="1"/>
        <v>886</v>
      </c>
      <c r="D28">
        <v>1</v>
      </c>
      <c r="E28">
        <v>79</v>
      </c>
      <c r="F28">
        <v>-4</v>
      </c>
      <c r="G28">
        <v>-4</v>
      </c>
      <c r="O28">
        <f t="shared" si="0"/>
        <v>958</v>
      </c>
    </row>
    <row r="29" spans="3:15">
      <c r="C29">
        <f t="shared" si="1"/>
        <v>958</v>
      </c>
      <c r="E29">
        <v>54</v>
      </c>
      <c r="F29">
        <v>-2</v>
      </c>
      <c r="G29">
        <v>-8</v>
      </c>
      <c r="O29">
        <f t="shared" si="0"/>
        <v>1002</v>
      </c>
    </row>
    <row r="30" spans="3:15">
      <c r="C30">
        <f t="shared" si="1"/>
        <v>1002</v>
      </c>
      <c r="I30">
        <v>-1</v>
      </c>
      <c r="O30">
        <f t="shared" si="0"/>
        <v>1001</v>
      </c>
    </row>
    <row r="31" spans="3:15">
      <c r="C31">
        <f t="shared" si="1"/>
        <v>1001</v>
      </c>
      <c r="E31">
        <v>39</v>
      </c>
      <c r="F31">
        <v>-1</v>
      </c>
      <c r="G31">
        <v>-6</v>
      </c>
      <c r="O31">
        <f t="shared" si="0"/>
        <v>1033</v>
      </c>
    </row>
    <row r="32" spans="3:15">
      <c r="C32">
        <f t="shared" si="1"/>
        <v>1033</v>
      </c>
      <c r="E32">
        <v>51</v>
      </c>
      <c r="F32">
        <v>-1</v>
      </c>
      <c r="G32">
        <v>-3</v>
      </c>
      <c r="O32">
        <f t="shared" si="0"/>
        <v>1080</v>
      </c>
    </row>
    <row r="33" spans="3:15">
      <c r="C33">
        <f t="shared" si="1"/>
        <v>1080</v>
      </c>
      <c r="E33">
        <v>74</v>
      </c>
      <c r="F33">
        <v>-4</v>
      </c>
      <c r="G33">
        <v>-1</v>
      </c>
      <c r="O33">
        <f t="shared" si="0"/>
        <v>1149</v>
      </c>
    </row>
    <row r="34" spans="3:15">
      <c r="C34">
        <f t="shared" si="1"/>
        <v>1149</v>
      </c>
      <c r="E34">
        <v>26</v>
      </c>
      <c r="G34">
        <v>-5</v>
      </c>
      <c r="O34">
        <f t="shared" si="0"/>
        <v>1170</v>
      </c>
    </row>
    <row r="35" spans="3:15">
      <c r="C35">
        <f t="shared" si="1"/>
        <v>1170</v>
      </c>
      <c r="G35">
        <v>-3</v>
      </c>
      <c r="O35">
        <f t="shared" si="0"/>
        <v>1167</v>
      </c>
    </row>
    <row r="36" spans="3:15">
      <c r="C36">
        <f t="shared" si="1"/>
        <v>1167</v>
      </c>
      <c r="G36">
        <v>-4</v>
      </c>
      <c r="O36">
        <f t="shared" si="0"/>
        <v>1163</v>
      </c>
    </row>
    <row r="37" spans="3:15">
      <c r="C37">
        <f t="shared" si="1"/>
        <v>1163</v>
      </c>
      <c r="G37">
        <v>-1</v>
      </c>
      <c r="O37">
        <f t="shared" si="0"/>
        <v>1162</v>
      </c>
    </row>
    <row r="38" spans="3:15">
      <c r="C38">
        <f t="shared" si="1"/>
        <v>1162</v>
      </c>
      <c r="G38">
        <v>-3</v>
      </c>
      <c r="O38">
        <f t="shared" si="0"/>
        <v>1159</v>
      </c>
    </row>
    <row r="39" spans="3:15">
      <c r="C39">
        <f t="shared" si="1"/>
        <v>1159</v>
      </c>
      <c r="G39">
        <v>-1</v>
      </c>
      <c r="O39">
        <f t="shared" si="0"/>
        <v>1158</v>
      </c>
    </row>
    <row r="40" spans="3:15">
      <c r="C40">
        <f t="shared" si="1"/>
        <v>1158</v>
      </c>
      <c r="G40">
        <v>-2</v>
      </c>
      <c r="O40">
        <f t="shared" si="0"/>
        <v>1156</v>
      </c>
    </row>
    <row r="41" spans="3:15">
      <c r="C41">
        <f t="shared" si="1"/>
        <v>1156</v>
      </c>
      <c r="G41">
        <v>-1</v>
      </c>
      <c r="O41">
        <f t="shared" si="0"/>
        <v>1155</v>
      </c>
    </row>
    <row r="42" spans="3:15">
      <c r="C42">
        <f t="shared" si="1"/>
        <v>1155</v>
      </c>
      <c r="G42">
        <v>-1</v>
      </c>
      <c r="O42">
        <f t="shared" si="0"/>
        <v>1154</v>
      </c>
    </row>
    <row r="43" spans="3:15">
      <c r="C43">
        <f t="shared" si="1"/>
        <v>1154</v>
      </c>
      <c r="G43">
        <v>-3</v>
      </c>
      <c r="O43">
        <f t="shared" si="0"/>
        <v>1151</v>
      </c>
    </row>
    <row r="44" spans="3:15">
      <c r="C44">
        <f t="shared" si="1"/>
        <v>1151</v>
      </c>
      <c r="G44">
        <v>-1</v>
      </c>
      <c r="O44">
        <f t="shared" si="0"/>
        <v>1150</v>
      </c>
    </row>
    <row r="45" spans="3:15">
      <c r="C45">
        <f t="shared" si="1"/>
        <v>1150</v>
      </c>
      <c r="E45">
        <v>19</v>
      </c>
      <c r="I45">
        <v>-3</v>
      </c>
      <c r="O45">
        <f t="shared" si="0"/>
        <v>1166</v>
      </c>
    </row>
    <row r="46" spans="3:15">
      <c r="C46">
        <f t="shared" si="1"/>
        <v>1166</v>
      </c>
      <c r="O46">
        <f t="shared" si="0"/>
        <v>1166</v>
      </c>
    </row>
    <row r="47" spans="3:15">
      <c r="C47">
        <f t="shared" si="1"/>
        <v>1166</v>
      </c>
      <c r="O47">
        <f t="shared" si="0"/>
        <v>1166</v>
      </c>
    </row>
    <row r="48" spans="3:15">
      <c r="C48">
        <v>1034</v>
      </c>
      <c r="D48">
        <f>SUM(D3:D47)</f>
        <v>98</v>
      </c>
      <c r="E48">
        <f t="shared" ref="E48:N48" si="2">SUM(E3:E47)</f>
        <v>1218</v>
      </c>
      <c r="F48">
        <f t="shared" si="2"/>
        <v>-69</v>
      </c>
      <c r="G48">
        <f t="shared" si="2"/>
        <v>-73</v>
      </c>
      <c r="H48">
        <f t="shared" si="2"/>
        <v>-945</v>
      </c>
      <c r="I48">
        <f t="shared" si="2"/>
        <v>-97</v>
      </c>
      <c r="J48">
        <f t="shared" si="2"/>
        <v>0</v>
      </c>
      <c r="K48">
        <f t="shared" si="2"/>
        <v>0</v>
      </c>
      <c r="L48">
        <f t="shared" si="2"/>
        <v>0</v>
      </c>
      <c r="M48">
        <f t="shared" si="2"/>
        <v>0</v>
      </c>
      <c r="N48">
        <f t="shared" si="2"/>
        <v>0</v>
      </c>
      <c r="O48">
        <f t="shared" si="0"/>
        <v>1166</v>
      </c>
    </row>
    <row r="49" spans="4:15">
      <c r="O49">
        <f t="shared" si="0"/>
        <v>0</v>
      </c>
    </row>
    <row r="50" spans="4:15">
      <c r="E50">
        <v>1218</v>
      </c>
      <c r="F50">
        <v>-68</v>
      </c>
      <c r="G50">
        <v>-74</v>
      </c>
      <c r="H50">
        <v>-945</v>
      </c>
      <c r="I50">
        <v>-97</v>
      </c>
    </row>
    <row r="51" spans="4:15">
      <c r="E51">
        <f>+E48-E50</f>
        <v>0</v>
      </c>
      <c r="F51">
        <f>+F48-F50</f>
        <v>-1</v>
      </c>
      <c r="G51">
        <f>+G48-G50</f>
        <v>1</v>
      </c>
      <c r="H51">
        <f t="shared" ref="H51:O51" si="3">+H48-H50</f>
        <v>0</v>
      </c>
      <c r="I51">
        <f t="shared" si="3"/>
        <v>0</v>
      </c>
      <c r="J51">
        <f t="shared" si="3"/>
        <v>0</v>
      </c>
      <c r="K51">
        <f t="shared" si="3"/>
        <v>0</v>
      </c>
      <c r="L51">
        <f t="shared" si="3"/>
        <v>0</v>
      </c>
      <c r="M51">
        <f t="shared" si="3"/>
        <v>0</v>
      </c>
      <c r="N51">
        <f t="shared" si="3"/>
        <v>0</v>
      </c>
      <c r="O51">
        <f t="shared" si="3"/>
        <v>1166</v>
      </c>
    </row>
    <row r="55" spans="4:15">
      <c r="D55" t="s">
        <v>2395</v>
      </c>
      <c r="E55" t="s">
        <v>50</v>
      </c>
      <c r="F55" t="s">
        <v>79</v>
      </c>
      <c r="G55" t="s">
        <v>55</v>
      </c>
      <c r="J55">
        <v>1135</v>
      </c>
    </row>
    <row r="56" spans="4:15">
      <c r="D56">
        <v>1045</v>
      </c>
      <c r="E56">
        <v>271</v>
      </c>
      <c r="F56">
        <v>2</v>
      </c>
      <c r="G56">
        <v>90</v>
      </c>
      <c r="J56">
        <v>1149</v>
      </c>
    </row>
    <row r="57" spans="4:15">
      <c r="D57">
        <v>1055</v>
      </c>
      <c r="E57">
        <v>292</v>
      </c>
      <c r="F57">
        <v>1</v>
      </c>
      <c r="G57">
        <v>94</v>
      </c>
      <c r="J57">
        <v>96</v>
      </c>
    </row>
    <row r="58" spans="4:15">
      <c r="D58">
        <v>975</v>
      </c>
      <c r="E58">
        <v>231</v>
      </c>
      <c r="F58">
        <v>1</v>
      </c>
      <c r="G58">
        <v>96</v>
      </c>
      <c r="J58">
        <v>7</v>
      </c>
    </row>
    <row r="59" spans="4:15">
      <c r="D59">
        <v>1062</v>
      </c>
      <c r="E59">
        <v>2</v>
      </c>
      <c r="F59">
        <v>1</v>
      </c>
      <c r="G59">
        <v>5</v>
      </c>
      <c r="J59">
        <v>1062</v>
      </c>
    </row>
    <row r="60" spans="4:15">
      <c r="G60">
        <v>87</v>
      </c>
      <c r="J60">
        <v>1153</v>
      </c>
    </row>
    <row r="61" spans="4:15">
      <c r="G61">
        <v>91</v>
      </c>
      <c r="J61">
        <v>271</v>
      </c>
    </row>
    <row r="62" spans="4:15">
      <c r="G62">
        <v>359</v>
      </c>
      <c r="J62">
        <v>292</v>
      </c>
    </row>
    <row r="63" spans="4:15">
      <c r="G63">
        <v>182</v>
      </c>
      <c r="J63">
        <v>359</v>
      </c>
    </row>
    <row r="64" spans="4:15">
      <c r="G64">
        <v>395</v>
      </c>
      <c r="J64">
        <v>413</v>
      </c>
    </row>
    <row r="65" spans="4:10">
      <c r="G65">
        <v>14</v>
      </c>
      <c r="J65">
        <v>396</v>
      </c>
    </row>
    <row r="66" spans="4:10">
      <c r="G66">
        <v>336</v>
      </c>
      <c r="J66">
        <v>16</v>
      </c>
    </row>
    <row r="67" spans="4:10">
      <c r="G67">
        <v>286</v>
      </c>
      <c r="J67">
        <v>337</v>
      </c>
    </row>
    <row r="68" spans="4:10">
      <c r="D68">
        <f>SUM(D56:D67)</f>
        <v>4137</v>
      </c>
      <c r="E68">
        <f>SUM(E56:E67)</f>
        <v>796</v>
      </c>
      <c r="F68">
        <f>SUM(F56:F67)</f>
        <v>5</v>
      </c>
      <c r="G68">
        <f>SUM(G56:G67)</f>
        <v>2035</v>
      </c>
      <c r="H68">
        <f>SUM(D68:G68)</f>
        <v>6973</v>
      </c>
      <c r="J68">
        <v>287</v>
      </c>
    </row>
    <row r="69" spans="4:10">
      <c r="D69" s="94">
        <f>+'Summary Total Pigs'!AF12</f>
        <v>5196</v>
      </c>
      <c r="E69" s="94">
        <f>+'Summary Total Pigs'!AF15</f>
        <v>629</v>
      </c>
      <c r="F69" s="94">
        <f>+'Summary Total Pigs'!AF17-27</f>
        <v>9</v>
      </c>
      <c r="G69" s="94">
        <f>+'Summary Total Pigs'!AF16</f>
        <v>2155</v>
      </c>
      <c r="J69">
        <f>SUM(J55:J68)</f>
        <v>6973</v>
      </c>
    </row>
    <row r="70" spans="4:10">
      <c r="D70" s="94">
        <f>+D68-D69</f>
        <v>-1059</v>
      </c>
      <c r="E70" s="94">
        <f>+E68-E69</f>
        <v>167</v>
      </c>
      <c r="F70" s="94">
        <f>+F68-F69</f>
        <v>-4</v>
      </c>
      <c r="G70" s="94">
        <f>+G68-G69</f>
        <v>-120</v>
      </c>
    </row>
  </sheetData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9"/>
  <dimension ref="C2:O51"/>
  <sheetViews>
    <sheetView topLeftCell="A34" workbookViewId="0"/>
  </sheetViews>
  <sheetFormatPr defaultRowHeight="13.15"/>
  <sheetData>
    <row r="2" spans="3:15">
      <c r="C2" t="s">
        <v>2389</v>
      </c>
      <c r="E2" t="s">
        <v>2390</v>
      </c>
      <c r="F2" t="s">
        <v>2391</v>
      </c>
      <c r="G2" t="s">
        <v>2392</v>
      </c>
      <c r="H2" t="s">
        <v>2393</v>
      </c>
      <c r="I2" t="s">
        <v>2394</v>
      </c>
    </row>
    <row r="3" spans="3:15">
      <c r="C3">
        <v>880</v>
      </c>
      <c r="E3">
        <v>41</v>
      </c>
      <c r="F3">
        <v>-2</v>
      </c>
      <c r="G3">
        <v>-2</v>
      </c>
      <c r="O3">
        <f>SUM(C3:N3)</f>
        <v>917</v>
      </c>
    </row>
    <row r="4" spans="3:15">
      <c r="C4">
        <f>+O3</f>
        <v>917</v>
      </c>
      <c r="G4">
        <v>-3</v>
      </c>
      <c r="O4">
        <f t="shared" ref="O4:O49" si="0">SUM(C4:N4)</f>
        <v>914</v>
      </c>
    </row>
    <row r="5" spans="3:15">
      <c r="C5">
        <f t="shared" ref="C5:C47" si="1">+O4</f>
        <v>914</v>
      </c>
      <c r="E5">
        <v>100</v>
      </c>
      <c r="F5">
        <v>-8</v>
      </c>
      <c r="G5">
        <v>-4</v>
      </c>
      <c r="O5">
        <f t="shared" si="0"/>
        <v>1002</v>
      </c>
    </row>
    <row r="6" spans="3:15">
      <c r="C6">
        <f t="shared" si="1"/>
        <v>1002</v>
      </c>
      <c r="E6">
        <v>24</v>
      </c>
      <c r="F6">
        <v>-2</v>
      </c>
      <c r="G6">
        <v>-1</v>
      </c>
      <c r="O6">
        <f t="shared" si="0"/>
        <v>1023</v>
      </c>
    </row>
    <row r="7" spans="3:15">
      <c r="C7">
        <f t="shared" si="1"/>
        <v>1023</v>
      </c>
      <c r="D7">
        <v>1</v>
      </c>
      <c r="E7">
        <v>33</v>
      </c>
      <c r="F7">
        <v>-2</v>
      </c>
      <c r="G7">
        <v>-6</v>
      </c>
      <c r="I7">
        <v>-1</v>
      </c>
      <c r="O7">
        <f t="shared" si="0"/>
        <v>1048</v>
      </c>
    </row>
    <row r="8" spans="3:15">
      <c r="C8">
        <f t="shared" si="1"/>
        <v>1048</v>
      </c>
      <c r="G8">
        <v>-4</v>
      </c>
      <c r="I8">
        <v>-1</v>
      </c>
      <c r="O8">
        <f t="shared" si="0"/>
        <v>1043</v>
      </c>
    </row>
    <row r="9" spans="3:15">
      <c r="C9">
        <f t="shared" si="1"/>
        <v>1043</v>
      </c>
      <c r="G9">
        <v>-4</v>
      </c>
      <c r="I9">
        <f>+I8</f>
        <v>-1</v>
      </c>
      <c r="O9">
        <f t="shared" si="0"/>
        <v>1038</v>
      </c>
    </row>
    <row r="10" spans="3:15">
      <c r="C10">
        <f t="shared" si="1"/>
        <v>1038</v>
      </c>
      <c r="G10">
        <v>-5</v>
      </c>
      <c r="I10">
        <v>0</v>
      </c>
      <c r="O10">
        <f t="shared" si="0"/>
        <v>1033</v>
      </c>
    </row>
    <row r="11" spans="3:15">
      <c r="C11">
        <f t="shared" si="1"/>
        <v>1033</v>
      </c>
      <c r="D11">
        <v>0</v>
      </c>
      <c r="G11">
        <v>-1</v>
      </c>
      <c r="O11">
        <f t="shared" si="0"/>
        <v>1032</v>
      </c>
    </row>
    <row r="12" spans="3:15">
      <c r="C12">
        <f t="shared" si="1"/>
        <v>1032</v>
      </c>
      <c r="D12">
        <v>1</v>
      </c>
      <c r="G12">
        <f>+G11</f>
        <v>-1</v>
      </c>
      <c r="I12">
        <v>-1</v>
      </c>
      <c r="O12">
        <f t="shared" si="0"/>
        <v>1031</v>
      </c>
    </row>
    <row r="13" spans="3:15">
      <c r="C13">
        <f t="shared" si="1"/>
        <v>1031</v>
      </c>
      <c r="G13">
        <f>+G12</f>
        <v>-1</v>
      </c>
      <c r="O13">
        <f t="shared" si="0"/>
        <v>1030</v>
      </c>
    </row>
    <row r="14" spans="3:15">
      <c r="C14">
        <f t="shared" si="1"/>
        <v>1030</v>
      </c>
      <c r="G14">
        <f>+G13</f>
        <v>-1</v>
      </c>
      <c r="I14">
        <v>-2</v>
      </c>
      <c r="O14">
        <f t="shared" si="0"/>
        <v>1027</v>
      </c>
    </row>
    <row r="15" spans="3:15">
      <c r="C15">
        <f t="shared" si="1"/>
        <v>1027</v>
      </c>
      <c r="G15">
        <v>-2</v>
      </c>
      <c r="O15">
        <f t="shared" si="0"/>
        <v>1025</v>
      </c>
    </row>
    <row r="16" spans="3:15">
      <c r="C16">
        <f t="shared" si="1"/>
        <v>1025</v>
      </c>
      <c r="G16">
        <v>-1</v>
      </c>
      <c r="O16">
        <f t="shared" si="0"/>
        <v>1024</v>
      </c>
    </row>
    <row r="17" spans="3:15">
      <c r="C17">
        <f t="shared" si="1"/>
        <v>1024</v>
      </c>
      <c r="G17">
        <f>+G15</f>
        <v>-2</v>
      </c>
      <c r="O17">
        <f t="shared" si="0"/>
        <v>1022</v>
      </c>
    </row>
    <row r="18" spans="3:15">
      <c r="C18">
        <f t="shared" si="1"/>
        <v>1022</v>
      </c>
      <c r="G18">
        <v>-3</v>
      </c>
      <c r="O18">
        <f t="shared" si="0"/>
        <v>1019</v>
      </c>
    </row>
    <row r="19" spans="3:15">
      <c r="C19">
        <f t="shared" si="1"/>
        <v>1019</v>
      </c>
      <c r="G19">
        <v>-2</v>
      </c>
      <c r="O19">
        <f t="shared" si="0"/>
        <v>1017</v>
      </c>
    </row>
    <row r="20" spans="3:15">
      <c r="C20">
        <f t="shared" si="1"/>
        <v>1017</v>
      </c>
      <c r="D20">
        <v>1</v>
      </c>
      <c r="G20">
        <v>-2</v>
      </c>
      <c r="O20">
        <f t="shared" si="0"/>
        <v>1016</v>
      </c>
    </row>
    <row r="21" spans="3:15">
      <c r="C21">
        <f t="shared" si="1"/>
        <v>1016</v>
      </c>
      <c r="G21">
        <v>-2</v>
      </c>
      <c r="O21">
        <f t="shared" si="0"/>
        <v>1014</v>
      </c>
    </row>
    <row r="22" spans="3:15">
      <c r="C22">
        <f t="shared" si="1"/>
        <v>1014</v>
      </c>
      <c r="G22">
        <v>-2</v>
      </c>
      <c r="I22">
        <v>-1</v>
      </c>
      <c r="O22">
        <f t="shared" si="0"/>
        <v>1011</v>
      </c>
    </row>
    <row r="23" spans="3:15">
      <c r="C23">
        <f t="shared" si="1"/>
        <v>1011</v>
      </c>
      <c r="G23">
        <v>-2</v>
      </c>
      <c r="O23">
        <f t="shared" si="0"/>
        <v>1009</v>
      </c>
    </row>
    <row r="24" spans="3:15">
      <c r="C24">
        <f t="shared" si="1"/>
        <v>1009</v>
      </c>
      <c r="G24">
        <v>-1</v>
      </c>
      <c r="O24">
        <f t="shared" si="0"/>
        <v>1008</v>
      </c>
    </row>
    <row r="25" spans="3:15">
      <c r="C25">
        <f t="shared" si="1"/>
        <v>1008</v>
      </c>
      <c r="G25">
        <v>-2</v>
      </c>
      <c r="I25">
        <v>-1</v>
      </c>
      <c r="O25">
        <f t="shared" si="0"/>
        <v>1005</v>
      </c>
    </row>
    <row r="26" spans="3:15">
      <c r="C26">
        <f t="shared" si="1"/>
        <v>1005</v>
      </c>
      <c r="D26">
        <v>1</v>
      </c>
      <c r="O26">
        <f t="shared" si="0"/>
        <v>1006</v>
      </c>
    </row>
    <row r="27" spans="3:15">
      <c r="C27">
        <f t="shared" si="1"/>
        <v>1006</v>
      </c>
      <c r="G27">
        <v>-3</v>
      </c>
      <c r="O27">
        <f t="shared" si="0"/>
        <v>1003</v>
      </c>
    </row>
    <row r="28" spans="3:15">
      <c r="C28">
        <f t="shared" si="1"/>
        <v>1003</v>
      </c>
      <c r="H28">
        <v>-53</v>
      </c>
      <c r="O28">
        <f t="shared" si="0"/>
        <v>950</v>
      </c>
    </row>
    <row r="29" spans="3:15">
      <c r="C29">
        <f t="shared" si="1"/>
        <v>950</v>
      </c>
      <c r="H29">
        <v>-867</v>
      </c>
      <c r="I29">
        <v>-1</v>
      </c>
      <c r="O29">
        <f t="shared" si="0"/>
        <v>82</v>
      </c>
    </row>
    <row r="30" spans="3:15">
      <c r="C30">
        <f t="shared" si="1"/>
        <v>82</v>
      </c>
      <c r="I30">
        <v>-79</v>
      </c>
      <c r="O30">
        <f t="shared" si="0"/>
        <v>3</v>
      </c>
    </row>
    <row r="31" spans="3:15">
      <c r="C31">
        <f t="shared" si="1"/>
        <v>3</v>
      </c>
      <c r="I31">
        <v>-1</v>
      </c>
      <c r="O31">
        <f t="shared" si="0"/>
        <v>2</v>
      </c>
    </row>
    <row r="32" spans="3:15">
      <c r="C32">
        <f t="shared" si="1"/>
        <v>2</v>
      </c>
      <c r="I32">
        <v>-2</v>
      </c>
      <c r="O32">
        <f t="shared" si="0"/>
        <v>0</v>
      </c>
    </row>
    <row r="33" spans="3:15">
      <c r="C33">
        <f t="shared" si="1"/>
        <v>0</v>
      </c>
      <c r="D33">
        <v>14</v>
      </c>
      <c r="O33">
        <f t="shared" si="0"/>
        <v>14</v>
      </c>
    </row>
    <row r="34" spans="3:15">
      <c r="C34">
        <f t="shared" si="1"/>
        <v>14</v>
      </c>
      <c r="D34">
        <v>70</v>
      </c>
      <c r="O34">
        <f t="shared" si="0"/>
        <v>84</v>
      </c>
    </row>
    <row r="35" spans="3:15">
      <c r="C35">
        <f t="shared" si="1"/>
        <v>84</v>
      </c>
      <c r="O35">
        <f t="shared" si="0"/>
        <v>84</v>
      </c>
    </row>
    <row r="36" spans="3:15">
      <c r="C36">
        <f t="shared" si="1"/>
        <v>84</v>
      </c>
      <c r="O36">
        <f t="shared" si="0"/>
        <v>84</v>
      </c>
    </row>
    <row r="37" spans="3:15">
      <c r="C37">
        <f t="shared" si="1"/>
        <v>84</v>
      </c>
      <c r="O37">
        <f t="shared" si="0"/>
        <v>84</v>
      </c>
    </row>
    <row r="38" spans="3:15">
      <c r="C38">
        <f t="shared" si="1"/>
        <v>84</v>
      </c>
      <c r="O38">
        <f t="shared" si="0"/>
        <v>84</v>
      </c>
    </row>
    <row r="39" spans="3:15">
      <c r="C39">
        <f t="shared" si="1"/>
        <v>84</v>
      </c>
      <c r="O39">
        <f t="shared" si="0"/>
        <v>84</v>
      </c>
    </row>
    <row r="40" spans="3:15">
      <c r="C40">
        <f t="shared" si="1"/>
        <v>84</v>
      </c>
      <c r="O40">
        <f t="shared" si="0"/>
        <v>84</v>
      </c>
    </row>
    <row r="41" spans="3:15">
      <c r="C41">
        <f t="shared" si="1"/>
        <v>84</v>
      </c>
      <c r="O41">
        <f t="shared" si="0"/>
        <v>84</v>
      </c>
    </row>
    <row r="42" spans="3:15">
      <c r="C42">
        <f t="shared" si="1"/>
        <v>84</v>
      </c>
      <c r="O42">
        <f t="shared" si="0"/>
        <v>84</v>
      </c>
    </row>
    <row r="43" spans="3:15">
      <c r="C43">
        <f t="shared" si="1"/>
        <v>84</v>
      </c>
      <c r="O43">
        <f t="shared" si="0"/>
        <v>84</v>
      </c>
    </row>
    <row r="44" spans="3:15">
      <c r="C44">
        <f t="shared" si="1"/>
        <v>84</v>
      </c>
      <c r="O44">
        <f t="shared" si="0"/>
        <v>84</v>
      </c>
    </row>
    <row r="45" spans="3:15">
      <c r="C45">
        <f t="shared" si="1"/>
        <v>84</v>
      </c>
      <c r="O45">
        <f t="shared" si="0"/>
        <v>84</v>
      </c>
    </row>
    <row r="46" spans="3:15">
      <c r="C46">
        <f t="shared" si="1"/>
        <v>84</v>
      </c>
      <c r="O46">
        <f t="shared" si="0"/>
        <v>84</v>
      </c>
    </row>
    <row r="47" spans="3:15">
      <c r="C47">
        <f t="shared" si="1"/>
        <v>84</v>
      </c>
      <c r="O47">
        <f t="shared" si="0"/>
        <v>84</v>
      </c>
    </row>
    <row r="48" spans="3:15">
      <c r="C48">
        <v>880</v>
      </c>
      <c r="D48">
        <f>SUM(D3:D47)</f>
        <v>88</v>
      </c>
      <c r="E48">
        <f t="shared" ref="E48:N48" si="2">SUM(E3:E47)</f>
        <v>198</v>
      </c>
      <c r="F48">
        <f t="shared" si="2"/>
        <v>-14</v>
      </c>
      <c r="G48">
        <f t="shared" si="2"/>
        <v>-57</v>
      </c>
      <c r="H48">
        <f t="shared" si="2"/>
        <v>-920</v>
      </c>
      <c r="I48">
        <f t="shared" si="2"/>
        <v>-91</v>
      </c>
      <c r="J48">
        <f t="shared" si="2"/>
        <v>0</v>
      </c>
      <c r="K48">
        <f t="shared" si="2"/>
        <v>0</v>
      </c>
      <c r="L48">
        <f t="shared" si="2"/>
        <v>0</v>
      </c>
      <c r="M48">
        <f t="shared" si="2"/>
        <v>0</v>
      </c>
      <c r="N48">
        <f t="shared" si="2"/>
        <v>0</v>
      </c>
      <c r="O48">
        <f t="shared" si="0"/>
        <v>84</v>
      </c>
    </row>
    <row r="49" spans="5:15">
      <c r="O49">
        <f t="shared" si="0"/>
        <v>0</v>
      </c>
    </row>
    <row r="50" spans="5:15">
      <c r="E50">
        <v>198</v>
      </c>
      <c r="F50">
        <v>-14</v>
      </c>
      <c r="G50">
        <v>-57</v>
      </c>
      <c r="H50">
        <v>-920</v>
      </c>
      <c r="I50">
        <v>-91</v>
      </c>
    </row>
    <row r="51" spans="5:15">
      <c r="E51">
        <f>+E48-E50</f>
        <v>0</v>
      </c>
      <c r="F51">
        <f>+F48-F50</f>
        <v>0</v>
      </c>
      <c r="G51">
        <f>+G48-G50</f>
        <v>0</v>
      </c>
      <c r="H51">
        <f t="shared" ref="H51:O51" si="3">+H48-H50</f>
        <v>0</v>
      </c>
      <c r="I51">
        <f t="shared" si="3"/>
        <v>0</v>
      </c>
      <c r="J51">
        <f t="shared" si="3"/>
        <v>0</v>
      </c>
      <c r="K51">
        <f t="shared" si="3"/>
        <v>0</v>
      </c>
      <c r="L51">
        <f t="shared" si="3"/>
        <v>0</v>
      </c>
      <c r="M51">
        <f t="shared" si="3"/>
        <v>0</v>
      </c>
      <c r="N51">
        <f t="shared" si="3"/>
        <v>0</v>
      </c>
      <c r="O51">
        <f t="shared" si="3"/>
        <v>84</v>
      </c>
    </row>
  </sheetData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100"/>
  <dimension ref="C2:O51"/>
  <sheetViews>
    <sheetView topLeftCell="A40" workbookViewId="0"/>
  </sheetViews>
  <sheetFormatPr defaultRowHeight="13.15"/>
  <sheetData>
    <row r="2" spans="3:15">
      <c r="C2" t="s">
        <v>2389</v>
      </c>
      <c r="E2" t="s">
        <v>2390</v>
      </c>
      <c r="F2" t="s">
        <v>2391</v>
      </c>
      <c r="G2" t="s">
        <v>2392</v>
      </c>
      <c r="H2" t="s">
        <v>2393</v>
      </c>
      <c r="I2" t="s">
        <v>2394</v>
      </c>
    </row>
    <row r="3" spans="3:15">
      <c r="C3">
        <v>84</v>
      </c>
      <c r="D3">
        <v>1</v>
      </c>
      <c r="I3">
        <v>-1</v>
      </c>
      <c r="O3">
        <f>SUM(C3:N3)</f>
        <v>84</v>
      </c>
    </row>
    <row r="4" spans="3:15">
      <c r="C4">
        <f>+O3</f>
        <v>84</v>
      </c>
      <c r="D4">
        <v>1</v>
      </c>
      <c r="E4">
        <v>225</v>
      </c>
      <c r="F4">
        <v>-14</v>
      </c>
      <c r="G4">
        <v>-2</v>
      </c>
      <c r="O4">
        <f t="shared" ref="O4:O49" si="0">SUM(C4:N4)</f>
        <v>294</v>
      </c>
    </row>
    <row r="5" spans="3:15">
      <c r="C5">
        <f t="shared" ref="C5:C47" si="1">+O4</f>
        <v>294</v>
      </c>
      <c r="E5">
        <v>385</v>
      </c>
      <c r="F5">
        <v>-14</v>
      </c>
      <c r="G5">
        <v>-7</v>
      </c>
      <c r="O5">
        <f t="shared" si="0"/>
        <v>658</v>
      </c>
    </row>
    <row r="6" spans="3:15">
      <c r="C6">
        <f t="shared" si="1"/>
        <v>658</v>
      </c>
      <c r="E6">
        <v>49</v>
      </c>
      <c r="F6">
        <v>-1</v>
      </c>
      <c r="G6">
        <v>-1</v>
      </c>
      <c r="O6">
        <f t="shared" si="0"/>
        <v>705</v>
      </c>
    </row>
    <row r="7" spans="3:15">
      <c r="C7">
        <f t="shared" si="1"/>
        <v>705</v>
      </c>
      <c r="E7">
        <v>80</v>
      </c>
      <c r="G7">
        <v>-6</v>
      </c>
      <c r="O7">
        <f t="shared" si="0"/>
        <v>779</v>
      </c>
    </row>
    <row r="8" spans="3:15">
      <c r="C8">
        <f t="shared" si="1"/>
        <v>779</v>
      </c>
      <c r="E8">
        <v>191</v>
      </c>
      <c r="F8">
        <v>-6</v>
      </c>
      <c r="G8">
        <v>-4</v>
      </c>
      <c r="I8">
        <v>-1</v>
      </c>
      <c r="O8">
        <f t="shared" si="0"/>
        <v>959</v>
      </c>
    </row>
    <row r="9" spans="3:15">
      <c r="C9">
        <f t="shared" si="1"/>
        <v>959</v>
      </c>
      <c r="D9">
        <v>3</v>
      </c>
      <c r="E9">
        <v>112</v>
      </c>
      <c r="F9">
        <v>-5</v>
      </c>
      <c r="G9">
        <v>-9</v>
      </c>
      <c r="I9">
        <v>-1</v>
      </c>
      <c r="O9">
        <f t="shared" si="0"/>
        <v>1059</v>
      </c>
    </row>
    <row r="10" spans="3:15">
      <c r="C10">
        <f t="shared" si="1"/>
        <v>1059</v>
      </c>
      <c r="E10">
        <v>16</v>
      </c>
      <c r="G10">
        <v>-2</v>
      </c>
      <c r="O10">
        <f t="shared" si="0"/>
        <v>1073</v>
      </c>
    </row>
    <row r="11" spans="3:15">
      <c r="C11">
        <f t="shared" si="1"/>
        <v>1073</v>
      </c>
      <c r="G11">
        <v>-7</v>
      </c>
      <c r="O11">
        <f t="shared" si="0"/>
        <v>1066</v>
      </c>
    </row>
    <row r="12" spans="3:15">
      <c r="C12">
        <f t="shared" si="1"/>
        <v>1066</v>
      </c>
      <c r="G12">
        <v>-5</v>
      </c>
      <c r="O12">
        <f t="shared" si="0"/>
        <v>1061</v>
      </c>
    </row>
    <row r="13" spans="3:15">
      <c r="C13">
        <f t="shared" si="1"/>
        <v>1061</v>
      </c>
      <c r="G13">
        <v>-2</v>
      </c>
      <c r="O13">
        <f t="shared" si="0"/>
        <v>1059</v>
      </c>
    </row>
    <row r="14" spans="3:15">
      <c r="C14">
        <f t="shared" si="1"/>
        <v>1059</v>
      </c>
      <c r="G14">
        <v>-4</v>
      </c>
      <c r="O14">
        <f t="shared" si="0"/>
        <v>1055</v>
      </c>
    </row>
    <row r="15" spans="3:15">
      <c r="C15">
        <f t="shared" si="1"/>
        <v>1055</v>
      </c>
      <c r="G15">
        <v>-1</v>
      </c>
      <c r="O15">
        <f t="shared" si="0"/>
        <v>1054</v>
      </c>
    </row>
    <row r="16" spans="3:15">
      <c r="C16">
        <f t="shared" si="1"/>
        <v>1054</v>
      </c>
      <c r="G16">
        <v>-3</v>
      </c>
      <c r="O16">
        <f t="shared" si="0"/>
        <v>1051</v>
      </c>
    </row>
    <row r="17" spans="3:15">
      <c r="C17">
        <f t="shared" si="1"/>
        <v>1051</v>
      </c>
      <c r="G17">
        <v>-7</v>
      </c>
      <c r="O17">
        <f t="shared" si="0"/>
        <v>1044</v>
      </c>
    </row>
    <row r="18" spans="3:15">
      <c r="C18">
        <f t="shared" si="1"/>
        <v>1044</v>
      </c>
      <c r="G18">
        <v>-2</v>
      </c>
      <c r="O18">
        <f t="shared" si="0"/>
        <v>1042</v>
      </c>
    </row>
    <row r="19" spans="3:15">
      <c r="C19">
        <f t="shared" si="1"/>
        <v>1042</v>
      </c>
      <c r="G19">
        <v>-3</v>
      </c>
      <c r="I19">
        <v>-1</v>
      </c>
      <c r="O19">
        <f t="shared" si="0"/>
        <v>1038</v>
      </c>
    </row>
    <row r="20" spans="3:15">
      <c r="C20">
        <f t="shared" si="1"/>
        <v>1038</v>
      </c>
      <c r="D20">
        <v>1</v>
      </c>
      <c r="G20">
        <v>-1</v>
      </c>
      <c r="I20">
        <f>+I19</f>
        <v>-1</v>
      </c>
      <c r="O20">
        <f t="shared" si="0"/>
        <v>1037</v>
      </c>
    </row>
    <row r="21" spans="3:15">
      <c r="C21">
        <f t="shared" si="1"/>
        <v>1037</v>
      </c>
      <c r="G21">
        <v>-3</v>
      </c>
      <c r="I21">
        <f>+I20</f>
        <v>-1</v>
      </c>
      <c r="O21">
        <f t="shared" si="0"/>
        <v>1033</v>
      </c>
    </row>
    <row r="22" spans="3:15">
      <c r="C22">
        <f t="shared" si="1"/>
        <v>1033</v>
      </c>
      <c r="G22">
        <v>-2</v>
      </c>
      <c r="O22">
        <f t="shared" si="0"/>
        <v>1031</v>
      </c>
    </row>
    <row r="23" spans="3:15">
      <c r="C23">
        <f t="shared" si="1"/>
        <v>1031</v>
      </c>
      <c r="G23">
        <v>-2</v>
      </c>
      <c r="O23">
        <f t="shared" si="0"/>
        <v>1029</v>
      </c>
    </row>
    <row r="24" spans="3:15">
      <c r="C24">
        <f t="shared" si="1"/>
        <v>1029</v>
      </c>
      <c r="O24">
        <f t="shared" si="0"/>
        <v>1029</v>
      </c>
    </row>
    <row r="25" spans="3:15">
      <c r="C25">
        <f t="shared" si="1"/>
        <v>1029</v>
      </c>
      <c r="O25">
        <f t="shared" si="0"/>
        <v>1029</v>
      </c>
    </row>
    <row r="26" spans="3:15">
      <c r="C26">
        <f t="shared" si="1"/>
        <v>1029</v>
      </c>
      <c r="O26">
        <f t="shared" si="0"/>
        <v>1029</v>
      </c>
    </row>
    <row r="27" spans="3:15">
      <c r="C27">
        <f t="shared" si="1"/>
        <v>1029</v>
      </c>
      <c r="O27">
        <f t="shared" si="0"/>
        <v>1029</v>
      </c>
    </row>
    <row r="28" spans="3:15">
      <c r="C28">
        <f t="shared" si="1"/>
        <v>1029</v>
      </c>
      <c r="O28">
        <f t="shared" si="0"/>
        <v>1029</v>
      </c>
    </row>
    <row r="29" spans="3:15">
      <c r="C29">
        <f t="shared" si="1"/>
        <v>1029</v>
      </c>
      <c r="O29">
        <f t="shared" si="0"/>
        <v>1029</v>
      </c>
    </row>
    <row r="30" spans="3:15">
      <c r="C30">
        <f t="shared" si="1"/>
        <v>1029</v>
      </c>
      <c r="O30">
        <f t="shared" si="0"/>
        <v>1029</v>
      </c>
    </row>
    <row r="31" spans="3:15">
      <c r="C31">
        <f t="shared" si="1"/>
        <v>1029</v>
      </c>
      <c r="O31">
        <f t="shared" si="0"/>
        <v>1029</v>
      </c>
    </row>
    <row r="32" spans="3:15">
      <c r="C32">
        <f t="shared" si="1"/>
        <v>1029</v>
      </c>
      <c r="O32">
        <f t="shared" si="0"/>
        <v>1029</v>
      </c>
    </row>
    <row r="33" spans="3:15">
      <c r="C33">
        <f t="shared" si="1"/>
        <v>1029</v>
      </c>
      <c r="O33">
        <f t="shared" si="0"/>
        <v>1029</v>
      </c>
    </row>
    <row r="34" spans="3:15">
      <c r="C34">
        <f t="shared" si="1"/>
        <v>1029</v>
      </c>
      <c r="O34">
        <f t="shared" si="0"/>
        <v>1029</v>
      </c>
    </row>
    <row r="35" spans="3:15">
      <c r="C35">
        <f t="shared" si="1"/>
        <v>1029</v>
      </c>
      <c r="O35">
        <f t="shared" si="0"/>
        <v>1029</v>
      </c>
    </row>
    <row r="36" spans="3:15">
      <c r="C36">
        <f t="shared" si="1"/>
        <v>1029</v>
      </c>
      <c r="O36">
        <f t="shared" si="0"/>
        <v>1029</v>
      </c>
    </row>
    <row r="37" spans="3:15">
      <c r="C37">
        <f t="shared" si="1"/>
        <v>1029</v>
      </c>
      <c r="O37">
        <f t="shared" si="0"/>
        <v>1029</v>
      </c>
    </row>
    <row r="38" spans="3:15">
      <c r="C38">
        <f t="shared" si="1"/>
        <v>1029</v>
      </c>
      <c r="O38">
        <f t="shared" si="0"/>
        <v>1029</v>
      </c>
    </row>
    <row r="39" spans="3:15">
      <c r="C39">
        <f t="shared" si="1"/>
        <v>1029</v>
      </c>
      <c r="O39">
        <f t="shared" si="0"/>
        <v>1029</v>
      </c>
    </row>
    <row r="40" spans="3:15">
      <c r="C40">
        <f t="shared" si="1"/>
        <v>1029</v>
      </c>
      <c r="O40">
        <f t="shared" si="0"/>
        <v>1029</v>
      </c>
    </row>
    <row r="41" spans="3:15">
      <c r="C41">
        <f t="shared" si="1"/>
        <v>1029</v>
      </c>
      <c r="O41">
        <f t="shared" si="0"/>
        <v>1029</v>
      </c>
    </row>
    <row r="42" spans="3:15">
      <c r="C42">
        <f t="shared" si="1"/>
        <v>1029</v>
      </c>
      <c r="O42">
        <f t="shared" si="0"/>
        <v>1029</v>
      </c>
    </row>
    <row r="43" spans="3:15">
      <c r="C43">
        <f t="shared" si="1"/>
        <v>1029</v>
      </c>
      <c r="O43">
        <f t="shared" si="0"/>
        <v>1029</v>
      </c>
    </row>
    <row r="44" spans="3:15">
      <c r="C44">
        <f t="shared" si="1"/>
        <v>1029</v>
      </c>
      <c r="O44">
        <f t="shared" si="0"/>
        <v>1029</v>
      </c>
    </row>
    <row r="45" spans="3:15">
      <c r="C45">
        <f t="shared" si="1"/>
        <v>1029</v>
      </c>
      <c r="O45">
        <f t="shared" si="0"/>
        <v>1029</v>
      </c>
    </row>
    <row r="46" spans="3:15">
      <c r="C46">
        <f t="shared" si="1"/>
        <v>1029</v>
      </c>
      <c r="O46">
        <f t="shared" si="0"/>
        <v>1029</v>
      </c>
    </row>
    <row r="47" spans="3:15">
      <c r="C47">
        <f t="shared" si="1"/>
        <v>1029</v>
      </c>
      <c r="O47">
        <f t="shared" si="0"/>
        <v>1029</v>
      </c>
    </row>
    <row r="48" spans="3:15">
      <c r="C48">
        <v>84</v>
      </c>
      <c r="D48">
        <f>SUM(D3:D47)</f>
        <v>6</v>
      </c>
      <c r="E48">
        <f t="shared" ref="E48:N48" si="2">SUM(E3:E47)</f>
        <v>1058</v>
      </c>
      <c r="F48">
        <f t="shared" si="2"/>
        <v>-40</v>
      </c>
      <c r="G48">
        <f t="shared" si="2"/>
        <v>-73</v>
      </c>
      <c r="H48">
        <f t="shared" si="2"/>
        <v>0</v>
      </c>
      <c r="I48">
        <f t="shared" si="2"/>
        <v>-6</v>
      </c>
      <c r="J48">
        <f t="shared" si="2"/>
        <v>0</v>
      </c>
      <c r="K48">
        <f t="shared" si="2"/>
        <v>0</v>
      </c>
      <c r="L48">
        <f t="shared" si="2"/>
        <v>0</v>
      </c>
      <c r="M48">
        <f t="shared" si="2"/>
        <v>0</v>
      </c>
      <c r="N48">
        <f t="shared" si="2"/>
        <v>0</v>
      </c>
      <c r="O48">
        <f t="shared" si="0"/>
        <v>1029</v>
      </c>
    </row>
    <row r="49" spans="4:15">
      <c r="O49">
        <f t="shared" si="0"/>
        <v>0</v>
      </c>
    </row>
    <row r="50" spans="4:15">
      <c r="D50">
        <v>6</v>
      </c>
      <c r="E50">
        <v>1058</v>
      </c>
      <c r="F50">
        <v>-40</v>
      </c>
      <c r="G50">
        <v>-75</v>
      </c>
      <c r="H50">
        <v>0</v>
      </c>
      <c r="I50">
        <v>-6</v>
      </c>
    </row>
    <row r="51" spans="4:15">
      <c r="D51">
        <f>+D48-D50</f>
        <v>0</v>
      </c>
      <c r="E51">
        <f>+E48-E50</f>
        <v>0</v>
      </c>
      <c r="F51">
        <f>+F48-F50</f>
        <v>0</v>
      </c>
      <c r="G51">
        <f>+G48-G50</f>
        <v>2</v>
      </c>
      <c r="H51">
        <f t="shared" ref="H51:O51" si="3">+H48-H50</f>
        <v>0</v>
      </c>
      <c r="I51">
        <f t="shared" si="3"/>
        <v>0</v>
      </c>
      <c r="J51">
        <f t="shared" si="3"/>
        <v>0</v>
      </c>
      <c r="K51">
        <f t="shared" si="3"/>
        <v>0</v>
      </c>
      <c r="L51">
        <f t="shared" si="3"/>
        <v>0</v>
      </c>
      <c r="M51">
        <f t="shared" si="3"/>
        <v>0</v>
      </c>
      <c r="N51">
        <f t="shared" si="3"/>
        <v>0</v>
      </c>
      <c r="O51">
        <f t="shared" si="3"/>
        <v>1029</v>
      </c>
    </row>
  </sheetData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101"/>
  <dimension ref="C2:O51"/>
  <sheetViews>
    <sheetView workbookViewId="0"/>
  </sheetViews>
  <sheetFormatPr defaultRowHeight="13.15"/>
  <sheetData>
    <row r="2" spans="3:15">
      <c r="C2" t="s">
        <v>2389</v>
      </c>
      <c r="E2" t="s">
        <v>2390</v>
      </c>
      <c r="F2" t="s">
        <v>2391</v>
      </c>
      <c r="G2" t="s">
        <v>2392</v>
      </c>
      <c r="H2" t="s">
        <v>2393</v>
      </c>
      <c r="I2" t="s">
        <v>2394</v>
      </c>
    </row>
    <row r="3" spans="3:15">
      <c r="C3">
        <v>2</v>
      </c>
      <c r="D3">
        <v>2</v>
      </c>
      <c r="O3">
        <f>SUM(C3:N3)</f>
        <v>4</v>
      </c>
    </row>
    <row r="4" spans="3:15">
      <c r="C4">
        <f>+O3</f>
        <v>4</v>
      </c>
      <c r="D4">
        <v>1</v>
      </c>
      <c r="O4">
        <f t="shared" ref="O4:O49" si="0">SUM(C4:N4)</f>
        <v>5</v>
      </c>
    </row>
    <row r="5" spans="3:15">
      <c r="C5">
        <f t="shared" ref="C5:C47" si="1">+O4</f>
        <v>5</v>
      </c>
      <c r="G5">
        <v>-1</v>
      </c>
      <c r="O5">
        <f t="shared" si="0"/>
        <v>4</v>
      </c>
    </row>
    <row r="6" spans="3:15">
      <c r="C6">
        <f t="shared" si="1"/>
        <v>4</v>
      </c>
      <c r="D6">
        <v>1</v>
      </c>
      <c r="O6">
        <f t="shared" si="0"/>
        <v>5</v>
      </c>
    </row>
    <row r="7" spans="3:15">
      <c r="C7">
        <f t="shared" si="1"/>
        <v>5</v>
      </c>
      <c r="I7">
        <v>-1</v>
      </c>
      <c r="O7">
        <f t="shared" si="0"/>
        <v>4</v>
      </c>
    </row>
    <row r="8" spans="3:15">
      <c r="C8">
        <f t="shared" si="1"/>
        <v>4</v>
      </c>
      <c r="I8">
        <v>-2</v>
      </c>
      <c r="O8">
        <f t="shared" si="0"/>
        <v>2</v>
      </c>
    </row>
    <row r="9" spans="3:15">
      <c r="C9">
        <f t="shared" si="1"/>
        <v>2</v>
      </c>
      <c r="I9">
        <f>-1</f>
        <v>-1</v>
      </c>
      <c r="O9">
        <f t="shared" si="0"/>
        <v>1</v>
      </c>
    </row>
    <row r="10" spans="3:15">
      <c r="C10">
        <f t="shared" si="1"/>
        <v>1</v>
      </c>
      <c r="D10">
        <v>1</v>
      </c>
      <c r="O10">
        <f t="shared" si="0"/>
        <v>2</v>
      </c>
    </row>
    <row r="11" spans="3:15">
      <c r="C11">
        <f t="shared" si="1"/>
        <v>2</v>
      </c>
      <c r="O11">
        <f t="shared" si="0"/>
        <v>2</v>
      </c>
    </row>
    <row r="12" spans="3:15">
      <c r="C12">
        <f t="shared" si="1"/>
        <v>2</v>
      </c>
      <c r="O12">
        <f t="shared" si="0"/>
        <v>2</v>
      </c>
    </row>
    <row r="13" spans="3:15">
      <c r="C13">
        <f t="shared" si="1"/>
        <v>2</v>
      </c>
      <c r="O13">
        <f t="shared" si="0"/>
        <v>2</v>
      </c>
    </row>
    <row r="14" spans="3:15">
      <c r="C14">
        <f t="shared" si="1"/>
        <v>2</v>
      </c>
      <c r="O14">
        <f t="shared" si="0"/>
        <v>2</v>
      </c>
    </row>
    <row r="15" spans="3:15">
      <c r="C15">
        <f t="shared" si="1"/>
        <v>2</v>
      </c>
      <c r="O15">
        <f t="shared" si="0"/>
        <v>2</v>
      </c>
    </row>
    <row r="16" spans="3:15">
      <c r="C16">
        <f t="shared" si="1"/>
        <v>2</v>
      </c>
      <c r="O16">
        <f t="shared" si="0"/>
        <v>2</v>
      </c>
    </row>
    <row r="17" spans="3:15">
      <c r="C17">
        <f t="shared" si="1"/>
        <v>2</v>
      </c>
      <c r="O17">
        <f t="shared" si="0"/>
        <v>2</v>
      </c>
    </row>
    <row r="18" spans="3:15">
      <c r="C18">
        <f t="shared" si="1"/>
        <v>2</v>
      </c>
      <c r="O18">
        <f t="shared" si="0"/>
        <v>2</v>
      </c>
    </row>
    <row r="19" spans="3:15">
      <c r="C19">
        <f t="shared" si="1"/>
        <v>2</v>
      </c>
      <c r="O19">
        <f t="shared" si="0"/>
        <v>2</v>
      </c>
    </row>
    <row r="20" spans="3:15">
      <c r="C20">
        <f t="shared" si="1"/>
        <v>2</v>
      </c>
      <c r="O20">
        <f t="shared" si="0"/>
        <v>2</v>
      </c>
    </row>
    <row r="21" spans="3:15">
      <c r="C21">
        <f t="shared" si="1"/>
        <v>2</v>
      </c>
      <c r="O21">
        <f t="shared" si="0"/>
        <v>2</v>
      </c>
    </row>
    <row r="22" spans="3:15">
      <c r="C22">
        <f t="shared" si="1"/>
        <v>2</v>
      </c>
      <c r="O22">
        <f t="shared" si="0"/>
        <v>2</v>
      </c>
    </row>
    <row r="23" spans="3:15">
      <c r="C23">
        <f t="shared" si="1"/>
        <v>2</v>
      </c>
      <c r="O23">
        <f t="shared" si="0"/>
        <v>2</v>
      </c>
    </row>
    <row r="24" spans="3:15">
      <c r="C24">
        <f t="shared" si="1"/>
        <v>2</v>
      </c>
      <c r="O24">
        <f t="shared" si="0"/>
        <v>2</v>
      </c>
    </row>
    <row r="25" spans="3:15">
      <c r="C25">
        <f t="shared" si="1"/>
        <v>2</v>
      </c>
      <c r="O25">
        <f t="shared" si="0"/>
        <v>2</v>
      </c>
    </row>
    <row r="26" spans="3:15">
      <c r="C26">
        <f t="shared" si="1"/>
        <v>2</v>
      </c>
      <c r="O26">
        <f t="shared" si="0"/>
        <v>2</v>
      </c>
    </row>
    <row r="27" spans="3:15">
      <c r="C27">
        <f t="shared" si="1"/>
        <v>2</v>
      </c>
      <c r="O27">
        <f t="shared" si="0"/>
        <v>2</v>
      </c>
    </row>
    <row r="28" spans="3:15">
      <c r="C28">
        <f t="shared" si="1"/>
        <v>2</v>
      </c>
      <c r="O28">
        <f t="shared" si="0"/>
        <v>2</v>
      </c>
    </row>
    <row r="29" spans="3:15">
      <c r="C29">
        <f t="shared" si="1"/>
        <v>2</v>
      </c>
      <c r="O29">
        <f t="shared" si="0"/>
        <v>2</v>
      </c>
    </row>
    <row r="30" spans="3:15">
      <c r="C30">
        <f t="shared" si="1"/>
        <v>2</v>
      </c>
      <c r="O30">
        <f t="shared" si="0"/>
        <v>2</v>
      </c>
    </row>
    <row r="31" spans="3:15">
      <c r="C31">
        <f t="shared" si="1"/>
        <v>2</v>
      </c>
      <c r="O31">
        <f t="shared" si="0"/>
        <v>2</v>
      </c>
    </row>
    <row r="32" spans="3:15">
      <c r="C32">
        <f t="shared" si="1"/>
        <v>2</v>
      </c>
      <c r="O32">
        <f t="shared" si="0"/>
        <v>2</v>
      </c>
    </row>
    <row r="33" spans="3:15">
      <c r="C33">
        <f t="shared" si="1"/>
        <v>2</v>
      </c>
      <c r="O33">
        <f t="shared" si="0"/>
        <v>2</v>
      </c>
    </row>
    <row r="34" spans="3:15">
      <c r="C34">
        <f t="shared" si="1"/>
        <v>2</v>
      </c>
      <c r="O34">
        <f t="shared" si="0"/>
        <v>2</v>
      </c>
    </row>
    <row r="35" spans="3:15">
      <c r="C35">
        <f t="shared" si="1"/>
        <v>2</v>
      </c>
      <c r="O35">
        <f t="shared" si="0"/>
        <v>2</v>
      </c>
    </row>
    <row r="36" spans="3:15">
      <c r="C36">
        <f t="shared" si="1"/>
        <v>2</v>
      </c>
      <c r="O36">
        <f t="shared" si="0"/>
        <v>2</v>
      </c>
    </row>
    <row r="37" spans="3:15">
      <c r="C37">
        <f t="shared" si="1"/>
        <v>2</v>
      </c>
      <c r="O37">
        <f t="shared" si="0"/>
        <v>2</v>
      </c>
    </row>
    <row r="38" spans="3:15">
      <c r="C38">
        <f t="shared" si="1"/>
        <v>2</v>
      </c>
      <c r="O38">
        <f t="shared" si="0"/>
        <v>2</v>
      </c>
    </row>
    <row r="39" spans="3:15">
      <c r="C39">
        <f t="shared" si="1"/>
        <v>2</v>
      </c>
      <c r="O39">
        <f t="shared" si="0"/>
        <v>2</v>
      </c>
    </row>
    <row r="40" spans="3:15">
      <c r="C40">
        <f t="shared" si="1"/>
        <v>2</v>
      </c>
      <c r="O40">
        <f t="shared" si="0"/>
        <v>2</v>
      </c>
    </row>
    <row r="41" spans="3:15">
      <c r="C41">
        <f t="shared" si="1"/>
        <v>2</v>
      </c>
      <c r="O41">
        <f t="shared" si="0"/>
        <v>2</v>
      </c>
    </row>
    <row r="42" spans="3:15">
      <c r="C42">
        <f t="shared" si="1"/>
        <v>2</v>
      </c>
      <c r="O42">
        <f t="shared" si="0"/>
        <v>2</v>
      </c>
    </row>
    <row r="43" spans="3:15">
      <c r="C43">
        <f t="shared" si="1"/>
        <v>2</v>
      </c>
      <c r="O43">
        <f t="shared" si="0"/>
        <v>2</v>
      </c>
    </row>
    <row r="44" spans="3:15">
      <c r="C44">
        <f t="shared" si="1"/>
        <v>2</v>
      </c>
      <c r="O44">
        <f t="shared" si="0"/>
        <v>2</v>
      </c>
    </row>
    <row r="45" spans="3:15">
      <c r="C45">
        <f t="shared" si="1"/>
        <v>2</v>
      </c>
      <c r="O45">
        <f t="shared" si="0"/>
        <v>2</v>
      </c>
    </row>
    <row r="46" spans="3:15">
      <c r="C46">
        <f t="shared" si="1"/>
        <v>2</v>
      </c>
      <c r="O46">
        <f t="shared" si="0"/>
        <v>2</v>
      </c>
    </row>
    <row r="47" spans="3:15">
      <c r="C47">
        <f t="shared" si="1"/>
        <v>2</v>
      </c>
      <c r="O47">
        <f t="shared" si="0"/>
        <v>2</v>
      </c>
    </row>
    <row r="48" spans="3:15">
      <c r="C48">
        <v>84</v>
      </c>
      <c r="D48">
        <f>SUM(D3:D47)</f>
        <v>5</v>
      </c>
      <c r="E48">
        <f t="shared" ref="E48:N48" si="2">SUM(E3:E47)</f>
        <v>0</v>
      </c>
      <c r="F48">
        <f t="shared" si="2"/>
        <v>0</v>
      </c>
      <c r="G48">
        <f t="shared" si="2"/>
        <v>-1</v>
      </c>
      <c r="H48">
        <f t="shared" si="2"/>
        <v>0</v>
      </c>
      <c r="I48">
        <f t="shared" si="2"/>
        <v>-4</v>
      </c>
      <c r="J48">
        <f t="shared" si="2"/>
        <v>0</v>
      </c>
      <c r="K48">
        <f t="shared" si="2"/>
        <v>0</v>
      </c>
      <c r="L48">
        <f t="shared" si="2"/>
        <v>0</v>
      </c>
      <c r="M48">
        <f t="shared" si="2"/>
        <v>0</v>
      </c>
      <c r="N48">
        <f t="shared" si="2"/>
        <v>0</v>
      </c>
      <c r="O48">
        <f t="shared" si="0"/>
        <v>84</v>
      </c>
    </row>
    <row r="49" spans="4:15">
      <c r="O49">
        <f t="shared" si="0"/>
        <v>0</v>
      </c>
    </row>
    <row r="50" spans="4:15">
      <c r="D50">
        <v>6</v>
      </c>
      <c r="E50">
        <v>1058</v>
      </c>
      <c r="F50">
        <v>-40</v>
      </c>
      <c r="G50">
        <v>-75</v>
      </c>
      <c r="H50">
        <v>0</v>
      </c>
      <c r="I50">
        <v>-6</v>
      </c>
    </row>
    <row r="51" spans="4:15">
      <c r="D51">
        <f>+D48-D50</f>
        <v>-1</v>
      </c>
      <c r="E51">
        <f>+E48-E50</f>
        <v>-1058</v>
      </c>
      <c r="F51">
        <f>+F48-F50</f>
        <v>40</v>
      </c>
      <c r="G51">
        <f>+G48-G50</f>
        <v>74</v>
      </c>
      <c r="H51">
        <f t="shared" ref="H51:O51" si="3">+H48-H50</f>
        <v>0</v>
      </c>
      <c r="I51">
        <f t="shared" si="3"/>
        <v>2</v>
      </c>
      <c r="J51">
        <f t="shared" si="3"/>
        <v>0</v>
      </c>
      <c r="K51">
        <f t="shared" si="3"/>
        <v>0</v>
      </c>
      <c r="L51">
        <f t="shared" si="3"/>
        <v>0</v>
      </c>
      <c r="M51">
        <f t="shared" si="3"/>
        <v>0</v>
      </c>
      <c r="N51">
        <f t="shared" si="3"/>
        <v>0</v>
      </c>
      <c r="O51">
        <f t="shared" si="3"/>
        <v>84</v>
      </c>
    </row>
  </sheetData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102"/>
  <dimension ref="C2:O51"/>
  <sheetViews>
    <sheetView topLeftCell="A2" workbookViewId="0">
      <selection activeCell="D8" sqref="D8"/>
    </sheetView>
  </sheetViews>
  <sheetFormatPr defaultRowHeight="13.15"/>
  <sheetData>
    <row r="2" spans="3:15">
      <c r="C2" t="s">
        <v>2389</v>
      </c>
      <c r="E2" t="s">
        <v>2390</v>
      </c>
      <c r="F2" t="s">
        <v>2391</v>
      </c>
      <c r="G2" t="s">
        <v>2392</v>
      </c>
      <c r="H2" t="s">
        <v>2393</v>
      </c>
      <c r="I2" t="s">
        <v>2394</v>
      </c>
    </row>
    <row r="3" spans="3:15">
      <c r="C3">
        <v>343</v>
      </c>
      <c r="G3">
        <v>-1</v>
      </c>
      <c r="O3">
        <f>SUM(C3:N3)</f>
        <v>342</v>
      </c>
    </row>
    <row r="4" spans="3:15">
      <c r="C4">
        <f>+O3</f>
        <v>342</v>
      </c>
      <c r="G4">
        <f>+G3</f>
        <v>-1</v>
      </c>
      <c r="O4">
        <f t="shared" ref="O4:O49" si="0">SUM(C4:N4)</f>
        <v>341</v>
      </c>
    </row>
    <row r="5" spans="3:15">
      <c r="C5">
        <f t="shared" ref="C5:C47" si="1">+O4</f>
        <v>341</v>
      </c>
      <c r="G5">
        <f>+G4</f>
        <v>-1</v>
      </c>
      <c r="O5">
        <f t="shared" si="0"/>
        <v>340</v>
      </c>
    </row>
    <row r="6" spans="3:15">
      <c r="C6">
        <f t="shared" si="1"/>
        <v>340</v>
      </c>
      <c r="G6">
        <f>+G5</f>
        <v>-1</v>
      </c>
      <c r="O6">
        <f t="shared" si="0"/>
        <v>339</v>
      </c>
    </row>
    <row r="7" spans="3:15">
      <c r="C7">
        <f t="shared" si="1"/>
        <v>339</v>
      </c>
      <c r="D7">
        <v>2</v>
      </c>
      <c r="I7">
        <v>-2</v>
      </c>
      <c r="O7">
        <f t="shared" si="0"/>
        <v>339</v>
      </c>
    </row>
    <row r="8" spans="3:15">
      <c r="C8">
        <f t="shared" si="1"/>
        <v>339</v>
      </c>
      <c r="O8">
        <f t="shared" si="0"/>
        <v>339</v>
      </c>
    </row>
    <row r="9" spans="3:15">
      <c r="C9">
        <f t="shared" si="1"/>
        <v>339</v>
      </c>
      <c r="O9">
        <f t="shared" si="0"/>
        <v>339</v>
      </c>
    </row>
    <row r="10" spans="3:15">
      <c r="C10">
        <f t="shared" si="1"/>
        <v>339</v>
      </c>
      <c r="O10">
        <f t="shared" si="0"/>
        <v>339</v>
      </c>
    </row>
    <row r="11" spans="3:15">
      <c r="C11">
        <f t="shared" si="1"/>
        <v>339</v>
      </c>
      <c r="O11">
        <f t="shared" si="0"/>
        <v>339</v>
      </c>
    </row>
    <row r="12" spans="3:15">
      <c r="C12">
        <f t="shared" si="1"/>
        <v>339</v>
      </c>
      <c r="O12">
        <f t="shared" si="0"/>
        <v>339</v>
      </c>
    </row>
    <row r="13" spans="3:15">
      <c r="C13">
        <f t="shared" si="1"/>
        <v>339</v>
      </c>
      <c r="O13">
        <f t="shared" si="0"/>
        <v>339</v>
      </c>
    </row>
    <row r="14" spans="3:15">
      <c r="C14">
        <f t="shared" si="1"/>
        <v>339</v>
      </c>
      <c r="O14">
        <f t="shared" si="0"/>
        <v>339</v>
      </c>
    </row>
    <row r="15" spans="3:15">
      <c r="C15">
        <f t="shared" si="1"/>
        <v>339</v>
      </c>
      <c r="O15">
        <f t="shared" si="0"/>
        <v>339</v>
      </c>
    </row>
    <row r="16" spans="3:15">
      <c r="C16">
        <f t="shared" si="1"/>
        <v>339</v>
      </c>
      <c r="O16">
        <f t="shared" si="0"/>
        <v>339</v>
      </c>
    </row>
    <row r="17" spans="3:15">
      <c r="C17">
        <f t="shared" si="1"/>
        <v>339</v>
      </c>
      <c r="O17">
        <f t="shared" si="0"/>
        <v>339</v>
      </c>
    </row>
    <row r="18" spans="3:15">
      <c r="C18">
        <f t="shared" si="1"/>
        <v>339</v>
      </c>
      <c r="O18">
        <f t="shared" si="0"/>
        <v>339</v>
      </c>
    </row>
    <row r="19" spans="3:15">
      <c r="C19">
        <f t="shared" si="1"/>
        <v>339</v>
      </c>
      <c r="O19">
        <f t="shared" si="0"/>
        <v>339</v>
      </c>
    </row>
    <row r="20" spans="3:15">
      <c r="C20">
        <f t="shared" si="1"/>
        <v>339</v>
      </c>
      <c r="O20">
        <f t="shared" si="0"/>
        <v>339</v>
      </c>
    </row>
    <row r="21" spans="3:15">
      <c r="C21">
        <f t="shared" si="1"/>
        <v>339</v>
      </c>
      <c r="O21">
        <f t="shared" si="0"/>
        <v>339</v>
      </c>
    </row>
    <row r="22" spans="3:15">
      <c r="C22">
        <f t="shared" si="1"/>
        <v>339</v>
      </c>
      <c r="O22">
        <f t="shared" si="0"/>
        <v>339</v>
      </c>
    </row>
    <row r="23" spans="3:15">
      <c r="C23">
        <f t="shared" si="1"/>
        <v>339</v>
      </c>
      <c r="O23">
        <f t="shared" si="0"/>
        <v>339</v>
      </c>
    </row>
    <row r="24" spans="3:15">
      <c r="C24">
        <f t="shared" si="1"/>
        <v>339</v>
      </c>
      <c r="O24">
        <f t="shared" si="0"/>
        <v>339</v>
      </c>
    </row>
    <row r="25" spans="3:15">
      <c r="C25">
        <f t="shared" si="1"/>
        <v>339</v>
      </c>
      <c r="O25">
        <f t="shared" si="0"/>
        <v>339</v>
      </c>
    </row>
    <row r="26" spans="3:15">
      <c r="C26">
        <f t="shared" si="1"/>
        <v>339</v>
      </c>
      <c r="O26">
        <f t="shared" si="0"/>
        <v>339</v>
      </c>
    </row>
    <row r="27" spans="3:15">
      <c r="C27">
        <f t="shared" si="1"/>
        <v>339</v>
      </c>
      <c r="O27">
        <f t="shared" si="0"/>
        <v>339</v>
      </c>
    </row>
    <row r="28" spans="3:15">
      <c r="C28">
        <f t="shared" si="1"/>
        <v>339</v>
      </c>
      <c r="O28">
        <f t="shared" si="0"/>
        <v>339</v>
      </c>
    </row>
    <row r="29" spans="3:15">
      <c r="C29">
        <f t="shared" si="1"/>
        <v>339</v>
      </c>
      <c r="O29">
        <f t="shared" si="0"/>
        <v>339</v>
      </c>
    </row>
    <row r="30" spans="3:15">
      <c r="C30">
        <f t="shared" si="1"/>
        <v>339</v>
      </c>
      <c r="O30">
        <f t="shared" si="0"/>
        <v>339</v>
      </c>
    </row>
    <row r="31" spans="3:15">
      <c r="C31">
        <f t="shared" si="1"/>
        <v>339</v>
      </c>
      <c r="O31">
        <f t="shared" si="0"/>
        <v>339</v>
      </c>
    </row>
    <row r="32" spans="3:15">
      <c r="C32">
        <f t="shared" si="1"/>
        <v>339</v>
      </c>
      <c r="O32">
        <f t="shared" si="0"/>
        <v>339</v>
      </c>
    </row>
    <row r="33" spans="3:15">
      <c r="C33">
        <f t="shared" si="1"/>
        <v>339</v>
      </c>
      <c r="O33">
        <f t="shared" si="0"/>
        <v>339</v>
      </c>
    </row>
    <row r="34" spans="3:15">
      <c r="C34">
        <f t="shared" si="1"/>
        <v>339</v>
      </c>
      <c r="O34">
        <f t="shared" si="0"/>
        <v>339</v>
      </c>
    </row>
    <row r="35" spans="3:15">
      <c r="C35">
        <f t="shared" si="1"/>
        <v>339</v>
      </c>
      <c r="O35">
        <f t="shared" si="0"/>
        <v>339</v>
      </c>
    </row>
    <row r="36" spans="3:15">
      <c r="C36">
        <f t="shared" si="1"/>
        <v>339</v>
      </c>
      <c r="O36">
        <f t="shared" si="0"/>
        <v>339</v>
      </c>
    </row>
    <row r="37" spans="3:15">
      <c r="C37">
        <f t="shared" si="1"/>
        <v>339</v>
      </c>
      <c r="O37">
        <f t="shared" si="0"/>
        <v>339</v>
      </c>
    </row>
    <row r="38" spans="3:15">
      <c r="C38">
        <f t="shared" si="1"/>
        <v>339</v>
      </c>
      <c r="O38">
        <f t="shared" si="0"/>
        <v>339</v>
      </c>
    </row>
    <row r="39" spans="3:15">
      <c r="C39">
        <f t="shared" si="1"/>
        <v>339</v>
      </c>
      <c r="O39">
        <f t="shared" si="0"/>
        <v>339</v>
      </c>
    </row>
    <row r="40" spans="3:15">
      <c r="C40">
        <f t="shared" si="1"/>
        <v>339</v>
      </c>
      <c r="O40">
        <f t="shared" si="0"/>
        <v>339</v>
      </c>
    </row>
    <row r="41" spans="3:15">
      <c r="C41">
        <f t="shared" si="1"/>
        <v>339</v>
      </c>
      <c r="O41">
        <f t="shared" si="0"/>
        <v>339</v>
      </c>
    </row>
    <row r="42" spans="3:15">
      <c r="C42">
        <f t="shared" si="1"/>
        <v>339</v>
      </c>
      <c r="O42">
        <f t="shared" si="0"/>
        <v>339</v>
      </c>
    </row>
    <row r="43" spans="3:15">
      <c r="C43">
        <f t="shared" si="1"/>
        <v>339</v>
      </c>
      <c r="O43">
        <f t="shared" si="0"/>
        <v>339</v>
      </c>
    </row>
    <row r="44" spans="3:15">
      <c r="C44">
        <f t="shared" si="1"/>
        <v>339</v>
      </c>
      <c r="O44">
        <f t="shared" si="0"/>
        <v>339</v>
      </c>
    </row>
    <row r="45" spans="3:15">
      <c r="C45">
        <f t="shared" si="1"/>
        <v>339</v>
      </c>
      <c r="O45">
        <f t="shared" si="0"/>
        <v>339</v>
      </c>
    </row>
    <row r="46" spans="3:15">
      <c r="C46">
        <f t="shared" si="1"/>
        <v>339</v>
      </c>
      <c r="O46">
        <f t="shared" si="0"/>
        <v>339</v>
      </c>
    </row>
    <row r="47" spans="3:15">
      <c r="C47">
        <f t="shared" si="1"/>
        <v>339</v>
      </c>
      <c r="O47">
        <f t="shared" si="0"/>
        <v>339</v>
      </c>
    </row>
    <row r="48" spans="3:15">
      <c r="C48">
        <v>84</v>
      </c>
      <c r="D48">
        <f>SUM(D3:D47)</f>
        <v>2</v>
      </c>
      <c r="E48">
        <f t="shared" ref="E48:N48" si="2">SUM(E3:E47)</f>
        <v>0</v>
      </c>
      <c r="F48">
        <f t="shared" si="2"/>
        <v>0</v>
      </c>
      <c r="G48">
        <f t="shared" si="2"/>
        <v>-4</v>
      </c>
      <c r="H48">
        <f t="shared" si="2"/>
        <v>0</v>
      </c>
      <c r="I48">
        <f t="shared" si="2"/>
        <v>-2</v>
      </c>
      <c r="J48">
        <f t="shared" si="2"/>
        <v>0</v>
      </c>
      <c r="K48">
        <f t="shared" si="2"/>
        <v>0</v>
      </c>
      <c r="L48">
        <f t="shared" si="2"/>
        <v>0</v>
      </c>
      <c r="M48">
        <f t="shared" si="2"/>
        <v>0</v>
      </c>
      <c r="N48">
        <f t="shared" si="2"/>
        <v>0</v>
      </c>
      <c r="O48">
        <f t="shared" si="0"/>
        <v>80</v>
      </c>
    </row>
    <row r="49" spans="4:15">
      <c r="O49">
        <f t="shared" si="0"/>
        <v>0</v>
      </c>
    </row>
    <row r="50" spans="4:15">
      <c r="D50">
        <v>6</v>
      </c>
      <c r="E50">
        <v>1058</v>
      </c>
      <c r="F50">
        <v>-40</v>
      </c>
      <c r="G50">
        <v>-75</v>
      </c>
      <c r="H50">
        <v>0</v>
      </c>
      <c r="I50">
        <v>-6</v>
      </c>
    </row>
    <row r="51" spans="4:15">
      <c r="D51">
        <f>+D48-D50</f>
        <v>-4</v>
      </c>
      <c r="E51">
        <f>+E48-E50</f>
        <v>-1058</v>
      </c>
      <c r="F51">
        <f>+F48-F50</f>
        <v>40</v>
      </c>
      <c r="G51">
        <f>+G48-G50</f>
        <v>71</v>
      </c>
      <c r="H51">
        <f t="shared" ref="H51:O51" si="3">+H48-H50</f>
        <v>0</v>
      </c>
      <c r="I51">
        <f t="shared" si="3"/>
        <v>4</v>
      </c>
      <c r="J51">
        <f t="shared" si="3"/>
        <v>0</v>
      </c>
      <c r="K51">
        <f t="shared" si="3"/>
        <v>0</v>
      </c>
      <c r="L51">
        <f t="shared" si="3"/>
        <v>0</v>
      </c>
      <c r="M51">
        <f t="shared" si="3"/>
        <v>0</v>
      </c>
      <c r="N51">
        <f t="shared" si="3"/>
        <v>0</v>
      </c>
      <c r="O51">
        <f t="shared" si="3"/>
        <v>80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C38946-C585-488D-8369-63AD611D224B}"/>
</file>

<file path=customXml/itemProps2.xml><?xml version="1.0" encoding="utf-8"?>
<ds:datastoreItem xmlns:ds="http://schemas.openxmlformats.org/officeDocument/2006/customXml" ds:itemID="{DD65EC64-9222-47F5-AD23-AD4629A032A3}"/>
</file>

<file path=customXml/itemProps3.xml><?xml version="1.0" encoding="utf-8"?>
<ds:datastoreItem xmlns:ds="http://schemas.openxmlformats.org/officeDocument/2006/customXml" ds:itemID="{A7970967-35EF-4830-84B0-C5D5B0DBFC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Innscor Africa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Tineyi Mandengu</dc:creator>
  <cp:keywords/>
  <dc:description/>
  <cp:lastModifiedBy>Mukul Joshi</cp:lastModifiedBy>
  <cp:revision/>
  <dcterms:created xsi:type="dcterms:W3CDTF">2006-12-05T13:07:47Z</dcterms:created>
  <dcterms:modified xsi:type="dcterms:W3CDTF">2026-08-19T20:10:36Z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0x010100F4556EAEE72D7747B3D0355DABB429F3</vt:lpwstr>
  </property>
  <property fmtid="{D5CDD505-2E9C-101B-9397-08002B2CF9AE}" pid="4" name="MediaServiceImageTags">
    <vt:lpwstr/>
  </property>
</Properties>
</file>